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K562_lysate_PBS_R1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6803" i="1" l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<sst xmlns="http://schemas.openxmlformats.org/spreadsheetml/2006/main" count="54403" uniqueCount="33681">
  <si>
    <t>Protein_ID</t>
  </si>
  <si>
    <t>plot</t>
  </si>
  <si>
    <t>gene_name</t>
  </si>
  <si>
    <t>uniprot_ac</t>
  </si>
  <si>
    <t>auc</t>
  </si>
  <si>
    <t>plot_link</t>
  </si>
  <si>
    <t>A0AVK6_E2F8</t>
  </si>
  <si>
    <t>A0AVT1_UBA6</t>
  </si>
  <si>
    <t>A0JLT2-2_MED19</t>
  </si>
  <si>
    <t>A0JNW5_UHRF1BP1L</t>
  </si>
  <si>
    <t>A0MZ66_KIAA1598</t>
  </si>
  <si>
    <t>A2AE50_TRIM26</t>
  </si>
  <si>
    <t>A2RRP1_NBAS</t>
  </si>
  <si>
    <t>A2RUC4_TYW5</t>
  </si>
  <si>
    <t>A2VDF0-2_FUOM</t>
  </si>
  <si>
    <t>A2VDJ0-2_KIAA0922</t>
  </si>
  <si>
    <t>A3KMH1-2_VWA8</t>
  </si>
  <si>
    <t>A3KN83-2_SBNO1</t>
  </si>
  <si>
    <t>A4D126-2_ISPD</t>
  </si>
  <si>
    <t>A4D2B0_MBLAC1</t>
  </si>
  <si>
    <t>A5PL33-3_KRBA1</t>
  </si>
  <si>
    <t>A5PLN9-2_TRAPPC13</t>
  </si>
  <si>
    <t>A5YKK6-2_CNOT1</t>
  </si>
  <si>
    <t>A6H8Y1-7_BDP1</t>
  </si>
  <si>
    <t>A6NDG6_PGP</t>
  </si>
  <si>
    <t>A6NDU8_C5orf51</t>
  </si>
  <si>
    <t>A6NE92_ZNF275</t>
  </si>
  <si>
    <t>A6NED2_RCCD1</t>
  </si>
  <si>
    <t>A6NF31_OFD1</t>
  </si>
  <si>
    <t>A6NF48_ZNF281</t>
  </si>
  <si>
    <t>A6NFI3_ZNF316</t>
  </si>
  <si>
    <t>A6NFX8_NUDT5</t>
  </si>
  <si>
    <t>A6NFY7_SDHAF1</t>
  </si>
  <si>
    <t>A6NG32_CHMP1A</t>
  </si>
  <si>
    <t>A6NG79_PRCC</t>
  </si>
  <si>
    <t>A6NGB9_WIPF3</t>
  </si>
  <si>
    <t>A6NGH7_CCDC160</t>
  </si>
  <si>
    <t>A6NGP5_HN1L</t>
  </si>
  <si>
    <t>A6NGQ3_OBSCN</t>
  </si>
  <si>
    <t>A6NGU5_GGT3P</t>
  </si>
  <si>
    <t>A6NHF2_BTD</t>
  </si>
  <si>
    <t>A6NHL2-2_TUBAL3</t>
  </si>
  <si>
    <t>A6NHR9_SMCHD1</t>
  </si>
  <si>
    <t>A6NHX0_GATSL2</t>
  </si>
  <si>
    <t>A6NIH7_UNC119B</t>
  </si>
  <si>
    <t>A6NJX6_CHCHD1</t>
  </si>
  <si>
    <t>A6NJZ9_NOC3L</t>
  </si>
  <si>
    <t>A6NKD9_CCDC85C</t>
  </si>
  <si>
    <t>A6NML8_DIAPH2</t>
  </si>
  <si>
    <t>A6NN80_ANXA6</t>
  </si>
  <si>
    <t>A6NNY8_USP27X</t>
  </si>
  <si>
    <t>A6QL64_ANKRD36</t>
  </si>
  <si>
    <t>A6ZKI3_FAM127A</t>
  </si>
  <si>
    <t>A7MCY6_TBKBP1</t>
  </si>
  <si>
    <t>A8CG34-2_POM121C</t>
  </si>
  <si>
    <t>A8CTY3_ITSN1</t>
  </si>
  <si>
    <t>A8K2U1_EOGT</t>
  </si>
  <si>
    <t>A8K8P3-5_SFI1</t>
  </si>
  <si>
    <t>A8MPS7_YDJC</t>
  </si>
  <si>
    <t>A8MPV3_</t>
  </si>
  <si>
    <t>A8MQ14_ZNF850</t>
  </si>
  <si>
    <t>A8MQB8_FMR1</t>
  </si>
  <si>
    <t>A8MT20_GRM5</t>
  </si>
  <si>
    <t>A8MT37_GSK3A</t>
  </si>
  <si>
    <t>A8MTY9_DSCR3</t>
  </si>
  <si>
    <t>A8MTZ6_S100PBP</t>
  </si>
  <si>
    <t>A8MU44_HOOK1</t>
  </si>
  <si>
    <t>A8MUB1_TUBA4A</t>
  </si>
  <si>
    <t>A8MUN2_</t>
  </si>
  <si>
    <t>A8MVX0_ARHGEF33</t>
  </si>
  <si>
    <t>A8MVZ6_BICD1</t>
  </si>
  <si>
    <t>A8MX75_ERCC2</t>
  </si>
  <si>
    <t>A8MXP8_RCN2</t>
  </si>
  <si>
    <t>A8MXP9_MATR3</t>
  </si>
  <si>
    <t>A8MXV4_NUDT19</t>
  </si>
  <si>
    <t>A8MYC1_POP4</t>
  </si>
  <si>
    <t>A9Z1X7_SRRM1</t>
  </si>
  <si>
    <t>B0FLL2_PFKFB2</t>
  </si>
  <si>
    <t>B0QXZ5_DNAL4</t>
  </si>
  <si>
    <t>B0QY04_NCF4</t>
  </si>
  <si>
    <t>B0QY16_KIAA0930</t>
  </si>
  <si>
    <t>B0QYI3_TBC1D22A</t>
  </si>
  <si>
    <t>B0UX83_BAG6</t>
  </si>
  <si>
    <t>B0UZY3_EHMT2</t>
  </si>
  <si>
    <t>B1AH86_GRAP2</t>
  </si>
  <si>
    <t>B1AHD3_PDXP</t>
  </si>
  <si>
    <t>B1AHJ7_TPST2</t>
  </si>
  <si>
    <t>B1AHQ6_CENPM</t>
  </si>
  <si>
    <t>B1AJY7_PSMD10</t>
  </si>
  <si>
    <t>B1AJZ9-4_FHAD1</t>
  </si>
  <si>
    <t>B1AK13_HMGCL</t>
  </si>
  <si>
    <t>B1AK81_PIGK</t>
  </si>
  <si>
    <t>B1AK87_CAPZB</t>
  </si>
  <si>
    <t>B1AKD8_CROCC</t>
  </si>
  <si>
    <t>B1AKL4_EIF4ENIF1</t>
  </si>
  <si>
    <t>B1AKN7_NFIA</t>
  </si>
  <si>
    <t>B1AL69_CDC37L1</t>
  </si>
  <si>
    <t>B1AN99_PRSS3</t>
  </si>
  <si>
    <t>B1ANH0_GUK1</t>
  </si>
  <si>
    <t>B1APM4_SOAT1</t>
  </si>
  <si>
    <t>B1APY4_ROR2</t>
  </si>
  <si>
    <t>B1B1H9_FGF13</t>
  </si>
  <si>
    <t>B2R5P6_TXNRD1</t>
  </si>
  <si>
    <t>B2RD65_BRMS1L</t>
  </si>
  <si>
    <t>B2RPG6_ZCCHC2</t>
  </si>
  <si>
    <t>B2WTI3_JMJD6</t>
  </si>
  <si>
    <t>B3KMG0_GLE1</t>
  </si>
  <si>
    <t>B3KNQ0_CCDC92</t>
  </si>
  <si>
    <t>B3KP96_TRIM16</t>
  </si>
  <si>
    <t>B3KQ95_FDFT1</t>
  </si>
  <si>
    <t>B3KR00_STAMBPL1</t>
  </si>
  <si>
    <t>B3KRH1_RNF2</t>
  </si>
  <si>
    <t>B3KSI9_LZTFL1</t>
  </si>
  <si>
    <t>B3KSJ7_DCLRE1C</t>
  </si>
  <si>
    <t>B3KU87_SLC30A6</t>
  </si>
  <si>
    <t>B3KUK2_SOD2</t>
  </si>
  <si>
    <t>B3KVH8_PHF23</t>
  </si>
  <si>
    <t>B3KVZ3_CENPH</t>
  </si>
  <si>
    <t>B3KWW1_DDX58</t>
  </si>
  <si>
    <t>B3KY83_RXRA</t>
  </si>
  <si>
    <t>B4DDF4_CNN2</t>
  </si>
  <si>
    <t>B4DDF9_ANXA4</t>
  </si>
  <si>
    <t>B4DE93_NDUFV1</t>
  </si>
  <si>
    <t>B4DFA2_NSF</t>
  </si>
  <si>
    <t>B4DFG0_DEK</t>
  </si>
  <si>
    <t>B4DFG6_MRPS18B</t>
  </si>
  <si>
    <t>B4DFL2_IDH2</t>
  </si>
  <si>
    <t>B4DGU4_CTNNB1</t>
  </si>
  <si>
    <t>B4DGX0_EIF2B1</t>
  </si>
  <si>
    <t>B4DGX2_PIP4K2A</t>
  </si>
  <si>
    <t>B4DH53_MAP1S</t>
  </si>
  <si>
    <t>B4DI94_NEGR1</t>
  </si>
  <si>
    <t>B4DIP4_EIF2AK1</t>
  </si>
  <si>
    <t>B4DIQ3_RWDD2A</t>
  </si>
  <si>
    <t>B4DJ68_TDRKH</t>
  </si>
  <si>
    <t>B4DJA5_RAB5A</t>
  </si>
  <si>
    <t>B4DJP7_SNRPD3</t>
  </si>
  <si>
    <t>B4DJV2_CS</t>
  </si>
  <si>
    <t>B4DK80_TOP3A</t>
  </si>
  <si>
    <t>B4DKF9_ZNF286A</t>
  </si>
  <si>
    <t>B4DKJ3_COMP</t>
  </si>
  <si>
    <t>B4DKL4_LSR</t>
  </si>
  <si>
    <t>B4DKV7_EPS8L1</t>
  </si>
  <si>
    <t>B4DL14_ATP5C1</t>
  </si>
  <si>
    <t>B4DL54_CHURC1-FNTB</t>
  </si>
  <si>
    <t>B4DL79_KIF20A</t>
  </si>
  <si>
    <t>B4DLE8_CRYBG3</t>
  </si>
  <si>
    <t>B4DLR8_NQO1</t>
  </si>
  <si>
    <t>B4DLT4_RPS6KB1</t>
  </si>
  <si>
    <t>B4DLZ9_RNF220</t>
  </si>
  <si>
    <t>B4DNX9_ZNF460</t>
  </si>
  <si>
    <t>B4DNZ7_EYA3</t>
  </si>
  <si>
    <t>B4DP21_PTGES3</t>
  </si>
  <si>
    <t>B4DP62_</t>
  </si>
  <si>
    <t>B4DPR4_MKRN2</t>
  </si>
  <si>
    <t>B4DPY8_TOX4</t>
  </si>
  <si>
    <t>B4DQ51_ACADSB</t>
  </si>
  <si>
    <t>B4DQE7_HDAC8</t>
  </si>
  <si>
    <t>B4DQH9_RANBP10</t>
  </si>
  <si>
    <t>B4DQI6_TRA2A</t>
  </si>
  <si>
    <t>B4DQJ8_PGD</t>
  </si>
  <si>
    <t>B4DQL0_MTMR8</t>
  </si>
  <si>
    <t>B4DQV4_SNX4</t>
  </si>
  <si>
    <t>B4DR03_NAA40</t>
  </si>
  <si>
    <t>B4DRD1_DCP1B</t>
  </si>
  <si>
    <t>B4DRL9_CHM</t>
  </si>
  <si>
    <t>B4DRM7_SIMC1</t>
  </si>
  <si>
    <t>B4DRS7_SH2D3A</t>
  </si>
  <si>
    <t>B4DS61_SRPK1</t>
  </si>
  <si>
    <t>B4DS76_MAP3K11</t>
  </si>
  <si>
    <t>B4DSS5_KIAA0513</t>
  </si>
  <si>
    <t>B4DST5_PTPN23</t>
  </si>
  <si>
    <t>B4DT55_WDR41</t>
  </si>
  <si>
    <t>B4DT77_ANXA7</t>
  </si>
  <si>
    <t>B4DTU4_LIG1</t>
  </si>
  <si>
    <t>B4DTZ6_SLC9A1</t>
  </si>
  <si>
    <t>B4DU60_CLYBL</t>
  </si>
  <si>
    <t>B4DUI3_EIF3J</t>
  </si>
  <si>
    <t>B4DUR0_KLHL20</t>
  </si>
  <si>
    <t>B4DUS4_USP16</t>
  </si>
  <si>
    <t>B4DV96_RBKS</t>
  </si>
  <si>
    <t>B4DVE7_ANXA11</t>
  </si>
  <si>
    <t>B4DVY1_EIF3D</t>
  </si>
  <si>
    <t>B4DWB0_NUBPL</t>
  </si>
  <si>
    <t>B4DWW1_ARL1</t>
  </si>
  <si>
    <t>B4DXW4_CLPB</t>
  </si>
  <si>
    <t>B4DXZ6_FXR1</t>
  </si>
  <si>
    <t>B4DY82_SENP5</t>
  </si>
  <si>
    <t>B4DYB4_NUP35</t>
  </si>
  <si>
    <t>B4DZG6_TMEM48</t>
  </si>
  <si>
    <t>B4DZH6_HDAC6</t>
  </si>
  <si>
    <t>B4DZK7_TK2</t>
  </si>
  <si>
    <t>B4E0G4_PHF6</t>
  </si>
  <si>
    <t>B4E1D7_PNPO</t>
  </si>
  <si>
    <t>B4E1K7_STOML2</t>
  </si>
  <si>
    <t>B4E1M0_MSANTD2</t>
  </si>
  <si>
    <t>B4E1Q4_RIOK3</t>
  </si>
  <si>
    <t>B4E241_SFRS3</t>
  </si>
  <si>
    <t>B4E2S7_LAMP2</t>
  </si>
  <si>
    <t>B4E2W0_HADHB</t>
  </si>
  <si>
    <t>B4E2X3_METTL13</t>
  </si>
  <si>
    <t>B4E351_IGFBP4</t>
  </si>
  <si>
    <t>B4E3E5_DVL3</t>
  </si>
  <si>
    <t>B4E3T2_RRN3</t>
  </si>
  <si>
    <t>B4E3W0_ELP4</t>
  </si>
  <si>
    <t>B5MC20_JMJD7</t>
  </si>
  <si>
    <t>B5MC51_LIMK2</t>
  </si>
  <si>
    <t>B5MCF9_PES1</t>
  </si>
  <si>
    <t>B5MCM0_TEAD3</t>
  </si>
  <si>
    <t>B5MCU0_R3HDM2</t>
  </si>
  <si>
    <t>B5MDQ0_ERCC6L</t>
  </si>
  <si>
    <t>B7WP27_CWC22</t>
  </si>
  <si>
    <t>B7WPH3_CECR2</t>
  </si>
  <si>
    <t>B7Z1I8_E2F6</t>
  </si>
  <si>
    <t>B7Z1N3_PIGT</t>
  </si>
  <si>
    <t>B7Z254_PDIA6</t>
  </si>
  <si>
    <t>B7Z2G1_KLHL22</t>
  </si>
  <si>
    <t>B7Z2T3_TTC26</t>
  </si>
  <si>
    <t>B7Z2X9_ENO2</t>
  </si>
  <si>
    <t>B7Z314_UQCC</t>
  </si>
  <si>
    <t>B7Z3A7_PDE1A</t>
  </si>
  <si>
    <t>B7Z3B9_GAB1</t>
  </si>
  <si>
    <t>B7Z3I9_ALAD</t>
  </si>
  <si>
    <t>B7Z3Y2_PCYOX1</t>
  </si>
  <si>
    <t>B7Z4K6_DNASE2</t>
  </si>
  <si>
    <t>B7Z4R0_ERF</t>
  </si>
  <si>
    <t>B7Z588_TNFRSF10B</t>
  </si>
  <si>
    <t>B7Z5F4_ETV4</t>
  </si>
  <si>
    <t>B7Z5G4_STMN3</t>
  </si>
  <si>
    <t>B7Z5X7_WARS2</t>
  </si>
  <si>
    <t>B7Z637_ARMC8</t>
  </si>
  <si>
    <t>B7Z6B8_DECR1</t>
  </si>
  <si>
    <t>B7Z6M3_DGKZ</t>
  </si>
  <si>
    <t>B7Z7E1_CNN1</t>
  </si>
  <si>
    <t>B7Z7N6_PDK1</t>
  </si>
  <si>
    <t>B7Z815_USP7</t>
  </si>
  <si>
    <t>B7Z844_SLC2A14</t>
  </si>
  <si>
    <t>B7Z8R6_</t>
  </si>
  <si>
    <t>B7ZAB3_B3GAT3</t>
  </si>
  <si>
    <t>B7ZAX5_GALK2</t>
  </si>
  <si>
    <t>B7ZKK9_PPP2R5E</t>
  </si>
  <si>
    <t>B7ZKP8_UBXN2A</t>
  </si>
  <si>
    <t>B7ZKT6_SOS2</t>
  </si>
  <si>
    <t>B7ZLQ8_CPEB4</t>
  </si>
  <si>
    <t>B7ZM82_WIZ</t>
  </si>
  <si>
    <t>B8ZZ99_CCDC115</t>
  </si>
  <si>
    <t>B8ZZJ9_EIF4E2</t>
  </si>
  <si>
    <t>B8ZZK4_RPL31</t>
  </si>
  <si>
    <t>B8ZZQ6_PTMA</t>
  </si>
  <si>
    <t>B8ZZU6_ATF2</t>
  </si>
  <si>
    <t>B8ZZU8_TCEB2</t>
  </si>
  <si>
    <t>B8ZZW9_C7orf41</t>
  </si>
  <si>
    <t>B9A018_USP39</t>
  </si>
  <si>
    <t>B9A057_COA5</t>
  </si>
  <si>
    <t>B9EGH5_PLCB2</t>
  </si>
  <si>
    <t>B9ZVT1_RBM12B</t>
  </si>
  <si>
    <t>B9ZVU2_DNPEP</t>
  </si>
  <si>
    <t>C4AMC7_WASH3P</t>
  </si>
  <si>
    <t>C6G496_MAZ</t>
  </si>
  <si>
    <t>C6GKU9_MED30S</t>
  </si>
  <si>
    <t>C9IYZ1_ASNSD1</t>
  </si>
  <si>
    <t>C9IZE4_PSMD6</t>
  </si>
  <si>
    <t>C9IZI4_ARHGAP19</t>
  </si>
  <si>
    <t>C9J0A7_CHMP2B</t>
  </si>
  <si>
    <t>C9J0I9_ZC3HC1</t>
  </si>
  <si>
    <t>C9J0K6_SRI</t>
  </si>
  <si>
    <t>C9J1C6_RNF181</t>
  </si>
  <si>
    <t>C9J1J0_ADCY1</t>
  </si>
  <si>
    <t>C9J1X0_WDR91</t>
  </si>
  <si>
    <t>C9J212_UBE2F</t>
  </si>
  <si>
    <t>C9J2P0_UBE2E1</t>
  </si>
  <si>
    <t>C9J2V2_IKBKG</t>
  </si>
  <si>
    <t>C9J2Y9_POLR2B</t>
  </si>
  <si>
    <t>C9J384_CMSS1</t>
  </si>
  <si>
    <t>C9J3L8_SSR1</t>
  </si>
  <si>
    <t>C9J3R0_RCC1</t>
  </si>
  <si>
    <t>C9J3R1_ZNF639</t>
  </si>
  <si>
    <t>C9J3Y0_TMEM98</t>
  </si>
  <si>
    <t>C9J4K0_C2orf49</t>
  </si>
  <si>
    <t>C9J4L5_CREB1</t>
  </si>
  <si>
    <t>C9J4X5_ING2</t>
  </si>
  <si>
    <t>C9J5C3_PDCD10</t>
  </si>
  <si>
    <t>C9J5J4_LIN9</t>
  </si>
  <si>
    <t>C9J5W6_TAGLN3</t>
  </si>
  <si>
    <t>C9J5X9_FANCB</t>
  </si>
  <si>
    <t>C9J6N9_UFD1L</t>
  </si>
  <si>
    <t>C9J7E5_TNPO3</t>
  </si>
  <si>
    <t>C9J7I0_</t>
  </si>
  <si>
    <t>C9J8B6_NRCAM</t>
  </si>
  <si>
    <t>C9J8B8_HDAC10</t>
  </si>
  <si>
    <t>C9J8L0_CDCA7L</t>
  </si>
  <si>
    <t>C9J8R7_GTPBP10</t>
  </si>
  <si>
    <t>C9J9K3_RPSA</t>
  </si>
  <si>
    <t>C9JA28_SSR3</t>
  </si>
  <si>
    <t>C9JA69_BBX</t>
  </si>
  <si>
    <t>C9JAX3_ZNF467</t>
  </si>
  <si>
    <t>C9JB13_BSDC1</t>
  </si>
  <si>
    <t>C9JCN8_FOSL2</t>
  </si>
  <si>
    <t>C9JCR1_SETD6</t>
  </si>
  <si>
    <t>C9JDG0_DIAPH3</t>
  </si>
  <si>
    <t>C9JE12_TMUB1</t>
  </si>
  <si>
    <t>C9JE98_NCOR2</t>
  </si>
  <si>
    <t>C9JFE4_GPS1</t>
  </si>
  <si>
    <t>C9JFK9_BAG3</t>
  </si>
  <si>
    <t>C9JFM5_STX4</t>
  </si>
  <si>
    <t>C9JFR7_CYCS</t>
  </si>
  <si>
    <t>C9JG15_ATAD2B</t>
  </si>
  <si>
    <t>C9JG97_AAMP</t>
  </si>
  <si>
    <t>C9JHB1_ZSCAN31</t>
  </si>
  <si>
    <t>C9JIE5_EP400NL</t>
  </si>
  <si>
    <t>C9JIM0_PBLD</t>
  </si>
  <si>
    <t>C9JIS1_GNB2</t>
  </si>
  <si>
    <t>C9JJM7_HACL1</t>
  </si>
  <si>
    <t>C9JJV6_MYADM</t>
  </si>
  <si>
    <t>C9JLU1_POLR2H</t>
  </si>
  <si>
    <t>C9JLV4_APAF1</t>
  </si>
  <si>
    <t>C9JMG3_AP4M1</t>
  </si>
  <si>
    <t>C9JNE2_OARD1</t>
  </si>
  <si>
    <t>C9JNI7_HSPBP1</t>
  </si>
  <si>
    <t>C9JP00_MBNL1</t>
  </si>
  <si>
    <t>C9JPC9_USP42</t>
  </si>
  <si>
    <t>C9JPL0_CCNL1</t>
  </si>
  <si>
    <t>C9JPP2_NKIRAS2</t>
  </si>
  <si>
    <t>C9JQ41_CCDC58</t>
  </si>
  <si>
    <t>C9JQB1_NME6</t>
  </si>
  <si>
    <t>C9JQV0_C7orf50</t>
  </si>
  <si>
    <t>C9JQV3_STK11IP</t>
  </si>
  <si>
    <t>C9JR56_SATB2</t>
  </si>
  <si>
    <t>C9JS27_NDUFAF7</t>
  </si>
  <si>
    <t>C9JT95_NABP2</t>
  </si>
  <si>
    <t>C9JTM9_IKZF2</t>
  </si>
  <si>
    <t>C9JV49_HARS2</t>
  </si>
  <si>
    <t>C9JV50_SACM1L</t>
  </si>
  <si>
    <t>C9JVP0_FOXJ3</t>
  </si>
  <si>
    <t>C9JVU9_ARHGAP23</t>
  </si>
  <si>
    <t>C9JWC5_TRIM22</t>
  </si>
  <si>
    <t>C9JXB8_RPL24</t>
  </si>
  <si>
    <t>C9JXB9_DNAJB2</t>
  </si>
  <si>
    <t>C9JXP4_ZBED1</t>
  </si>
  <si>
    <t>C9JYD0_PCGF3</t>
  </si>
  <si>
    <t>C9JYJ6_FILIP1L</t>
  </si>
  <si>
    <t>C9JYM0_POP7</t>
  </si>
  <si>
    <t>C9JZE9_CPA5</t>
  </si>
  <si>
    <t>C9JZR4_ARFGAP3</t>
  </si>
  <si>
    <t>C9JZY3_PCBP4</t>
  </si>
  <si>
    <t>D3YTB1_RPL32</t>
  </si>
  <si>
    <t>D3YTE0_KRI1</t>
  </si>
  <si>
    <t>D3YTE1_PHF20L1</t>
  </si>
  <si>
    <t>D3YTG6_NDOR1</t>
  </si>
  <si>
    <t>D6R992_RELB</t>
  </si>
  <si>
    <t>D6R9E3_MND1</t>
  </si>
  <si>
    <t>D6R9J8_MEF2C</t>
  </si>
  <si>
    <t>D6R9P3_HNRNPAB</t>
  </si>
  <si>
    <t>D6R9S4_MLF1IP</t>
  </si>
  <si>
    <t>D6R9U7_POLR3G</t>
  </si>
  <si>
    <t>D6R9V8_CDV3</t>
  </si>
  <si>
    <t>D6RA32_MAP1B</t>
  </si>
  <si>
    <t>D6RAG3_CPLX1</t>
  </si>
  <si>
    <t>D6RAL3_SH3RF1</t>
  </si>
  <si>
    <t>D6RAM3_DOK3</t>
  </si>
  <si>
    <t>D6RAN4_RPL9</t>
  </si>
  <si>
    <t>D6RAV1_NEIL3</t>
  </si>
  <si>
    <t>D6RBE0_CXXC5</t>
  </si>
  <si>
    <t>D6RBN5_OCIAD1</t>
  </si>
  <si>
    <t>D6RC71_STX18</t>
  </si>
  <si>
    <t>D6RCD0_HSD17B11</t>
  </si>
  <si>
    <t>D6RD24_UBE3D</t>
  </si>
  <si>
    <t>D6RD47_RPS23</t>
  </si>
  <si>
    <t>D6RDX3_ATG10</t>
  </si>
  <si>
    <t>D6REB5_IDUA</t>
  </si>
  <si>
    <t>D6REL5_FAM175A</t>
  </si>
  <si>
    <t>D6REW1_PRELID1</t>
  </si>
  <si>
    <t>D6RF85_ZNF652</t>
  </si>
  <si>
    <t>D6RFH4_CYB5B</t>
  </si>
  <si>
    <t>D6RGI3_SEPT11</t>
  </si>
  <si>
    <t>D6RGX2_UFSP2</t>
  </si>
  <si>
    <t>D6RHC4_ANKHD1</t>
  </si>
  <si>
    <t>D6RHD3_CENPK</t>
  </si>
  <si>
    <t>D6RHI9_RNASET2</t>
  </si>
  <si>
    <t>D6RIY1_TAF9</t>
  </si>
  <si>
    <t>D6RIZ4_MFSD10</t>
  </si>
  <si>
    <t>D6RJG9_SNX14</t>
  </si>
  <si>
    <t>E1P5Q0_TRPC4AP</t>
  </si>
  <si>
    <t>E2QRD4_MMS22L</t>
  </si>
  <si>
    <t>E2QRF9_GMNN</t>
  </si>
  <si>
    <t>E5RFI2_MRPL13</t>
  </si>
  <si>
    <t>E5RFJ1_NSMCE2</t>
  </si>
  <si>
    <t>E5RG73_TMEM232</t>
  </si>
  <si>
    <t>E5RGQ3_RWDD1</t>
  </si>
  <si>
    <t>E5RGX5_STMN2</t>
  </si>
  <si>
    <t>E5RH89_ZNF354B</t>
  </si>
  <si>
    <t>E5RHG8_TCEB1</t>
  </si>
  <si>
    <t>E5RHI2_SORBS3</t>
  </si>
  <si>
    <t>E5RHN9_RAD54B</t>
  </si>
  <si>
    <t>E5RHW4_ERLIN2</t>
  </si>
  <si>
    <t>E5RI99_RPL30</t>
  </si>
  <si>
    <t>E5RIH5_TTI2</t>
  </si>
  <si>
    <t>E5RJ08_CHCHD7</t>
  </si>
  <si>
    <t>E5RJ68_AP3B1</t>
  </si>
  <si>
    <t>E5RJ97_TRPS1</t>
  </si>
  <si>
    <t>E5RJ99_ZFAND1</t>
  </si>
  <si>
    <t>E5RJR5_SKP1</t>
  </si>
  <si>
    <t>E5RK28_SGK3</t>
  </si>
  <si>
    <t>E5RK82_CETN3</t>
  </si>
  <si>
    <t>E7EM64_COPS6</t>
  </si>
  <si>
    <t>E7EMD6_AKAP10</t>
  </si>
  <si>
    <t>E7EMM4_ASAH1</t>
  </si>
  <si>
    <t>E7EMP6_C3orf37</t>
  </si>
  <si>
    <t>E7EMW7_UBR5</t>
  </si>
  <si>
    <t>E7ENA9_NCSTN</t>
  </si>
  <si>
    <t>E7ENF1_C12orf43</t>
  </si>
  <si>
    <t>E7ENK0_CALCOCO2</t>
  </si>
  <si>
    <t>E7ENN3_SYNE1</t>
  </si>
  <si>
    <t>E7ENW2_CBLB</t>
  </si>
  <si>
    <t>E7EP17_DNAH9</t>
  </si>
  <si>
    <t>E7EPB3_RPL14</t>
  </si>
  <si>
    <t>E7EPD0_TOM1</t>
  </si>
  <si>
    <t>E7EPI0_IBTK</t>
  </si>
  <si>
    <t>E7EPL4_PDXDC1</t>
  </si>
  <si>
    <t>E7EPP7_STXBP4</t>
  </si>
  <si>
    <t>E7EQ69_NAA50</t>
  </si>
  <si>
    <t>E7EQG2_EIF4A2</t>
  </si>
  <si>
    <t>E7EQL8_TUBGCP6</t>
  </si>
  <si>
    <t>E7ER32_MKL1</t>
  </si>
  <si>
    <t>E7ERL6_MAST2</t>
  </si>
  <si>
    <t>E7ES08_HMGB3</t>
  </si>
  <si>
    <t>E7ES21_HEPH</t>
  </si>
  <si>
    <t>E7ESC6_XPO7</t>
  </si>
  <si>
    <t>E7ESJ3_ANKRD26</t>
  </si>
  <si>
    <t>E7ESM1_NDRG1</t>
  </si>
  <si>
    <t>E7ET07_ING3</t>
  </si>
  <si>
    <t>E7ET15_U2SURP</t>
  </si>
  <si>
    <t>E7ET33_</t>
  </si>
  <si>
    <t>E7ET96_TNIP1</t>
  </si>
  <si>
    <t>E7ETA6_PCM1</t>
  </si>
  <si>
    <t>E7ETU5_RBMS1</t>
  </si>
  <si>
    <t>E7ETU9_PLOD2</t>
  </si>
  <si>
    <t>E7ETZ4_BZW2</t>
  </si>
  <si>
    <t>E7EU24_CBFA2T3</t>
  </si>
  <si>
    <t>E7EU96_CSNK2A1</t>
  </si>
  <si>
    <t>E7EUH9_NCAPG2</t>
  </si>
  <si>
    <t>E7EUI8_G6PD</t>
  </si>
  <si>
    <t>E7EUM5_NUP54</t>
  </si>
  <si>
    <t>E7EV10_MTA3</t>
  </si>
  <si>
    <t>E7EV62_ARFGAP1</t>
  </si>
  <si>
    <t>E7EV87_DEPTOR</t>
  </si>
  <si>
    <t>E7EV93_PCM1</t>
  </si>
  <si>
    <t>E7EVA0_MAP4</t>
  </si>
  <si>
    <t>E7EVJ5_CYFIP2</t>
  </si>
  <si>
    <t>E7EVY7_POR</t>
  </si>
  <si>
    <t>E7EVZ5_PCYOX1L</t>
  </si>
  <si>
    <t>E7EW59_SALL2</t>
  </si>
  <si>
    <t>E7EW69_SEPT10</t>
  </si>
  <si>
    <t>E7EW84_EXOC6</t>
  </si>
  <si>
    <t>E7EWD6_ASXL2</t>
  </si>
  <si>
    <t>E7EX48_NEK4</t>
  </si>
  <si>
    <t>E7EX53_RPL15</t>
  </si>
  <si>
    <t>E7EX73_EIF4G1</t>
  </si>
  <si>
    <t>E9PAU2_RAVER1</t>
  </si>
  <si>
    <t>E9PB14_PDHX</t>
  </si>
  <si>
    <t>E9PB61_ALYREF</t>
  </si>
  <si>
    <t>E9PBG3_TRIM36</t>
  </si>
  <si>
    <t>E9PBP4_MLLT10</t>
  </si>
  <si>
    <t>E9PC26_BUB1</t>
  </si>
  <si>
    <t>E9PC62_CELF2</t>
  </si>
  <si>
    <t>E9PC74_EIF2B5</t>
  </si>
  <si>
    <t>E9PCE5_SMG7</t>
  </si>
  <si>
    <t>E9PCR4_ANAPC4</t>
  </si>
  <si>
    <t>E9PCV0_GUSB</t>
  </si>
  <si>
    <t>E9PCW1_GOSR1</t>
  </si>
  <si>
    <t>E9PD53_SMC4</t>
  </si>
  <si>
    <t>E9PD90_CKAP2</t>
  </si>
  <si>
    <t>E9PDC3_ARVCF</t>
  </si>
  <si>
    <t>E9PDE4_CAST</t>
  </si>
  <si>
    <t>E9PDG2_IFT122</t>
  </si>
  <si>
    <t>E9PDK2_UNKL</t>
  </si>
  <si>
    <t>E9PDL4_ICA1</t>
  </si>
  <si>
    <t>E9PE19_BPTF</t>
  </si>
  <si>
    <t>E9PEB9_DST</t>
  </si>
  <si>
    <t>E9PEI0_CDCA2</t>
  </si>
  <si>
    <t>E9PER6_PDPK1</t>
  </si>
  <si>
    <t>E9PEZ3_DIAPH1</t>
  </si>
  <si>
    <t>E9PEZ8_FAM193B</t>
  </si>
  <si>
    <t>E9PF10_NUP155</t>
  </si>
  <si>
    <t>E9PF16_ACSF2</t>
  </si>
  <si>
    <t>E9PF19_TBL2</t>
  </si>
  <si>
    <t>E9PF99_CEP192</t>
  </si>
  <si>
    <t>E9PFK5_NOP14</t>
  </si>
  <si>
    <t>E9PFR3_PPP2R5D</t>
  </si>
  <si>
    <t>E9PG22_CEP97</t>
  </si>
  <si>
    <t>E9PGT1_TSN</t>
  </si>
  <si>
    <t>E9PGT6_COPS8</t>
  </si>
  <si>
    <t>E9PGW7_MED22</t>
  </si>
  <si>
    <t>E9PH29_PRDX3</t>
  </si>
  <si>
    <t>E9PH58_TTLL4</t>
  </si>
  <si>
    <t>E9PH62_STAU2</t>
  </si>
  <si>
    <t>E9PHK0_CLEC3B</t>
  </si>
  <si>
    <t>E9PHM2_LARS2</t>
  </si>
  <si>
    <t>E9PHV5_SSFA2</t>
  </si>
  <si>
    <t>E9PHX8_MERTK</t>
  </si>
  <si>
    <t>E9PHY5_EPB41L2</t>
  </si>
  <si>
    <t>E9PI10_TBRG1</t>
  </si>
  <si>
    <t>E9PIP3_GPSM3</t>
  </si>
  <si>
    <t>E9PJ04_SF3B2</t>
  </si>
  <si>
    <t>E9PJ07_C10orf137</t>
  </si>
  <si>
    <t>E9PJ24_PHRF1</t>
  </si>
  <si>
    <t>E9PJ81_UBXN1</t>
  </si>
  <si>
    <t>E9PJD7_CYHR1</t>
  </si>
  <si>
    <t>E9PJF5_BRMS1</t>
  </si>
  <si>
    <t>E9PJK1_CD81</t>
  </si>
  <si>
    <t>E9PK05_C2CD2L</t>
  </si>
  <si>
    <t>E9PKB7_TEAD1</t>
  </si>
  <si>
    <t>E9PKB9_SNX19</t>
  </si>
  <si>
    <t>E9PKG1_PRMT1</t>
  </si>
  <si>
    <t>E9PKV8_TTC9C</t>
  </si>
  <si>
    <t>E9PKZ0_RPL8</t>
  </si>
  <si>
    <t>E9PL01_SPCS2</t>
  </si>
  <si>
    <t>E9PL57_NEDD8-MDP1</t>
  </si>
  <si>
    <t>E9PLD3_</t>
  </si>
  <si>
    <t>E9PLG8_GPAA1</t>
  </si>
  <si>
    <t>E9PLK3_NPEPPS</t>
  </si>
  <si>
    <t>E9PLL6_RPL27A</t>
  </si>
  <si>
    <t>E9PLX2_RNF141</t>
  </si>
  <si>
    <t>E9PLY5_MACF1</t>
  </si>
  <si>
    <t>E9PM46_USP47</t>
  </si>
  <si>
    <t>E9PM92_C11orf58</t>
  </si>
  <si>
    <t>E9PMC9_C11orf30</t>
  </si>
  <si>
    <t>E9PME6_USF1</t>
  </si>
  <si>
    <t>E9PMH5_BIRC2</t>
  </si>
  <si>
    <t>E9PMI6_CLNS1A</t>
  </si>
  <si>
    <t>E9PMJ2_FAM118B</t>
  </si>
  <si>
    <t>E9PMS5_KCTD21</t>
  </si>
  <si>
    <t>E9PMS6_LMO7</t>
  </si>
  <si>
    <t>E9PN17_ATP5L</t>
  </si>
  <si>
    <t>E9PND3_EBAG9</t>
  </si>
  <si>
    <t>E9PNW4_CD59</t>
  </si>
  <si>
    <t>E9PP00_ZC3H12C</t>
  </si>
  <si>
    <t>E9PPH6_EXPH5</t>
  </si>
  <si>
    <t>E9PPY3_RRP8</t>
  </si>
  <si>
    <t>E9PQ38_KBTBD4</t>
  </si>
  <si>
    <t>E9PQ47_ZFPL1</t>
  </si>
  <si>
    <t>E9PQ74_GAS2</t>
  </si>
  <si>
    <t>E9PQT8_PHF1</t>
  </si>
  <si>
    <t>E9PQY3_ACP2</t>
  </si>
  <si>
    <t>E9PR76_MAF1</t>
  </si>
  <si>
    <t>E9PRI4_RPS6KA1</t>
  </si>
  <si>
    <t>E9PS41_WDR74</t>
  </si>
  <si>
    <t>E9PSA5_ALKBH3</t>
  </si>
  <si>
    <t>E9PSF2_STIL</t>
  </si>
  <si>
    <t>F2Z2E1_FAM120B</t>
  </si>
  <si>
    <t>F2Z2E2_IQGAP3</t>
  </si>
  <si>
    <t>F2Z2Q4_TRMT11</t>
  </si>
  <si>
    <t>F2Z2V0_CPNE1</t>
  </si>
  <si>
    <t>F2Z2V1_FGGY</t>
  </si>
  <si>
    <t>F2Z2X4_XPO4</t>
  </si>
  <si>
    <t>F2Z2Y3_FAM204A</t>
  </si>
  <si>
    <t>F5GWD3_GTF2H3</t>
  </si>
  <si>
    <t>F5GWI9_CCDC53</t>
  </si>
  <si>
    <t>F5GWN5_PIK3C2B</t>
  </si>
  <si>
    <t>F5GWP8_JUP</t>
  </si>
  <si>
    <t>F5GWT4_WNK1</t>
  </si>
  <si>
    <t>F5GWU7_SMAD5</t>
  </si>
  <si>
    <t>F5GX09_FAM76B</t>
  </si>
  <si>
    <t>F5GX33_SLC25A13</t>
  </si>
  <si>
    <t>F5GX58_CDCA3</t>
  </si>
  <si>
    <t>F5GX68_DNMT1</t>
  </si>
  <si>
    <t>F5GX82_FRYL</t>
  </si>
  <si>
    <t>F5GXC8_SUCLA2</t>
  </si>
  <si>
    <t>F5GXD1_AKAP7</t>
  </si>
  <si>
    <t>F5GXE4_ATE1</t>
  </si>
  <si>
    <t>F5GXQ1_</t>
  </si>
  <si>
    <t>F5GY11_STARD10</t>
  </si>
  <si>
    <t>F5GY37_PHB2</t>
  </si>
  <si>
    <t>F5GY95_FCGR2A</t>
  </si>
  <si>
    <t>F5GYA2_UNG</t>
  </si>
  <si>
    <t>F5GYC4_RPS6KA3</t>
  </si>
  <si>
    <t>F5GYJ5_</t>
  </si>
  <si>
    <t>F5GYN4_OTUB1</t>
  </si>
  <si>
    <t>F5GZ06_MROH2B</t>
  </si>
  <si>
    <t>F5GZ78_PXN</t>
  </si>
  <si>
    <t>F5GZ84_FARP2</t>
  </si>
  <si>
    <t>F5GZ90_DTL</t>
  </si>
  <si>
    <t>F5GZG6_TPK1</t>
  </si>
  <si>
    <t>F5GZP6_PPFIBP1</t>
  </si>
  <si>
    <t>F5GZQ4_LDHA</t>
  </si>
  <si>
    <t>F5GZW3_ARHGAP4</t>
  </si>
  <si>
    <t>F5GZY0_APLP2</t>
  </si>
  <si>
    <t>F5H012_TRIM21</t>
  </si>
  <si>
    <t>F5H0E9_ESRRA</t>
  </si>
  <si>
    <t>F5H0F9_ANAPC5</t>
  </si>
  <si>
    <t>F5H0K8_KSR1</t>
  </si>
  <si>
    <t>F5H0L8_SEC23IP</t>
  </si>
  <si>
    <t>F5H0Q6_CLASRP</t>
  </si>
  <si>
    <t>F5H105_ZNF384</t>
  </si>
  <si>
    <t>F5H1G8_GNA13</t>
  </si>
  <si>
    <t>F5H1L4_TXNRD2</t>
  </si>
  <si>
    <t>F5H1N7_KIAA1211</t>
  </si>
  <si>
    <t>F5H1S8_MLEC</t>
  </si>
  <si>
    <t>F5H1X8_LRBA</t>
  </si>
  <si>
    <t>F5H1Y0_RAD51AP1</t>
  </si>
  <si>
    <t>F5H241_GBA</t>
  </si>
  <si>
    <t>F5H290_ZNF7</t>
  </si>
  <si>
    <t>F5H2A8_SYT10</t>
  </si>
  <si>
    <t>F5H2H5_ANKLE2</t>
  </si>
  <si>
    <t>F5H2Q7_KIAA1715</t>
  </si>
  <si>
    <t>F5H315_XAB2</t>
  </si>
  <si>
    <t>F5H365_SEC23A</t>
  </si>
  <si>
    <t>F5H3G6_PTPRB</t>
  </si>
  <si>
    <t>F5H3Q7_RPAIN</t>
  </si>
  <si>
    <t>F5H442_TSG101</t>
  </si>
  <si>
    <t>F5H476_ANGEL2</t>
  </si>
  <si>
    <t>F5H4B1_PRAME</t>
  </si>
  <si>
    <t>F5H4G7_KPNA6</t>
  </si>
  <si>
    <t>F5H4J2_PEX14</t>
  </si>
  <si>
    <t>F5H4Q5_VPS37C</t>
  </si>
  <si>
    <t>F5H4S9_TJP3</t>
  </si>
  <si>
    <t>F5H4U6_ACSBG1</t>
  </si>
  <si>
    <t>F5H4V9_PDCD2</t>
  </si>
  <si>
    <t>F5H542_ZFPM2</t>
  </si>
  <si>
    <t>F5H590_JARID2</t>
  </si>
  <si>
    <t>F5H598_TRMT10B</t>
  </si>
  <si>
    <t>F5H5A3_MAP4K3</t>
  </si>
  <si>
    <t>F5H5C2_NUP133</t>
  </si>
  <si>
    <t>F5H5M7_IFNGR1</t>
  </si>
  <si>
    <t>F5H5U2_DDX55</t>
  </si>
  <si>
    <t>F5H604_CLASP2</t>
  </si>
  <si>
    <t>F5H6I7_ATL3</t>
  </si>
  <si>
    <t>F5H6M9_BRD1</t>
  </si>
  <si>
    <t>F5H6P3_INSIG1</t>
  </si>
  <si>
    <t>F5H6Z0_CDK17</t>
  </si>
  <si>
    <t>F5H715_AIDA</t>
  </si>
  <si>
    <t>F5H721_WBP11</t>
  </si>
  <si>
    <t>F5H777_CCDC82</t>
  </si>
  <si>
    <t>F5H7F6_MGST1</t>
  </si>
  <si>
    <t>F5H7I4_GABPB1</t>
  </si>
  <si>
    <t>F5H7V7_NDUFA8</t>
  </si>
  <si>
    <t>F5H801_OGDH</t>
  </si>
  <si>
    <t>F5H837_RBL2</t>
  </si>
  <si>
    <t>F5H860_INPP4A</t>
  </si>
  <si>
    <t>F5H897_TRAP1</t>
  </si>
  <si>
    <t>F5H8H2_MVK</t>
  </si>
  <si>
    <t>F6PQP6_EPN2</t>
  </si>
  <si>
    <t>F6QR24_NUP153</t>
  </si>
  <si>
    <t>F6TQG2_SMARCA1</t>
  </si>
  <si>
    <t>F6U1F2_BAG6</t>
  </si>
  <si>
    <t>F6U1T9_PPP3R1</t>
  </si>
  <si>
    <t>F6V2D4_LGALS8</t>
  </si>
  <si>
    <t>F6V707_TPD52L1</t>
  </si>
  <si>
    <t>F6XY72_NME2</t>
  </si>
  <si>
    <t>F6YA60_ITFG2</t>
  </si>
  <si>
    <t>F8VP51_C14orf80</t>
  </si>
  <si>
    <t>F8VP53_COQ5</t>
  </si>
  <si>
    <t>F8VP89_EIF4B</t>
  </si>
  <si>
    <t>F8VPD4_CAD</t>
  </si>
  <si>
    <t>F8VPL6_IKZF4</t>
  </si>
  <si>
    <t>F8VQX6_METTL7A</t>
  </si>
  <si>
    <t>F8VS10_SPATS2</t>
  </si>
  <si>
    <t>F8VS47_NEK3</t>
  </si>
  <si>
    <t>F8VSL3_NFYB</t>
  </si>
  <si>
    <t>F8VSZ4_PLXNA1</t>
  </si>
  <si>
    <t>F8VUW5_DAZAP2</t>
  </si>
  <si>
    <t>F8VV04_SART3</t>
  </si>
  <si>
    <t>F8VV52_CNOT2</t>
  </si>
  <si>
    <t>F8VV59_NAP1L1</t>
  </si>
  <si>
    <t>F8VWA6_MON2</t>
  </si>
  <si>
    <t>F8VX32_DMD</t>
  </si>
  <si>
    <t>F8VY35_NAP1L1</t>
  </si>
  <si>
    <t>F8VZJ2_NACA</t>
  </si>
  <si>
    <t>F8VZQ7_ATXN2</t>
  </si>
  <si>
    <t>F8W038_C17orf49</t>
  </si>
  <si>
    <t>F8W0U7_BTG1</t>
  </si>
  <si>
    <t>F8W1A4_AK2</t>
  </si>
  <si>
    <t>F8W1I9_ACAD10</t>
  </si>
  <si>
    <t>F8W1N9_NFE2</t>
  </si>
  <si>
    <t>F8W1R9_TGFBR1</t>
  </si>
  <si>
    <t>F8W6D1_RNF216</t>
  </si>
  <si>
    <t>F8W6T6_TLE4</t>
  </si>
  <si>
    <t>F8W782_ADIPOR1</t>
  </si>
  <si>
    <t>F8W785_GOLIM4</t>
  </si>
  <si>
    <t>F8W7C6_RPL10</t>
  </si>
  <si>
    <t>F8W840_YTHDF1</t>
  </si>
  <si>
    <t>F8W8C2_VEZT</t>
  </si>
  <si>
    <t>F8W8H5_RAB24</t>
  </si>
  <si>
    <t>F8W8I6_TIA1</t>
  </si>
  <si>
    <t>F8W8M3_PPP1R12B</t>
  </si>
  <si>
    <t>F8W964_TLE3</t>
  </si>
  <si>
    <t>F8W9F9_WNK2</t>
  </si>
  <si>
    <t>F8W9R9_MED24</t>
  </si>
  <si>
    <t>F8W9W2_GRK6</t>
  </si>
  <si>
    <t>F8W9X7_CCDC93</t>
  </si>
  <si>
    <t>F8WA13_MYCBP2</t>
  </si>
  <si>
    <t>F8WA86_CNN3</t>
  </si>
  <si>
    <t>F8WAJ0_DDX31</t>
  </si>
  <si>
    <t>F8WAK8_STAG2</t>
  </si>
  <si>
    <t>F8WAM4_RTN4</t>
  </si>
  <si>
    <t>F8WAS3_NDUFA5</t>
  </si>
  <si>
    <t>F8WB05_ATXN2</t>
  </si>
  <si>
    <t>F8WB06_ATXN2</t>
  </si>
  <si>
    <t>F8WBJ6_PNO1</t>
  </si>
  <si>
    <t>F8WBK5_MRPL40</t>
  </si>
  <si>
    <t>F8WBS5_RPL35A</t>
  </si>
  <si>
    <t>F8WBU4_SFI1</t>
  </si>
  <si>
    <t>F8WC89_SAC3D1</t>
  </si>
  <si>
    <t>F8WCD0_RNF149</t>
  </si>
  <si>
    <t>F8WD17_ATL2</t>
  </si>
  <si>
    <t>F8WDE8_SKIV2L</t>
  </si>
  <si>
    <t>F8WEE4_ZFAND2B</t>
  </si>
  <si>
    <t>F8WEG4_CBWD2</t>
  </si>
  <si>
    <t>F8WF48_SEC62</t>
  </si>
  <si>
    <t>F8WJN3_CPSF6</t>
  </si>
  <si>
    <t>G3V0I8_SREBF2</t>
  </si>
  <si>
    <t>G3V1D4_LIN7C</t>
  </si>
  <si>
    <t>G3V1R3_ZEB1</t>
  </si>
  <si>
    <t>G3V1R9_ISYNA1</t>
  </si>
  <si>
    <t>G3V1S6_GALNT2</t>
  </si>
  <si>
    <t>G3V1U0_ATF7IP</t>
  </si>
  <si>
    <t>G3V1Y1_ACTR6</t>
  </si>
  <si>
    <t>G3V203_RPL18</t>
  </si>
  <si>
    <t>G3V2B8_MTHFD1</t>
  </si>
  <si>
    <t>G3V2U7_ACYP1</t>
  </si>
  <si>
    <t>G3V339_WARS</t>
  </si>
  <si>
    <t>G3V398_ZNF410</t>
  </si>
  <si>
    <t>G3V3G9_DCAF8</t>
  </si>
  <si>
    <t>G3V3R7_ATXN3</t>
  </si>
  <si>
    <t>G3V4C1_HNRNPC</t>
  </si>
  <si>
    <t>G3V4C9_FNTB</t>
  </si>
  <si>
    <t>G3V4E1_DGKA</t>
  </si>
  <si>
    <t>G3V4P7_AP4S1</t>
  </si>
  <si>
    <t>G3V4W0_HNRNPC</t>
  </si>
  <si>
    <t>G3V529_DDX24</t>
  </si>
  <si>
    <t>G3V567_PAX6</t>
  </si>
  <si>
    <t>G3V599_CTAGE5</t>
  </si>
  <si>
    <t>G3V5T0_GSTZ1</t>
  </si>
  <si>
    <t>G3V5V3_NEMF</t>
  </si>
  <si>
    <t>G3V5V7_HNRNPC</t>
  </si>
  <si>
    <t>G3XA91_METAP2</t>
  </si>
  <si>
    <t>G3XAA0_ARID1B</t>
  </si>
  <si>
    <t>G3XAA2_MAP4K4</t>
  </si>
  <si>
    <t>G3XAH0_SEPT5</t>
  </si>
  <si>
    <t>G3XAI9_FAM133B</t>
  </si>
  <si>
    <t>G3XAL9_SLC12A2</t>
  </si>
  <si>
    <t>G5E948_MAP4K4</t>
  </si>
  <si>
    <t>G5E953_MTMR3</t>
  </si>
  <si>
    <t>G5E9A6_USP11</t>
  </si>
  <si>
    <t>G5E9B5_TFPT</t>
  </si>
  <si>
    <t>G5E9C8_SOS1</t>
  </si>
  <si>
    <t>G5E9F3_CABIN1</t>
  </si>
  <si>
    <t>G5E9F8_PROS1</t>
  </si>
  <si>
    <t>G5E9M4_ZNF277</t>
  </si>
  <si>
    <t>G5E9W7_MRPS22</t>
  </si>
  <si>
    <t>G5E9X3_FNDC3A</t>
  </si>
  <si>
    <t>G5E9Z2_CLPTM1L</t>
  </si>
  <si>
    <t>G5EA02_C4orf21</t>
  </si>
  <si>
    <t>G5EA07_PWWP2A</t>
  </si>
  <si>
    <t>G5EA52_PDIA3</t>
  </si>
  <si>
    <t>G8JL86_COBLL1</t>
  </si>
  <si>
    <t>G8JL95_MAU2</t>
  </si>
  <si>
    <t>G8JL98_TDG</t>
  </si>
  <si>
    <t>G8JLB3_PUS1</t>
  </si>
  <si>
    <t>G8JLE5_TIPIN</t>
  </si>
  <si>
    <t>G8JLH2_CDC25B</t>
  </si>
  <si>
    <t>G8JLI5_WDR45</t>
  </si>
  <si>
    <t>G8JLK1_USE1</t>
  </si>
  <si>
    <t>G8JLK3_PACS2</t>
  </si>
  <si>
    <t>G8JLL2_PPT2</t>
  </si>
  <si>
    <t>H0Y2S9_MPRIP</t>
  </si>
  <si>
    <t>H0Y390_MACF1</t>
  </si>
  <si>
    <t>H0Y3A0_RPL35</t>
  </si>
  <si>
    <t>H0Y3K7_ABLIM1</t>
  </si>
  <si>
    <t>H0Y3N9_PHF8</t>
  </si>
  <si>
    <t>H0Y3P2_EIF4G2</t>
  </si>
  <si>
    <t>H0Y3R4_SETD5</t>
  </si>
  <si>
    <t>H0Y452_C7orf43</t>
  </si>
  <si>
    <t>H0Y459_NCOR1</t>
  </si>
  <si>
    <t>H0Y4R1_IMPDH2</t>
  </si>
  <si>
    <t>H0Y4V9_LARP4B</t>
  </si>
  <si>
    <t>H0Y547_ATP11A</t>
  </si>
  <si>
    <t>H0Y5C2_ATE1</t>
  </si>
  <si>
    <t>H0Y5D5_CIZ1</t>
  </si>
  <si>
    <t>H0Y6C3_PYCRL</t>
  </si>
  <si>
    <t>H0Y714_IMP4</t>
  </si>
  <si>
    <t>H0Y7H8_ARID1B</t>
  </si>
  <si>
    <t>H0Y7J9_WNK2</t>
  </si>
  <si>
    <t>H0Y858_</t>
  </si>
  <si>
    <t>H0Y8G9_HERC3</t>
  </si>
  <si>
    <t>H0Y8X4_DNPH1</t>
  </si>
  <si>
    <t>H0Y905_RAPGEF2</t>
  </si>
  <si>
    <t>H0Y990_ABCE1</t>
  </si>
  <si>
    <t>H0Y9N5_TROVE2</t>
  </si>
  <si>
    <t>H0Y9S9_PPIP5K2</t>
  </si>
  <si>
    <t>H0YA52_PCBD2</t>
  </si>
  <si>
    <t>H0YA61_RBM24</t>
  </si>
  <si>
    <t>H0YA68_MAN2B2</t>
  </si>
  <si>
    <t>H0YA80_UBE2B</t>
  </si>
  <si>
    <t>H0YAD3_SPATA24</t>
  </si>
  <si>
    <t>H0YAE0_C5orf24</t>
  </si>
  <si>
    <t>H0YAJ5_APBB2</t>
  </si>
  <si>
    <t>H0YB11_C14orf159</t>
  </si>
  <si>
    <t>H0YB18_HYI</t>
  </si>
  <si>
    <t>H0YBQ5_CCNC</t>
  </si>
  <si>
    <t>H0YBU8_MRPL43</t>
  </si>
  <si>
    <t>H0YBZ4_MTFR1</t>
  </si>
  <si>
    <t>H0YCG1_SF3B2</t>
  </si>
  <si>
    <t>H0YCU9_TAGLN</t>
  </si>
  <si>
    <t>H0YD69_MACF1</t>
  </si>
  <si>
    <t>H0YDE2_PLEKHA7</t>
  </si>
  <si>
    <t>H0YDF9_SCRIB</t>
  </si>
  <si>
    <t>H0YDM4_HOOK3</t>
  </si>
  <si>
    <t>H0YDP7_MRPL49</t>
  </si>
  <si>
    <t>H0YDS2_TRMT44</t>
  </si>
  <si>
    <t>H0YDU8_PPP5C</t>
  </si>
  <si>
    <t>H0YE21_C11orf80</t>
  </si>
  <si>
    <t>H0YE28_C11orf31</t>
  </si>
  <si>
    <t>H0YE76_ASCC1</t>
  </si>
  <si>
    <t>H0YEB6_SSSCA1</t>
  </si>
  <si>
    <t>H0YEB8_RNPC3</t>
  </si>
  <si>
    <t>H0YEF3_RNASEH2C</t>
  </si>
  <si>
    <t>H0YEL0_GEMIN2</t>
  </si>
  <si>
    <t>H0YEX2_TAF2</t>
  </si>
  <si>
    <t>H0YFY6_NUMA1</t>
  </si>
  <si>
    <t>H0YGR4_REXO2</t>
  </si>
  <si>
    <t>H0YHC3_NAP1L1</t>
  </si>
  <si>
    <t>H0YIE9_FBXO21</t>
  </si>
  <si>
    <t>H0YIQ8_KANSL2</t>
  </si>
  <si>
    <t>H0YJA8_C14orf142</t>
  </si>
  <si>
    <t>H0YJH2_CEP128</t>
  </si>
  <si>
    <t>H0YKX3_KIAA0101</t>
  </si>
  <si>
    <t>H0YLA0_PRC1</t>
  </si>
  <si>
    <t>H0YLB5_POU2F1</t>
  </si>
  <si>
    <t>H0YLF3_B2M</t>
  </si>
  <si>
    <t>H0YLN8_TRPM7</t>
  </si>
  <si>
    <t>H0YLQ9_EID1</t>
  </si>
  <si>
    <t>H0YLX2_RFX7</t>
  </si>
  <si>
    <t>H0YM23_ANKRD17</t>
  </si>
  <si>
    <t>H0YMB3_GMPR2</t>
  </si>
  <si>
    <t>H0YMX4_GATM</t>
  </si>
  <si>
    <t>H0YN78_C15orf57</t>
  </si>
  <si>
    <t>H0YNE9_RAB8B</t>
  </si>
  <si>
    <t>H0YNG3_SEC11A</t>
  </si>
  <si>
    <t>H0YNH8_UACA</t>
  </si>
  <si>
    <t>H0YNU5_BLM</t>
  </si>
  <si>
    <t>H3BLV0_CD55</t>
  </si>
  <si>
    <t>H3BM67_NOL3</t>
  </si>
  <si>
    <t>H3BM79_AKTIP</t>
  </si>
  <si>
    <t>H3BMJ2_C15orf39</t>
  </si>
  <si>
    <t>H3BNT4_MPHOSPH6</t>
  </si>
  <si>
    <t>H3BPB8_MPI</t>
  </si>
  <si>
    <t>H3BPE1_MACF1</t>
  </si>
  <si>
    <t>H3BPJ6_ZNF276</t>
  </si>
  <si>
    <t>H3BPK3_HAGH</t>
  </si>
  <si>
    <t>H3BPS8_ALDOA</t>
  </si>
  <si>
    <t>H3BQA0_SNAPC5</t>
  </si>
  <si>
    <t>H3BQZ7_hCG_2044799</t>
  </si>
  <si>
    <t>H3BRF9_ZFYVE19</t>
  </si>
  <si>
    <t>H3BRL3_UBFD1</t>
  </si>
  <si>
    <t>H3BRR0_SPG21</t>
  </si>
  <si>
    <t>H3BRU4_GPR97</t>
  </si>
  <si>
    <t>H3BRV0_EIF3C</t>
  </si>
  <si>
    <t>H3BS09_CYLD</t>
  </si>
  <si>
    <t>H3BSC1_RAB11A</t>
  </si>
  <si>
    <t>H3BSJ5_COQ9</t>
  </si>
  <si>
    <t>H3BSJ9_UQCRC2</t>
  </si>
  <si>
    <t>H3BST1_BLOC1S6</t>
  </si>
  <si>
    <t>H3BSZ4_MLST8</t>
  </si>
  <si>
    <t>H3BT74_CDK10</t>
  </si>
  <si>
    <t>H3BTB7_EARS2</t>
  </si>
  <si>
    <t>H3BTL1_MAP1LC3B</t>
  </si>
  <si>
    <t>H3BTT7_HERPUD1</t>
  </si>
  <si>
    <t>H3BU49_ARL2BP</t>
  </si>
  <si>
    <t>H3BU51_NPTN</t>
  </si>
  <si>
    <t>H3BUF6_ATXN2L</t>
  </si>
  <si>
    <t>H3BUJ7_E4F1</t>
  </si>
  <si>
    <t>H3BUQ2_OGFOD1</t>
  </si>
  <si>
    <t>H3BV16_NDUFB10</t>
  </si>
  <si>
    <t>H3BV80_RNPS1</t>
  </si>
  <si>
    <t>H6UMI1_GABARAP</t>
  </si>
  <si>
    <t>H7BXD5_GCA</t>
  </si>
  <si>
    <t>H7BXF5_SAP130</t>
  </si>
  <si>
    <t>H7BXG2_NPRL3</t>
  </si>
  <si>
    <t>H7BXH2_PPP6R3</t>
  </si>
  <si>
    <t>H7BXI1_ESYT2</t>
  </si>
  <si>
    <t>H7BXQ9_ERCC6L2</t>
  </si>
  <si>
    <t>H7BXU9_FGFR2</t>
  </si>
  <si>
    <t>H7BXV5_COL18A1</t>
  </si>
  <si>
    <t>H7BXZ5_KALRN</t>
  </si>
  <si>
    <t>H7BY16_NCL</t>
  </si>
  <si>
    <t>H7BY31_OBSCN</t>
  </si>
  <si>
    <t>H7BY36_EWSR1</t>
  </si>
  <si>
    <t>H7BYK9_STAG3</t>
  </si>
  <si>
    <t>H7BYN4_KIF23</t>
  </si>
  <si>
    <t>H7BYY1_TPM1</t>
  </si>
  <si>
    <t>H7BZJ3_PDIA3</t>
  </si>
  <si>
    <t>H7BZK3_DNAJB14</t>
  </si>
  <si>
    <t>H7BZS7_MCEE</t>
  </si>
  <si>
    <t>H7C0J3_CHD3</t>
  </si>
  <si>
    <t>H7C0S8_</t>
  </si>
  <si>
    <t>H7C137_RANBP1</t>
  </si>
  <si>
    <t>H7C144_ACTN4</t>
  </si>
  <si>
    <t>H7C1C1_DONSON</t>
  </si>
  <si>
    <t>H7C1M0_FANCL</t>
  </si>
  <si>
    <t>H7C1M5_DNTTIP1</t>
  </si>
  <si>
    <t>H7C1N2_COBL</t>
  </si>
  <si>
    <t>H7C1U3_CC2D1B</t>
  </si>
  <si>
    <t>H7C1W2_IDH3G</t>
  </si>
  <si>
    <t>H7C284_MFSD6</t>
  </si>
  <si>
    <t>H7C2G2_ART4</t>
  </si>
  <si>
    <t>H7C3E1_ATP6AP2</t>
  </si>
  <si>
    <t>H7C3P4_GNS</t>
  </si>
  <si>
    <t>H7C463_IMMT</t>
  </si>
  <si>
    <t>H7C4K1_STK19</t>
  </si>
  <si>
    <t>H7C4S2_HBP1</t>
  </si>
  <si>
    <t>H7C4S4_FXR1</t>
  </si>
  <si>
    <t>H7C4Y3_PARP14</t>
  </si>
  <si>
    <t>H7C585_FXN</t>
  </si>
  <si>
    <t>H7C5D9_LRCH4</t>
  </si>
  <si>
    <t>H7C5E8_</t>
  </si>
  <si>
    <t>H7C5F9_SUPT20H</t>
  </si>
  <si>
    <t>H7C5I5_PLSCR1</t>
  </si>
  <si>
    <t>H7C5V4_RNF217</t>
  </si>
  <si>
    <t>H9KV61_PWWP2B</t>
  </si>
  <si>
    <t>H9KVB4_TNRC18</t>
  </si>
  <si>
    <t>I3L097_</t>
  </si>
  <si>
    <t>I3L0E3_MRPS17</t>
  </si>
  <si>
    <t>I3L0N0_ZNF263</t>
  </si>
  <si>
    <t>I3L1H5_DPH1</t>
  </si>
  <si>
    <t>I3L1K6_MYL4</t>
  </si>
  <si>
    <t>I3L1Q3_ELP5</t>
  </si>
  <si>
    <t>I3L1Z4_ZNF213</t>
  </si>
  <si>
    <t>I3L232_B3GNTL1</t>
  </si>
  <si>
    <t>I3L2B0_CLUH</t>
  </si>
  <si>
    <t>I3L2C7_GEMIN4</t>
  </si>
  <si>
    <t>I3L2J0_CIC</t>
  </si>
  <si>
    <t>I3L2L5_FAM195B</t>
  </si>
  <si>
    <t>I3L2N2_DVL2</t>
  </si>
  <si>
    <t>I3L3E4_CHMP6</t>
  </si>
  <si>
    <t>I3L3I8_METTL22</t>
  </si>
  <si>
    <t>I3L3P7_RPS15A</t>
  </si>
  <si>
    <t>I3L3S0_TRAPPC1</t>
  </si>
  <si>
    <t>I3L413_CCNE1</t>
  </si>
  <si>
    <t>I3L428_SMYD4</t>
  </si>
  <si>
    <t>I3L430_HMOX2</t>
  </si>
  <si>
    <t>I3L4C3_SPAG7</t>
  </si>
  <si>
    <t>I3L4X3_NFKBIB</t>
  </si>
  <si>
    <t>I3L4X7_GPS2</t>
  </si>
  <si>
    <t>I3L505_NDUFAB1</t>
  </si>
  <si>
    <t>I3NI44_TOM1L1</t>
  </si>
  <si>
    <t>I6L894_ANK2</t>
  </si>
  <si>
    <t>J3KMY5_NPC2</t>
  </si>
  <si>
    <t>J3KMZ7_INTS2</t>
  </si>
  <si>
    <t>J3KN01_MLLT4</t>
  </si>
  <si>
    <t>J3KN25_GALC</t>
  </si>
  <si>
    <t>J3KN27_FBRSL1</t>
  </si>
  <si>
    <t>J3KN29_PSMD9</t>
  </si>
  <si>
    <t>J3KN33_CNTLN</t>
  </si>
  <si>
    <t>J3KN66_TOR1AIP1</t>
  </si>
  <si>
    <t>J3KN68_VGLL4</t>
  </si>
  <si>
    <t>J3KN93_ANKRD44</t>
  </si>
  <si>
    <t>J3KNB8_MAP3K4</t>
  </si>
  <si>
    <t>J3KND1_SAAL1</t>
  </si>
  <si>
    <t>J3KNF4_CCS</t>
  </si>
  <si>
    <t>J3KNG8_FNIP1</t>
  </si>
  <si>
    <t>J3KNH7_SENP3</t>
  </si>
  <si>
    <t>J3KNK0_BRSK1</t>
  </si>
  <si>
    <t>J3KNL6_SEC16A</t>
  </si>
  <si>
    <t>J3KNL9_ZFYVE1</t>
  </si>
  <si>
    <t>J3KNM5_YAF2</t>
  </si>
  <si>
    <t>J3KNN7_BRAP</t>
  </si>
  <si>
    <t>J3KNU8_ALDH6A1</t>
  </si>
  <si>
    <t>J3KNV1_ZNF292</t>
  </si>
  <si>
    <t>J3KNX4_MUM1</t>
  </si>
  <si>
    <t>J3KNZ9_FBRS</t>
  </si>
  <si>
    <t>J3KP19_SIPA1L1</t>
  </si>
  <si>
    <t>J3KP22_PTPRA</t>
  </si>
  <si>
    <t>J3KP30_DNTTIP2</t>
  </si>
  <si>
    <t>J3KP36_FAM21C</t>
  </si>
  <si>
    <t>J3KP66_PROX1</t>
  </si>
  <si>
    <t>J3KPK1_SYNJ1</t>
  </si>
  <si>
    <t>J3KPS2_FAM83H</t>
  </si>
  <si>
    <t>J3KPT0_DPP8</t>
  </si>
  <si>
    <t>J3KPV7_MPST</t>
  </si>
  <si>
    <t>J3KQ34_COPS7B</t>
  </si>
  <si>
    <t>J3KQD2_SENP2</t>
  </si>
  <si>
    <t>J3KQS2_CDC7</t>
  </si>
  <si>
    <t>J3KQS6_BABAM1</t>
  </si>
  <si>
    <t>J3KR07_CRAMP1L</t>
  </si>
  <si>
    <t>J3KR62_ZNF525</t>
  </si>
  <si>
    <t>J3KR63_ONECUT2</t>
  </si>
  <si>
    <t>J3KRN4_MAP3K3</t>
  </si>
  <si>
    <t>J3KRP6_SS18</t>
  </si>
  <si>
    <t>J3KSB8_MIF4GD</t>
  </si>
  <si>
    <t>J3KSK6_MICAL3</t>
  </si>
  <si>
    <t>J3KSW2_POLI</t>
  </si>
  <si>
    <t>J3KT51_HN1</t>
  </si>
  <si>
    <t>J3KTF8_ARHGDIA</t>
  </si>
  <si>
    <t>J3QK86_BAZ2A</t>
  </si>
  <si>
    <t>J3QL14_ATP6V0D1</t>
  </si>
  <si>
    <t>J3QL56_SCO1</t>
  </si>
  <si>
    <t>J3QLD9_FLOT2</t>
  </si>
  <si>
    <t>J3QLM9_DNAH9</t>
  </si>
  <si>
    <t>J3QLN8_AURKB</t>
  </si>
  <si>
    <t>J3QQ66_ZFHX4</t>
  </si>
  <si>
    <t>J3QQJ5_TRAPPC8</t>
  </si>
  <si>
    <t>J3QQT2_RPL17</t>
  </si>
  <si>
    <t>J3QQW9_SUZ12</t>
  </si>
  <si>
    <t>J3QQX3_FDXR</t>
  </si>
  <si>
    <t>J3QQY0_MSL1</t>
  </si>
  <si>
    <t>J3QR09_RPL19</t>
  </si>
  <si>
    <t>J3QR65_MTMR4</t>
  </si>
  <si>
    <t>J3QRN6_MYO1D</t>
  </si>
  <si>
    <t>J3QRU4_VAMP2</t>
  </si>
  <si>
    <t>J3QSH4_VEZF1</t>
  </si>
  <si>
    <t>J3QT28_BUB3</t>
  </si>
  <si>
    <t>J3QT32_NDEL1</t>
  </si>
  <si>
    <t>J3QT34_MAST4</t>
  </si>
  <si>
    <t>J3QTB1_TMEM173</t>
  </si>
  <si>
    <t>J3QTB2_CHCHD6</t>
  </si>
  <si>
    <t>J3QTM1_DNAH12</t>
  </si>
  <si>
    <t>J3QTV4_RGPD2</t>
  </si>
  <si>
    <t>J9JIC5_C17orf75</t>
  </si>
  <si>
    <t>K4DI92_RWDD4</t>
  </si>
  <si>
    <t>K7EIG1_CLUH</t>
  </si>
  <si>
    <t>K7EIJ0_WBP2</t>
  </si>
  <si>
    <t>K7EIN2_NUDT16L1</t>
  </si>
  <si>
    <t>K7EIP0_ACP5</t>
  </si>
  <si>
    <t>K7EIU8_SMAD4</t>
  </si>
  <si>
    <t>K7EJ08_SEC14L1</t>
  </si>
  <si>
    <t>K7EJ32_SPHK1</t>
  </si>
  <si>
    <t>K7EJH8_ACTN4</t>
  </si>
  <si>
    <t>K7EJQ7_SEC11C</t>
  </si>
  <si>
    <t>K7EJS4_SPINT2</t>
  </si>
  <si>
    <t>K7EK07_H3F3B</t>
  </si>
  <si>
    <t>K7EK35_STAT5A</t>
  </si>
  <si>
    <t>K7EKE6_LONP1</t>
  </si>
  <si>
    <t>K7EKG9_ATXN7L3</t>
  </si>
  <si>
    <t>K7EKI8_PPL</t>
  </si>
  <si>
    <t>K7EKI9_ZNF235</t>
  </si>
  <si>
    <t>K7EKL8_ICAM1</t>
  </si>
  <si>
    <t>K7EKT0_DOCK6</t>
  </si>
  <si>
    <t>K7EL68_CDC37</t>
  </si>
  <si>
    <t>K7EL76_KLC3</t>
  </si>
  <si>
    <t>K7EL81_PPP1R12C</t>
  </si>
  <si>
    <t>K7ELC2_RPS15</t>
  </si>
  <si>
    <t>K7ELW5_PTBP1</t>
  </si>
  <si>
    <t>K7ELY0_WIPI1</t>
  </si>
  <si>
    <t>K7EM02_KATNAL2</t>
  </si>
  <si>
    <t>K7EM09_TMEM205</t>
  </si>
  <si>
    <t>K7EM88_UBALD1</t>
  </si>
  <si>
    <t>K7EML3_C19orf66</t>
  </si>
  <si>
    <t>K7EMW4_NCLN</t>
  </si>
  <si>
    <t>K7EMX1_SPC24</t>
  </si>
  <si>
    <t>K7EMZ7_C19orf57</t>
  </si>
  <si>
    <t>K7EN05_ELOF1</t>
  </si>
  <si>
    <t>K7EN65_MBD1</t>
  </si>
  <si>
    <t>K7EN88_hCG_2039718</t>
  </si>
  <si>
    <t>K7ENF0_NARS</t>
  </si>
  <si>
    <t>K7ENL9_C18orf8</t>
  </si>
  <si>
    <t>K7ENR1_ELK1</t>
  </si>
  <si>
    <t>K7ENR6_PSMG2</t>
  </si>
  <si>
    <t>K7ENY0_MEF2BNB</t>
  </si>
  <si>
    <t>K7EP81_C19orf55</t>
  </si>
  <si>
    <t>K7EPK2_NARS</t>
  </si>
  <si>
    <t>K7EPS8_C19orf12</t>
  </si>
  <si>
    <t>K7EPU2_NFIX</t>
  </si>
  <si>
    <t>K7EQU4_SAFB2</t>
  </si>
  <si>
    <t>K7EQV7_ZNF700</t>
  </si>
  <si>
    <t>K7EQW8_TPM4</t>
  </si>
  <si>
    <t>K7EQX8_MXRA7</t>
  </si>
  <si>
    <t>K7ERF1_EIF3K</t>
  </si>
  <si>
    <t>K7ERQ8_</t>
  </si>
  <si>
    <t>K7ERU7_C19orf43</t>
  </si>
  <si>
    <t>K7ES11_UBE2O</t>
  </si>
  <si>
    <t>K7ES84_FAM86A</t>
  </si>
  <si>
    <t>K7ESB0_APITD1</t>
  </si>
  <si>
    <t>K7ESE3_RAD23A</t>
  </si>
  <si>
    <t>K7ESI9_DNM2</t>
  </si>
  <si>
    <t>L7N2F3_C18orf21</t>
  </si>
  <si>
    <t>M0QWZ7_SARS2</t>
  </si>
  <si>
    <t>M0QX35_PAF1</t>
  </si>
  <si>
    <t>M0QXX4_KPTN</t>
  </si>
  <si>
    <t>M0QY01_EPS15L1</t>
  </si>
  <si>
    <t>M0QY46_USF2</t>
  </si>
  <si>
    <t>M0QYR7_SMG9</t>
  </si>
  <si>
    <t>M0QZ22_SAMD4B</t>
  </si>
  <si>
    <t>M0QZ28_DTNA</t>
  </si>
  <si>
    <t>M0QZ43_HRC</t>
  </si>
  <si>
    <t>M0QZ57_ZBTB45</t>
  </si>
  <si>
    <t>M0QZH0_RCN3</t>
  </si>
  <si>
    <t>M0QZM1_HNRNPM</t>
  </si>
  <si>
    <t>M0QZR4_ARHGEF1</t>
  </si>
  <si>
    <t>M0QZW6_CCDC155</t>
  </si>
  <si>
    <t>M0R009_</t>
  </si>
  <si>
    <t>M0R044_MPND</t>
  </si>
  <si>
    <t>M0R0B4_KXD1</t>
  </si>
  <si>
    <t>M0R0F0_RPS5</t>
  </si>
  <si>
    <t>M0R0Q5_ZNF414</t>
  </si>
  <si>
    <t>M0R299_FBL</t>
  </si>
  <si>
    <t>M0R2C3_ZNF552</t>
  </si>
  <si>
    <t>M0R2S3_CCDC94</t>
  </si>
  <si>
    <t>M0R300_MYO9B</t>
  </si>
  <si>
    <t>M0R3D4_RABAC1</t>
  </si>
  <si>
    <t>O00116_AGPS</t>
  </si>
  <si>
    <t>O00124-2_UBXN8</t>
  </si>
  <si>
    <t>O00139-1_KIF2A</t>
  </si>
  <si>
    <t>O00139-2_KIF2A</t>
  </si>
  <si>
    <t>O00148_DDX39A</t>
  </si>
  <si>
    <t>O00151_PDLIM1</t>
  </si>
  <si>
    <t>O00154-6_ACOT7</t>
  </si>
  <si>
    <t>O00159_MYO1C</t>
  </si>
  <si>
    <t>O00160_MYO1F</t>
  </si>
  <si>
    <t>O00161_SNAP23</t>
  </si>
  <si>
    <t>O00170_AIP</t>
  </si>
  <si>
    <t>O00178_GTPBP1</t>
  </si>
  <si>
    <t>O00186_STXBP3</t>
  </si>
  <si>
    <t>O00213-3_APBB1</t>
  </si>
  <si>
    <t>O00220_TNFRSF10A</t>
  </si>
  <si>
    <t>O00221_NFKBIE</t>
  </si>
  <si>
    <t>O00231_PSMD11</t>
  </si>
  <si>
    <t>O00232_PSMD12</t>
  </si>
  <si>
    <t>O00244_ATOX1</t>
  </si>
  <si>
    <t>O00255-2_MEN1</t>
  </si>
  <si>
    <t>O00257_CBX4</t>
  </si>
  <si>
    <t>O00264_PGRMC1</t>
  </si>
  <si>
    <t>O00268_TAF4</t>
  </si>
  <si>
    <t>O00273_DFFA</t>
  </si>
  <si>
    <t>O00273-2_DFFA</t>
  </si>
  <si>
    <t>O00287_RFXAP</t>
  </si>
  <si>
    <t>O00291-3_HIP1</t>
  </si>
  <si>
    <t>O00299_CLIC1</t>
  </si>
  <si>
    <t>O00303_EIF3F</t>
  </si>
  <si>
    <t>O00308_WWP2</t>
  </si>
  <si>
    <t>O00329_PIK3CD</t>
  </si>
  <si>
    <t>O00399_DCTN6</t>
  </si>
  <si>
    <t>O00401_WASL</t>
  </si>
  <si>
    <t>O00409-2_FOXN3</t>
  </si>
  <si>
    <t>O00410_IPO5</t>
  </si>
  <si>
    <t>O00410-2_IPO5</t>
  </si>
  <si>
    <t>O00411_POLRMT</t>
  </si>
  <si>
    <t>O00418_EEF2K</t>
  </si>
  <si>
    <t>O00422_SAP18</t>
  </si>
  <si>
    <t>O00425_IGF2BP3</t>
  </si>
  <si>
    <t>O00429-3_DNM1L</t>
  </si>
  <si>
    <t>O00429-4_DNM1L</t>
  </si>
  <si>
    <t>O00442_RTCA</t>
  </si>
  <si>
    <t>O00443_PIK3C2A</t>
  </si>
  <si>
    <t>O00459_PIK3R2</t>
  </si>
  <si>
    <t>O00462_MANBA</t>
  </si>
  <si>
    <t>O00468-2_AGRN</t>
  </si>
  <si>
    <t>O00471_EXOC5</t>
  </si>
  <si>
    <t>O00479_HMGN4</t>
  </si>
  <si>
    <t>O00487_PSMD14</t>
  </si>
  <si>
    <t>O00488_ZNF593</t>
  </si>
  <si>
    <t>O00499-6_BIN1</t>
  </si>
  <si>
    <t>O00505_KPNA3</t>
  </si>
  <si>
    <t>O00506_STK25</t>
  </si>
  <si>
    <t>O00512_BCL9</t>
  </si>
  <si>
    <t>O00522-3_KRIT1</t>
  </si>
  <si>
    <t>O00534_VWA5A</t>
  </si>
  <si>
    <t>O00560-3_SDCBP</t>
  </si>
  <si>
    <t>O00566_MPHOSPH10</t>
  </si>
  <si>
    <t>O00567_NOP56</t>
  </si>
  <si>
    <t>O00570_SOX1</t>
  </si>
  <si>
    <t>O00571_DDX3X</t>
  </si>
  <si>
    <t>O00625_PIR</t>
  </si>
  <si>
    <t>O00629_KPNA4</t>
  </si>
  <si>
    <t>O00635_TRIM38</t>
  </si>
  <si>
    <t>O00716-2_E2F3</t>
  </si>
  <si>
    <t>O00743_PPP6C</t>
  </si>
  <si>
    <t>O00748_CES2</t>
  </si>
  <si>
    <t>O00754-2_MAN2B1</t>
  </si>
  <si>
    <t>O00764_PDXK</t>
  </si>
  <si>
    <t>O14497_ARID1A</t>
  </si>
  <si>
    <t>O14503_BHLHE40</t>
  </si>
  <si>
    <t>O14508_SOCS2</t>
  </si>
  <si>
    <t>O14519-2_CDK2AP1</t>
  </si>
  <si>
    <t>O14526-2_FCHO1</t>
  </si>
  <si>
    <t>O14545_TRAFD1</t>
  </si>
  <si>
    <t>O14561_NDUFAB1</t>
  </si>
  <si>
    <t>O14578-4_CIT</t>
  </si>
  <si>
    <t>O14579_COPE</t>
  </si>
  <si>
    <t>O14617_AP3D1</t>
  </si>
  <si>
    <t>O14646-2_CHD1</t>
  </si>
  <si>
    <t>O14647_CHD2</t>
  </si>
  <si>
    <t>O14649_KCNK3</t>
  </si>
  <si>
    <t>O14653-3_GOSR2</t>
  </si>
  <si>
    <t>O14654_IRS4</t>
  </si>
  <si>
    <t>O14656_TOR1A</t>
  </si>
  <si>
    <t>O14657_TOR1B</t>
  </si>
  <si>
    <t>O14672_ADAM10</t>
  </si>
  <si>
    <t>O14686_MLL2</t>
  </si>
  <si>
    <t>O14733_MAP2K7</t>
  </si>
  <si>
    <t>O14737_PDCD5</t>
  </si>
  <si>
    <t>O14744_PRMT5</t>
  </si>
  <si>
    <t>O14745_SLC9A3R1</t>
  </si>
  <si>
    <t>O14757_CHEK1</t>
  </si>
  <si>
    <t>O14770-6_MEIS2</t>
  </si>
  <si>
    <t>O14772_FPGT</t>
  </si>
  <si>
    <t>O14773-2_TPP1</t>
  </si>
  <si>
    <t>O14776-2_TCERG1</t>
  </si>
  <si>
    <t>O14777_NDC80</t>
  </si>
  <si>
    <t>O14787-2_TNPO2</t>
  </si>
  <si>
    <t>O14795_UNC13B</t>
  </si>
  <si>
    <t>O14802_POLR3A</t>
  </si>
  <si>
    <t>O14818_PSMA7</t>
  </si>
  <si>
    <t>O14828_SCAMP3</t>
  </si>
  <si>
    <t>O14841_OPLAH</t>
  </si>
  <si>
    <t>O14867_BACH1</t>
  </si>
  <si>
    <t>O14907_TAX1BP3</t>
  </si>
  <si>
    <t>O14908_GIPC1</t>
  </si>
  <si>
    <t>O14920_IKBKB</t>
  </si>
  <si>
    <t>O14924-2_RGS12</t>
  </si>
  <si>
    <t>O14929_HAT1</t>
  </si>
  <si>
    <t>O14933_UBE2L6</t>
  </si>
  <si>
    <t>O14964_HGS</t>
  </si>
  <si>
    <t>O14965_AURKA</t>
  </si>
  <si>
    <t>O14974_PPP1R12A</t>
  </si>
  <si>
    <t>O14976_GAK</t>
  </si>
  <si>
    <t>O14979-3_HNRPDL</t>
  </si>
  <si>
    <t>O14980_XPO1</t>
  </si>
  <si>
    <t>O14981_BTAF1</t>
  </si>
  <si>
    <t>O15013-7_ARHGEF10</t>
  </si>
  <si>
    <t>O15014_ZNF609</t>
  </si>
  <si>
    <t>O15015_ZNF646</t>
  </si>
  <si>
    <t>O15020_SPTBN2</t>
  </si>
  <si>
    <t>O15020-2_SPTBN2</t>
  </si>
  <si>
    <t>O15037_KHNYN</t>
  </si>
  <si>
    <t>O15040-2_TECPR2</t>
  </si>
  <si>
    <t>O15047_SETD1A</t>
  </si>
  <si>
    <t>O15050_TRANK1</t>
  </si>
  <si>
    <t>O15054_KDM6B</t>
  </si>
  <si>
    <t>O15056_SYNJ2</t>
  </si>
  <si>
    <t>O15060_ZBTB39</t>
  </si>
  <si>
    <t>O15062_ZBTB5</t>
  </si>
  <si>
    <t>O15063_KIAA0355</t>
  </si>
  <si>
    <t>O15066_KIF3B</t>
  </si>
  <si>
    <t>O15067_PFAS</t>
  </si>
  <si>
    <t>O15078_CEP290</t>
  </si>
  <si>
    <t>O15084_ANKRD28</t>
  </si>
  <si>
    <t>O15085-2_ARHGEF11</t>
  </si>
  <si>
    <t>O15111_CHUK</t>
  </si>
  <si>
    <t>O15116_LSM1</t>
  </si>
  <si>
    <t>O15117_FYB</t>
  </si>
  <si>
    <t>O15118_NPC1</t>
  </si>
  <si>
    <t>O15131_KPNA5</t>
  </si>
  <si>
    <t>O15143_ARPC1B</t>
  </si>
  <si>
    <t>O15144_ARPC2</t>
  </si>
  <si>
    <t>O15145_ARPC3</t>
  </si>
  <si>
    <t>O15156_ZBTB7B</t>
  </si>
  <si>
    <t>O15160-2_POLR1C</t>
  </si>
  <si>
    <t>O15164_TRIM24</t>
  </si>
  <si>
    <t>O15169-2_AXIN1</t>
  </si>
  <si>
    <t>O15173_PGRMC2</t>
  </si>
  <si>
    <t>O15211_RGL2</t>
  </si>
  <si>
    <t>O15212_PFDN6</t>
  </si>
  <si>
    <t>O15213_WDR46</t>
  </si>
  <si>
    <t>O15226_NKRF</t>
  </si>
  <si>
    <t>O15234_CASC3</t>
  </si>
  <si>
    <t>O15240_VGF</t>
  </si>
  <si>
    <t>O15247_CLIC2</t>
  </si>
  <si>
    <t>O15260-2_SURF4</t>
  </si>
  <si>
    <t>O15265_ATXN7</t>
  </si>
  <si>
    <t>O15269_SPTLC1</t>
  </si>
  <si>
    <t>O15294_OGT</t>
  </si>
  <si>
    <t>O15305_PMM2</t>
  </si>
  <si>
    <t>O15315-5_RAD51B</t>
  </si>
  <si>
    <t>O15344_MID1</t>
  </si>
  <si>
    <t>O15355_PPM1G</t>
  </si>
  <si>
    <t>O15357_INPPL1</t>
  </si>
  <si>
    <t>O15372_EIF3H</t>
  </si>
  <si>
    <t>O15379_HDAC3</t>
  </si>
  <si>
    <t>O15381_NVL</t>
  </si>
  <si>
    <t>O15382_BCAT2</t>
  </si>
  <si>
    <t>O15392-5_BIRC5</t>
  </si>
  <si>
    <t>O15397_IPO8</t>
  </si>
  <si>
    <t>O15400-2_STX7</t>
  </si>
  <si>
    <t>O15446_CD3EAP</t>
  </si>
  <si>
    <t>O15479_MAGEB2</t>
  </si>
  <si>
    <t>O15488-4_GYG2</t>
  </si>
  <si>
    <t>O15498_YKT6</t>
  </si>
  <si>
    <t>O15504_NUPL2</t>
  </si>
  <si>
    <t>O15511_ARPC5</t>
  </si>
  <si>
    <t>O15514_POLR2D</t>
  </si>
  <si>
    <t>O15524_SOCS1</t>
  </si>
  <si>
    <t>O15541_RNF113A</t>
  </si>
  <si>
    <t>O15550_KDM6A</t>
  </si>
  <si>
    <t>O43143_DHX15</t>
  </si>
  <si>
    <t>O43148_RNMT</t>
  </si>
  <si>
    <t>O43149_ZZEF1</t>
  </si>
  <si>
    <t>O43156_TTI1</t>
  </si>
  <si>
    <t>O43164-2_PJA2</t>
  </si>
  <si>
    <t>O43167_ZBTB24</t>
  </si>
  <si>
    <t>O43172-2_PRPF4</t>
  </si>
  <si>
    <t>O43175_PHGDH</t>
  </si>
  <si>
    <t>O43182-4_ARHGAP6</t>
  </si>
  <si>
    <t>O43237_DYNC1LI2</t>
  </si>
  <si>
    <t>O43242_PSMD3</t>
  </si>
  <si>
    <t>O43251-6_RBFOX2</t>
  </si>
  <si>
    <t>O43252_PAPSS1</t>
  </si>
  <si>
    <t>O43264_ZW10</t>
  </si>
  <si>
    <t>O43290_SART1</t>
  </si>
  <si>
    <t>O43298_ZBTB43</t>
  </si>
  <si>
    <t>O43299_AP5Z1</t>
  </si>
  <si>
    <t>O43303-2_CCP110</t>
  </si>
  <si>
    <t>O43310_CTIF</t>
  </si>
  <si>
    <t>O43314-2_PPIP5K2</t>
  </si>
  <si>
    <t>O43318_MAP3K7</t>
  </si>
  <si>
    <t>O43324_EEF1E1</t>
  </si>
  <si>
    <t>O43325_LYRM1</t>
  </si>
  <si>
    <t>O43353_RIPK2</t>
  </si>
  <si>
    <t>O43379_WDR62</t>
  </si>
  <si>
    <t>O43390_HNRNPR</t>
  </si>
  <si>
    <t>O43395_PRPF3</t>
  </si>
  <si>
    <t>O43396_TXNL1</t>
  </si>
  <si>
    <t>O43399_TPD52L2</t>
  </si>
  <si>
    <t>O43402_EMC8</t>
  </si>
  <si>
    <t>O43414-3_ERI3</t>
  </si>
  <si>
    <t>O43422_PRKRIR</t>
  </si>
  <si>
    <t>O43427-2_FIBP</t>
  </si>
  <si>
    <t>O43432_EIF4G3</t>
  </si>
  <si>
    <t>O43435-3_TBX1</t>
  </si>
  <si>
    <t>O43447_PPIH</t>
  </si>
  <si>
    <t>O43464_HTRA2</t>
  </si>
  <si>
    <t>O43482_OIP5</t>
  </si>
  <si>
    <t>O43488_AKR7A2</t>
  </si>
  <si>
    <t>O43491_EPB41L2</t>
  </si>
  <si>
    <t>O43493-4_TGOLN2</t>
  </si>
  <si>
    <t>O43504_LAMTOR5</t>
  </si>
  <si>
    <t>O43513_MED7</t>
  </si>
  <si>
    <t>O43516_WIPF1</t>
  </si>
  <si>
    <t>O43521-6_BCL2L11</t>
  </si>
  <si>
    <t>O43542_XRCC3</t>
  </si>
  <si>
    <t>O43566_RGS14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</si>
  <si>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</si>
  <si>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</si>
  <si>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</si>
  <si>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</si>
  <si>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</si>
  <si>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</si>
  <si>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</si>
  <si>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O43660-2_PLRG1</t>
  </si>
  <si>
    <t>O43663_PRC1</t>
  </si>
  <si>
    <t>O43665-2_RGS10</t>
  </si>
  <si>
    <t>O43670-2_ZNF207</t>
  </si>
  <si>
    <t>O43678_NDUFA2</t>
  </si>
  <si>
    <t>O43681_ASNA1</t>
  </si>
  <si>
    <t>O43707_ACTN4</t>
  </si>
  <si>
    <t>O43709_WBSCR22</t>
  </si>
  <si>
    <t>O43715_TRIAP1</t>
  </si>
  <si>
    <t>O43716_GATC</t>
  </si>
  <si>
    <t>O43719_HTATSF1</t>
  </si>
  <si>
    <t>O43739-2_CYTH3</t>
  </si>
  <si>
    <t>O43747_AP1G1</t>
  </si>
  <si>
    <t>O43752_STX6</t>
  </si>
  <si>
    <t>O43765_SGTA</t>
  </si>
  <si>
    <t>O43766_LIAS</t>
  </si>
  <si>
    <t>O43768-2_ENSA</t>
  </si>
  <si>
    <t>O43776_NARS</t>
  </si>
  <si>
    <t>O43791_SPOP</t>
  </si>
  <si>
    <t>O43805_SSNA1</t>
  </si>
  <si>
    <t>O43809_NUDT21</t>
  </si>
  <si>
    <t>O43813_LANCL1</t>
  </si>
  <si>
    <t>O43815_STRN</t>
  </si>
  <si>
    <t>O43818_RRP9</t>
  </si>
  <si>
    <t>O43822-2_C21orf2</t>
  </si>
  <si>
    <t>O43823_AKAP8</t>
  </si>
  <si>
    <t>O43829_ZBTB14</t>
  </si>
  <si>
    <t>O43837_IDH3B</t>
  </si>
  <si>
    <t>O43847_NRD1</t>
  </si>
  <si>
    <t>O43852_CALU</t>
  </si>
  <si>
    <t>O43852-2_CALU</t>
  </si>
  <si>
    <t>O43865_AHCYL1</t>
  </si>
  <si>
    <t>O43896_KIF1C</t>
  </si>
  <si>
    <t>O43913_ORC5</t>
  </si>
  <si>
    <t>O43924_PDE6D</t>
  </si>
  <si>
    <t>O43929_ORC4</t>
  </si>
  <si>
    <t>O43930_PRKY</t>
  </si>
  <si>
    <t>O43933_PEX1</t>
  </si>
  <si>
    <t>O60216_RAD21</t>
  </si>
  <si>
    <t>O60220_TIMM8A</t>
  </si>
  <si>
    <t>O60231_DHX16</t>
  </si>
  <si>
    <t>O60234_GMFG</t>
  </si>
  <si>
    <t>O60244_MED14</t>
  </si>
  <si>
    <t>O60256_PRPSAP2</t>
  </si>
  <si>
    <t>O60264_SMARCA5</t>
  </si>
  <si>
    <t>O60271_SPAG9</t>
  </si>
  <si>
    <t>O60271-4_SPAG9</t>
  </si>
  <si>
    <t>O60292_SIPA1L3</t>
  </si>
  <si>
    <t>O60293-2_ZFC3H1</t>
  </si>
  <si>
    <t>O60294_LCMT2</t>
  </si>
  <si>
    <t>O60296_TRAK2</t>
  </si>
  <si>
    <t>O60306_AQR</t>
  </si>
  <si>
    <t>O60308-3_CEP104</t>
  </si>
  <si>
    <t>O60313_OPA1</t>
  </si>
  <si>
    <t>O60315-2_ZEB2</t>
  </si>
  <si>
    <t>O60318_MCM3AP</t>
  </si>
  <si>
    <t>O60333-2_KIF1B</t>
  </si>
  <si>
    <t>O60333-3_KIF1B</t>
  </si>
  <si>
    <t>O60341_KDM1A</t>
  </si>
  <si>
    <t>O60343-2_TBC1D4</t>
  </si>
  <si>
    <t>O60344-4_ECE2</t>
  </si>
  <si>
    <t>O60346_PHLPP1</t>
  </si>
  <si>
    <t>O60347_TBC1D12</t>
  </si>
  <si>
    <t>O60353-2_FZD6</t>
  </si>
  <si>
    <t>O60361_NME2P1</t>
  </si>
  <si>
    <t>O60443_DFNA5</t>
  </si>
  <si>
    <t>O60447_EVI5</t>
  </si>
  <si>
    <t>O60493_SNX3</t>
  </si>
  <si>
    <t>O60502_MGEA5</t>
  </si>
  <si>
    <t>O60506-2_SYNCRIP</t>
  </si>
  <si>
    <t>O60547-2_GMDS</t>
  </si>
  <si>
    <t>O60551_NMT2</t>
  </si>
  <si>
    <t>O60563_CCNT1</t>
  </si>
  <si>
    <t>O60566_BUB1B</t>
  </si>
  <si>
    <t>O60568_PLOD3</t>
  </si>
  <si>
    <t>O60583-2_CCNT2</t>
  </si>
  <si>
    <t>O60613_SEP15</t>
  </si>
  <si>
    <t>O60645-2_EXOC3</t>
  </si>
  <si>
    <t>O60664-4_PLIN3</t>
  </si>
  <si>
    <t>O60671_RAD1</t>
  </si>
  <si>
    <t>O60678_PRMT3</t>
  </si>
  <si>
    <t>O60701_UGDH</t>
  </si>
  <si>
    <t>O60716-5_CTNND1</t>
  </si>
  <si>
    <t>O60732_MAGEC1</t>
  </si>
  <si>
    <t>O60749_SNX2</t>
  </si>
  <si>
    <t>O60762_DPM1</t>
  </si>
  <si>
    <t>O60763_USO1</t>
  </si>
  <si>
    <t>O60826_CCDC22</t>
  </si>
  <si>
    <t>O60828-2_PQBP1</t>
  </si>
  <si>
    <t>O60829_PAGE4</t>
  </si>
  <si>
    <t>O60832_DKC1</t>
  </si>
  <si>
    <t>O60841_EIF5B</t>
  </si>
  <si>
    <t>O60858_TRIM13</t>
  </si>
  <si>
    <t>O60869_EDF1</t>
  </si>
  <si>
    <t>O60870_KIN</t>
  </si>
  <si>
    <t>O60884_DNAJA2</t>
  </si>
  <si>
    <t>O60885_BRD4</t>
  </si>
  <si>
    <t>O60888-3_CUTA</t>
  </si>
  <si>
    <t>O60890_OPHN1</t>
  </si>
  <si>
    <t>O60907-2_TBL1X</t>
  </si>
  <si>
    <t>O60921_HUS1</t>
  </si>
  <si>
    <t>O60925_PFDN1</t>
  </si>
  <si>
    <t>O60927_PPP1R11</t>
  </si>
  <si>
    <t>O60934_NBN</t>
  </si>
  <si>
    <t>O60942_RNGTT</t>
  </si>
  <si>
    <t>O75030-12_MITF</t>
  </si>
  <si>
    <t>O75037-3_KIF21B</t>
  </si>
  <si>
    <t>O75044_SRGAP2</t>
  </si>
  <si>
    <t>O75061-4_DNAJC6</t>
  </si>
  <si>
    <t>O75063_FAM20B</t>
  </si>
  <si>
    <t>O75064_DENND4B</t>
  </si>
  <si>
    <t>O75083_WDR1</t>
  </si>
  <si>
    <t>O75113_N4BP1</t>
  </si>
  <si>
    <t>O75116_ROCK2</t>
  </si>
  <si>
    <t>O75131_CPNE3</t>
  </si>
  <si>
    <t>O75132_ZBED4</t>
  </si>
  <si>
    <t>O75143-2_ATG13</t>
  </si>
  <si>
    <t>O75144_ICOSLG</t>
  </si>
  <si>
    <t>O75145-2_PPFIA3</t>
  </si>
  <si>
    <t>O75146_HIP1R</t>
  </si>
  <si>
    <t>O75147-2_OBSL1</t>
  </si>
  <si>
    <t>O75150_RNF40</t>
  </si>
  <si>
    <t>O75151_PHF2</t>
  </si>
  <si>
    <t>O75152_ZC3H11A</t>
  </si>
  <si>
    <t>O75154_RAB11FIP3</t>
  </si>
  <si>
    <t>O75155_CAND2</t>
  </si>
  <si>
    <t>O75157-2_TSC22D2</t>
  </si>
  <si>
    <t>O75164_KDM4A</t>
  </si>
  <si>
    <t>O75165_DNAJC13</t>
  </si>
  <si>
    <t>O75167-5_PHACTR2</t>
  </si>
  <si>
    <t>O75170-2_PPP6R2</t>
  </si>
  <si>
    <t>O75175_CNOT3</t>
  </si>
  <si>
    <t>O75177_SS18L1</t>
  </si>
  <si>
    <t>O75182-2_SIN3B</t>
  </si>
  <si>
    <t>O75190_DNAJB6</t>
  </si>
  <si>
    <t>O75191_XYLB</t>
  </si>
  <si>
    <t>O75223_GGCT</t>
  </si>
  <si>
    <t>O75306-2_NDUFS2</t>
  </si>
  <si>
    <t>O75312_ZNF259</t>
  </si>
  <si>
    <t>O75319_DUSP11</t>
  </si>
  <si>
    <t>O75323_GBAS</t>
  </si>
  <si>
    <t>O75330-2_HMMR</t>
  </si>
  <si>
    <t>O75340_PDCD6</t>
  </si>
  <si>
    <t>O75340-2_PDCD6</t>
  </si>
  <si>
    <t>O75347_TBCA</t>
  </si>
  <si>
    <t>O75348_ATP6V1G1</t>
  </si>
  <si>
    <t>O75351_VPS4B</t>
  </si>
  <si>
    <t>O75356_ENTPD5</t>
  </si>
  <si>
    <t>O75362_ZNF217</t>
  </si>
  <si>
    <t>O75367-2_H2AFY</t>
  </si>
  <si>
    <t>O75368_SH3BGRL</t>
  </si>
  <si>
    <t>O75369-8_FLNB</t>
  </si>
  <si>
    <t>O75376_NCOR1</t>
  </si>
  <si>
    <t>O75380_NDUFS6</t>
  </si>
  <si>
    <t>O75382-3_TRIM3</t>
  </si>
  <si>
    <t>O75385_ULK1</t>
  </si>
  <si>
    <t>O75391_SPAG7</t>
  </si>
  <si>
    <t>O75396_SEC22B</t>
  </si>
  <si>
    <t>O75398-4_DEAF1</t>
  </si>
  <si>
    <t>O75400-3_PRPF40A</t>
  </si>
  <si>
    <t>O75410-7_TACC1</t>
  </si>
  <si>
    <t>O75419-2_CDC45</t>
  </si>
  <si>
    <t>O75420_GIGYF1</t>
  </si>
  <si>
    <t>O75427_LRCH4</t>
  </si>
  <si>
    <t>O75436_VPS26A</t>
  </si>
  <si>
    <t>O75439_PMPCB</t>
  </si>
  <si>
    <t>O75446_SAP30</t>
  </si>
  <si>
    <t>O75449_KATNA1</t>
  </si>
  <si>
    <t>O75459_PAGE1</t>
  </si>
  <si>
    <t>O75460_ERN1</t>
  </si>
  <si>
    <t>O75475_PSIP1</t>
  </si>
  <si>
    <t>O75489_NDUFS3</t>
  </si>
  <si>
    <t>O75503_CLN5</t>
  </si>
  <si>
    <t>O75506_HSBP1</t>
  </si>
  <si>
    <t>O75521-2_ECI2</t>
  </si>
  <si>
    <t>O75528_TADA3</t>
  </si>
  <si>
    <t>O75529_TAF5L</t>
  </si>
  <si>
    <t>O75530-3_EED</t>
  </si>
  <si>
    <t>O75531_BANF1</t>
  </si>
  <si>
    <t>O75533_SF3B1</t>
  </si>
  <si>
    <t>O75534-2_CSDE1</t>
  </si>
  <si>
    <t>O75554_WBP4</t>
  </si>
  <si>
    <t>O75575_CRCP</t>
  </si>
  <si>
    <t>O75586_MED6</t>
  </si>
  <si>
    <t>O75600_GCAT</t>
  </si>
  <si>
    <t>O75607_NPM3</t>
  </si>
  <si>
    <t>O75608-2_LYPLA1</t>
  </si>
  <si>
    <t>O75616_ERAL1</t>
  </si>
  <si>
    <t>O75629_CREG1</t>
  </si>
  <si>
    <t>O75635-2_SERPINB7</t>
  </si>
  <si>
    <t>O75643_SNRNP200</t>
  </si>
  <si>
    <t>O75648-2_TRMU</t>
  </si>
  <si>
    <t>O75663_TIPRL</t>
  </si>
  <si>
    <t>O75683_SURF6</t>
  </si>
  <si>
    <t>O75688_PPM1B</t>
  </si>
  <si>
    <t>O75695_RP2</t>
  </si>
  <si>
    <t>O75717_WDHD1</t>
  </si>
  <si>
    <t>O75771-3_RAD51D</t>
  </si>
  <si>
    <t>O75781_PALM</t>
  </si>
  <si>
    <t>O75791_GRAP2</t>
  </si>
  <si>
    <t>O75792_RNASEH2A</t>
  </si>
  <si>
    <t>O75794_CDC123</t>
  </si>
  <si>
    <t>O75808_SOLH</t>
  </si>
  <si>
    <t>O75818-2_RPP40</t>
  </si>
  <si>
    <t>O75821_EIF3G</t>
  </si>
  <si>
    <t>O75822_EIF3J</t>
  </si>
  <si>
    <t>O75828_CBR3</t>
  </si>
  <si>
    <t>O75843_AP1G2</t>
  </si>
  <si>
    <t>O75844_ZMPSTE24</t>
  </si>
  <si>
    <t>O75864-2_PPP1R37</t>
  </si>
  <si>
    <t>O75865-2_TRAPPC6A</t>
  </si>
  <si>
    <t>O75874_IDH1</t>
  </si>
  <si>
    <t>O75884_RBBP9</t>
  </si>
  <si>
    <t>O75886_STAM2</t>
  </si>
  <si>
    <t>O75909_CCNK</t>
  </si>
  <si>
    <t>O75915_ARL6IP5</t>
  </si>
  <si>
    <t>O75925_PIAS1</t>
  </si>
  <si>
    <t>O75928-2_PIAS2</t>
  </si>
  <si>
    <t>O75934_BCAS2</t>
  </si>
  <si>
    <t>O75935-3_DCTN3</t>
  </si>
  <si>
    <t>O75937_DNAJC8</t>
  </si>
  <si>
    <t>O75940_SMNDC1</t>
  </si>
  <si>
    <t>O75943-3_RAD17</t>
  </si>
  <si>
    <t>O75947-2_ATP5H</t>
  </si>
  <si>
    <t>O75955_FLOT1</t>
  </si>
  <si>
    <t>O75962-5_TRIO</t>
  </si>
  <si>
    <t>O75995_SASH3</t>
  </si>
  <si>
    <t>O76003_GLRX3</t>
  </si>
  <si>
    <t>O76011_KRT34</t>
  </si>
  <si>
    <t>O76021_RSL1D1</t>
  </si>
  <si>
    <t>O76031_CLPX</t>
  </si>
  <si>
    <t>O76038_SCGN</t>
  </si>
  <si>
    <t>O76041-2_NEBL</t>
  </si>
  <si>
    <t>O76064_RNF8</t>
  </si>
  <si>
    <t>O76070_SNCG</t>
  </si>
  <si>
    <t>O76071_CIAO1</t>
  </si>
  <si>
    <t>O76075_DFFB</t>
  </si>
  <si>
    <t>O76080_ZFAND5</t>
  </si>
  <si>
    <t>O76094_SRP72</t>
  </si>
  <si>
    <t>O77932_DOM3Z</t>
  </si>
  <si>
    <t>O94761_RECQL4</t>
  </si>
  <si>
    <t>O94762_RECQL5</t>
  </si>
  <si>
    <t>O94763_URI1</t>
  </si>
  <si>
    <t>O94763-4_URI1</t>
  </si>
  <si>
    <t>O94776_MTA2</t>
  </si>
  <si>
    <t>O94782_USP1</t>
  </si>
  <si>
    <t>O94788_ALDH1A2</t>
  </si>
  <si>
    <t>O94804_STK10</t>
  </si>
  <si>
    <t>O94806_PRKD3</t>
  </si>
  <si>
    <t>O94808_GFPT2</t>
  </si>
  <si>
    <t>O94817_ATG12</t>
  </si>
  <si>
    <t>O94819_KBTBD11</t>
  </si>
  <si>
    <t>O94822_LTN1</t>
  </si>
  <si>
    <t>O94826_TOMM70A</t>
  </si>
  <si>
    <t>O94829_IPO13</t>
  </si>
  <si>
    <t>O94830_DDHD2</t>
  </si>
  <si>
    <t>O94851-5_MICAL2</t>
  </si>
  <si>
    <t>O94854_KIAA0754</t>
  </si>
  <si>
    <t>O94855_SEC24D</t>
  </si>
  <si>
    <t>O94864-2_SUPT7L</t>
  </si>
  <si>
    <t>O94874_UFL1</t>
  </si>
  <si>
    <t>O94876_TMCC1</t>
  </si>
  <si>
    <t>O94880_PHF14</t>
  </si>
  <si>
    <t>O94880-2_PHF14</t>
  </si>
  <si>
    <t>O94888_UBXN7</t>
  </si>
  <si>
    <t>O94889_KLHL18</t>
  </si>
  <si>
    <t>O94898_LRIG2</t>
  </si>
  <si>
    <t>O94903_PROSC</t>
  </si>
  <si>
    <t>O94906-2_PRPF6</t>
  </si>
  <si>
    <t>O94913_PCF11</t>
  </si>
  <si>
    <t>O94925-3_GLS</t>
  </si>
  <si>
    <t>O94927_HAUS5</t>
  </si>
  <si>
    <t>O94941-2_UBOX5</t>
  </si>
  <si>
    <t>O94953_KDM4B</t>
  </si>
  <si>
    <t>O94964-2_SOGA1</t>
  </si>
  <si>
    <t>O94966-7_USP19</t>
  </si>
  <si>
    <t>O94967-2_WDR47</t>
  </si>
  <si>
    <t>O94973_AP2A2</t>
  </si>
  <si>
    <t>O94979_SEC31A</t>
  </si>
  <si>
    <t>O94988-6_FAM13A</t>
  </si>
  <si>
    <t>O94992_HEXIM1</t>
  </si>
  <si>
    <t>O95059_RPP14</t>
  </si>
  <si>
    <t>O95067_CCNB2</t>
  </si>
  <si>
    <t>O95081-2_AGFG2</t>
  </si>
  <si>
    <t>O95104_SCAF4</t>
  </si>
  <si>
    <t>O95149_SNUPN</t>
  </si>
  <si>
    <t>O95155-2_UBE4B</t>
  </si>
  <si>
    <t>O95163_IKBKAP</t>
  </si>
  <si>
    <t>O95197-3_RTN3</t>
  </si>
  <si>
    <t>O95202_LETM1</t>
  </si>
  <si>
    <t>O95205_MBLL</t>
  </si>
  <si>
    <t>O95218-2_ZRANB2</t>
  </si>
  <si>
    <t>O95219_SNX4</t>
  </si>
  <si>
    <t>O95229_ZWINT</t>
  </si>
  <si>
    <t>O95231_VENTX</t>
  </si>
  <si>
    <t>O95232_LUC7L3</t>
  </si>
  <si>
    <t>O95239_KIF4A</t>
  </si>
  <si>
    <t>O95243-2_MBD4</t>
  </si>
  <si>
    <t>O95248_SBF1</t>
  </si>
  <si>
    <t>O95251-4_KAT7</t>
  </si>
  <si>
    <t>O95273_CCNDBP1</t>
  </si>
  <si>
    <t>O95292_VAPB</t>
  </si>
  <si>
    <t>O95295_SNAPIN</t>
  </si>
  <si>
    <t>O95297-4_MPZL1</t>
  </si>
  <si>
    <t>O95302_FKBP9</t>
  </si>
  <si>
    <t>O95336_PGLS</t>
  </si>
  <si>
    <t>O95347_SMC2</t>
  </si>
  <si>
    <t>O95352_ATG7</t>
  </si>
  <si>
    <t>O95365_ZBTB7A</t>
  </si>
  <si>
    <t>O95372_LYPLA2</t>
  </si>
  <si>
    <t>O95373_IPO7</t>
  </si>
  <si>
    <t>O95376_ARIH2</t>
  </si>
  <si>
    <t>O95379_TNFAIP8</t>
  </si>
  <si>
    <t>O95391_SLU7</t>
  </si>
  <si>
    <t>O95394_PGM3</t>
  </si>
  <si>
    <t>O95396_MOCS3</t>
  </si>
  <si>
    <t>O95397_PLEKHA8P1</t>
  </si>
  <si>
    <t>O95399_UTS2</t>
  </si>
  <si>
    <t>O95400_CD2BP2</t>
  </si>
  <si>
    <t>O95402_MED26</t>
  </si>
  <si>
    <t>O95405_ZFYVE9</t>
  </si>
  <si>
    <t>O95429-2_BAG4</t>
  </si>
  <si>
    <t>O95433_AHSA1</t>
  </si>
  <si>
    <t>O95453-2_PARN</t>
  </si>
  <si>
    <t>O95456_PSMG1</t>
  </si>
  <si>
    <t>O95466_FMNL1</t>
  </si>
  <si>
    <t>O95478_NSA2</t>
  </si>
  <si>
    <t>O95479_H6PD</t>
  </si>
  <si>
    <t>O95486_SEC24A</t>
  </si>
  <si>
    <t>O95487-2_SEC24B</t>
  </si>
  <si>
    <t>O95544_NADK</t>
  </si>
  <si>
    <t>O95551_TDP2</t>
  </si>
  <si>
    <t>O95568_METTL18</t>
  </si>
  <si>
    <t>O95571_ETHE1</t>
  </si>
  <si>
    <t>O95573_ACSL3</t>
  </si>
  <si>
    <t>O95602_POLR1A</t>
  </si>
  <si>
    <t>O95613_PCNT</t>
  </si>
  <si>
    <t>O95619_YEATS4</t>
  </si>
  <si>
    <t>O95620_DUS4L</t>
  </si>
  <si>
    <t>O95625_ZBTB11</t>
  </si>
  <si>
    <t>O95628-9_CNOT4</t>
  </si>
  <si>
    <t>O95630_STAMBP</t>
  </si>
  <si>
    <t>O95639_CPSF4</t>
  </si>
  <si>
    <t>O95644-5_NFATC1</t>
  </si>
  <si>
    <t>O95671-2_ASMTL</t>
  </si>
  <si>
    <t>O95684-2_FGFR1OP</t>
  </si>
  <si>
    <t>O95721_SNAP29</t>
  </si>
  <si>
    <t>O95747_OXSR1</t>
  </si>
  <si>
    <t>O95749_GGPS1</t>
  </si>
  <si>
    <t>O95757_HSPA4L</t>
  </si>
  <si>
    <t>O95758-1_PTBP3</t>
  </si>
  <si>
    <t>O95777_NAA38</t>
  </si>
  <si>
    <t>O95782-2_AP2A1</t>
  </si>
  <si>
    <t>O95801_TTC4</t>
  </si>
  <si>
    <t>O95816_BAG2</t>
  </si>
  <si>
    <t>O95817_BAG3</t>
  </si>
  <si>
    <t>O95822_MLYCD</t>
  </si>
  <si>
    <t>O95825_CRYZL1</t>
  </si>
  <si>
    <t>O95831-3_AIFM1</t>
  </si>
  <si>
    <t>O95834-2_EML2</t>
  </si>
  <si>
    <t>O95835-2_LATS1</t>
  </si>
  <si>
    <t>O95861_BPNT1</t>
  </si>
  <si>
    <t>O95865_DDAH2</t>
  </si>
  <si>
    <t>O95881_TXNDC12</t>
  </si>
  <si>
    <t>O95905_ECD</t>
  </si>
  <si>
    <t>O95926_SYF2</t>
  </si>
  <si>
    <t>O95983_MBD3</t>
  </si>
  <si>
    <t>O95985_TOP3B</t>
  </si>
  <si>
    <t>O95989_NUDT3</t>
  </si>
  <si>
    <t>O95999_BCL10</t>
  </si>
  <si>
    <t>O96007_MOCS2</t>
  </si>
  <si>
    <t>O96008_TOMM40</t>
  </si>
  <si>
    <t>O96013_PAK4</t>
  </si>
  <si>
    <t>O96017_CHEK2</t>
  </si>
  <si>
    <t>O96018_APBA3</t>
  </si>
  <si>
    <t>O96019_ACTL6A</t>
  </si>
  <si>
    <t>O96028_WHSC1</t>
  </si>
  <si>
    <t>O96033_MOCS2</t>
  </si>
  <si>
    <t>P00338_LDHA</t>
  </si>
  <si>
    <t>P00352_ALDH1A1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</si>
  <si>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</si>
  <si>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</si>
  <si>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</si>
  <si>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</si>
  <si>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</si>
  <si>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</si>
  <si>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</si>
  <si>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</si>
  <si>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</si>
  <si>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P00519_ABL1</t>
  </si>
  <si>
    <t>P00558_PGK1</t>
  </si>
  <si>
    <t>P00568_AK1</t>
  </si>
  <si>
    <t>P00747_</t>
  </si>
  <si>
    <t>P00813_ADA</t>
  </si>
  <si>
    <t>P00918_CA2</t>
  </si>
  <si>
    <t>P00966_ASS1</t>
  </si>
  <si>
    <t>P01008_</t>
  </si>
  <si>
    <t>P01023_</t>
  </si>
  <si>
    <t>P01024_</t>
  </si>
  <si>
    <t>P01034_CST3</t>
  </si>
  <si>
    <t>P01111_NRAS</t>
  </si>
  <si>
    <t>P01116-2_KRAS</t>
  </si>
  <si>
    <t>P01137_TGFB1</t>
  </si>
  <si>
    <t>P02008_HBZ</t>
  </si>
  <si>
    <t>P02042_HBD</t>
  </si>
  <si>
    <t>P02100_HBE1</t>
  </si>
  <si>
    <t>P02533_KRT14</t>
  </si>
  <si>
    <t>P02538_KRT6A</t>
  </si>
  <si>
    <t>P02545_LMNA</t>
  </si>
  <si>
    <t>P02549_SPTA1</t>
  </si>
  <si>
    <t>P02649_APOE</t>
  </si>
  <si>
    <t>P02750_LRG1</t>
  </si>
  <si>
    <t>P02765_</t>
  </si>
  <si>
    <t>P02768_ALB</t>
  </si>
  <si>
    <t>P02774_</t>
  </si>
  <si>
    <t>P02786_TFRC</t>
  </si>
  <si>
    <t>P02792_FTL</t>
  </si>
  <si>
    <t>P02794_FTH1</t>
  </si>
  <si>
    <t>P04004_</t>
  </si>
  <si>
    <t>P04040_CAT</t>
  </si>
  <si>
    <t>P04066_FUCA1</t>
  </si>
  <si>
    <t>P04075_ALDOA</t>
  </si>
  <si>
    <t>P04080_CSTB</t>
  </si>
  <si>
    <t>P04083_ANXA1</t>
  </si>
  <si>
    <t>P04150-2_NR3C1</t>
  </si>
  <si>
    <t>P04181_OAT</t>
  </si>
  <si>
    <t>P04183_TK1</t>
  </si>
  <si>
    <t>P04264_KRT1</t>
  </si>
  <si>
    <t>P04350_TUBB4A</t>
  </si>
  <si>
    <t>P04406_GAPDH</t>
  </si>
  <si>
    <t>P04424_ASL</t>
  </si>
  <si>
    <t>P04629-4_NTRK1</t>
  </si>
  <si>
    <t>P04632_CAPNS1</t>
  </si>
  <si>
    <t>P04792_HSPB1</t>
  </si>
  <si>
    <t>P04818_TYMS</t>
  </si>
  <si>
    <t>P04843_RPN1</t>
  </si>
  <si>
    <t>P04844-2_RPN2</t>
  </si>
  <si>
    <t>P04899_GNAI2</t>
  </si>
  <si>
    <t>P04920-2_SLC4A2</t>
  </si>
  <si>
    <t>P05023-4_ATP1A1</t>
  </si>
  <si>
    <t>P05091_ALDH2</t>
  </si>
  <si>
    <t>P05114_HMGN1</t>
  </si>
  <si>
    <t>P05141_SLC25A5</t>
  </si>
  <si>
    <t>P05161_ISG15</t>
  </si>
  <si>
    <t>P05165-3_PCCA</t>
  </si>
  <si>
    <t>P05166_PCCB</t>
  </si>
  <si>
    <t>P05198_EIF2S1</t>
  </si>
  <si>
    <t>P05204_HMGN2</t>
  </si>
  <si>
    <t>P05362_ICAM1</t>
  </si>
  <si>
    <t>P05387_RPLP2</t>
  </si>
  <si>
    <t>P05388_RPLP0</t>
  </si>
  <si>
    <t>P05423_POLR3D</t>
  </si>
  <si>
    <t>P05455_SSB</t>
  </si>
  <si>
    <t>P05556-2_ITGB1</t>
  </si>
  <si>
    <t>P05771-2_PRKCB</t>
  </si>
  <si>
    <t>P05783_KRT18</t>
  </si>
  <si>
    <t>P05787_KRT8</t>
  </si>
  <si>
    <t>P05937_CALB1</t>
  </si>
  <si>
    <t>P06132_UROD</t>
  </si>
  <si>
    <t>P06280_GLA</t>
  </si>
  <si>
    <t>P06396-2_GSN</t>
  </si>
  <si>
    <t>P06400_RB1</t>
  </si>
  <si>
    <t>P06493_CDK1</t>
  </si>
  <si>
    <t>P06576_ATP5B</t>
  </si>
  <si>
    <t>P06730_EIF4E</t>
  </si>
  <si>
    <t>P06733_ENO1</t>
  </si>
  <si>
    <t>P06737-2_PYGL</t>
  </si>
  <si>
    <t>P06744_GPI</t>
  </si>
  <si>
    <t>P06746_POLB</t>
  </si>
  <si>
    <t>P06748_NPM1</t>
  </si>
  <si>
    <t>P06753-2_TPM3</t>
  </si>
  <si>
    <t>P06753-3_TPM3</t>
  </si>
  <si>
    <t>P06753-5_TPM3</t>
  </si>
  <si>
    <t>P06865_HEXA</t>
  </si>
  <si>
    <t>P07108_DBI</t>
  </si>
  <si>
    <t>P07195_LDHB</t>
  </si>
  <si>
    <t>P07205_PGK2</t>
  </si>
  <si>
    <t>P07237_P4HB</t>
  </si>
  <si>
    <t>P07339_CTSD</t>
  </si>
  <si>
    <t>P07355_ANXA2</t>
  </si>
  <si>
    <t>P07384_CAPN1</t>
  </si>
  <si>
    <t>P07602_PSAP</t>
  </si>
  <si>
    <t>P07686_HEXB</t>
  </si>
  <si>
    <t>P07711_CTSL1</t>
  </si>
  <si>
    <t>P07737_PFN1</t>
  </si>
  <si>
    <t>P07738_BPGM</t>
  </si>
  <si>
    <t>P07741_APRT</t>
  </si>
  <si>
    <t>P07858_CTSB</t>
  </si>
  <si>
    <t>P07900_HSP90AA1</t>
  </si>
  <si>
    <t>P07902_GALT</t>
  </si>
  <si>
    <t>P07919_UQCRH</t>
  </si>
  <si>
    <t>P07942_LAMB1</t>
  </si>
  <si>
    <t>P07947_YES1</t>
  </si>
  <si>
    <t>P07948_LYN</t>
  </si>
  <si>
    <t>P07954-2_FH</t>
  </si>
  <si>
    <t>P07992_ERCC1</t>
  </si>
  <si>
    <t>P07996_THBS1</t>
  </si>
  <si>
    <t>P08047_SP1</t>
  </si>
  <si>
    <t>P08107_HSPA1A</t>
  </si>
  <si>
    <t>P08133_ANXA6</t>
  </si>
  <si>
    <t>P08195-2_SLC3A2</t>
  </si>
  <si>
    <t>P08237_PFKM</t>
  </si>
  <si>
    <t>P08238_HSP90AB1</t>
  </si>
  <si>
    <t>P08240_SRPR</t>
  </si>
  <si>
    <t>P08243-2_ASNS</t>
  </si>
  <si>
    <t>P08397-2_HMBS</t>
  </si>
  <si>
    <t>P08559-3_PDHA1</t>
  </si>
  <si>
    <t>P08575-2_PTPRC</t>
  </si>
  <si>
    <t>P08579_SNRPB2</t>
  </si>
  <si>
    <t>P08590_MYL3</t>
  </si>
  <si>
    <t>P08621_SNRNP70</t>
  </si>
  <si>
    <t>P08651-2_NFIC</t>
  </si>
  <si>
    <t>P08670_VIM</t>
  </si>
  <si>
    <t>P08727_KRT19</t>
  </si>
  <si>
    <t>P08754_GNAI3</t>
  </si>
  <si>
    <t>P08758_ANXA5</t>
  </si>
  <si>
    <t>P08779_KRT16</t>
  </si>
  <si>
    <t>P09012_SNRPA</t>
  </si>
  <si>
    <t>P09038-2_FGF2</t>
  </si>
  <si>
    <t>P09105_HBQ1</t>
  </si>
  <si>
    <t>P09110_ACAA1</t>
  </si>
  <si>
    <t>P09132_SRP19</t>
  </si>
  <si>
    <t>P09211_GSTP1</t>
  </si>
  <si>
    <t>P09234_SNRPC</t>
  </si>
  <si>
    <t>P09327_VIL1</t>
  </si>
  <si>
    <t>P09382_LGALS1</t>
  </si>
  <si>
    <t>P09417_QDPR</t>
  </si>
  <si>
    <t>P09429_HMGB1</t>
  </si>
  <si>
    <t>P09496-2_CLTA</t>
  </si>
  <si>
    <t>P09497-2_CLTB</t>
  </si>
  <si>
    <t>P09525_ANXA4</t>
  </si>
  <si>
    <t>P09543-2_CNP</t>
  </si>
  <si>
    <t>P09622_DLD</t>
  </si>
  <si>
    <t>P09651-3_HNRNPA1</t>
  </si>
  <si>
    <t>P09661_SNRPA1</t>
  </si>
  <si>
    <t>P09668_CTSH</t>
  </si>
  <si>
    <t>P09874_PARP1</t>
  </si>
  <si>
    <t>P09884_POLA1</t>
  </si>
  <si>
    <t>P09917_ALOX5</t>
  </si>
  <si>
    <t>P09960_LTA4H</t>
  </si>
  <si>
    <t>P09972_ALDOC</t>
  </si>
  <si>
    <t>P0C7T5_ATXN1L</t>
  </si>
  <si>
    <t>P0CAP2_POLR2M</t>
  </si>
  <si>
    <t>P0CG12_CHTF8</t>
  </si>
  <si>
    <t>P0CG13_CHTF8</t>
  </si>
  <si>
    <t>P0CJ79_ZNF888</t>
  </si>
  <si>
    <t>P0CL82_GAGE12I</t>
  </si>
  <si>
    <t>P0CW22_RPS17L</t>
  </si>
  <si>
    <t>P0DI82_TRAPPC2P1</t>
  </si>
  <si>
    <t>P10109_FDX1</t>
  </si>
  <si>
    <t>P10155_TROVE2</t>
  </si>
  <si>
    <t>P10242-11_MYB</t>
  </si>
  <si>
    <t>P10244_MYBL2</t>
  </si>
  <si>
    <t>P10253_GAA</t>
  </si>
  <si>
    <t>P10398_ARAF</t>
  </si>
  <si>
    <t>P10515_DLAT</t>
  </si>
  <si>
    <t>P10586-2_PTPRF</t>
  </si>
  <si>
    <t>P10588_NR2F6</t>
  </si>
  <si>
    <t>P10599_TXN</t>
  </si>
  <si>
    <t>P10606_COX5B</t>
  </si>
  <si>
    <t>P10619_CTSA</t>
  </si>
  <si>
    <t>P10636-2_MAPT</t>
  </si>
  <si>
    <t>P10644_PRKAR1A</t>
  </si>
  <si>
    <t>P10646-2_TFPI</t>
  </si>
  <si>
    <t>P10746_UROS</t>
  </si>
  <si>
    <t>P10768_ESD</t>
  </si>
  <si>
    <t>P10809_HSPD1</t>
  </si>
  <si>
    <t>P11021_HSPA5</t>
  </si>
  <si>
    <t>P11086_PNMT</t>
  </si>
  <si>
    <t>P11137-3_MAP2</t>
  </si>
  <si>
    <t>P11142_HSPA8</t>
  </si>
  <si>
    <t>P11171_EPB41</t>
  </si>
  <si>
    <t>P11171-2_EPB41</t>
  </si>
  <si>
    <t>P11171-4_EPB41</t>
  </si>
  <si>
    <t>P11171-5_EPB41</t>
  </si>
  <si>
    <t>P11172_UMPS</t>
  </si>
  <si>
    <t>P11177-3_PDHB</t>
  </si>
  <si>
    <t>P11216_PYGB</t>
  </si>
  <si>
    <t>P11233_RALA</t>
  </si>
  <si>
    <t>P11234_RALB</t>
  </si>
  <si>
    <t>P11274_BCR</t>
  </si>
  <si>
    <t>P11277-3_SPTB</t>
  </si>
  <si>
    <t>P11279_LAMP1</t>
  </si>
  <si>
    <t>P11309-2_PIM1</t>
  </si>
  <si>
    <t>P11310_ACADM</t>
  </si>
  <si>
    <t>P11387_TOP1</t>
  </si>
  <si>
    <t>P11388_TOP2A</t>
  </si>
  <si>
    <t>P11413_G6PD</t>
  </si>
  <si>
    <t>P11441_UBL4A</t>
  </si>
  <si>
    <t>P11498_PC</t>
  </si>
  <si>
    <t>P11532-3_DMD</t>
  </si>
  <si>
    <t>P11717_IGF2R</t>
  </si>
  <si>
    <t>P11766_ADH5</t>
  </si>
  <si>
    <t>P11802_CDK4</t>
  </si>
  <si>
    <t>P11831_SRF</t>
  </si>
  <si>
    <t>P11908_PRPS2</t>
  </si>
  <si>
    <t>P11940_PABPC1</t>
  </si>
  <si>
    <t>P12004_PCNA</t>
  </si>
  <si>
    <t>P12036_NEFH</t>
  </si>
  <si>
    <t>P12081_HARS</t>
  </si>
  <si>
    <t>P12236_SLC25A6</t>
  </si>
  <si>
    <t>P12270_TPR</t>
  </si>
  <si>
    <t>P12277_CKB</t>
  </si>
  <si>
    <t>P12429_ANXA3</t>
  </si>
  <si>
    <t>P12532_CKMT1A</t>
  </si>
  <si>
    <t>P12694_BCKDHA</t>
  </si>
  <si>
    <t>P12757-3_SKIL</t>
  </si>
  <si>
    <t>P12814_ACTN1</t>
  </si>
  <si>
    <t>P12821-2_ACE</t>
  </si>
  <si>
    <t>P12882_MYH1</t>
  </si>
  <si>
    <t>P12955_PEPD</t>
  </si>
  <si>
    <t>P12956_XRCC6</t>
  </si>
  <si>
    <t>P12980_LYL1</t>
  </si>
  <si>
    <t>P13010_XRCC5</t>
  </si>
  <si>
    <t>P13056_NR2C1</t>
  </si>
  <si>
    <t>P13073_COX4I1</t>
  </si>
  <si>
    <t>P13284_IFI30</t>
  </si>
  <si>
    <t>P13489_RNH1</t>
  </si>
  <si>
    <t>P13498_CYBA</t>
  </si>
  <si>
    <t>P13639_EEF2</t>
  </si>
  <si>
    <t>P13645_KRT10</t>
  </si>
  <si>
    <t>P13647_KRT5</t>
  </si>
  <si>
    <t>P13667_PDIA4</t>
  </si>
  <si>
    <t>P13674-2_P4HA1</t>
  </si>
  <si>
    <t>P13682_ZNF35</t>
  </si>
  <si>
    <t>P13693_TPT1</t>
  </si>
  <si>
    <t>P13796_LCP1</t>
  </si>
  <si>
    <t>P13797_PLS3</t>
  </si>
  <si>
    <t>P13798_APEH</t>
  </si>
  <si>
    <t>P13804_ETFA</t>
  </si>
  <si>
    <t>P13861_PRKAR2A</t>
  </si>
  <si>
    <t>P13929-3_ENO3</t>
  </si>
  <si>
    <t>P13984_GTF2F2</t>
  </si>
  <si>
    <t>P13995_MTHFD2</t>
  </si>
  <si>
    <t>P14174_MIF</t>
  </si>
  <si>
    <t>P14209-3_CD99</t>
  </si>
  <si>
    <t>P14314-2_PRKCSH</t>
  </si>
  <si>
    <t>P14317_HCLS1</t>
  </si>
  <si>
    <t>P14324-2_FDPS</t>
  </si>
  <si>
    <t>P14550_AKR1A1</t>
  </si>
  <si>
    <t>P14618_PKM</t>
  </si>
  <si>
    <t>P14618-2_PKM</t>
  </si>
  <si>
    <t>P14621_ACYP2</t>
  </si>
  <si>
    <t>P14625_HSP90B1</t>
  </si>
  <si>
    <t>P14635_CCNB1</t>
  </si>
  <si>
    <t>P14649_MYL6B</t>
  </si>
  <si>
    <t>P14678_SNRPB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</si>
  <si>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</si>
  <si>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</si>
  <si>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</si>
  <si>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</si>
  <si>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</si>
  <si>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</si>
  <si>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</si>
  <si>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P15088_CPA3</t>
  </si>
  <si>
    <t>P15104_GLUL</t>
  </si>
  <si>
    <t>P15151-3_PVR</t>
  </si>
  <si>
    <t>P15153_RAC2</t>
  </si>
  <si>
    <t>P15170-2_GSPT1</t>
  </si>
  <si>
    <t>P15289_ARSA</t>
  </si>
  <si>
    <t>P15311_EZR</t>
  </si>
  <si>
    <t>P15374_UCHL3</t>
  </si>
  <si>
    <t>P15498_VAV1</t>
  </si>
  <si>
    <t>P15529-15_CD46</t>
  </si>
  <si>
    <t>P15531_NME1</t>
  </si>
  <si>
    <t>P15735-2_PHKG2</t>
  </si>
  <si>
    <t>P15822_HIVEP1</t>
  </si>
  <si>
    <t>P15848_ARSB</t>
  </si>
  <si>
    <t>P15880_RPS2</t>
  </si>
  <si>
    <t>P15884-5_TCF4</t>
  </si>
  <si>
    <t>P15923-2_TCF3</t>
  </si>
  <si>
    <t>P15924_DSP</t>
  </si>
  <si>
    <t>P15927_RPA2</t>
  </si>
  <si>
    <t>P15976-3_GATA1</t>
  </si>
  <si>
    <t>P16083_NQO2</t>
  </si>
  <si>
    <t>P16150_SPN</t>
  </si>
  <si>
    <t>P16152_CBR1</t>
  </si>
  <si>
    <t>P16157-10_ANK1</t>
  </si>
  <si>
    <t>P16219_ACADS</t>
  </si>
  <si>
    <t>P16278-3_GLB1</t>
  </si>
  <si>
    <t>P16298_PPP3CB</t>
  </si>
  <si>
    <t>P16333_NCK1</t>
  </si>
  <si>
    <t>P16383_GCFC2</t>
  </si>
  <si>
    <t>P16401_HIST1H1B</t>
  </si>
  <si>
    <t>P16403_HIST1H1C</t>
  </si>
  <si>
    <t>P16591_FER</t>
  </si>
  <si>
    <t>P16591-3_FER</t>
  </si>
  <si>
    <t>P16615_ATP2A2</t>
  </si>
  <si>
    <t>P16885_PLCG2</t>
  </si>
  <si>
    <t>P16930_FAH</t>
  </si>
  <si>
    <t>P16949_STMN1</t>
  </si>
  <si>
    <t>P16989_YBX3</t>
  </si>
  <si>
    <t>P16989-2_YBX3</t>
  </si>
  <si>
    <t>P17026_ZNF22</t>
  </si>
  <si>
    <t>P17028_ZNF24</t>
  </si>
  <si>
    <t>P17029_ZKSCAN1</t>
  </si>
  <si>
    <t>P17050_NAGA</t>
  </si>
  <si>
    <t>P17066_HSPA6</t>
  </si>
  <si>
    <t>P17096-2_HMGA1</t>
  </si>
  <si>
    <t>P17098_ZNF8</t>
  </si>
  <si>
    <t>P17174_GOT1</t>
  </si>
  <si>
    <t>P17252_PRKCA</t>
  </si>
  <si>
    <t>P17275_JUNB</t>
  </si>
  <si>
    <t>P17480-2_UBTF</t>
  </si>
  <si>
    <t>P17482_HOXB9</t>
  </si>
  <si>
    <t>P17483_HOXB4</t>
  </si>
  <si>
    <t>P17535_JUND</t>
  </si>
  <si>
    <t>P17542_TAL1</t>
  </si>
  <si>
    <t>P17544-4_ATF7</t>
  </si>
  <si>
    <t>P17612_PRKACA</t>
  </si>
  <si>
    <t>P17655_CAPN2</t>
  </si>
  <si>
    <t>P17661_DES</t>
  </si>
  <si>
    <t>P17676_CEBPB</t>
  </si>
  <si>
    <t>P17706-2_PTPN2</t>
  </si>
  <si>
    <t>P17707_AMD1</t>
  </si>
  <si>
    <t>P17812_CTPS1</t>
  </si>
  <si>
    <t>P17844_DDX5</t>
  </si>
  <si>
    <t>P17858_PFKL</t>
  </si>
  <si>
    <t>P17861_XBP1</t>
  </si>
  <si>
    <t>P17900_GM2A</t>
  </si>
  <si>
    <t>P17931_LGALS3</t>
  </si>
  <si>
    <t>P17987_TCP1</t>
  </si>
  <si>
    <t>P18031_PTPN1</t>
  </si>
  <si>
    <t>P18065_IGFBP2</t>
  </si>
  <si>
    <t>P18085_ARF4</t>
  </si>
  <si>
    <t>P18124_RPL7</t>
  </si>
  <si>
    <t>P18206-2_VCL</t>
  </si>
  <si>
    <t>P18583-7_SON</t>
  </si>
  <si>
    <t>P18615_NELFE</t>
  </si>
  <si>
    <t>P18669_PGAM1</t>
  </si>
  <si>
    <t>P18754_RCC1</t>
  </si>
  <si>
    <t>P18846_ATF1</t>
  </si>
  <si>
    <t>P18847-4_ATF3</t>
  </si>
  <si>
    <t>P18850_ATF6</t>
  </si>
  <si>
    <t>P18859_ATP5J</t>
  </si>
  <si>
    <t>P18887_XRCC1</t>
  </si>
  <si>
    <t>P19105_MYL12A</t>
  </si>
  <si>
    <t>P19174-2_PLCG1</t>
  </si>
  <si>
    <t>P19338_NCL</t>
  </si>
  <si>
    <t>P19367-2_HK1</t>
  </si>
  <si>
    <t>P19367-4_HK1</t>
  </si>
  <si>
    <t>P19387_POLR2C</t>
  </si>
  <si>
    <t>P19388_POLR2E</t>
  </si>
  <si>
    <t>P19404_NDUFV2</t>
  </si>
  <si>
    <t>P19447_ERCC3</t>
  </si>
  <si>
    <t>P19525_EIF2AK2</t>
  </si>
  <si>
    <t>P19532_TFE3</t>
  </si>
  <si>
    <t>P19544-2_WT1</t>
  </si>
  <si>
    <t>P19623_SRM</t>
  </si>
  <si>
    <t>P19784_CSNK2A2</t>
  </si>
  <si>
    <t>P19838_NFKB1</t>
  </si>
  <si>
    <t>P20042_EIF2S2</t>
  </si>
  <si>
    <t>P20138-3_CD33</t>
  </si>
  <si>
    <t>P20248_CCNA2</t>
  </si>
  <si>
    <t>P20290_BTF3</t>
  </si>
  <si>
    <t>P20333_TNFRSF1B</t>
  </si>
  <si>
    <t>P20337_RAB3B</t>
  </si>
  <si>
    <t>P20338_RAB4A</t>
  </si>
  <si>
    <t>P20340-2_RAB6A</t>
  </si>
  <si>
    <t>P20585_MSH3</t>
  </si>
  <si>
    <t>P20618_PSMB1</t>
  </si>
  <si>
    <t>P20674_COX5A</t>
  </si>
  <si>
    <t>P20700_LMNB1</t>
  </si>
  <si>
    <t>P20749_BCL3</t>
  </si>
  <si>
    <t>P20839-2_IMPDH1</t>
  </si>
  <si>
    <t>P20933_AGA</t>
  </si>
  <si>
    <t>P20936-2_RASA1</t>
  </si>
  <si>
    <t>P20962_PTMS</t>
  </si>
  <si>
    <t>P21127_CDK11B</t>
  </si>
  <si>
    <t>P21266_GSTM3</t>
  </si>
  <si>
    <t>P21281_ATP6V1B2</t>
  </si>
  <si>
    <t>P21283_ATP6V1C1</t>
  </si>
  <si>
    <t>P21291_CSRP1</t>
  </si>
  <si>
    <t>P21333-2_FLNA</t>
  </si>
  <si>
    <t>P21359-2_NF1</t>
  </si>
  <si>
    <t>P21399_ACO1</t>
  </si>
  <si>
    <t>P21580_TNFAIP3</t>
  </si>
  <si>
    <t>P21675_TAF1</t>
  </si>
  <si>
    <t>P21695-2_GPD1</t>
  </si>
  <si>
    <t>P21796_VDAC1</t>
  </si>
  <si>
    <t>P21912_SDHB</t>
  </si>
  <si>
    <t>P21964-2_COMT</t>
  </si>
  <si>
    <t>P21980_TGM2</t>
  </si>
  <si>
    <t>P22033_MUT</t>
  </si>
  <si>
    <t>P22059_OSBP</t>
  </si>
  <si>
    <t>P22061-2_PCMT1</t>
  </si>
  <si>
    <t>P22102_GART</t>
  </si>
  <si>
    <t>P22234_PAICS</t>
  </si>
  <si>
    <t>P22307-6_SCP2</t>
  </si>
  <si>
    <t>P22314_UBA1</t>
  </si>
  <si>
    <t>P22392-2_NME2</t>
  </si>
  <si>
    <t>P22532_SPRR2D</t>
  </si>
  <si>
    <t>P22570_FDXR</t>
  </si>
  <si>
    <t>P22626_HNRNPA2B1</t>
  </si>
  <si>
    <t>P22670_RFX1</t>
  </si>
  <si>
    <t>P22681_CBL</t>
  </si>
  <si>
    <t>P22694-4_PRKACB</t>
  </si>
  <si>
    <t>P22830_FECH</t>
  </si>
  <si>
    <t>P23025_XPA</t>
  </si>
  <si>
    <t>P23142-3_FBLN1</t>
  </si>
  <si>
    <t>P23193_TCEA1</t>
  </si>
  <si>
    <t>P23246_SFPQ</t>
  </si>
  <si>
    <t>P23258_TUBG1</t>
  </si>
  <si>
    <t>P23284_PPIB</t>
  </si>
  <si>
    <t>P23297_S100A1</t>
  </si>
  <si>
    <t>P23368_ME2</t>
  </si>
  <si>
    <t>P23381_WARS</t>
  </si>
  <si>
    <t>P23396_RPS3</t>
  </si>
  <si>
    <t>P23409_MYF6</t>
  </si>
  <si>
    <t>P23434_GCSH</t>
  </si>
  <si>
    <t>P23470-2_PTPRG</t>
  </si>
  <si>
    <t>P23497_SP100</t>
  </si>
  <si>
    <t>P23511-2_NFYA</t>
  </si>
  <si>
    <t>P23526_AHCY</t>
  </si>
  <si>
    <t>P23528_CFL1</t>
  </si>
  <si>
    <t>P23588_EIF4B</t>
  </si>
  <si>
    <t>P23610_F8A1</t>
  </si>
  <si>
    <t>P23634-7_ATP2B4</t>
  </si>
  <si>
    <t>P23677_ITPKA</t>
  </si>
  <si>
    <t>P23769-2_GATA2</t>
  </si>
  <si>
    <t>P23786_CPT2</t>
  </si>
  <si>
    <t>P23919_DTYMK</t>
  </si>
  <si>
    <t>P23921_RRM1</t>
  </si>
  <si>
    <t>P24534_EEF1B2</t>
  </si>
  <si>
    <t>P24666_ACP1</t>
  </si>
  <si>
    <t>P24666-2_ACP1</t>
  </si>
  <si>
    <t>P24752_ACAT1</t>
  </si>
  <si>
    <t>P24928_POLR2A</t>
  </si>
  <si>
    <t>P24941_CDK2</t>
  </si>
  <si>
    <t>P25054-2_APC</t>
  </si>
  <si>
    <t>P25098_ADRBK1</t>
  </si>
  <si>
    <t>P25205_MCM3</t>
  </si>
  <si>
    <t>P25398_RPS12</t>
  </si>
  <si>
    <t>P25440_BRD2</t>
  </si>
  <si>
    <t>P25685_DNAJB1</t>
  </si>
  <si>
    <t>P25705_ATP5A1</t>
  </si>
  <si>
    <t>P25774-2_CTSS</t>
  </si>
  <si>
    <t>P25786_PSMA1</t>
  </si>
  <si>
    <t>P25787_PSMA2</t>
  </si>
  <si>
    <t>P25788-2_PSMA3</t>
  </si>
  <si>
    <t>P25789_PSMA4</t>
  </si>
  <si>
    <t>P25815_S100P</t>
  </si>
  <si>
    <t>P26038_MSN</t>
  </si>
  <si>
    <t>P26196_DDX6</t>
  </si>
  <si>
    <t>P26232-2_CTNNA2</t>
  </si>
  <si>
    <t>P26358_DNMT1</t>
  </si>
  <si>
    <t>P26358-2_DNMT1</t>
  </si>
  <si>
    <t>P26368-2_U2AF2</t>
  </si>
  <si>
    <t>P26373_RPL13</t>
  </si>
  <si>
    <t>P26374_CHML</t>
  </si>
  <si>
    <t>P26447_S100A4</t>
  </si>
  <si>
    <t>P26583_HMGB2</t>
  </si>
  <si>
    <t>P26599_PTBP1</t>
  </si>
  <si>
    <t>P26639_TARS</t>
  </si>
  <si>
    <t>P26640_VARS</t>
  </si>
  <si>
    <t>P26641_EEF1G</t>
  </si>
  <si>
    <t>P26885_FKBP2</t>
  </si>
  <si>
    <t>P27144_AK4</t>
  </si>
  <si>
    <t>P27348_YWHAQ</t>
  </si>
  <si>
    <t>P27361_MAPK3</t>
  </si>
  <si>
    <t>P27448-8_MARK3</t>
  </si>
  <si>
    <t>P27540-2_ARNT</t>
  </si>
  <si>
    <t>P27694_RPA1</t>
  </si>
  <si>
    <t>P27695_APEX1</t>
  </si>
  <si>
    <t>P27707_DCK</t>
  </si>
  <si>
    <t>P27797_CALR</t>
  </si>
  <si>
    <t>P27815-6_PDE4A</t>
  </si>
  <si>
    <t>P27816_MAP4</t>
  </si>
  <si>
    <t>P27816-5_MAP4</t>
  </si>
  <si>
    <t>P27824_CANX</t>
  </si>
  <si>
    <t>P27986_PIK3R1</t>
  </si>
  <si>
    <t>P28062-2_PSMB8</t>
  </si>
  <si>
    <t>P28066_PSMA5</t>
  </si>
  <si>
    <t>P28070_PSMB4</t>
  </si>
  <si>
    <t>P28072_PSMB6</t>
  </si>
  <si>
    <t>P28074_PSMB5</t>
  </si>
  <si>
    <t>P28161-2_GSTM2</t>
  </si>
  <si>
    <t>P28289_TMOD1</t>
  </si>
  <si>
    <t>P28331-4_NDUFS1</t>
  </si>
  <si>
    <t>P28340_POLD1</t>
  </si>
  <si>
    <t>P28482_MAPK1</t>
  </si>
  <si>
    <t>P28715_ERCC5</t>
  </si>
  <si>
    <t>P28749_RBL1</t>
  </si>
  <si>
    <t>P28799_GRN</t>
  </si>
  <si>
    <t>P28838-2_LAP3</t>
  </si>
  <si>
    <t>P28908_TNFRSF8</t>
  </si>
  <si>
    <t>P29083_GTF2E1</t>
  </si>
  <si>
    <t>P29084_GTF2E2</t>
  </si>
  <si>
    <t>P29144_TPP2</t>
  </si>
  <si>
    <t>P29218_IMPA1</t>
  </si>
  <si>
    <t>P29350_PTPN6</t>
  </si>
  <si>
    <t>P29353-2_SHC1</t>
  </si>
  <si>
    <t>P29353-7_SHC1</t>
  </si>
  <si>
    <t>P29372-5_MPG</t>
  </si>
  <si>
    <t>P29373_CRABP2</t>
  </si>
  <si>
    <t>P29374-3_ARID4A</t>
  </si>
  <si>
    <t>P29375_KDM5A</t>
  </si>
  <si>
    <t>P29401_TKT</t>
  </si>
  <si>
    <t>P29590_PML</t>
  </si>
  <si>
    <t>P29590-8_PML</t>
  </si>
  <si>
    <t>P29692_EEF1D</t>
  </si>
  <si>
    <t>P29692-2_EEF1D</t>
  </si>
  <si>
    <t>P29692-3_EEF1D</t>
  </si>
  <si>
    <t>P29966_MARCKS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</si>
  <si>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</si>
  <si>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</si>
  <si>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</si>
  <si>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</si>
  <si>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</si>
  <si>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</si>
  <si>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</si>
  <si>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P30047_GCHFR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</si>
  <si>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</si>
  <si>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</si>
  <si>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</si>
  <si>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</si>
  <si>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</si>
  <si>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</si>
  <si>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</si>
  <si>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P30260_CDC27</t>
  </si>
  <si>
    <t>P30279_CCND2</t>
  </si>
  <si>
    <t>P30281_CCND3</t>
  </si>
  <si>
    <t>P30291_WEE1</t>
  </si>
  <si>
    <t>P30307_CDC25C</t>
  </si>
  <si>
    <t>P30405_PPIF</t>
  </si>
  <si>
    <t>P30414_NKTR</t>
  </si>
  <si>
    <t>P30419_NMT1</t>
  </si>
  <si>
    <t>P30520_ADSS</t>
  </si>
  <si>
    <t>P30533_LRPAP1</t>
  </si>
  <si>
    <t>P30566_ADSL</t>
  </si>
  <si>
    <t>P30613_PKLR</t>
  </si>
  <si>
    <t>P30622-2_CLIP1</t>
  </si>
  <si>
    <t>P30711_GSTT1</t>
  </si>
  <si>
    <t>P30740_SERPINB1</t>
  </si>
  <si>
    <t>P30837_ALDH1B1</t>
  </si>
  <si>
    <t>P31040_SDHA</t>
  </si>
  <si>
    <t>P31146_CORO1A</t>
  </si>
  <si>
    <t>P31150_GDI1</t>
  </si>
  <si>
    <t>P31153_MAT2A</t>
  </si>
  <si>
    <t>P31321_PRKAR1B</t>
  </si>
  <si>
    <t>P31323_PRKAR2B</t>
  </si>
  <si>
    <t>P31327_CPS1</t>
  </si>
  <si>
    <t>P31350_RRM2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</si>
  <si>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</si>
  <si>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</si>
  <si>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</si>
  <si>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</si>
  <si>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</si>
  <si>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</si>
  <si>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</si>
  <si>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P31943_HNRNPH1</t>
  </si>
  <si>
    <t>P31946-2_YWHAB</t>
  </si>
  <si>
    <t>P31947-2_SFN</t>
  </si>
  <si>
    <t>P31948_STIP1</t>
  </si>
  <si>
    <t>P31949_S100A11</t>
  </si>
  <si>
    <t>P32019-2_INPP5B</t>
  </si>
  <si>
    <t>P32119_PRDX2</t>
  </si>
  <si>
    <t>P32121-5_ARRB2</t>
  </si>
  <si>
    <t>P32314-2_FOXN2</t>
  </si>
  <si>
    <t>P32321_DCTD</t>
  </si>
  <si>
    <t>P32322_PYCR1</t>
  </si>
  <si>
    <t>P32456_GBP2</t>
  </si>
  <si>
    <t>P32519-2_ELF1</t>
  </si>
  <si>
    <t>P32780_GTF2H1</t>
  </si>
  <si>
    <t>P32929_CTH</t>
  </si>
  <si>
    <t>P33121-2_ACSL1</t>
  </si>
  <si>
    <t>P33176_KIF5B</t>
  </si>
  <si>
    <t>P33240-2_CSTF2</t>
  </si>
  <si>
    <t>P33316_DUT</t>
  </si>
  <si>
    <t>P33316-2_DUT</t>
  </si>
  <si>
    <t>P33552_CKS2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</si>
  <si>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</si>
  <si>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</si>
  <si>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</si>
  <si>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</si>
  <si>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</si>
  <si>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</si>
  <si>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</si>
  <si>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P34913_EPHX2</t>
  </si>
  <si>
    <t>P34932_HSPA4</t>
  </si>
  <si>
    <t>P35219_CA8</t>
  </si>
  <si>
    <t>P35221_CTNNA1</t>
  </si>
  <si>
    <t>P35227_PCGF2</t>
  </si>
  <si>
    <t>P35232_PHB</t>
  </si>
  <si>
    <t>P35236_PTPN7</t>
  </si>
  <si>
    <t>P35237_SERPINB6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</si>
  <si>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</si>
  <si>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</si>
  <si>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</si>
  <si>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</si>
  <si>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</si>
  <si>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</si>
  <si>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</si>
  <si>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</si>
  <si>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P35520_CBS</t>
  </si>
  <si>
    <t>P35527_KRT9</t>
  </si>
  <si>
    <t>P35568_IRS1</t>
  </si>
  <si>
    <t>P35579_MYH9</t>
  </si>
  <si>
    <t>P35579-2_MYH9</t>
  </si>
  <si>
    <t>P35580_MYH10</t>
  </si>
  <si>
    <t>P35606_COPB2</t>
  </si>
  <si>
    <t>P35611_ADD1</t>
  </si>
  <si>
    <t>P35611-2_ADD1</t>
  </si>
  <si>
    <t>P35612_ADD2</t>
  </si>
  <si>
    <t>P35613-2_BSG</t>
  </si>
  <si>
    <t>P35637-2_FUS</t>
  </si>
  <si>
    <t>P35638_DDIT3</t>
  </si>
  <si>
    <t>P35658-2_NUP214</t>
  </si>
  <si>
    <t>P35658-4_NUP214</t>
  </si>
  <si>
    <t>P35712_SOX6</t>
  </si>
  <si>
    <t>P35749-4_MYH11</t>
  </si>
  <si>
    <t>P35754_GLRX</t>
  </si>
  <si>
    <t>P35790-2_CHKA</t>
  </si>
  <si>
    <t>P35813_PPM1A</t>
  </si>
  <si>
    <t>P35869_AHR</t>
  </si>
  <si>
    <t>P35908_KRT2</t>
  </si>
  <si>
    <t>P35998_PSMC2</t>
  </si>
  <si>
    <t>P36404_ARL2</t>
  </si>
  <si>
    <t>P36405_ARL3</t>
  </si>
  <si>
    <t>P36507_MAP2K2</t>
  </si>
  <si>
    <t>P36543_ATP6V1E1</t>
  </si>
  <si>
    <t>P36551_CPOX</t>
  </si>
  <si>
    <t>P36578_RPL4</t>
  </si>
  <si>
    <t>P36639-4_NUDT1</t>
  </si>
  <si>
    <t>P36873_PPP1CC</t>
  </si>
  <si>
    <t>P36915_GNL1</t>
  </si>
  <si>
    <t>P36954_POLR2I</t>
  </si>
  <si>
    <t>P36955_SERPINF1</t>
  </si>
  <si>
    <t>P36957_DLST</t>
  </si>
  <si>
    <t>P36959_GMPR</t>
  </si>
  <si>
    <t>P36969-2_GPX4</t>
  </si>
  <si>
    <t>P37108_SRP14</t>
  </si>
  <si>
    <t>P37198_NUP62</t>
  </si>
  <si>
    <t>P37235_HPCAL1</t>
  </si>
  <si>
    <t>P37802_TAGLN2</t>
  </si>
  <si>
    <t>P37837_TALDO1</t>
  </si>
  <si>
    <t>P37840-2_SNCA</t>
  </si>
  <si>
    <t>P38117_ETFB</t>
  </si>
  <si>
    <t>P38159_RBMX</t>
  </si>
  <si>
    <t>P38398-4_BRCA1</t>
  </si>
  <si>
    <t>P38432_COIL</t>
  </si>
  <si>
    <t>P38606_ATP6V1A</t>
  </si>
  <si>
    <t>P38646_HSPA9</t>
  </si>
  <si>
    <t>P38919_EIF4A3</t>
  </si>
  <si>
    <t>P38935_IGHMBP2</t>
  </si>
  <si>
    <t>P39019_RPS19</t>
  </si>
  <si>
    <t>P39023_RPL3</t>
  </si>
  <si>
    <t>P39059_COL15A1</t>
  </si>
  <si>
    <t>P39656_DDOST</t>
  </si>
  <si>
    <t>P39687_ANP32A</t>
  </si>
  <si>
    <t>P39748_FEN1</t>
  </si>
  <si>
    <t>P39880-3_CUX1</t>
  </si>
  <si>
    <t>P40121-2_CAPG</t>
  </si>
  <si>
    <t>P40189-3_IL6ST</t>
  </si>
  <si>
    <t>P40222_TXLNA</t>
  </si>
  <si>
    <t>P40227_CCT6A</t>
  </si>
  <si>
    <t>P40306_PSMB10</t>
  </si>
  <si>
    <t>P40337-3_VHL</t>
  </si>
  <si>
    <t>P40425_PBX2</t>
  </si>
  <si>
    <t>P40429_RPL13A</t>
  </si>
  <si>
    <t>P40692_MLH1</t>
  </si>
  <si>
    <t>P40763_STAT3</t>
  </si>
  <si>
    <t>P40818_USP8</t>
  </si>
  <si>
    <t>P40925_MDH1</t>
  </si>
  <si>
    <t>P40926_MDH2</t>
  </si>
  <si>
    <t>P40937_RFC5</t>
  </si>
  <si>
    <t>P40938_RFC3</t>
  </si>
  <si>
    <t>P40939_HADHA</t>
  </si>
  <si>
    <t>P41091_EIF2S3</t>
  </si>
  <si>
    <t>P41162_ETV3</t>
  </si>
  <si>
    <t>P41208_CETN2</t>
  </si>
  <si>
    <t>P41212_ETV6</t>
  </si>
  <si>
    <t>P41214_EIF2D</t>
  </si>
  <si>
    <t>P41223_BUD31</t>
  </si>
  <si>
    <t>P41227-2_NAA10</t>
  </si>
  <si>
    <t>P41229-2_KDM5C</t>
  </si>
  <si>
    <t>P41236_PPP1R2</t>
  </si>
  <si>
    <t>P41240_CSK</t>
  </si>
  <si>
    <t>P41250_GARS</t>
  </si>
  <si>
    <t>P41252_IARS</t>
  </si>
  <si>
    <t>P41567_EIF1</t>
  </si>
  <si>
    <t>P41743_PRKCI</t>
  </si>
  <si>
    <t>P42025_ACTR1B</t>
  </si>
  <si>
    <t>P42126-2_ECI1</t>
  </si>
  <si>
    <t>P42166_TMPO</t>
  </si>
  <si>
    <t>P42167_TMPO</t>
  </si>
  <si>
    <t>P42224_STAT1</t>
  </si>
  <si>
    <t>P42226_STAT6</t>
  </si>
  <si>
    <t>P42285_SKIV2L2</t>
  </si>
  <si>
    <t>P42330_AKR1C3</t>
  </si>
  <si>
    <t>P42331-6_ARHGAP25</t>
  </si>
  <si>
    <t>P42336_PIK3CA</t>
  </si>
  <si>
    <t>P42338_PIK3CB</t>
  </si>
  <si>
    <t>P42345_MTOR</t>
  </si>
  <si>
    <t>P42356_PI4KA</t>
  </si>
  <si>
    <t>P42566_EPS15</t>
  </si>
  <si>
    <t>P42574_CASP3</t>
  </si>
  <si>
    <t>P42575_CASP2</t>
  </si>
  <si>
    <t>P42677_RPS27</t>
  </si>
  <si>
    <t>P42679-3_MATK</t>
  </si>
  <si>
    <t>P42680_TEC</t>
  </si>
  <si>
    <t>P42684-6_ABL2</t>
  </si>
  <si>
    <t>P42694_HELZ</t>
  </si>
  <si>
    <t>P42695_NCAPD3</t>
  </si>
  <si>
    <t>P42696-2_RBM34</t>
  </si>
  <si>
    <t>P42704_LRPPRC</t>
  </si>
  <si>
    <t>P42765_ACAA2</t>
  </si>
  <si>
    <t>P42768_WAS</t>
  </si>
  <si>
    <t>P42773_CDKN2C</t>
  </si>
  <si>
    <t>P42785_PRCP</t>
  </si>
  <si>
    <t>P42858_HTT</t>
  </si>
  <si>
    <t>P43034_PAFAH1B1</t>
  </si>
  <si>
    <t>P43121_MCAM</t>
  </si>
  <si>
    <t>P43155-3_CRAT</t>
  </si>
  <si>
    <t>P43246_MSH2</t>
  </si>
  <si>
    <t>P43355_MAGEA1</t>
  </si>
  <si>
    <t>P43356_MAGEA2</t>
  </si>
  <si>
    <t>P43358_MAGEA4</t>
  </si>
  <si>
    <t>P43405-2_SYK</t>
  </si>
  <si>
    <t>P43487_RANBP1</t>
  </si>
  <si>
    <t>P43490_NAMPT</t>
  </si>
  <si>
    <t>P43686_PSMC4</t>
  </si>
  <si>
    <t>P43897_TSFM</t>
  </si>
  <si>
    <t>P45880_VDAC2</t>
  </si>
  <si>
    <t>P45973_CBX5</t>
  </si>
  <si>
    <t>P45974-2_USP5</t>
  </si>
  <si>
    <t>P45983-3_MAPK8</t>
  </si>
  <si>
    <t>P45984-2_MAPK9</t>
  </si>
  <si>
    <t>P45985_MAP2K4</t>
  </si>
  <si>
    <t>P46013_MKI67</t>
  </si>
  <si>
    <t>P46019_PHKA2</t>
  </si>
  <si>
    <t>P46020-3_PHKA1</t>
  </si>
  <si>
    <t>P46060_RANGAP1</t>
  </si>
  <si>
    <t>P46063_RECQL</t>
  </si>
  <si>
    <t>P46087_NOP2</t>
  </si>
  <si>
    <t>P46100-4_ATRX</t>
  </si>
  <si>
    <t>P46108_CRK</t>
  </si>
  <si>
    <t>P46109_CRKL</t>
  </si>
  <si>
    <t>P46199_MTIF2</t>
  </si>
  <si>
    <t>P46527_CDKN1B</t>
  </si>
  <si>
    <t>P46531_NOTCH1</t>
  </si>
  <si>
    <t>P46734-2_MAP2K3</t>
  </si>
  <si>
    <t>P46736-2_BRCC3</t>
  </si>
  <si>
    <t>P46777_RPL5</t>
  </si>
  <si>
    <t>P46779-4_RPL28</t>
  </si>
  <si>
    <t>P46781_RPS9</t>
  </si>
  <si>
    <t>P46783_RPS10</t>
  </si>
  <si>
    <t>P46821_MAP1B</t>
  </si>
  <si>
    <t>P46926_GNPDA1</t>
  </si>
  <si>
    <t>P46934-4_NEDD4</t>
  </si>
  <si>
    <t>P46939_UTRN</t>
  </si>
  <si>
    <t>P46940_IQGAP1</t>
  </si>
  <si>
    <t>P46976-2_GYG1</t>
  </si>
  <si>
    <t>P46977_STT3A</t>
  </si>
  <si>
    <t>P47224_RABIF</t>
  </si>
  <si>
    <t>P47712_PLA2G4A</t>
  </si>
  <si>
    <t>P47736_RAP1GAP</t>
  </si>
  <si>
    <t>P47755_CAPZA2</t>
  </si>
  <si>
    <t>P47813_EIF1AX</t>
  </si>
  <si>
    <t>P47897_QARS</t>
  </si>
  <si>
    <t>P47914_RPL29</t>
  </si>
  <si>
    <t>P47974_ZFP36L2</t>
  </si>
  <si>
    <t>P47985_UQCRFS1</t>
  </si>
  <si>
    <t>P48047_ATP5O</t>
  </si>
  <si>
    <t>P48059_LIMS1</t>
  </si>
  <si>
    <t>P48147_PREP</t>
  </si>
  <si>
    <t>P48163_ME1</t>
  </si>
  <si>
    <t>P48200_IREB2</t>
  </si>
  <si>
    <t>P48378-2_RFX2</t>
  </si>
  <si>
    <t>P48380-2_RFX3</t>
  </si>
  <si>
    <t>P48382_RFX5</t>
  </si>
  <si>
    <t>P48444_ARCN1</t>
  </si>
  <si>
    <t>P48449-2_LSS</t>
  </si>
  <si>
    <t>P48454_PPP3CC</t>
  </si>
  <si>
    <t>P48506_GCLC</t>
  </si>
  <si>
    <t>P48507_GCLM</t>
  </si>
  <si>
    <t>P48553_TRAPPC10</t>
  </si>
  <si>
    <t>P48634_PRRC2A</t>
  </si>
  <si>
    <t>P48637_GSS</t>
  </si>
  <si>
    <t>P48643_CCT5</t>
  </si>
  <si>
    <t>P48651_PTDSS1</t>
  </si>
  <si>
    <t>P48681_NES</t>
  </si>
  <si>
    <t>P48729_CSNK1A1</t>
  </si>
  <si>
    <t>P48730_CSNK1D</t>
  </si>
  <si>
    <t>P48736_PIK3CG</t>
  </si>
  <si>
    <t>P48739_PITPNB</t>
  </si>
  <si>
    <t>P49005_POLD2</t>
  </si>
  <si>
    <t>P49006_MARCKSL1</t>
  </si>
  <si>
    <t>P49116_NR2C2</t>
  </si>
  <si>
    <t>P49116-2_NR2C2</t>
  </si>
  <si>
    <t>P49137_MAPKAPK2</t>
  </si>
  <si>
    <t>P49189_ALDH9A1</t>
  </si>
  <si>
    <t>P49207_RPL34</t>
  </si>
  <si>
    <t>P49247_RPIA</t>
  </si>
  <si>
    <t>P49257_LMAN1</t>
  </si>
  <si>
    <t>P49321_NASP</t>
  </si>
  <si>
    <t>P49327_FASN</t>
  </si>
  <si>
    <t>P49336-2_CDK8</t>
  </si>
  <si>
    <t>P49354_FNTA</t>
  </si>
  <si>
    <t>P49366_DHPS</t>
  </si>
  <si>
    <t>P49368_CCT3</t>
  </si>
  <si>
    <t>P49407_ARRB1</t>
  </si>
  <si>
    <t>P49407-2_ARRB1</t>
  </si>
  <si>
    <t>P49411_TUFM</t>
  </si>
  <si>
    <t>P49427_CDC34</t>
  </si>
  <si>
    <t>P49441_INPP1</t>
  </si>
  <si>
    <t>P49448_GLUD2</t>
  </si>
  <si>
    <t>P49454_CENPF</t>
  </si>
  <si>
    <t>P49458_SRP9</t>
  </si>
  <si>
    <t>P49459_UBE2A</t>
  </si>
  <si>
    <t>P49585_PCYT1A</t>
  </si>
  <si>
    <t>P49588_AARS</t>
  </si>
  <si>
    <t>P49589-3_CARS</t>
  </si>
  <si>
    <t>P49591_SARS</t>
  </si>
  <si>
    <t>P49593_PPM1F</t>
  </si>
  <si>
    <t>P49642_PRIM1</t>
  </si>
  <si>
    <t>P49643_PRIM2</t>
  </si>
  <si>
    <t>P49662-2_CASP4</t>
  </si>
  <si>
    <t>P49674_CSNK1E</t>
  </si>
  <si>
    <t>P49711_CTCF</t>
  </si>
  <si>
    <t>P49716_CEBPD</t>
  </si>
  <si>
    <t>P49720_PSMB3</t>
  </si>
  <si>
    <t>P49721_PSMB2</t>
  </si>
  <si>
    <t>P49736_MCM2</t>
  </si>
  <si>
    <t>P49748_ACADVL</t>
  </si>
  <si>
    <t>P49750-4_YLPM1</t>
  </si>
  <si>
    <t>P49755_TMED10</t>
  </si>
  <si>
    <t>P49756_RBM25</t>
  </si>
  <si>
    <t>P49757-3_NUMB</t>
  </si>
  <si>
    <t>P49770_EIF2B2</t>
  </si>
  <si>
    <t>P49773_HINT1</t>
  </si>
  <si>
    <t>P49789_FHIT</t>
  </si>
  <si>
    <t>P49792_RANBP2</t>
  </si>
  <si>
    <t>P49796-4_RGS3</t>
  </si>
  <si>
    <t>P49841_GSK3B</t>
  </si>
  <si>
    <t>P49848-2_TAF6</t>
  </si>
  <si>
    <t>P49902_NT5C2</t>
  </si>
  <si>
    <t>P49903_SEPHS1</t>
  </si>
  <si>
    <t>P49914_MTHFS</t>
  </si>
  <si>
    <t>P49915_GMPS</t>
  </si>
  <si>
    <t>P49916_LIG3</t>
  </si>
  <si>
    <t>P49918-2_CDKN1C</t>
  </si>
  <si>
    <t>P49959_MRE11A</t>
  </si>
  <si>
    <t>P50053_KHK</t>
  </si>
  <si>
    <t>P50135_HNMT</t>
  </si>
  <si>
    <t>P50213_IDH3A</t>
  </si>
  <si>
    <t>P50219_MNX1</t>
  </si>
  <si>
    <t>P50225_SULT1A1</t>
  </si>
  <si>
    <t>P50238_CRIP1</t>
  </si>
  <si>
    <t>P50395_GDI2</t>
  </si>
  <si>
    <t>P50402_EMD</t>
  </si>
  <si>
    <t>P50453_SERPINB9</t>
  </si>
  <si>
    <t>P50454_SERPINH1</t>
  </si>
  <si>
    <t>P50479_PDLIM4</t>
  </si>
  <si>
    <t>P50502_ST13</t>
  </si>
  <si>
    <t>P50542-3_PEX5</t>
  </si>
  <si>
    <t>P50552_VASP</t>
  </si>
  <si>
    <t>P50570-4_DNM2</t>
  </si>
  <si>
    <t>P50579_METAP2</t>
  </si>
  <si>
    <t>P50583_NUDT2</t>
  </si>
  <si>
    <t>P50613_CDK7</t>
  </si>
  <si>
    <t>P50747_HLCS</t>
  </si>
  <si>
    <t>P50748_KNTC1</t>
  </si>
  <si>
    <t>P50749_RASSF2</t>
  </si>
  <si>
    <t>P50750_CDK9</t>
  </si>
  <si>
    <t>P50851_LRBA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</si>
  <si>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</si>
  <si>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</si>
  <si>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</si>
  <si>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</si>
  <si>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</si>
  <si>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</si>
  <si>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</si>
  <si>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</si>
  <si>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P51157_RAB28</t>
  </si>
  <si>
    <t>P51159-2_RAB27A</t>
  </si>
  <si>
    <t>P51161_FABP6</t>
  </si>
  <si>
    <t>P51178_PLCD1</t>
  </si>
  <si>
    <t>P51398-2_DAP3</t>
  </si>
  <si>
    <t>P51452_DUSP3</t>
  </si>
  <si>
    <t>P51511_MMP15</t>
  </si>
  <si>
    <t>P51531-2_SMARCA2</t>
  </si>
  <si>
    <t>P51532-5_SMARCA4</t>
  </si>
  <si>
    <t>P51570_GALK1</t>
  </si>
  <si>
    <t>P51571_SSR4</t>
  </si>
  <si>
    <t>P51572_BCAP31</t>
  </si>
  <si>
    <t>P51580_TPMT</t>
  </si>
  <si>
    <t>P51587_BRCA2</t>
  </si>
  <si>
    <t>P51606_RENBP</t>
  </si>
  <si>
    <t>P51608_MECP2</t>
  </si>
  <si>
    <t>P51610_HCFC1</t>
  </si>
  <si>
    <t>P51610-4_HCFC1</t>
  </si>
  <si>
    <t>P51617_IRAK1</t>
  </si>
  <si>
    <t>P51649_ALDH5A1</t>
  </si>
  <si>
    <t>P51659_HSD17B4</t>
  </si>
  <si>
    <t>P51665_PSMD7</t>
  </si>
  <si>
    <t>P51668_UBE2D1</t>
  </si>
  <si>
    <t>P51687_SUOX</t>
  </si>
  <si>
    <t>P51688_SGSH</t>
  </si>
  <si>
    <t>P51692_STAT5B</t>
  </si>
  <si>
    <t>P51808_DYNLT3</t>
  </si>
  <si>
    <t>P51809_VAMP7</t>
  </si>
  <si>
    <t>P51825-3_AFF1</t>
  </si>
  <si>
    <t>P51857-2_AKR1D1</t>
  </si>
  <si>
    <t>P51858_HDGF</t>
  </si>
  <si>
    <t>P51946_CCNH</t>
  </si>
  <si>
    <t>P51948_MNAT1</t>
  </si>
  <si>
    <t>P51991_HNRNPA3</t>
  </si>
  <si>
    <t>P52272-2_HNRNPM</t>
  </si>
  <si>
    <t>P52292_KPNA2</t>
  </si>
  <si>
    <t>P52294_KPNA1</t>
  </si>
  <si>
    <t>P52298_NCBP2</t>
  </si>
  <si>
    <t>P52306_RAP1GDS1</t>
  </si>
  <si>
    <t>P52566_ARHGDIB</t>
  </si>
  <si>
    <t>P52594-2_AGFG1</t>
  </si>
  <si>
    <t>P52597_HNRNPF</t>
  </si>
  <si>
    <t>P52630-4_STAT2</t>
  </si>
  <si>
    <t>P52655_GTF2A1</t>
  </si>
  <si>
    <t>P52657_GTF2A2</t>
  </si>
  <si>
    <t>P52701_MSH6</t>
  </si>
  <si>
    <t>P52732_KIF11</t>
  </si>
  <si>
    <t>P52735-3_VAV2</t>
  </si>
  <si>
    <t>P52739-2_ZNF131</t>
  </si>
  <si>
    <t>P52747-2_ZNF143</t>
  </si>
  <si>
    <t>P52756_RBM5</t>
  </si>
  <si>
    <t>P52758_HRSP12</t>
  </si>
  <si>
    <t>P52788_SMS</t>
  </si>
  <si>
    <t>P52789_HK2</t>
  </si>
  <si>
    <t>P52815_MRPL12</t>
  </si>
  <si>
    <t>P52824_DGKQ</t>
  </si>
  <si>
    <t>P52888_THOP1</t>
  </si>
  <si>
    <t>P52907_CAPZA1</t>
  </si>
  <si>
    <t>P52948-5_NUP98</t>
  </si>
  <si>
    <t>P53004_BLVRA</t>
  </si>
  <si>
    <t>P53350_PLK1</t>
  </si>
  <si>
    <t>P53365_ARFIP2</t>
  </si>
  <si>
    <t>P53367-2_ARFIP1</t>
  </si>
  <si>
    <t>P53370-2_NUDT6</t>
  </si>
  <si>
    <t>P53384-2_NUBP1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</si>
  <si>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</si>
  <si>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</si>
  <si>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</si>
  <si>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</si>
  <si>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</si>
  <si>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</si>
  <si>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</si>
  <si>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</si>
  <si>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P53667-4_LIMK1</t>
  </si>
  <si>
    <t>P53675-2_CLTCL1</t>
  </si>
  <si>
    <t>P53677_AP3M2</t>
  </si>
  <si>
    <t>P53680_AP2S1</t>
  </si>
  <si>
    <t>P53701_HCCS</t>
  </si>
  <si>
    <t>P53778_MAPK12</t>
  </si>
  <si>
    <t>P53794_SLC5A3</t>
  </si>
  <si>
    <t>P53803_POLR2K</t>
  </si>
  <si>
    <t>P53805_RCAN1</t>
  </si>
  <si>
    <t>P53814-5_SMTN</t>
  </si>
  <si>
    <t>P53985_SLC16A1</t>
  </si>
  <si>
    <t>P53990-2_IST1</t>
  </si>
  <si>
    <t>P53992_SEC24C</t>
  </si>
  <si>
    <t>P53999_SUB1</t>
  </si>
  <si>
    <t>P54136_RARS</t>
  </si>
  <si>
    <t>P54136-2_RARS</t>
  </si>
  <si>
    <t>P54198_HIRA</t>
  </si>
  <si>
    <t>P54259_ATN1</t>
  </si>
  <si>
    <t>P54274-2_TERF1</t>
  </si>
  <si>
    <t>P54277-3_PMS1</t>
  </si>
  <si>
    <t>P54278_PMS2</t>
  </si>
  <si>
    <t>P54577_YARS</t>
  </si>
  <si>
    <t>P54578_USP14</t>
  </si>
  <si>
    <t>P54619-2_PRKAG1</t>
  </si>
  <si>
    <t>P54687-4_BCAT1</t>
  </si>
  <si>
    <t>P54709_ATP1B3</t>
  </si>
  <si>
    <t>P54727_RAD23B</t>
  </si>
  <si>
    <t>P54802_NAGLU</t>
  </si>
  <si>
    <t>P54886-2_ALDH18A1</t>
  </si>
  <si>
    <t>P54920_NAPA</t>
  </si>
  <si>
    <t>P54922_ADPRH</t>
  </si>
  <si>
    <t>P55008_AIF1</t>
  </si>
  <si>
    <t>P55010_EIF5</t>
  </si>
  <si>
    <t>P55036_PSMD4</t>
  </si>
  <si>
    <t>P55039_DRG2</t>
  </si>
  <si>
    <t>P55058-3_PLTP</t>
  </si>
  <si>
    <t>P55060-3_CSE1L</t>
  </si>
  <si>
    <t>P55072_VCP</t>
  </si>
  <si>
    <t>P55081_MFAP1</t>
  </si>
  <si>
    <t>P55145_MANF</t>
  </si>
  <si>
    <t>P55160_NCKAP1L</t>
  </si>
  <si>
    <t>P55196-3_MLLT4</t>
  </si>
  <si>
    <t>P55198_MLLT6</t>
  </si>
  <si>
    <t>P55199_ELL</t>
  </si>
  <si>
    <t>P55211_CASP9</t>
  </si>
  <si>
    <t>P55212_CASP6</t>
  </si>
  <si>
    <t>P55263_ADK</t>
  </si>
  <si>
    <t>P55265-5_ADAR</t>
  </si>
  <si>
    <t>P55273_CDKN2D</t>
  </si>
  <si>
    <t>P55327-2_TPD52</t>
  </si>
  <si>
    <t>P55347-2_PKNOX1</t>
  </si>
  <si>
    <t>P55735_SEC13</t>
  </si>
  <si>
    <t>P55769_NHP2L1</t>
  </si>
  <si>
    <t>P55771_PAX9</t>
  </si>
  <si>
    <t>P55789_GFER</t>
  </si>
  <si>
    <t>P55795_HNRNPH2</t>
  </si>
  <si>
    <t>P55854_SUMO3</t>
  </si>
  <si>
    <t>P55884_EIF3B</t>
  </si>
  <si>
    <t>P55957_BID</t>
  </si>
  <si>
    <t>P56181-2_NDUFV3</t>
  </si>
  <si>
    <t>P56182_RRP1</t>
  </si>
  <si>
    <t>P56192_MARS</t>
  </si>
  <si>
    <t>P56211_ARPP19</t>
  </si>
  <si>
    <t>P56277_CMC4</t>
  </si>
  <si>
    <t>P56282-3_POLE2</t>
  </si>
  <si>
    <t>P56377_AP1S2</t>
  </si>
  <si>
    <t>P56385_ATP5I</t>
  </si>
  <si>
    <t>P56524_HDAC4</t>
  </si>
  <si>
    <t>P56537_EIF6</t>
  </si>
  <si>
    <t>P56597_NME5</t>
  </si>
  <si>
    <t>P56645_PER3</t>
  </si>
  <si>
    <t>P56945-5_BCAR1</t>
  </si>
  <si>
    <t>P56962_STX17</t>
  </si>
  <si>
    <t>P57060_RWDD2B</t>
  </si>
  <si>
    <t>P57076_C21orf59</t>
  </si>
  <si>
    <t>P57081_WDR4</t>
  </si>
  <si>
    <t>P57088_TMEM33</t>
  </si>
  <si>
    <t>P57105_SYNJ2BP</t>
  </si>
  <si>
    <t>P57682_KLF3</t>
  </si>
  <si>
    <t>P57737-3_CORO7</t>
  </si>
  <si>
    <t>P57740_NUP107</t>
  </si>
  <si>
    <t>P57764_GSDMD</t>
  </si>
  <si>
    <t>P57768_SNX16</t>
  </si>
  <si>
    <t>P57772_EEFSEC</t>
  </si>
  <si>
    <t>P58004_SESN2</t>
  </si>
  <si>
    <t>P58107_EPPK1</t>
  </si>
  <si>
    <t>P58335-2_ANTXR2</t>
  </si>
  <si>
    <t>P58546_MTPN</t>
  </si>
  <si>
    <t>P59780_AP3S2</t>
  </si>
  <si>
    <t>P59817_ZNF280A</t>
  </si>
  <si>
    <t>P59923_ZNF445</t>
  </si>
  <si>
    <t>P59998_ARPC4</t>
  </si>
  <si>
    <t>P60174-1_TPI1</t>
  </si>
  <si>
    <t>P60228_EIF3E</t>
  </si>
  <si>
    <t>P60468_SEC61B</t>
  </si>
  <si>
    <t>P60510_PPP4C</t>
  </si>
  <si>
    <t>P60520_GABARAPL2</t>
  </si>
  <si>
    <t>P60604-2_UBE2G2</t>
  </si>
  <si>
    <t>P60660-2_MYL6</t>
  </si>
  <si>
    <t>P60763_RAC3</t>
  </si>
  <si>
    <t>P60842_EIF4A1</t>
  </si>
  <si>
    <t>P60866_RPS20</t>
  </si>
  <si>
    <t>P60891_PRPS1</t>
  </si>
  <si>
    <t>P60900_PSMA6</t>
  </si>
  <si>
    <t>P60953_CDC42</t>
  </si>
  <si>
    <t>P60953-1_CDC42</t>
  </si>
  <si>
    <t>P60981-2_DSTN</t>
  </si>
  <si>
    <t>P60983_GMFB</t>
  </si>
  <si>
    <t>P61006_RAB8A</t>
  </si>
  <si>
    <t>P61009_SPCS3</t>
  </si>
  <si>
    <t>P61011_SRP54</t>
  </si>
  <si>
    <t>P61018_RAB4B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</si>
  <si>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</si>
  <si>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</si>
  <si>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</si>
  <si>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</si>
  <si>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</si>
  <si>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</si>
  <si>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</si>
  <si>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</si>
  <si>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</si>
  <si>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P61129_ZC3H6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</si>
  <si>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</si>
  <si>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</si>
  <si>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</si>
  <si>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</si>
  <si>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</si>
  <si>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</si>
  <si>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</si>
  <si>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</si>
  <si>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P61244-2_MAX</t>
  </si>
  <si>
    <t>P61247_RPS3A</t>
  </si>
  <si>
    <t>P61254_RPL26</t>
  </si>
  <si>
    <t>P61289_PSME3</t>
  </si>
  <si>
    <t>P61326_MAGOH</t>
  </si>
  <si>
    <t>P61353_RPL27</t>
  </si>
  <si>
    <t>P61457_PCBD1</t>
  </si>
  <si>
    <t>P61586_RHOA</t>
  </si>
  <si>
    <t>P61599_NAA20</t>
  </si>
  <si>
    <t>P61601_NCALD</t>
  </si>
  <si>
    <t>P61604_HSPE1</t>
  </si>
  <si>
    <t>P61619_SEC61A1</t>
  </si>
  <si>
    <t>P61758_VBP1</t>
  </si>
  <si>
    <t>P61764_STXBP1</t>
  </si>
  <si>
    <t>P61923_COPZ1</t>
  </si>
  <si>
    <t>P61956-2_SUMO2</t>
  </si>
  <si>
    <t>P61960_UFM1</t>
  </si>
  <si>
    <t>P61962_DCAF7</t>
  </si>
  <si>
    <t>P61964_WDR5</t>
  </si>
  <si>
    <t>P61966_AP1S1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</si>
  <si>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</si>
  <si>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</si>
  <si>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</si>
  <si>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</si>
  <si>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</si>
  <si>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</si>
  <si>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</si>
  <si>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</si>
  <si>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P62158_CALM1</t>
  </si>
  <si>
    <t>P62166_NCS1</t>
  </si>
  <si>
    <t>P62191_PSMC1</t>
  </si>
  <si>
    <t>P62195-2_PSMC5</t>
  </si>
  <si>
    <t>P62241_RPS8</t>
  </si>
  <si>
    <t>P62249_RPS16</t>
  </si>
  <si>
    <t>P62253_UBE2G1</t>
  </si>
  <si>
    <t>P62256_UBE2H</t>
  </si>
  <si>
    <t>P62258_YWHAE</t>
  </si>
  <si>
    <t>P62263_RPS14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</si>
  <si>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</si>
  <si>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</si>
  <si>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</si>
  <si>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</si>
  <si>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</si>
  <si>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</si>
  <si>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</si>
  <si>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</si>
  <si>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</si>
  <si>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</si>
  <si>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</si>
  <si>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</si>
  <si>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</si>
  <si>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</si>
  <si>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</si>
  <si>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</si>
  <si>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</si>
  <si>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</si>
  <si>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P62633-2_CNBP</t>
  </si>
  <si>
    <t>P62633-3_CNBP</t>
  </si>
  <si>
    <t>P62633-4_CNBP</t>
  </si>
  <si>
    <t>P62633-5_CNBP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</si>
  <si>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</si>
  <si>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</si>
  <si>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</si>
  <si>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</si>
  <si>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</si>
  <si>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</si>
  <si>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</si>
  <si>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P62826_RAN</t>
  </si>
  <si>
    <t>P62829_RPL23</t>
  </si>
  <si>
    <t>P62834_RAP1A</t>
  </si>
  <si>
    <t>P62837_UBE2D2</t>
  </si>
  <si>
    <t>P62847-2_RPS24</t>
  </si>
  <si>
    <t>P62851_RPS25</t>
  </si>
  <si>
    <t>P62854_RPS26</t>
  </si>
  <si>
    <t>P62857_RPS28</t>
  </si>
  <si>
    <t>P62861_FAU</t>
  </si>
  <si>
    <t>P62873_GNB1</t>
  </si>
  <si>
    <t>P62877_RBX1</t>
  </si>
  <si>
    <t>P62906_RPL10A</t>
  </si>
  <si>
    <t>P62913-2_RPL11</t>
  </si>
  <si>
    <t>P62937_PPIA</t>
  </si>
  <si>
    <t>P62942_FKBP1A</t>
  </si>
  <si>
    <t>P62979_RPS27A</t>
  </si>
  <si>
    <t>P62993_GRB2</t>
  </si>
  <si>
    <t>P62995-3_TRA2B</t>
  </si>
  <si>
    <t>P63000_RAC1</t>
  </si>
  <si>
    <t>P63010_AP2B1</t>
  </si>
  <si>
    <t>P63092-3_GNAS</t>
  </si>
  <si>
    <t>P63104_YWHAZ</t>
  </si>
  <si>
    <t>P63151_PPP2R2A</t>
  </si>
  <si>
    <t>P63165_SUMO1</t>
  </si>
  <si>
    <t>P63167_DYNLL1</t>
  </si>
  <si>
    <t>P63241_EIF5A</t>
  </si>
  <si>
    <t>P63244_GNB2L1</t>
  </si>
  <si>
    <t>P63261_ACTG1</t>
  </si>
  <si>
    <t>P63272_SUPT4H1</t>
  </si>
  <si>
    <t>P63279_UBE2I</t>
  </si>
  <si>
    <t>P63302_SEPW1</t>
  </si>
  <si>
    <t>P63313_TMSB10</t>
  </si>
  <si>
    <t>P67775_PPP2CA</t>
  </si>
  <si>
    <t>P67809_YBX1</t>
  </si>
  <si>
    <t>P67870_CSNK2B</t>
  </si>
  <si>
    <t>P67936_TPM4</t>
  </si>
  <si>
    <t>P68032_ACTC1</t>
  </si>
  <si>
    <t>P68036_UBE2L3</t>
  </si>
  <si>
    <t>P68104_EEF1A1</t>
  </si>
  <si>
    <t>P68133_ACTA1</t>
  </si>
  <si>
    <t>P68363_TUBA1B</t>
  </si>
  <si>
    <t>P68371_TUBB4B</t>
  </si>
  <si>
    <t>P68402_PAFAH1B2</t>
  </si>
  <si>
    <t>P69891_HBG1</t>
  </si>
  <si>
    <t>P69892_HBG2</t>
  </si>
  <si>
    <t>P69905_HBA1</t>
  </si>
  <si>
    <t>P78312-6_FAM193A</t>
  </si>
  <si>
    <t>P78314_SH3BP2</t>
  </si>
  <si>
    <t>P78318_IGBP1</t>
  </si>
  <si>
    <t>P78330_PSPH</t>
  </si>
  <si>
    <t>P78332_RBM6</t>
  </si>
  <si>
    <t>P78337_PITX1</t>
  </si>
  <si>
    <t>P78345_RPP38</t>
  </si>
  <si>
    <t>P78346_RPP30</t>
  </si>
  <si>
    <t>P78347-2_GTF2I</t>
  </si>
  <si>
    <t>P78356_PIP4K2B</t>
  </si>
  <si>
    <t>P78364_PHC1</t>
  </si>
  <si>
    <t>P78371_CCT2</t>
  </si>
  <si>
    <t>P78406_RAE1</t>
  </si>
  <si>
    <t>P78417_GSTO1</t>
  </si>
  <si>
    <t>P78527_PRKDC</t>
  </si>
  <si>
    <t>P78537_BLOC1S1</t>
  </si>
  <si>
    <t>P78549_NTHL1</t>
  </si>
  <si>
    <t>P78559_MAP1A</t>
  </si>
  <si>
    <t>P78560_CRADD</t>
  </si>
  <si>
    <t>P80217_IFI35</t>
  </si>
  <si>
    <t>P80297_MT1X</t>
  </si>
  <si>
    <t>P80303-2_NUCB2</t>
  </si>
  <si>
    <t>P81605_DCD</t>
  </si>
  <si>
    <t>P81877-4_SSBP2</t>
  </si>
  <si>
    <t>P82094_TMF1</t>
  </si>
  <si>
    <t>P82664_MRPS10</t>
  </si>
  <si>
    <t>P82673_MRPS35</t>
  </si>
  <si>
    <t>P82909_MRPS36</t>
  </si>
  <si>
    <t>P82912-3_MRPS11</t>
  </si>
  <si>
    <t>P82930_MRPS34</t>
  </si>
  <si>
    <t>P82933_MRPS9</t>
  </si>
  <si>
    <t>P82970_HMGN5</t>
  </si>
  <si>
    <t>P82979_SARNP</t>
  </si>
  <si>
    <t>P82980_RBP5</t>
  </si>
  <si>
    <t>P83369_LSM11</t>
  </si>
  <si>
    <t>P83436_COG7</t>
  </si>
  <si>
    <t>P83881_RPL36A</t>
  </si>
  <si>
    <t>P83916_CBX1</t>
  </si>
  <si>
    <t>P84022_SMAD3</t>
  </si>
  <si>
    <t>P84077_ARF1</t>
  </si>
  <si>
    <t>P84085_ARF5</t>
  </si>
  <si>
    <t>P84090_ERH</t>
  </si>
  <si>
    <t>P84095_RHOG</t>
  </si>
  <si>
    <t>P84101-4_SERF2</t>
  </si>
  <si>
    <t>P85037_FOXK1</t>
  </si>
  <si>
    <t>P85299-2_PRR5</t>
  </si>
  <si>
    <t>P86791_CCZ1</t>
  </si>
  <si>
    <t>P98082-3_DAB2</t>
  </si>
  <si>
    <t>P98170_XIAP</t>
  </si>
  <si>
    <t>P98175-2_RBM10</t>
  </si>
  <si>
    <t>P98179_RBM3</t>
  </si>
  <si>
    <t>Q00013_MPP1</t>
  </si>
  <si>
    <t>Q00059_TFAM</t>
  </si>
  <si>
    <t>Q00169_PITPNA</t>
  </si>
  <si>
    <t>Q00325-2_SLC25A3</t>
  </si>
  <si>
    <t>Q00341_HDLBP</t>
  </si>
  <si>
    <t>Q00403_GTF2B</t>
  </si>
  <si>
    <t>Q00526_CDK3</t>
  </si>
  <si>
    <t>Q00532-2_CDKL1</t>
  </si>
  <si>
    <t>Q00534_CDK6</t>
  </si>
  <si>
    <t>Q00535_CDK5</t>
  </si>
  <si>
    <t>Q00536_CDK16</t>
  </si>
  <si>
    <t>Q00577_PURA</t>
  </si>
  <si>
    <t>Q00587-2_CDC42EP1</t>
  </si>
  <si>
    <t>Q00610-2_CLTC</t>
  </si>
  <si>
    <t>Q00613-2_HSF1</t>
  </si>
  <si>
    <t>Q00653-4_NFKB2</t>
  </si>
  <si>
    <t>Q00688_FKBP3</t>
  </si>
  <si>
    <t>Q00796_SORD</t>
  </si>
  <si>
    <t>Q00839_HNRNPU</t>
  </si>
  <si>
    <t>Q00839-2_HNRNPU</t>
  </si>
  <si>
    <t>Q00978_IRF9</t>
  </si>
  <si>
    <t>Q01081_U2AF1</t>
  </si>
  <si>
    <t>Q01082_SPTBN1</t>
  </si>
  <si>
    <t>Q01082-3_SPTBN1</t>
  </si>
  <si>
    <t>Q01085_TIAL1</t>
  </si>
  <si>
    <t>Q01105-2_SET</t>
  </si>
  <si>
    <t>Q01130_SRSF2</t>
  </si>
  <si>
    <t>Q01167_FOXK2</t>
  </si>
  <si>
    <t>Q01196_RUNX1</t>
  </si>
  <si>
    <t>Q01432_AMPD3</t>
  </si>
  <si>
    <t>Q01433-2_AMPD2</t>
  </si>
  <si>
    <t>Q01459_CTBS</t>
  </si>
  <si>
    <t>Q01469_FABP5</t>
  </si>
  <si>
    <t>Q01518-2_CAP1</t>
  </si>
  <si>
    <t>Q01581_HMGCS1</t>
  </si>
  <si>
    <t>Q01650_SLC7A5</t>
  </si>
  <si>
    <t>Q01658_DR1</t>
  </si>
  <si>
    <t>Q01664_TFAP4</t>
  </si>
  <si>
    <t>Q01780-2_EXOSC10</t>
  </si>
  <si>
    <t>Q01804_OTUD4</t>
  </si>
  <si>
    <t>Q01813_PFKP</t>
  </si>
  <si>
    <t>Q01831-2_XPC</t>
  </si>
  <si>
    <t>Q01844-6_EWSR1</t>
  </si>
  <si>
    <t>Q01850_CDR2</t>
  </si>
  <si>
    <t>Q01968-2_OCRL</t>
  </si>
  <si>
    <t>Q01970_PLCB3</t>
  </si>
  <si>
    <t>Q02040_AKAP17A</t>
  </si>
  <si>
    <t>Q02078-4_MEF2A</t>
  </si>
  <si>
    <t>Q02083-2_NAAA</t>
  </si>
  <si>
    <t>Q02086-2_SP2</t>
  </si>
  <si>
    <t>Q02156_PRKCE</t>
  </si>
  <si>
    <t>Q02224_CENPE</t>
  </si>
  <si>
    <t>Q02241-2_KIF23</t>
  </si>
  <si>
    <t>Q02446_SP4</t>
  </si>
  <si>
    <t>Q02447-4_SP3</t>
  </si>
  <si>
    <t>Q02487_DSC2</t>
  </si>
  <si>
    <t>Q02543_RPL18A</t>
  </si>
  <si>
    <t>Q02750_MAP2K1</t>
  </si>
  <si>
    <t>Q02790_FKBP4</t>
  </si>
  <si>
    <t>Q02809_PLOD1</t>
  </si>
  <si>
    <t>Q02818_NUCB1</t>
  </si>
  <si>
    <t>Q02833-3_RASSF7</t>
  </si>
  <si>
    <t>Q02878_RPL6</t>
  </si>
  <si>
    <t>Q02880-2_TOP2B</t>
  </si>
  <si>
    <t>Q02952-3_AKAP12</t>
  </si>
  <si>
    <t>Q03001_DST</t>
  </si>
  <si>
    <t>Q03014_HHEX</t>
  </si>
  <si>
    <t>Q03060-25_CREM</t>
  </si>
  <si>
    <t>Q03111_MLLT1</t>
  </si>
  <si>
    <t>Q03154_ACY1</t>
  </si>
  <si>
    <t>Q03164-2_MLL</t>
  </si>
  <si>
    <t>Q03169_TNFAIP2</t>
  </si>
  <si>
    <t>Q03188_CENPC1</t>
  </si>
  <si>
    <t>Q03252_LMNB2</t>
  </si>
  <si>
    <t>Q03468_ERCC6</t>
  </si>
  <si>
    <t>Q03701_CEBPZ</t>
  </si>
  <si>
    <t>Q04446_GBE1</t>
  </si>
  <si>
    <t>Q04637-3_EIF4G1</t>
  </si>
  <si>
    <t>Q04637-5_EIF4G1</t>
  </si>
  <si>
    <t>Q04656-5_ATP7A</t>
  </si>
  <si>
    <t>Q04725_TLE2</t>
  </si>
  <si>
    <t>Q04759_PRKCQ</t>
  </si>
  <si>
    <t>Q04760_GLO1</t>
  </si>
  <si>
    <t>Q04828_AKR1C1</t>
  </si>
  <si>
    <t>Q04837_SSBP1</t>
  </si>
  <si>
    <t>Q04917_YWHAH</t>
  </si>
  <si>
    <t>Q05048_CSTF1</t>
  </si>
  <si>
    <t>Q05086-3_UBE3A</t>
  </si>
  <si>
    <t>Q05193_DNM1</t>
  </si>
  <si>
    <t>Q05209_PTPN12</t>
  </si>
  <si>
    <t>Q05513_PRKCZ</t>
  </si>
  <si>
    <t>Q05519-2_SRSF11</t>
  </si>
  <si>
    <t>Q05639_EEF1A2</t>
  </si>
  <si>
    <t>Q05655_PRKCD</t>
  </si>
  <si>
    <t>Q05682-5_CALD1</t>
  </si>
  <si>
    <t>Q05823_RNASEL</t>
  </si>
  <si>
    <t>Q05BQ5_MBTD1</t>
  </si>
  <si>
    <t>Q05D32-2_CTDSPL2</t>
  </si>
  <si>
    <t>Q05DA6_ZNF394</t>
  </si>
  <si>
    <t>Q06124-2_PTPN11</t>
  </si>
  <si>
    <t>Q06187_BTK</t>
  </si>
  <si>
    <t>Q06203_PPAT</t>
  </si>
  <si>
    <t>Q06210-2_GFPT1</t>
  </si>
  <si>
    <t>Q06265_EXOSC9</t>
  </si>
  <si>
    <t>Q06323_PSME1</t>
  </si>
  <si>
    <t>Q06330-5_RBPJ</t>
  </si>
  <si>
    <t>Q06481-5_APLP2</t>
  </si>
  <si>
    <t>Q06546_GABPA</t>
  </si>
  <si>
    <t>Q06587_RING1</t>
  </si>
  <si>
    <t>Q06609-3_RAD51</t>
  </si>
  <si>
    <t>Q06830_PRDX1</t>
  </si>
  <si>
    <t>Q07021_C1QBP</t>
  </si>
  <si>
    <t>Q07157_TJP1</t>
  </si>
  <si>
    <t>Q07283_TCHH</t>
  </si>
  <si>
    <t>Q07666_KHDRBS1</t>
  </si>
  <si>
    <t>Q07812-5_BAX</t>
  </si>
  <si>
    <t>Q07864_POLE</t>
  </si>
  <si>
    <t>Q07866-3_KLC1</t>
  </si>
  <si>
    <t>Q07866-6_KLC1</t>
  </si>
  <si>
    <t>Q07912_TNK2</t>
  </si>
  <si>
    <t>Q07955_SRSF1</t>
  </si>
  <si>
    <t>Q07960_ARHGAP1</t>
  </si>
  <si>
    <t>Q08117_AES</t>
  </si>
  <si>
    <t>Q08170_SRSF4</t>
  </si>
  <si>
    <t>Q08209_PPP3CA</t>
  </si>
  <si>
    <t>Q08209-2_PPP3CA</t>
  </si>
  <si>
    <t>Q08211_DHX9</t>
  </si>
  <si>
    <t>Q08257_CRYZ</t>
  </si>
  <si>
    <t>Q08345-2_DDR1</t>
  </si>
  <si>
    <t>Q08378_GOLGA3</t>
  </si>
  <si>
    <t>Q08379_GOLGA2</t>
  </si>
  <si>
    <t>Q08380_LGALS3BP</t>
  </si>
  <si>
    <t>Q08495_EPB49</t>
  </si>
  <si>
    <t>Q08495-2_EPB49</t>
  </si>
  <si>
    <t>Q08623_HDHD1</t>
  </si>
  <si>
    <t>Q08752_PPID</t>
  </si>
  <si>
    <t>Q08945_SSRP1</t>
  </si>
  <si>
    <t>Q08AD1-2_CAMSAP2</t>
  </si>
  <si>
    <t>Q08AE8-2_SPIRE1</t>
  </si>
  <si>
    <t>Q08AF8-2_GOLGA8F</t>
  </si>
  <si>
    <t>Q08AG7_MZT1</t>
  </si>
  <si>
    <t>Q08AM6_VAC14</t>
  </si>
  <si>
    <t>Q08J23_NSUN2</t>
  </si>
  <si>
    <t>Q09028-3_RBBP4</t>
  </si>
  <si>
    <t>Q09161_NCBP1</t>
  </si>
  <si>
    <t>Q09472_EP300</t>
  </si>
  <si>
    <t>Q09666_AHNAK</t>
  </si>
  <si>
    <t>Q0JRZ9_FCHO2</t>
  </si>
  <si>
    <t>Q0PNE2_ELP6</t>
  </si>
  <si>
    <t>Q0VD83_APOBR</t>
  </si>
  <si>
    <t>Q0VDF9_HSPA14</t>
  </si>
  <si>
    <t>Q0VDG4_SCRN3</t>
  </si>
  <si>
    <t>Q0VG06_FAAP100</t>
  </si>
  <si>
    <t>Q0VGL1_LAMTOR4</t>
  </si>
  <si>
    <t>Q10567-2_AP1B1</t>
  </si>
  <si>
    <t>Q10567-3_AP1B1</t>
  </si>
  <si>
    <t>Q10570_CPSF1</t>
  </si>
  <si>
    <t>Q10713_PMPCA</t>
  </si>
  <si>
    <t>Q12756_KIF1A</t>
  </si>
  <si>
    <t>Q12766-2_HMGXB3</t>
  </si>
  <si>
    <t>Q12768_KIAA0196</t>
  </si>
  <si>
    <t>Q12769_NUP160</t>
  </si>
  <si>
    <t>Q12788_TBL3</t>
  </si>
  <si>
    <t>Q12789_GTF3C1</t>
  </si>
  <si>
    <t>Q12792_TWF1</t>
  </si>
  <si>
    <t>Q12797-10_ASPH</t>
  </si>
  <si>
    <t>Q12800-2_TFCP2</t>
  </si>
  <si>
    <t>Q12802_AKAP13</t>
  </si>
  <si>
    <t>Q12824-2_SMARCB1</t>
  </si>
  <si>
    <t>Q12830-2_BPTF</t>
  </si>
  <si>
    <t>Q12834_CDC20</t>
  </si>
  <si>
    <t>Q12840_KIF5A</t>
  </si>
  <si>
    <t>Q12849_GRSF1</t>
  </si>
  <si>
    <t>Q12872_SFSWAP</t>
  </si>
  <si>
    <t>Q12873_CHD3</t>
  </si>
  <si>
    <t>Q12874_SF3A3</t>
  </si>
  <si>
    <t>Q12888_TP53BP1</t>
  </si>
  <si>
    <t>Q12904_AIMP1</t>
  </si>
  <si>
    <t>Q12905_ILF2</t>
  </si>
  <si>
    <t>Q12906-7_ILF3</t>
  </si>
  <si>
    <t>Q12907_LMAN2</t>
  </si>
  <si>
    <t>Q12912-2_LRMP</t>
  </si>
  <si>
    <t>Q12933-3_TRAF2</t>
  </si>
  <si>
    <t>Q12948_FOXC1</t>
  </si>
  <si>
    <t>Q12955_ANK3</t>
  </si>
  <si>
    <t>Q12959-4_DLG1</t>
  </si>
  <si>
    <t>Q12959-5_DLG1</t>
  </si>
  <si>
    <t>Q12962_TAF10</t>
  </si>
  <si>
    <t>Q12968_NFATC3</t>
  </si>
  <si>
    <t>Q12972_PPP1R8</t>
  </si>
  <si>
    <t>Q12974_PTP4A2</t>
  </si>
  <si>
    <t>Q12979-4_ABR</t>
  </si>
  <si>
    <t>Q12981_BNIP1</t>
  </si>
  <si>
    <t>Q12982_BNIP2</t>
  </si>
  <si>
    <t>Q12986-2_NFX1</t>
  </si>
  <si>
    <t>Q12996_CSTF3</t>
  </si>
  <si>
    <t>Q13011_ECH1</t>
  </si>
  <si>
    <t>Q13017-2_ARHGAP5</t>
  </si>
  <si>
    <t>Q13033-2_STRN3</t>
  </si>
  <si>
    <t>Q13042-3_CDC16</t>
  </si>
  <si>
    <t>Q13043_STK4</t>
  </si>
  <si>
    <t>Q13045_FLII</t>
  </si>
  <si>
    <t>Q13049_TRIM32</t>
  </si>
  <si>
    <t>Q13057_COASY</t>
  </si>
  <si>
    <t>Q13085_ACACA</t>
  </si>
  <si>
    <t>Q13094_LCP2</t>
  </si>
  <si>
    <t>Q13105_ZBTB17</t>
  </si>
  <si>
    <t>Q13107-2_USP4</t>
  </si>
  <si>
    <t>Q13111_CHAF1A</t>
  </si>
  <si>
    <t>Q13112_CHAF1B</t>
  </si>
  <si>
    <t>Q13123_IK</t>
  </si>
  <si>
    <t>Q13127-4_REST</t>
  </si>
  <si>
    <t>Q13129_RLF</t>
  </si>
  <si>
    <t>Q13131_PRKAA1</t>
  </si>
  <si>
    <t>Q13136_PPFIA1</t>
  </si>
  <si>
    <t>Q13148_TARDBP</t>
  </si>
  <si>
    <t>Q13151_HNRNPA0</t>
  </si>
  <si>
    <t>Q13153_PAK1</t>
  </si>
  <si>
    <t>Q13155_AIMP2</t>
  </si>
  <si>
    <t>Q13158_FADD</t>
  </si>
  <si>
    <t>Q13162_PRDX4</t>
  </si>
  <si>
    <t>Q13163-4_MAP2K5</t>
  </si>
  <si>
    <t>Q13164-2_MAPK7</t>
  </si>
  <si>
    <t>Q13177_PAK2</t>
  </si>
  <si>
    <t>Q13185_CBX3</t>
  </si>
  <si>
    <t>Q13188_STK3</t>
  </si>
  <si>
    <t>Q13190-3_STX5</t>
  </si>
  <si>
    <t>Q13200_PSMD2</t>
  </si>
  <si>
    <t>Q13206_DDX10</t>
  </si>
  <si>
    <t>Q13216_ERCC8</t>
  </si>
  <si>
    <t>Q13217_DNAJC3</t>
  </si>
  <si>
    <t>Q13228_SELENBP1</t>
  </si>
  <si>
    <t>Q13232_NME3</t>
  </si>
  <si>
    <t>Q13233_MAP3K1</t>
  </si>
  <si>
    <t>Q13242_SRSF9</t>
  </si>
  <si>
    <t>Q13243-3_SRSF5</t>
  </si>
  <si>
    <t>Q13247-3_SRSF6</t>
  </si>
  <si>
    <t>Q13257_MAD2L1</t>
  </si>
  <si>
    <t>Q13263_TRIM28</t>
  </si>
  <si>
    <t>Q13277-2_STX3</t>
  </si>
  <si>
    <t>Q13283_G3BP1</t>
  </si>
  <si>
    <t>Q13287_NMI</t>
  </si>
  <si>
    <t>Q13303-2_KCNAB2</t>
  </si>
  <si>
    <t>Q13308-3_PTK7</t>
  </si>
  <si>
    <t>Q13309-2_SKP2</t>
  </si>
  <si>
    <t>Q13310-3_PABPC4</t>
  </si>
  <si>
    <t>Q13315_ATM</t>
  </si>
  <si>
    <t>Q13322-2_GRB10</t>
  </si>
  <si>
    <t>Q13330-3_MTA1</t>
  </si>
  <si>
    <t>Q13332-6_PTPRS</t>
  </si>
  <si>
    <t>Q13347_EIF3I</t>
  </si>
  <si>
    <t>Q13351_KLF1</t>
  </si>
  <si>
    <t>Q13356_PPIL2</t>
  </si>
  <si>
    <t>Q13362-3_PPP2R5C</t>
  </si>
  <si>
    <t>Q13362-4_PPP2R5C</t>
  </si>
  <si>
    <t>Q13363-2_CTBP1</t>
  </si>
  <si>
    <t>Q13371_PDCL</t>
  </si>
  <si>
    <t>Q13395_TARBP1</t>
  </si>
  <si>
    <t>Q13404_UBE2V1</t>
  </si>
  <si>
    <t>Q13409-6_DYNC1I2</t>
  </si>
  <si>
    <t>Q13415_ORC1</t>
  </si>
  <si>
    <t>Q13416_ORC2</t>
  </si>
  <si>
    <t>Q13418_ILK</t>
  </si>
  <si>
    <t>Q13422-2_IKZF1</t>
  </si>
  <si>
    <t>Q13422-7_IKZF1</t>
  </si>
  <si>
    <t>Q13423_NNT</t>
  </si>
  <si>
    <t>Q13424_SNTA1</t>
  </si>
  <si>
    <t>Q13425_SNTB2</t>
  </si>
  <si>
    <t>Q13426_XRCC4</t>
  </si>
  <si>
    <t>Q13427_PPIG</t>
  </si>
  <si>
    <t>Q13428-3_TCOF1</t>
  </si>
  <si>
    <t>Q13428-4_TCOF1</t>
  </si>
  <si>
    <t>Q13432-2_UNC119</t>
  </si>
  <si>
    <t>Q13435_SF3B2</t>
  </si>
  <si>
    <t>Q13439-3_GOLGA4</t>
  </si>
  <si>
    <t>Q13442_PDAP1</t>
  </si>
  <si>
    <t>Q13451_FKBP5</t>
  </si>
  <si>
    <t>Q13464_ROCK1</t>
  </si>
  <si>
    <t>Q13469_NFATC2</t>
  </si>
  <si>
    <t>Q13492-3_PICALM</t>
  </si>
  <si>
    <t>Q13496_MTM1</t>
  </si>
  <si>
    <t>Q13501_SQSTM1</t>
  </si>
  <si>
    <t>Q13503_MED21</t>
  </si>
  <si>
    <t>Q13505-3_MTX1</t>
  </si>
  <si>
    <t>Q13506_NAB1</t>
  </si>
  <si>
    <t>Q13523_PRPF4B</t>
  </si>
  <si>
    <t>Q13526_PIN1</t>
  </si>
  <si>
    <t>Q13541_EIF4EBP1</t>
  </si>
  <si>
    <t>Q13542_EIF4EBP2</t>
  </si>
  <si>
    <t>Q13546_RIPK1</t>
  </si>
  <si>
    <t>Q13547_HDAC1</t>
  </si>
  <si>
    <t>Q13555-10_CAMK2G</t>
  </si>
  <si>
    <t>Q13557-8_CAMK2D</t>
  </si>
  <si>
    <t>Q13561_DCTN2</t>
  </si>
  <si>
    <t>Q13564-2_NAE1</t>
  </si>
  <si>
    <t>Q13572_ITPK1</t>
  </si>
  <si>
    <t>Q13573_SNW1</t>
  </si>
  <si>
    <t>Q13576_IQGAP2</t>
  </si>
  <si>
    <t>Q13586_STIM1</t>
  </si>
  <si>
    <t>Q13596_SNX1</t>
  </si>
  <si>
    <t>Q13601-2_KRR1</t>
  </si>
  <si>
    <t>Q13610_PWP1</t>
  </si>
  <si>
    <t>Q13613_MTMR1</t>
  </si>
  <si>
    <t>Q13614_MTMR2</t>
  </si>
  <si>
    <t>Q13616_CUL1</t>
  </si>
  <si>
    <t>Q13617_CUL2</t>
  </si>
  <si>
    <t>Q13618_CUL3</t>
  </si>
  <si>
    <t>Q13619_CUL4A</t>
  </si>
  <si>
    <t>Q13620-1_CUL4B</t>
  </si>
  <si>
    <t>Q13625_TP53BP2</t>
  </si>
  <si>
    <t>Q13627-3_DYRK1A</t>
  </si>
  <si>
    <t>Q13630_TSTA3</t>
  </si>
  <si>
    <t>Q13636_RAB31</t>
  </si>
  <si>
    <t>Q13637_RAB32</t>
  </si>
  <si>
    <t>Q13643_FHL3</t>
  </si>
  <si>
    <t>Q13670_PMS2P11</t>
  </si>
  <si>
    <t>Q13724_MOGS</t>
  </si>
  <si>
    <t>Q13748_TUBA3C</t>
  </si>
  <si>
    <t>Q13769_THOC5</t>
  </si>
  <si>
    <t>Q13813_SPTAN1</t>
  </si>
  <si>
    <t>Q13813-2_SPTAN1</t>
  </si>
  <si>
    <t>Q13823_GNL2</t>
  </si>
  <si>
    <t>Q13825_AUH</t>
  </si>
  <si>
    <t>Q13838_DDX39B</t>
  </si>
  <si>
    <t>Q13867_BLMH</t>
  </si>
  <si>
    <t>Q13868_EXOSC2</t>
  </si>
  <si>
    <t>Q13873_BMPR2</t>
  </si>
  <si>
    <t>Q13885_TUBB2A</t>
  </si>
  <si>
    <t>Q13886_KLF9</t>
  </si>
  <si>
    <t>Q13895_BYSL</t>
  </si>
  <si>
    <t>Q13901_C1D</t>
  </si>
  <si>
    <t>Q13905_RAPGEF1</t>
  </si>
  <si>
    <t>Q13907_IDI1</t>
  </si>
  <si>
    <t>Q13951-2_CBFB</t>
  </si>
  <si>
    <t>Q13952-3_NFYC</t>
  </si>
  <si>
    <t>Q14004_CDK13</t>
  </si>
  <si>
    <t>Q14008_CKAP5</t>
  </si>
  <si>
    <t>Q14011_CIRBP</t>
  </si>
  <si>
    <t>Q14012_CAMK1</t>
  </si>
  <si>
    <t>Q14019_COTL1</t>
  </si>
  <si>
    <t>Q14061_COX17</t>
  </si>
  <si>
    <t>Q14103-3_HNRNPD</t>
  </si>
  <si>
    <t>Q14103-4_HNRNPD</t>
  </si>
  <si>
    <t>Q14118_DAG1</t>
  </si>
  <si>
    <t>Q14126_DSG2</t>
  </si>
  <si>
    <t>Q14137_BOP1</t>
  </si>
  <si>
    <t>Q14139_UBE4A</t>
  </si>
  <si>
    <t>Q14141-2_SEPT6</t>
  </si>
  <si>
    <t>Q14145_KEAP1</t>
  </si>
  <si>
    <t>Q14147_DHX34</t>
  </si>
  <si>
    <t>Q14149_MORC3</t>
  </si>
  <si>
    <t>Q14151_SAFB2</t>
  </si>
  <si>
    <t>Q14152_EIF3A</t>
  </si>
  <si>
    <t>Q14153_FAM53B</t>
  </si>
  <si>
    <t>Q14155-1_ARHGEF7</t>
  </si>
  <si>
    <t>Q14157_UBAP2L</t>
  </si>
  <si>
    <t>Q14160_SCRIB</t>
  </si>
  <si>
    <t>Q14161-4_GIT2</t>
  </si>
  <si>
    <t>Q14166_TTLL12</t>
  </si>
  <si>
    <t>Q14181_POLA2</t>
  </si>
  <si>
    <t>Q14191_WRN</t>
  </si>
  <si>
    <t>Q14192_FHL2</t>
  </si>
  <si>
    <t>Q14202-2_ZMYM3</t>
  </si>
  <si>
    <t>Q14203-6_DCTN1</t>
  </si>
  <si>
    <t>Q14204_DYNC1H1</t>
  </si>
  <si>
    <t>Q14207_NPAT</t>
  </si>
  <si>
    <t>Q14232_EIF2B1</t>
  </si>
  <si>
    <t>Q14241_TCEB3</t>
  </si>
  <si>
    <t>Q14244-2_MAP7</t>
  </si>
  <si>
    <t>Q14247_CTTN</t>
  </si>
  <si>
    <t>Q14247-3_CTTN</t>
  </si>
  <si>
    <t>Q14249_ENDOG</t>
  </si>
  <si>
    <t>Q14258_TRIM25</t>
  </si>
  <si>
    <t>Q14289-2_PTK2B</t>
  </si>
  <si>
    <t>Q14315_FLNC</t>
  </si>
  <si>
    <t>Q14318-2_FKBP8</t>
  </si>
  <si>
    <t>Q14320_FAM50A</t>
  </si>
  <si>
    <t>Q14331_FRG1</t>
  </si>
  <si>
    <t>Q14353_GAMT</t>
  </si>
  <si>
    <t>Q14376_GALE</t>
  </si>
  <si>
    <t>Q14444-2_CAPRIN1</t>
  </si>
  <si>
    <t>Q14457_BECN1</t>
  </si>
  <si>
    <t>Q14493_SLBP</t>
  </si>
  <si>
    <t>Q14498-2_RBM39</t>
  </si>
  <si>
    <t>Q14520-2_HABP2</t>
  </si>
  <si>
    <t>Q14527_HLTF</t>
  </si>
  <si>
    <t>Q14554_PDIA5</t>
  </si>
  <si>
    <t>Q14558_PRPSAP1</t>
  </si>
  <si>
    <t>Q14562_DHX8</t>
  </si>
  <si>
    <t>Q14566_MCM6</t>
  </si>
  <si>
    <t>Q14596-2_NBR1</t>
  </si>
  <si>
    <t>Q14651_PLS1</t>
  </si>
  <si>
    <t>Q14653_IRF3</t>
  </si>
  <si>
    <t>Q14657_LAGE3</t>
  </si>
  <si>
    <t>Q14669-2_TRIP12</t>
  </si>
  <si>
    <t>Q14671_PUM1</t>
  </si>
  <si>
    <t>Q14671-2_PUM1</t>
  </si>
  <si>
    <t>Q14674_ESPL1</t>
  </si>
  <si>
    <t>Q14676_MDC1</t>
  </si>
  <si>
    <t>Q14677_CLINT1</t>
  </si>
  <si>
    <t>Q14681_KCTD2</t>
  </si>
  <si>
    <t>Q14683_SMC1A</t>
  </si>
  <si>
    <t>Q14684_RRP1B</t>
  </si>
  <si>
    <t>Q14686_NCOA6</t>
  </si>
  <si>
    <t>Q14687_GSE1</t>
  </si>
  <si>
    <t>Q14689-6_DIP2A</t>
  </si>
  <si>
    <t>Q14690_PDCD11</t>
  </si>
  <si>
    <t>Q14691_GINS1</t>
  </si>
  <si>
    <t>Q14692_BMS1</t>
  </si>
  <si>
    <t>Q14693_LPIN1</t>
  </si>
  <si>
    <t>Q14694_USP10</t>
  </si>
  <si>
    <t>Q14696_MESDC2</t>
  </si>
  <si>
    <t>Q14697_GANAB</t>
  </si>
  <si>
    <t>Q14697-2_GANAB</t>
  </si>
  <si>
    <t>Q14739_LBR</t>
  </si>
  <si>
    <t>Q14746-2_COG2</t>
  </si>
  <si>
    <t>Q14781_CBX2</t>
  </si>
  <si>
    <t>Q14789_GOLGB1</t>
  </si>
  <si>
    <t>Q14790-9_CASP8</t>
  </si>
  <si>
    <t>Q147X3_NAA30</t>
  </si>
  <si>
    <t>Q14807_KIF22</t>
  </si>
  <si>
    <t>Q14814-4_MEF2D</t>
  </si>
  <si>
    <t>Q14839-2_CHD4</t>
  </si>
  <si>
    <t>Q14847_LASP1</t>
  </si>
  <si>
    <t>Q14914-2_PTGR1</t>
  </si>
  <si>
    <t>Q14919_DRAP1</t>
  </si>
  <si>
    <t>Q14934-8_NFATC4</t>
  </si>
  <si>
    <t>Q14964_RAB39A</t>
  </si>
  <si>
    <t>Q14966_ZNF638</t>
  </si>
  <si>
    <t>Q14974_KPNB1</t>
  </si>
  <si>
    <t>Q14978-3_NOLC1</t>
  </si>
  <si>
    <t>Q14980_NUMA1</t>
  </si>
  <si>
    <t>Q14980-2_NUMA1</t>
  </si>
  <si>
    <t>Q14980-4_NUMA1</t>
  </si>
  <si>
    <t>Q14997_PSME4</t>
  </si>
  <si>
    <t>Q14BN4-2_SLMAP</t>
  </si>
  <si>
    <t>Q14C86-6_GAPVD1</t>
  </si>
  <si>
    <t>Q14CM0_FRMPD4</t>
  </si>
  <si>
    <t>Q14CS0_UBXN2B</t>
  </si>
  <si>
    <t>Q14CX7_NAA25</t>
  </si>
  <si>
    <t>Q15003_NCAPH</t>
  </si>
  <si>
    <t>Q15007_WTAP</t>
  </si>
  <si>
    <t>Q15008_PSMD6</t>
  </si>
  <si>
    <t>Q15013_MAD2L1BP</t>
  </si>
  <si>
    <t>Q15014_MORF4L2</t>
  </si>
  <si>
    <t>Q15018_FAM175B</t>
  </si>
  <si>
    <t>Q15019_SEPT2</t>
  </si>
  <si>
    <t>Q15020_SART3</t>
  </si>
  <si>
    <t>Q15021_NCAPD2</t>
  </si>
  <si>
    <t>Q15024_EXOSC7</t>
  </si>
  <si>
    <t>Q15029-2_EFTUD2</t>
  </si>
  <si>
    <t>Q15032-2_R3HDM1</t>
  </si>
  <si>
    <t>Q15036-2_SNX17</t>
  </si>
  <si>
    <t>Q15042_RAB3GAP1</t>
  </si>
  <si>
    <t>Q15046_KARS</t>
  </si>
  <si>
    <t>Q15047-3_SETDB1</t>
  </si>
  <si>
    <t>Q15048_LRRC14</t>
  </si>
  <si>
    <t>Q15050_RRS1</t>
  </si>
  <si>
    <t>Q15051_IQCB1</t>
  </si>
  <si>
    <t>Q15052_ARHGEF6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</si>
  <si>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</si>
  <si>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</si>
  <si>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</si>
  <si>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</si>
  <si>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</si>
  <si>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</si>
  <si>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</si>
  <si>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Q15072_ZNF146</t>
  </si>
  <si>
    <t>Q15075_EEA1</t>
  </si>
  <si>
    <t>Q15102_PAFAH1B3</t>
  </si>
  <si>
    <t>Q15111_PLCL1</t>
  </si>
  <si>
    <t>Q15121_PEA15</t>
  </si>
  <si>
    <t>Q15126_PMVK</t>
  </si>
  <si>
    <t>Q15147-2_PLCB4</t>
  </si>
  <si>
    <t>Q15149-3_PLEC</t>
  </si>
  <si>
    <t>Q15149-4_PLEC</t>
  </si>
  <si>
    <t>Q15154_PCM1</t>
  </si>
  <si>
    <t>Q15154-2_PCM1</t>
  </si>
  <si>
    <t>Q15170-2_TCEAL1</t>
  </si>
  <si>
    <t>Q15172_PPP2R5A</t>
  </si>
  <si>
    <t>Q15173_PPP2R5B</t>
  </si>
  <si>
    <t>Q15181_PPA1</t>
  </si>
  <si>
    <t>Q15208_STK38</t>
  </si>
  <si>
    <t>Q15233_NONO</t>
  </si>
  <si>
    <t>Q15257_PPP2R4</t>
  </si>
  <si>
    <t>Q15262_PTPRK</t>
  </si>
  <si>
    <t>Q15269_PWP2</t>
  </si>
  <si>
    <t>Q15274_QPRT</t>
  </si>
  <si>
    <t>Q15276_RABEP1</t>
  </si>
  <si>
    <t>Q15283-2_RASA2</t>
  </si>
  <si>
    <t>Q15286_RAB35</t>
  </si>
  <si>
    <t>Q15291_RBBP5</t>
  </si>
  <si>
    <t>Q15293_RCN1</t>
  </si>
  <si>
    <t>Q15311_RALBP1</t>
  </si>
  <si>
    <t>Q15334_LLGL1</t>
  </si>
  <si>
    <t>Q15345_LRRC41</t>
  </si>
  <si>
    <t>Q15361_TTF1</t>
  </si>
  <si>
    <t>Q15363_TMED2</t>
  </si>
  <si>
    <t>Q15365_PCBP1</t>
  </si>
  <si>
    <t>Q15366-2_PCBP2</t>
  </si>
  <si>
    <t>Q15366-3_PCBP2</t>
  </si>
  <si>
    <t>Q15382_RHEB</t>
  </si>
  <si>
    <t>Q15386_UBE3C</t>
  </si>
  <si>
    <t>Q15393_SF3B3</t>
  </si>
  <si>
    <t>Q15398_DLGAP5</t>
  </si>
  <si>
    <t>Q15404_RSU1</t>
  </si>
  <si>
    <t>Q15424_SAFB</t>
  </si>
  <si>
    <t>Q15427_SF3B4</t>
  </si>
  <si>
    <t>Q15428_SF3A2</t>
  </si>
  <si>
    <t>Q15435_PPP1R7</t>
  </si>
  <si>
    <t>Q15437_SEC23B</t>
  </si>
  <si>
    <t>Q15438-2_CYTH1</t>
  </si>
  <si>
    <t>Q15506_SPA17</t>
  </si>
  <si>
    <t>Q15526-2_SURF1</t>
  </si>
  <si>
    <t>Q15527_SURF2</t>
  </si>
  <si>
    <t>Q15542-2_TAF5</t>
  </si>
  <si>
    <t>Q15543_TAF13</t>
  </si>
  <si>
    <t>Q15544-2_TAF11</t>
  </si>
  <si>
    <t>Q15545_TAF7</t>
  </si>
  <si>
    <t>Q15554-3_TERF2</t>
  </si>
  <si>
    <t>Q15555_MAPRE2</t>
  </si>
  <si>
    <t>Q15560-2_TCEA2</t>
  </si>
  <si>
    <t>Q15561-2_TEAD4</t>
  </si>
  <si>
    <t>Q15596_NCOA2</t>
  </si>
  <si>
    <t>Q15599_SLC9A3R2</t>
  </si>
  <si>
    <t>Q15628_TRADD</t>
  </si>
  <si>
    <t>Q15633-2_TARBP2</t>
  </si>
  <si>
    <t>Q15637-5_SF1</t>
  </si>
  <si>
    <t>Q15642-2_TRIP10</t>
  </si>
  <si>
    <t>Q15643_TRIP11</t>
  </si>
  <si>
    <t>Q15645_TRIP13</t>
  </si>
  <si>
    <t>Q15648_MED1</t>
  </si>
  <si>
    <t>Q15649_ZNHIT3</t>
  </si>
  <si>
    <t>Q15650_TRIP4</t>
  </si>
  <si>
    <t>Q15651_HMGN3</t>
  </si>
  <si>
    <t>Q15652_JMJD1C</t>
  </si>
  <si>
    <t>Q15654_TRIP6</t>
  </si>
  <si>
    <t>Q15691_MAPRE1</t>
  </si>
  <si>
    <t>Q15697-2_ZNF174</t>
  </si>
  <si>
    <t>Q15714-2_TSC22D1</t>
  </si>
  <si>
    <t>Q15717_ELAVL1</t>
  </si>
  <si>
    <t>Q15723-1_ELF2</t>
  </si>
  <si>
    <t>Q15738_NSDHL</t>
  </si>
  <si>
    <t>Q15742_NAB2</t>
  </si>
  <si>
    <t>Q15746-4_MYLK</t>
  </si>
  <si>
    <t>Q15750-2_TAB1</t>
  </si>
  <si>
    <t>Q15751_HERC1</t>
  </si>
  <si>
    <t>Q15758_SLC1A5</t>
  </si>
  <si>
    <t>Q15759_MAPK11</t>
  </si>
  <si>
    <t>Q15773_MLF2</t>
  </si>
  <si>
    <t>Q15776_ZKSCAN8</t>
  </si>
  <si>
    <t>Q15785_TOMM34</t>
  </si>
  <si>
    <t>Q15788-2_NCOA1</t>
  </si>
  <si>
    <t>Q15796-2_SMAD2</t>
  </si>
  <si>
    <t>Q15797_SMAD1</t>
  </si>
  <si>
    <t>Q15813_TBCE</t>
  </si>
  <si>
    <t>Q15814_TBCC</t>
  </si>
  <si>
    <t>Q15819_UBE2V2</t>
  </si>
  <si>
    <t>Q15831-2_STK11</t>
  </si>
  <si>
    <t>Q15833_STXBP2</t>
  </si>
  <si>
    <t>Q15836_VAMP3</t>
  </si>
  <si>
    <t>Q15843_NEDD8</t>
  </si>
  <si>
    <t>Q15904_ATP6AP1</t>
  </si>
  <si>
    <t>Q15906_VPS72</t>
  </si>
  <si>
    <t>Q15907_RAB11B</t>
  </si>
  <si>
    <t>Q15910_EZH2</t>
  </si>
  <si>
    <t>Q15935_ZNF77</t>
  </si>
  <si>
    <t>Q15942_ZYX</t>
  </si>
  <si>
    <t>Q16181_SEPT7</t>
  </si>
  <si>
    <t>Q16186_ADRM1</t>
  </si>
  <si>
    <t>Q16204_CCDC6</t>
  </si>
  <si>
    <t>Q16222-2_UAP1</t>
  </si>
  <si>
    <t>Q16254_E2F4</t>
  </si>
  <si>
    <t>Q16352_INA</t>
  </si>
  <si>
    <t>Q16401-2_PSMD5</t>
  </si>
  <si>
    <t>Q16512_PKN1</t>
  </si>
  <si>
    <t>Q16513-3_PKN2</t>
  </si>
  <si>
    <t>Q16514-2_TAF12</t>
  </si>
  <si>
    <t>Q16531_DDB1</t>
  </si>
  <si>
    <t>Q16539_MAPK14</t>
  </si>
  <si>
    <t>Q16539-2_MAPK14</t>
  </si>
  <si>
    <t>Q16543_CDC37</t>
  </si>
  <si>
    <t>Q16555-2_DPYSL2</t>
  </si>
  <si>
    <t>Q16576_RBBP7</t>
  </si>
  <si>
    <t>Q16600_ZNF239</t>
  </si>
  <si>
    <t>Q16610_ECM1</t>
  </si>
  <si>
    <t>Q16619-2_CTF1</t>
  </si>
  <si>
    <t>Q16626_MEA1</t>
  </si>
  <si>
    <t>Q16629-3_SRSF7</t>
  </si>
  <si>
    <t>Q16637-3_SMN1</t>
  </si>
  <si>
    <t>Q16643_DBN1</t>
  </si>
  <si>
    <t>Q16644_MAPKAPK3</t>
  </si>
  <si>
    <t>Q16656_NRF1</t>
  </si>
  <si>
    <t>Q16658_FSCN1</t>
  </si>
  <si>
    <t>Q16659_MAPK6</t>
  </si>
  <si>
    <t>Q16666-3_IFI16</t>
  </si>
  <si>
    <t>Q16670_ZSCAN26</t>
  </si>
  <si>
    <t>Q16719_KYNU</t>
  </si>
  <si>
    <t>Q16740_CLPP</t>
  </si>
  <si>
    <t>Q16762_TST</t>
  </si>
  <si>
    <t>Q16763_UBE2S</t>
  </si>
  <si>
    <t>Q16773_CCBL1</t>
  </si>
  <si>
    <t>Q16778_HIST2H2BE</t>
  </si>
  <si>
    <t>Q16819_MEP1A</t>
  </si>
  <si>
    <t>Q16822_PCK2</t>
  </si>
  <si>
    <t>Q16831_UPP1</t>
  </si>
  <si>
    <t>Q16836_HADH</t>
  </si>
  <si>
    <t>Q16851_UGP2</t>
  </si>
  <si>
    <t>Q16854_DGUOK</t>
  </si>
  <si>
    <t>Q16864_ATP6V1F</t>
  </si>
  <si>
    <t>Q16875-3_PFKFB3</t>
  </si>
  <si>
    <t>Q17R31-2_TATDN3</t>
  </si>
  <si>
    <t>Q17RN3_FAM98C</t>
  </si>
  <si>
    <t>Q17RU2_REL</t>
  </si>
  <si>
    <t>Q19AV6_ZSWIM7</t>
  </si>
  <si>
    <t>Q1ED39_KNOP1</t>
  </si>
  <si>
    <t>Q1MSJ5-1_CSPP1</t>
  </si>
  <si>
    <t>Q27J81-2_INF2</t>
  </si>
  <si>
    <t>Q29RF7_PDS5A</t>
  </si>
  <si>
    <t>Q2KHR3_QSER1</t>
  </si>
  <si>
    <t>Q2KHT3_CLEC16A</t>
  </si>
  <si>
    <t>Q2M1P5_KIF7</t>
  </si>
  <si>
    <t>Q2M296-2_MTHFSD</t>
  </si>
  <si>
    <t>Q2M296-4_MTHFSD</t>
  </si>
  <si>
    <t>Q2M2I8_AAK1</t>
  </si>
  <si>
    <t>Q2M2Z5-5_PLK1S1</t>
  </si>
  <si>
    <t>Q2M389_KIAA1033</t>
  </si>
  <si>
    <t>Q2M3G4-2_SHROOM1</t>
  </si>
  <si>
    <t>Q2NKX9_C2orf68</t>
  </si>
  <si>
    <t>Q2NL82_TSR1</t>
  </si>
  <si>
    <t>Q2NL98_VMAC</t>
  </si>
  <si>
    <t>Q2PPJ7-3_RALGAPA2</t>
  </si>
  <si>
    <t>Q2TAC2-2_CCDC57</t>
  </si>
  <si>
    <t>Q2TAL8_QRICH1</t>
  </si>
  <si>
    <t>Q2TAM5_RELA</t>
  </si>
  <si>
    <t>Q2TAY7_SMU1</t>
  </si>
  <si>
    <t>Q2TAZ0_ATG2A</t>
  </si>
  <si>
    <t>Q2TB10_ZNF800</t>
  </si>
  <si>
    <t>Q2TBE0_CWF19L2</t>
  </si>
  <si>
    <t>Q2VPK5_CTU2</t>
  </si>
  <si>
    <t>Q2YD98-2_UVSSA</t>
  </si>
  <si>
    <t>Q32M88_ATHL1</t>
  </si>
  <si>
    <t>Q32MK0_MYLK3</t>
  </si>
  <si>
    <t>Q32MZ4-2_LRRFIP1</t>
  </si>
  <si>
    <t>Q32MZ4-3_LRRFIP1</t>
  </si>
  <si>
    <t>Q32N00_POLD3</t>
  </si>
  <si>
    <t>Q32P28_LEPRE1</t>
  </si>
  <si>
    <t>Q32P41_TRMT5</t>
  </si>
  <si>
    <t>Q32P44_EML3</t>
  </si>
  <si>
    <t>Q3B726_TWISTNB</t>
  </si>
  <si>
    <t>Q3KQU3-2_MAP7D1</t>
  </si>
  <si>
    <t>Q3KQV3_ZNF792</t>
  </si>
  <si>
    <t>Q3L8U1-2_CHD9</t>
  </si>
  <si>
    <t>Q3LXA3_DAK</t>
  </si>
  <si>
    <t>Q3MHD2_LSM12</t>
  </si>
  <si>
    <t>Q3MII6_TBC1D25</t>
  </si>
  <si>
    <t>Q3MIT2_PUS10</t>
  </si>
  <si>
    <t>Q3SXM5_HSDL1</t>
  </si>
  <si>
    <t>Q3SXZ3_ZNF718</t>
  </si>
  <si>
    <t>Q3SY69_ALDH1L2</t>
  </si>
  <si>
    <t>Q3T8J9-3_GON4L</t>
  </si>
  <si>
    <t>Q3V6T2-2_CCDC88A</t>
  </si>
  <si>
    <t>Q3V6T2-5_CCDC88A</t>
  </si>
  <si>
    <t>Q3YEC7_RABL6</t>
  </si>
  <si>
    <t>Q3ZCM7_TUBB8</t>
  </si>
  <si>
    <t>Q3ZCV1_USP38</t>
  </si>
  <si>
    <t>Q499Z4_ZNF672</t>
  </si>
  <si>
    <t>Q49A26-2_GLYR1</t>
  </si>
  <si>
    <t>Q49AN0-2_CRY2</t>
  </si>
  <si>
    <t>Q49AR2_C5orf22</t>
  </si>
  <si>
    <t>Q49B96_COX19</t>
  </si>
  <si>
    <t>Q4G0A6_FAM188B</t>
  </si>
  <si>
    <t>Q4G0F5_VPS26B</t>
  </si>
  <si>
    <t>Q4G0J3_LARP7</t>
  </si>
  <si>
    <t>Q4G0N4_NADKD1</t>
  </si>
  <si>
    <t>Q4G0W3_COL14A1</t>
  </si>
  <si>
    <t>Q4G176_ACSF3</t>
  </si>
  <si>
    <t>Q4J6C6-4_PREPL</t>
  </si>
  <si>
    <t>Q4KMP7_TBC1D10B</t>
  </si>
  <si>
    <t>Q4KWH8-3_PLCH1</t>
  </si>
  <si>
    <t>Q4LE39-2_ARID4B</t>
  </si>
  <si>
    <t>Q4V328_GRIPAP1</t>
  </si>
  <si>
    <t>Q4VC05_BCL7A</t>
  </si>
  <si>
    <t>Q4VC05-2_BCL7A</t>
  </si>
  <si>
    <t>Q4VC44_FLYWCH1</t>
  </si>
  <si>
    <t>Q4W8S1_ZNF298</t>
  </si>
  <si>
    <t>Q504Q3-2_PAN2</t>
  </si>
  <si>
    <t>Q504U8_EGFR</t>
  </si>
  <si>
    <t>Q52LJ0-2_FAM98B</t>
  </si>
  <si>
    <t>Q52LR7_EPC2</t>
  </si>
  <si>
    <t>Q53EL6-2_PDCD4</t>
  </si>
  <si>
    <t>Q53ET0_CRTC2</t>
  </si>
  <si>
    <t>Q53EZ4_CEP55</t>
  </si>
  <si>
    <t>Q53F19_C17orf85</t>
  </si>
  <si>
    <t>Q53FA7_TP53I3</t>
  </si>
  <si>
    <t>Q53FT3_C11orf73</t>
  </si>
  <si>
    <t>Q53FZ2_ACSM3</t>
  </si>
  <si>
    <t>Q53H47_SETMAR</t>
  </si>
  <si>
    <t>Q53H54_TRMT12</t>
  </si>
  <si>
    <t>Q53H82_LACTB2</t>
  </si>
  <si>
    <t>Q53H96_PYCRL</t>
  </si>
  <si>
    <t>Q53HC5_KLHL26</t>
  </si>
  <si>
    <t>Q53HC9_TSSC1</t>
  </si>
  <si>
    <t>Q53HL2_CDCA8</t>
  </si>
  <si>
    <t>Q53HV7_SMUG1</t>
  </si>
  <si>
    <t>Q53LP3_SOWAHC</t>
  </si>
  <si>
    <t>Q53QZ3_ARHGAP15</t>
  </si>
  <si>
    <t>Q53R41-2_FASTKD1</t>
  </si>
  <si>
    <t>Q53S33_BOLA3</t>
  </si>
  <si>
    <t>Q53T59_HS1BP3</t>
  </si>
  <si>
    <t>Q562E7_WDR81</t>
  </si>
  <si>
    <t>Q562F6-2_SGOL2</t>
  </si>
  <si>
    <t>Q567Q0_PPIA</t>
  </si>
  <si>
    <t>Q56A73_SPIN4</t>
  </si>
  <si>
    <t>Q56NI9_ESCO2</t>
  </si>
  <si>
    <t>Q58A45-3_PAN3</t>
  </si>
  <si>
    <t>Q58EX7-2_PLEKHG4</t>
  </si>
  <si>
    <t>Q58FF8_HSP90AB2P</t>
  </si>
  <si>
    <t>Q58FG1_HSP90AA4P</t>
  </si>
  <si>
    <t>Q58WW2_DCAF6</t>
  </si>
  <si>
    <t>Q59GN2_RPL39P5</t>
  </si>
  <si>
    <t>Q5BKU9_OXLD1</t>
  </si>
  <si>
    <t>Q5BKX5_C19orf54</t>
  </si>
  <si>
    <t>Q5BKZ1_ZNF326</t>
  </si>
  <si>
    <t>Q5C9Z4_NOM1</t>
  </si>
  <si>
    <t>Q5D0E6-2_DALRD3</t>
  </si>
  <si>
    <t>Q5D862_FLG2</t>
  </si>
  <si>
    <t>Q5EBL4_RILPL1</t>
  </si>
  <si>
    <t>Q5EBL8_PDZD11</t>
  </si>
  <si>
    <t>Q5EBM0_CMPK2</t>
  </si>
  <si>
    <t>Q5F1R6_DNAJC21</t>
  </si>
  <si>
    <t>Q5FBB7-5_SGOL1</t>
  </si>
  <si>
    <t>Q5FWF4-2_ZRANB3</t>
  </si>
  <si>
    <t>Q5FWF5_ESCO1</t>
  </si>
  <si>
    <t>Q5GLZ8-2_HERC4</t>
  </si>
  <si>
    <t>Q5H937_PKIG</t>
  </si>
  <si>
    <t>Q5H9A7_TIMP1</t>
  </si>
  <si>
    <t>Q5HYC2-2_KIAA2026</t>
  </si>
  <si>
    <t>Q5JP53_TUBB</t>
  </si>
  <si>
    <t>Q5JPE7-2_NOMO2</t>
  </si>
  <si>
    <t>Q5JPI3-2_C3orf38</t>
  </si>
  <si>
    <t>Q5JPI9_METTL10</t>
  </si>
  <si>
    <t>Q5JR08_RHOC</t>
  </si>
  <si>
    <t>Q5JRA6-2_MIA3</t>
  </si>
  <si>
    <t>Q5JRG1_NUPL1</t>
  </si>
  <si>
    <t>Q5JRL0_PAGE2B</t>
  </si>
  <si>
    <t>Q5JRX3_PITRM1</t>
  </si>
  <si>
    <t>Q5JS37-2_NHLRC3</t>
  </si>
  <si>
    <t>Q5JS54_PSMG4</t>
  </si>
  <si>
    <t>Q5JSB5_TFDP1</t>
  </si>
  <si>
    <t>Q5JSH3-2_WDR44</t>
  </si>
  <si>
    <t>Q5JSL3_DOCK11</t>
  </si>
  <si>
    <t>Q5JSZ5_PRRC2B</t>
  </si>
  <si>
    <t>Q5JTD0-2_TJAP1</t>
  </si>
  <si>
    <t>Q5JTH9_RRP12</t>
  </si>
  <si>
    <t>Q5JTJ3-3_COA6</t>
  </si>
  <si>
    <t>Q5JTV1_GMEB2</t>
  </si>
  <si>
    <t>Q5JTV8_TOR1AIP1</t>
  </si>
  <si>
    <t>Q5JTZ9_AARS2</t>
  </si>
  <si>
    <t>Q5JU21_FPGS</t>
  </si>
  <si>
    <t>Q5JU85-3_IQSEC2</t>
  </si>
  <si>
    <t>Q5JUL1_PAGE5</t>
  </si>
  <si>
    <t>Q5JUR7_TEX30</t>
  </si>
  <si>
    <t>Q5JVF3-3_PCID2</t>
  </si>
  <si>
    <t>Q5JVZ5_ELMO2</t>
  </si>
  <si>
    <t>Q5JW30_STAU1</t>
  </si>
  <si>
    <t>Q5JW85_GSTA3</t>
  </si>
  <si>
    <t>Q5JXC2_MIIP</t>
  </si>
  <si>
    <t>Q5K651_SAMD9</t>
  </si>
  <si>
    <t>Q5LJA5_UCHL5</t>
  </si>
  <si>
    <t>Q5M775-4_SPECC1</t>
  </si>
  <si>
    <t>Q5MIZ7-2_SMEK2</t>
  </si>
  <si>
    <t>Q5MNZ6_WDR45B</t>
  </si>
  <si>
    <t>Q5Q9G8_POLK</t>
  </si>
  <si>
    <t>Q5QNY5_PEX19</t>
  </si>
  <si>
    <t>Q5QNZ2_ATP5F1</t>
  </si>
  <si>
    <t>Q5QP56_BCL2L1</t>
  </si>
  <si>
    <t>Q5QP82_DCAF10</t>
  </si>
  <si>
    <t>Q5QPL9_RALY</t>
  </si>
  <si>
    <t>Q5QPM7_PSMF1</t>
  </si>
  <si>
    <t>Q5R372-4_RABGAP1L</t>
  </si>
  <si>
    <t>Q5R372-7_RABGAP1L</t>
  </si>
  <si>
    <t>Q5R3I4_TTC38</t>
  </si>
  <si>
    <t>Q5RKV6_EXOSC6</t>
  </si>
  <si>
    <t>Q5SNT6_FAM21B</t>
  </si>
  <si>
    <t>Q5SNW6_MTHFR</t>
  </si>
  <si>
    <t>Q5SQM6_NUDT13</t>
  </si>
  <si>
    <t>Q5SRE5_NUP188</t>
  </si>
  <si>
    <t>Q5SRN1_CDC40</t>
  </si>
  <si>
    <t>Q5SSJ5_HP1BP3</t>
  </si>
  <si>
    <t>Q5ST30_VARS2</t>
  </si>
  <si>
    <t>Q5SVZ6_ZMYM1</t>
  </si>
  <si>
    <t>Q5SW79_CEP170</t>
  </si>
  <si>
    <t>Q5SW79-2_CEP170</t>
  </si>
  <si>
    <t>Q5SW96_LDLRAP1</t>
  </si>
  <si>
    <t>Q5SX86_GDI2</t>
  </si>
  <si>
    <t>Q5SXM2_SNAPC4</t>
  </si>
  <si>
    <t>Q5SXM8_DNLZ</t>
  </si>
  <si>
    <t>Q5SY16_NOL9</t>
  </si>
  <si>
    <t>Q5SY21_ZBTB48</t>
  </si>
  <si>
    <t>Q5T011-5_SZT2</t>
  </si>
  <si>
    <t>Q5T0N5-3_FNBP1L</t>
  </si>
  <si>
    <t>Q5T123_SH3BGRL3</t>
  </si>
  <si>
    <t>Q5T160_RARS2</t>
  </si>
  <si>
    <t>Q5T171_PYGO2</t>
  </si>
  <si>
    <t>Q5T1C6_THEM4</t>
  </si>
  <si>
    <t>Q5T1M5_FKBP15</t>
  </si>
  <si>
    <t>Q5T1M5-2_FKBP15</t>
  </si>
  <si>
    <t>Q5T1V6_DDX59</t>
  </si>
  <si>
    <t>Q5T200_ZC3H13</t>
  </si>
  <si>
    <t>Q5T250_HSD17B7</t>
  </si>
  <si>
    <t>Q5T280_C9orf114</t>
  </si>
  <si>
    <t>Q5T2D3_OTUD3</t>
  </si>
  <si>
    <t>Q5T2J3_BCKDHB</t>
  </si>
  <si>
    <t>Q5T321_NBEA</t>
  </si>
  <si>
    <t>Q5T3I0_GPATCH4</t>
  </si>
  <si>
    <t>Q5T3J3_LRIF1</t>
  </si>
  <si>
    <t>Q5T427_ZNF438</t>
  </si>
  <si>
    <t>Q5T440_IBA57</t>
  </si>
  <si>
    <t>Q5T447_HECTD3</t>
  </si>
  <si>
    <t>Q5T4S7-3_UBR4</t>
  </si>
  <si>
    <t>Q5T5C0-3_STXBP5</t>
  </si>
  <si>
    <t>Q5T5U3_ARHGAP21</t>
  </si>
  <si>
    <t>Q5T5X7_BEND3</t>
  </si>
  <si>
    <t>Q5T5Y3_CAMSAP1</t>
  </si>
  <si>
    <t>Q5T6A0_CEP57L1</t>
  </si>
  <si>
    <t>Q5T6C5_ATXN7L2</t>
  </si>
  <si>
    <t>Q5T6F0_DCAF12</t>
  </si>
  <si>
    <t>Q5T6F2_UBAP2</t>
  </si>
  <si>
    <t>Q5T6V5_C9orf64</t>
  </si>
  <si>
    <t>Q5T749_KPRP</t>
  </si>
  <si>
    <t>Q5T7A2_ADCK3</t>
  </si>
  <si>
    <t>Q5T7V8_GORAB</t>
  </si>
  <si>
    <t>Q5T8A7_PPP1R26</t>
  </si>
  <si>
    <t>Q5T8I3_FAM102B</t>
  </si>
  <si>
    <t>Q5T8P6-3_RBM26</t>
  </si>
  <si>
    <t>Q5T985_</t>
  </si>
  <si>
    <t>Q5T9S5-2_CCDC18</t>
  </si>
  <si>
    <t>Q5TA12_DOPEY1</t>
  </si>
  <si>
    <t>Q5TA31_RNF187</t>
  </si>
  <si>
    <t>Q5TA45-3_CPSF3L</t>
  </si>
  <si>
    <t>Q5TA50_GLTPD1</t>
  </si>
  <si>
    <t>Q5TA58_AGO1</t>
  </si>
  <si>
    <t>Q5TAP6_UTP14C</t>
  </si>
  <si>
    <t>Q5TAQ0_MNF1</t>
  </si>
  <si>
    <t>Q5TAX3_ZCCHC11</t>
  </si>
  <si>
    <t>Q5TB80-2_KIAA1009</t>
  </si>
  <si>
    <t>Q5TBB1_RNASEH2B</t>
  </si>
  <si>
    <t>Q5TBP9_LSM14B</t>
  </si>
  <si>
    <t>Q5TC12_ATPAF1</t>
  </si>
  <si>
    <t>Q5TC79_ZBTB37</t>
  </si>
  <si>
    <t>Q5TC82_RC3H1</t>
  </si>
  <si>
    <t>Q5TCQ9-3_MAGI3</t>
  </si>
  <si>
    <t>Q5TCU3_TPM2</t>
  </si>
  <si>
    <t>Q5TDC2_MTCH1</t>
  </si>
  <si>
    <t>Q5TDH0_DDI2</t>
  </si>
  <si>
    <t>Q5TEC3_ZNF697</t>
  </si>
  <si>
    <t>Q5TEJ8_THEMIS2</t>
  </si>
  <si>
    <t>Q5TEU4-2_NDUFAF5</t>
  </si>
  <si>
    <t>Q5TFE4_NT5DC1</t>
  </si>
  <si>
    <t>Q5TGY3_AHDC1</t>
  </si>
  <si>
    <t>Q5THJ1_PRDM2</t>
  </si>
  <si>
    <t>Q5THJ4-2_VPS13D</t>
  </si>
  <si>
    <t>Q5THK1_PRR14L</t>
  </si>
  <si>
    <t>Q5TZA2_CROCC</t>
  </si>
  <si>
    <t>Q5U5Q3_MEX3C</t>
  </si>
  <si>
    <t>Q5U5X0_LYRM7</t>
  </si>
  <si>
    <t>Q5U623_ATF7IP2</t>
  </si>
  <si>
    <t>Q5UIP0-2_RIF1</t>
  </si>
  <si>
    <t>Q5VIR6-4_VPS53</t>
  </si>
  <si>
    <t>Q5VSL9_STRIP1</t>
  </si>
  <si>
    <t>Q5VSY0-2_GKAP1</t>
  </si>
  <si>
    <t>Q5VT06_CEP350</t>
  </si>
  <si>
    <t>Q5VT25-4_CDC42BPA</t>
  </si>
  <si>
    <t>Q5VT52_RPRD2</t>
  </si>
  <si>
    <t>Q5VTD9-2_GFI1B</t>
  </si>
  <si>
    <t>Q5VTL8_PRPF38B</t>
  </si>
  <si>
    <t>Q5VTR2_RNF20</t>
  </si>
  <si>
    <t>Q5VTU3_DYNLT1</t>
  </si>
  <si>
    <t>Q5VU43-3_PDE4DIP</t>
  </si>
  <si>
    <t>Q5VU58_TPM3</t>
  </si>
  <si>
    <t>Q5VUA4_ZNF318</t>
  </si>
  <si>
    <t>Q5VV41_ARHGEF16</t>
  </si>
  <si>
    <t>Q5VV42_CDKAL1</t>
  </si>
  <si>
    <t>Q5VV52-2_ZNF691</t>
  </si>
  <si>
    <t>Q5VV67-2_PPRC1</t>
  </si>
  <si>
    <t>Q5VVD7_PLEKHM2</t>
  </si>
  <si>
    <t>Q5VVJ2_MYSM1</t>
  </si>
  <si>
    <t>Q5VVL7_DBT</t>
  </si>
  <si>
    <t>Q5VVQ6_YOD1</t>
  </si>
  <si>
    <t>Q5VW00_DCAF12L2</t>
  </si>
  <si>
    <t>Q5VW32_BROX</t>
  </si>
  <si>
    <t>Q5VWG9_TAF3</t>
  </si>
  <si>
    <t>Q5VWJ9_SNX30</t>
  </si>
  <si>
    <t>Q5VWN6_FAM208B</t>
  </si>
  <si>
    <t>Q5VWP2_FAM46C</t>
  </si>
  <si>
    <t>Q5VWQ0_RSBN1</t>
  </si>
  <si>
    <t>Q5VWZ2_LYPLAL1</t>
  </si>
  <si>
    <t>Q5VXM9_RPF2</t>
  </si>
  <si>
    <t>Q5VYK3_ECM29</t>
  </si>
  <si>
    <t>Q5VYS8-6_ZCCHC6</t>
  </si>
  <si>
    <t>Q5VYV7_SLX4IP</t>
  </si>
  <si>
    <t>Q5VZE5_NAA35</t>
  </si>
  <si>
    <t>Q5VZK9_LRRC16A</t>
  </si>
  <si>
    <t>Q5VZL5-4_ZMYM4</t>
  </si>
  <si>
    <t>Q5W0B1_RNF219</t>
  </si>
  <si>
    <t>Q5W0V3_FAM160B1</t>
  </si>
  <si>
    <t>Q5W111-2_SPRYD7</t>
  </si>
  <si>
    <t>Q5XLC2_PFKFB4</t>
  </si>
  <si>
    <t>Q5XPI4_RNF123</t>
  </si>
  <si>
    <t>Q5XUX1-3_FBXW9</t>
  </si>
  <si>
    <t>Q63HM1_AFMID</t>
  </si>
  <si>
    <t>Q63HN8_RNF213</t>
  </si>
  <si>
    <t>Q63HQ0_AP1AR</t>
  </si>
  <si>
    <t>Q63ZY3-3_KANK2</t>
  </si>
  <si>
    <t>Q658Y4_FAM91A1</t>
  </si>
  <si>
    <t>Q659A1_NARG2</t>
  </si>
  <si>
    <t>Q659C4_LARP1B</t>
  </si>
  <si>
    <t>Q66GS9_CEP135</t>
  </si>
  <si>
    <t>Q66K14-2_TBC1D9B</t>
  </si>
  <si>
    <t>Q66K64_DCAF15</t>
  </si>
  <si>
    <t>Q66LE6_PPP2R2D</t>
  </si>
  <si>
    <t>Q66PJ3_ARL6IP4</t>
  </si>
  <si>
    <t>Q676U5-2_ATG16L1</t>
  </si>
  <si>
    <t>Q68CP9_ARID2</t>
  </si>
  <si>
    <t>Q68CQ4_DIEXF</t>
  </si>
  <si>
    <t>Q68CZ6_HAUS3</t>
  </si>
  <si>
    <t>Q68D10_SPTY2D1</t>
  </si>
  <si>
    <t>Q68D20_PMS2CL</t>
  </si>
  <si>
    <t>Q68DK2-2_ZFYVE26</t>
  </si>
  <si>
    <t>Q68DQ2_CRYBG3</t>
  </si>
  <si>
    <t>Q68DS0_DKFZp781N011</t>
  </si>
  <si>
    <t>Q68E01-2_INTS3</t>
  </si>
  <si>
    <t>Q68EM7_ARHGAP17</t>
  </si>
  <si>
    <t>Q69YN2_CWF19L1</t>
  </si>
  <si>
    <t>Q69YN4-3_KIAA1429</t>
  </si>
  <si>
    <t>Q69YQ0-2_SPECC1L</t>
  </si>
  <si>
    <t>Q6AHZ1_ZNF518A</t>
  </si>
  <si>
    <t>Q6AI08_HEATR6</t>
  </si>
  <si>
    <t>Q6AI12_ANKRD40</t>
  </si>
  <si>
    <t>Q6AI39_GLTSCR1L</t>
  </si>
  <si>
    <t>Q6AWC2-3_WWC2</t>
  </si>
  <si>
    <t>Q6BCY4_CYB5R2</t>
  </si>
  <si>
    <t>Q6BDS2_UHRF1BP1</t>
  </si>
  <si>
    <t>Q6DCA0_AMMECR1L</t>
  </si>
  <si>
    <t>Q6DD87_ZNF787</t>
  </si>
  <si>
    <t>Q6DHV7-3_ADAL</t>
  </si>
  <si>
    <t>Q6DKI1_RPL7L1</t>
  </si>
  <si>
    <t>Q6DKJ4_NXN</t>
  </si>
  <si>
    <t>Q6DKK2_TTC19</t>
  </si>
  <si>
    <t>Q6DN90-2_IQSEC1</t>
  </si>
  <si>
    <t>Q6DT37_CDC42BPG</t>
  </si>
  <si>
    <t>Q6EEV4-2_POLR2M</t>
  </si>
  <si>
    <t>Q6EMK4_VASN</t>
  </si>
  <si>
    <t>Q6F5E8_RLTPR</t>
  </si>
  <si>
    <t>Q6FI81-3_CIAPIN1</t>
  </si>
  <si>
    <t>Q6FIF0-2_ZFAND6</t>
  </si>
  <si>
    <t>Q6GMV2_SMYD5</t>
  </si>
  <si>
    <t>Q6GMV3_PTRHD1</t>
  </si>
  <si>
    <t>Q6GQQ9_OTUD7B</t>
  </si>
  <si>
    <t>Q6GYQ0_RALGAPA1</t>
  </si>
  <si>
    <t>Q6I9Y2_THOC7</t>
  </si>
  <si>
    <t>Q6IA69_NADSYN1</t>
  </si>
  <si>
    <t>Q6IA86-3_ELP2</t>
  </si>
  <si>
    <t>Q6IAA8_LAMTOR1</t>
  </si>
  <si>
    <t>Q6IBS0_TWF2</t>
  </si>
  <si>
    <t>Q6IBW4_NCAPH2</t>
  </si>
  <si>
    <t>Q6ICB0_DESI1</t>
  </si>
  <si>
    <t>Q6ICL3-3_TANGO2</t>
  </si>
  <si>
    <t>Q6IE81-2_PHF17</t>
  </si>
  <si>
    <t>Q6IEG0_SNRNP48</t>
  </si>
  <si>
    <t>Q6IN84_MRM1</t>
  </si>
  <si>
    <t>Q6IN85_SMEK1</t>
  </si>
  <si>
    <t>Q6IPR1_LYRM5</t>
  </si>
  <si>
    <t>Q6IPR3_TYW3</t>
  </si>
  <si>
    <t>Q6IQ22_RAB12</t>
  </si>
  <si>
    <t>Q6IQ26-2_DENND5A</t>
  </si>
  <si>
    <t>Q6IQ49-2_SDE2</t>
  </si>
  <si>
    <t>Q6IQ55-2_TTBK2</t>
  </si>
  <si>
    <t>Q6JBY9_RCSD1</t>
  </si>
  <si>
    <t>Q6KC79-2_NIPBL</t>
  </si>
  <si>
    <t>Q6L8Q7-2_PDE12</t>
  </si>
  <si>
    <t>Q6MZP7_LIN54</t>
  </si>
  <si>
    <t>Q6MZP7-4_LIN54</t>
  </si>
  <si>
    <t>Q6N021-2_TET2</t>
  </si>
  <si>
    <t>Q6N043-2_ZNF280D</t>
  </si>
  <si>
    <t>Q6N063_OGFOD2</t>
  </si>
  <si>
    <t>Q6N069_NAA16</t>
  </si>
  <si>
    <t>Q6NS38_ALKBH2</t>
  </si>
  <si>
    <t>Q6NSB6_MKRN3</t>
  </si>
  <si>
    <t>Q6NSH3_CT45A5</t>
  </si>
  <si>
    <t>Q6NSJ2_PHLDB3</t>
  </si>
  <si>
    <t>Q6NSZ9_ZSCAN25</t>
  </si>
  <si>
    <t>Q6NT76-2_HMBOX1</t>
  </si>
  <si>
    <t>Q6NTE8_C5orf45</t>
  </si>
  <si>
    <t>Q6NUM6_TYW1B</t>
  </si>
  <si>
    <t>Q6NUQ4-2_TMEM214</t>
  </si>
  <si>
    <t>Q6NVU6_UFSP1</t>
  </si>
  <si>
    <t>Q6NVY1_HIBCH</t>
  </si>
  <si>
    <t>Q6NW34-2_C3orf17</t>
  </si>
  <si>
    <t>Q6NXE6-2_ARMC6</t>
  </si>
  <si>
    <t>Q6NXT1_ANKRD54</t>
  </si>
  <si>
    <t>Q6NYC8_PPP1R18</t>
  </si>
  <si>
    <t>Q6NZ36-3_FAAP20</t>
  </si>
  <si>
    <t>Q6NZI2_PTRF</t>
  </si>
  <si>
    <t>Q6NZY4_ZCCHC8</t>
  </si>
  <si>
    <t>Q6P052_MAN1A1</t>
  </si>
  <si>
    <t>Q6P087-2_RPUSD3</t>
  </si>
  <si>
    <t>Q6P0N0_MIS18BP1</t>
  </si>
  <si>
    <t>Q6P158_DHX57</t>
  </si>
  <si>
    <t>Q6P161_MRPL54</t>
  </si>
  <si>
    <t>Q6P1J9_CDC73</t>
  </si>
  <si>
    <t>Q6P1K2_PMF1</t>
  </si>
  <si>
    <t>Q6P1K8_GTF2H2C</t>
  </si>
  <si>
    <t>Q6P1L5_FAM117B</t>
  </si>
  <si>
    <t>Q6P1L8_MRPL14</t>
  </si>
  <si>
    <t>Q6P1M9_ARMCX5</t>
  </si>
  <si>
    <t>Q6P1N0-2_CC2D1A</t>
  </si>
  <si>
    <t>Q6P1N9_TATDN1</t>
  </si>
  <si>
    <t>Q6P1Q9_METTL2B</t>
  </si>
  <si>
    <t>Q6P1R4_DUS1L</t>
  </si>
  <si>
    <t>Q6P1X5_TAF2</t>
  </si>
  <si>
    <t>Q6P1X6_C8orf82</t>
  </si>
  <si>
    <t>Q6P275_STAG1</t>
  </si>
  <si>
    <t>Q6P2C8_MED27</t>
  </si>
  <si>
    <t>Q6P2D0-2_ZFP1</t>
  </si>
  <si>
    <t>Q6P2E9_EDC4</t>
  </si>
  <si>
    <t>Q6P2H3-2_CEP85</t>
  </si>
  <si>
    <t>Q6P2I3_FAHD2B</t>
  </si>
  <si>
    <t>Q6P2P2_PRMT10</t>
  </si>
  <si>
    <t>Q6P2Q9_PRPF8</t>
  </si>
  <si>
    <t>Q6P3S1-5_DENND1B</t>
  </si>
  <si>
    <t>Q6P3S6_FBXO42</t>
  </si>
  <si>
    <t>Q6P3W7_SCYL2</t>
  </si>
  <si>
    <t>Q6P3X3_TTC27</t>
  </si>
  <si>
    <t>Q6P4A8_PLBD1</t>
  </si>
  <si>
    <t>Q6P4F2_FDX1L</t>
  </si>
  <si>
    <t>Q6P4I2_WDR73</t>
  </si>
  <si>
    <t>Q6P577_MAGT1</t>
  </si>
  <si>
    <t>Q6P582_MZT2A</t>
  </si>
  <si>
    <t>Q6P587_FAHD1</t>
  </si>
  <si>
    <t>Q6P5Z2_PKN3</t>
  </si>
  <si>
    <t>Q6P6B7-2_ANKRD16</t>
  </si>
  <si>
    <t>Q6P6C2_ALKBH5</t>
  </si>
  <si>
    <t>Q6P9B9_INTS5</t>
  </si>
  <si>
    <t>Q6PCB5_RSBN1L</t>
  </si>
  <si>
    <t>Q6PCE3_PGM2L1</t>
  </si>
  <si>
    <t>Q6PCT2-2_FBXL19</t>
  </si>
  <si>
    <t>Q6PD62_CTR9</t>
  </si>
  <si>
    <t>Q6PD74_AAGAB</t>
  </si>
  <si>
    <t>Q6PEV8-2_FAM199X</t>
  </si>
  <si>
    <t>Q6PFW1-7_PPIP5K1</t>
  </si>
  <si>
    <t>Q6PGN9-2_PSRC1</t>
  </si>
  <si>
    <t>Q6PH81-2_C16orf87</t>
  </si>
  <si>
    <t>Q6PHR2-3_ULK3</t>
  </si>
  <si>
    <t>Q6PI48_DARS2</t>
  </si>
  <si>
    <t>Q6PID6_TTC33</t>
  </si>
  <si>
    <t>Q6PII3_CCDC174</t>
  </si>
  <si>
    <t>Q6PII5-2_HAGHL</t>
  </si>
  <si>
    <t>Q6PIJ6_FBXO38</t>
  </si>
  <si>
    <t>Q6PIW4-2_FIGNL1</t>
  </si>
  <si>
    <t>Q6PJ61_FBXO46</t>
  </si>
  <si>
    <t>Q6PJ69_TRIM65</t>
  </si>
  <si>
    <t>Q6PJG2_ELMSAN1</t>
  </si>
  <si>
    <t>Q6PJG6_BRAT1</t>
  </si>
  <si>
    <t>Q6PJI9_WDR59</t>
  </si>
  <si>
    <t>Q6PJP8_DCLRE1A</t>
  </si>
  <si>
    <t>Q6PJT7-3_ZC3H14</t>
  </si>
  <si>
    <t>Q6PJT7-5_ZC3H14</t>
  </si>
  <si>
    <t>Q6PJW8-2_CNST</t>
  </si>
  <si>
    <t>Q6PK04_CCDC137</t>
  </si>
  <si>
    <t>Q6PK81-2_ZNF773</t>
  </si>
  <si>
    <t>Q6PKG0_LARP1</t>
  </si>
  <si>
    <t>Q6PL18_ATAD2</t>
  </si>
  <si>
    <t>Q6PL24_TMED8</t>
  </si>
  <si>
    <t>Q6QNY0_BLOC1S3</t>
  </si>
  <si>
    <t>Q6QNY1_BLOC1S2</t>
  </si>
  <si>
    <t>Q6R327_RICTOR</t>
  </si>
  <si>
    <t>Q6RI45-5_BRWD3</t>
  </si>
  <si>
    <t>Q6RW13-2_AGTRAP</t>
  </si>
  <si>
    <t>Q6SPF0_SAMD1</t>
  </si>
  <si>
    <t>Q6STE5-2_SMARCD3</t>
  </si>
  <si>
    <t>Q6T4P5-4_LPPR3</t>
  </si>
  <si>
    <t>Q6UB35_MTHFD1L</t>
  </si>
  <si>
    <t>Q6UB98-2_ANKRD12</t>
  </si>
  <si>
    <t>Q6UB99_ANKRD11</t>
  </si>
  <si>
    <t>Q6ULP2-5_AFTPH</t>
  </si>
  <si>
    <t>Q6UN15_FIP1L1</t>
  </si>
  <si>
    <t>Q6UN15-3_FIP1L1</t>
  </si>
  <si>
    <t>Q6UUV7-3_CRTC3</t>
  </si>
  <si>
    <t>Q6UUV9-3_CRTC1</t>
  </si>
  <si>
    <t>Q6UVJ0_SASS6</t>
  </si>
  <si>
    <t>Q6UW63_KDELC1</t>
  </si>
  <si>
    <t>Q6UWE0_LRSAM1</t>
  </si>
  <si>
    <t>Q6UWP2_DHRS11</t>
  </si>
  <si>
    <t>Q6UWP8_SBSN</t>
  </si>
  <si>
    <t>Q6UX04_CWC27</t>
  </si>
  <si>
    <t>Q6UXH1-4_CRELD2</t>
  </si>
  <si>
    <t>Q6UXN9_WDR82</t>
  </si>
  <si>
    <t>Q6UXV4_APOOL</t>
  </si>
  <si>
    <t>Q6UY14_ADAMTSL4</t>
  </si>
  <si>
    <t>Q6V0I7-3_FAT4</t>
  </si>
  <si>
    <t>Q6VY07_PACS1</t>
  </si>
  <si>
    <t>Q6W2J9-4_BCOR</t>
  </si>
  <si>
    <t>Q6WCQ1_MPRIP</t>
  </si>
  <si>
    <t>Q6WKZ4_RAB11FIP1</t>
  </si>
  <si>
    <t>Q6WRI0_IGSF10</t>
  </si>
  <si>
    <t>Q6XQN6_NAPRT1</t>
  </si>
  <si>
    <t>Q6XUX3-2_DSTYK</t>
  </si>
  <si>
    <t>Q6XZF7_DNMBP</t>
  </si>
  <si>
    <t>Q6Y7W6_GIGYF2</t>
  </si>
  <si>
    <t>Q6YHU6-3_THADA</t>
  </si>
  <si>
    <t>Q6YN16_HSDL2</t>
  </si>
  <si>
    <t>Q6YP21-3_CCBL2</t>
  </si>
  <si>
    <t>Q6ZMI0_PPP1R21</t>
  </si>
  <si>
    <t>Q6ZMT4_JHDM1D</t>
  </si>
  <si>
    <t>Q6ZMZ3-3_SYNE3</t>
  </si>
  <si>
    <t>Q6ZN04_MEX3B</t>
  </si>
  <si>
    <t>Q6ZN06_ZNF813</t>
  </si>
  <si>
    <t>Q6ZN17_LIN28B</t>
  </si>
  <si>
    <t>Q6ZN28_MACC1</t>
  </si>
  <si>
    <t>Q6ZN54-6_DEF8</t>
  </si>
  <si>
    <t>Q6ZN55_ZNF574</t>
  </si>
  <si>
    <t>Q6ZNG1_ZNF600</t>
  </si>
  <si>
    <t>Q6ZNJ1-2_NBEAL2</t>
  </si>
  <si>
    <t>Q6ZNW5_GDPGP1</t>
  </si>
  <si>
    <t>Q6ZQN7_SLCO4C1</t>
  </si>
  <si>
    <t>Q6ZRP7_QSOX2</t>
  </si>
  <si>
    <t>Q6ZRS2-2_SRCAP</t>
  </si>
  <si>
    <t>Q6ZS11_RINL</t>
  </si>
  <si>
    <t>Q6ZS17-2_FAM65A</t>
  </si>
  <si>
    <t>Q6ZSJ8_C1orf122</t>
  </si>
  <si>
    <t>Q6ZSZ5-2_ARHGEF18</t>
  </si>
  <si>
    <t>Q6ZT12_UBR3</t>
  </si>
  <si>
    <t>Q6ZT62_SH3BP1</t>
  </si>
  <si>
    <t>Q6ZTN6_ANKRD13D</t>
  </si>
  <si>
    <t>Q6ZU65_UBN2</t>
  </si>
  <si>
    <t>Q6ZUM4-2_ARHGAP27</t>
  </si>
  <si>
    <t>Q6ZUT1-3_C11orf57</t>
  </si>
  <si>
    <t>Q6ZV70-2_LANCL3</t>
  </si>
  <si>
    <t>Q6ZVK8_NUDT18</t>
  </si>
  <si>
    <t>Q6ZVM7_TOM1L2</t>
  </si>
  <si>
    <t>Q6ZW49-4_PAXIP1</t>
  </si>
  <si>
    <t>Q6ZYL4_GTF2H5</t>
  </si>
  <si>
    <t>Q709C8-3_VPS13C</t>
  </si>
  <si>
    <t>Q70CQ2_USP34</t>
  </si>
  <si>
    <t>Q70EK8_USP53</t>
  </si>
  <si>
    <t>Q70EK9_USP51</t>
  </si>
  <si>
    <t>Q70EL1-7_USP54</t>
  </si>
  <si>
    <t>Q70IA6_MOB2</t>
  </si>
  <si>
    <t>Q70J99_UNC13D</t>
  </si>
  <si>
    <t>Q70UQ0-4_IKBIP</t>
  </si>
  <si>
    <t>Q70Z53_FRA10AC1</t>
  </si>
  <si>
    <t>Q711Q0_C10orf71</t>
  </si>
  <si>
    <t>Q712K3_UBE2R2</t>
  </si>
  <si>
    <t>Q71F56_MED13L</t>
  </si>
  <si>
    <t>Q71RC2-3_LARP4</t>
  </si>
  <si>
    <t>Q71SY5-4_MED25</t>
  </si>
  <si>
    <t>Q71U36-2_TUBA1A</t>
  </si>
  <si>
    <t>Q71UI9_H2AFV</t>
  </si>
  <si>
    <t>Q75N03_CBLL1</t>
  </si>
  <si>
    <t>Q75QN2-2_INTS8</t>
  </si>
  <si>
    <t>Q765P7_MTSS1L</t>
  </si>
  <si>
    <t>Q76FK4-4_NOL8</t>
  </si>
  <si>
    <t>Q76I76_SSH2</t>
  </si>
  <si>
    <t>Q76N32-2_CEP68</t>
  </si>
  <si>
    <t>Q7KZ85_SUPT6H</t>
  </si>
  <si>
    <t>Q7KZ85-2_SUPT6H</t>
  </si>
  <si>
    <t>Q7KZF4_SND1</t>
  </si>
  <si>
    <t>Q7KZI7-12_MARK2</t>
  </si>
  <si>
    <t>Q7KZI7-14_MARK2</t>
  </si>
  <si>
    <t>Q7KZJ0_RAD51C</t>
  </si>
  <si>
    <t>Q7L014_DDX46</t>
  </si>
  <si>
    <t>Q7L099-2_RUFY3</t>
  </si>
  <si>
    <t>Q7L099-4_RUFY3</t>
  </si>
  <si>
    <t>Q7L0Y3_TRMT10C</t>
  </si>
  <si>
    <t>Q7L1Q6_BZW1</t>
  </si>
  <si>
    <t>Q7L1T6_CYB5R4</t>
  </si>
  <si>
    <t>Q7L1V2_MON1B</t>
  </si>
  <si>
    <t>Q7L266_ASRGL1</t>
  </si>
  <si>
    <t>Q7L273_KCTD9</t>
  </si>
  <si>
    <t>Q7L2H7_EIF3M</t>
  </si>
  <si>
    <t>Q7L2J0_MEPCE</t>
  </si>
  <si>
    <t>Q7L3S4_ZNF771</t>
  </si>
  <si>
    <t>Q7L3T8_PARS2</t>
  </si>
  <si>
    <t>Q7L3V2_BOP</t>
  </si>
  <si>
    <t>Q7L4I2_RSRC2</t>
  </si>
  <si>
    <t>Q7L523_RRAGA</t>
  </si>
  <si>
    <t>Q7L576_CYFIP1</t>
  </si>
  <si>
    <t>Q7L590-2_MCM10</t>
  </si>
  <si>
    <t>Q7L5D6_GET4</t>
  </si>
  <si>
    <t>Q7L5Y1_ENOSF1</t>
  </si>
  <si>
    <t>Q7L5Y6_DET1</t>
  </si>
  <si>
    <t>Q7L5Y9_MAEA</t>
  </si>
  <si>
    <t>Q7L775_EPM2AIP1</t>
  </si>
  <si>
    <t>Q7L7X3_TAOK1</t>
  </si>
  <si>
    <t>Q7L8J4_SH3BP5L</t>
  </si>
  <si>
    <t>Q7L8L6_FASTKD5</t>
  </si>
  <si>
    <t>Q7L8W6_ATPBD4</t>
  </si>
  <si>
    <t>Q7L945_ZNF627</t>
  </si>
  <si>
    <t>Q7LBC6_KDM3B</t>
  </si>
  <si>
    <t>Q7LBR1_CHMP1B</t>
  </si>
  <si>
    <t>Q7LDG7_RASGRP2</t>
  </si>
  <si>
    <t>Q7LG56_RRM2B</t>
  </si>
  <si>
    <t>Q7RTN6-6_STRADA</t>
  </si>
  <si>
    <t>Q7RTP6_MICAL3</t>
  </si>
  <si>
    <t>Q7RTS9_DYM</t>
  </si>
  <si>
    <t>Q7RTV0_PHF5A</t>
  </si>
  <si>
    <t>Q7Z2E3-3_APTX</t>
  </si>
  <si>
    <t>Q7Z2K8_GPRIN1</t>
  </si>
  <si>
    <t>Q7Z2T5_TRMT1L</t>
  </si>
  <si>
    <t>Q7Z2W4_ZC3HAV1</t>
  </si>
  <si>
    <t>Q7Z2Z2_EFTUD1</t>
  </si>
  <si>
    <t>Q7Z309_FAM122B</t>
  </si>
  <si>
    <t>Q7Z333-3_SETX</t>
  </si>
  <si>
    <t>Q7Z392_TRAPPC11</t>
  </si>
  <si>
    <t>Q7Z3B3_KANSL1</t>
  </si>
  <si>
    <t>Q7Z3D4_LYSMD3</t>
  </si>
  <si>
    <t>Q7Z3E2_C10orf118</t>
  </si>
  <si>
    <t>Q7Z3J2_C16orf62</t>
  </si>
  <si>
    <t>Q7Z3K3-5_POGZ</t>
  </si>
  <si>
    <t>Q7Z3K6-4_MIER3</t>
  </si>
  <si>
    <t>Q7Z3T8_ZFYVE16</t>
  </si>
  <si>
    <t>Q7Z3V4_UBE3B</t>
  </si>
  <si>
    <t>Q7Z3Z2_RD3</t>
  </si>
  <si>
    <t>Q7Z401_DENND4A</t>
  </si>
  <si>
    <t>Q7Z406_MYH14</t>
  </si>
  <si>
    <t>Q7Z417_NUFIP2</t>
  </si>
  <si>
    <t>Q7Z422-2_SZRD1</t>
  </si>
  <si>
    <t>Q7Z434_MAVS</t>
  </si>
  <si>
    <t>Q7Z460_CLASP1</t>
  </si>
  <si>
    <t>Q7Z478_DHX29</t>
  </si>
  <si>
    <t>Q7Z494-2_NPHP3</t>
  </si>
  <si>
    <t>Q7Z4G1_COMMD6</t>
  </si>
  <si>
    <t>Q7Z4H3_HDDC2</t>
  </si>
  <si>
    <t>Q7Z4H7_HAUS6</t>
  </si>
  <si>
    <t>Q7Z4H8_KDELC2</t>
  </si>
  <si>
    <t>Q7Z4I7-4_LIMS2</t>
  </si>
  <si>
    <t>Q7Z4Q2_HEATR3</t>
  </si>
  <si>
    <t>Q7Z4S6-3_KIF21A</t>
  </si>
  <si>
    <t>Q7Z4V5_HDGFRP2</t>
  </si>
  <si>
    <t>Q7Z4V5-2_HDGFRP2</t>
  </si>
  <si>
    <t>Q7Z4W1_DCXR</t>
  </si>
  <si>
    <t>Q7Z591_AKNA</t>
  </si>
  <si>
    <t>Q7Z5J4-3_RAI1</t>
  </si>
  <si>
    <t>Q7Z5K2_WAPAL</t>
  </si>
  <si>
    <t>Q7Z5L2-2_R3HCC1L</t>
  </si>
  <si>
    <t>Q7Z5L9-2_IRF2BP2</t>
  </si>
  <si>
    <t>Q7Z5W3_BCDIN3D</t>
  </si>
  <si>
    <t>Q7Z5Y7_KCTD20</t>
  </si>
  <si>
    <t>Q7Z624_CAMKMT</t>
  </si>
  <si>
    <t>Q7Z6B0-2_CCDC91</t>
  </si>
  <si>
    <t>Q7Z6E9_RBBP6</t>
  </si>
  <si>
    <t>Q7Z6J9_TSEN54</t>
  </si>
  <si>
    <t>Q7Z6K3_PTAR1</t>
  </si>
  <si>
    <t>Q7Z6L1_TECPR1</t>
  </si>
  <si>
    <t>Q7Z6M1_RABEPK</t>
  </si>
  <si>
    <t>Q7Z6M3_MILR1</t>
  </si>
  <si>
    <t>Q7Z6V5_ADAT2</t>
  </si>
  <si>
    <t>Q7Z794_KRT77</t>
  </si>
  <si>
    <t>Q7Z7A1-5_CNTRL</t>
  </si>
  <si>
    <t>Q7Z7A3_CTU1</t>
  </si>
  <si>
    <t>Q7Z7A4_PXK</t>
  </si>
  <si>
    <t>Q7Z7C8_TAF8</t>
  </si>
  <si>
    <t>Q7Z7E8_UBE2Q1</t>
  </si>
  <si>
    <t>Q7Z7F0_KIAA0907</t>
  </si>
  <si>
    <t>Q7Z7F7_MRPL55</t>
  </si>
  <si>
    <t>Q7Z7G8-2_VPS13B</t>
  </si>
  <si>
    <t>Q7Z7K0_CMC1</t>
  </si>
  <si>
    <t>Q7Z7K6-3_CENPV</t>
  </si>
  <si>
    <t>Q86SE9_PCGF5</t>
  </si>
  <si>
    <t>Q86SG6_NEK8</t>
  </si>
  <si>
    <t>Q86SQ4-2_GPR126</t>
  </si>
  <si>
    <t>Q86SQ7_SDCCAG8</t>
  </si>
  <si>
    <t>Q86SX6_GLRX5</t>
  </si>
  <si>
    <t>Q86SZ2_TRAPPC6B</t>
  </si>
  <si>
    <t>Q86T24_ZBTB33</t>
  </si>
  <si>
    <t>Q86T82-2_USP37</t>
  </si>
  <si>
    <t>Q86TA1_MOB3B</t>
  </si>
  <si>
    <t>Q86TB9-4_PATL1</t>
  </si>
  <si>
    <t>Q86TI0_TBC1D1</t>
  </si>
  <si>
    <t>Q86TI2_DPP9</t>
  </si>
  <si>
    <t>Q86TJ2-3_TADA2B</t>
  </si>
  <si>
    <t>Q86TN4-2_TRPT1</t>
  </si>
  <si>
    <t>Q86TP1_PRUNE</t>
  </si>
  <si>
    <t>Q86TU7_SETD3</t>
  </si>
  <si>
    <t>Q86TV2_LGMN</t>
  </si>
  <si>
    <t>Q86TV6_TTC7B</t>
  </si>
  <si>
    <t>Q86U28_ISCA2</t>
  </si>
  <si>
    <t>Q86U44_METTL3</t>
  </si>
  <si>
    <t>Q86U70-3_LDB1</t>
  </si>
  <si>
    <t>Q86U86-8_PBRM1</t>
  </si>
  <si>
    <t>Q86U90_YRDC</t>
  </si>
  <si>
    <t>Q86UA1_PRPF39</t>
  </si>
  <si>
    <t>Q86UE4_MTDH</t>
  </si>
  <si>
    <t>Q86UE8-2_TLK2</t>
  </si>
  <si>
    <t>Q86UK7-3_ZNF598</t>
  </si>
  <si>
    <t>Q86UP2_KTN1</t>
  </si>
  <si>
    <t>Q86US8_SMG6</t>
  </si>
  <si>
    <t>Q86UU0-3_BCL9L</t>
  </si>
  <si>
    <t>Q86UU1-2_PHLDB1</t>
  </si>
  <si>
    <t>Q86UV5_USP48</t>
  </si>
  <si>
    <t>Q86UW6-2_N4BP2</t>
  </si>
  <si>
    <t>Q86UX3_ABCC5</t>
  </si>
  <si>
    <t>Q86UX6_STK32C</t>
  </si>
  <si>
    <t>Q86UY0_TXNDC5</t>
  </si>
  <si>
    <t>Q86UY5_FAM83A</t>
  </si>
  <si>
    <t>Q86UY8-2_NT5DC3</t>
  </si>
  <si>
    <t>Q86V21_AACS</t>
  </si>
  <si>
    <t>Q86V48_LUZP1</t>
  </si>
  <si>
    <t>Q86V59_PNMAL1</t>
  </si>
  <si>
    <t>Q86V87_FAM160B2</t>
  </si>
  <si>
    <t>Q86VG3_C11orf74</t>
  </si>
  <si>
    <t>Q86VH3_hCG_1980662</t>
  </si>
  <si>
    <t>Q86VM9_ZC3H18</t>
  </si>
  <si>
    <t>Q86VN1_VPS36</t>
  </si>
  <si>
    <t>Q86VP1-2_TAX1BP1</t>
  </si>
  <si>
    <t>Q86VP6_CAND1</t>
  </si>
  <si>
    <t>Q86VQ1_GLCCI1</t>
  </si>
  <si>
    <t>Q86VQ6_TXNRD3</t>
  </si>
  <si>
    <t>Q86VR2_FAM134C</t>
  </si>
  <si>
    <t>Q86VS8_HOOK3</t>
  </si>
  <si>
    <t>Q86VU3_MAP4K2</t>
  </si>
  <si>
    <t>Q86VV8-3_RTTN</t>
  </si>
  <si>
    <t>Q86VX2-2_COMMD7</t>
  </si>
  <si>
    <t>Q86VX9_MON1A</t>
  </si>
  <si>
    <t>Q86VY4_TSPYL5</t>
  </si>
  <si>
    <t>Q86W34_AMZ2</t>
  </si>
  <si>
    <t>Q86W42_THOC6</t>
  </si>
  <si>
    <t>Q86W50_METTL16</t>
  </si>
  <si>
    <t>Q86W56-2_PARG</t>
  </si>
  <si>
    <t>Q86W92-4_PPFIBP1</t>
  </si>
  <si>
    <t>Q86WA6-2_BPHL</t>
  </si>
  <si>
    <t>Q86WH2_RASSF3</t>
  </si>
  <si>
    <t>Q86WJ1-2_CHD1L</t>
  </si>
  <si>
    <t>Q86WN1_FCHSD1</t>
  </si>
  <si>
    <t>Q86WP2-3_GPBP1</t>
  </si>
  <si>
    <t>Q86WQ0_NR2C2AP</t>
  </si>
  <si>
    <t>Q86WR0_CCDC25</t>
  </si>
  <si>
    <t>Q86WR7_PROSER2</t>
  </si>
  <si>
    <t>Q86WU2-2_LDHD</t>
  </si>
  <si>
    <t>Q86WX3_RPS19BP1</t>
  </si>
  <si>
    <t>Q86X02_CDR2L</t>
  </si>
  <si>
    <t>Q86X10-3_RALGAPB</t>
  </si>
  <si>
    <t>Q86X27_RALGPS2</t>
  </si>
  <si>
    <t>Q86X53_ERICH1</t>
  </si>
  <si>
    <t>Q86X55-1_CARM1</t>
  </si>
  <si>
    <t>Q86X76-2_NIT1</t>
  </si>
  <si>
    <t>Q86X83_COMMD2</t>
  </si>
  <si>
    <t>Q86X95-2_CIR1</t>
  </si>
  <si>
    <t>Q86XK2-6_FBXO11</t>
  </si>
  <si>
    <t>Q86XK3-3_SFR1</t>
  </si>
  <si>
    <t>Q86XN8_MEX3D</t>
  </si>
  <si>
    <t>Q86XP1-2_DGKH</t>
  </si>
  <si>
    <t>Q86XP3_DDX42</t>
  </si>
  <si>
    <t>Q86Y07-5_VRK2</t>
  </si>
  <si>
    <t>Q86Y13_DZIP3</t>
  </si>
  <si>
    <t>Q86Y22_COL23A1</t>
  </si>
  <si>
    <t>Q86Y37_CACUL1</t>
  </si>
  <si>
    <t>Q86Y56_HEATR2</t>
  </si>
  <si>
    <t>Q86Y79_PTRH1</t>
  </si>
  <si>
    <t>Q86Y82_STX12</t>
  </si>
  <si>
    <t>Q86Y91-2_KIF18B</t>
  </si>
  <si>
    <t>Q86YB8_ERO1LB</t>
  </si>
  <si>
    <t>Q86YH2_ZNF280B</t>
  </si>
  <si>
    <t>Q86YH6_PDSS2</t>
  </si>
  <si>
    <t>Q86YM7_HOMER1</t>
  </si>
  <si>
    <t>Q86YP4_GATAD2A</t>
  </si>
  <si>
    <t>Q86YR5-4_GPSM1</t>
  </si>
  <si>
    <t>Q86YS7_C2CD5</t>
  </si>
  <si>
    <t>Q86YV5_SGK223</t>
  </si>
  <si>
    <t>Q86YV9_HPS6</t>
  </si>
  <si>
    <t>Q86YZ3_HRNR</t>
  </si>
  <si>
    <t>Q8IU60-2_DCP2</t>
  </si>
  <si>
    <t>Q8IU81_IRF2BP1</t>
  </si>
  <si>
    <t>Q8IUC4_RHPN2</t>
  </si>
  <si>
    <t>Q8IUD2_ERC1</t>
  </si>
  <si>
    <t>Q8IUE1_TGIF2LX</t>
  </si>
  <si>
    <t>Q8IUF8_MINA</t>
  </si>
  <si>
    <t>Q8IUG5_MYO18B</t>
  </si>
  <si>
    <t>Q8IUH3-2_RBM45</t>
  </si>
  <si>
    <t>Q8IUI8_CRLF3</t>
  </si>
  <si>
    <t>Q8IUQ4_SIAH1</t>
  </si>
  <si>
    <t>Q8IUR0_TRAPPC5</t>
  </si>
  <si>
    <t>Q8IUX4_APOBEC3F</t>
  </si>
  <si>
    <t>Q8IUZ5_AGXT2L2</t>
  </si>
  <si>
    <t>Q8IV08_PLD3</t>
  </si>
  <si>
    <t>Q8IV38_ANKMY2</t>
  </si>
  <si>
    <t>Q8IV48_ERI1</t>
  </si>
  <si>
    <t>Q8IV50_LYSMD2</t>
  </si>
  <si>
    <t>Q8IV63-3_VRK3</t>
  </si>
  <si>
    <t>Q8IVD9_NUDCD3</t>
  </si>
  <si>
    <t>Q8IVL1-10_NAV2</t>
  </si>
  <si>
    <t>Q8IVM0_CCDC50</t>
  </si>
  <si>
    <t>Q8IVM0-2_CCDC50</t>
  </si>
  <si>
    <t>Q8IVS2_MCAT</t>
  </si>
  <si>
    <t>Q8IVV2_LOXHD1</t>
  </si>
  <si>
    <t>Q8IVW6-4_ARID3B</t>
  </si>
  <si>
    <t>Q8IW41-2_MAPKAPK5</t>
  </si>
  <si>
    <t>Q8IW45_CARKD</t>
  </si>
  <si>
    <t>Q8IWB7_WDFY1</t>
  </si>
  <si>
    <t>Q8IWB9_TEX2</t>
  </si>
  <si>
    <t>Q8IWC1-2_MAP7D3</t>
  </si>
  <si>
    <t>Q8IWD4_CCDC117</t>
  </si>
  <si>
    <t>Q8IWF6_DENND6A</t>
  </si>
  <si>
    <t>Q8IWG1-2_WDR63</t>
  </si>
  <si>
    <t>Q8IWI9_MGA</t>
  </si>
  <si>
    <t>Q8IWJ2_GCC2</t>
  </si>
  <si>
    <t>Q8IWL3_HSCB</t>
  </si>
  <si>
    <t>Q8IWP9_CCDC28A</t>
  </si>
  <si>
    <t>Q8IWR0_ZC3H7A</t>
  </si>
  <si>
    <t>Q8IWT0_ZBTB8OS</t>
  </si>
  <si>
    <t>Q8IWU2_LMTK2</t>
  </si>
  <si>
    <t>Q8IWV7_UBR1</t>
  </si>
  <si>
    <t>Q8IWV8_UBR2</t>
  </si>
  <si>
    <t>Q8IWW6-2_ARHGAP12</t>
  </si>
  <si>
    <t>Q8IWX8_CHERP</t>
  </si>
  <si>
    <t>Q8IWY8-4_ZSCAN29</t>
  </si>
  <si>
    <t>Q8IWY9-1_CDAN1</t>
  </si>
  <si>
    <t>Q8IWZ3-6_ANKHD1</t>
  </si>
  <si>
    <t>Q8IWZ8_SUGP1</t>
  </si>
  <si>
    <t>Q8IX01-4_SUGP2</t>
  </si>
  <si>
    <t>Q8IX04-6_UEVLD</t>
  </si>
  <si>
    <t>Q8IX07_ZFPM1</t>
  </si>
  <si>
    <t>Q8IX12-2_CCAR1</t>
  </si>
  <si>
    <t>Q8IX15_HOMEZ</t>
  </si>
  <si>
    <t>Q8IX18-3_DHX40</t>
  </si>
  <si>
    <t>Q8IX90_SKA3</t>
  </si>
  <si>
    <t>Q8IXB1-2_DNAJC10</t>
  </si>
  <si>
    <t>Q8IXH7-4_NELFCD</t>
  </si>
  <si>
    <t>Q8IXJ6-2_SIRT2</t>
  </si>
  <si>
    <t>Q8IXJ9_ASXL1</t>
  </si>
  <si>
    <t>Q8IXK0-2_PHC2</t>
  </si>
  <si>
    <t>Q8IXK2_GALNT12</t>
  </si>
  <si>
    <t>Q8IXM3_MRPL41</t>
  </si>
  <si>
    <t>Q8IXQ3_C9orf40</t>
  </si>
  <si>
    <t>Q8IXQ4_KIAA1704</t>
  </si>
  <si>
    <t>Q8IXQ5-2_KLHL7</t>
  </si>
  <si>
    <t>Q8IXS8_FAM126B</t>
  </si>
  <si>
    <t>Q8IXW5_RPAP2</t>
  </si>
  <si>
    <t>Q8IXZ2_ZC3H3</t>
  </si>
  <si>
    <t>Q8IY18_SMC5</t>
  </si>
  <si>
    <t>Q8IY22_CMIP</t>
  </si>
  <si>
    <t>Q8IY31_IFT20</t>
  </si>
  <si>
    <t>Q8IY33_MICALL2</t>
  </si>
  <si>
    <t>Q8IY37_DHX37</t>
  </si>
  <si>
    <t>Q8IY47_KBTBD2</t>
  </si>
  <si>
    <t>Q8IY63-2_AMOTL1</t>
  </si>
  <si>
    <t>Q8IY67-2_RAVER1</t>
  </si>
  <si>
    <t>Q8IY81_FTSJ3</t>
  </si>
  <si>
    <t>Q8IY92_SLX4</t>
  </si>
  <si>
    <t>Q8IYA6_CKAP2L</t>
  </si>
  <si>
    <t>Q8IYB5-3_SMAP1</t>
  </si>
  <si>
    <t>Q8IYB7_DIS3L2</t>
  </si>
  <si>
    <t>Q8IYB8_SUPV3L1</t>
  </si>
  <si>
    <t>Q8IYB9_ZNF595</t>
  </si>
  <si>
    <t>Q8IYD1_GSPT2</t>
  </si>
  <si>
    <t>Q8IYE0_CCDC146</t>
  </si>
  <si>
    <t>Q8IYH5-4_ZZZ3</t>
  </si>
  <si>
    <t>Q8IYI6_EXOC8</t>
  </si>
  <si>
    <t>Q8IYK4_COLGALT2</t>
  </si>
  <si>
    <t>Q8IYL3_C1orf174</t>
  </si>
  <si>
    <t>Q8IYN2_TCEAL8</t>
  </si>
  <si>
    <t>Q8IYN6_UBALD2</t>
  </si>
  <si>
    <t>Q8IYN9_PTK2</t>
  </si>
  <si>
    <t>Q8IYQ7_THNSL1</t>
  </si>
  <si>
    <t>Q8IYT2_FTSJD1</t>
  </si>
  <si>
    <t>Q8IYU2_HACE1</t>
  </si>
  <si>
    <t>Q8IYU8_MICU2</t>
  </si>
  <si>
    <t>Q8IYW5_RNF168</t>
  </si>
  <si>
    <t>Q8IZ07_ANKRD13A</t>
  </si>
  <si>
    <t>Q8IZ13_C5orf54</t>
  </si>
  <si>
    <t>Q8IZ21-3_PHACTR4</t>
  </si>
  <si>
    <t>Q8IZ69_TRMT2A</t>
  </si>
  <si>
    <t>Q8IZ73_RPUSD2</t>
  </si>
  <si>
    <t>Q8IZ83_ALDH16A1</t>
  </si>
  <si>
    <t>Q8IZD2-6_MLL5</t>
  </si>
  <si>
    <t>Q8IZE3-2_SCYL3</t>
  </si>
  <si>
    <t>Q8IZH2-2_XRN1</t>
  </si>
  <si>
    <t>Q8IZJ1-2_UNC5B</t>
  </si>
  <si>
    <t>Q8IZL2_MAML2</t>
  </si>
  <si>
    <t>Q8IZL8_PELP1</t>
  </si>
  <si>
    <t>Q8IZP0-10_ABI1</t>
  </si>
  <si>
    <t>Q8IZQ1-2_WDFY3</t>
  </si>
  <si>
    <t>Q8IZT6-2_ASPM</t>
  </si>
  <si>
    <t>Q8IZV5_RDH10</t>
  </si>
  <si>
    <t>Q8N0S2_SYCE1</t>
  </si>
  <si>
    <t>Q8N0T1_C8orf59</t>
  </si>
  <si>
    <t>Q8N0W3_FUK</t>
  </si>
  <si>
    <t>Q8N0X7_SPG20</t>
  </si>
  <si>
    <t>Q8N0Y2-2_ZNF444</t>
  </si>
  <si>
    <t>Q8N0Z3_SPICE1</t>
  </si>
  <si>
    <t>Q8N0Z6_TTC5</t>
  </si>
  <si>
    <t>Q8N108-17_MIER1</t>
  </si>
  <si>
    <t>Q8N122_RPTOR</t>
  </si>
  <si>
    <t>Q8N129_CNPY4</t>
  </si>
  <si>
    <t>Q8N142_ADSSL1</t>
  </si>
  <si>
    <t>Q8N163_KIAA1967</t>
  </si>
  <si>
    <t>Q8N183_NDUFAF2</t>
  </si>
  <si>
    <t>Q8N196_SIX5</t>
  </si>
  <si>
    <t>Q8N1A6_C4orf33</t>
  </si>
  <si>
    <t>Q8N1B4_VPS52</t>
  </si>
  <si>
    <t>Q8N1F7_NUP93</t>
  </si>
  <si>
    <t>Q8N1G0_ZNF687</t>
  </si>
  <si>
    <t>Q8N1G1_REXO1</t>
  </si>
  <si>
    <t>Q8N1G2_FTSJD2</t>
  </si>
  <si>
    <t>Q8N1G4_LRRC47</t>
  </si>
  <si>
    <t>Q8N1I1_FAM115C</t>
  </si>
  <si>
    <t>Q8N1N4_KRT78</t>
  </si>
  <si>
    <t>Q8N1Q1_CA13</t>
  </si>
  <si>
    <t>Q8N201_INTS1</t>
  </si>
  <si>
    <t>Q8N2F6-3_ARMC10</t>
  </si>
  <si>
    <t>Q8N2K0_ABHD12</t>
  </si>
  <si>
    <t>Q8N2W9_PIAS4</t>
  </si>
  <si>
    <t>Q8N300_CCDC23</t>
  </si>
  <si>
    <t>Q8N302_AGGF1</t>
  </si>
  <si>
    <t>Q8N335_GPD1L</t>
  </si>
  <si>
    <t>Q8N344_MIER2</t>
  </si>
  <si>
    <t>Q8N350_DOS</t>
  </si>
  <si>
    <t>Q8N371_KDM8</t>
  </si>
  <si>
    <t>Q8N392_ARHGAP18</t>
  </si>
  <si>
    <t>Q8N3C0_ASCC3</t>
  </si>
  <si>
    <t>Q8N3D4_EHBP1L1</t>
  </si>
  <si>
    <t>Q8N3F8_MICALL1</t>
  </si>
  <si>
    <t>Q8N3J3-3_C17orf53</t>
  </si>
  <si>
    <t>Q8N3P4-3_VPS8</t>
  </si>
  <si>
    <t>Q8N3R9_MPP5</t>
  </si>
  <si>
    <t>Q8N3X1_FNBP4</t>
  </si>
  <si>
    <t>Q8N3X6-3_LCORL</t>
  </si>
  <si>
    <t>Q8N3Y1-2_FBXW8</t>
  </si>
  <si>
    <t>Q8N465-2_D2HGDH</t>
  </si>
  <si>
    <t>Q8N488_RYBP</t>
  </si>
  <si>
    <t>Q8N4C8-4_MINK1</t>
  </si>
  <si>
    <t>Q8N4H5_TOMM5</t>
  </si>
  <si>
    <t>Q8N4J0_C9orf41</t>
  </si>
  <si>
    <t>Q8N4N3-2_KLHL36</t>
  </si>
  <si>
    <t>Q8N4P3_HDDC3</t>
  </si>
  <si>
    <t>Q8N4Q0_ZADH2</t>
  </si>
  <si>
    <t>Q8N4Q1_CHCHD4</t>
  </si>
  <si>
    <t>Q8N4T8_CBR4</t>
  </si>
  <si>
    <t>Q8N556_AFAP1</t>
  </si>
  <si>
    <t>Q8N567_ZCCHC9</t>
  </si>
  <si>
    <t>Q8N573-8_OXR1</t>
  </si>
  <si>
    <t>Q8N5A5-3_ZGPAT</t>
  </si>
  <si>
    <t>Q8N5C6_SRBD1</t>
  </si>
  <si>
    <t>Q8N5C7_DTWD1</t>
  </si>
  <si>
    <t>Q8N5C8-2_TAB3</t>
  </si>
  <si>
    <t>Q8N5D0-4_WDTC1</t>
  </si>
  <si>
    <t>Q8N5F7_NKAP</t>
  </si>
  <si>
    <t>Q8N5G2_TMEM57</t>
  </si>
  <si>
    <t>Q8N5I9_C12orf45</t>
  </si>
  <si>
    <t>Q8N5K1_CISD2</t>
  </si>
  <si>
    <t>Q8N5L8_RPP25L</t>
  </si>
  <si>
    <t>Q8N5M1_ATPAF2</t>
  </si>
  <si>
    <t>Q8N5N7_MRPL50</t>
  </si>
  <si>
    <t>Q8N5P1_ZC3H8</t>
  </si>
  <si>
    <t>Q8N5S9_CAMKK1</t>
  </si>
  <si>
    <t>Q8N5U6_RNF10</t>
  </si>
  <si>
    <t>Q8N5X7-2_EIF4E3</t>
  </si>
  <si>
    <t>Q8N5Y2-4_MSL3</t>
  </si>
  <si>
    <t>Q8N612-3_FAM160A2</t>
  </si>
  <si>
    <t>Q8N653_LZTR1</t>
  </si>
  <si>
    <t>Q8N655_C10orf12</t>
  </si>
  <si>
    <t>Q8N668_COMMD1</t>
  </si>
  <si>
    <t>Q8N680_ZBTB2</t>
  </si>
  <si>
    <t>Q8N684_CPSF7</t>
  </si>
  <si>
    <t>Q8N6H7_ARFGAP2</t>
  </si>
  <si>
    <t>Q8N6M0_OTUD6B</t>
  </si>
  <si>
    <t>Q8N6N3_C1orf52</t>
  </si>
  <si>
    <t>Q8N6N7_ACBD7</t>
  </si>
  <si>
    <t>Q8N6T7-2_SIRT6</t>
  </si>
  <si>
    <t>Q8N720-3_ZNF655</t>
  </si>
  <si>
    <t>Q8N7X4_MAGEB6</t>
  </si>
  <si>
    <t>Q8N806_UBR7</t>
  </si>
  <si>
    <t>Q8N819-2_PPM1N</t>
  </si>
  <si>
    <t>Q8N8A6_DDX51</t>
  </si>
  <si>
    <t>Q8N8N7_PTGR2</t>
  </si>
  <si>
    <t>Q8N8R5_C2orf69</t>
  </si>
  <si>
    <t>Q8N8R7_ARL14EP</t>
  </si>
  <si>
    <t>Q8N8S7-2_ENAH</t>
  </si>
  <si>
    <t>Q8N954_GPATCH11</t>
  </si>
  <si>
    <t>Q8N960_CEP120</t>
  </si>
  <si>
    <t>Q8N998_CCDC89</t>
  </si>
  <si>
    <t>Q8N999_C12orf29</t>
  </si>
  <si>
    <t>Q8N9B5-2_JMY</t>
  </si>
  <si>
    <t>Q8N9F0_NAT8L</t>
  </si>
  <si>
    <t>Q8N9L1-4_ZIC4</t>
  </si>
  <si>
    <t>Q8N9M1_C19orf47</t>
  </si>
  <si>
    <t>Q8N9M5_TMEM102</t>
  </si>
  <si>
    <t>Q8N9N5-7_BANP</t>
  </si>
  <si>
    <t>Q8N9N7_LRRC57</t>
  </si>
  <si>
    <t>Q8N9N8_EIF1AD</t>
  </si>
  <si>
    <t>Q8N9Q2_SREK1IP1</t>
  </si>
  <si>
    <t>Q8N9R8_SCAI</t>
  </si>
  <si>
    <t>Q8N9V3_WDSUB1</t>
  </si>
  <si>
    <t>Q8N9Z2_CCDC71L</t>
  </si>
  <si>
    <t>Q8NAF0_ZNF579</t>
  </si>
  <si>
    <t>Q8NAP3_ZBTB38</t>
  </si>
  <si>
    <t>Q8NAT2_TDRD5</t>
  </si>
  <si>
    <t>Q8NAV1_PRPF38A</t>
  </si>
  <si>
    <t>Q8NB15-2_ZNF511</t>
  </si>
  <si>
    <t>Q8NB16_MLKL</t>
  </si>
  <si>
    <t>Q8NB37-3_PDDC1</t>
  </si>
  <si>
    <t>Q8NB42-2_ZNF527</t>
  </si>
  <si>
    <t>Q8NB46_ANKRD52</t>
  </si>
  <si>
    <t>Q8NB78_KDM1B</t>
  </si>
  <si>
    <t>Q8NB90_SPATA5</t>
  </si>
  <si>
    <t>Q8NBA8_DTWD2</t>
  </si>
  <si>
    <t>Q8NBF2_NHLRC2</t>
  </si>
  <si>
    <t>Q8NBF6-2_AVL9</t>
  </si>
  <si>
    <t>Q8NBJ5_COLGALT1</t>
  </si>
  <si>
    <t>Q8NBJ7_SUMF2</t>
  </si>
  <si>
    <t>Q8NBL1_POGLUT1</t>
  </si>
  <si>
    <t>Q8NBM4-4_UBAC2</t>
  </si>
  <si>
    <t>Q8NBN7_RDH13</t>
  </si>
  <si>
    <t>Q8NBX0_SCCPDH</t>
  </si>
  <si>
    <t>Q8NBZ0_INO80E</t>
  </si>
  <si>
    <t>Q8NC51-2_SERBP1</t>
  </si>
  <si>
    <t>Q8NC56_LEMD2</t>
  </si>
  <si>
    <t>Q8NC60_NOA1</t>
  </si>
  <si>
    <t>Q8NC81_CARD10</t>
  </si>
  <si>
    <t>Q8NC96_NECAP1</t>
  </si>
  <si>
    <t>Q8NCA5-2_FAM98A</t>
  </si>
  <si>
    <t>Q8NCC3_PLA2G15</t>
  </si>
  <si>
    <t>Q8NCD3_HJURP</t>
  </si>
  <si>
    <t>Q8NCE0-4_TSEN2</t>
  </si>
  <si>
    <t>Q8NCE2-2_MTMR14</t>
  </si>
  <si>
    <t>Q8NCF5_NFATC2IP</t>
  </si>
  <si>
    <t>Q8NCN2_ZBTB34</t>
  </si>
  <si>
    <t>Q8NCN4_RNF169</t>
  </si>
  <si>
    <t>Q8NCN5_PDPR</t>
  </si>
  <si>
    <t>Q8NCP5-3_ZBTB44</t>
  </si>
  <si>
    <t>Q8NCW5_APOA1BP</t>
  </si>
  <si>
    <t>Q8NCY6_MSANTD4</t>
  </si>
  <si>
    <t>Q8ND04_SMG8</t>
  </si>
  <si>
    <t>Q8ND24_RNF214</t>
  </si>
  <si>
    <t>Q8ND30_PPFIBP2</t>
  </si>
  <si>
    <t>Q8ND56-2_LSM14A</t>
  </si>
  <si>
    <t>Q8ND76-3_CCNY</t>
  </si>
  <si>
    <t>Q8NDC0_MAPK1IP1L</t>
  </si>
  <si>
    <t>Q8NDD1-3_C1orf131</t>
  </si>
  <si>
    <t>Q8NDF8_PAPD5</t>
  </si>
  <si>
    <t>Q8NDI1-3_EHBP1</t>
  </si>
  <si>
    <t>Q8NDV7-2_TNRC6A</t>
  </si>
  <si>
    <t>Q8NDX1_PSD4</t>
  </si>
  <si>
    <t>Q8NDX5-7_PHC3</t>
  </si>
  <si>
    <t>Q8NE01-2_CNNM3</t>
  </si>
  <si>
    <t>Q8NE35-2_CPEB3</t>
  </si>
  <si>
    <t>Q8NE71_ABCF1</t>
  </si>
  <si>
    <t>Q8NEB9_PIK3C3</t>
  </si>
  <si>
    <t>Q8NEC7_GSTCD</t>
  </si>
  <si>
    <t>Q8NEF9_SRFBP1</t>
  </si>
  <si>
    <t>Q8NEJ9-2_NGDN</t>
  </si>
  <si>
    <t>Q8NEM2_SHCBP1</t>
  </si>
  <si>
    <t>Q8NEN9_PDZD8</t>
  </si>
  <si>
    <t>Q8NEU8-2_APPL2</t>
  </si>
  <si>
    <t>Q8NEY1-2_NAV1</t>
  </si>
  <si>
    <t>Q8NEY8-2_PPHLN1</t>
  </si>
  <si>
    <t>Q8NEY8-3_PPHLN1</t>
  </si>
  <si>
    <t>Q8NEZ2_VPS37A</t>
  </si>
  <si>
    <t>Q8NEZ4_MLL3</t>
  </si>
  <si>
    <t>Q8NEZ5_FBXO22</t>
  </si>
  <si>
    <t>Q8NF37_LPCAT1</t>
  </si>
  <si>
    <t>Q8NF50-4_DOCK8</t>
  </si>
  <si>
    <t>Q8NF64-3_ZMIZ2</t>
  </si>
  <si>
    <t>Q8NF99_ZNF397</t>
  </si>
  <si>
    <t>Q8NFA0_USP32</t>
  </si>
  <si>
    <t>Q8NFC6_BOD1L1</t>
  </si>
  <si>
    <t>Q8NFF5-3_FLAD1</t>
  </si>
  <si>
    <t>Q8NFG4_FLCN</t>
  </si>
  <si>
    <t>Q8NFH3_NUP43</t>
  </si>
  <si>
    <t>Q8NFH4_NUP37</t>
  </si>
  <si>
    <t>Q8NFI3_ENGASE</t>
  </si>
  <si>
    <t>Q8NFQ8_TOR1AIP2</t>
  </si>
  <si>
    <t>Q8NFV4_ABHD11</t>
  </si>
  <si>
    <t>Q8NFW8_CMAS</t>
  </si>
  <si>
    <t>Q8NFY9_KBTBD8</t>
  </si>
  <si>
    <t>Q8NFZ0_FBXO18</t>
  </si>
  <si>
    <t>Q8NG08_HELB</t>
  </si>
  <si>
    <t>Q8NG31-2_CASC5</t>
  </si>
  <si>
    <t>Q8NG68_TTL</t>
  </si>
  <si>
    <t>Q8NHG7_SVIP</t>
  </si>
  <si>
    <t>Q8NHG8_ZNRF2</t>
  </si>
  <si>
    <t>Q8NHM4_TRY6</t>
  </si>
  <si>
    <t>Q8NHM5-4_KDM2B</t>
  </si>
  <si>
    <t>Q8NHP8_PLBD2</t>
  </si>
  <si>
    <t>Q8NHQ8-2_RASSF8</t>
  </si>
  <si>
    <t>Q8NHU6_TDRD7</t>
  </si>
  <si>
    <t>Q8NHV4_NEDD1</t>
  </si>
  <si>
    <t>Q8NHZ8_CDC26</t>
  </si>
  <si>
    <t>Q8NI08-2_NCOA7</t>
  </si>
  <si>
    <t>Q8NI22-2_MCFD2</t>
  </si>
  <si>
    <t>Q8NI27_THOC2</t>
  </si>
  <si>
    <t>Q8NI36_WDR36</t>
  </si>
  <si>
    <t>Q8NI51-8_CTCFL</t>
  </si>
  <si>
    <t>Q8TA86_RP9</t>
  </si>
  <si>
    <t>Q8TAC1_RFESD</t>
  </si>
  <si>
    <t>Q8TAD8_SNIP1</t>
  </si>
  <si>
    <t>Q8TAE6_PPP1R14C</t>
  </si>
  <si>
    <t>Q8TAE8_GADD45GIP1</t>
  </si>
  <si>
    <t>Q8TAF3_WDR48</t>
  </si>
  <si>
    <t>Q8TAP6_CEP76</t>
  </si>
  <si>
    <t>Q8TAP8_PPP1R35</t>
  </si>
  <si>
    <t>Q8TAQ2_SMARCC2</t>
  </si>
  <si>
    <t>Q8TAQ2-2_SMARCC2</t>
  </si>
  <si>
    <t>Q8TAT6_NPLOC4</t>
  </si>
  <si>
    <t>Q8TAV0-2_FAM76A</t>
  </si>
  <si>
    <t>Q8TAX9-5_GSDMB</t>
  </si>
  <si>
    <t>Q8TB03_CXorf38</t>
  </si>
  <si>
    <t>Q8TB24_RIN3</t>
  </si>
  <si>
    <t>Q8TB52_FBXO30</t>
  </si>
  <si>
    <t>Q8TB70_TXNDC9</t>
  </si>
  <si>
    <t>Q8TB72-3_PUM2</t>
  </si>
  <si>
    <t>Q8TBA6-2_GOLGA5</t>
  </si>
  <si>
    <t>Q8TBB5-3_KLHDC4</t>
  </si>
  <si>
    <t>Q8TBC4_UBA3</t>
  </si>
  <si>
    <t>Q8TBC5-4_ZSCAN18</t>
  </si>
  <si>
    <t>Q8TBE0-3_BAHD1</t>
  </si>
  <si>
    <t>Q8TBE9_NANP</t>
  </si>
  <si>
    <t>Q8TBF2-4_FAM213B</t>
  </si>
  <si>
    <t>Q8TBF4_ZCRB1</t>
  </si>
  <si>
    <t>Q8TBM8_DNAJB14</t>
  </si>
  <si>
    <t>Q8TBN0_RAB3IL1</t>
  </si>
  <si>
    <t>Q8TBN0-2_RAB3IL1</t>
  </si>
  <si>
    <t>Q8TBX8_PIP4K2C</t>
  </si>
  <si>
    <t>Q8TBZ6_TRMT10A</t>
  </si>
  <si>
    <t>Q8TC07-2_TBC1D15</t>
  </si>
  <si>
    <t>Q8TC12-2_RDH11</t>
  </si>
  <si>
    <t>Q8TCA0_LRRC20</t>
  </si>
  <si>
    <t>Q8TCD1_C18orf32</t>
  </si>
  <si>
    <t>Q8TCD5_NT5C</t>
  </si>
  <si>
    <t>Q8TCE6-2_FAM45A</t>
  </si>
  <si>
    <t>Q8TCG1_KIAA1524</t>
  </si>
  <si>
    <t>Q8TCN5_ZNF507</t>
  </si>
  <si>
    <t>Q8TCS8_PNPT1</t>
  </si>
  <si>
    <t>Q8TCU4-3_ALMS1</t>
  </si>
  <si>
    <t>Q8TCY9-3_URGCP</t>
  </si>
  <si>
    <t>Q8TD08-2_MAPK15</t>
  </si>
  <si>
    <t>Q8TD16_BICD2</t>
  </si>
  <si>
    <t>Q8TD19_NEK9</t>
  </si>
  <si>
    <t>Q8TD26_CHD6</t>
  </si>
  <si>
    <t>Q8TD30_GPT2</t>
  </si>
  <si>
    <t>Q8TD55-2_PLEKHO2</t>
  </si>
  <si>
    <t>Q8TD57_DNAH3</t>
  </si>
  <si>
    <t>Q8TDB6_DTX3L</t>
  </si>
  <si>
    <t>Q8TDD1_DDX54</t>
  </si>
  <si>
    <t>Q8TDD1-2_DDX54</t>
  </si>
  <si>
    <t>Q8TDH9_BLOC1S5</t>
  </si>
  <si>
    <t>Q8TDI0_CHD5</t>
  </si>
  <si>
    <t>Q8TDJ6_DMXL2</t>
  </si>
  <si>
    <t>Q8TDM6_DLG5</t>
  </si>
  <si>
    <t>Q8TDN4-4_CABLES1</t>
  </si>
  <si>
    <t>Q8TDN6_BRIX1</t>
  </si>
  <si>
    <t>Q8TDQ7_GNPDA2</t>
  </si>
  <si>
    <t>Q8TDQ7-4_GNPDA2</t>
  </si>
  <si>
    <t>Q8TDR0-2_TRAF3IP1</t>
  </si>
  <si>
    <t>Q8TDX7_NEK7</t>
  </si>
  <si>
    <t>Q8TDY2-2_RB1CC1</t>
  </si>
  <si>
    <t>Q8TDZ2_MICAL1</t>
  </si>
  <si>
    <t>Q8TE04_PANK1</t>
  </si>
  <si>
    <t>Q8TE76-3_MORC4</t>
  </si>
  <si>
    <t>Q8TEA1_NSUN6</t>
  </si>
  <si>
    <t>Q8TEA7-3_TBCK</t>
  </si>
  <si>
    <t>Q8TEA8_DTD1</t>
  </si>
  <si>
    <t>Q8TEB1-2_DCAF11</t>
  </si>
  <si>
    <t>Q8TED0_UTP15</t>
  </si>
  <si>
    <t>Q8TEH3_DENND1A</t>
  </si>
  <si>
    <t>Q8TEK3-2_DOT1L</t>
  </si>
  <si>
    <t>Q8TEM1_NUP210</t>
  </si>
  <si>
    <t>Q8TEQ6_GEMIN5</t>
  </si>
  <si>
    <t>Q8TER5_ARHGEF40</t>
  </si>
  <si>
    <t>Q8TES7-5_FBF1</t>
  </si>
  <si>
    <t>Q8TET4_GANC</t>
  </si>
  <si>
    <t>Q8TEU7_RAPGEF6</t>
  </si>
  <si>
    <t>Q8TEV9-2_SMCR8</t>
  </si>
  <si>
    <t>Q8TEW0-2_PARD3</t>
  </si>
  <si>
    <t>Q8TEX9_IPO4</t>
  </si>
  <si>
    <t>Q8TF01_PNISR</t>
  </si>
  <si>
    <t>Q8TF05-2_PPP4R1</t>
  </si>
  <si>
    <t>Q8TF42_UBASH3B</t>
  </si>
  <si>
    <t>Q8TF46_DIS3L</t>
  </si>
  <si>
    <t>Q8TF50_ZNF526</t>
  </si>
  <si>
    <t>Q8TF61_FBXO41</t>
  </si>
  <si>
    <t>Q8TF64_GIPC3</t>
  </si>
  <si>
    <t>Q8TF74_WIPF2</t>
  </si>
  <si>
    <t>Q8TF76-2_GSG2</t>
  </si>
  <si>
    <t>Q8WTS1_ABHD5</t>
  </si>
  <si>
    <t>Q8WTS6_SETD7</t>
  </si>
  <si>
    <t>Q8WTW3_COG1</t>
  </si>
  <si>
    <t>Q8WU10_PYROXD1</t>
  </si>
  <si>
    <t>Q8WU39-3_MZB1</t>
  </si>
  <si>
    <t>Q8WU76-2_SCFD2</t>
  </si>
  <si>
    <t>Q8WU79_SMAP2</t>
  </si>
  <si>
    <t>Q8WU90_ZC3H15</t>
  </si>
  <si>
    <t>Q8WUA2_PPIL4</t>
  </si>
  <si>
    <t>Q8WUA4_GTF3C2</t>
  </si>
  <si>
    <t>Q8WUB8-3_PHF10</t>
  </si>
  <si>
    <t>Q8WUD1_RAB2B</t>
  </si>
  <si>
    <t>Q8WUD4_CCDC12</t>
  </si>
  <si>
    <t>Q8WUE5_CXorf48</t>
  </si>
  <si>
    <t>Q8WUF5_PPP1R13L</t>
  </si>
  <si>
    <t>Q8WUF8_FAM172A</t>
  </si>
  <si>
    <t>Q8WUH1_CHURC1</t>
  </si>
  <si>
    <t>Q8WUH2_TGFBRAP1</t>
  </si>
  <si>
    <t>Q8WUH6_C12orf23</t>
  </si>
  <si>
    <t>Q8WUI4-3_HDAC7</t>
  </si>
  <si>
    <t>Q8WUJ0_STYX</t>
  </si>
  <si>
    <t>Q8WUM4_PDCD6IP</t>
  </si>
  <si>
    <t>Q8WUN7_UBTD2</t>
  </si>
  <si>
    <t>Q8WUQ7_CACTIN</t>
  </si>
  <si>
    <t>Q8WUR7_C15orf40</t>
  </si>
  <si>
    <t>Q8WUU5_GATAD1</t>
  </si>
  <si>
    <t>Q8WUW1_BRK1</t>
  </si>
  <si>
    <t>Q8WUX2_CHAC2</t>
  </si>
  <si>
    <t>Q8WUX9_CHMP7</t>
  </si>
  <si>
    <t>Q8WUZ0_BCL7C</t>
  </si>
  <si>
    <t>Q8WV22_NSMCE1</t>
  </si>
  <si>
    <t>Q8WV41_SNX33</t>
  </si>
  <si>
    <t>Q8WV92_MITD1</t>
  </si>
  <si>
    <t>Q8WVB3_HEXDC</t>
  </si>
  <si>
    <t>Q8WVB6_CHTF18</t>
  </si>
  <si>
    <t>Q8WVC0_LEO1</t>
  </si>
  <si>
    <t>Q8WVC2_RPS21</t>
  </si>
  <si>
    <t>Q8WVD3_RNF138</t>
  </si>
  <si>
    <t>Q8WVE0_N6AMT2</t>
  </si>
  <si>
    <t>Q8WVJ2_NUDCD2</t>
  </si>
  <si>
    <t>Q8WVK2_SNRNP27</t>
  </si>
  <si>
    <t>Q8WVL7_ANKRD49</t>
  </si>
  <si>
    <t>Q8WVM0_TFB1M</t>
  </si>
  <si>
    <t>Q8WVM8_SCFD1</t>
  </si>
  <si>
    <t>Q8WVT3_TRAPPC12</t>
  </si>
  <si>
    <t>Q8WVV4_POF1B</t>
  </si>
  <si>
    <t>Q8WVV9-4_HNRPLL</t>
  </si>
  <si>
    <t>Q8WVY7_UBLCP1</t>
  </si>
  <si>
    <t>Q8WW01_TSEN15</t>
  </si>
  <si>
    <t>Q8WW12_PCNP</t>
  </si>
  <si>
    <t>Q8WW33_GTSF1</t>
  </si>
  <si>
    <t>Q8WW59_SPRYD4</t>
  </si>
  <si>
    <t>Q8WWH5_TRUB1</t>
  </si>
  <si>
    <t>Q8WWI5-3_SLC44A1</t>
  </si>
  <si>
    <t>Q8WWL2-4_SPIRE2</t>
  </si>
  <si>
    <t>Q8WWM7_ATXN2L</t>
  </si>
  <si>
    <t>Q8WWQ0_PHIP</t>
  </si>
  <si>
    <t>Q8WWV3_RTN4IP1</t>
  </si>
  <si>
    <t>Q8WWW0-2_RASSF5</t>
  </si>
  <si>
    <t>Q8WWX9_SELM</t>
  </si>
  <si>
    <t>Q8WWY3_PRPF31</t>
  </si>
  <si>
    <t>Q8WWZ3-2_EDARADD</t>
  </si>
  <si>
    <t>Q8WX92_NELFB</t>
  </si>
  <si>
    <t>Q8WXA9-2_SREK1</t>
  </si>
  <si>
    <t>Q8WXB1_METTL21A</t>
  </si>
  <si>
    <t>Q8WXD5_GEMIN6</t>
  </si>
  <si>
    <t>Q8WXE0-2_CASKIN2</t>
  </si>
  <si>
    <t>Q8WXE1-5_ATRIP</t>
  </si>
  <si>
    <t>Q8WXE9_STON2</t>
  </si>
  <si>
    <t>Q8WXF1_PSPC1</t>
  </si>
  <si>
    <t>Q8WXG6-8_MADD</t>
  </si>
  <si>
    <t>Q8WXI4-2_ACOT11</t>
  </si>
  <si>
    <t>Q8WXI9_GATAD2B</t>
  </si>
  <si>
    <t>Q8WXR4-4_MYO3B</t>
  </si>
  <si>
    <t>Q8WXW3_PIBF1</t>
  </si>
  <si>
    <t>Q8WXW3-2_PIBF1</t>
  </si>
  <si>
    <t>Q8WXX5_DNAJC9</t>
  </si>
  <si>
    <t>Q8WY91_THAP4</t>
  </si>
  <si>
    <t>Q8WYA6_CTNNBL1</t>
  </si>
  <si>
    <t>Q8WYB5-3_KAT6B</t>
  </si>
  <si>
    <t>Q8WYL5-4_SSH1</t>
  </si>
  <si>
    <t>Q8WYN0_ATG4A</t>
  </si>
  <si>
    <t>Q8WYP5_AHCTF1</t>
  </si>
  <si>
    <t>Q8WYQ5-3_DGCR8</t>
  </si>
  <si>
    <t>Q8WZ19_KCTD13</t>
  </si>
  <si>
    <t>Q8WZ42-12_TTN</t>
  </si>
  <si>
    <t>Q8WZ42-5_TTN</t>
  </si>
  <si>
    <t>Q8WZ64_ARAP2</t>
  </si>
  <si>
    <t>Q8WZ82_OVCA2</t>
  </si>
  <si>
    <t>Q8WZA0_LZIC</t>
  </si>
  <si>
    <t>Q8WZA9_IRGQ</t>
  </si>
  <si>
    <t>Q92466_DDB2</t>
  </si>
  <si>
    <t>Q92481_TFAP2B</t>
  </si>
  <si>
    <t>Q92499_DDX1</t>
  </si>
  <si>
    <t>Q92506_HSD17B8</t>
  </si>
  <si>
    <t>Q92522_H1FX</t>
  </si>
  <si>
    <t>Q92526_CCT6B</t>
  </si>
  <si>
    <t>Q92538_GBF1</t>
  </si>
  <si>
    <t>Q92541_RTF1</t>
  </si>
  <si>
    <t>Q92544_TM9SF4</t>
  </si>
  <si>
    <t>Q92546_RGP1</t>
  </si>
  <si>
    <t>Q92547_TOPBP1</t>
  </si>
  <si>
    <t>Q92551_IP6K1</t>
  </si>
  <si>
    <t>Q92552_MRPS27</t>
  </si>
  <si>
    <t>Q92558_WASF1</t>
  </si>
  <si>
    <t>Q92560_BAP1</t>
  </si>
  <si>
    <t>Q92562_FIG4</t>
  </si>
  <si>
    <t>Q92567-2_FAM168A</t>
  </si>
  <si>
    <t>Q92572_AP3S1</t>
  </si>
  <si>
    <t>Q92574-2_TSC1</t>
  </si>
  <si>
    <t>Q92575_UBXN4</t>
  </si>
  <si>
    <t>Q92576-2_PHF3</t>
  </si>
  <si>
    <t>Q92581-3_SLC9A6</t>
  </si>
  <si>
    <t>Q92585_MAML1</t>
  </si>
  <si>
    <t>Q92598-2_HSPH1</t>
  </si>
  <si>
    <t>Q92599-2_SEPT8</t>
  </si>
  <si>
    <t>Q92600_RQCD1</t>
  </si>
  <si>
    <t>Q92608_DOCK2</t>
  </si>
  <si>
    <t>Q92609_TBC1D5</t>
  </si>
  <si>
    <t>Q92610_ZNF592</t>
  </si>
  <si>
    <t>Q92613_PHF16</t>
  </si>
  <si>
    <t>Q92614-4_MYO18A</t>
  </si>
  <si>
    <t>Q92615_LARP4B</t>
  </si>
  <si>
    <t>Q92616_GCN1L1</t>
  </si>
  <si>
    <t>Q92618_ZNF516</t>
  </si>
  <si>
    <t>Q92619_HMHA1</t>
  </si>
  <si>
    <t>Q92621_NUP205</t>
  </si>
  <si>
    <t>Q92625_ANKS1A</t>
  </si>
  <si>
    <t>Q92636_NSMAF</t>
  </si>
  <si>
    <t>Q92664-2_GTF3A</t>
  </si>
  <si>
    <t>Q92665_MRPS31</t>
  </si>
  <si>
    <t>Q92667_AKAP1</t>
  </si>
  <si>
    <t>Q92686_NRGN</t>
  </si>
  <si>
    <t>Q92688-2_ANP32B</t>
  </si>
  <si>
    <t>Q92692_PVRL2</t>
  </si>
  <si>
    <t>Q92696_RABGGTA</t>
  </si>
  <si>
    <t>Q92734-2_TFG</t>
  </si>
  <si>
    <t>Q92747_ARPC1A</t>
  </si>
  <si>
    <t>Q92750_TAF4B</t>
  </si>
  <si>
    <t>Q92759_GTF2H4</t>
  </si>
  <si>
    <t>Q92766_RREB1</t>
  </si>
  <si>
    <t>Q92769_HDAC2</t>
  </si>
  <si>
    <t>Q92783-2_STAM</t>
  </si>
  <si>
    <t>Q92784_DPF3</t>
  </si>
  <si>
    <t>Q92785_DPF2</t>
  </si>
  <si>
    <t>Q92793_CREBBP</t>
  </si>
  <si>
    <t>Q92794_KAT6A</t>
  </si>
  <si>
    <t>Q92796-3_DLG3</t>
  </si>
  <si>
    <t>Q92797_SYMPK</t>
  </si>
  <si>
    <t>Q92804-2_TAF15</t>
  </si>
  <si>
    <t>Q92805_GOLGA1</t>
  </si>
  <si>
    <t>Q92820_GGH</t>
  </si>
  <si>
    <t>Q92828_CORO2A</t>
  </si>
  <si>
    <t>Q92830_KAT2A</t>
  </si>
  <si>
    <t>Q92834_RPGR</t>
  </si>
  <si>
    <t>Q92841_DDX17</t>
  </si>
  <si>
    <t>Q92843-2_BCL2L2</t>
  </si>
  <si>
    <t>Q92844_TANK</t>
  </si>
  <si>
    <t>Q92845-4_KIFAP3</t>
  </si>
  <si>
    <t>Q92851-6_CASP10</t>
  </si>
  <si>
    <t>Q92854_SEMA4D</t>
  </si>
  <si>
    <t>Q92878_RAD50</t>
  </si>
  <si>
    <t>Q92879-2_CELF1</t>
  </si>
  <si>
    <t>Q92882_OSTF1</t>
  </si>
  <si>
    <t>Q92888-3_ARHGEF1</t>
  </si>
  <si>
    <t>Q92889_ERCC4</t>
  </si>
  <si>
    <t>Q92890_UFD1L</t>
  </si>
  <si>
    <t>Q92896_GLG1</t>
  </si>
  <si>
    <t>Q92900_UPF1</t>
  </si>
  <si>
    <t>Q92902-2_HPS1</t>
  </si>
  <si>
    <t>Q92905_COPS5</t>
  </si>
  <si>
    <t>Q92917_GPKOW</t>
  </si>
  <si>
    <t>Q92922_SMARCC1</t>
  </si>
  <si>
    <t>Q92925_SMARCD2</t>
  </si>
  <si>
    <t>Q92945_KHSRP</t>
  </si>
  <si>
    <t>Q92947-2_GCDH</t>
  </si>
  <si>
    <t>Q92973-2_TNPO1</t>
  </si>
  <si>
    <t>Q92974-3_ARHGEF2</t>
  </si>
  <si>
    <t>Q92979_EMG1</t>
  </si>
  <si>
    <t>Q92989_CLP1</t>
  </si>
  <si>
    <t>Q92990_GLMN</t>
  </si>
  <si>
    <t>Q92993_KAT5</t>
  </si>
  <si>
    <t>Q92994-5_BRF1</t>
  </si>
  <si>
    <t>Q92995-2_USP13</t>
  </si>
  <si>
    <t>Q93008_USP9X</t>
  </si>
  <si>
    <t>Q93015-2_NAT6</t>
  </si>
  <si>
    <t>Q93034_CUL5</t>
  </si>
  <si>
    <t>Q93073-2_SECISBP2L</t>
  </si>
  <si>
    <t>Q93074-3_MED12</t>
  </si>
  <si>
    <t>Q93075_TATDN2</t>
  </si>
  <si>
    <t>Q93077_HIST1H2AC</t>
  </si>
  <si>
    <t>Q93096_PTP4A1</t>
  </si>
  <si>
    <t>Q93100-4_PHKB</t>
  </si>
  <si>
    <t>Q969E8_TSR2</t>
  </si>
  <si>
    <t>Q969F1_GTF3C6</t>
  </si>
  <si>
    <t>Q969F9_HPS3</t>
  </si>
  <si>
    <t>Q969G3-2_SMARCE1</t>
  </si>
  <si>
    <t>Q969G6_RFK</t>
  </si>
  <si>
    <t>Q969H0_FBXW7</t>
  </si>
  <si>
    <t>Q969H6-2_POP5</t>
  </si>
  <si>
    <t>Q969H8_C19orf10</t>
  </si>
  <si>
    <t>Q969J2_ZKSCAN4</t>
  </si>
  <si>
    <t>Q969J3_LOH12CR1</t>
  </si>
  <si>
    <t>Q969K3_RNF34</t>
  </si>
  <si>
    <t>Q969L4_LSM10</t>
  </si>
  <si>
    <t>Q969M3_YIPF5</t>
  </si>
  <si>
    <t>Q969R5_L3MBTL2</t>
  </si>
  <si>
    <t>Q969S3_ZNF622</t>
  </si>
  <si>
    <t>Q969S9-2_GFM2</t>
  </si>
  <si>
    <t>Q969T7-2_NT5C3B</t>
  </si>
  <si>
    <t>Q969U6_FBXW5</t>
  </si>
  <si>
    <t>Q969X6_CIRH1A</t>
  </si>
  <si>
    <t>Q969Y2-3_GTPBP3</t>
  </si>
  <si>
    <t>Q969Z0_TBRG4</t>
  </si>
  <si>
    <t>Q96A00-2_PPP1R14A</t>
  </si>
  <si>
    <t>Q96A33_CCDC47</t>
  </si>
  <si>
    <t>Q96A37-2_RNF166</t>
  </si>
  <si>
    <t>Q96A49_SYAP1</t>
  </si>
  <si>
    <t>Q96A65_EXOC4</t>
  </si>
  <si>
    <t>Q96AB3_ISOC2</t>
  </si>
  <si>
    <t>Q96AB6_NTAN1</t>
  </si>
  <si>
    <t>Q96AC1_FERMT2</t>
  </si>
  <si>
    <t>Q96AD5_PNPLA2</t>
  </si>
  <si>
    <t>Q96AE4_FUBP1</t>
  </si>
  <si>
    <t>Q96AE4-2_FUBP1</t>
  </si>
  <si>
    <t>Q96AG4_LRRC59</t>
  </si>
  <si>
    <t>Q96AJ9-1_VTI1A</t>
  </si>
  <si>
    <t>Q96AT1_KIAA1143</t>
  </si>
  <si>
    <t>Q96AT9_RPE</t>
  </si>
  <si>
    <t>Q96AX1_VPS33A</t>
  </si>
  <si>
    <t>Q96AY2_EME1</t>
  </si>
  <si>
    <t>Q96AY4_TTC28</t>
  </si>
  <si>
    <t>Q96B02_UBE2W</t>
  </si>
  <si>
    <t>Q96B23-2_C18orf25</t>
  </si>
  <si>
    <t>Q96B26_EXOSC8</t>
  </si>
  <si>
    <t>Q96B36_AKT1S1</t>
  </si>
  <si>
    <t>Q96B45_C10orf32</t>
  </si>
  <si>
    <t>Q96B54_ZNF428</t>
  </si>
  <si>
    <t>Q96B97_SH3KBP1</t>
  </si>
  <si>
    <t>Q96BD5-2_PHF21A</t>
  </si>
  <si>
    <t>Q96BD8-2_SKA1</t>
  </si>
  <si>
    <t>Q96BF6_NACC2</t>
  </si>
  <si>
    <t>Q96BH1_RNF25</t>
  </si>
  <si>
    <t>Q96BJ3_AIDA</t>
  </si>
  <si>
    <t>Q96BK5_PINX1</t>
  </si>
  <si>
    <t>Q96BN2_TADA1</t>
  </si>
  <si>
    <t>Q96BN8_FAM105B</t>
  </si>
  <si>
    <t>Q96BP3_PPWD1</t>
  </si>
  <si>
    <t>Q96BR5_SELRC1</t>
  </si>
  <si>
    <t>Q96BR6-2_ZNF669</t>
  </si>
  <si>
    <t>Q96BS2_TESC</t>
  </si>
  <si>
    <t>Q96BT7_ALKBH8</t>
  </si>
  <si>
    <t>Q96BW5-2_PTER</t>
  </si>
  <si>
    <t>Q96BX8_MOB3A</t>
  </si>
  <si>
    <t>Q96BY7_ATG2B</t>
  </si>
  <si>
    <t>Q96BZ8_LENG1</t>
  </si>
  <si>
    <t>Q96BZ9_TBC1D20</t>
  </si>
  <si>
    <t>Q96C00_ZBTB9</t>
  </si>
  <si>
    <t>Q96C01_FAM136A</t>
  </si>
  <si>
    <t>Q96C19_EFHD2</t>
  </si>
  <si>
    <t>Q96C23_GALM</t>
  </si>
  <si>
    <t>Q96C24_SYTL4</t>
  </si>
  <si>
    <t>Q96C36_PYCR2</t>
  </si>
  <si>
    <t>Q96C86_DCPS</t>
  </si>
  <si>
    <t>Q96C90_PPP1R14B</t>
  </si>
  <si>
    <t>Q96C92-2_SDCCAG3</t>
  </si>
  <si>
    <t>Q96CB8_INTS12</t>
  </si>
  <si>
    <t>Q96CB9-4_NSUN4</t>
  </si>
  <si>
    <t>Q96CD0_FBXL8</t>
  </si>
  <si>
    <t>Q96CD2_PPCDC</t>
  </si>
  <si>
    <t>Q96CF2_CHMP4C</t>
  </si>
  <si>
    <t>Q96CN4_EVI5L</t>
  </si>
  <si>
    <t>Q96CN7_ISOC1</t>
  </si>
  <si>
    <t>Q96CN9_GCC1</t>
  </si>
  <si>
    <t>Q96CP2_FLYWCH2</t>
  </si>
  <si>
    <t>Q96CS2_HAUS1</t>
  </si>
  <si>
    <t>Q96CS3_FAF2</t>
  </si>
  <si>
    <t>Q96CT7_CCDC124</t>
  </si>
  <si>
    <t>Q96CU9-3_FOXRED1</t>
  </si>
  <si>
    <t>Q96CV9-2_OPTN</t>
  </si>
  <si>
    <t>Q96CW1-2_AP2M1</t>
  </si>
  <si>
    <t>Q96CW5_TUBGCP3</t>
  </si>
  <si>
    <t>Q96CW6_SLC7A6OS</t>
  </si>
  <si>
    <t>Q96D46_NMD3</t>
  </si>
  <si>
    <t>Q96D71-3_REPS1</t>
  </si>
  <si>
    <t>Q96DA6-2_DNAJC19</t>
  </si>
  <si>
    <t>Q96DB5_RMDN1</t>
  </si>
  <si>
    <t>Q96DC7_TMCO6</t>
  </si>
  <si>
    <t>Q96DC8_ECHDC3</t>
  </si>
  <si>
    <t>Q96DE0_NUDT16</t>
  </si>
  <si>
    <t>Q96DE5_ANAPC16</t>
  </si>
  <si>
    <t>Q96DF8_DGCR14</t>
  </si>
  <si>
    <t>Q96DG6_CMBL</t>
  </si>
  <si>
    <t>Q96DH6-2_MSI2</t>
  </si>
  <si>
    <t>Q96DI7_SNRNP40</t>
  </si>
  <si>
    <t>Q96DN6_MBD6</t>
  </si>
  <si>
    <t>Q96DT0-3_LGALS12</t>
  </si>
  <si>
    <t>Q96DT5_DNAH11</t>
  </si>
  <si>
    <t>Q96DT6_ATG4C</t>
  </si>
  <si>
    <t>Q96DT7_ZBTB10</t>
  </si>
  <si>
    <t>Q96DU7_ITPKC</t>
  </si>
  <si>
    <t>Q96DX4_RSPRY1</t>
  </si>
  <si>
    <t>Q96DX7_TRIM44</t>
  </si>
  <si>
    <t>Q96DZ1-2_ERLEC1</t>
  </si>
  <si>
    <t>Q96E09_FAM122A</t>
  </si>
  <si>
    <t>Q96E11-8_MRRF</t>
  </si>
  <si>
    <t>Q96E14_RMI2</t>
  </si>
  <si>
    <t>Q96E39_RBMXL1</t>
  </si>
  <si>
    <t>Q96EA4_SPDL1</t>
  </si>
  <si>
    <t>Q96EB1_ELP4</t>
  </si>
  <si>
    <t>Q96EB6_SIRT1</t>
  </si>
  <si>
    <t>Q96ED9-2_HOOK2</t>
  </si>
  <si>
    <t>Q96EE3_SEH1L</t>
  </si>
  <si>
    <t>Q96EH3_MALSU1</t>
  </si>
  <si>
    <t>Q96EK4_THAP11</t>
  </si>
  <si>
    <t>Q96EK5_KIAA1279</t>
  </si>
  <si>
    <t>Q96EK6_GNPNAT1</t>
  </si>
  <si>
    <t>Q96EK9_KTI12</t>
  </si>
  <si>
    <t>Q96EL3_MRPL53</t>
  </si>
  <si>
    <t>Q96EM0_L3HYPDH</t>
  </si>
  <si>
    <t>Q96EN8_MOCOS</t>
  </si>
  <si>
    <t>Q96EP0_RNF31</t>
  </si>
  <si>
    <t>Q96EP1-2_CHFR</t>
  </si>
  <si>
    <t>Q96EP5_DAZAP1</t>
  </si>
  <si>
    <t>Q96EQ0_SGTB</t>
  </si>
  <si>
    <t>Q96ER3_SAAL1</t>
  </si>
  <si>
    <t>Q96ES7_CCDC101</t>
  </si>
  <si>
    <t>Q96EU6-2_RRP36</t>
  </si>
  <si>
    <t>Q96EV2_RBM33</t>
  </si>
  <si>
    <t>Q96EV8_DTNBP1</t>
  </si>
  <si>
    <t>Q96EW2_HSPBAP1</t>
  </si>
  <si>
    <t>Q96EY1-2_DNAJA3</t>
  </si>
  <si>
    <t>Q96EY4_TMA16</t>
  </si>
  <si>
    <t>Q96EY5_MVB12A</t>
  </si>
  <si>
    <t>Q96EY7_PTCD3</t>
  </si>
  <si>
    <t>Q96EY8_MMAB</t>
  </si>
  <si>
    <t>Q96EY9_ADAT3</t>
  </si>
  <si>
    <t>Q96EZ8-3_MCRS1</t>
  </si>
  <si>
    <t>Q96F24-2_NRBF2</t>
  </si>
  <si>
    <t>Q96F44-3_TRIM11</t>
  </si>
  <si>
    <t>Q96F63_CCDC97</t>
  </si>
  <si>
    <t>Q96F86_EDC3</t>
  </si>
  <si>
    <t>Q96FC9-4_DDX11</t>
  </si>
  <si>
    <t>Q96FF9_CDCA5</t>
  </si>
  <si>
    <t>Q96FJ2_DYNLL2</t>
  </si>
  <si>
    <t>Q96FK6_WDR89</t>
  </si>
  <si>
    <t>Q96FN4_CPNE2</t>
  </si>
  <si>
    <t>Q96FN9_DTD2</t>
  </si>
  <si>
    <t>Q96FS4_SIPA1</t>
  </si>
  <si>
    <t>Q96FT9_IFT43</t>
  </si>
  <si>
    <t>Q96FV2-2_SCRN2</t>
  </si>
  <si>
    <t>Q96FV9_THOC1</t>
  </si>
  <si>
    <t>Q96FX2_DPH3</t>
  </si>
  <si>
    <t>Q96FX7_TRMT61A</t>
  </si>
  <si>
    <t>Q96G03_PGM2</t>
  </si>
  <si>
    <t>Q96G25_MED8</t>
  </si>
  <si>
    <t>Q96G28_CCDC104</t>
  </si>
  <si>
    <t>Q96G46_DUS3L</t>
  </si>
  <si>
    <t>Q96G74-3_OTUD5</t>
  </si>
  <si>
    <t>Q96GA3_LTV1</t>
  </si>
  <si>
    <t>Q96GA7_SDSL</t>
  </si>
  <si>
    <t>Q96GD0_PDXP</t>
  </si>
  <si>
    <t>Q96GE4_CEP95</t>
  </si>
  <si>
    <t>Q96GG9_DCUN1D1</t>
  </si>
  <si>
    <t>Q96GJ1-3_TRMT2B</t>
  </si>
  <si>
    <t>Q96GK7_FAHD2A</t>
  </si>
  <si>
    <t>Q96GM5_SMARCD1</t>
  </si>
  <si>
    <t>Q96GM8_TOE1</t>
  </si>
  <si>
    <t>Q96GQ7_DDX27</t>
  </si>
  <si>
    <t>Q96GS4_C17orf59</t>
  </si>
  <si>
    <t>Q96GV9_C5orf30</t>
  </si>
  <si>
    <t>Q96GW9_MARS2</t>
  </si>
  <si>
    <t>Q96GX2_ATXN7L3B</t>
  </si>
  <si>
    <t>Q96GX5-2_MASTL</t>
  </si>
  <si>
    <t>Q96GX9_APIP</t>
  </si>
  <si>
    <t>Q96GY0_ZC2HC1A</t>
  </si>
  <si>
    <t>Q96GY3_LIN37</t>
  </si>
  <si>
    <t>Q96H20_SNF8</t>
  </si>
  <si>
    <t>Q96H35_RBM18</t>
  </si>
  <si>
    <t>Q96H79_ZC3HAV1L</t>
  </si>
  <si>
    <t>Q96HA7-2_TONSL</t>
  </si>
  <si>
    <t>Q96HB5-2_CCDC120</t>
  </si>
  <si>
    <t>Q96HC4_PDLIM5</t>
  </si>
  <si>
    <t>Q96HE7_ERO1L</t>
  </si>
  <si>
    <t>Q96HJ9_C7orf55</t>
  </si>
  <si>
    <t>Q96HN2-2_AHCYL2</t>
  </si>
  <si>
    <t>Q96HP0_DOCK6</t>
  </si>
  <si>
    <t>Q96HP4_OXNAD1</t>
  </si>
  <si>
    <t>Q96HQ2_CDKN2AIPNL</t>
  </si>
  <si>
    <t>Q96HR8-2_NAF1</t>
  </si>
  <si>
    <t>Q96HS1_PGAM5</t>
  </si>
  <si>
    <t>Q96HW7_INTS4</t>
  </si>
  <si>
    <t>Q96HY6_DDRGK1</t>
  </si>
  <si>
    <t>Q96HY7_DHTKD1</t>
  </si>
  <si>
    <t>Q96I15_SCLY</t>
  </si>
  <si>
    <t>Q96I23_PYURF</t>
  </si>
  <si>
    <t>Q96I24_FUBP3</t>
  </si>
  <si>
    <t>Q96I25_RBM17</t>
  </si>
  <si>
    <t>Q96I51_WBSCR16</t>
  </si>
  <si>
    <t>Q96I59_NARS2</t>
  </si>
  <si>
    <t>Q96I99_SUCLG2</t>
  </si>
  <si>
    <t>Q96II8_LRCH3</t>
  </si>
  <si>
    <t>Q96IJ6_GMPPA</t>
  </si>
  <si>
    <t>Q96IK1_BOD1</t>
  </si>
  <si>
    <t>Q96IQ9_ZNF414</t>
  </si>
  <si>
    <t>Q96IR2_ZNF845</t>
  </si>
  <si>
    <t>Q96IU4_ABHD14B</t>
  </si>
  <si>
    <t>Q96IV0-2_NGLY1</t>
  </si>
  <si>
    <t>Q96IY1_NSL1</t>
  </si>
  <si>
    <t>Q96IZ0_PAWR</t>
  </si>
  <si>
    <t>Q96IZ5-2_RBM41</t>
  </si>
  <si>
    <t>Q96IZ7-2_RSRC1</t>
  </si>
  <si>
    <t>Q96J01_THOC3</t>
  </si>
  <si>
    <t>Q96J02-2_ITCH</t>
  </si>
  <si>
    <t>Q96J92_WNK4</t>
  </si>
  <si>
    <t>Q96JB2_COG3</t>
  </si>
  <si>
    <t>Q96JB3-2_HIC2</t>
  </si>
  <si>
    <t>Q96JB5_CDK5RAP3</t>
  </si>
  <si>
    <t>Q96JC1-2_VPS39</t>
  </si>
  <si>
    <t>Q96JC9_EAF1</t>
  </si>
  <si>
    <t>Q96JG6_CCDC132</t>
  </si>
  <si>
    <t>Q96JH7_VCPIP1</t>
  </si>
  <si>
    <t>Q96JI7-2_SPG11</t>
  </si>
  <si>
    <t>Q96JK2-2_DCAF5</t>
  </si>
  <si>
    <t>Q96JK9_MAML3</t>
  </si>
  <si>
    <t>Q96JM3_CHAMP1</t>
  </si>
  <si>
    <t>Q96JM7-2_L3MBTL3</t>
  </si>
  <si>
    <t>Q96JN2-2_CCDC136</t>
  </si>
  <si>
    <t>Q96JP5_ZFP91</t>
  </si>
  <si>
    <t>Q96JS3_PGBD1</t>
  </si>
  <si>
    <t>Q96K17_BTF3L4</t>
  </si>
  <si>
    <t>Q96K31_C8orf76</t>
  </si>
  <si>
    <t>Q96K58_ZNF668</t>
  </si>
  <si>
    <t>Q96K83_ZNF521</t>
  </si>
  <si>
    <t>Q96KB5_PBK</t>
  </si>
  <si>
    <t>Q96KC2_ARL5B</t>
  </si>
  <si>
    <t>Q96KC8_DNAJC1</t>
  </si>
  <si>
    <t>Q96KG9-3_SCYL1</t>
  </si>
  <si>
    <t>Q96KM6_ZNF512B</t>
  </si>
  <si>
    <t>Q96KP1_EXOC2</t>
  </si>
  <si>
    <t>Q96KP4_CNDP2</t>
  </si>
  <si>
    <t>Q96KR1_ZFR</t>
  </si>
  <si>
    <t>Q96L91-3_EP400</t>
  </si>
  <si>
    <t>Q96L92_SNX27</t>
  </si>
  <si>
    <t>Q96L93-6_KIF16B</t>
  </si>
  <si>
    <t>Q96LA8_PRMT6</t>
  </si>
  <si>
    <t>Q96LB3_IFT74</t>
  </si>
  <si>
    <t>Q96LD8_SENP8</t>
  </si>
  <si>
    <t>Q96LI5-2_CNOT6L</t>
  </si>
  <si>
    <t>Q96LJ8_UBXN10</t>
  </si>
  <si>
    <t>Q96LR5_UBE2E2</t>
  </si>
  <si>
    <t>Q96LT7_C9orf72</t>
  </si>
  <si>
    <t>Q96LZ7_RMDN2</t>
  </si>
  <si>
    <t>Q96M27_PRRC1</t>
  </si>
  <si>
    <t>Q96ME1-4_FBXL18</t>
  </si>
  <si>
    <t>Q96ME7-2_ZNF512</t>
  </si>
  <si>
    <t>Q96MG7_NDNL2</t>
  </si>
  <si>
    <t>Q96MH2_HEXIM2</t>
  </si>
  <si>
    <t>Q96MT0_</t>
  </si>
  <si>
    <t>Q96MU7_YTHDC1</t>
  </si>
  <si>
    <t>Q96MW1_CCDC43</t>
  </si>
  <si>
    <t>Q96MW5_COG8</t>
  </si>
  <si>
    <t>Q96MX3_ZNF48</t>
  </si>
  <si>
    <t>Q96MX6_WDR92</t>
  </si>
  <si>
    <t>Q96MY1_C20orf112</t>
  </si>
  <si>
    <t>Q96N06_C16orf55</t>
  </si>
  <si>
    <t>Q96N11-2_C7orf26</t>
  </si>
  <si>
    <t>Q96N21-2_ENTHD2</t>
  </si>
  <si>
    <t>Q96N66-2_MBOAT7</t>
  </si>
  <si>
    <t>Q96N67-4_DOCK7</t>
  </si>
  <si>
    <t>Q96NA2_RILP</t>
  </si>
  <si>
    <t>Q96NB1_FOPNL</t>
  </si>
  <si>
    <t>Q96NB3_ZNF830</t>
  </si>
  <si>
    <t>Q96NC0_ZMAT2</t>
  </si>
  <si>
    <t>Q96NL8_C8orf37</t>
  </si>
  <si>
    <t>Q96NT1_NAP1L5</t>
  </si>
  <si>
    <t>Q96P11-2_NSUN5</t>
  </si>
  <si>
    <t>Q96P16_RPRD1A</t>
  </si>
  <si>
    <t>Q96P47_AGAP3</t>
  </si>
  <si>
    <t>Q96P48_ARAP1</t>
  </si>
  <si>
    <t>Q96P70_IPO9</t>
  </si>
  <si>
    <t>Q96PC3-3_AP1S3</t>
  </si>
  <si>
    <t>Q96PK6_RBM14</t>
  </si>
  <si>
    <t>Q96PM5_RCHY1</t>
  </si>
  <si>
    <t>Q96PM9_ZNF385A</t>
  </si>
  <si>
    <t>Q96PQ6-4_ZNF317</t>
  </si>
  <si>
    <t>Q96PU5-6_NEDD4L</t>
  </si>
  <si>
    <t>Q96PU8-9_QKI</t>
  </si>
  <si>
    <t>Q96PV6-2_LENG8</t>
  </si>
  <si>
    <t>Q96PY5_FMNL2</t>
  </si>
  <si>
    <t>Q96PY6-2_NEK1</t>
  </si>
  <si>
    <t>Q96PZ0_PUS7</t>
  </si>
  <si>
    <t>Q96Q05-3_TRAPPC9</t>
  </si>
  <si>
    <t>Q96Q11-2_TRNT1</t>
  </si>
  <si>
    <t>Q96Q15_SMG1</t>
  </si>
  <si>
    <t>Q96Q42_ALS2</t>
  </si>
  <si>
    <t>Q96Q45-2_TMEM237</t>
  </si>
  <si>
    <t>Q96Q89-4_KIF20B</t>
  </si>
  <si>
    <t>Q96QC0_PPP1R10</t>
  </si>
  <si>
    <t>Q96QD9_FYTTD1</t>
  </si>
  <si>
    <t>Q96QE3-2_ATAD5</t>
  </si>
  <si>
    <t>Q96QF0-2_RAB3IP</t>
  </si>
  <si>
    <t>Q96QG7_MTMR9</t>
  </si>
  <si>
    <t>Q96QK1_VPS35</t>
  </si>
  <si>
    <t>Q96QR8_PURB</t>
  </si>
  <si>
    <t>Q96QT6-4_PHF12</t>
  </si>
  <si>
    <t>Q96QU6_ACCS</t>
  </si>
  <si>
    <t>Q96QU8_XPO6</t>
  </si>
  <si>
    <t>Q96QZ7-7_MAGI1</t>
  </si>
  <si>
    <t>Q96R06_SPAG5</t>
  </si>
  <si>
    <t>Q96RE7_NACC1</t>
  </si>
  <si>
    <t>Q96RF0-3_SNX18</t>
  </si>
  <si>
    <t>Q96RG2_PASK</t>
  </si>
  <si>
    <t>Q96RL1_UIMC1</t>
  </si>
  <si>
    <t>Q96RL7-4_VPS13A</t>
  </si>
  <si>
    <t>Q96RN5_MED15</t>
  </si>
  <si>
    <t>Q96RP9_GFM1</t>
  </si>
  <si>
    <t>Q96RQ3_MCCC1</t>
  </si>
  <si>
    <t>Q96RR4-6_CAMKK2</t>
  </si>
  <si>
    <t>Q96RS0_TGS1</t>
  </si>
  <si>
    <t>Q96RS6_NUDCD1</t>
  </si>
  <si>
    <t>Q96RT1-9_ERBB2IP</t>
  </si>
  <si>
    <t>Q96RU2-2_USP28</t>
  </si>
  <si>
    <t>Q96RU3-2_FNBP1</t>
  </si>
  <si>
    <t>Q96RY7_IFT140</t>
  </si>
  <si>
    <t>Q96S15-2_WDR24</t>
  </si>
  <si>
    <t>Q96S19_C16orf13</t>
  </si>
  <si>
    <t>Q96S38_RPS6KC1</t>
  </si>
  <si>
    <t>Q96S44_TP53RK</t>
  </si>
  <si>
    <t>Q96S52-2_PIGS</t>
  </si>
  <si>
    <t>Q96S55-2_WRNIP1</t>
  </si>
  <si>
    <t>Q96S59_RANBP9</t>
  </si>
  <si>
    <t>Q96S66-4_CLCC1</t>
  </si>
  <si>
    <t>Q96S82_UBL7</t>
  </si>
  <si>
    <t>Q96S90_LYSMD1</t>
  </si>
  <si>
    <t>Q96S94_CCNL2</t>
  </si>
  <si>
    <t>Q96S99_PLEKHF1</t>
  </si>
  <si>
    <t>Q96SB3_PPP1R9B</t>
  </si>
  <si>
    <t>Q96SB8_SMC6</t>
  </si>
  <si>
    <t>Q96SI1_KCTD15</t>
  </si>
  <si>
    <t>Q96SI9_STRBP</t>
  </si>
  <si>
    <t>Q96SK2-2_TMEM209</t>
  </si>
  <si>
    <t>Q96SN8-4_CDK5RAP2</t>
  </si>
  <si>
    <t>Q96ST2_IWS1</t>
  </si>
  <si>
    <t>Q96ST3_SIN3A</t>
  </si>
  <si>
    <t>Q96SU4-7_OSBPL9</t>
  </si>
  <si>
    <t>Q96SW2-2_CRBN</t>
  </si>
  <si>
    <t>Q96SY0-4_VWA9</t>
  </si>
  <si>
    <t>Q96SZ5_ADO</t>
  </si>
  <si>
    <t>Q96T21_SECISBP2</t>
  </si>
  <si>
    <t>Q96T23-2_RSF1</t>
  </si>
  <si>
    <t>Q96T37-2_RBM15</t>
  </si>
  <si>
    <t>Q96T51_RUFY1</t>
  </si>
  <si>
    <t>Q96T58_SPEN</t>
  </si>
  <si>
    <t>Q96T60_PNKP</t>
  </si>
  <si>
    <t>Q96T76_MMS19</t>
  </si>
  <si>
    <t>Q96T88_UHRF1</t>
  </si>
  <si>
    <t>Q96TA1-2_FAM129B</t>
  </si>
  <si>
    <t>Q96TC7_RMDN3</t>
  </si>
  <si>
    <t>Q99081_TCF12</t>
  </si>
  <si>
    <t>Q99417_MYCBP</t>
  </si>
  <si>
    <t>Q99426_TBCB</t>
  </si>
  <si>
    <t>Q99436_PSMB7</t>
  </si>
  <si>
    <t>Q99447_PCYT2</t>
  </si>
  <si>
    <t>Q99456_KRT12</t>
  </si>
  <si>
    <t>Q99459_CDC5L</t>
  </si>
  <si>
    <t>Q99460_PSMD1</t>
  </si>
  <si>
    <t>Q99471_PFDN5</t>
  </si>
  <si>
    <t>Q99487_PAFAH2</t>
  </si>
  <si>
    <t>Q99496_RNF2</t>
  </si>
  <si>
    <t>Q99497_PARK7</t>
  </si>
  <si>
    <t>Q99501_GAS2L1</t>
  </si>
  <si>
    <t>Q99519_NEU1</t>
  </si>
  <si>
    <t>Q99523_SORT1</t>
  </si>
  <si>
    <t>Q99536_VAT1</t>
  </si>
  <si>
    <t>Q99541_PLIN2</t>
  </si>
  <si>
    <t>Q99543_DNAJC2</t>
  </si>
  <si>
    <t>Q99543-2_DNAJC2</t>
  </si>
  <si>
    <t>Q99549_MPHOSPH8</t>
  </si>
  <si>
    <t>Q99567_NUP88</t>
  </si>
  <si>
    <t>Q99570_PIK3R4</t>
  </si>
  <si>
    <t>Q99575_POP1</t>
  </si>
  <si>
    <t>Q99576-3_TSC22D3</t>
  </si>
  <si>
    <t>Q99583_MNT</t>
  </si>
  <si>
    <t>Q99584_S100A13</t>
  </si>
  <si>
    <t>Q99590-2_SCAF11</t>
  </si>
  <si>
    <t>Q99598_TSNAX</t>
  </si>
  <si>
    <t>Q99607_ELF4</t>
  </si>
  <si>
    <t>Q99611_SEPHS2</t>
  </si>
  <si>
    <t>Q99614_TTC1</t>
  </si>
  <si>
    <t>Q99615_DNAJC7</t>
  </si>
  <si>
    <t>Q99622_C12orf57</t>
  </si>
  <si>
    <t>Q99633_PRPF18</t>
  </si>
  <si>
    <t>Q99638_RAD9A</t>
  </si>
  <si>
    <t>Q99640-4_PKMYT1</t>
  </si>
  <si>
    <t>Q99653_CHP1</t>
  </si>
  <si>
    <t>Q99661_KIF2C</t>
  </si>
  <si>
    <t>Q99700-4_ATXN2</t>
  </si>
  <si>
    <t>Q99704_DOK1</t>
  </si>
  <si>
    <t>Q99707_MTR</t>
  </si>
  <si>
    <t>Q99708_RBBP8</t>
  </si>
  <si>
    <t>Q99714_HSD17B10</t>
  </si>
  <si>
    <t>Q99728_BARD1</t>
  </si>
  <si>
    <t>Q99733_NAP1L4</t>
  </si>
  <si>
    <t>Q99747_NAPG</t>
  </si>
  <si>
    <t>Q99757_TXN2</t>
  </si>
  <si>
    <t>Q99766_ATP5S</t>
  </si>
  <si>
    <t>Q99767-2_APBA2</t>
  </si>
  <si>
    <t>Q99797_MIPEP</t>
  </si>
  <si>
    <t>Q99798_ACO2</t>
  </si>
  <si>
    <t>Q99832_CCT7</t>
  </si>
  <si>
    <t>Q99836_MYD88</t>
  </si>
  <si>
    <t>Q99848_EBNA1BP2</t>
  </si>
  <si>
    <t>Q99856_ARID3A</t>
  </si>
  <si>
    <t>Q99871-3_HAUS7</t>
  </si>
  <si>
    <t>Q99878_HIST1H2AJ</t>
  </si>
  <si>
    <t>Q99879_HIST1H2BM</t>
  </si>
  <si>
    <t>Q99933-4_BAG1</t>
  </si>
  <si>
    <t>Q99941-2_ATF6B</t>
  </si>
  <si>
    <t>Q99942_RNF5</t>
  </si>
  <si>
    <t>Q99952_PTPN18</t>
  </si>
  <si>
    <t>Q99956_DUSP9</t>
  </si>
  <si>
    <t>Q99961_SH3GL1</t>
  </si>
  <si>
    <t>Q99963-4_SH3GL3</t>
  </si>
  <si>
    <t>Q99986_VRK1</t>
  </si>
  <si>
    <t>Q99996-2_AKAP9</t>
  </si>
  <si>
    <t>Q9BPW8_NIPSNAP1</t>
  </si>
  <si>
    <t>Q9BPX3_NCAPG</t>
  </si>
  <si>
    <t>Q9BPX5_ARPC5L</t>
  </si>
  <si>
    <t>Q9BPX6-2_MICU1</t>
  </si>
  <si>
    <t>Q9BPX7_C7orf25</t>
  </si>
  <si>
    <t>Q9BPZ3_PAIP2</t>
  </si>
  <si>
    <t>Q9BPZ7-3_MAPKAP1</t>
  </si>
  <si>
    <t>Q9BQ39_DDX50</t>
  </si>
  <si>
    <t>Q9BQ52_ELAC2</t>
  </si>
  <si>
    <t>Q9BQ61_C19orf43</t>
  </si>
  <si>
    <t>Q9BQ67_GRWD1</t>
  </si>
  <si>
    <t>Q9BQ69_MACROD1</t>
  </si>
  <si>
    <t>Q9BQ70_TCF25</t>
  </si>
  <si>
    <t>Q9BQ90_KLHDC3</t>
  </si>
  <si>
    <t>Q9BQA1_WDR77</t>
  </si>
  <si>
    <t>Q9BQB6-3_VKORC1</t>
  </si>
  <si>
    <t>Q9BQC3_DPH2</t>
  </si>
  <si>
    <t>Q9BQE3_TUBA1C</t>
  </si>
  <si>
    <t>Q9BQE5_APOL2</t>
  </si>
  <si>
    <t>Q9BQE9-4_BCL7B</t>
  </si>
  <si>
    <t>Q9BQF6-4_SENP7</t>
  </si>
  <si>
    <t>Q9BQG0_MYBBP1A</t>
  </si>
  <si>
    <t>Q9BQG2_NUDT12</t>
  </si>
  <si>
    <t>Q9BQI0-3_AIF1L</t>
  </si>
  <si>
    <t>Q9BQP7_MGME1</t>
  </si>
  <si>
    <t>Q9BQQ3-3_GORASP1</t>
  </si>
  <si>
    <t>Q9BQS8_FYCO1</t>
  </si>
  <si>
    <t>Q9BQY4_RHOXF2</t>
  </si>
  <si>
    <t>Q9BR61_ACBD6</t>
  </si>
  <si>
    <t>Q9BR76_CORO1B</t>
  </si>
  <si>
    <t>Q9BRA2_TXNDC17</t>
  </si>
  <si>
    <t>Q9BRD0_BUD13</t>
  </si>
  <si>
    <t>Q9BRF8_CPPED1</t>
  </si>
  <si>
    <t>Q9BRG1_VPS25</t>
  </si>
  <si>
    <t>Q9BRK5_SDF4</t>
  </si>
  <si>
    <t>Q9BRP1_PDCD2L</t>
  </si>
  <si>
    <t>Q9BRP4_PAAF1</t>
  </si>
  <si>
    <t>Q9BRP8-2_WIBG</t>
  </si>
  <si>
    <t>Q9BRR0_ZKSCAN3</t>
  </si>
  <si>
    <t>Q9BRR6-2_ADPGK</t>
  </si>
  <si>
    <t>Q9BRR8_GPATCH1</t>
  </si>
  <si>
    <t>Q9BRR9-4_ARHGAP9</t>
  </si>
  <si>
    <t>Q9BRS2_RIOK1</t>
  </si>
  <si>
    <t>Q9BRT3_MIEN1</t>
  </si>
  <si>
    <t>Q9BRT9_GINS4</t>
  </si>
  <si>
    <t>Q9BRV8_SIKE1</t>
  </si>
  <si>
    <t>Q9BRX2_PELO</t>
  </si>
  <si>
    <t>Q9BRX5_GINS3</t>
  </si>
  <si>
    <t>Q9BRX9_WDR83</t>
  </si>
  <si>
    <t>Q9BRZ2_TRIM56</t>
  </si>
  <si>
    <t>Q9BS26_ERP44</t>
  </si>
  <si>
    <t>Q9BSB4_ATG101</t>
  </si>
  <si>
    <t>Q9BSC4_NOL10</t>
  </si>
  <si>
    <t>Q9BSD7_NTPCR</t>
  </si>
  <si>
    <t>Q9BSE2_TMEM79</t>
  </si>
  <si>
    <t>Q9BSE4_HERPUD2</t>
  </si>
  <si>
    <t>Q9BSF0_C2orf88</t>
  </si>
  <si>
    <t>Q9BSH4_TACO1</t>
  </si>
  <si>
    <t>Q9BSH5_HDHD3</t>
  </si>
  <si>
    <t>Q9BSI4-2_TINF2</t>
  </si>
  <si>
    <t>Q9BSJ2_TUBGCP2</t>
  </si>
  <si>
    <t>Q9BSJ5-3_C17orf80</t>
  </si>
  <si>
    <t>Q9BSJ8_ESYT1</t>
  </si>
  <si>
    <t>Q9BSL1_UBAC1</t>
  </si>
  <si>
    <t>Q9BSM1-3_PCGF1</t>
  </si>
  <si>
    <t>Q9BSQ5_CCM2</t>
  </si>
  <si>
    <t>Q9BSR8_YIPF4</t>
  </si>
  <si>
    <t>Q9BST9-3_RTKN</t>
  </si>
  <si>
    <t>Q9BSU1_C16orf70</t>
  </si>
  <si>
    <t>Q9BSU3_NAA11</t>
  </si>
  <si>
    <t>Q9BSV6_TSEN34</t>
  </si>
  <si>
    <t>Q9BSW2-2_EFCAB4B</t>
  </si>
  <si>
    <t>Q9BSY4_CHCHD5</t>
  </si>
  <si>
    <t>Q9BT09_CNPY3</t>
  </si>
  <si>
    <t>Q9BT25-2_HAUS8</t>
  </si>
  <si>
    <t>Q9BT30_ALKBH7</t>
  </si>
  <si>
    <t>Q9BT73_PSMG3</t>
  </si>
  <si>
    <t>Q9BT78_COPS4</t>
  </si>
  <si>
    <t>Q9BT92_TCHP</t>
  </si>
  <si>
    <t>Q9BTA9-2_WAC</t>
  </si>
  <si>
    <t>Q9BTC0_DIDO1</t>
  </si>
  <si>
    <t>Q9BTD8-4_RBM42</t>
  </si>
  <si>
    <t>Q9BTE1-2_DCTN5</t>
  </si>
  <si>
    <t>Q9BTE3-2_MCMBP</t>
  </si>
  <si>
    <t>Q9BTE6_AARSD1</t>
  </si>
  <si>
    <t>Q9BTE6-3_AARSD1</t>
  </si>
  <si>
    <t>Q9BTE7_DCUN1D5</t>
  </si>
  <si>
    <t>Q9BTF0_THUMPD2</t>
  </si>
  <si>
    <t>Q9BTK6_PAGR1</t>
  </si>
  <si>
    <t>Q9BTL3_FAM103A1</t>
  </si>
  <si>
    <t>Q9BTM9_URM1</t>
  </si>
  <si>
    <t>Q9BTT0_ANP32E</t>
  </si>
  <si>
    <t>Q9BTT4_MED10</t>
  </si>
  <si>
    <t>Q9BTV6_WDR85</t>
  </si>
  <si>
    <t>Q9BTW9_TBCD</t>
  </si>
  <si>
    <t>Q9BTX7_TTPAL</t>
  </si>
  <si>
    <t>Q9BTY2_FUCA2</t>
  </si>
  <si>
    <t>Q9BTY7_FAM203A</t>
  </si>
  <si>
    <t>Q9BU02_THTPA</t>
  </si>
  <si>
    <t>Q9BU64_CENPO</t>
  </si>
  <si>
    <t>Q9BU76_MMTAG2</t>
  </si>
  <si>
    <t>Q9BU89_DOHH</t>
  </si>
  <si>
    <t>Q9BUA3_C11orf84</t>
  </si>
  <si>
    <t>Q9BUB4_ADAT1</t>
  </si>
  <si>
    <t>Q9BUB5-2_MKNK1</t>
  </si>
  <si>
    <t>Q9BUE0_MED18</t>
  </si>
  <si>
    <t>Q9BUF5_TUBB6</t>
  </si>
  <si>
    <t>Q9BUH6_C9orf142</t>
  </si>
  <si>
    <t>Q9BUI4_POLR3C</t>
  </si>
  <si>
    <t>Q9BUJ2-2_HNRNPUL1</t>
  </si>
  <si>
    <t>Q9BUK6-2_MSTO1</t>
  </si>
  <si>
    <t>Q9BUL9_RPP25</t>
  </si>
  <si>
    <t>Q9BUN5_CCDC28B</t>
  </si>
  <si>
    <t>Q9BUP0_EFHD1</t>
  </si>
  <si>
    <t>Q9BUQ8_DDX23</t>
  </si>
  <si>
    <t>Q9BUR4_WRAP53</t>
  </si>
  <si>
    <t>Q9BUT1_BDH2</t>
  </si>
  <si>
    <t>Q9BUT9_FAM195A</t>
  </si>
  <si>
    <t>Q9BUW7_C9orf16</t>
  </si>
  <si>
    <t>Q9BV19_C1orf50</t>
  </si>
  <si>
    <t>Q9BV20_MRI1</t>
  </si>
  <si>
    <t>Q9BV38_WDR18</t>
  </si>
  <si>
    <t>Q9BV40_VAMP8</t>
  </si>
  <si>
    <t>Q9BV44_THUMPD3</t>
  </si>
  <si>
    <t>Q9BV57_ADI1</t>
  </si>
  <si>
    <t>Q9BV68-2_RNF126</t>
  </si>
  <si>
    <t>Q9BV73_CEP250</t>
  </si>
  <si>
    <t>Q9BV79_MECR</t>
  </si>
  <si>
    <t>Q9BV86_NTMT1</t>
  </si>
  <si>
    <t>Q9BVA0_KATNB1</t>
  </si>
  <si>
    <t>Q9BVA1_TUBB2B</t>
  </si>
  <si>
    <t>Q9BVC3_DSCC1</t>
  </si>
  <si>
    <t>Q9BVC5_C2orf49</t>
  </si>
  <si>
    <t>Q9BVC6_TMEM109</t>
  </si>
  <si>
    <t>Q9BVG4_PBDC1</t>
  </si>
  <si>
    <t>Q9BVI0_PHF20</t>
  </si>
  <si>
    <t>Q9BVI4_NOC4L</t>
  </si>
  <si>
    <t>Q9BVJ6_UTP14A</t>
  </si>
  <si>
    <t>Q9BVJ7_DUSP23</t>
  </si>
  <si>
    <t>Q9BVK6_TMED9</t>
  </si>
  <si>
    <t>Q9BVL4_SELO</t>
  </si>
  <si>
    <t>Q9BVM2_DPCD</t>
  </si>
  <si>
    <t>Q9BVM4_GGACT</t>
  </si>
  <si>
    <t>Q9BVP2-2_GNL3</t>
  </si>
  <si>
    <t>Q9BVQ7_SPATA5L1</t>
  </si>
  <si>
    <t>Q9BVR6_TUBGCP4</t>
  </si>
  <si>
    <t>Q9BVS4_RIOK2</t>
  </si>
  <si>
    <t>Q9BW04_SARG</t>
  </si>
  <si>
    <t>Q9BW19_KIFC1</t>
  </si>
  <si>
    <t>Q9BW27_NUP85</t>
  </si>
  <si>
    <t>Q9BW61_DDA1</t>
  </si>
  <si>
    <t>Q9BW62_KATNAL1</t>
  </si>
  <si>
    <t>Q9BW66_CINP</t>
  </si>
  <si>
    <t>Q9BW71_HIRIP3</t>
  </si>
  <si>
    <t>Q9BW83_IFT27</t>
  </si>
  <si>
    <t>Q9BW85_CCDC94</t>
  </si>
  <si>
    <t>Q9BW91-2_NUDT9</t>
  </si>
  <si>
    <t>Q9BW92_TARS2</t>
  </si>
  <si>
    <t>Q9BWD1_ACAT2</t>
  </si>
  <si>
    <t>Q9BWE0_REPIN1</t>
  </si>
  <si>
    <t>Q9BWF3_RBM4</t>
  </si>
  <si>
    <t>Q9BWH6_RPAP1</t>
  </si>
  <si>
    <t>Q9BWJ5_SF3B5</t>
  </si>
  <si>
    <t>Q9BWN1_PRR14</t>
  </si>
  <si>
    <t>Q9BWS9-3_CHID1</t>
  </si>
  <si>
    <t>Q9BWT3_PAPOLG</t>
  </si>
  <si>
    <t>Q9BWT7_CARD10</t>
  </si>
  <si>
    <t>Q9BWU0_SLC4A1AP</t>
  </si>
  <si>
    <t>Q9BWW4-2_SSBP3</t>
  </si>
  <si>
    <t>Q9BWW5_SSDP4</t>
  </si>
  <si>
    <t>Q9BWW8_APOL6</t>
  </si>
  <si>
    <t>Q9BX10-2_GTPBP2</t>
  </si>
  <si>
    <t>Q9BX40_LSM14B</t>
  </si>
  <si>
    <t>Q9BX63_BRIP1</t>
  </si>
  <si>
    <t>Q9BX66-6_SORBS1</t>
  </si>
  <si>
    <t>Q9BX66-9_SORBS1</t>
  </si>
  <si>
    <t>Q9BX68_HINT2</t>
  </si>
  <si>
    <t>Q9BXB4_OSBPL11</t>
  </si>
  <si>
    <t>Q9BXD5_NPL</t>
  </si>
  <si>
    <t>Q9BXF6_RAB11FIP5</t>
  </si>
  <si>
    <t>Q9BXH1_BBC3</t>
  </si>
  <si>
    <t>Q9BXI6_TBC1D10A</t>
  </si>
  <si>
    <t>Q9BXJ9_NAA15</t>
  </si>
  <si>
    <t>Q9BXK1_KLF16</t>
  </si>
  <si>
    <t>Q9BXK5_BCL2L13</t>
  </si>
  <si>
    <t>Q9BXL5_HEMGN</t>
  </si>
  <si>
    <t>Q9BXL7_CARD11</t>
  </si>
  <si>
    <t>Q9BXP5-4_SRRT</t>
  </si>
  <si>
    <t>Q9BXR0_QTRT1</t>
  </si>
  <si>
    <t>Q9BXS5_AP1M1</t>
  </si>
  <si>
    <t>Q9BXS6-2_NUSAP1</t>
  </si>
  <si>
    <t>Q9BXS6-4_NUSAP1</t>
  </si>
  <si>
    <t>Q9BXV9_C14orf142</t>
  </si>
  <si>
    <t>Q9BXW7-2_CECR5</t>
  </si>
  <si>
    <t>Q9BXW9-2_FANCD2</t>
  </si>
  <si>
    <t>Q9BXY0_MAK16</t>
  </si>
  <si>
    <t>Q9BY12-2_SCAPER</t>
  </si>
  <si>
    <t>Q9BY32_ITPA</t>
  </si>
  <si>
    <t>Q9BY42_RTFDC1</t>
  </si>
  <si>
    <t>Q9BY43_CHMP4A</t>
  </si>
  <si>
    <t>Q9BY44_EIF2A</t>
  </si>
  <si>
    <t>Q9BY77_POLDIP3</t>
  </si>
  <si>
    <t>Q9BYB4_GNB1L</t>
  </si>
  <si>
    <t>Q9BYC8_MRPL32</t>
  </si>
  <si>
    <t>Q9BYD6_MRPL1</t>
  </si>
  <si>
    <t>Q9BYE2-3_</t>
  </si>
  <si>
    <t>Q9BYE7_PCGF6</t>
  </si>
  <si>
    <t>Q9BYG3_MKI67IP</t>
  </si>
  <si>
    <t>Q9BYG5_PARD6B</t>
  </si>
  <si>
    <t>Q9BYI3_FAM126A</t>
  </si>
  <si>
    <t>Q9BYM8_RBCK1</t>
  </si>
  <si>
    <t>Q9BYN0_SRXN1</t>
  </si>
  <si>
    <t>Q9BYT8_NLN</t>
  </si>
  <si>
    <t>Q9BYV8_CEP41</t>
  </si>
  <si>
    <t>Q9BYV9_BACH2</t>
  </si>
  <si>
    <t>Q9BYW2_SETD2</t>
  </si>
  <si>
    <t>Q9BYX4-2_IFIH1</t>
  </si>
  <si>
    <t>Q9BZ29-3_DOCK9</t>
  </si>
  <si>
    <t>Q9BZ95-4_WHSC1L1</t>
  </si>
  <si>
    <t>Q9BZD4_NUF2</t>
  </si>
  <si>
    <t>Q9BZE2_PUS3</t>
  </si>
  <si>
    <t>Q9BZE9_ASPSCR1</t>
  </si>
  <si>
    <t>Q9BZF1-3_OSBPL8</t>
  </si>
  <si>
    <t>Q9BZF2_OSBPL7</t>
  </si>
  <si>
    <t>Q9BZF3-2_OSBPL6</t>
  </si>
  <si>
    <t>Q9BZH6_WDR11</t>
  </si>
  <si>
    <t>Q9BZI7-2_UPF3B</t>
  </si>
  <si>
    <t>Q9BZJ0-2_CRNKL1</t>
  </si>
  <si>
    <t>Q9BZK7_TBL1XR1</t>
  </si>
  <si>
    <t>Q9BZL1_UBL5</t>
  </si>
  <si>
    <t>Q9BZL4_PPP1R12C</t>
  </si>
  <si>
    <t>Q9BZL6_PRKD2</t>
  </si>
  <si>
    <t>Q9BZM1_PLA2G12A</t>
  </si>
  <si>
    <t>Q9BZQ8_FAM129A</t>
  </si>
  <si>
    <t>Q9BZV1_UBXN6</t>
  </si>
  <si>
    <t>Q9BZX2_UCK2</t>
  </si>
  <si>
    <t>Q9BZZ5-2_API5</t>
  </si>
  <si>
    <t>Q9C004-2_SPRY4</t>
  </si>
  <si>
    <t>Q9C005_DPY30</t>
  </si>
  <si>
    <t>Q9C010_PKIB</t>
  </si>
  <si>
    <t>Q9C040_TRIM2</t>
  </si>
  <si>
    <t>Q9C073_FAM117A</t>
  </si>
  <si>
    <t>Q9C099-2_LRRCC1</t>
  </si>
  <si>
    <t>Q9C0B0_UNK</t>
  </si>
  <si>
    <t>Q9C0B1_FTO</t>
  </si>
  <si>
    <t>Q9C0B2-3_KIAA1751</t>
  </si>
  <si>
    <t>Q9C0B5-2_ZDHHC5</t>
  </si>
  <si>
    <t>Q9C0B7_TANGO6</t>
  </si>
  <si>
    <t>Q9C0C2_TNKS1BP1</t>
  </si>
  <si>
    <t>Q9C0C4_SEMA4C</t>
  </si>
  <si>
    <t>Q9C0C7-4_AMBRA1</t>
  </si>
  <si>
    <t>Q9C0C9_UBE2O</t>
  </si>
  <si>
    <t>Q9C0D2_KIAA1731</t>
  </si>
  <si>
    <t>Q9C0D3_ZYG11B</t>
  </si>
  <si>
    <t>Q9C0D5_TANC1</t>
  </si>
  <si>
    <t>Q9C0F1_CEP44</t>
  </si>
  <si>
    <t>Q9C0G0_ZNF407</t>
  </si>
  <si>
    <t>Q9C0I1_MTMR12</t>
  </si>
  <si>
    <t>Q9C0J8_WDR33</t>
  </si>
  <si>
    <t>Q9C0K7-2_STRADB</t>
  </si>
  <si>
    <t>Q9GZL7_WDR12</t>
  </si>
  <si>
    <t>Q9GZN2_TGIF2</t>
  </si>
  <si>
    <t>Q9GZN8_C20orf27</t>
  </si>
  <si>
    <t>Q9GZP4_PITHD1</t>
  </si>
  <si>
    <t>Q9GZQ3_COMMD5</t>
  </si>
  <si>
    <t>Q9GZR1-2_SENP6</t>
  </si>
  <si>
    <t>Q9GZR2_REXO4</t>
  </si>
  <si>
    <t>Q9GZS1-2_POLR1E</t>
  </si>
  <si>
    <t>Q9GZS3_WDR61</t>
  </si>
  <si>
    <t>Q9GZT3-2_SLIRP</t>
  </si>
  <si>
    <t>Q9GZT4_SRR</t>
  </si>
  <si>
    <t>Q9GZT8-2_NIF3L1</t>
  </si>
  <si>
    <t>Q9GZT9_EGLN1</t>
  </si>
  <si>
    <t>Q9GZU8_FAM192A</t>
  </si>
  <si>
    <t>Q9GZX9_TWSG1</t>
  </si>
  <si>
    <t>Q9GZY8-2_MFF</t>
  </si>
  <si>
    <t>Q9GZZ9_UBA5</t>
  </si>
  <si>
    <t>Q9H008_LHPP</t>
  </si>
  <si>
    <t>Q9H074_PAIP1</t>
  </si>
  <si>
    <t>Q9H074-2_PAIP1</t>
  </si>
  <si>
    <t>Q9H079_KATNBL1</t>
  </si>
  <si>
    <t>Q9H081_MIS12</t>
  </si>
  <si>
    <t>Q9H082_RAB33B</t>
  </si>
  <si>
    <t>Q9H094-2_NBPF3</t>
  </si>
  <si>
    <t>Q9H098_FAM107B</t>
  </si>
  <si>
    <t>Q9H0A0_NAT10</t>
  </si>
  <si>
    <t>Q9H0A8_COMMD4</t>
  </si>
  <si>
    <t>Q9H0B6_KLC2</t>
  </si>
  <si>
    <t>Q9H0C8_ILKAP</t>
  </si>
  <si>
    <t>Q9H0D6_XRN2</t>
  </si>
  <si>
    <t>Q9H0E2_TOLLIP</t>
  </si>
  <si>
    <t>Q9H0E9-2_BRD8</t>
  </si>
  <si>
    <t>Q9H0F6_SHARPIN</t>
  </si>
  <si>
    <t>Q9H0F7_ARL6</t>
  </si>
  <si>
    <t>Q9H0G5_NSRP1</t>
  </si>
  <si>
    <t>Q9H0H5_RACGAP1</t>
  </si>
  <si>
    <t>Q9H0I2-2_ENKD1</t>
  </si>
  <si>
    <t>Q9H0J9_PARP12</t>
  </si>
  <si>
    <t>Q9H0K1_SIK2</t>
  </si>
  <si>
    <t>Q9H0K6_PUS7L</t>
  </si>
  <si>
    <t>Q9H0L4_CSTF2T</t>
  </si>
  <si>
    <t>Q9H0P0-3_NT5C3A</t>
  </si>
  <si>
    <t>Q9H0R1_AP5M1</t>
  </si>
  <si>
    <t>Q9H0R4_HDHD2</t>
  </si>
  <si>
    <t>Q9H0R6_QRSL1</t>
  </si>
  <si>
    <t>Q9H0S4-2_DDX47</t>
  </si>
  <si>
    <t>Q9H0U4_RAB1B</t>
  </si>
  <si>
    <t>Q9H0U9_TSPYL1</t>
  </si>
  <si>
    <t>Q9H0W5_CCDC8</t>
  </si>
  <si>
    <t>Q9H0W8-2_SMG9</t>
  </si>
  <si>
    <t>Q9H0W9_C11orf54</t>
  </si>
  <si>
    <t>Q9H116_GZF1</t>
  </si>
  <si>
    <t>Q9H173_SIL1</t>
  </si>
  <si>
    <t>Q9H175_CSRNP2</t>
  </si>
  <si>
    <t>Q9H1A4_ANAPC1</t>
  </si>
  <si>
    <t>Q9H1B7_IRF2BPL</t>
  </si>
  <si>
    <t>Q9H1D9_POLR3F</t>
  </si>
  <si>
    <t>Q9H1E3_NUCKS1</t>
  </si>
  <si>
    <t>Q9H1I8_ASCC2</t>
  </si>
  <si>
    <t>Q9H1J1-2_UPF3A</t>
  </si>
  <si>
    <t>Q9H1K1_ISCU</t>
  </si>
  <si>
    <t>Q9H1K6_MESDC1</t>
  </si>
  <si>
    <t>Q9H1P3-2_OSBPL2</t>
  </si>
  <si>
    <t>Q9H1Y0_ATG5</t>
  </si>
  <si>
    <t>Q9H1Z4_WDR13</t>
  </si>
  <si>
    <t>Q9H204_MED28</t>
  </si>
  <si>
    <t>Q9H211_CDT1</t>
  </si>
  <si>
    <t>Q9H223_EHD4</t>
  </si>
  <si>
    <t>Q9H267_VPS33B</t>
  </si>
  <si>
    <t>Q9H269_VPS16</t>
  </si>
  <si>
    <t>Q9H270_VPS11</t>
  </si>
  <si>
    <t>Q9H2C0_GAN</t>
  </si>
  <si>
    <t>Q9H2D6-5_TRIOBP</t>
  </si>
  <si>
    <t>Q9H2F5-2_EPC1</t>
  </si>
  <si>
    <t>Q9H2G2-2_SLK</t>
  </si>
  <si>
    <t>Q9H2H8_PPIL3</t>
  </si>
  <si>
    <t>Q9H2J4_PDCL3</t>
  </si>
  <si>
    <t>Q9H2K0_MTIF3</t>
  </si>
  <si>
    <t>Q9H2K8_TAOK3</t>
  </si>
  <si>
    <t>Q9H2M9_RAB3GAP2</t>
  </si>
  <si>
    <t>Q9H2P0_ADNP</t>
  </si>
  <si>
    <t>Q9H2P9_DPH5</t>
  </si>
  <si>
    <t>Q9H2U1-3_DHX36</t>
  </si>
  <si>
    <t>Q9H2U2_PPA2</t>
  </si>
  <si>
    <t>Q9H2W6_MRPL46</t>
  </si>
  <si>
    <t>Q9H2Y7_ZNF106</t>
  </si>
  <si>
    <t>Q9H307_PNN</t>
  </si>
  <si>
    <t>Q9H3C7_GGNBP2</t>
  </si>
  <si>
    <t>Q9H3F6_KCTD10</t>
  </si>
  <si>
    <t>Q9H3G5_CPVL</t>
  </si>
  <si>
    <t>Q9H3H1-4_TRIT1</t>
  </si>
  <si>
    <t>Q9H3H3-2_C11orf68</t>
  </si>
  <si>
    <t>Q9H3K6_BOLA2</t>
  </si>
  <si>
    <t>Q9H3L0_MMADHC</t>
  </si>
  <si>
    <t>Q9H3N1_TMX1</t>
  </si>
  <si>
    <t>Q9H3P2_NELFA</t>
  </si>
  <si>
    <t>Q9H3P7_ACBD3</t>
  </si>
  <si>
    <t>Q9H3Q1_CDC42EP4</t>
  </si>
  <si>
    <t>Q9H3S7_PTPN23</t>
  </si>
  <si>
    <t>Q9H3U1_UNC45A</t>
  </si>
  <si>
    <t>Q9H3Y8_PPDPF</t>
  </si>
  <si>
    <t>Q9H410_DSN1</t>
  </si>
  <si>
    <t>Q9H425-3_C1orf198</t>
  </si>
  <si>
    <t>Q9H444_CHMP4B</t>
  </si>
  <si>
    <t>Q9H469_FBXL15</t>
  </si>
  <si>
    <t>Q9H479_FN3K</t>
  </si>
  <si>
    <t>Q9H488_POFUT1</t>
  </si>
  <si>
    <t>Q9H496_IFRG15</t>
  </si>
  <si>
    <t>Q9H4A4_RNPEP</t>
  </si>
  <si>
    <t>Q9H4A5_GOLPH3L</t>
  </si>
  <si>
    <t>Q9H4A6_GOLPH3</t>
  </si>
  <si>
    <t>Q9H4E7_DEF6</t>
  </si>
  <si>
    <t>Q9H4G0-2_EPB41L1</t>
  </si>
  <si>
    <t>Q9H4H8-2_FAM83D</t>
  </si>
  <si>
    <t>Q9H4I2_ZHX3</t>
  </si>
  <si>
    <t>Q9H4L5_OSBPL3</t>
  </si>
  <si>
    <t>Q9H4L7_SMARCAD1</t>
  </si>
  <si>
    <t>Q9H4M3-2_FBXO44</t>
  </si>
  <si>
    <t>Q9H4M7-2_PLEKHA4</t>
  </si>
  <si>
    <t>Q9H4M9_EHD1</t>
  </si>
  <si>
    <t>Q9H4P4-2_RNF41</t>
  </si>
  <si>
    <t>Q9H4Z2-2_ZNF335</t>
  </si>
  <si>
    <t>Q9H4Z3_PCIF1</t>
  </si>
  <si>
    <t>Q9H501_ESF1</t>
  </si>
  <si>
    <t>Q9H568_ACTL8</t>
  </si>
  <si>
    <t>Q9H582-2_ZNF644</t>
  </si>
  <si>
    <t>Q9H583_HEATR1</t>
  </si>
  <si>
    <t>Q9H5H4_ZNF768</t>
  </si>
  <si>
    <t>Q9H5J0_ZBTB3</t>
  </si>
  <si>
    <t>Q9H5J8_TAF1D</t>
  </si>
  <si>
    <t>Q9H5N1_RABEP2</t>
  </si>
  <si>
    <t>Q9H5Q4_TFB2M</t>
  </si>
  <si>
    <t>Q9H5V7_IKZF5</t>
  </si>
  <si>
    <t>Q9H5V9-2_CXorf56</t>
  </si>
  <si>
    <t>Q9H5X1_FAM96A</t>
  </si>
  <si>
    <t>Q9H5Z1-2_DHX35</t>
  </si>
  <si>
    <t>Q9H633-3_RPP21</t>
  </si>
  <si>
    <t>Q9H6A9-2_PCNXL3</t>
  </si>
  <si>
    <t>Q9H6D7_HAUS4</t>
  </si>
  <si>
    <t>Q9H6E4_CCDC134</t>
  </si>
  <si>
    <t>Q9H6E5_TUT1</t>
  </si>
  <si>
    <t>Q9H6F5_CCDC86</t>
  </si>
  <si>
    <t>Q9H6H4_REEP4</t>
  </si>
  <si>
    <t>Q9H6K1_C6orf106</t>
  </si>
  <si>
    <t>Q9H6L4_ARMC7</t>
  </si>
  <si>
    <t>Q9H6Q4_NARFL</t>
  </si>
  <si>
    <t>Q9H6R4-4_NOL6</t>
  </si>
  <si>
    <t>Q9H6R7_C2orf44</t>
  </si>
  <si>
    <t>Q9H6S0_YTHDC2</t>
  </si>
  <si>
    <t>Q9H6S1_AZI2</t>
  </si>
  <si>
    <t>Q9H6S3-2_EPS8L2</t>
  </si>
  <si>
    <t>Q9H6T3-2_RPAP3</t>
  </si>
  <si>
    <t>Q9H6U6-2_BCAS3</t>
  </si>
  <si>
    <t>Q9H6W3_NO66</t>
  </si>
  <si>
    <t>Q9H6Y2_WDR55</t>
  </si>
  <si>
    <t>Q9H6Z4_RANBP3</t>
  </si>
  <si>
    <t>Q9H6Z4-2_RANBP3</t>
  </si>
  <si>
    <t>Q9H773_DCTPP1</t>
  </si>
  <si>
    <t>Q9H777_ELAC1</t>
  </si>
  <si>
    <t>Q9H7B4_SMYD3</t>
  </si>
  <si>
    <t>Q9H7C9_AAMDC</t>
  </si>
  <si>
    <t>Q9H7D7-2_WDR26</t>
  </si>
  <si>
    <t>Q9H7E2-3_TDRD3</t>
  </si>
  <si>
    <t>Q9H7E9_C8orf33</t>
  </si>
  <si>
    <t>Q9H7L9_SUDS3</t>
  </si>
  <si>
    <t>Q9H7N4_SCAF1</t>
  </si>
  <si>
    <t>Q9H7P9_PLEKHG2</t>
  </si>
  <si>
    <t>Q9H7X3_ZNF696</t>
  </si>
  <si>
    <t>Q9H7Z6_KAT8</t>
  </si>
  <si>
    <t>Q9H7Z7_PTGES2</t>
  </si>
  <si>
    <t>Q9H814_PHAX</t>
  </si>
  <si>
    <t>Q9H832_UBE2Z</t>
  </si>
  <si>
    <t>Q9H840_GEMIN7</t>
  </si>
  <si>
    <t>Q9H845_ACAD9</t>
  </si>
  <si>
    <t>Q9H867-5_METTL21D</t>
  </si>
  <si>
    <t>Q9H869-5_YY1AP1</t>
  </si>
  <si>
    <t>Q9H871_RMND5A</t>
  </si>
  <si>
    <t>Q9H875_PRKRIP1</t>
  </si>
  <si>
    <t>Q9H8E8_CSRP2BP</t>
  </si>
  <si>
    <t>Q9H8G2_CAAP1</t>
  </si>
  <si>
    <t>Q9H8H0_NOL11</t>
  </si>
  <si>
    <t>Q9H8K7_C10orf88</t>
  </si>
  <si>
    <t>Q9H8M2_BRD9</t>
  </si>
  <si>
    <t>Q9H8M7_FAM188A</t>
  </si>
  <si>
    <t>Q9H8S9_MOB1A</t>
  </si>
  <si>
    <t>Q9H8U3_ZFAND3</t>
  </si>
  <si>
    <t>Q9H8V3_ECT2</t>
  </si>
  <si>
    <t>Q9H8W4_PLEKHF2</t>
  </si>
  <si>
    <t>Q9H8Y5_ANKZF1</t>
  </si>
  <si>
    <t>Q9H8Y8_GORASP2</t>
  </si>
  <si>
    <t>Q9H900_ZWILCH</t>
  </si>
  <si>
    <t>Q9H910-2_HN1L</t>
  </si>
  <si>
    <t>Q9H939_PSTPIP2</t>
  </si>
  <si>
    <t>Q9H944_MED20</t>
  </si>
  <si>
    <t>Q9H967_WDR76</t>
  </si>
  <si>
    <t>Q9H974_QTRTD1</t>
  </si>
  <si>
    <t>Q9H993_C6orf211</t>
  </si>
  <si>
    <t>Q9H999_PANK3</t>
  </si>
  <si>
    <t>Q9H9A5-2_CNOT10</t>
  </si>
  <si>
    <t>Q9H9A6_LRRC40</t>
  </si>
  <si>
    <t>Q9H9A7_RMI1</t>
  </si>
  <si>
    <t>Q9H9B1_EHMT1</t>
  </si>
  <si>
    <t>Q9H9B4_SFXN1</t>
  </si>
  <si>
    <t>Q9H9C1-2_VIPAS39</t>
  </si>
  <si>
    <t>Q9H9E3_COG4</t>
  </si>
  <si>
    <t>Q9H9F9_ACTR5</t>
  </si>
  <si>
    <t>Q9H9G7_AGO3</t>
  </si>
  <si>
    <t>Q9H9H4_VPS37B</t>
  </si>
  <si>
    <t>Q9H9J2_MRPL44</t>
  </si>
  <si>
    <t>Q9H9L3_ISG20L2</t>
  </si>
  <si>
    <t>Q9H9Q4_NHEJ1</t>
  </si>
  <si>
    <t>Q9H9S4_CAB39L</t>
  </si>
  <si>
    <t>Q9H9T3-2_ELP3</t>
  </si>
  <si>
    <t>Q9H9V9-2_JMJD4</t>
  </si>
  <si>
    <t>Q9H9Y4_GPN2</t>
  </si>
  <si>
    <t>Q9H9Y6-2_POLR1B</t>
  </si>
  <si>
    <t>Q9HA38-2_ZMAT3</t>
  </si>
  <si>
    <t>Q9HA47-3_UCK1</t>
  </si>
  <si>
    <t>Q9HA64_FN3KRP</t>
  </si>
  <si>
    <t>Q9HA65-2_TBC1D17</t>
  </si>
  <si>
    <t>Q9HA77_CARS2</t>
  </si>
  <si>
    <t>Q9HAB8_PPCS</t>
  </si>
  <si>
    <t>Q9HAF1-2_MEAF6</t>
  </si>
  <si>
    <t>Q9HAJ7_SAP30L</t>
  </si>
  <si>
    <t>Q9HAN9_NMNAT1</t>
  </si>
  <si>
    <t>Q9HAR2-3_LPHN3</t>
  </si>
  <si>
    <t>Q9HAT2_SIAE</t>
  </si>
  <si>
    <t>Q9HAT8_PELI2</t>
  </si>
  <si>
    <t>Q9HAU0_PLEKHA5</t>
  </si>
  <si>
    <t>Q9HAU4_SMURF2</t>
  </si>
  <si>
    <t>Q9HAU5_UPF2</t>
  </si>
  <si>
    <t>Q9HAU8_RNPEPL1</t>
  </si>
  <si>
    <t>Q9HAV4_XPO5</t>
  </si>
  <si>
    <t>Q9HAV7_GRPEL1</t>
  </si>
  <si>
    <t>Q9HAW4-2_CLSPN</t>
  </si>
  <si>
    <t>Q9HB19_PLEKHA2</t>
  </si>
  <si>
    <t>Q9HB21_PLEKHA1</t>
  </si>
  <si>
    <t>Q9HB40_SCPEP1</t>
  </si>
  <si>
    <t>Q9HB58-6_SP110</t>
  </si>
  <si>
    <t>Q9HB71_CACYBP</t>
  </si>
  <si>
    <t>Q9HB90_RRAGC</t>
  </si>
  <si>
    <t>Q9HB96_FANCE</t>
  </si>
  <si>
    <t>Q9HBE1-4_PATZ1</t>
  </si>
  <si>
    <t>Q9HBE4-2_IL21</t>
  </si>
  <si>
    <t>Q9HBI1_PARVB</t>
  </si>
  <si>
    <t>Q9HBL8_NMRAL1</t>
  </si>
  <si>
    <t>Q9HBM1_SPC25</t>
  </si>
  <si>
    <t>Q9HBM6_TAF9B</t>
  </si>
  <si>
    <t>Q9HBM8_AGPAT1</t>
  </si>
  <si>
    <t>Q9HBN3_POLL</t>
  </si>
  <si>
    <t>Q9HBR0_SLC38A10</t>
  </si>
  <si>
    <t>Q9HBU6_ETNK1</t>
  </si>
  <si>
    <t>Q9HC35_EML4</t>
  </si>
  <si>
    <t>Q9HC38-2_GLOD4</t>
  </si>
  <si>
    <t>Q9HC44_GPBP1L1</t>
  </si>
  <si>
    <t>Q9HC52_CBX8</t>
  </si>
  <si>
    <t>Q9HC77_CENPJ</t>
  </si>
  <si>
    <t>Q9HCC0_MCCC2</t>
  </si>
  <si>
    <t>Q9HCC9-2_ZFYVE28</t>
  </si>
  <si>
    <t>Q9HCC9-5_ZFYVE28</t>
  </si>
  <si>
    <t>Q9HCD5_NCOA5</t>
  </si>
  <si>
    <t>Q9HCE0-2_EPG5</t>
  </si>
  <si>
    <t>Q9HCE1_MOV10</t>
  </si>
  <si>
    <t>Q9HCE5_METTL14</t>
  </si>
  <si>
    <t>Q9HCH0-3_NCKAP5L</t>
  </si>
  <si>
    <t>Q9HCI7_MSL2</t>
  </si>
  <si>
    <t>Q9HCJ0_TNRC6C</t>
  </si>
  <si>
    <t>Q9HCJ3-2_RAVER2</t>
  </si>
  <si>
    <t>Q9HCK8_CHD8</t>
  </si>
  <si>
    <t>Q9HCM4-4_EPB41L5</t>
  </si>
  <si>
    <t>Q9HCN4-2_GPN1</t>
  </si>
  <si>
    <t>Q9HCN8_SDF2L1</t>
  </si>
  <si>
    <t>Q9HCU8_POLD4</t>
  </si>
  <si>
    <t>Q9HD15_SRA1</t>
  </si>
  <si>
    <t>Q9HD20-2_ATP13A1</t>
  </si>
  <si>
    <t>Q9HD26_GOPC</t>
  </si>
  <si>
    <t>Q9HD40_SEPSECS</t>
  </si>
  <si>
    <t>Q9HD42_CHMP1A</t>
  </si>
  <si>
    <t>Q9HD45_TM9SF3</t>
  </si>
  <si>
    <t>Q9HD47-2_RANGRF</t>
  </si>
  <si>
    <t>Q9HDC5_JPH1</t>
  </si>
  <si>
    <t>Q9HDC9-2_APMAP</t>
  </si>
  <si>
    <t>Q9NNW5_WDR6</t>
  </si>
  <si>
    <t>Q9NNX1-3_TUFT1</t>
  </si>
  <si>
    <t>Q9NP50_FAM60A</t>
  </si>
  <si>
    <t>Q9NP66_HMG20A</t>
  </si>
  <si>
    <t>Q9NP72_RAB18</t>
  </si>
  <si>
    <t>Q9NP73_ALG13</t>
  </si>
  <si>
    <t>Q9NP74_PALMD</t>
  </si>
  <si>
    <t>Q9NP77_SSU72</t>
  </si>
  <si>
    <t>Q9NP79_VTA1</t>
  </si>
  <si>
    <t>Q9NP97_DYNLRB1</t>
  </si>
  <si>
    <t>Q9NPA3_MID1IP1</t>
  </si>
  <si>
    <t>Q9NPA8-2_ENY2</t>
  </si>
  <si>
    <t>Q9NPB8_GPCPD1</t>
  </si>
  <si>
    <t>Q9NPD3_EXOSC4</t>
  </si>
  <si>
    <t>Q9NPD8_UBE2T</t>
  </si>
  <si>
    <t>Q9NPE3_NOP10</t>
  </si>
  <si>
    <t>Q9NPF4_OSGEP</t>
  </si>
  <si>
    <t>Q9NPF5_DMAP1</t>
  </si>
  <si>
    <t>Q9NPG3-2_UBN1</t>
  </si>
  <si>
    <t>Q9NPH3-5_IL1RAP</t>
  </si>
  <si>
    <t>Q9NPI1_BRD7</t>
  </si>
  <si>
    <t>Q9NPI6_DCP1A</t>
  </si>
  <si>
    <t>Q9NPI8_FANCF</t>
  </si>
  <si>
    <t>Q9NPJ3_ACOT13</t>
  </si>
  <si>
    <t>Q9NPJ6_MED4</t>
  </si>
  <si>
    <t>Q9NPJ8_NXT2</t>
  </si>
  <si>
    <t>Q9NPQ8_RIC8A</t>
  </si>
  <si>
    <t>Q9NQ29_LUC7L</t>
  </si>
  <si>
    <t>Q9NQ55-2_PPAN</t>
  </si>
  <si>
    <t>Q9NQ88_TIGAR</t>
  </si>
  <si>
    <t>Q9NQ89_C12orf4</t>
  </si>
  <si>
    <t>Q9NQ92_COPRS</t>
  </si>
  <si>
    <t>Q9NQA3_WASH6P</t>
  </si>
  <si>
    <t>Q9NQC3_RTN4</t>
  </si>
  <si>
    <t>Q9NQE9_HINT3</t>
  </si>
  <si>
    <t>Q9NQG5_RPRD1B</t>
  </si>
  <si>
    <t>Q9NQG6_SMCR7L</t>
  </si>
  <si>
    <t>Q9NQH7-2_XPNPEP3</t>
  </si>
  <si>
    <t>Q9NQL2_RRAGD</t>
  </si>
  <si>
    <t>Q9NQP4_PFDN4</t>
  </si>
  <si>
    <t>Q9NQR1-2_SETD8</t>
  </si>
  <si>
    <t>Q9NQR4_NIT2</t>
  </si>
  <si>
    <t>Q9NQS1_AVEN</t>
  </si>
  <si>
    <t>Q9NQS7-2_INCENP</t>
  </si>
  <si>
    <t>Q9NQT4_EXOSC5</t>
  </si>
  <si>
    <t>Q9NQT5_EXOSC3</t>
  </si>
  <si>
    <t>Q9NQT8_KIF13B</t>
  </si>
  <si>
    <t>Q9NQV6-2_PRDM10</t>
  </si>
  <si>
    <t>Q9NQW6_ANLN</t>
  </si>
  <si>
    <t>Q9NQW7-3_XPNPEP1</t>
  </si>
  <si>
    <t>Q9NQX3_GPHN</t>
  </si>
  <si>
    <t>Q9NQY0_BIN3</t>
  </si>
  <si>
    <t>Q9NQZ2_UTP3</t>
  </si>
  <si>
    <t>Q9NQZ5_STARD7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</si>
  <si>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</si>
  <si>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</si>
  <si>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</si>
  <si>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</si>
  <si>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</si>
  <si>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</si>
  <si>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</si>
  <si>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</si>
  <si>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Q9NR46_SH3GLB2</t>
  </si>
  <si>
    <t>Q9NR50_EIF2B3</t>
  </si>
  <si>
    <t>Q9NR82-4_KCNQ5</t>
  </si>
  <si>
    <t>Q9NRD1_FBXO6</t>
  </si>
  <si>
    <t>Q9NRD5_PICK1</t>
  </si>
  <si>
    <t>Q9NRF2-3_SH2B1</t>
  </si>
  <si>
    <t>Q9NRF8_CTPS2</t>
  </si>
  <si>
    <t>Q9NRF9_POLE3</t>
  </si>
  <si>
    <t>Q9NRG0_CHRAC1</t>
  </si>
  <si>
    <t>Q9NRG1_PRTFDC1</t>
  </si>
  <si>
    <t>Q9NRG4_SMYD2</t>
  </si>
  <si>
    <t>Q9NRH1_YAE1D1</t>
  </si>
  <si>
    <t>Q9NRH2_SNRK</t>
  </si>
  <si>
    <t>Q9NRL2-2_BAZ1A</t>
  </si>
  <si>
    <t>Q9NRL3_STRN4</t>
  </si>
  <si>
    <t>Q9NRN7_AASDHPPT</t>
  </si>
  <si>
    <t>Q9NRN9_METTL5</t>
  </si>
  <si>
    <t>Q9NRR4-2_DROSHA</t>
  </si>
  <si>
    <t>Q9NRR5_UBQLN4</t>
  </si>
  <si>
    <t>Q9NRS6_SNX15</t>
  </si>
  <si>
    <t>Q9NRV9_HEBP1</t>
  </si>
  <si>
    <t>Q9NRW1_RAB6B</t>
  </si>
  <si>
    <t>Q9NRW4_DUSP22</t>
  </si>
  <si>
    <t>Q9NRW7_VPS45</t>
  </si>
  <si>
    <t>Q9NRX4_PHPT1</t>
  </si>
  <si>
    <t>Q9NRY2_INIP</t>
  </si>
  <si>
    <t>Q9NRY4_ARHGAP35</t>
  </si>
  <si>
    <t>Q9NRY5_FAM114A2</t>
  </si>
  <si>
    <t>Q9NRZ9-6_HELLS</t>
  </si>
  <si>
    <t>Q9NS18_GLRX2</t>
  </si>
  <si>
    <t>Q9NS56_TOPORS</t>
  </si>
  <si>
    <t>Q9NS73-2_MBIP</t>
  </si>
  <si>
    <t>Q9NS86_LANCL2</t>
  </si>
  <si>
    <t>Q9NS87-2_KIF15</t>
  </si>
  <si>
    <t>Q9NS91_RAD18</t>
  </si>
  <si>
    <t>Q9NSA3_CTNNBIP1</t>
  </si>
  <si>
    <t>Q9NSC5-5_HOMER3</t>
  </si>
  <si>
    <t>Q9NSD9_FARSB</t>
  </si>
  <si>
    <t>Q9NSE2_CISH</t>
  </si>
  <si>
    <t>Q9NSE4_IARS2</t>
  </si>
  <si>
    <t>Q9NSG2_C1orf112</t>
  </si>
  <si>
    <t>Q9NSI2-2_FAM207A</t>
  </si>
  <si>
    <t>Q9NSI6-3_BRWD1</t>
  </si>
  <si>
    <t>Q9NSI8_SAMSN1</t>
  </si>
  <si>
    <t>Q9NSK0_KLC4</t>
  </si>
  <si>
    <t>Q9NSY0_NRBP2</t>
  </si>
  <si>
    <t>Q9NSY1_BMP2K</t>
  </si>
  <si>
    <t>Q9NT62_ATG3</t>
  </si>
  <si>
    <t>Q9NT99_LRRC4B</t>
  </si>
  <si>
    <t>Q9NTG7_SIRT3</t>
  </si>
  <si>
    <t>Q9NTI5-2_PDS5B</t>
  </si>
  <si>
    <t>Q9NTJ3_SMC4</t>
  </si>
  <si>
    <t>Q9NTJ4-3_MAN2C1</t>
  </si>
  <si>
    <t>Q9NTK5_OLA1</t>
  </si>
  <si>
    <t>Q9NTK5-2_OLA1</t>
  </si>
  <si>
    <t>Q9NTM9_CUTC</t>
  </si>
  <si>
    <t>Q9NTW7-3_ZFP64</t>
  </si>
  <si>
    <t>Q9NTX5-2_ECHDC1</t>
  </si>
  <si>
    <t>Q9NTZ6_RBM12</t>
  </si>
  <si>
    <t>Q9NU19_TBC1D22B</t>
  </si>
  <si>
    <t>Q9NU22_MDN1</t>
  </si>
  <si>
    <t>Q9NU23_LYRM2</t>
  </si>
  <si>
    <t>Q9NUB1-3_ACSS1</t>
  </si>
  <si>
    <t>Q9NUD5_ZCCHC3</t>
  </si>
  <si>
    <t>Q9NUG6_PDRG1</t>
  </si>
  <si>
    <t>Q9NUJ1_ABHD10</t>
  </si>
  <si>
    <t>Q9NUJ3_TCP11L1</t>
  </si>
  <si>
    <t>Q9NUM4_TMEM106B</t>
  </si>
  <si>
    <t>Q9NUP1_BLOC1S4</t>
  </si>
  <si>
    <t>Q9NUP7_TRMT13</t>
  </si>
  <si>
    <t>Q9NUQ3_TXLNG</t>
  </si>
  <si>
    <t>Q9NUQ6-2_SPATS2L</t>
  </si>
  <si>
    <t>Q9NUQ8-2_ABCF3</t>
  </si>
  <si>
    <t>Q9NUQ9_FAM49B</t>
  </si>
  <si>
    <t>Q9NUS5_AP5S1</t>
  </si>
  <si>
    <t>Q9NUU7_DDX19A</t>
  </si>
  <si>
    <t>Q9NUW8_TDP1</t>
  </si>
  <si>
    <t>Q9NUX5-2_POT1</t>
  </si>
  <si>
    <t>Q9NUY8-2_TBC1D23</t>
  </si>
  <si>
    <t>Q9NV06_DCAF13</t>
  </si>
  <si>
    <t>Q9NV31_IMP3</t>
  </si>
  <si>
    <t>Q9NV35_NUDT15</t>
  </si>
  <si>
    <t>Q9NV56_MRGBP</t>
  </si>
  <si>
    <t>Q9NV70-2_EXOC1</t>
  </si>
  <si>
    <t>Q9NV88-3_INTS9</t>
  </si>
  <si>
    <t>Q9NV96-3_TMEM30A</t>
  </si>
  <si>
    <t>Q9NVA4_TMEM184C</t>
  </si>
  <si>
    <t>Q9NVC6_MED17</t>
  </si>
  <si>
    <t>Q9NVE5_USP40</t>
  </si>
  <si>
    <t>Q9NVE7_PANK4</t>
  </si>
  <si>
    <t>Q9NVF7_FBXO28</t>
  </si>
  <si>
    <t>Q9NVG8_TBC1D13</t>
  </si>
  <si>
    <t>Q9NVH0-2_EXD2</t>
  </si>
  <si>
    <t>Q9NVH2-3_INTS7</t>
  </si>
  <si>
    <t>Q9NVH6_TMLHE</t>
  </si>
  <si>
    <t>Q9NVI1_FANCI</t>
  </si>
  <si>
    <t>Q9NVI7-2_ATAD3A</t>
  </si>
  <si>
    <t>Q9NVJ2_ARL8B</t>
  </si>
  <si>
    <t>Q9NVM4-3_PRMT7</t>
  </si>
  <si>
    <t>Q9NVM6_DNAJC17</t>
  </si>
  <si>
    <t>Q9NVM9_ASUN</t>
  </si>
  <si>
    <t>Q9NVN3-3_RIC8B</t>
  </si>
  <si>
    <t>Q9NVN8_GNL3L</t>
  </si>
  <si>
    <t>Q9NVP1_DDX18</t>
  </si>
  <si>
    <t>Q9NVP2_ASF1B</t>
  </si>
  <si>
    <t>Q9NVR0_KLHL11</t>
  </si>
  <si>
    <t>Q9NVR2_INTS10</t>
  </si>
  <si>
    <t>Q9NVR5_DNAAF2</t>
  </si>
  <si>
    <t>Q9NVT9_ARMC1</t>
  </si>
  <si>
    <t>Q9NVU0-5_POLR3E</t>
  </si>
  <si>
    <t>Q9NVU7-2_SDAD1</t>
  </si>
  <si>
    <t>Q9NVW2_RLIM</t>
  </si>
  <si>
    <t>Q9NVX0_HAUS2</t>
  </si>
  <si>
    <t>Q9NVX2_NLE1</t>
  </si>
  <si>
    <t>Q9NVZ3_NECAP2</t>
  </si>
  <si>
    <t>Q9NW08-2_POLR3B</t>
  </si>
  <si>
    <t>Q9NW13_RBM28</t>
  </si>
  <si>
    <t>Q9NW64_RBM22</t>
  </si>
  <si>
    <t>Q9NW68-4_BSDC1</t>
  </si>
  <si>
    <t>Q9NW75-2_GPATCH2</t>
  </si>
  <si>
    <t>Q9NW82_WDR70</t>
  </si>
  <si>
    <t>Q9NW97_TMEM51</t>
  </si>
  <si>
    <t>Q9NWA0_MED9</t>
  </si>
  <si>
    <t>Q9NWB6_ARGLU1</t>
  </si>
  <si>
    <t>Q9NWB7_IFT57</t>
  </si>
  <si>
    <t>Q9NWD9_BEX4</t>
  </si>
  <si>
    <t>Q9NWH9_SLTM</t>
  </si>
  <si>
    <t>Q9NWK9_ZNHIT6</t>
  </si>
  <si>
    <t>Q9NWM3_CUEDC1</t>
  </si>
  <si>
    <t>Q9NWM8_FKBP14</t>
  </si>
  <si>
    <t>Q9NWQ9_C14orf119</t>
  </si>
  <si>
    <t>Q9NWS0_PIH1D1</t>
  </si>
  <si>
    <t>Q9NWS6_FAM118A</t>
  </si>
  <si>
    <t>Q9NWT1_PAK1IP1</t>
  </si>
  <si>
    <t>Q9NWT6_HIF1AN</t>
  </si>
  <si>
    <t>Q9NWT8_AURKAIP1</t>
  </si>
  <si>
    <t>Q9NWU1_OXSM</t>
  </si>
  <si>
    <t>Q9NWU2_GID8</t>
  </si>
  <si>
    <t>Q9NWV4_C1orf123</t>
  </si>
  <si>
    <t>Q9NWW7_C2orf42</t>
  </si>
  <si>
    <t>Q9NWX6_THG1L</t>
  </si>
  <si>
    <t>Q9NWY4_C4orf27</t>
  </si>
  <si>
    <t>Q9NWZ3_IRAK4</t>
  </si>
  <si>
    <t>Q9NWZ5-3_UCKL1</t>
  </si>
  <si>
    <t>Q9NWZ8_GEMIN8</t>
  </si>
  <si>
    <t>Q9NX01_TXNL4B</t>
  </si>
  <si>
    <t>Q9NX02-5_NLRP2</t>
  </si>
  <si>
    <t>Q9NX07_TRNAU1AP</t>
  </si>
  <si>
    <t>Q9NX08_COMMD8</t>
  </si>
  <si>
    <t>Q9NX09_DDIT4</t>
  </si>
  <si>
    <t>Q9NX24_NHP2</t>
  </si>
  <si>
    <t>Q9NX38_FAM206A</t>
  </si>
  <si>
    <t>Q9NX46_ADPRHL2</t>
  </si>
  <si>
    <t>Q9NX55_HYPK</t>
  </si>
  <si>
    <t>Q9NX58_LYAR</t>
  </si>
  <si>
    <t>Q9NX63_CHCHD3</t>
  </si>
  <si>
    <t>Q9NX70_MED29</t>
  </si>
  <si>
    <t>Q9NX74_DUS2L</t>
  </si>
  <si>
    <t>Q9NXA8_SIRT5</t>
  </si>
  <si>
    <t>Q9NXC5_MIOS</t>
  </si>
  <si>
    <t>Q9NXE8_CWC25</t>
  </si>
  <si>
    <t>Q9NXF7_DCAF16</t>
  </si>
  <si>
    <t>Q9NXG2_THUMPD1</t>
  </si>
  <si>
    <t>Q9NXH9_TRMT1</t>
  </si>
  <si>
    <t>Q9NXJ5_PGPEP1</t>
  </si>
  <si>
    <t>Q9NXK8_FBXL12</t>
  </si>
  <si>
    <t>Q9NXN4-2_GDAP2</t>
  </si>
  <si>
    <t>Q9NXR1-2_NDE1</t>
  </si>
  <si>
    <t>Q9NXR7_BRE</t>
  </si>
  <si>
    <t>Q9NXU5_ARL15</t>
  </si>
  <si>
    <t>Q9NXV2_KCTD5</t>
  </si>
  <si>
    <t>Q9NXV6_CDKN2AIP</t>
  </si>
  <si>
    <t>Q9NXW2_DNAJB12</t>
  </si>
  <si>
    <t>Q9NXW9_ALKBH4</t>
  </si>
  <si>
    <t>Q9NXX6_NSMCE4A</t>
  </si>
  <si>
    <t>Q9NXZ1_SAGE1</t>
  </si>
  <si>
    <t>Q9NY12-2_GAR1</t>
  </si>
  <si>
    <t>Q9NY27_PPP4R2</t>
  </si>
  <si>
    <t>Q9NY33_DPP3</t>
  </si>
  <si>
    <t>Q9NY61_AATF</t>
  </si>
  <si>
    <t>Q9NY93_DDX56</t>
  </si>
  <si>
    <t>Q9NYB0_TERF2IP</t>
  </si>
  <si>
    <t>Q9NYF8-2_BCLAF1</t>
  </si>
  <si>
    <t>Q9NYH9_UTP6</t>
  </si>
  <si>
    <t>Q9NYJ1_COA4</t>
  </si>
  <si>
    <t>Q9NYJ8_TAB2</t>
  </si>
  <si>
    <t>Q9NYK6-3_EURL</t>
  </si>
  <si>
    <t>Q9NYL2_MLTK</t>
  </si>
  <si>
    <t>Q9NYL2-2_MLTK</t>
  </si>
  <si>
    <t>Q9NYL9_TMOD3</t>
  </si>
  <si>
    <t>Q9NYP9_MIS18A</t>
  </si>
  <si>
    <t>Q9NYU2-2_UGGT1</t>
  </si>
  <si>
    <t>Q9NYV4-2_CDK12</t>
  </si>
  <si>
    <t>Q9NYY8-2_FASTKD2</t>
  </si>
  <si>
    <t>Q9NYZ3_GTSE1</t>
  </si>
  <si>
    <t>Q9NZ08_ERAP1</t>
  </si>
  <si>
    <t>Q9NZ09-2_UBAP1</t>
  </si>
  <si>
    <t>Q9NZ32_ACTR10</t>
  </si>
  <si>
    <t>Q9NZ52_GGA3</t>
  </si>
  <si>
    <t>Q9NZ53_PODXL2</t>
  </si>
  <si>
    <t>Q9NZ63_C9orf78</t>
  </si>
  <si>
    <t>Q9NZA1-3_CLIC5</t>
  </si>
  <si>
    <t>Q9NZB2_FAM120A</t>
  </si>
  <si>
    <t>Q9NZC9_SMARCAL1</t>
  </si>
  <si>
    <t>Q9NZD2_GLTP</t>
  </si>
  <si>
    <t>Q9NZD4_AHSP</t>
  </si>
  <si>
    <t>Q9NZI7-4_UBP1</t>
  </si>
  <si>
    <t>Q9NZI8_IGF2BP1</t>
  </si>
  <si>
    <t>Q9NZJ6_COQ3</t>
  </si>
  <si>
    <t>Q9NZJ9_NUDT4</t>
  </si>
  <si>
    <t>Q9NZJ9-2_NUDT4</t>
  </si>
  <si>
    <t>Q9NZL4_HSPBP1</t>
  </si>
  <si>
    <t>Q9NZL9_MAT2B</t>
  </si>
  <si>
    <t>Q9NZM3-2_ITSN2</t>
  </si>
  <si>
    <t>Q9NZM4-2_GLTSCR1</t>
  </si>
  <si>
    <t>Q9NZM5_GLTSCR2</t>
  </si>
  <si>
    <t>Q9NZN4_EHD2</t>
  </si>
  <si>
    <t>Q9NZN5-2_ARHGEF12</t>
  </si>
  <si>
    <t>Q9NZQ3-3_NCKIPSD</t>
  </si>
  <si>
    <t>Q9NZR2_LRP1B</t>
  </si>
  <si>
    <t>Q9NZT2-2_OGFR</t>
  </si>
  <si>
    <t>Q9NZV6_MSRB1</t>
  </si>
  <si>
    <t>Q9NZW5_MPP6</t>
  </si>
  <si>
    <t>Q9NZZ3_CHMP5</t>
  </si>
  <si>
    <t>Q9P000_COMMD9</t>
  </si>
  <si>
    <t>Q9P013_CWC15</t>
  </si>
  <si>
    <t>Q9P016_THYN1</t>
  </si>
  <si>
    <t>Q9P031_CCDC59</t>
  </si>
  <si>
    <t>Q9P032_NDUFAF4</t>
  </si>
  <si>
    <t>Q9P035_PTPLAD1</t>
  </si>
  <si>
    <t>Q9P0J7_KCMF1</t>
  </si>
  <si>
    <t>Q9P0K7-3_RAI14</t>
  </si>
  <si>
    <t>Q9P0L0_VAPA</t>
  </si>
  <si>
    <t>Q9P0N9-3_TBC1D7</t>
  </si>
  <si>
    <t>Q9P0P8_C6orf203</t>
  </si>
  <si>
    <t>Q9P0R6_GSKIP</t>
  </si>
  <si>
    <t>Q9P0U4_CXXC1</t>
  </si>
  <si>
    <t>Q9P0W2_HMG20B</t>
  </si>
  <si>
    <t>Q9P107_GMIP</t>
  </si>
  <si>
    <t>Q9P1F3_ABRACL</t>
  </si>
  <si>
    <t>Q9P1Q0-3_VPS54</t>
  </si>
  <si>
    <t>Q9P1U0_ZNRD1</t>
  </si>
  <si>
    <t>Q9P1U1_ACTR3B</t>
  </si>
  <si>
    <t>Q9P1Z2-2_CALCOCO1</t>
  </si>
  <si>
    <t>Q9P206-2_KIAA1522</t>
  </si>
  <si>
    <t>Q9P209_CEP72</t>
  </si>
  <si>
    <t>Q9P215_POGK</t>
  </si>
  <si>
    <t>Q9P219_CCDC88C</t>
  </si>
  <si>
    <t>Q9P244_LRFN1</t>
  </si>
  <si>
    <t>Q9P246_STIM2</t>
  </si>
  <si>
    <t>Q9P253_VPS18</t>
  </si>
  <si>
    <t>Q9P258_RCC2</t>
  </si>
  <si>
    <t>Q9P260_KIAA1468</t>
  </si>
  <si>
    <t>Q9P260-2_KIAA1468</t>
  </si>
  <si>
    <t>Q9P265_DIP2B</t>
  </si>
  <si>
    <t>Q9P270_SLAIN2</t>
  </si>
  <si>
    <t>Q9P275_USP36</t>
  </si>
  <si>
    <t>Q9P287_BCCIP</t>
  </si>
  <si>
    <t>Q9P287-2_BCCIP</t>
  </si>
  <si>
    <t>Q9P289_MST4</t>
  </si>
  <si>
    <t>Q9P2B4_CTTNBP2NL</t>
  </si>
  <si>
    <t>Q9P2B7-2_KIAA1430</t>
  </si>
  <si>
    <t>Q9P2D1_CHD7</t>
  </si>
  <si>
    <t>Q9P2D3_HEATR5B</t>
  </si>
  <si>
    <t>Q9P2D6-3_FAM135A</t>
  </si>
  <si>
    <t>Q9P2E3_ZNFX1</t>
  </si>
  <si>
    <t>Q9P2E9_RRBP1</t>
  </si>
  <si>
    <t>Q9P2G1_ANKIB1</t>
  </si>
  <si>
    <t>Q9P2I0_CPSF2</t>
  </si>
  <si>
    <t>Q9P2J5_LARS</t>
  </si>
  <si>
    <t>Q9P2K3_RCOR3</t>
  </si>
  <si>
    <t>Q9P2K5-2_MYEF2</t>
  </si>
  <si>
    <t>Q9P2K6_KLHL42</t>
  </si>
  <si>
    <t>Q9P2K8-2_EIF2AK4</t>
  </si>
  <si>
    <t>Q9P2M4_TBC1D14</t>
  </si>
  <si>
    <t>Q9P2N2-3_ARHGAP28</t>
  </si>
  <si>
    <t>Q9P2N5_RBM27</t>
  </si>
  <si>
    <t>Q9P2N6-3_KANSL3</t>
  </si>
  <si>
    <t>Q9P2P1_NYNRIN</t>
  </si>
  <si>
    <t>Q9P2P5-2_HECW2</t>
  </si>
  <si>
    <t>Q9P2R3_ANKFY1</t>
  </si>
  <si>
    <t>Q9P2R6_RERE</t>
  </si>
  <si>
    <t>Q9P2S5_WRAP73</t>
  </si>
  <si>
    <t>Q9P2W1_PSMC3IP</t>
  </si>
  <si>
    <t>Q9P2X0_DPM3</t>
  </si>
  <si>
    <t>Q9P2X3_IMPACT</t>
  </si>
  <si>
    <t>Q9P2Y5_UVRAG</t>
  </si>
  <si>
    <t>Q9UBB4_ATXN10</t>
  </si>
  <si>
    <t>Q9UBB5_MBD2</t>
  </si>
  <si>
    <t>Q9UBB6_NCDN</t>
  </si>
  <si>
    <t>Q9UBB9_TFIP11</t>
  </si>
  <si>
    <t>Q9UBC2-2_EPS15L1</t>
  </si>
  <si>
    <t>Q9UBC3-6_DNMT3B</t>
  </si>
  <si>
    <t>Q9UBD5_ORC3</t>
  </si>
  <si>
    <t>Q9UBE0_SAE1</t>
  </si>
  <si>
    <t>Q9UBF1_MAGEC2</t>
  </si>
  <si>
    <t>Q9UBF2_COPG2</t>
  </si>
  <si>
    <t>Q9UBF8-2_PI4KB</t>
  </si>
  <si>
    <t>Q9UBG0_MRC2</t>
  </si>
  <si>
    <t>Q9UBI1_COMMD3</t>
  </si>
  <si>
    <t>Q9UBI9_HECA</t>
  </si>
  <si>
    <t>Q9UBK8-2_MTRR</t>
  </si>
  <si>
    <t>Q9UBK9_UXT</t>
  </si>
  <si>
    <t>Q9UBL3-3_ASH2L</t>
  </si>
  <si>
    <t>Q9UBL6-2_CPNE7</t>
  </si>
  <si>
    <t>Q9UBP0-3_SPAST</t>
  </si>
  <si>
    <t>Q9UBP6_METTL1</t>
  </si>
  <si>
    <t>Q9UBQ0_VPS29</t>
  </si>
  <si>
    <t>Q9UBQ7_GRHPR</t>
  </si>
  <si>
    <t>Q9UBR2_CTSZ</t>
  </si>
  <si>
    <t>Q9UBS0_RPS6KB2</t>
  </si>
  <si>
    <t>Q9UBS4_DNAJB11</t>
  </si>
  <si>
    <t>Q9UBS8_RNF14</t>
  </si>
  <si>
    <t>Q9UBT2_UBA2</t>
  </si>
  <si>
    <t>Q9UBT7-3_CTNNAL1</t>
  </si>
  <si>
    <t>Q9UBU6_FAM8A1</t>
  </si>
  <si>
    <t>Q9UBU7_DBF4</t>
  </si>
  <si>
    <t>Q9UBU8-2_MORF4L1</t>
  </si>
  <si>
    <t>Q9UBU9_NXF1</t>
  </si>
  <si>
    <t>Q9UBV8_PEF1</t>
  </si>
  <si>
    <t>Q9UBW7_ZMYM2</t>
  </si>
  <si>
    <t>Q9UBW8_COPS7A</t>
  </si>
  <si>
    <t>Q9UDT6-2_CLIP2</t>
  </si>
  <si>
    <t>Q9UDV7_ZNF282</t>
  </si>
  <si>
    <t>Q9UDY2_TJP2</t>
  </si>
  <si>
    <t>Q9UDY4_DNAJB4</t>
  </si>
  <si>
    <t>Q9UDY8_MALT1</t>
  </si>
  <si>
    <t>Q9UEE9_CFDP1</t>
  </si>
  <si>
    <t>Q9UEG4_ZNF629</t>
  </si>
  <si>
    <t>Q9UER7_DAXX</t>
  </si>
  <si>
    <t>Q9UET6-2_FTSJ1</t>
  </si>
  <si>
    <t>Q9UEU0_VTI1B</t>
  </si>
  <si>
    <t>Q9UEW8_STK39</t>
  </si>
  <si>
    <t>Q9UEY8-2_ADD3</t>
  </si>
  <si>
    <t>Q9UFC0_LRWD1</t>
  </si>
  <si>
    <t>Q9UFG5_C19orf25</t>
  </si>
  <si>
    <t>Q9UFN0_NIPSNAP3A</t>
  </si>
  <si>
    <t>Q9UFW8_CGGBP1</t>
  </si>
  <si>
    <t>Q9UG01_IFT172</t>
  </si>
  <si>
    <t>Q9UG63_ABCF2</t>
  </si>
  <si>
    <t>Q9UGI8_TES</t>
  </si>
  <si>
    <t>Q9UGI8-2_TES</t>
  </si>
  <si>
    <t>Q9UGK8_SERGEF</t>
  </si>
  <si>
    <t>Q9UGL1_KDM5B</t>
  </si>
  <si>
    <t>Q9UGP4_LIMD1</t>
  </si>
  <si>
    <t>Q9UGP8_SEC63</t>
  </si>
  <si>
    <t>Q9UGR2-2_ZC3H7B</t>
  </si>
  <si>
    <t>Q9UGU0-2_TCF20</t>
  </si>
  <si>
    <t>Q9UGU5_HMGXB4</t>
  </si>
  <si>
    <t>Q9UGV2_NDRG3</t>
  </si>
  <si>
    <t>Q9UGY1_NOL12</t>
  </si>
  <si>
    <t>Q9UH62_ARMCX3</t>
  </si>
  <si>
    <t>Q9UH65_SWAP70</t>
  </si>
  <si>
    <t>Q9UH90_FBXO40</t>
  </si>
  <si>
    <t>Q9UH92-2_MLX</t>
  </si>
  <si>
    <t>Q9UHA3_RSL24D1</t>
  </si>
  <si>
    <t>Q9UHA4_LAMTOR3</t>
  </si>
  <si>
    <t>Q9UHB6_LIMA1</t>
  </si>
  <si>
    <t>Q9UHB6-4_LIMA1</t>
  </si>
  <si>
    <t>Q9UHB7_AFF4</t>
  </si>
  <si>
    <t>Q9UHB9_SRP68</t>
  </si>
  <si>
    <t>Q9UHD1_CHORDC1</t>
  </si>
  <si>
    <t>Q9UHD2_TBK1</t>
  </si>
  <si>
    <t>Q9UHD8-7_SEPT9</t>
  </si>
  <si>
    <t>Q9UHD9_UBQLN2</t>
  </si>
  <si>
    <t>Q9UHF1_EGFL7</t>
  </si>
  <si>
    <t>Q9UHI6_DDX20</t>
  </si>
  <si>
    <t>Q9UHJ3-2_SFMBT1</t>
  </si>
  <si>
    <t>Q9UHJ6_SHPK</t>
  </si>
  <si>
    <t>Q9UHK0_NUFIP1</t>
  </si>
  <si>
    <t>Q9UHL4_DPP7</t>
  </si>
  <si>
    <t>Q9UHN1_POLG2</t>
  </si>
  <si>
    <t>Q9UHN6-2_TMEM2</t>
  </si>
  <si>
    <t>Q9UHP3_USP25</t>
  </si>
  <si>
    <t>Q9UHQ1-4_NARF</t>
  </si>
  <si>
    <t>Q9UHR4_BAIAP2L1</t>
  </si>
  <si>
    <t>Q9UHR5_SAP30BP</t>
  </si>
  <si>
    <t>Q9UHR6_ZNHIT2</t>
  </si>
  <si>
    <t>Q9UHV7_MED13</t>
  </si>
  <si>
    <t>Q9UHV9_PFDN2</t>
  </si>
  <si>
    <t>Q9UHW5_GPN3</t>
  </si>
  <si>
    <t>Q9UHX1-2_PUF60</t>
  </si>
  <si>
    <t>Q9UHY1_NRBP1</t>
  </si>
  <si>
    <t>Q9UHY7_ENOPH1</t>
  </si>
  <si>
    <t>Q9UI08_EVL</t>
  </si>
  <si>
    <t>Q9UI10_EIF2B4</t>
  </si>
  <si>
    <t>Q9UI10-3_EIF2B4</t>
  </si>
  <si>
    <t>Q9UI12_ATP6V1H</t>
  </si>
  <si>
    <t>Q9UI26_IPO11</t>
  </si>
  <si>
    <t>Q9UI30_TRMT112</t>
  </si>
  <si>
    <t>Q9UI95_MAD2L2</t>
  </si>
  <si>
    <t>Q9UIA9_XPO7</t>
  </si>
  <si>
    <t>Q9UIC8_LCMT1</t>
  </si>
  <si>
    <t>Q9UID3_VPS51</t>
  </si>
  <si>
    <t>Q9UIG0-2_BAZ1B</t>
  </si>
  <si>
    <t>Q9UII2_ATPIF1</t>
  </si>
  <si>
    <t>Q9UIL1-3_SCOC</t>
  </si>
  <si>
    <t>Q9UIM3_FKBPL</t>
  </si>
  <si>
    <t>Q9UIQ6-3_LNPEP</t>
  </si>
  <si>
    <t>Q9UIU6_SIX4</t>
  </si>
  <si>
    <t>Q9UIV1_CNOT7</t>
  </si>
  <si>
    <t>Q9UJ41-2_RABGEF1</t>
  </si>
  <si>
    <t>Q9UJ68-2_MSRA</t>
  </si>
  <si>
    <t>Q9UJ70_NAGK</t>
  </si>
  <si>
    <t>Q9UJ78-2_ZMYM5</t>
  </si>
  <si>
    <t>Q9UJA5_TRMT6</t>
  </si>
  <si>
    <t>Q9UJC5_SH3BGRL2</t>
  </si>
  <si>
    <t>Q9UJJ2_ZNF280C</t>
  </si>
  <si>
    <t>Q9UJK0_TSR3</t>
  </si>
  <si>
    <t>Q9UJM3_ERRFI1</t>
  </si>
  <si>
    <t>Q9UJN7_ZNF391</t>
  </si>
  <si>
    <t>Q9UJT0_TUBE1</t>
  </si>
  <si>
    <t>Q9UJT2-2_TSKS</t>
  </si>
  <si>
    <t>Q9UJU6_DBNL</t>
  </si>
  <si>
    <t>Q9UJU6-2_DBNL</t>
  </si>
  <si>
    <t>Q9UJV9_DDX41</t>
  </si>
  <si>
    <t>Q9UJW0_DCTN4</t>
  </si>
  <si>
    <t>Q9UJX2-3_CDC23</t>
  </si>
  <si>
    <t>Q9UJX3-2_ANAPC7</t>
  </si>
  <si>
    <t>Q9UJX6_ANAPC2</t>
  </si>
  <si>
    <t>Q9UJY4_GGA2</t>
  </si>
  <si>
    <t>Q9UJY5-4_GGA1</t>
  </si>
  <si>
    <t>Q9UK41_VPS28</t>
  </si>
  <si>
    <t>Q9UK45_LSM7</t>
  </si>
  <si>
    <t>Q9UK53-3_ING1</t>
  </si>
  <si>
    <t>Q9UK59_DBR1</t>
  </si>
  <si>
    <t>Q9UK61-3_FAM208A</t>
  </si>
  <si>
    <t>Q9UK73_FEM1B</t>
  </si>
  <si>
    <t>Q9UK97-3_FBXO9</t>
  </si>
  <si>
    <t>Q9UK99-2_FBXO3</t>
  </si>
  <si>
    <t>Q9UKA4_AKAP11</t>
  </si>
  <si>
    <t>Q9UKA9_PTBP2</t>
  </si>
  <si>
    <t>Q9UKB1-2_FBXW11</t>
  </si>
  <si>
    <t>Q9UKB3_DNAJC12</t>
  </si>
  <si>
    <t>Q9UKD2_MRTO4</t>
  </si>
  <si>
    <t>Q9UKE5_TNIK</t>
  </si>
  <si>
    <t>Q9UKE5-3_TNIK</t>
  </si>
  <si>
    <t>Q9UKE5-4_TNIK</t>
  </si>
  <si>
    <t>Q9UKF6_CPSF3</t>
  </si>
  <si>
    <t>Q9UKG1_APPL1</t>
  </si>
  <si>
    <t>Q9UKI8_TLK1</t>
  </si>
  <si>
    <t>Q9UKJ3_GPATCH8</t>
  </si>
  <si>
    <t>Q9UKK3_PARP4</t>
  </si>
  <si>
    <t>Q9UKL0_RCOR1</t>
  </si>
  <si>
    <t>Q9UKL3_CASP8AP2</t>
  </si>
  <si>
    <t>Q9UKL6_PCTP</t>
  </si>
  <si>
    <t>Q9UKN8_GTF3C4</t>
  </si>
  <si>
    <t>Q9UKS6_PACSIN3</t>
  </si>
  <si>
    <t>Q9UKT4-2_FBXO5</t>
  </si>
  <si>
    <t>Q9UKT5_FBXO4</t>
  </si>
  <si>
    <t>Q9UKT9-7_IKZF3</t>
  </si>
  <si>
    <t>Q9UKU7_ACAD8</t>
  </si>
  <si>
    <t>Q9UKV3_ACIN1</t>
  </si>
  <si>
    <t>Q9UKV3-5_ACIN1</t>
  </si>
  <si>
    <t>Q9UKV8_AGO2</t>
  </si>
  <si>
    <t>Q9UKX7_NUP50</t>
  </si>
  <si>
    <t>Q9UKY1_ZHX1</t>
  </si>
  <si>
    <t>Q9UKY7_CDV3</t>
  </si>
  <si>
    <t>Q9UKZ1_CNOT11</t>
  </si>
  <si>
    <t>Q9UL15_BAG5</t>
  </si>
  <si>
    <t>Q9UL25_RAB21</t>
  </si>
  <si>
    <t>Q9UL26_RAB22A</t>
  </si>
  <si>
    <t>Q9UL33-2_TRAPPC2L</t>
  </si>
  <si>
    <t>Q9UL46_PSME2</t>
  </si>
  <si>
    <t>Q9UL54-2_TAOK2</t>
  </si>
  <si>
    <t>Q9UL63_MKLN1</t>
  </si>
  <si>
    <t>Q9ULA0_DNPEP</t>
  </si>
  <si>
    <t>Q9ULC3_RAB23</t>
  </si>
  <si>
    <t>Q9ULC4_MCTS1</t>
  </si>
  <si>
    <t>Q9ULD2-4_MTUS1</t>
  </si>
  <si>
    <t>Q9ULD5_ZNF777</t>
  </si>
  <si>
    <t>Q9ULD9_ZNF608</t>
  </si>
  <si>
    <t>Q9ULE0_WWC3</t>
  </si>
  <si>
    <t>Q9ULE6_PALD1</t>
  </si>
  <si>
    <t>Q9ULF5_SLC39A10</t>
  </si>
  <si>
    <t>Q9ULH0-5_KIDINS220</t>
  </si>
  <si>
    <t>Q9ULH1_ASAP1</t>
  </si>
  <si>
    <t>Q9ULH7-4_MKL2</t>
  </si>
  <si>
    <t>Q9ULJ3-2_ZBTB21</t>
  </si>
  <si>
    <t>Q9ULJ6_ZMIZ1</t>
  </si>
  <si>
    <t>Q9ULK2_ATXN7L1</t>
  </si>
  <si>
    <t>Q9ULK4-4_MED23</t>
  </si>
  <si>
    <t>Q9ULL5-3_PRR12</t>
  </si>
  <si>
    <t>Q9ULM3_YEATS2</t>
  </si>
  <si>
    <t>Q9ULM6_CNOT6</t>
  </si>
  <si>
    <t>Q9ULP9-2_TBC1D24</t>
  </si>
  <si>
    <t>Q9ULR0_ISY1</t>
  </si>
  <si>
    <t>Q9ULR3_PPM1H</t>
  </si>
  <si>
    <t>Q9ULT8_HECTD1</t>
  </si>
  <si>
    <t>Q9ULU4-12_ZMYND8</t>
  </si>
  <si>
    <t>Q9ULV3-5_CIZ1</t>
  </si>
  <si>
    <t>Q9ULV4_CORO1C</t>
  </si>
  <si>
    <t>Q9ULW0_TPX2</t>
  </si>
  <si>
    <t>Q9ULW3_ABT1</t>
  </si>
  <si>
    <t>Q9ULX3_NOB1</t>
  </si>
  <si>
    <t>Q9ULX6_AKAP8L</t>
  </si>
  <si>
    <t>Q9ULZ2_STAP1</t>
  </si>
  <si>
    <t>Q9ULZ3_PYCARD</t>
  </si>
  <si>
    <t>Q9ULZ3-2_PYCARD</t>
  </si>
  <si>
    <t>Q9UM13_ANAPC10</t>
  </si>
  <si>
    <t>Q9UM54-6_MYO6</t>
  </si>
  <si>
    <t>Q9UMF0_ICAM5</t>
  </si>
  <si>
    <t>Q9UMN6_WBP7</t>
  </si>
  <si>
    <t>Q9UMR2_DDX19B</t>
  </si>
  <si>
    <t>Q9UMS0-3_NFU1</t>
  </si>
  <si>
    <t>Q9UMS4_PRPF19</t>
  </si>
  <si>
    <t>Q9UMX0_UBQLN1</t>
  </si>
  <si>
    <t>Q9UMX5_NENF</t>
  </si>
  <si>
    <t>Q9UMY1_NOL7</t>
  </si>
  <si>
    <t>Q9UMY4-2_SNX12</t>
  </si>
  <si>
    <t>Q9UMZ2-5_SYNRG</t>
  </si>
  <si>
    <t>Q9UN36-2_NDRG2</t>
  </si>
  <si>
    <t>Q9UN37_VPS4A</t>
  </si>
  <si>
    <t>Q9UN86-2_G3BP2</t>
  </si>
  <si>
    <t>Q9UNE7_STUB1</t>
  </si>
  <si>
    <t>Q9UNF0-2_PACSIN2</t>
  </si>
  <si>
    <t>Q9UNF1_MAGED2</t>
  </si>
  <si>
    <t>Q9UNH5-3_CDC14A</t>
  </si>
  <si>
    <t>Q9UNH7_SNX6</t>
  </si>
  <si>
    <t>Q9UNL4-8_ING4</t>
  </si>
  <si>
    <t>Q9UNM6_PSMD13</t>
  </si>
  <si>
    <t>Q9UNN5_FAF1</t>
  </si>
  <si>
    <t>Q9UNN8_PROCR</t>
  </si>
  <si>
    <t>Q9UNP9_PPIE</t>
  </si>
  <si>
    <t>Q9UNQ2_DIMT1</t>
  </si>
  <si>
    <t>Q9UNS1-2_TIMELESS</t>
  </si>
  <si>
    <t>Q9UNS2_COPS3</t>
  </si>
  <si>
    <t>Q9UNW1_MINPP1</t>
  </si>
  <si>
    <t>Q9UNX4_WDR3</t>
  </si>
  <si>
    <t>Q9UNY4-2_TTF2</t>
  </si>
  <si>
    <t>Q9UNZ2_NSFL1C</t>
  </si>
  <si>
    <t>Q9UNZ5_C19orf53</t>
  </si>
  <si>
    <t>Q9UP83_COG5</t>
  </si>
  <si>
    <t>Q9UPA5_BSN</t>
  </si>
  <si>
    <t>Q9UPM8_AP4E1</t>
  </si>
  <si>
    <t>Q9UPN3_MACF1</t>
  </si>
  <si>
    <t>Q9UPN4-3_AZI1</t>
  </si>
  <si>
    <t>Q9UPN6_SCAF8</t>
  </si>
  <si>
    <t>Q9UPN7_PPP6R1</t>
  </si>
  <si>
    <t>Q9UPN9_TRIM33</t>
  </si>
  <si>
    <t>Q9UPP5-2_KIAA1107</t>
  </si>
  <si>
    <t>Q9UPQ3-2_AGAP1</t>
  </si>
  <si>
    <t>Q9UPQ9-1_TNRC6B</t>
  </si>
  <si>
    <t>Q9UPR0_PLCL2</t>
  </si>
  <si>
    <t>Q9UPR3_SMG5</t>
  </si>
  <si>
    <t>Q9UPS6_SETD1B</t>
  </si>
  <si>
    <t>Q9UPT5-2_EXOC7</t>
  </si>
  <si>
    <t>Q9UPT8_ZC3H4</t>
  </si>
  <si>
    <t>Q9UPT9_USP22</t>
  </si>
  <si>
    <t>Q9UPU5_USP24</t>
  </si>
  <si>
    <t>Q9UPU7_TBC1D2B</t>
  </si>
  <si>
    <t>Q9UPV0-2_CEP164</t>
  </si>
  <si>
    <t>Q9UPW5_AGTPBP1</t>
  </si>
  <si>
    <t>Q9UPY3_DICER1</t>
  </si>
  <si>
    <t>Q9UPY8-2_MAPRE3</t>
  </si>
  <si>
    <t>Q9UPZ3-2_HPS5</t>
  </si>
  <si>
    <t>Q9UQ13-2_SHOC2</t>
  </si>
  <si>
    <t>Q9UQ35_SRRM2</t>
  </si>
  <si>
    <t>Q9UQ80_PA2G4</t>
  </si>
  <si>
    <t>Q9UQ84-4_EXO1</t>
  </si>
  <si>
    <t>Q9UQB8-3_BAIAP2</t>
  </si>
  <si>
    <t>Q9UQC2-2_GAB2</t>
  </si>
  <si>
    <t>Q9UQE7_SMC3</t>
  </si>
  <si>
    <t>Q9UQL6_HDAC5</t>
  </si>
  <si>
    <t>Q9UQQ2_SH2B3</t>
  </si>
  <si>
    <t>Q9UQR0_SCML2</t>
  </si>
  <si>
    <t>Q9UQR1_ZNF148</t>
  </si>
  <si>
    <t>Q9Y217_MTMR6</t>
  </si>
  <si>
    <t>Q9Y219_JAG2</t>
  </si>
  <si>
    <t>Q9Y221-2_NIP7</t>
  </si>
  <si>
    <t>Q9Y222-5_DMTF1</t>
  </si>
  <si>
    <t>Q9Y223_GNE</t>
  </si>
  <si>
    <t>Q9Y224_C14orf166</t>
  </si>
  <si>
    <t>Q9Y230_RUVBL2</t>
  </si>
  <si>
    <t>Q9Y232-2_CDYL</t>
  </si>
  <si>
    <t>Q9Y232-3_CDYL</t>
  </si>
  <si>
    <t>Q9Y237_PIN4</t>
  </si>
  <si>
    <t>Q9Y244_POMP</t>
  </si>
  <si>
    <t>Q9Y248_GINS2</t>
  </si>
  <si>
    <t>Q9Y259_CHKB</t>
  </si>
  <si>
    <t>Q9Y262_EIF3L</t>
  </si>
  <si>
    <t>Q9Y263_PLAA</t>
  </si>
  <si>
    <t>Q9Y265_RUVBL1</t>
  </si>
  <si>
    <t>Q9Y266_NUDC</t>
  </si>
  <si>
    <t>Q9Y277_VDAC3</t>
  </si>
  <si>
    <t>Q9Y281-3_CFL2</t>
  </si>
  <si>
    <t>Q9Y285_FARSA</t>
  </si>
  <si>
    <t>Q9Y289_SLC5A6</t>
  </si>
  <si>
    <t>Q9Y294_ASF1A</t>
  </si>
  <si>
    <t>Q9Y295_DRG1</t>
  </si>
  <si>
    <t>Q9Y296_TRAPPC4</t>
  </si>
  <si>
    <t>Q9Y2A7_NCKAP1</t>
  </si>
  <si>
    <t>Q9Y2B0_CNPY2</t>
  </si>
  <si>
    <t>Q9Y2D4-2_EXOC6B</t>
  </si>
  <si>
    <t>Q9Y2F5_KIAA0947</t>
  </si>
  <si>
    <t>Q9Y2G2-4_CARD8</t>
  </si>
  <si>
    <t>Q9Y2H0-3_DLGAP4</t>
  </si>
  <si>
    <t>Q9Y2H1_STK38L</t>
  </si>
  <si>
    <t>Q9Y2H2_INPP5F</t>
  </si>
  <si>
    <t>Q9Y2H5_PLEKHA6</t>
  </si>
  <si>
    <t>Q9Y2I1_NISCH</t>
  </si>
  <si>
    <t>Q9Y2I7_PIKFYVE</t>
  </si>
  <si>
    <t>Q9Y2I8_WDR37</t>
  </si>
  <si>
    <t>Q9Y2J2-2_EPB41L3</t>
  </si>
  <si>
    <t>Q9Y2K2_SIK3</t>
  </si>
  <si>
    <t>Q9Y2K7_KDM2A</t>
  </si>
  <si>
    <t>Q9Y2L1_DIS3</t>
  </si>
  <si>
    <t>Q9Y2L9-2_LRCH1</t>
  </si>
  <si>
    <t>Q9Y2P8_RCL1</t>
  </si>
  <si>
    <t>Q9Y2Q3_GSTK1</t>
  </si>
  <si>
    <t>Q9Y2Q5_LAMTOR2</t>
  </si>
  <si>
    <t>Q9Y2R4_DDX52</t>
  </si>
  <si>
    <t>Q9Y2S0_POLR1D</t>
  </si>
  <si>
    <t>Q9Y2S2-2_CRYL1</t>
  </si>
  <si>
    <t>Q9Y2S6_TMA7</t>
  </si>
  <si>
    <t>Q9Y2S7_POLDIP2</t>
  </si>
  <si>
    <t>Q9Y2T2_AP3M1</t>
  </si>
  <si>
    <t>Q9Y2T7_YBX2</t>
  </si>
  <si>
    <t>Q9Y2U5_MAP3K2</t>
  </si>
  <si>
    <t>Q9Y2U8_LEMD3</t>
  </si>
  <si>
    <t>Q9Y2V0-2_C15orf41</t>
  </si>
  <si>
    <t>Q9Y2V2_CARHSP1</t>
  </si>
  <si>
    <t>Q9Y2V7_COG6</t>
  </si>
  <si>
    <t>Q9Y2W1_THRAP3</t>
  </si>
  <si>
    <t>Q9Y2X0-2_MED16</t>
  </si>
  <si>
    <t>Q9Y2X3_NOP58</t>
  </si>
  <si>
    <t>Q9Y2X7_GIT1</t>
  </si>
  <si>
    <t>Q9Y2Z0_SUGT1</t>
  </si>
  <si>
    <t>Q9Y2Z0-2_SUGT1</t>
  </si>
  <si>
    <t>Q9Y2Z2-5_MTO1</t>
  </si>
  <si>
    <t>Q9Y2Z4_YARS2</t>
  </si>
  <si>
    <t>Q9Y303_AMDHD2</t>
  </si>
  <si>
    <t>Q9Y303-2_AMDHD2</t>
  </si>
  <si>
    <t>Q9Y305-3_ACOT9</t>
  </si>
  <si>
    <t>Q9Y312_AAR2</t>
  </si>
  <si>
    <t>Q9Y314_NOSIP</t>
  </si>
  <si>
    <t>Q9Y315_DERA</t>
  </si>
  <si>
    <t>Q9Y316_MEMO1</t>
  </si>
  <si>
    <t>Q9Y330_ZBTB12</t>
  </si>
  <si>
    <t>Q9Y333_LSM2</t>
  </si>
  <si>
    <t>Q9Y343-2_SNX24</t>
  </si>
  <si>
    <t>Q9Y371_SH3GLB1</t>
  </si>
  <si>
    <t>Q9Y376_CAB39</t>
  </si>
  <si>
    <t>Q9Y383_LUC7L2</t>
  </si>
  <si>
    <t>Q9Y385_UBE2J1</t>
  </si>
  <si>
    <t>Q9Y388_RBMX2</t>
  </si>
  <si>
    <t>Q9Y3A2_UTP11L</t>
  </si>
  <si>
    <t>Q9Y3A3-2_MOB4</t>
  </si>
  <si>
    <t>Q9Y3A5_SBDS</t>
  </si>
  <si>
    <t>Q9Y3B2_EXOSC1</t>
  </si>
  <si>
    <t>Q9Y3B3-2_TMED7</t>
  </si>
  <si>
    <t>Q9Y3B4_SF3B14</t>
  </si>
  <si>
    <t>Q9Y3B9_RRP15</t>
  </si>
  <si>
    <t>Q9Y3C1_NOP16</t>
  </si>
  <si>
    <t>Q9Y3C4-2_TPRKB</t>
  </si>
  <si>
    <t>Q9Y3C6_PPIL1</t>
  </si>
  <si>
    <t>Q9Y3C8_UFC1</t>
  </si>
  <si>
    <t>Q9Y3D0_FAM96B</t>
  </si>
  <si>
    <t>Q9Y3D2_MSRB2</t>
  </si>
  <si>
    <t>Q9Y3D6_FIS1</t>
  </si>
  <si>
    <t>Q9Y3D8_TAF9</t>
  </si>
  <si>
    <t>Q9Y3D9_MRPS23</t>
  </si>
  <si>
    <t>Q9Y3E1_HDGFRP3</t>
  </si>
  <si>
    <t>Q9Y3E2_BOLA1</t>
  </si>
  <si>
    <t>Q9Y3E5_PTRH2</t>
  </si>
  <si>
    <t>Q9Y3E7_CHMP3</t>
  </si>
  <si>
    <t>Q9Y3F4_STRAP</t>
  </si>
  <si>
    <t>Q9Y3I0_C22orf28</t>
  </si>
  <si>
    <t>Q9Y3I1_FBXO7</t>
  </si>
  <si>
    <t>Q9Y3L3_SH3BP1</t>
  </si>
  <si>
    <t>Q9Y3P9_RABGAP1</t>
  </si>
  <si>
    <t>Q9Y3P9-2_RABGAP1</t>
  </si>
  <si>
    <t>Q9Y3Q8_TSC22D4</t>
  </si>
  <si>
    <t>Q9Y3R5-2_DOPEY2</t>
  </si>
  <si>
    <t>Q9Y3S2_ZNF330</t>
  </si>
  <si>
    <t>Q9Y3T6_R3HCC1</t>
  </si>
  <si>
    <t>Q9Y3T9_NOC2L</t>
  </si>
  <si>
    <t>Q9Y3U8_RPL36</t>
  </si>
  <si>
    <t>Q9Y3X0_CCDC9</t>
  </si>
  <si>
    <t>Q9Y3Y2-4_CHTOP</t>
  </si>
  <si>
    <t>Q9Y3Z3-4_SAMHD1</t>
  </si>
  <si>
    <t>Q9Y426-2_C2CD2</t>
  </si>
  <si>
    <t>Q9Y446_PKP3</t>
  </si>
  <si>
    <t>Q9Y448_KNSTRN</t>
  </si>
  <si>
    <t>Q9Y450_HBS1L</t>
  </si>
  <si>
    <t>Q9Y450-2_HBS1L</t>
  </si>
  <si>
    <t>Q9Y478_PRKAB1</t>
  </si>
  <si>
    <t>Q9Y483-3_MTF2</t>
  </si>
  <si>
    <t>Q9Y485_DMXL1</t>
  </si>
  <si>
    <t>Q9Y490_TLN1</t>
  </si>
  <si>
    <t>Q9Y496_KIF3A</t>
  </si>
  <si>
    <t>Q9Y4A5-2_TRRAP</t>
  </si>
  <si>
    <t>Q9Y4B4_RAD54L2</t>
  </si>
  <si>
    <t>Q9Y4B6_VPRBP</t>
  </si>
  <si>
    <t>Q9Y4C1_KDM3A</t>
  </si>
  <si>
    <t>Q9Y4C2-2_FAM115A</t>
  </si>
  <si>
    <t>Q9Y4E5-2_ZNF451</t>
  </si>
  <si>
    <t>Q9Y4E5-4_ZNF451</t>
  </si>
  <si>
    <t>Q9Y4E8_USP15</t>
  </si>
  <si>
    <t>Q9Y4F3-3_KIAA0430</t>
  </si>
  <si>
    <t>Q9Y4G6_TLN2</t>
  </si>
  <si>
    <t>Q9Y4G8_RAPGEF2</t>
  </si>
  <si>
    <t>Q9Y4H2_IRS2</t>
  </si>
  <si>
    <t>Q9Y4I1-2_MYO5A</t>
  </si>
  <si>
    <t>Q9Y4I5_MTL5</t>
  </si>
  <si>
    <t>Q9Y4K1_AIM1</t>
  </si>
  <si>
    <t>Q9Y4K3_TRAF6</t>
  </si>
  <si>
    <t>Q9Y4K4_MAP4K5</t>
  </si>
  <si>
    <t>Q9Y4L1_HYOU1</t>
  </si>
  <si>
    <t>Q9Y4P1-6_ATG4B</t>
  </si>
  <si>
    <t>Q9Y4P8-3_WIPI2</t>
  </si>
  <si>
    <t>Q9Y4R8_TELO2</t>
  </si>
  <si>
    <t>Q9Y4U1_MMACHC</t>
  </si>
  <si>
    <t>Q9Y4W2-2_LAS1L</t>
  </si>
  <si>
    <t>Q9Y4X0_AMMECR1</t>
  </si>
  <si>
    <t>Q9Y4X5_ARIH1</t>
  </si>
  <si>
    <t>Q9Y4Z0_LSM4</t>
  </si>
  <si>
    <t>Q9Y508_RNF114</t>
  </si>
  <si>
    <t>Q9Y520-4_PRRC2C</t>
  </si>
  <si>
    <t>Q9Y535_POLR3H</t>
  </si>
  <si>
    <t>Q9Y546_LRRC42</t>
  </si>
  <si>
    <t>Q9Y547_HSPB11</t>
  </si>
  <si>
    <t>Q9Y570_PPME1</t>
  </si>
  <si>
    <t>Q9Y580_RBM7</t>
  </si>
  <si>
    <t>Q9Y592-2_CCDC41</t>
  </si>
  <si>
    <t>Q9Y597-2_KCTD3</t>
  </si>
  <si>
    <t>Q9Y5A6_ZSCAN21</t>
  </si>
  <si>
    <t>Q9Y5A7-2_NUB1</t>
  </si>
  <si>
    <t>Q9Y5A9_YTHDF2</t>
  </si>
  <si>
    <t>Q9Y5B0_CTDP1</t>
  </si>
  <si>
    <t>Q9Y5B6_PAXBP1</t>
  </si>
  <si>
    <t>Q9Y5B8_NME7</t>
  </si>
  <si>
    <t>Q9Y5B9_SUPT16H</t>
  </si>
  <si>
    <t>Q9Y5J1_UTP18</t>
  </si>
  <si>
    <t>Q9Y5J6_TIMM10B</t>
  </si>
  <si>
    <t>Q9Y5J7_TIMM9</t>
  </si>
  <si>
    <t>Q9Y5J9_TIMM8B</t>
  </si>
  <si>
    <t>Q9Y5K5-2_UCHL5</t>
  </si>
  <si>
    <t>Q9Y5K6_CD2AP</t>
  </si>
  <si>
    <t>Q9Y5K8_ATP6V1D</t>
  </si>
  <si>
    <t>Q9Y5L0_TNPO3</t>
  </si>
  <si>
    <t>Q9Y5L4_TIMM13</t>
  </si>
  <si>
    <t>Q9Y5M8_SRPRB</t>
  </si>
  <si>
    <t>Q9Y5N5_N6AMT1</t>
  </si>
  <si>
    <t>Q9Y5P4-2_COL4A3BP</t>
  </si>
  <si>
    <t>Q9Y5P6_GMPPB</t>
  </si>
  <si>
    <t>Q9Y5Q8_GTF3C5</t>
  </si>
  <si>
    <t>Q9Y5Q9_GTF3C3</t>
  </si>
  <si>
    <t>Q9Y5R8_TRAPPC1</t>
  </si>
  <si>
    <t>Q9Y5S1_TRPV2</t>
  </si>
  <si>
    <t>Q9Y5S2_CDC42BPB</t>
  </si>
  <si>
    <t>Q9Y5S9_RBM8A</t>
  </si>
  <si>
    <t>Q9Y5U2-2_TSSC4</t>
  </si>
  <si>
    <t>Q9Y5X1_SNX9</t>
  </si>
  <si>
    <t>Q9Y5X2_SNX8</t>
  </si>
  <si>
    <t>Q9Y5X3_SNX5</t>
  </si>
  <si>
    <t>Q9Y5Y2_NUBP2</t>
  </si>
  <si>
    <t>Q9Y5Z4_HEBP2</t>
  </si>
  <si>
    <t>Q9Y605_MRFAP1</t>
  </si>
  <si>
    <t>Q9Y608-4_LRRFIP2</t>
  </si>
  <si>
    <t>Q9Y613_FHOD1</t>
  </si>
  <si>
    <t>Q9Y617_PSAT1</t>
  </si>
  <si>
    <t>Q9Y646_CPQ</t>
  </si>
  <si>
    <t>Q9Y657_SPIN1</t>
  </si>
  <si>
    <t>Q9Y666-2_SLC12A7</t>
  </si>
  <si>
    <t>Q9Y678_COPG1</t>
  </si>
  <si>
    <t>Q9Y679_AUP1</t>
  </si>
  <si>
    <t>Q9Y680-3_FKBP7</t>
  </si>
  <si>
    <t>Q9Y692-2_GMEB1</t>
  </si>
  <si>
    <t>Q9Y696_CLIC4</t>
  </si>
  <si>
    <t>Q9Y697-2_NFS1</t>
  </si>
  <si>
    <t>Q9Y6A4_C16orf80</t>
  </si>
  <si>
    <t>Q9Y6A5_TACC3</t>
  </si>
  <si>
    <t>Q9Y6B6_SAR1B</t>
  </si>
  <si>
    <t>Q9Y6B7_AP4B1</t>
  </si>
  <si>
    <t>Q9Y6C2_EMILIN1</t>
  </si>
  <si>
    <t>Q9Y6C9_MTCH2</t>
  </si>
  <si>
    <t>Q9Y6D5_ARFGEF2</t>
  </si>
  <si>
    <t>Q9Y6D6_ARFGEF1</t>
  </si>
  <si>
    <t>Q9Y6D9_MAD1L1</t>
  </si>
  <si>
    <t>Q9Y6E0-2_STK24</t>
  </si>
  <si>
    <t>Q9Y6G5_COMMD10</t>
  </si>
  <si>
    <t>Q9Y6G9_DYNC1LI1</t>
  </si>
  <si>
    <t>Q9Y6H1_CHCHD2</t>
  </si>
  <si>
    <t>Q9Y6I3_EPN1</t>
  </si>
  <si>
    <t>Q9Y6I4_USP3</t>
  </si>
  <si>
    <t>Q9Y6I9_TEX264</t>
  </si>
  <si>
    <t>Q9Y6J9_TAF6L</t>
  </si>
  <si>
    <t>Q9Y6K1_DNMT3A</t>
  </si>
  <si>
    <t>Q9Y6K9_IKBKG</t>
  </si>
  <si>
    <t>Q9Y6M1-1_IGF2BP2</t>
  </si>
  <si>
    <t>Q9Y6M5_SLC30A1</t>
  </si>
  <si>
    <t>Q9Y6M7-6_SLC4A7</t>
  </si>
  <si>
    <t>Q9Y6P5-2_SESN1</t>
  </si>
  <si>
    <t>Q9Y6Q2_STON1</t>
  </si>
  <si>
    <t>Q9Y6Q9-5_NCOA3</t>
  </si>
  <si>
    <t>Q9Y6R0_NUMBL</t>
  </si>
  <si>
    <t>Q9Y6V0-2_PCLO</t>
  </si>
  <si>
    <t>Q9Y6V7_DDX49</t>
  </si>
  <si>
    <t>Q9Y6W3_CAPN7</t>
  </si>
  <si>
    <t>Q9Y6W5_WASF2</t>
  </si>
  <si>
    <t>Q9Y6X8_ZHX2</t>
  </si>
  <si>
    <t>Q9Y6X9_MORC2</t>
  </si>
  <si>
    <t>R4GMN1_MOSPD2</t>
  </si>
  <si>
    <t>R4GMR5_PSMD8</t>
  </si>
  <si>
    <t>R4GMX3_BMI1</t>
  </si>
  <si>
    <t>R4GN55_YTHDF3</t>
  </si>
  <si>
    <t>R4GNB1_AASDH</t>
  </si>
  <si>
    <t>R4GNB2_DENND4C</t>
  </si>
  <si>
    <t>R4GND1_UBE2E3</t>
  </si>
  <si>
    <t>R4GNH2_FBXO2</t>
  </si>
  <si>
    <t>R4GNH3_PSMC3</t>
  </si>
  <si>
    <t>R4GNJ5_ACD</t>
  </si>
  <si>
    <t>Melting_Curves/meltCurve_A0AVK6_E2F8.pdf</t>
  </si>
  <si>
    <t>Melting_Curves/meltCurve_A0AVT1_UBA6.pdf</t>
  </si>
  <si>
    <t>Melting_Curves/meltCurve_A0JLT2_2_MED19.pdf</t>
  </si>
  <si>
    <t>Melting_Curves/meltCurve_A0JNW5_UHRF1BP1L.pdf</t>
  </si>
  <si>
    <t>Melting_Curves/meltCurve_A0MZ66_KIAA1598.pdf</t>
  </si>
  <si>
    <t>Melting_Curves/meltCurve_A2AE50_TRIM26.pdf</t>
  </si>
  <si>
    <t>Melting_Curves/meltCurve_A2RRP1_NBAS.pdf</t>
  </si>
  <si>
    <t>Melting_Curves/meltCurve_A2RUC4_TYW5.pdf</t>
  </si>
  <si>
    <t>Melting_Curves/meltCurve_A2VDF0_2_FUOM.pdf</t>
  </si>
  <si>
    <t>Melting_Curves/meltCurve_A2VDJ0_2_KIAA0922.pdf</t>
  </si>
  <si>
    <t>Melting_Curves/meltCurve_A3KMH1_2_VWA8.pdf</t>
  </si>
  <si>
    <t>Melting_Curves/meltCurve_A3KN83_2_SBNO1.pdf</t>
  </si>
  <si>
    <t>Melting_Curves/meltCurve_A4D126_2_ISPD.pdf</t>
  </si>
  <si>
    <t>Melting_Curves/meltCurve_A4D2B0_MBLAC1.pdf</t>
  </si>
  <si>
    <t>Melting_Curves/meltCurve_A5PL33_3_KRBA1.pdf</t>
  </si>
  <si>
    <t>Melting_Curves/meltCurve_A5PLN9_2_TRAPPC13.pdf</t>
  </si>
  <si>
    <t>Melting_Curves/meltCurve_A5YKK6_2_CNOT1.pdf</t>
  </si>
  <si>
    <t>Melting_Curves/meltCurve_A6H8Y1_7_BDP1.pdf</t>
  </si>
  <si>
    <t>Melting_Curves/meltCurve_A6NDG6_PGP.pdf</t>
  </si>
  <si>
    <t>Melting_Curves/meltCurve_A6NDU8_C5orf51.pdf</t>
  </si>
  <si>
    <t>Melting_Curves/meltCurve_A6NE92_ZNF275.pdf</t>
  </si>
  <si>
    <t>Melting_Curves/meltCurve_A6NED2_RCCD1.pdf</t>
  </si>
  <si>
    <t>Melting_Curves/meltCurve_A6NF31_OFD1.pdf</t>
  </si>
  <si>
    <t>Melting_Curves/meltCurve_A6NF48_ZNF281.pdf</t>
  </si>
  <si>
    <t>Melting_Curves/meltCurve_A6NFI3_ZNF316.pdf</t>
  </si>
  <si>
    <t>Melting_Curves/meltCurve_A6NFX8_NUDT5.pdf</t>
  </si>
  <si>
    <t>Melting_Curves/meltCurve_A6NFY7_SDHAF1.pdf</t>
  </si>
  <si>
    <t>Melting_Curves/meltCurve_A6NG32_CHMP1A.pdf</t>
  </si>
  <si>
    <t>Melting_Curves/meltCurve_A6NG79_PRCC.pdf</t>
  </si>
  <si>
    <t>Melting_Curves/meltCurve_A6NGB9_WIPF3.pdf</t>
  </si>
  <si>
    <t>Melting_Curves/meltCurve_A6NGH7_CCDC160.pdf</t>
  </si>
  <si>
    <t>Melting_Curves/meltCurve_A6NGP5_HN1L.pdf</t>
  </si>
  <si>
    <t>Melting_Curves/meltCurve_A6NGQ3_OBSCN.pdf</t>
  </si>
  <si>
    <t>Melting_Curves/meltCurve_A6NGU5_GGT3P.pdf</t>
  </si>
  <si>
    <t>Melting_Curves/meltCurve_A6NHF2_BTD.pdf</t>
  </si>
  <si>
    <t>Melting_Curves/meltCurve_A6NHL2_2_TUBAL3.pdf</t>
  </si>
  <si>
    <t>Melting_Curves/meltCurve_A6NHR9_SMCHD1.pdf</t>
  </si>
  <si>
    <t>Melting_Curves/meltCurve_A6NHX0_GATSL2.pdf</t>
  </si>
  <si>
    <t>Melting_Curves/meltCurve_A6NIH7_UNC119B.pdf</t>
  </si>
  <si>
    <t>Melting_Curves/meltCurve_A6NJX6_CHCHD1.pdf</t>
  </si>
  <si>
    <t>Melting_Curves/meltCurve_A6NJZ9_NOC3L.pdf</t>
  </si>
  <si>
    <t>Melting_Curves/meltCurve_A6NKD9_CCDC85C.pdf</t>
  </si>
  <si>
    <t>Melting_Curves/meltCurve_A6NML8_DIAPH2.pdf</t>
  </si>
  <si>
    <t>Melting_Curves/meltCurve_A6NN80_ANXA6.pdf</t>
  </si>
  <si>
    <t>Melting_Curves/meltCurve_A6NNY8_USP27X.pdf</t>
  </si>
  <si>
    <t>Melting_Curves/meltCurve_A6QL64_ANKRD36.pdf</t>
  </si>
  <si>
    <t>Melting_Curves/meltCurve_A6ZKI3_FAM127A.pdf</t>
  </si>
  <si>
    <t>Melting_Curves/meltCurve_A7MCY6_TBKBP1.pdf</t>
  </si>
  <si>
    <t>Melting_Curves/meltCurve_A8CG34_2_POM121C.pdf</t>
  </si>
  <si>
    <t>Melting_Curves/meltCurve_A8CTY3_ITSN1.pdf</t>
  </si>
  <si>
    <t>Melting_Curves/meltCurve_A8K2U1_EOGT.pdf</t>
  </si>
  <si>
    <t>Melting_Curves/meltCurve_A8K8P3_5_SFI1.pdf</t>
  </si>
  <si>
    <t>Melting_Curves/meltCurve_A8MPS7_YDJC.pdf</t>
  </si>
  <si>
    <t>Melting_Curves/meltCurve_A8MPV3_.pdf</t>
  </si>
  <si>
    <t>Melting_Curves/meltCurve_A8MQ14_ZNF850.pdf</t>
  </si>
  <si>
    <t>Melting_Curves/meltCurve_A8MQB8_FMR1.pdf</t>
  </si>
  <si>
    <t>Melting_Curves/meltCurve_A8MT20_GRM5.pdf</t>
  </si>
  <si>
    <t>Melting_Curves/meltCurve_A8MT37_GSK3A.pdf</t>
  </si>
  <si>
    <t>Melting_Curves/meltCurve_A8MTY9_DSCR3.pdf</t>
  </si>
  <si>
    <t>Melting_Curves/meltCurve_A8MTZ6_S100PBP.pdf</t>
  </si>
  <si>
    <t>Melting_Curves/meltCurve_A8MU44_HOOK1.pdf</t>
  </si>
  <si>
    <t>Melting_Curves/meltCurve_A8MUB1_TUBA4A.pdf</t>
  </si>
  <si>
    <t>Melting_Curves/meltCurve_A8MUN2_.pdf</t>
  </si>
  <si>
    <t>Melting_Curves/meltCurve_A8MVX0_ARHGEF33.pdf</t>
  </si>
  <si>
    <t>Melting_Curves/meltCurve_A8MVZ6_BICD1.pdf</t>
  </si>
  <si>
    <t>Melting_Curves/meltCurve_A8MX75_ERCC2.pdf</t>
  </si>
  <si>
    <t>Melting_Curves/meltCurve_A8MXP8_RCN2.pdf</t>
  </si>
  <si>
    <t>Melting_Curves/meltCurve_A8MXP9_MATR3.pdf</t>
  </si>
  <si>
    <t>Melting_Curves/meltCurve_A8MXV4_NUDT19.pdf</t>
  </si>
  <si>
    <t>Melting_Curves/meltCurve_A8MYC1_POP4.pdf</t>
  </si>
  <si>
    <t>Melting_Curves/meltCurve_A9Z1X7_SRRM1.pdf</t>
  </si>
  <si>
    <t>Melting_Curves/meltCurve_B0FLL2_PFKFB2.pdf</t>
  </si>
  <si>
    <t>Melting_Curves/meltCurve_B0QXZ5_DNAL4.pdf</t>
  </si>
  <si>
    <t>Melting_Curves/meltCurve_B0QY04_NCF4.pdf</t>
  </si>
  <si>
    <t>Melting_Curves/meltCurve_B0QY16_KIAA0930.pdf</t>
  </si>
  <si>
    <t>Melting_Curves/meltCurve_B0QYI3_TBC1D22A.pdf</t>
  </si>
  <si>
    <t>Melting_Curves/meltCurve_B0UX83_BAG6.pdf</t>
  </si>
  <si>
    <t>Melting_Curves/meltCurve_B0UZY3_EHMT2.pdf</t>
  </si>
  <si>
    <t>Melting_Curves/meltCurve_B1AH86_GRAP2.pdf</t>
  </si>
  <si>
    <t>Melting_Curves/meltCurve_B1AHD3_PDXP.pdf</t>
  </si>
  <si>
    <t>Melting_Curves/meltCurve_B1AHJ7_TPST2.pdf</t>
  </si>
  <si>
    <t>Melting_Curves/meltCurve_B1AHQ6_CENPM.pdf</t>
  </si>
  <si>
    <t>Melting_Curves/meltCurve_B1AJY7_PSMD10.pdf</t>
  </si>
  <si>
    <t>Melting_Curves/meltCurve_B1AJZ9_4_FHAD1.pdf</t>
  </si>
  <si>
    <t>Melting_Curves/meltCurve_B1AK13_HMGCL.pdf</t>
  </si>
  <si>
    <t>Melting_Curves/meltCurve_B1AK81_PIGK.pdf</t>
  </si>
  <si>
    <t>Melting_Curves/meltCurve_B1AK87_CAPZB.pdf</t>
  </si>
  <si>
    <t>Melting_Curves/meltCurve_B1AKD8_CROCC.pdf</t>
  </si>
  <si>
    <t>Melting_Curves/meltCurve_B1AKL4_EIF4ENIF1.pdf</t>
  </si>
  <si>
    <t>Melting_Curves/meltCurve_B1AKN7_NFIA.pdf</t>
  </si>
  <si>
    <t>Melting_Curves/meltCurve_B1AL69_CDC37L1.pdf</t>
  </si>
  <si>
    <t>Melting_Curves/meltCurve_B1AN99_PRSS3.pdf</t>
  </si>
  <si>
    <t>Melting_Curves/meltCurve_B1ANH0_GUK1.pdf</t>
  </si>
  <si>
    <t>Melting_Curves/meltCurve_B1APM4_SOAT1.pdf</t>
  </si>
  <si>
    <t>Melting_Curves/meltCurve_B1APY4_ROR2.pdf</t>
  </si>
  <si>
    <t>Melting_Curves/meltCurve_B1B1H9_FGF13.pdf</t>
  </si>
  <si>
    <t>Melting_Curves/meltCurve_B2R5P6_TXNRD1.pdf</t>
  </si>
  <si>
    <t>Melting_Curves/meltCurve_B2RD65_BRMS1L.pdf</t>
  </si>
  <si>
    <t>Melting_Curves/meltCurve_B2RPG6_ZCCHC2.pdf</t>
  </si>
  <si>
    <t>Melting_Curves/meltCurve_B2WTI3_JMJD6.pdf</t>
  </si>
  <si>
    <t>Melting_Curves/meltCurve_B3KMG0_GLE1.pdf</t>
  </si>
  <si>
    <t>Melting_Curves/meltCurve_B3KNQ0_CCDC92.pdf</t>
  </si>
  <si>
    <t>Melting_Curves/meltCurve_B3KP96_TRIM16.pdf</t>
  </si>
  <si>
    <t>Melting_Curves/meltCurve_B3KQ95_FDFT1.pdf</t>
  </si>
  <si>
    <t>Melting_Curves/meltCurve_B3KR00_STAMBPL1.pdf</t>
  </si>
  <si>
    <t>Melting_Curves/meltCurve_B3KRH1_RNF2.pdf</t>
  </si>
  <si>
    <t>Melting_Curves/meltCurve_B3KSI9_LZTFL1.pdf</t>
  </si>
  <si>
    <t>Melting_Curves/meltCurve_B3KSJ7_DCLRE1C.pdf</t>
  </si>
  <si>
    <t>Melting_Curves/meltCurve_B3KU87_SLC30A6.pdf</t>
  </si>
  <si>
    <t>Melting_Curves/meltCurve_B3KUK2_SOD2.pdf</t>
  </si>
  <si>
    <t>Melting_Curves/meltCurve_B3KVH8_PHF23.pdf</t>
  </si>
  <si>
    <t>Melting_Curves/meltCurve_B3KVZ3_CENPH.pdf</t>
  </si>
  <si>
    <t>Melting_Curves/meltCurve_B3KWW1_DDX58.pdf</t>
  </si>
  <si>
    <t>Melting_Curves/meltCurve_B3KY83_RXRA.pdf</t>
  </si>
  <si>
    <t>Melting_Curves/meltCurve_B4DDF4_CNN2.pdf</t>
  </si>
  <si>
    <t>Melting_Curves/meltCurve_B4DDF9_ANXA4.pdf</t>
  </si>
  <si>
    <t>Melting_Curves/meltCurve_B4DE93_NDUFV1.pdf</t>
  </si>
  <si>
    <t>Melting_Curves/meltCurve_B4DFA2_NSF.pdf</t>
  </si>
  <si>
    <t>Melting_Curves/meltCurve_B4DFG0_DEK.pdf</t>
  </si>
  <si>
    <t>Melting_Curves/meltCurve_B4DFG6_MRPS18B.pdf</t>
  </si>
  <si>
    <t>Melting_Curves/meltCurve_B4DFL2_IDH2.pdf</t>
  </si>
  <si>
    <t>Melting_Curves/meltCurve_B4DGU4_CTNNB1.pdf</t>
  </si>
  <si>
    <t>Melting_Curves/meltCurve_B4DGX0_EIF2B1.pdf</t>
  </si>
  <si>
    <t>Melting_Curves/meltCurve_B4DGX2_PIP4K2A.pdf</t>
  </si>
  <si>
    <t>Melting_Curves/meltCurve_B4DH53_MAP1S.pdf</t>
  </si>
  <si>
    <t>Melting_Curves/meltCurve_B4DI94_NEGR1.pdf</t>
  </si>
  <si>
    <t>Melting_Curves/meltCurve_B4DIP4_EIF2AK1.pdf</t>
  </si>
  <si>
    <t>Melting_Curves/meltCurve_B4DIQ3_RWDD2A.pdf</t>
  </si>
  <si>
    <t>Melting_Curves/meltCurve_B4DJ68_TDRKH.pdf</t>
  </si>
  <si>
    <t>Melting_Curves/meltCurve_B4DJA5_RAB5A.pdf</t>
  </si>
  <si>
    <t>Melting_Curves/meltCurve_B4DJP7_SNRPD3.pdf</t>
  </si>
  <si>
    <t>Melting_Curves/meltCurve_B4DJV2_CS.pdf</t>
  </si>
  <si>
    <t>Melting_Curves/meltCurve_B4DK80_TOP3A.pdf</t>
  </si>
  <si>
    <t>Melting_Curves/meltCurve_B4DKF9_ZNF286A.pdf</t>
  </si>
  <si>
    <t>Melting_Curves/meltCurve_B4DKJ3_COMP.pdf</t>
  </si>
  <si>
    <t>Melting_Curves/meltCurve_B4DKL4_LSR.pdf</t>
  </si>
  <si>
    <t>Melting_Curves/meltCurve_B4DKV7_EPS8L1.pdf</t>
  </si>
  <si>
    <t>Melting_Curves/meltCurve_B4DL14_ATP5C1.pdf</t>
  </si>
  <si>
    <t>Melting_Curves/meltCurve_B4DL54_CHURC1_FNTB.pdf</t>
  </si>
  <si>
    <t>Melting_Curves/meltCurve_B4DL79_KIF20A.pdf</t>
  </si>
  <si>
    <t>Melting_Curves/meltCurve_B4DLE8_CRYBG3.pdf</t>
  </si>
  <si>
    <t>Melting_Curves/meltCurve_B4DLR8_NQO1.pdf</t>
  </si>
  <si>
    <t>Melting_Curves/meltCurve_B4DLT4_RPS6KB1.pdf</t>
  </si>
  <si>
    <t>Melting_Curves/meltCurve_B4DLZ9_RNF220.pdf</t>
  </si>
  <si>
    <t>Melting_Curves/meltCurve_B4DNX9_ZNF460.pdf</t>
  </si>
  <si>
    <t>Melting_Curves/meltCurve_B4DNZ7_EYA3.pdf</t>
  </si>
  <si>
    <t>Melting_Curves/meltCurve_B4DP21_PTGES3.pdf</t>
  </si>
  <si>
    <t>Melting_Curves/meltCurve_B4DP62_.pdf</t>
  </si>
  <si>
    <t>Melting_Curves/meltCurve_B4DPR4_MKRN2.pdf</t>
  </si>
  <si>
    <t>Melting_Curves/meltCurve_B4DPY8_TOX4.pdf</t>
  </si>
  <si>
    <t>Melting_Curves/meltCurve_B4DQ51_ACADSB.pdf</t>
  </si>
  <si>
    <t>Melting_Curves/meltCurve_B4DQE7_HDAC8.pdf</t>
  </si>
  <si>
    <t>Melting_Curves/meltCurve_B4DQH9_RANBP10.pdf</t>
  </si>
  <si>
    <t>Melting_Curves/meltCurve_B4DQI6_TRA2A.pdf</t>
  </si>
  <si>
    <t>Melting_Curves/meltCurve_B4DQJ8_PGD.pdf</t>
  </si>
  <si>
    <t>Melting_Curves/meltCurve_B4DQL0_MTMR8.pdf</t>
  </si>
  <si>
    <t>Melting_Curves/meltCurve_B4DQV4_SNX4.pdf</t>
  </si>
  <si>
    <t>Melting_Curves/meltCurve_B4DR03_NAA40.pdf</t>
  </si>
  <si>
    <t>Melting_Curves/meltCurve_B4DRD1_DCP1B.pdf</t>
  </si>
  <si>
    <t>Melting_Curves/meltCurve_B4DRL9_CHM.pdf</t>
  </si>
  <si>
    <t>Melting_Curves/meltCurve_B4DRM7_SIMC1.pdf</t>
  </si>
  <si>
    <t>Melting_Curves/meltCurve_B4DRS7_SH2D3A.pdf</t>
  </si>
  <si>
    <t>Melting_Curves/meltCurve_B4DS61_SRPK1.pdf</t>
  </si>
  <si>
    <t>Melting_Curves/meltCurve_B4DS76_MAP3K11.pdf</t>
  </si>
  <si>
    <t>Melting_Curves/meltCurve_B4DSS5_KIAA0513.pdf</t>
  </si>
  <si>
    <t>Melting_Curves/meltCurve_B4DST5_PTPN23.pdf</t>
  </si>
  <si>
    <t>Melting_Curves/meltCurve_B4DT55_WDR41.pdf</t>
  </si>
  <si>
    <t>Melting_Curves/meltCurve_B4DT77_ANXA7.pdf</t>
  </si>
  <si>
    <t>Melting_Curves/meltCurve_B4DTU4_LIG1.pdf</t>
  </si>
  <si>
    <t>Melting_Curves/meltCurve_B4DTZ6_SLC9A1.pdf</t>
  </si>
  <si>
    <t>Melting_Curves/meltCurve_B4DU60_CLYBL.pdf</t>
  </si>
  <si>
    <t>Melting_Curves/meltCurve_B4DUI3_EIF3J.pdf</t>
  </si>
  <si>
    <t>Melting_Curves/meltCurve_B4DUR0_KLHL20.pdf</t>
  </si>
  <si>
    <t>Melting_Curves/meltCurve_B4DUS4_USP16.pdf</t>
  </si>
  <si>
    <t>Melting_Curves/meltCurve_B4DV96_RBKS.pdf</t>
  </si>
  <si>
    <t>Melting_Curves/meltCurve_B4DVE7_ANXA11.pdf</t>
  </si>
  <si>
    <t>Melting_Curves/meltCurve_B4DVY1_EIF3D.pdf</t>
  </si>
  <si>
    <t>Melting_Curves/meltCurve_B4DWB0_NUBPL.pdf</t>
  </si>
  <si>
    <t>Melting_Curves/meltCurve_B4DWW1_ARL1.pdf</t>
  </si>
  <si>
    <t>Melting_Curves/meltCurve_B4DXW4_CLPB.pdf</t>
  </si>
  <si>
    <t>Melting_Curves/meltCurve_B4DXZ6_FXR1.pdf</t>
  </si>
  <si>
    <t>Melting_Curves/meltCurve_B4DY82_SENP5.pdf</t>
  </si>
  <si>
    <t>Melting_Curves/meltCurve_B4DYB4_NUP35.pdf</t>
  </si>
  <si>
    <t>Melting_Curves/meltCurve_B4DZG6_TMEM48.pdf</t>
  </si>
  <si>
    <t>Melting_Curves/meltCurve_B4DZH6_HDAC6.pdf</t>
  </si>
  <si>
    <t>Melting_Curves/meltCurve_B4DZK7_TK2.pdf</t>
  </si>
  <si>
    <t>Melting_Curves/meltCurve_B4E0G4_PHF6.pdf</t>
  </si>
  <si>
    <t>Melting_Curves/meltCurve_B4E1D7_PNPO.pdf</t>
  </si>
  <si>
    <t>Melting_Curves/meltCurve_B4E1K7_STOML2.pdf</t>
  </si>
  <si>
    <t>Melting_Curves/meltCurve_B4E1M0_MSANTD2.pdf</t>
  </si>
  <si>
    <t>Melting_Curves/meltCurve_B4E1Q4_RIOK3.pdf</t>
  </si>
  <si>
    <t>Melting_Curves/meltCurve_B4E241_SFRS3.pdf</t>
  </si>
  <si>
    <t>Melting_Curves/meltCurve_B4E2S7_LAMP2.pdf</t>
  </si>
  <si>
    <t>Melting_Curves/meltCurve_B4E2W0_HADHB.pdf</t>
  </si>
  <si>
    <t>Melting_Curves/meltCurve_B4E2X3_METTL13.pdf</t>
  </si>
  <si>
    <t>Melting_Curves/meltCurve_B4E351_IGFBP4.pdf</t>
  </si>
  <si>
    <t>Melting_Curves/meltCurve_B4E3E5_DVL3.pdf</t>
  </si>
  <si>
    <t>Melting_Curves/meltCurve_B4E3T2_RRN3.pdf</t>
  </si>
  <si>
    <t>Melting_Curves/meltCurve_B4E3W0_ELP4.pdf</t>
  </si>
  <si>
    <t>Melting_Curves/meltCurve_B5MC20_JMJD7.pdf</t>
  </si>
  <si>
    <t>Melting_Curves/meltCurve_B5MC51_LIMK2.pdf</t>
  </si>
  <si>
    <t>Melting_Curves/meltCurve_B5MCF9_PES1.pdf</t>
  </si>
  <si>
    <t>Melting_Curves/meltCurve_B5MCM0_TEAD3.pdf</t>
  </si>
  <si>
    <t>Melting_Curves/meltCurve_B5MCU0_R3HDM2.pdf</t>
  </si>
  <si>
    <t>Melting_Curves/meltCurve_B5MDQ0_ERCC6L.pdf</t>
  </si>
  <si>
    <t>Melting_Curves/meltCurve_B7WP27_CWC22.pdf</t>
  </si>
  <si>
    <t>Melting_Curves/meltCurve_B7WPH3_CECR2.pdf</t>
  </si>
  <si>
    <t>Melting_Curves/meltCurve_B7Z1I8_E2F6.pdf</t>
  </si>
  <si>
    <t>Melting_Curves/meltCurve_B7Z1N3_PIGT.pdf</t>
  </si>
  <si>
    <t>Melting_Curves/meltCurve_B7Z254_PDIA6.pdf</t>
  </si>
  <si>
    <t>Melting_Curves/meltCurve_B7Z2G1_KLHL22.pdf</t>
  </si>
  <si>
    <t>Melting_Curves/meltCurve_B7Z2T3_TTC26.pdf</t>
  </si>
  <si>
    <t>Melting_Curves/meltCurve_B7Z2X9_ENO2.pdf</t>
  </si>
  <si>
    <t>Melting_Curves/meltCurve_B7Z314_UQCC.pdf</t>
  </si>
  <si>
    <t>Melting_Curves/meltCurve_B7Z3A7_PDE1A.pdf</t>
  </si>
  <si>
    <t>Melting_Curves/meltCurve_B7Z3B9_GAB1.pdf</t>
  </si>
  <si>
    <t>Melting_Curves/meltCurve_B7Z3I9_ALAD.pdf</t>
  </si>
  <si>
    <t>Melting_Curves/meltCurve_B7Z3Y2_PCYOX1.pdf</t>
  </si>
  <si>
    <t>Melting_Curves/meltCurve_B7Z4K6_DNASE2.pdf</t>
  </si>
  <si>
    <t>Melting_Curves/meltCurve_B7Z4R0_ERF.pdf</t>
  </si>
  <si>
    <t>Melting_Curves/meltCurve_B7Z588_TNFRSF10B.pdf</t>
  </si>
  <si>
    <t>Melting_Curves/meltCurve_B7Z5F4_ETV4.pdf</t>
  </si>
  <si>
    <t>Melting_Curves/meltCurve_B7Z5G4_STMN3.pdf</t>
  </si>
  <si>
    <t>Melting_Curves/meltCurve_B7Z5X7_WARS2.pdf</t>
  </si>
  <si>
    <t>Melting_Curves/meltCurve_B7Z637_ARMC8.pdf</t>
  </si>
  <si>
    <t>Melting_Curves/meltCurve_B7Z6B8_DECR1.pdf</t>
  </si>
  <si>
    <t>Melting_Curves/meltCurve_B7Z6M3_DGKZ.pdf</t>
  </si>
  <si>
    <t>Melting_Curves/meltCurve_B7Z7E1_CNN1.pdf</t>
  </si>
  <si>
    <t>Melting_Curves/meltCurve_B7Z7N6_PDK1.pdf</t>
  </si>
  <si>
    <t>Melting_Curves/meltCurve_B7Z815_USP7.pdf</t>
  </si>
  <si>
    <t>Melting_Curves/meltCurve_B7Z844_SLC2A14.pdf</t>
  </si>
  <si>
    <t>Melting_Curves/meltCurve_B7Z8R6_.pdf</t>
  </si>
  <si>
    <t>Melting_Curves/meltCurve_B7ZAB3_B3GAT3.pdf</t>
  </si>
  <si>
    <t>Melting_Curves/meltCurve_B7ZAX5_GALK2.pdf</t>
  </si>
  <si>
    <t>Melting_Curves/meltCurve_B7ZKK9_PPP2R5E.pdf</t>
  </si>
  <si>
    <t>Melting_Curves/meltCurve_B7ZKP8_UBXN2A.pdf</t>
  </si>
  <si>
    <t>Melting_Curves/meltCurve_B7ZKT6_SOS2.pdf</t>
  </si>
  <si>
    <t>Melting_Curves/meltCurve_B7ZLQ8_CPEB4.pdf</t>
  </si>
  <si>
    <t>Melting_Curves/meltCurve_B7ZM82_WIZ.pdf</t>
  </si>
  <si>
    <t>Melting_Curves/meltCurve_B8ZZ99_CCDC115.pdf</t>
  </si>
  <si>
    <t>Melting_Curves/meltCurve_B8ZZJ9_EIF4E2.pdf</t>
  </si>
  <si>
    <t>Melting_Curves/meltCurve_B8ZZK4_RPL31.pdf</t>
  </si>
  <si>
    <t>Melting_Curves/meltCurve_B8ZZQ6_PTMA.pdf</t>
  </si>
  <si>
    <t>Melting_Curves/meltCurve_B8ZZU6_ATF2.pdf</t>
  </si>
  <si>
    <t>Melting_Curves/meltCurve_B8ZZU8_TCEB2.pdf</t>
  </si>
  <si>
    <t>Melting_Curves/meltCurve_B8ZZW9_C7orf41.pdf</t>
  </si>
  <si>
    <t>Melting_Curves/meltCurve_B9A018_USP39.pdf</t>
  </si>
  <si>
    <t>Melting_Curves/meltCurve_B9A057_COA5.pdf</t>
  </si>
  <si>
    <t>Melting_Curves/meltCurve_B9EGH5_PLCB2.pdf</t>
  </si>
  <si>
    <t>Melting_Curves/meltCurve_B9ZVT1_RBM12B.pdf</t>
  </si>
  <si>
    <t>Melting_Curves/meltCurve_B9ZVU2_DNPEP.pdf</t>
  </si>
  <si>
    <t>Melting_Curves/meltCurve_C4AMC7_WASH3P.pdf</t>
  </si>
  <si>
    <t>Melting_Curves/meltCurve_C6G496_MAZ.pdf</t>
  </si>
  <si>
    <t>Melting_Curves/meltCurve_C6GKU9_MED30S.pdf</t>
  </si>
  <si>
    <t>Melting_Curves/meltCurve_C9IYZ1_ASNSD1.pdf</t>
  </si>
  <si>
    <t>Melting_Curves/meltCurve_C9IZE4_PSMD6.pdf</t>
  </si>
  <si>
    <t>Melting_Curves/meltCurve_C9IZI4_ARHGAP19.pdf</t>
  </si>
  <si>
    <t>Melting_Curves/meltCurve_C9J0A7_CHMP2B.pdf</t>
  </si>
  <si>
    <t>Melting_Curves/meltCurve_C9J0I9_ZC3HC1.pdf</t>
  </si>
  <si>
    <t>Melting_Curves/meltCurve_C9J0K6_SRI.pdf</t>
  </si>
  <si>
    <t>Melting_Curves/meltCurve_C9J1C6_RNF181.pdf</t>
  </si>
  <si>
    <t>Melting_Curves/meltCurve_C9J1J0_ADCY1.pdf</t>
  </si>
  <si>
    <t>Melting_Curves/meltCurve_C9J1X0_WDR91.pdf</t>
  </si>
  <si>
    <t>Melting_Curves/meltCurve_C9J212_UBE2F.pdf</t>
  </si>
  <si>
    <t>Melting_Curves/meltCurve_C9J2P0_UBE2E1.pdf</t>
  </si>
  <si>
    <t>Melting_Curves/meltCurve_C9J2V2_IKBKG.pdf</t>
  </si>
  <si>
    <t>Melting_Curves/meltCurve_C9J2Y9_POLR2B.pdf</t>
  </si>
  <si>
    <t>Melting_Curves/meltCurve_C9J384_CMSS1.pdf</t>
  </si>
  <si>
    <t>Melting_Curves/meltCurve_C9J3L8_SSR1.pdf</t>
  </si>
  <si>
    <t>Melting_Curves/meltCurve_C9J3R0_RCC1.pdf</t>
  </si>
  <si>
    <t>Melting_Curves/meltCurve_C9J3R1_ZNF639.pdf</t>
  </si>
  <si>
    <t>Melting_Curves/meltCurve_C9J3Y0_TMEM98.pdf</t>
  </si>
  <si>
    <t>Melting_Curves/meltCurve_C9J4K0_C2orf49.pdf</t>
  </si>
  <si>
    <t>Melting_Curves/meltCurve_C9J4L5_CREB1.pdf</t>
  </si>
  <si>
    <t>Melting_Curves/meltCurve_C9J4X5_ING2.pdf</t>
  </si>
  <si>
    <t>Melting_Curves/meltCurve_C9J5C3_PDCD10.pdf</t>
  </si>
  <si>
    <t>Melting_Curves/meltCurve_C9J5J4_LIN9.pdf</t>
  </si>
  <si>
    <t>Melting_Curves/meltCurve_C9J5W6_TAGLN3.pdf</t>
  </si>
  <si>
    <t>Melting_Curves/meltCurve_C9J5X9_FANCB.pdf</t>
  </si>
  <si>
    <t>Melting_Curves/meltCurve_C9J6N9_UFD1L.pdf</t>
  </si>
  <si>
    <t>Melting_Curves/meltCurve_C9J7E5_TNPO3.pdf</t>
  </si>
  <si>
    <t>Melting_Curves/meltCurve_C9J7I0_.pdf</t>
  </si>
  <si>
    <t>Melting_Curves/meltCurve_C9J8B6_NRCAM.pdf</t>
  </si>
  <si>
    <t>Melting_Curves/meltCurve_C9J8B8_HDAC10.pdf</t>
  </si>
  <si>
    <t>Melting_Curves/meltCurve_C9J8L0_CDCA7L.pdf</t>
  </si>
  <si>
    <t>Melting_Curves/meltCurve_C9J8R7_GTPBP10.pdf</t>
  </si>
  <si>
    <t>Melting_Curves/meltCurve_C9J9K3_RPSA.pdf</t>
  </si>
  <si>
    <t>Melting_Curves/meltCurve_C9JA28_SSR3.pdf</t>
  </si>
  <si>
    <t>Melting_Curves/meltCurve_C9JA69_BBX.pdf</t>
  </si>
  <si>
    <t>Melting_Curves/meltCurve_C9JAX3_ZNF467.pdf</t>
  </si>
  <si>
    <t>Melting_Curves/meltCurve_C9JB13_BSDC1.pdf</t>
  </si>
  <si>
    <t>Melting_Curves/meltCurve_C9JCN8_FOSL2.pdf</t>
  </si>
  <si>
    <t>Melting_Curves/meltCurve_C9JCR1_SETD6.pdf</t>
  </si>
  <si>
    <t>Melting_Curves/meltCurve_C9JDG0_DIAPH3.pdf</t>
  </si>
  <si>
    <t>Melting_Curves/meltCurve_C9JE12_TMUB1.pdf</t>
  </si>
  <si>
    <t>Melting_Curves/meltCurve_C9JE98_NCOR2.pdf</t>
  </si>
  <si>
    <t>Melting_Curves/meltCurve_C9JFE4_GPS1.pdf</t>
  </si>
  <si>
    <t>Melting_Curves/meltCurve_C9JFK9_BAG3.pdf</t>
  </si>
  <si>
    <t>Melting_Curves/meltCurve_C9JFM5_STX4.pdf</t>
  </si>
  <si>
    <t>Melting_Curves/meltCurve_C9JFR7_CYCS.pdf</t>
  </si>
  <si>
    <t>Melting_Curves/meltCurve_C9JG15_ATAD2B.pdf</t>
  </si>
  <si>
    <t>Melting_Curves/meltCurve_C9JG97_AAMP.pdf</t>
  </si>
  <si>
    <t>Melting_Curves/meltCurve_C9JHB1_ZSCAN31.pdf</t>
  </si>
  <si>
    <t>Melting_Curves/meltCurve_C9JIE5_EP400NL.pdf</t>
  </si>
  <si>
    <t>Melting_Curves/meltCurve_C9JIM0_PBLD.pdf</t>
  </si>
  <si>
    <t>Melting_Curves/meltCurve_C9JIS1_GNB2.pdf</t>
  </si>
  <si>
    <t>Melting_Curves/meltCurve_C9JJM7_HACL1.pdf</t>
  </si>
  <si>
    <t>Melting_Curves/meltCurve_C9JJV6_MYADM.pdf</t>
  </si>
  <si>
    <t>Melting_Curves/meltCurve_C9JLU1_POLR2H.pdf</t>
  </si>
  <si>
    <t>Melting_Curves/meltCurve_C9JLV4_APAF1.pdf</t>
  </si>
  <si>
    <t>Melting_Curves/meltCurve_C9JMG3_AP4M1.pdf</t>
  </si>
  <si>
    <t>Melting_Curves/meltCurve_C9JNE2_OARD1.pdf</t>
  </si>
  <si>
    <t>Melting_Curves/meltCurve_C9JNI7_HSPBP1.pdf</t>
  </si>
  <si>
    <t>Melting_Curves/meltCurve_C9JP00_MBNL1.pdf</t>
  </si>
  <si>
    <t>Melting_Curves/meltCurve_C9JPC9_USP42.pdf</t>
  </si>
  <si>
    <t>Melting_Curves/meltCurve_C9JPL0_CCNL1.pdf</t>
  </si>
  <si>
    <t>Melting_Curves/meltCurve_C9JPP2_NKIRAS2.pdf</t>
  </si>
  <si>
    <t>Melting_Curves/meltCurve_C9JQ41_CCDC58.pdf</t>
  </si>
  <si>
    <t>Melting_Curves/meltCurve_C9JQB1_NME6.pdf</t>
  </si>
  <si>
    <t>Melting_Curves/meltCurve_C9JQV0_C7orf50.pdf</t>
  </si>
  <si>
    <t>Melting_Curves/meltCurve_C9JQV3_STK11IP.pdf</t>
  </si>
  <si>
    <t>Melting_Curves/meltCurve_C9JR56_SATB2.pdf</t>
  </si>
  <si>
    <t>Melting_Curves/meltCurve_C9JS27_NDUFAF7.pdf</t>
  </si>
  <si>
    <t>Melting_Curves/meltCurve_C9JT95_NABP2.pdf</t>
  </si>
  <si>
    <t>Melting_Curves/meltCurve_C9JTM9_IKZF2.pdf</t>
  </si>
  <si>
    <t>Melting_Curves/meltCurve_C9JV49_HARS2.pdf</t>
  </si>
  <si>
    <t>Melting_Curves/meltCurve_C9JV50_SACM1L.pdf</t>
  </si>
  <si>
    <t>Melting_Curves/meltCurve_C9JVP0_FOXJ3.pdf</t>
  </si>
  <si>
    <t>Melting_Curves/meltCurve_C9JVU9_ARHGAP23.pdf</t>
  </si>
  <si>
    <t>Melting_Curves/meltCurve_C9JWC5_TRIM22.pdf</t>
  </si>
  <si>
    <t>Melting_Curves/meltCurve_C9JXB8_RPL24.pdf</t>
  </si>
  <si>
    <t>Melting_Curves/meltCurve_C9JXB9_DNAJB2.pdf</t>
  </si>
  <si>
    <t>Melting_Curves/meltCurve_C9JXP4_ZBED1.pdf</t>
  </si>
  <si>
    <t>Melting_Curves/meltCurve_C9JYD0_PCGF3.pdf</t>
  </si>
  <si>
    <t>Melting_Curves/meltCurve_C9JYJ6_FILIP1L.pdf</t>
  </si>
  <si>
    <t>Melting_Curves/meltCurve_C9JYM0_POP7.pdf</t>
  </si>
  <si>
    <t>Melting_Curves/meltCurve_C9JZE9_CPA5.pdf</t>
  </si>
  <si>
    <t>Melting_Curves/meltCurve_C9JZR4_ARFGAP3.pdf</t>
  </si>
  <si>
    <t>Melting_Curves/meltCurve_C9JZY3_PCBP4.pdf</t>
  </si>
  <si>
    <t>Melting_Curves/meltCurve_D3YTB1_RPL32.pdf</t>
  </si>
  <si>
    <t>Melting_Curves/meltCurve_D3YTE0_KRI1.pdf</t>
  </si>
  <si>
    <t>Melting_Curves/meltCurve_D3YTE1_PHF20L1.pdf</t>
  </si>
  <si>
    <t>Melting_Curves/meltCurve_D3YTG6_NDOR1.pdf</t>
  </si>
  <si>
    <t>Melting_Curves/meltCurve_D6R992_RELB.pdf</t>
  </si>
  <si>
    <t>Melting_Curves/meltCurve_D6R9E3_MND1.pdf</t>
  </si>
  <si>
    <t>Melting_Curves/meltCurve_D6R9J8_MEF2C.pdf</t>
  </si>
  <si>
    <t>Melting_Curves/meltCurve_D6R9P3_HNRNPAB.pdf</t>
  </si>
  <si>
    <t>Melting_Curves/meltCurve_D6R9S4_MLF1IP.pdf</t>
  </si>
  <si>
    <t>Melting_Curves/meltCurve_D6R9U7_POLR3G.pdf</t>
  </si>
  <si>
    <t>Melting_Curves/meltCurve_D6R9V8_CDV3.pdf</t>
  </si>
  <si>
    <t>Melting_Curves/meltCurve_D6RA32_MAP1B.pdf</t>
  </si>
  <si>
    <t>Melting_Curves/meltCurve_D6RAG3_CPLX1.pdf</t>
  </si>
  <si>
    <t>Melting_Curves/meltCurve_D6RAL3_SH3RF1.pdf</t>
  </si>
  <si>
    <t>Melting_Curves/meltCurve_D6RAM3_DOK3.pdf</t>
  </si>
  <si>
    <t>Melting_Curves/meltCurve_D6RAN4_RPL9.pdf</t>
  </si>
  <si>
    <t>Melting_Curves/meltCurve_D6RAV1_NEIL3.pdf</t>
  </si>
  <si>
    <t>Melting_Curves/meltCurve_D6RBE0_CXXC5.pdf</t>
  </si>
  <si>
    <t>Melting_Curves/meltCurve_D6RBN5_OCIAD1.pdf</t>
  </si>
  <si>
    <t>Melting_Curves/meltCurve_D6RC71_STX18.pdf</t>
  </si>
  <si>
    <t>Melting_Curves/meltCurve_D6RCD0_HSD17B11.pdf</t>
  </si>
  <si>
    <t>Melting_Curves/meltCurve_D6RD24_UBE3D.pdf</t>
  </si>
  <si>
    <t>Melting_Curves/meltCurve_D6RD47_RPS23.pdf</t>
  </si>
  <si>
    <t>Melting_Curves/meltCurve_D6RDX3_ATG10.pdf</t>
  </si>
  <si>
    <t>Melting_Curves/meltCurve_D6REB5_IDUA.pdf</t>
  </si>
  <si>
    <t>Melting_Curves/meltCurve_D6REL5_FAM175A.pdf</t>
  </si>
  <si>
    <t>Melting_Curves/meltCurve_D6REW1_PRELID1.pdf</t>
  </si>
  <si>
    <t>Melting_Curves/meltCurve_D6RF85_ZNF652.pdf</t>
  </si>
  <si>
    <t>Melting_Curves/meltCurve_D6RFH4_CYB5B.pdf</t>
  </si>
  <si>
    <t>Melting_Curves/meltCurve_D6RGI3_SEPT11.pdf</t>
  </si>
  <si>
    <t>Melting_Curves/meltCurve_D6RGX2_UFSP2.pdf</t>
  </si>
  <si>
    <t>Melting_Curves/meltCurve_D6RHC4_ANKHD1.pdf</t>
  </si>
  <si>
    <t>Melting_Curves/meltCurve_D6RHD3_CENPK.pdf</t>
  </si>
  <si>
    <t>Melting_Curves/meltCurve_D6RHI9_RNASET2.pdf</t>
  </si>
  <si>
    <t>Melting_Curves/meltCurve_D6RIY1_TAF9.pdf</t>
  </si>
  <si>
    <t>Melting_Curves/meltCurve_D6RIZ4_MFSD10.pdf</t>
  </si>
  <si>
    <t>Melting_Curves/meltCurve_D6RJG9_SNX14.pdf</t>
  </si>
  <si>
    <t>Melting_Curves/meltCurve_E1P5Q0_TRPC4AP.pdf</t>
  </si>
  <si>
    <t>Melting_Curves/meltCurve_E2QRD4_MMS22L.pdf</t>
  </si>
  <si>
    <t>Melting_Curves/meltCurve_E2QRF9_GMNN.pdf</t>
  </si>
  <si>
    <t>Melting_Curves/meltCurve_E5RFI2_MRPL13.pdf</t>
  </si>
  <si>
    <t>Melting_Curves/meltCurve_E5RFJ1_NSMCE2.pdf</t>
  </si>
  <si>
    <t>Melting_Curves/meltCurve_E5RG73_TMEM232.pdf</t>
  </si>
  <si>
    <t>Melting_Curves/meltCurve_E5RGQ3_RWDD1.pdf</t>
  </si>
  <si>
    <t>Melting_Curves/meltCurve_E5RGX5_STMN2.pdf</t>
  </si>
  <si>
    <t>Melting_Curves/meltCurve_E5RH89_ZNF354B.pdf</t>
  </si>
  <si>
    <t>Melting_Curves/meltCurve_E5RHG8_TCEB1.pdf</t>
  </si>
  <si>
    <t>Melting_Curves/meltCurve_E5RHI2_SORBS3.pdf</t>
  </si>
  <si>
    <t>Melting_Curves/meltCurve_E5RHN9_RAD54B.pdf</t>
  </si>
  <si>
    <t>Melting_Curves/meltCurve_E5RHW4_ERLIN2.pdf</t>
  </si>
  <si>
    <t>Melting_Curves/meltCurve_E5RI99_RPL30.pdf</t>
  </si>
  <si>
    <t>Melting_Curves/meltCurve_E5RIH5_TTI2.pdf</t>
  </si>
  <si>
    <t>Melting_Curves/meltCurve_E5RJ08_CHCHD7.pdf</t>
  </si>
  <si>
    <t>Melting_Curves/meltCurve_E5RJ68_AP3B1.pdf</t>
  </si>
  <si>
    <t>Melting_Curves/meltCurve_E5RJ97_TRPS1.pdf</t>
  </si>
  <si>
    <t>Melting_Curves/meltCurve_E5RJ99_ZFAND1.pdf</t>
  </si>
  <si>
    <t>Melting_Curves/meltCurve_E5RJR5_SKP1.pdf</t>
  </si>
  <si>
    <t>Melting_Curves/meltCurve_E5RK28_SGK3.pdf</t>
  </si>
  <si>
    <t>Melting_Curves/meltCurve_E5RK82_CETN3.pdf</t>
  </si>
  <si>
    <t>Melting_Curves/meltCurve_E7EM64_COPS6.pdf</t>
  </si>
  <si>
    <t>Melting_Curves/meltCurve_E7EMD6_AKAP10.pdf</t>
  </si>
  <si>
    <t>Melting_Curves/meltCurve_E7EMM4_ASAH1.pdf</t>
  </si>
  <si>
    <t>Melting_Curves/meltCurve_E7EMP6_C3orf37.pdf</t>
  </si>
  <si>
    <t>Melting_Curves/meltCurve_E7EMW7_UBR5.pdf</t>
  </si>
  <si>
    <t>Melting_Curves/meltCurve_E7ENA9_NCSTN.pdf</t>
  </si>
  <si>
    <t>Melting_Curves/meltCurve_E7ENF1_C12orf43.pdf</t>
  </si>
  <si>
    <t>Melting_Curves/meltCurve_E7ENK0_CALCOCO2.pdf</t>
  </si>
  <si>
    <t>Melting_Curves/meltCurve_E7ENN3_SYNE1.pdf</t>
  </si>
  <si>
    <t>Melting_Curves/meltCurve_E7ENW2_CBLB.pdf</t>
  </si>
  <si>
    <t>Melting_Curves/meltCurve_E7EP17_DNAH9.pdf</t>
  </si>
  <si>
    <t>Melting_Curves/meltCurve_E7EPB3_RPL14.pdf</t>
  </si>
  <si>
    <t>Melting_Curves/meltCurve_E7EPD0_TOM1.pdf</t>
  </si>
  <si>
    <t>Melting_Curves/meltCurve_E7EPI0_IBTK.pdf</t>
  </si>
  <si>
    <t>Melting_Curves/meltCurve_E7EPL4_PDXDC1.pdf</t>
  </si>
  <si>
    <t>Melting_Curves/meltCurve_E7EPP7_STXBP4.pdf</t>
  </si>
  <si>
    <t>Melting_Curves/meltCurve_E7EQ69_NAA50.pdf</t>
  </si>
  <si>
    <t>Melting_Curves/meltCurve_E7EQG2_EIF4A2.pdf</t>
  </si>
  <si>
    <t>Melting_Curves/meltCurve_E7EQL8_TUBGCP6.pdf</t>
  </si>
  <si>
    <t>Melting_Curves/meltCurve_E7ER32_MKL1.pdf</t>
  </si>
  <si>
    <t>Melting_Curves/meltCurve_E7ERL6_MAST2.pdf</t>
  </si>
  <si>
    <t>Melting_Curves/meltCurve_E7ES08_HMGB3.pdf</t>
  </si>
  <si>
    <t>Melting_Curves/meltCurve_E7ES21_HEPH.pdf</t>
  </si>
  <si>
    <t>Melting_Curves/meltCurve_E7ESC6_XPO7.pdf</t>
  </si>
  <si>
    <t>Melting_Curves/meltCurve_E7ESJ3_ANKRD26.pdf</t>
  </si>
  <si>
    <t>Melting_Curves/meltCurve_E7ESM1_NDRG1.pdf</t>
  </si>
  <si>
    <t>Melting_Curves/meltCurve_E7ET07_ING3.pdf</t>
  </si>
  <si>
    <t>Melting_Curves/meltCurve_E7ET15_U2SURP.pdf</t>
  </si>
  <si>
    <t>Melting_Curves/meltCurve_E7ET33_.pdf</t>
  </si>
  <si>
    <t>Melting_Curves/meltCurve_E7ET96_TNIP1.pdf</t>
  </si>
  <si>
    <t>Melting_Curves/meltCurve_E7ETA6_PCM1.pdf</t>
  </si>
  <si>
    <t>Melting_Curves/meltCurve_E7ETU5_RBMS1.pdf</t>
  </si>
  <si>
    <t>Melting_Curves/meltCurve_E7ETU9_PLOD2.pdf</t>
  </si>
  <si>
    <t>Melting_Curves/meltCurve_E7ETZ4_BZW2.pdf</t>
  </si>
  <si>
    <t>Melting_Curves/meltCurve_E7EU24_CBFA2T3.pdf</t>
  </si>
  <si>
    <t>Melting_Curves/meltCurve_E7EU96_CSNK2A1.pdf</t>
  </si>
  <si>
    <t>Melting_Curves/meltCurve_E7EUH9_NCAPG2.pdf</t>
  </si>
  <si>
    <t>Melting_Curves/meltCurve_E7EUI8_G6PD.pdf</t>
  </si>
  <si>
    <t>Melting_Curves/meltCurve_E7EUM5_NUP54.pdf</t>
  </si>
  <si>
    <t>Melting_Curves/meltCurve_E7EV10_MTA3.pdf</t>
  </si>
  <si>
    <t>Melting_Curves/meltCurve_E7EV62_ARFGAP1.pdf</t>
  </si>
  <si>
    <t>Melting_Curves/meltCurve_E7EV87_DEPTOR.pdf</t>
  </si>
  <si>
    <t>Melting_Curves/meltCurve_E7EV93_PCM1.pdf</t>
  </si>
  <si>
    <t>Melting_Curves/meltCurve_E7EVA0_MAP4.pdf</t>
  </si>
  <si>
    <t>Melting_Curves/meltCurve_E7EVJ5_CYFIP2.pdf</t>
  </si>
  <si>
    <t>Melting_Curves/meltCurve_E7EVY7_POR.pdf</t>
  </si>
  <si>
    <t>Melting_Curves/meltCurve_E7EVZ5_PCYOX1L.pdf</t>
  </si>
  <si>
    <t>Melting_Curves/meltCurve_E7EW59_SALL2.pdf</t>
  </si>
  <si>
    <t>Melting_Curves/meltCurve_E7EW69_SEPT10.pdf</t>
  </si>
  <si>
    <t>Melting_Curves/meltCurve_E7EW84_EXOC6.pdf</t>
  </si>
  <si>
    <t>Melting_Curves/meltCurve_E7EWD6_ASXL2.pdf</t>
  </si>
  <si>
    <t>Melting_Curves/meltCurve_E7EX48_NEK4.pdf</t>
  </si>
  <si>
    <t>Melting_Curves/meltCurve_E7EX53_RPL15.pdf</t>
  </si>
  <si>
    <t>Melting_Curves/meltCurve_E7EX73_EIF4G1.pdf</t>
  </si>
  <si>
    <t>Melting_Curves/meltCurve_E9PAU2_RAVER1.pdf</t>
  </si>
  <si>
    <t>Melting_Curves/meltCurve_E9PB14_PDHX.pdf</t>
  </si>
  <si>
    <t>Melting_Curves/meltCurve_E9PB61_ALYREF.pdf</t>
  </si>
  <si>
    <t>Melting_Curves/meltCurve_E9PBG3_TRIM36.pdf</t>
  </si>
  <si>
    <t>Melting_Curves/meltCurve_E9PBP4_MLLT10.pdf</t>
  </si>
  <si>
    <t>Melting_Curves/meltCurve_E9PC26_BUB1.pdf</t>
  </si>
  <si>
    <t>Melting_Curves/meltCurve_E9PC62_CELF2.pdf</t>
  </si>
  <si>
    <t>Melting_Curves/meltCurve_E9PC74_EIF2B5.pdf</t>
  </si>
  <si>
    <t>Melting_Curves/meltCurve_E9PCE5_SMG7.pdf</t>
  </si>
  <si>
    <t>Melting_Curves/meltCurve_E9PCR4_ANAPC4.pdf</t>
  </si>
  <si>
    <t>Melting_Curves/meltCurve_E9PCV0_GUSB.pdf</t>
  </si>
  <si>
    <t>Melting_Curves/meltCurve_E9PCW1_GOSR1.pdf</t>
  </si>
  <si>
    <t>Melting_Curves/meltCurve_E9PD53_SMC4.pdf</t>
  </si>
  <si>
    <t>Melting_Curves/meltCurve_E9PD90_CKAP2.pdf</t>
  </si>
  <si>
    <t>Melting_Curves/meltCurve_E9PDC3_ARVCF.pdf</t>
  </si>
  <si>
    <t>Melting_Curves/meltCurve_E9PDE4_CAST.pdf</t>
  </si>
  <si>
    <t>Melting_Curves/meltCurve_E9PDG2_IFT122.pdf</t>
  </si>
  <si>
    <t>Melting_Curves/meltCurve_E9PDK2_UNKL.pdf</t>
  </si>
  <si>
    <t>Melting_Curves/meltCurve_E9PDL4_ICA1.pdf</t>
  </si>
  <si>
    <t>Melting_Curves/meltCurve_E9PE19_BPTF.pdf</t>
  </si>
  <si>
    <t>Melting_Curves/meltCurve_E9PEB9_DST.pdf</t>
  </si>
  <si>
    <t>Melting_Curves/meltCurve_E9PEI0_CDCA2.pdf</t>
  </si>
  <si>
    <t>Melting_Curves/meltCurve_E9PER6_PDPK1.pdf</t>
  </si>
  <si>
    <t>Melting_Curves/meltCurve_E9PEZ3_DIAPH1.pdf</t>
  </si>
  <si>
    <t>Melting_Curves/meltCurve_E9PEZ8_FAM193B.pdf</t>
  </si>
  <si>
    <t>Melting_Curves/meltCurve_E9PF10_NUP155.pdf</t>
  </si>
  <si>
    <t>Melting_Curves/meltCurve_E9PF16_ACSF2.pdf</t>
  </si>
  <si>
    <t>Melting_Curves/meltCurve_E9PF19_TBL2.pdf</t>
  </si>
  <si>
    <t>Melting_Curves/meltCurve_E9PF99_CEP192.pdf</t>
  </si>
  <si>
    <t>Melting_Curves/meltCurve_E9PFK5_NOP14.pdf</t>
  </si>
  <si>
    <t>Melting_Curves/meltCurve_E9PFR3_PPP2R5D.pdf</t>
  </si>
  <si>
    <t>Melting_Curves/meltCurve_E9PG22_CEP97.pdf</t>
  </si>
  <si>
    <t>Melting_Curves/meltCurve_E9PGT1_TSN.pdf</t>
  </si>
  <si>
    <t>Melting_Curves/meltCurve_E9PGT6_COPS8.pdf</t>
  </si>
  <si>
    <t>Melting_Curves/meltCurve_E9PGW7_MED22.pdf</t>
  </si>
  <si>
    <t>Melting_Curves/meltCurve_E9PH29_PRDX3.pdf</t>
  </si>
  <si>
    <t>Melting_Curves/meltCurve_E9PH58_TTLL4.pdf</t>
  </si>
  <si>
    <t>Melting_Curves/meltCurve_E9PH62_STAU2.pdf</t>
  </si>
  <si>
    <t>Melting_Curves/meltCurve_E9PHK0_CLEC3B.pdf</t>
  </si>
  <si>
    <t>Melting_Curves/meltCurve_E9PHM2_LARS2.pdf</t>
  </si>
  <si>
    <t>Melting_Curves/meltCurve_E9PHV5_SSFA2.pdf</t>
  </si>
  <si>
    <t>Melting_Curves/meltCurve_E9PHX8_MERTK.pdf</t>
  </si>
  <si>
    <t>Melting_Curves/meltCurve_E9PHY5_EPB41L2.pdf</t>
  </si>
  <si>
    <t>Melting_Curves/meltCurve_E9PI10_TBRG1.pdf</t>
  </si>
  <si>
    <t>Melting_Curves/meltCurve_E9PIP3_GPSM3.pdf</t>
  </si>
  <si>
    <t>Melting_Curves/meltCurve_E9PJ04_SF3B2.pdf</t>
  </si>
  <si>
    <t>Melting_Curves/meltCurve_E9PJ07_C10orf137.pdf</t>
  </si>
  <si>
    <t>Melting_Curves/meltCurve_E9PJ24_PHRF1.pdf</t>
  </si>
  <si>
    <t>Melting_Curves/meltCurve_E9PJ81_UBXN1.pdf</t>
  </si>
  <si>
    <t>Melting_Curves/meltCurve_E9PJD7_CYHR1.pdf</t>
  </si>
  <si>
    <t>Melting_Curves/meltCurve_E9PJF5_BRMS1.pdf</t>
  </si>
  <si>
    <t>Melting_Curves/meltCurve_E9PJK1_CD81.pdf</t>
  </si>
  <si>
    <t>Melting_Curves/meltCurve_E9PK05_C2CD2L.pdf</t>
  </si>
  <si>
    <t>Melting_Curves/meltCurve_E9PKB7_TEAD1.pdf</t>
  </si>
  <si>
    <t>Melting_Curves/meltCurve_E9PKB9_SNX19.pdf</t>
  </si>
  <si>
    <t>Melting_Curves/meltCurve_E9PKG1_PRMT1.pdf</t>
  </si>
  <si>
    <t>Melting_Curves/meltCurve_E9PKV8_TTC9C.pdf</t>
  </si>
  <si>
    <t>Melting_Curves/meltCurve_E9PKZ0_RPL8.pdf</t>
  </si>
  <si>
    <t>Melting_Curves/meltCurve_E9PL01_SPCS2.pdf</t>
  </si>
  <si>
    <t>Melting_Curves/meltCurve_E9PL57_NEDD8_MDP1.pdf</t>
  </si>
  <si>
    <t>Melting_Curves/meltCurve_E9PLD3_.pdf</t>
  </si>
  <si>
    <t>Melting_Curves/meltCurve_E9PLG8_GPAA1.pdf</t>
  </si>
  <si>
    <t>Melting_Curves/meltCurve_E9PLK3_NPEPPS.pdf</t>
  </si>
  <si>
    <t>Melting_Curves/meltCurve_E9PLL6_RPL27A.pdf</t>
  </si>
  <si>
    <t>Melting_Curves/meltCurve_E9PLX2_RNF141.pdf</t>
  </si>
  <si>
    <t>Melting_Curves/meltCurve_E9PLY5_MACF1.pdf</t>
  </si>
  <si>
    <t>Melting_Curves/meltCurve_E9PM46_USP47.pdf</t>
  </si>
  <si>
    <t>Melting_Curves/meltCurve_E9PM92_C11orf58.pdf</t>
  </si>
  <si>
    <t>Melting_Curves/meltCurve_E9PMC9_C11orf30.pdf</t>
  </si>
  <si>
    <t>Melting_Curves/meltCurve_E9PME6_USF1.pdf</t>
  </si>
  <si>
    <t>Melting_Curves/meltCurve_E9PMH5_BIRC2.pdf</t>
  </si>
  <si>
    <t>Melting_Curves/meltCurve_E9PMI6_CLNS1A.pdf</t>
  </si>
  <si>
    <t>Melting_Curves/meltCurve_E9PMJ2_FAM118B.pdf</t>
  </si>
  <si>
    <t>Melting_Curves/meltCurve_E9PMS5_KCTD21.pdf</t>
  </si>
  <si>
    <t>Melting_Curves/meltCurve_E9PMS6_LMO7.pdf</t>
  </si>
  <si>
    <t>Melting_Curves/meltCurve_E9PN17_ATP5L.pdf</t>
  </si>
  <si>
    <t>Melting_Curves/meltCurve_E9PND3_EBAG9.pdf</t>
  </si>
  <si>
    <t>Melting_Curves/meltCurve_E9PNW4_CD59.pdf</t>
  </si>
  <si>
    <t>Melting_Curves/meltCurve_E9PP00_ZC3H12C.pdf</t>
  </si>
  <si>
    <t>Melting_Curves/meltCurve_E9PPH6_EXPH5.pdf</t>
  </si>
  <si>
    <t>Melting_Curves/meltCurve_E9PPY3_RRP8.pdf</t>
  </si>
  <si>
    <t>Melting_Curves/meltCurve_E9PQ38_KBTBD4.pdf</t>
  </si>
  <si>
    <t>Melting_Curves/meltCurve_E9PQ47_ZFPL1.pdf</t>
  </si>
  <si>
    <t>Melting_Curves/meltCurve_E9PQ74_GAS2.pdf</t>
  </si>
  <si>
    <t>Melting_Curves/meltCurve_E9PQT8_PHF1.pdf</t>
  </si>
  <si>
    <t>Melting_Curves/meltCurve_E9PQY3_ACP2.pdf</t>
  </si>
  <si>
    <t>Melting_Curves/meltCurve_E9PR76_MAF1.pdf</t>
  </si>
  <si>
    <t>Melting_Curves/meltCurve_E9PRI4_RPS6KA1.pdf</t>
  </si>
  <si>
    <t>Melting_Curves/meltCurve_E9PS41_WDR74.pdf</t>
  </si>
  <si>
    <t>Melting_Curves/meltCurve_E9PSA5_ALKBH3.pdf</t>
  </si>
  <si>
    <t>Melting_Curves/meltCurve_E9PSF2_STIL.pdf</t>
  </si>
  <si>
    <t>Melting_Curves/meltCurve_F2Z2E1_FAM120B.pdf</t>
  </si>
  <si>
    <t>Melting_Curves/meltCurve_F2Z2E2_IQGAP3.pdf</t>
  </si>
  <si>
    <t>Melting_Curves/meltCurve_F2Z2Q4_TRMT11.pdf</t>
  </si>
  <si>
    <t>Melting_Curves/meltCurve_F2Z2V0_CPNE1.pdf</t>
  </si>
  <si>
    <t>Melting_Curves/meltCurve_F2Z2V1_FGGY.pdf</t>
  </si>
  <si>
    <t>Melting_Curves/meltCurve_F2Z2X4_XPO4.pdf</t>
  </si>
  <si>
    <t>Melting_Curves/meltCurve_F2Z2Y3_FAM204A.pdf</t>
  </si>
  <si>
    <t>Melting_Curves/meltCurve_F5GWD3_GTF2H3.pdf</t>
  </si>
  <si>
    <t>Melting_Curves/meltCurve_F5GWI9_CCDC53.pdf</t>
  </si>
  <si>
    <t>Melting_Curves/meltCurve_F5GWN5_PIK3C2B.pdf</t>
  </si>
  <si>
    <t>Melting_Curves/meltCurve_F5GWP8_JUP.pdf</t>
  </si>
  <si>
    <t>Melting_Curves/meltCurve_F5GWT4_WNK1.pdf</t>
  </si>
  <si>
    <t>Melting_Curves/meltCurve_F5GWU7_SMAD5.pdf</t>
  </si>
  <si>
    <t>Melting_Curves/meltCurve_F5GX09_FAM76B.pdf</t>
  </si>
  <si>
    <t>Melting_Curves/meltCurve_F5GX33_SLC25A13.pdf</t>
  </si>
  <si>
    <t>Melting_Curves/meltCurve_F5GX58_CDCA3.pdf</t>
  </si>
  <si>
    <t>Melting_Curves/meltCurve_F5GX68_DNMT1.pdf</t>
  </si>
  <si>
    <t>Melting_Curves/meltCurve_F5GX82_FRYL.pdf</t>
  </si>
  <si>
    <t>Melting_Curves/meltCurve_F5GXC8_SUCLA2.pdf</t>
  </si>
  <si>
    <t>Melting_Curves/meltCurve_F5GXD1_AKAP7.pdf</t>
  </si>
  <si>
    <t>Melting_Curves/meltCurve_F5GXE4_ATE1.pdf</t>
  </si>
  <si>
    <t>Melting_Curves/meltCurve_F5GXQ1_.pdf</t>
  </si>
  <si>
    <t>Melting_Curves/meltCurve_F5GY11_STARD10.pdf</t>
  </si>
  <si>
    <t>Melting_Curves/meltCurve_F5GY37_PHB2.pdf</t>
  </si>
  <si>
    <t>Melting_Curves/meltCurve_F5GY95_FCGR2A.pdf</t>
  </si>
  <si>
    <t>Melting_Curves/meltCurve_F5GYA2_UNG.pdf</t>
  </si>
  <si>
    <t>Melting_Curves/meltCurve_F5GYC4_RPS6KA3.pdf</t>
  </si>
  <si>
    <t>Melting_Curves/meltCurve_F5GYJ5_.pdf</t>
  </si>
  <si>
    <t>Melting_Curves/meltCurve_F5GYN4_OTUB1.pdf</t>
  </si>
  <si>
    <t>Melting_Curves/meltCurve_F5GZ06_MROH2B.pdf</t>
  </si>
  <si>
    <t>Melting_Curves/meltCurve_F5GZ78_PXN.pdf</t>
  </si>
  <si>
    <t>Melting_Curves/meltCurve_F5GZ84_FARP2.pdf</t>
  </si>
  <si>
    <t>Melting_Curves/meltCurve_F5GZ90_DTL.pdf</t>
  </si>
  <si>
    <t>Melting_Curves/meltCurve_F5GZG6_TPK1.pdf</t>
  </si>
  <si>
    <t>Melting_Curves/meltCurve_F5GZP6_PPFIBP1.pdf</t>
  </si>
  <si>
    <t>Melting_Curves/meltCurve_F5GZQ4_LDHA.pdf</t>
  </si>
  <si>
    <t>Melting_Curves/meltCurve_F5GZW3_ARHGAP4.pdf</t>
  </si>
  <si>
    <t>Melting_Curves/meltCurve_F5GZY0_APLP2.pdf</t>
  </si>
  <si>
    <t>Melting_Curves/meltCurve_F5H012_TRIM21.pdf</t>
  </si>
  <si>
    <t>Melting_Curves/meltCurve_F5H0E9_ESRRA.pdf</t>
  </si>
  <si>
    <t>Melting_Curves/meltCurve_F5H0F9_ANAPC5.pdf</t>
  </si>
  <si>
    <t>Melting_Curves/meltCurve_F5H0K8_KSR1.pdf</t>
  </si>
  <si>
    <t>Melting_Curves/meltCurve_F5H0L8_SEC23IP.pdf</t>
  </si>
  <si>
    <t>Melting_Curves/meltCurve_F5H0Q6_CLASRP.pdf</t>
  </si>
  <si>
    <t>Melting_Curves/meltCurve_F5H105_ZNF384.pdf</t>
  </si>
  <si>
    <t>Melting_Curves/meltCurve_F5H1G8_GNA13.pdf</t>
  </si>
  <si>
    <t>Melting_Curves/meltCurve_F5H1L4_TXNRD2.pdf</t>
  </si>
  <si>
    <t>Melting_Curves/meltCurve_F5H1N7_KIAA1211.pdf</t>
  </si>
  <si>
    <t>Melting_Curves/meltCurve_F5H1S8_MLEC.pdf</t>
  </si>
  <si>
    <t>Melting_Curves/meltCurve_F5H1X8_LRBA.pdf</t>
  </si>
  <si>
    <t>Melting_Curves/meltCurve_F5H1Y0_RAD51AP1.pdf</t>
  </si>
  <si>
    <t>Melting_Curves/meltCurve_F5H241_GBA.pdf</t>
  </si>
  <si>
    <t>Melting_Curves/meltCurve_F5H290_ZNF7.pdf</t>
  </si>
  <si>
    <t>Melting_Curves/meltCurve_F5H2A8_SYT10.pdf</t>
  </si>
  <si>
    <t>Melting_Curves/meltCurve_F5H2H5_ANKLE2.pdf</t>
  </si>
  <si>
    <t>Melting_Curves/meltCurve_F5H2Q7_KIAA1715.pdf</t>
  </si>
  <si>
    <t>Melting_Curves/meltCurve_F5H315_XAB2.pdf</t>
  </si>
  <si>
    <t>Melting_Curves/meltCurve_F5H365_SEC23A.pdf</t>
  </si>
  <si>
    <t>Melting_Curves/meltCurve_F5H3G6_PTPRB.pdf</t>
  </si>
  <si>
    <t>Melting_Curves/meltCurve_F5H3Q7_RPAIN.pdf</t>
  </si>
  <si>
    <t>Melting_Curves/meltCurve_F5H442_TSG101.pdf</t>
  </si>
  <si>
    <t>Melting_Curves/meltCurve_F5H476_ANGEL2.pdf</t>
  </si>
  <si>
    <t>Melting_Curves/meltCurve_F5H4B1_PRAME.pdf</t>
  </si>
  <si>
    <t>Melting_Curves/meltCurve_F5H4G7_KPNA6.pdf</t>
  </si>
  <si>
    <t>Melting_Curves/meltCurve_F5H4J2_PEX14.pdf</t>
  </si>
  <si>
    <t>Melting_Curves/meltCurve_F5H4Q5_VPS37C.pdf</t>
  </si>
  <si>
    <t>Melting_Curves/meltCurve_F5H4S9_TJP3.pdf</t>
  </si>
  <si>
    <t>Melting_Curves/meltCurve_F5H4U6_ACSBG1.pdf</t>
  </si>
  <si>
    <t>Melting_Curves/meltCurve_F5H4V9_PDCD2.pdf</t>
  </si>
  <si>
    <t>Melting_Curves/meltCurve_F5H542_ZFPM2.pdf</t>
  </si>
  <si>
    <t>Melting_Curves/meltCurve_F5H590_JARID2.pdf</t>
  </si>
  <si>
    <t>Melting_Curves/meltCurve_F5H598_TRMT10B.pdf</t>
  </si>
  <si>
    <t>Melting_Curves/meltCurve_F5H5A3_MAP4K3.pdf</t>
  </si>
  <si>
    <t>Melting_Curves/meltCurve_F5H5C2_NUP133.pdf</t>
  </si>
  <si>
    <t>Melting_Curves/meltCurve_F5H5M7_IFNGR1.pdf</t>
  </si>
  <si>
    <t>Melting_Curves/meltCurve_F5H5U2_DDX55.pdf</t>
  </si>
  <si>
    <t>Melting_Curves/meltCurve_F5H604_CLASP2.pdf</t>
  </si>
  <si>
    <t>Melting_Curves/meltCurve_F5H6I7_ATL3.pdf</t>
  </si>
  <si>
    <t>Melting_Curves/meltCurve_F5H6M9_BRD1.pdf</t>
  </si>
  <si>
    <t>Melting_Curves/meltCurve_F5H6P3_INSIG1.pdf</t>
  </si>
  <si>
    <t>Melting_Curves/meltCurve_F5H6Z0_CDK17.pdf</t>
  </si>
  <si>
    <t>Melting_Curves/meltCurve_F5H715_AIDA.pdf</t>
  </si>
  <si>
    <t>Melting_Curves/meltCurve_F5H721_WBP11.pdf</t>
  </si>
  <si>
    <t>Melting_Curves/meltCurve_F5H777_CCDC82.pdf</t>
  </si>
  <si>
    <t>Melting_Curves/meltCurve_F5H7F6_MGST1.pdf</t>
  </si>
  <si>
    <t>Melting_Curves/meltCurve_F5H7I4_GABPB1.pdf</t>
  </si>
  <si>
    <t>Melting_Curves/meltCurve_F5H7V7_NDUFA8.pdf</t>
  </si>
  <si>
    <t>Melting_Curves/meltCurve_F5H801_OGDH.pdf</t>
  </si>
  <si>
    <t>Melting_Curves/meltCurve_F5H837_RBL2.pdf</t>
  </si>
  <si>
    <t>Melting_Curves/meltCurve_F5H860_INPP4A.pdf</t>
  </si>
  <si>
    <t>Melting_Curves/meltCurve_F5H897_TRAP1.pdf</t>
  </si>
  <si>
    <t>Melting_Curves/meltCurve_F5H8H2_MVK.pdf</t>
  </si>
  <si>
    <t>Melting_Curves/meltCurve_F6PQP6_EPN2.pdf</t>
  </si>
  <si>
    <t>Melting_Curves/meltCurve_F6QR24_NUP153.pdf</t>
  </si>
  <si>
    <t>Melting_Curves/meltCurve_F6TQG2_SMARCA1.pdf</t>
  </si>
  <si>
    <t>Melting_Curves/meltCurve_F6U1F2_BAG6.pdf</t>
  </si>
  <si>
    <t>Melting_Curves/meltCurve_F6U1T9_PPP3R1.pdf</t>
  </si>
  <si>
    <t>Melting_Curves/meltCurve_F6V2D4_LGALS8.pdf</t>
  </si>
  <si>
    <t>Melting_Curves/meltCurve_F6V707_TPD52L1.pdf</t>
  </si>
  <si>
    <t>Melting_Curves/meltCurve_F6XY72_NME2.pdf</t>
  </si>
  <si>
    <t>Melting_Curves/meltCurve_F6YA60_ITFG2.pdf</t>
  </si>
  <si>
    <t>Melting_Curves/meltCurve_F8VP51_C14orf80.pdf</t>
  </si>
  <si>
    <t>Melting_Curves/meltCurve_F8VP53_COQ5.pdf</t>
  </si>
  <si>
    <t>Melting_Curves/meltCurve_F8VP89_EIF4B.pdf</t>
  </si>
  <si>
    <t>Melting_Curves/meltCurve_F8VPD4_CAD.pdf</t>
  </si>
  <si>
    <t>Melting_Curves/meltCurve_F8VPL6_IKZF4.pdf</t>
  </si>
  <si>
    <t>Melting_Curves/meltCurve_F8VQX6_METTL7A.pdf</t>
  </si>
  <si>
    <t>Melting_Curves/meltCurve_F8VS10_SPATS2.pdf</t>
  </si>
  <si>
    <t>Melting_Curves/meltCurve_F8VS47_NEK3.pdf</t>
  </si>
  <si>
    <t>Melting_Curves/meltCurve_F8VSL3_NFYB.pdf</t>
  </si>
  <si>
    <t>Melting_Curves/meltCurve_F8VSZ4_PLXNA1.pdf</t>
  </si>
  <si>
    <t>Melting_Curves/meltCurve_F8VUW5_DAZAP2.pdf</t>
  </si>
  <si>
    <t>Melting_Curves/meltCurve_F8VV04_SART3.pdf</t>
  </si>
  <si>
    <t>Melting_Curves/meltCurve_F8VV52_CNOT2.pdf</t>
  </si>
  <si>
    <t>Melting_Curves/meltCurve_F8VV59_NAP1L1.pdf</t>
  </si>
  <si>
    <t>Melting_Curves/meltCurve_F8VWA6_MON2.pdf</t>
  </si>
  <si>
    <t>Melting_Curves/meltCurve_F8VX32_DMD.pdf</t>
  </si>
  <si>
    <t>Melting_Curves/meltCurve_F8VY35_NAP1L1.pdf</t>
  </si>
  <si>
    <t>Melting_Curves/meltCurve_F8VZJ2_NACA.pdf</t>
  </si>
  <si>
    <t>Melting_Curves/meltCurve_F8VZQ7_ATXN2.pdf</t>
  </si>
  <si>
    <t>Melting_Curves/meltCurve_F8W038_C17orf49.pdf</t>
  </si>
  <si>
    <t>Melting_Curves/meltCurve_F8W0U7_BTG1.pdf</t>
  </si>
  <si>
    <t>Melting_Curves/meltCurve_F8W1A4_AK2.pdf</t>
  </si>
  <si>
    <t>Melting_Curves/meltCurve_F8W1I9_ACAD10.pdf</t>
  </si>
  <si>
    <t>Melting_Curves/meltCurve_F8W1N9_NFE2.pdf</t>
  </si>
  <si>
    <t>Melting_Curves/meltCurve_F8W1R9_TGFBR1.pdf</t>
  </si>
  <si>
    <t>Melting_Curves/meltCurve_F8W6D1_RNF216.pdf</t>
  </si>
  <si>
    <t>Melting_Curves/meltCurve_F8W6T6_TLE4.pdf</t>
  </si>
  <si>
    <t>Melting_Curves/meltCurve_F8W782_ADIPOR1.pdf</t>
  </si>
  <si>
    <t>Melting_Curves/meltCurve_F8W785_GOLIM4.pdf</t>
  </si>
  <si>
    <t>Melting_Curves/meltCurve_F8W7C6_RPL10.pdf</t>
  </si>
  <si>
    <t>Melting_Curves/meltCurve_F8W840_YTHDF1.pdf</t>
  </si>
  <si>
    <t>Melting_Curves/meltCurve_F8W8C2_VEZT.pdf</t>
  </si>
  <si>
    <t>Melting_Curves/meltCurve_F8W8H5_RAB24.pdf</t>
  </si>
  <si>
    <t>Melting_Curves/meltCurve_F8W8I6_TIA1.pdf</t>
  </si>
  <si>
    <t>Melting_Curves/meltCurve_F8W8M3_PPP1R12B.pdf</t>
  </si>
  <si>
    <t>Melting_Curves/meltCurve_F8W964_TLE3.pdf</t>
  </si>
  <si>
    <t>Melting_Curves/meltCurve_F8W9F9_WNK2.pdf</t>
  </si>
  <si>
    <t>Melting_Curves/meltCurve_F8W9R9_MED24.pdf</t>
  </si>
  <si>
    <t>Melting_Curves/meltCurve_F8W9W2_GRK6.pdf</t>
  </si>
  <si>
    <t>Melting_Curves/meltCurve_F8W9X7_CCDC93.pdf</t>
  </si>
  <si>
    <t>Melting_Curves/meltCurve_F8WA13_MYCBP2.pdf</t>
  </si>
  <si>
    <t>Melting_Curves/meltCurve_F8WA86_CNN3.pdf</t>
  </si>
  <si>
    <t>Melting_Curves/meltCurve_F8WAJ0_DDX31.pdf</t>
  </si>
  <si>
    <t>Melting_Curves/meltCurve_F8WAK8_STAG2.pdf</t>
  </si>
  <si>
    <t>Melting_Curves/meltCurve_F8WAM4_RTN4.pdf</t>
  </si>
  <si>
    <t>Melting_Curves/meltCurve_F8WAS3_NDUFA5.pdf</t>
  </si>
  <si>
    <t>Melting_Curves/meltCurve_F8WB05_ATXN2.pdf</t>
  </si>
  <si>
    <t>Melting_Curves/meltCurve_F8WB06_ATXN2.pdf</t>
  </si>
  <si>
    <t>Melting_Curves/meltCurve_F8WBJ6_PNO1.pdf</t>
  </si>
  <si>
    <t>Melting_Curves/meltCurve_F8WBK5_MRPL40.pdf</t>
  </si>
  <si>
    <t>Melting_Curves/meltCurve_F8WBS5_RPL35A.pdf</t>
  </si>
  <si>
    <t>Melting_Curves/meltCurve_F8WBU4_SFI1.pdf</t>
  </si>
  <si>
    <t>Melting_Curves/meltCurve_F8WC89_SAC3D1.pdf</t>
  </si>
  <si>
    <t>Melting_Curves/meltCurve_F8WCD0_RNF149.pdf</t>
  </si>
  <si>
    <t>Melting_Curves/meltCurve_F8WD17_ATL2.pdf</t>
  </si>
  <si>
    <t>Melting_Curves/meltCurve_F8WDE8_SKIV2L.pdf</t>
  </si>
  <si>
    <t>Melting_Curves/meltCurve_F8WEE4_ZFAND2B.pdf</t>
  </si>
  <si>
    <t>Melting_Curves/meltCurve_F8WEG4_CBWD2.pdf</t>
  </si>
  <si>
    <t>Melting_Curves/meltCurve_F8WF48_SEC62.pdf</t>
  </si>
  <si>
    <t>Melting_Curves/meltCurve_F8WJN3_CPSF6.pdf</t>
  </si>
  <si>
    <t>Melting_Curves/meltCurve_G3V0I8_SREBF2.pdf</t>
  </si>
  <si>
    <t>Melting_Curves/meltCurve_G3V1D4_LIN7C.pdf</t>
  </si>
  <si>
    <t>Melting_Curves/meltCurve_G3V1R3_ZEB1.pdf</t>
  </si>
  <si>
    <t>Melting_Curves/meltCurve_G3V1R9_ISYNA1.pdf</t>
  </si>
  <si>
    <t>Melting_Curves/meltCurve_G3V1S6_GALNT2.pdf</t>
  </si>
  <si>
    <t>Melting_Curves/meltCurve_G3V1U0_ATF7IP.pdf</t>
  </si>
  <si>
    <t>Melting_Curves/meltCurve_G3V1Y1_ACTR6.pdf</t>
  </si>
  <si>
    <t>Melting_Curves/meltCurve_G3V203_RPL18.pdf</t>
  </si>
  <si>
    <t>Melting_Curves/meltCurve_G3V2B8_MTHFD1.pdf</t>
  </si>
  <si>
    <t>Melting_Curves/meltCurve_G3V2U7_ACYP1.pdf</t>
  </si>
  <si>
    <t>Melting_Curves/meltCurve_G3V339_WARS.pdf</t>
  </si>
  <si>
    <t>Melting_Curves/meltCurve_G3V398_ZNF410.pdf</t>
  </si>
  <si>
    <t>Melting_Curves/meltCurve_G3V3G9_DCAF8.pdf</t>
  </si>
  <si>
    <t>Melting_Curves/meltCurve_G3V3R7_ATXN3.pdf</t>
  </si>
  <si>
    <t>Melting_Curves/meltCurve_G3V4C1_HNRNPC.pdf</t>
  </si>
  <si>
    <t>Melting_Curves/meltCurve_G3V4C9_FNTB.pdf</t>
  </si>
  <si>
    <t>Melting_Curves/meltCurve_G3V4E1_DGKA.pdf</t>
  </si>
  <si>
    <t>Melting_Curves/meltCurve_G3V4P7_AP4S1.pdf</t>
  </si>
  <si>
    <t>Melting_Curves/meltCurve_G3V4W0_HNRNPC.pdf</t>
  </si>
  <si>
    <t>Melting_Curves/meltCurve_G3V529_DDX24.pdf</t>
  </si>
  <si>
    <t>Melting_Curves/meltCurve_G3V567_PAX6.pdf</t>
  </si>
  <si>
    <t>Melting_Curves/meltCurve_G3V599_CTAGE5.pdf</t>
  </si>
  <si>
    <t>Melting_Curves/meltCurve_G3V5T0_GSTZ1.pdf</t>
  </si>
  <si>
    <t>Melting_Curves/meltCurve_G3V5V3_NEMF.pdf</t>
  </si>
  <si>
    <t>Melting_Curves/meltCurve_G3V5V7_HNRNPC.pdf</t>
  </si>
  <si>
    <t>Melting_Curves/meltCurve_G3XA91_METAP2.pdf</t>
  </si>
  <si>
    <t>Melting_Curves/meltCurve_G3XAA0_ARID1B.pdf</t>
  </si>
  <si>
    <t>Melting_Curves/meltCurve_G3XAA2_MAP4K4.pdf</t>
  </si>
  <si>
    <t>Melting_Curves/meltCurve_G3XAH0_SEPT5.pdf</t>
  </si>
  <si>
    <t>Melting_Curves/meltCurve_G3XAI9_FAM133B.pdf</t>
  </si>
  <si>
    <t>Melting_Curves/meltCurve_G3XAL9_SLC12A2.pdf</t>
  </si>
  <si>
    <t>Melting_Curves/meltCurve_G5E948_MAP4K4.pdf</t>
  </si>
  <si>
    <t>Melting_Curves/meltCurve_G5E953_MTMR3.pdf</t>
  </si>
  <si>
    <t>Melting_Curves/meltCurve_G5E9A6_USP11.pdf</t>
  </si>
  <si>
    <t>Melting_Curves/meltCurve_G5E9B5_TFPT.pdf</t>
  </si>
  <si>
    <t>Melting_Curves/meltCurve_G5E9C8_SOS1.pdf</t>
  </si>
  <si>
    <t>Melting_Curves/meltCurve_G5E9F3_CABIN1.pdf</t>
  </si>
  <si>
    <t>Melting_Curves/meltCurve_G5E9F8_PROS1.pdf</t>
  </si>
  <si>
    <t>Melting_Curves/meltCurve_G5E9M4_ZNF277.pdf</t>
  </si>
  <si>
    <t>Melting_Curves/meltCurve_G5E9W7_MRPS22.pdf</t>
  </si>
  <si>
    <t>Melting_Curves/meltCurve_G5E9X3_FNDC3A.pdf</t>
  </si>
  <si>
    <t>Melting_Curves/meltCurve_G5E9Z2_CLPTM1L.pdf</t>
  </si>
  <si>
    <t>Melting_Curves/meltCurve_G5EA02_C4orf21.pdf</t>
  </si>
  <si>
    <t>Melting_Curves/meltCurve_G5EA07_PWWP2A.pdf</t>
  </si>
  <si>
    <t>Melting_Curves/meltCurve_G5EA52_PDIA3.pdf</t>
  </si>
  <si>
    <t>Melting_Curves/meltCurve_G8JL86_COBLL1.pdf</t>
  </si>
  <si>
    <t>Melting_Curves/meltCurve_G8JL95_MAU2.pdf</t>
  </si>
  <si>
    <t>Melting_Curves/meltCurve_G8JL98_TDG.pdf</t>
  </si>
  <si>
    <t>Melting_Curves/meltCurve_G8JLB3_PUS1.pdf</t>
  </si>
  <si>
    <t>Melting_Curves/meltCurve_G8JLE5_TIPIN.pdf</t>
  </si>
  <si>
    <t>Melting_Curves/meltCurve_G8JLH2_CDC25B.pdf</t>
  </si>
  <si>
    <t>Melting_Curves/meltCurve_G8JLI5_WDR45.pdf</t>
  </si>
  <si>
    <t>Melting_Curves/meltCurve_G8JLK1_USE1.pdf</t>
  </si>
  <si>
    <t>Melting_Curves/meltCurve_G8JLK3_PACS2.pdf</t>
  </si>
  <si>
    <t>Melting_Curves/meltCurve_G8JLL2_PPT2.pdf</t>
  </si>
  <si>
    <t>Melting_Curves/meltCurve_H0Y2S9_MPRIP.pdf</t>
  </si>
  <si>
    <t>Melting_Curves/meltCurve_H0Y390_MACF1.pdf</t>
  </si>
  <si>
    <t>Melting_Curves/meltCurve_H0Y3A0_RPL35.pdf</t>
  </si>
  <si>
    <t>Melting_Curves/meltCurve_H0Y3K7_ABLIM1.pdf</t>
  </si>
  <si>
    <t>Melting_Curves/meltCurve_H0Y3N9_PHF8.pdf</t>
  </si>
  <si>
    <t>Melting_Curves/meltCurve_H0Y3P2_EIF4G2.pdf</t>
  </si>
  <si>
    <t>Melting_Curves/meltCurve_H0Y3R4_SETD5.pdf</t>
  </si>
  <si>
    <t>Melting_Curves/meltCurve_H0Y452_C7orf43.pdf</t>
  </si>
  <si>
    <t>Melting_Curves/meltCurve_H0Y459_NCOR1.pdf</t>
  </si>
  <si>
    <t>Melting_Curves/meltCurve_H0Y4R1_IMPDH2.pdf</t>
  </si>
  <si>
    <t>Melting_Curves/meltCurve_H0Y4V9_LARP4B.pdf</t>
  </si>
  <si>
    <t>Melting_Curves/meltCurve_H0Y547_ATP11A.pdf</t>
  </si>
  <si>
    <t>Melting_Curves/meltCurve_H0Y5C2_ATE1.pdf</t>
  </si>
  <si>
    <t>Melting_Curves/meltCurve_H0Y5D5_CIZ1.pdf</t>
  </si>
  <si>
    <t>Melting_Curves/meltCurve_H0Y6C3_PYCRL.pdf</t>
  </si>
  <si>
    <t>Melting_Curves/meltCurve_H0Y714_IMP4.pdf</t>
  </si>
  <si>
    <t>Melting_Curves/meltCurve_H0Y7H8_ARID1B.pdf</t>
  </si>
  <si>
    <t>Melting_Curves/meltCurve_H0Y7J9_WNK2.pdf</t>
  </si>
  <si>
    <t>Melting_Curves/meltCurve_H0Y858_.pdf</t>
  </si>
  <si>
    <t>Melting_Curves/meltCurve_H0Y8G9_HERC3.pdf</t>
  </si>
  <si>
    <t>Melting_Curves/meltCurve_H0Y8X4_DNPH1.pdf</t>
  </si>
  <si>
    <t>Melting_Curves/meltCurve_H0Y905_RAPGEF2.pdf</t>
  </si>
  <si>
    <t>Melting_Curves/meltCurve_H0Y990_ABCE1.pdf</t>
  </si>
  <si>
    <t>Melting_Curves/meltCurve_H0Y9N5_TROVE2.pdf</t>
  </si>
  <si>
    <t>Melting_Curves/meltCurve_H0Y9S9_PPIP5K2.pdf</t>
  </si>
  <si>
    <t>Melting_Curves/meltCurve_H0YA52_PCBD2.pdf</t>
  </si>
  <si>
    <t>Melting_Curves/meltCurve_H0YA61_RBM24.pdf</t>
  </si>
  <si>
    <t>Melting_Curves/meltCurve_H0YA68_MAN2B2.pdf</t>
  </si>
  <si>
    <t>Melting_Curves/meltCurve_H0YA80_UBE2B.pdf</t>
  </si>
  <si>
    <t>Melting_Curves/meltCurve_H0YAD3_SPATA24.pdf</t>
  </si>
  <si>
    <t>Melting_Curves/meltCurve_H0YAE0_C5orf24.pdf</t>
  </si>
  <si>
    <t>Melting_Curves/meltCurve_H0YAJ5_APBB2.pdf</t>
  </si>
  <si>
    <t>Melting_Curves/meltCurve_H0YB11_C14orf159.pdf</t>
  </si>
  <si>
    <t>Melting_Curves/meltCurve_H0YB18_HYI.pdf</t>
  </si>
  <si>
    <t>Melting_Curves/meltCurve_H0YBQ5_CCNC.pdf</t>
  </si>
  <si>
    <t>Melting_Curves/meltCurve_H0YBU8_MRPL43.pdf</t>
  </si>
  <si>
    <t>Melting_Curves/meltCurve_H0YBZ4_MTFR1.pdf</t>
  </si>
  <si>
    <t>Melting_Curves/meltCurve_H0YCG1_SF3B2.pdf</t>
  </si>
  <si>
    <t>Melting_Curves/meltCurve_H0YCU9_TAGLN.pdf</t>
  </si>
  <si>
    <t>Melting_Curves/meltCurve_H0YD69_MACF1.pdf</t>
  </si>
  <si>
    <t>Melting_Curves/meltCurve_H0YDE2_PLEKHA7.pdf</t>
  </si>
  <si>
    <t>Melting_Curves/meltCurve_H0YDF9_SCRIB.pdf</t>
  </si>
  <si>
    <t>Melting_Curves/meltCurve_H0YDM4_HOOK3.pdf</t>
  </si>
  <si>
    <t>Melting_Curves/meltCurve_H0YDP7_MRPL49.pdf</t>
  </si>
  <si>
    <t>Melting_Curves/meltCurve_H0YDS2_TRMT44.pdf</t>
  </si>
  <si>
    <t>Melting_Curves/meltCurve_H0YDU8_PPP5C.pdf</t>
  </si>
  <si>
    <t>Melting_Curves/meltCurve_H0YE21_C11orf80.pdf</t>
  </si>
  <si>
    <t>Melting_Curves/meltCurve_H0YE28_C11orf31.pdf</t>
  </si>
  <si>
    <t>Melting_Curves/meltCurve_H0YE76_ASCC1.pdf</t>
  </si>
  <si>
    <t>Melting_Curves/meltCurve_H0YEB6_SSSCA1.pdf</t>
  </si>
  <si>
    <t>Melting_Curves/meltCurve_H0YEB8_RNPC3.pdf</t>
  </si>
  <si>
    <t>Melting_Curves/meltCurve_H0YEF3_RNASEH2C.pdf</t>
  </si>
  <si>
    <t>Melting_Curves/meltCurve_H0YEL0_GEMIN2.pdf</t>
  </si>
  <si>
    <t>Melting_Curves/meltCurve_H0YEX2_TAF2.pdf</t>
  </si>
  <si>
    <t>Melting_Curves/meltCurve_H0YFY6_NUMA1.pdf</t>
  </si>
  <si>
    <t>Melting_Curves/meltCurve_H0YGR4_REXO2.pdf</t>
  </si>
  <si>
    <t>Melting_Curves/meltCurve_H0YHC3_NAP1L1.pdf</t>
  </si>
  <si>
    <t>Melting_Curves/meltCurve_H0YIE9_FBXO21.pdf</t>
  </si>
  <si>
    <t>Melting_Curves/meltCurve_H0YIQ8_KANSL2.pdf</t>
  </si>
  <si>
    <t>Melting_Curves/meltCurve_H0YJA8_C14orf142.pdf</t>
  </si>
  <si>
    <t>Melting_Curves/meltCurve_H0YJH2_CEP128.pdf</t>
  </si>
  <si>
    <t>Melting_Curves/meltCurve_H0YKX3_KIAA0101.pdf</t>
  </si>
  <si>
    <t>Melting_Curves/meltCurve_H0YLA0_PRC1.pdf</t>
  </si>
  <si>
    <t>Melting_Curves/meltCurve_H0YLB5_POU2F1.pdf</t>
  </si>
  <si>
    <t>Melting_Curves/meltCurve_H0YLF3_B2M.pdf</t>
  </si>
  <si>
    <t>Melting_Curves/meltCurve_H0YLN8_TRPM7.pdf</t>
  </si>
  <si>
    <t>Melting_Curves/meltCurve_H0YLQ9_EID1.pdf</t>
  </si>
  <si>
    <t>Melting_Curves/meltCurve_H0YLX2_RFX7.pdf</t>
  </si>
  <si>
    <t>Melting_Curves/meltCurve_H0YM23_ANKRD17.pdf</t>
  </si>
  <si>
    <t>Melting_Curves/meltCurve_H0YMB3_GMPR2.pdf</t>
  </si>
  <si>
    <t>Melting_Curves/meltCurve_H0YMX4_GATM.pdf</t>
  </si>
  <si>
    <t>Melting_Curves/meltCurve_H0YN78_C15orf57.pdf</t>
  </si>
  <si>
    <t>Melting_Curves/meltCurve_H0YNE9_RAB8B.pdf</t>
  </si>
  <si>
    <t>Melting_Curves/meltCurve_H0YNG3_SEC11A.pdf</t>
  </si>
  <si>
    <t>Melting_Curves/meltCurve_H0YNH8_UACA.pdf</t>
  </si>
  <si>
    <t>Melting_Curves/meltCurve_H0YNU5_BLM.pdf</t>
  </si>
  <si>
    <t>Melting_Curves/meltCurve_H3BLV0_CD55.pdf</t>
  </si>
  <si>
    <t>Melting_Curves/meltCurve_H3BM67_NOL3.pdf</t>
  </si>
  <si>
    <t>Melting_Curves/meltCurve_H3BM79_AKTIP.pdf</t>
  </si>
  <si>
    <t>Melting_Curves/meltCurve_H3BMJ2_C15orf39.pdf</t>
  </si>
  <si>
    <t>Melting_Curves/meltCurve_H3BNT4_MPHOSPH6.pdf</t>
  </si>
  <si>
    <t>Melting_Curves/meltCurve_H3BPB8_MPI.pdf</t>
  </si>
  <si>
    <t>Melting_Curves/meltCurve_H3BPE1_MACF1.pdf</t>
  </si>
  <si>
    <t>Melting_Curves/meltCurve_H3BPJ6_ZNF276.pdf</t>
  </si>
  <si>
    <t>Melting_Curves/meltCurve_H3BPK3_HAGH.pdf</t>
  </si>
  <si>
    <t>Melting_Curves/meltCurve_H3BPS8_ALDOA.pdf</t>
  </si>
  <si>
    <t>Melting_Curves/meltCurve_H3BQA0_SNAPC5.pdf</t>
  </si>
  <si>
    <t>Melting_Curves/meltCurve_H3BQZ7_hCG_2044799.pdf</t>
  </si>
  <si>
    <t>Melting_Curves/meltCurve_H3BRF9_ZFYVE19.pdf</t>
  </si>
  <si>
    <t>Melting_Curves/meltCurve_H3BRL3_UBFD1.pdf</t>
  </si>
  <si>
    <t>Melting_Curves/meltCurve_H3BRR0_SPG21.pdf</t>
  </si>
  <si>
    <t>Melting_Curves/meltCurve_H3BRU4_GPR97.pdf</t>
  </si>
  <si>
    <t>Melting_Curves/meltCurve_H3BRV0_EIF3C.pdf</t>
  </si>
  <si>
    <t>Melting_Curves/meltCurve_H3BS09_CYLD.pdf</t>
  </si>
  <si>
    <t>Melting_Curves/meltCurve_H3BSC1_RAB11A.pdf</t>
  </si>
  <si>
    <t>Melting_Curves/meltCurve_H3BSJ5_COQ9.pdf</t>
  </si>
  <si>
    <t>Melting_Curves/meltCurve_H3BSJ9_UQCRC2.pdf</t>
  </si>
  <si>
    <t>Melting_Curves/meltCurve_H3BST1_BLOC1S6.pdf</t>
  </si>
  <si>
    <t>Melting_Curves/meltCurve_H3BSZ4_MLST8.pdf</t>
  </si>
  <si>
    <t>Melting_Curves/meltCurve_H3BT74_CDK10.pdf</t>
  </si>
  <si>
    <t>Melting_Curves/meltCurve_H3BTB7_EARS2.pdf</t>
  </si>
  <si>
    <t>Melting_Curves/meltCurve_H3BTL1_MAP1LC3B.pdf</t>
  </si>
  <si>
    <t>Melting_Curves/meltCurve_H3BTT7_HERPUD1.pdf</t>
  </si>
  <si>
    <t>Melting_Curves/meltCurve_H3BU49_ARL2BP.pdf</t>
  </si>
  <si>
    <t>Melting_Curves/meltCurve_H3BU51_NPTN.pdf</t>
  </si>
  <si>
    <t>Melting_Curves/meltCurve_H3BUF6_ATXN2L.pdf</t>
  </si>
  <si>
    <t>Melting_Curves/meltCurve_H3BUJ7_E4F1.pdf</t>
  </si>
  <si>
    <t>Melting_Curves/meltCurve_H3BUQ2_OGFOD1.pdf</t>
  </si>
  <si>
    <t>Melting_Curves/meltCurve_H3BV16_NDUFB10.pdf</t>
  </si>
  <si>
    <t>Melting_Curves/meltCurve_H3BV80_RNPS1.pdf</t>
  </si>
  <si>
    <t>Melting_Curves/meltCurve_H6UMI1_GABARAP.pdf</t>
  </si>
  <si>
    <t>Melting_Curves/meltCurve_H7BXD5_GCA.pdf</t>
  </si>
  <si>
    <t>Melting_Curves/meltCurve_H7BXF5_SAP130.pdf</t>
  </si>
  <si>
    <t>Melting_Curves/meltCurve_H7BXG2_NPRL3.pdf</t>
  </si>
  <si>
    <t>Melting_Curves/meltCurve_H7BXH2_PPP6R3.pdf</t>
  </si>
  <si>
    <t>Melting_Curves/meltCurve_H7BXI1_ESYT2.pdf</t>
  </si>
  <si>
    <t>Melting_Curves/meltCurve_H7BXQ9_ERCC6L2.pdf</t>
  </si>
  <si>
    <t>Melting_Curves/meltCurve_H7BXU9_FGFR2.pdf</t>
  </si>
  <si>
    <t>Melting_Curves/meltCurve_H7BXV5_COL18A1.pdf</t>
  </si>
  <si>
    <t>Melting_Curves/meltCurve_H7BXZ5_KALRN.pdf</t>
  </si>
  <si>
    <t>Melting_Curves/meltCurve_H7BY16_NCL.pdf</t>
  </si>
  <si>
    <t>Melting_Curves/meltCurve_H7BY31_OBSCN.pdf</t>
  </si>
  <si>
    <t>Melting_Curves/meltCurve_H7BY36_EWSR1.pdf</t>
  </si>
  <si>
    <t>Melting_Curves/meltCurve_H7BYK9_STAG3.pdf</t>
  </si>
  <si>
    <t>Melting_Curves/meltCurve_H7BYN4_KIF23.pdf</t>
  </si>
  <si>
    <t>Melting_Curves/meltCurve_H7BYY1_TPM1.pdf</t>
  </si>
  <si>
    <t>Melting_Curves/meltCurve_H7BZJ3_PDIA3.pdf</t>
  </si>
  <si>
    <t>Melting_Curves/meltCurve_H7BZK3_DNAJB14.pdf</t>
  </si>
  <si>
    <t>Melting_Curves/meltCurve_H7BZS7_MCEE.pdf</t>
  </si>
  <si>
    <t>Melting_Curves/meltCurve_H7C0J3_CHD3.pdf</t>
  </si>
  <si>
    <t>Melting_Curves/meltCurve_H7C0S8_.pdf</t>
  </si>
  <si>
    <t>Melting_Curves/meltCurve_H7C137_RANBP1.pdf</t>
  </si>
  <si>
    <t>Melting_Curves/meltCurve_H7C144_ACTN4.pdf</t>
  </si>
  <si>
    <t>Melting_Curves/meltCurve_H7C1C1_DONSON.pdf</t>
  </si>
  <si>
    <t>Melting_Curves/meltCurve_H7C1M0_FANCL.pdf</t>
  </si>
  <si>
    <t>Melting_Curves/meltCurve_H7C1M5_DNTTIP1.pdf</t>
  </si>
  <si>
    <t>Melting_Curves/meltCurve_H7C1N2_COBL.pdf</t>
  </si>
  <si>
    <t>Melting_Curves/meltCurve_H7C1U3_CC2D1B.pdf</t>
  </si>
  <si>
    <t>Melting_Curves/meltCurve_H7C1W2_IDH3G.pdf</t>
  </si>
  <si>
    <t>Melting_Curves/meltCurve_H7C284_MFSD6.pdf</t>
  </si>
  <si>
    <t>Melting_Curves/meltCurve_H7C2G2_ART4.pdf</t>
  </si>
  <si>
    <t>Melting_Curves/meltCurve_H7C3E1_ATP6AP2.pdf</t>
  </si>
  <si>
    <t>Melting_Curves/meltCurve_H7C3P4_GNS.pdf</t>
  </si>
  <si>
    <t>Melting_Curves/meltCurve_H7C463_IMMT.pdf</t>
  </si>
  <si>
    <t>Melting_Curves/meltCurve_H7C4K1_STK19.pdf</t>
  </si>
  <si>
    <t>Melting_Curves/meltCurve_H7C4S2_HBP1.pdf</t>
  </si>
  <si>
    <t>Melting_Curves/meltCurve_H7C4S4_FXR1.pdf</t>
  </si>
  <si>
    <t>Melting_Curves/meltCurve_H7C4Y3_PARP14.pdf</t>
  </si>
  <si>
    <t>Melting_Curves/meltCurve_H7C585_FXN.pdf</t>
  </si>
  <si>
    <t>Melting_Curves/meltCurve_H7C5D9_LRCH4.pdf</t>
  </si>
  <si>
    <t>Melting_Curves/meltCurve_H7C5E8_.pdf</t>
  </si>
  <si>
    <t>Melting_Curves/meltCurve_H7C5F9_SUPT20H.pdf</t>
  </si>
  <si>
    <t>Melting_Curves/meltCurve_H7C5I5_PLSCR1.pdf</t>
  </si>
  <si>
    <t>Melting_Curves/meltCurve_H7C5V4_RNF217.pdf</t>
  </si>
  <si>
    <t>Melting_Curves/meltCurve_H9KV61_PWWP2B.pdf</t>
  </si>
  <si>
    <t>Melting_Curves/meltCurve_H9KVB4_TNRC18.pdf</t>
  </si>
  <si>
    <t>Melting_Curves/meltCurve_I3L097_.pdf</t>
  </si>
  <si>
    <t>Melting_Curves/meltCurve_I3L0E3_MRPS17.pdf</t>
  </si>
  <si>
    <t>Melting_Curves/meltCurve_I3L0N0_ZNF263.pdf</t>
  </si>
  <si>
    <t>Melting_Curves/meltCurve_I3L1H5_DPH1.pdf</t>
  </si>
  <si>
    <t>Melting_Curves/meltCurve_I3L1K6_MYL4.pdf</t>
  </si>
  <si>
    <t>Melting_Curves/meltCurve_I3L1Q3_ELP5.pdf</t>
  </si>
  <si>
    <t>Melting_Curves/meltCurve_I3L1Z4_ZNF213.pdf</t>
  </si>
  <si>
    <t>Melting_Curves/meltCurve_I3L232_B3GNTL1.pdf</t>
  </si>
  <si>
    <t>Melting_Curves/meltCurve_I3L2B0_CLUH.pdf</t>
  </si>
  <si>
    <t>Melting_Curves/meltCurve_I3L2C7_GEMIN4.pdf</t>
  </si>
  <si>
    <t>Melting_Curves/meltCurve_I3L2J0_CIC.pdf</t>
  </si>
  <si>
    <t>Melting_Curves/meltCurve_I3L2L5_FAM195B.pdf</t>
  </si>
  <si>
    <t>Melting_Curves/meltCurve_I3L2N2_DVL2.pdf</t>
  </si>
  <si>
    <t>Melting_Curves/meltCurve_I3L3E4_CHMP6.pdf</t>
  </si>
  <si>
    <t>Melting_Curves/meltCurve_I3L3I8_METTL22.pdf</t>
  </si>
  <si>
    <t>Melting_Curves/meltCurve_I3L3P7_RPS15A.pdf</t>
  </si>
  <si>
    <t>Melting_Curves/meltCurve_I3L3S0_TRAPPC1.pdf</t>
  </si>
  <si>
    <t>Melting_Curves/meltCurve_I3L413_CCNE1.pdf</t>
  </si>
  <si>
    <t>Melting_Curves/meltCurve_I3L428_SMYD4.pdf</t>
  </si>
  <si>
    <t>Melting_Curves/meltCurve_I3L430_HMOX2.pdf</t>
  </si>
  <si>
    <t>Melting_Curves/meltCurve_I3L4C3_SPAG7.pdf</t>
  </si>
  <si>
    <t>Melting_Curves/meltCurve_I3L4X3_NFKBIB.pdf</t>
  </si>
  <si>
    <t>Melting_Curves/meltCurve_I3L4X7_GPS2.pdf</t>
  </si>
  <si>
    <t>Melting_Curves/meltCurve_I3L505_NDUFAB1.pdf</t>
  </si>
  <si>
    <t>Melting_Curves/meltCurve_I3NI44_TOM1L1.pdf</t>
  </si>
  <si>
    <t>Melting_Curves/meltCurve_I6L894_ANK2.pdf</t>
  </si>
  <si>
    <t>Melting_Curves/meltCurve_J3KMY5_NPC2.pdf</t>
  </si>
  <si>
    <t>Melting_Curves/meltCurve_J3KMZ7_INTS2.pdf</t>
  </si>
  <si>
    <t>Melting_Curves/meltCurve_J3KN01_MLLT4.pdf</t>
  </si>
  <si>
    <t>Melting_Curves/meltCurve_J3KN25_GALC.pdf</t>
  </si>
  <si>
    <t>Melting_Curves/meltCurve_J3KN27_FBRSL1.pdf</t>
  </si>
  <si>
    <t>Melting_Curves/meltCurve_J3KN29_PSMD9.pdf</t>
  </si>
  <si>
    <t>Melting_Curves/meltCurve_J3KN33_CNTLN.pdf</t>
  </si>
  <si>
    <t>Melting_Curves/meltCurve_J3KN66_TOR1AIP1.pdf</t>
  </si>
  <si>
    <t>Melting_Curves/meltCurve_J3KN68_VGLL4.pdf</t>
  </si>
  <si>
    <t>Melting_Curves/meltCurve_J3KN93_ANKRD44.pdf</t>
  </si>
  <si>
    <t>Melting_Curves/meltCurve_J3KNB8_MAP3K4.pdf</t>
  </si>
  <si>
    <t>Melting_Curves/meltCurve_J3KND1_SAAL1.pdf</t>
  </si>
  <si>
    <t>Melting_Curves/meltCurve_J3KNF4_CCS.pdf</t>
  </si>
  <si>
    <t>Melting_Curves/meltCurve_J3KNG8_FNIP1.pdf</t>
  </si>
  <si>
    <t>Melting_Curves/meltCurve_J3KNH7_SENP3.pdf</t>
  </si>
  <si>
    <t>Melting_Curves/meltCurve_J3KNK0_BRSK1.pdf</t>
  </si>
  <si>
    <t>Melting_Curves/meltCurve_J3KNL6_SEC16A.pdf</t>
  </si>
  <si>
    <t>Melting_Curves/meltCurve_J3KNL9_ZFYVE1.pdf</t>
  </si>
  <si>
    <t>Melting_Curves/meltCurve_J3KNM5_YAF2.pdf</t>
  </si>
  <si>
    <t>Melting_Curves/meltCurve_J3KNN7_BRAP.pdf</t>
  </si>
  <si>
    <t>Melting_Curves/meltCurve_J3KNU8_ALDH6A1.pdf</t>
  </si>
  <si>
    <t>Melting_Curves/meltCurve_J3KNV1_ZNF292.pdf</t>
  </si>
  <si>
    <t>Melting_Curves/meltCurve_J3KNX4_MUM1.pdf</t>
  </si>
  <si>
    <t>Melting_Curves/meltCurve_J3KNZ9_FBRS.pdf</t>
  </si>
  <si>
    <t>Melting_Curves/meltCurve_J3KP19_SIPA1L1.pdf</t>
  </si>
  <si>
    <t>Melting_Curves/meltCurve_J3KP22_PTPRA.pdf</t>
  </si>
  <si>
    <t>Melting_Curves/meltCurve_J3KP30_DNTTIP2.pdf</t>
  </si>
  <si>
    <t>Melting_Curves/meltCurve_J3KP36_FAM21C.pdf</t>
  </si>
  <si>
    <t>Melting_Curves/meltCurve_J3KP66_PROX1.pdf</t>
  </si>
  <si>
    <t>Melting_Curves/meltCurve_J3KPK1_SYNJ1.pdf</t>
  </si>
  <si>
    <t>Melting_Curves/meltCurve_J3KPS2_FAM83H.pdf</t>
  </si>
  <si>
    <t>Melting_Curves/meltCurve_J3KPT0_DPP8.pdf</t>
  </si>
  <si>
    <t>Melting_Curves/meltCurve_J3KPV7_MPST.pdf</t>
  </si>
  <si>
    <t>Melting_Curves/meltCurve_J3KQ34_COPS7B.pdf</t>
  </si>
  <si>
    <t>Melting_Curves/meltCurve_J3KQD2_SENP2.pdf</t>
  </si>
  <si>
    <t>Melting_Curves/meltCurve_J3KQS2_CDC7.pdf</t>
  </si>
  <si>
    <t>Melting_Curves/meltCurve_J3KQS6_BABAM1.pdf</t>
  </si>
  <si>
    <t>Melting_Curves/meltCurve_J3KR07_CRAMP1L.pdf</t>
  </si>
  <si>
    <t>Melting_Curves/meltCurve_J3KR62_ZNF525.pdf</t>
  </si>
  <si>
    <t>Melting_Curves/meltCurve_J3KR63_ONECUT2.pdf</t>
  </si>
  <si>
    <t>Melting_Curves/meltCurve_J3KRN4_MAP3K3.pdf</t>
  </si>
  <si>
    <t>Melting_Curves/meltCurve_J3KRP6_SS18.pdf</t>
  </si>
  <si>
    <t>Melting_Curves/meltCurve_J3KSB8_MIF4GD.pdf</t>
  </si>
  <si>
    <t>Melting_Curves/meltCurve_J3KSK6_MICAL3.pdf</t>
  </si>
  <si>
    <t>Melting_Curves/meltCurve_J3KSW2_POLI.pdf</t>
  </si>
  <si>
    <t>Melting_Curves/meltCurve_J3KT51_HN1.pdf</t>
  </si>
  <si>
    <t>Melting_Curves/meltCurve_J3KTF8_ARHGDIA.pdf</t>
  </si>
  <si>
    <t>Melting_Curves/meltCurve_J3QK86_BAZ2A.pdf</t>
  </si>
  <si>
    <t>Melting_Curves/meltCurve_J3QL14_ATP6V0D1.pdf</t>
  </si>
  <si>
    <t>Melting_Curves/meltCurve_J3QL56_SCO1.pdf</t>
  </si>
  <si>
    <t>Melting_Curves/meltCurve_J3QLD9_FLOT2.pdf</t>
  </si>
  <si>
    <t>Melting_Curves/meltCurve_J3QLM9_DNAH9.pdf</t>
  </si>
  <si>
    <t>Melting_Curves/meltCurve_J3QLN8_AURKB.pdf</t>
  </si>
  <si>
    <t>Melting_Curves/meltCurve_J3QQ66_ZFHX4.pdf</t>
  </si>
  <si>
    <t>Melting_Curves/meltCurve_J3QQJ5_TRAPPC8.pdf</t>
  </si>
  <si>
    <t>Melting_Curves/meltCurve_J3QQT2_RPL17.pdf</t>
  </si>
  <si>
    <t>Melting_Curves/meltCurve_J3QQW9_SUZ12.pdf</t>
  </si>
  <si>
    <t>Melting_Curves/meltCurve_J3QQX3_FDXR.pdf</t>
  </si>
  <si>
    <t>Melting_Curves/meltCurve_J3QQY0_MSL1.pdf</t>
  </si>
  <si>
    <t>Melting_Curves/meltCurve_J3QR09_RPL19.pdf</t>
  </si>
  <si>
    <t>Melting_Curves/meltCurve_J3QR65_MTMR4.pdf</t>
  </si>
  <si>
    <t>Melting_Curves/meltCurve_J3QRN6_MYO1D.pdf</t>
  </si>
  <si>
    <t>Melting_Curves/meltCurve_J3QRU4_VAMP2.pdf</t>
  </si>
  <si>
    <t>Melting_Curves/meltCurve_J3QSH4_VEZF1.pdf</t>
  </si>
  <si>
    <t>Melting_Curves/meltCurve_J3QT28_BUB3.pdf</t>
  </si>
  <si>
    <t>Melting_Curves/meltCurve_J3QT32_NDEL1.pdf</t>
  </si>
  <si>
    <t>Melting_Curves/meltCurve_J3QT34_MAST4.pdf</t>
  </si>
  <si>
    <t>Melting_Curves/meltCurve_J3QTB1_TMEM173.pdf</t>
  </si>
  <si>
    <t>Melting_Curves/meltCurve_J3QTB2_CHCHD6.pdf</t>
  </si>
  <si>
    <t>Melting_Curves/meltCurve_J3QTM1_DNAH12.pdf</t>
  </si>
  <si>
    <t>Melting_Curves/meltCurve_J3QTV4_RGPD2.pdf</t>
  </si>
  <si>
    <t>Melting_Curves/meltCurve_J9JIC5_C17orf75.pdf</t>
  </si>
  <si>
    <t>Melting_Curves/meltCurve_K4DI92_RWDD4.pdf</t>
  </si>
  <si>
    <t>Melting_Curves/meltCurve_K7EIG1_CLUH.pdf</t>
  </si>
  <si>
    <t>Melting_Curves/meltCurve_K7EIJ0_WBP2.pdf</t>
  </si>
  <si>
    <t>Melting_Curves/meltCurve_K7EIN2_NUDT16L1.pdf</t>
  </si>
  <si>
    <t>Melting_Curves/meltCurve_K7EIP0_ACP5.pdf</t>
  </si>
  <si>
    <t>Melting_Curves/meltCurve_K7EIU8_SMAD4.pdf</t>
  </si>
  <si>
    <t>Melting_Curves/meltCurve_K7EJ08_SEC14L1.pdf</t>
  </si>
  <si>
    <t>Melting_Curves/meltCurve_K7EJ32_SPHK1.pdf</t>
  </si>
  <si>
    <t>Melting_Curves/meltCurve_K7EJH8_ACTN4.pdf</t>
  </si>
  <si>
    <t>Melting_Curves/meltCurve_K7EJQ7_SEC11C.pdf</t>
  </si>
  <si>
    <t>Melting_Curves/meltCurve_K7EJS4_SPINT2.pdf</t>
  </si>
  <si>
    <t>Melting_Curves/meltCurve_K7EK07_H3F3B.pdf</t>
  </si>
  <si>
    <t>Melting_Curves/meltCurve_K7EK35_STAT5A.pdf</t>
  </si>
  <si>
    <t>Melting_Curves/meltCurve_K7EKE6_LONP1.pdf</t>
  </si>
  <si>
    <t>Melting_Curves/meltCurve_K7EKG9_ATXN7L3.pdf</t>
  </si>
  <si>
    <t>Melting_Curves/meltCurve_K7EKI8_PPL.pdf</t>
  </si>
  <si>
    <t>Melting_Curves/meltCurve_K7EKI9_ZNF235.pdf</t>
  </si>
  <si>
    <t>Melting_Curves/meltCurve_K7EKL8_ICAM1.pdf</t>
  </si>
  <si>
    <t>Melting_Curves/meltCurve_K7EKT0_DOCK6.pdf</t>
  </si>
  <si>
    <t>Melting_Curves/meltCurve_K7EL68_CDC37.pdf</t>
  </si>
  <si>
    <t>Melting_Curves/meltCurve_K7EL76_KLC3.pdf</t>
  </si>
  <si>
    <t>Melting_Curves/meltCurve_K7EL81_PPP1R12C.pdf</t>
  </si>
  <si>
    <t>Melting_Curves/meltCurve_K7ELC2_RPS15.pdf</t>
  </si>
  <si>
    <t>Melting_Curves/meltCurve_K7ELW5_PTBP1.pdf</t>
  </si>
  <si>
    <t>Melting_Curves/meltCurve_K7ELY0_WIPI1.pdf</t>
  </si>
  <si>
    <t>Melting_Curves/meltCurve_K7EM02_KATNAL2.pdf</t>
  </si>
  <si>
    <t>Melting_Curves/meltCurve_K7EM09_TMEM205.pdf</t>
  </si>
  <si>
    <t>Melting_Curves/meltCurve_K7EM88_UBALD1.pdf</t>
  </si>
  <si>
    <t>Melting_Curves/meltCurve_K7EML3_C19orf66.pdf</t>
  </si>
  <si>
    <t>Melting_Curves/meltCurve_K7EMW4_NCLN.pdf</t>
  </si>
  <si>
    <t>Melting_Curves/meltCurve_K7EMX1_SPC24.pdf</t>
  </si>
  <si>
    <t>Melting_Curves/meltCurve_K7EMZ7_C19orf57.pdf</t>
  </si>
  <si>
    <t>Melting_Curves/meltCurve_K7EN05_ELOF1.pdf</t>
  </si>
  <si>
    <t>Melting_Curves/meltCurve_K7EN65_MBD1.pdf</t>
  </si>
  <si>
    <t>Melting_Curves/meltCurve_K7EN88_hCG_2039718.pdf</t>
  </si>
  <si>
    <t>Melting_Curves/meltCurve_K7ENF0_NARS.pdf</t>
  </si>
  <si>
    <t>Melting_Curves/meltCurve_K7ENL9_C18orf8.pdf</t>
  </si>
  <si>
    <t>Melting_Curves/meltCurve_K7ENR1_ELK1.pdf</t>
  </si>
  <si>
    <t>Melting_Curves/meltCurve_K7ENR6_PSMG2.pdf</t>
  </si>
  <si>
    <t>Melting_Curves/meltCurve_K7ENY0_MEF2BNB.pdf</t>
  </si>
  <si>
    <t>Melting_Curves/meltCurve_K7EP81_C19orf55.pdf</t>
  </si>
  <si>
    <t>Melting_Curves/meltCurve_K7EPK2_NARS.pdf</t>
  </si>
  <si>
    <t>Melting_Curves/meltCurve_K7EPS8_C19orf12.pdf</t>
  </si>
  <si>
    <t>Melting_Curves/meltCurve_K7EPU2_NFIX.pdf</t>
  </si>
  <si>
    <t>Melting_Curves/meltCurve_K7EQU4_SAFB2.pdf</t>
  </si>
  <si>
    <t>Melting_Curves/meltCurve_K7EQV7_ZNF700.pdf</t>
  </si>
  <si>
    <t>Melting_Curves/meltCurve_K7EQW8_TPM4.pdf</t>
  </si>
  <si>
    <t>Melting_Curves/meltCurve_K7EQX8_MXRA7.pdf</t>
  </si>
  <si>
    <t>Melting_Curves/meltCurve_K7ERF1_EIF3K.pdf</t>
  </si>
  <si>
    <t>Melting_Curves/meltCurve_K7ERQ8_.pdf</t>
  </si>
  <si>
    <t>Melting_Curves/meltCurve_K7ERU7_C19orf43.pdf</t>
  </si>
  <si>
    <t>Melting_Curves/meltCurve_K7ES11_UBE2O.pdf</t>
  </si>
  <si>
    <t>Melting_Curves/meltCurve_K7ES84_FAM86A.pdf</t>
  </si>
  <si>
    <t>Melting_Curves/meltCurve_K7ESB0_APITD1.pdf</t>
  </si>
  <si>
    <t>Melting_Curves/meltCurve_K7ESE3_RAD23A.pdf</t>
  </si>
  <si>
    <t>Melting_Curves/meltCurve_K7ESI9_DNM2.pdf</t>
  </si>
  <si>
    <t>Melting_Curves/meltCurve_L7N2F3_C18orf21.pdf</t>
  </si>
  <si>
    <t>Melting_Curves/meltCurve_M0QWZ7_SARS2.pdf</t>
  </si>
  <si>
    <t>Melting_Curves/meltCurve_M0QX35_PAF1.pdf</t>
  </si>
  <si>
    <t>Melting_Curves/meltCurve_M0QXX4_KPTN.pdf</t>
  </si>
  <si>
    <t>Melting_Curves/meltCurve_M0QY01_EPS15L1.pdf</t>
  </si>
  <si>
    <t>Melting_Curves/meltCurve_M0QY46_USF2.pdf</t>
  </si>
  <si>
    <t>Melting_Curves/meltCurve_M0QYR7_SMG9.pdf</t>
  </si>
  <si>
    <t>Melting_Curves/meltCurve_M0QZ22_SAMD4B.pdf</t>
  </si>
  <si>
    <t>Melting_Curves/meltCurve_M0QZ28_DTNA.pdf</t>
  </si>
  <si>
    <t>Melting_Curves/meltCurve_M0QZ43_HRC.pdf</t>
  </si>
  <si>
    <t>Melting_Curves/meltCurve_M0QZ57_ZBTB45.pdf</t>
  </si>
  <si>
    <t>Melting_Curves/meltCurve_M0QZH0_RCN3.pdf</t>
  </si>
  <si>
    <t>Melting_Curves/meltCurve_M0QZM1_HNRNPM.pdf</t>
  </si>
  <si>
    <t>Melting_Curves/meltCurve_M0QZR4_ARHGEF1.pdf</t>
  </si>
  <si>
    <t>Melting_Curves/meltCurve_M0QZW6_CCDC155.pdf</t>
  </si>
  <si>
    <t>Melting_Curves/meltCurve_M0R009_.pdf</t>
  </si>
  <si>
    <t>Melting_Curves/meltCurve_M0R044_MPND.pdf</t>
  </si>
  <si>
    <t>Melting_Curves/meltCurve_M0R0B4_KXD1.pdf</t>
  </si>
  <si>
    <t>Melting_Curves/meltCurve_M0R0F0_RPS5.pdf</t>
  </si>
  <si>
    <t>Melting_Curves/meltCurve_M0R0Q5_ZNF414.pdf</t>
  </si>
  <si>
    <t>Melting_Curves/meltCurve_M0R299_FBL.pdf</t>
  </si>
  <si>
    <t>Melting_Curves/meltCurve_M0R2C3_ZNF552.pdf</t>
  </si>
  <si>
    <t>Melting_Curves/meltCurve_M0R2S3_CCDC94.pdf</t>
  </si>
  <si>
    <t>Melting_Curves/meltCurve_M0R300_MYO9B.pdf</t>
  </si>
  <si>
    <t>Melting_Curves/meltCurve_M0R3D4_RABAC1.pdf</t>
  </si>
  <si>
    <t>Melting_Curves/meltCurve_O00116_AGPS.pdf</t>
  </si>
  <si>
    <t>Melting_Curves/meltCurve_O00124_2_UBXN8.pdf</t>
  </si>
  <si>
    <t>Melting_Curves/meltCurve_O00139_1_KIF2A.pdf</t>
  </si>
  <si>
    <t>Melting_Curves/meltCurve_O00139_2_KIF2A.pdf</t>
  </si>
  <si>
    <t>Melting_Curves/meltCurve_O00148_DDX39A.pdf</t>
  </si>
  <si>
    <t>Melting_Curves/meltCurve_O00151_PDLIM1.pdf</t>
  </si>
  <si>
    <t>Melting_Curves/meltCurve_O00154_6_ACOT7.pdf</t>
  </si>
  <si>
    <t>Melting_Curves/meltCurve_O00159_MYO1C.pdf</t>
  </si>
  <si>
    <t>Melting_Curves/meltCurve_O00160_MYO1F.pdf</t>
  </si>
  <si>
    <t>Melting_Curves/meltCurve_O00161_SNAP23.pdf</t>
  </si>
  <si>
    <t>Melting_Curves/meltCurve_O00170_AIP.pdf</t>
  </si>
  <si>
    <t>Melting_Curves/meltCurve_O00178_GTPBP1.pdf</t>
  </si>
  <si>
    <t>Melting_Curves/meltCurve_O00186_STXBP3.pdf</t>
  </si>
  <si>
    <t>Melting_Curves/meltCurve_O00213_3_APBB1.pdf</t>
  </si>
  <si>
    <t>Melting_Curves/meltCurve_O00220_TNFRSF10A.pdf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</si>
  <si>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</si>
  <si>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</si>
  <si>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</si>
  <si>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</si>
  <si>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Melting_Curves/meltCurve_O00255_2_MEN1.pdf</t>
  </si>
  <si>
    <t>Melting_Curves/meltCurve_O00257_CBX4.pdf</t>
  </si>
  <si>
    <t>Melting_Curves/meltCurve_O00264_PGRMC1.pdf</t>
  </si>
  <si>
    <t>Melting_Curves/meltCurve_O00268_TAF4.pdf</t>
  </si>
  <si>
    <t>Melting_Curves/meltCurve_O00273_DFFA.pdf</t>
  </si>
  <si>
    <t>Melting_Curves/meltCurve_O00273_2_DFFA.pdf</t>
  </si>
  <si>
    <t>Melting_Curves/meltCurve_O00287_RFXAP.pdf</t>
  </si>
  <si>
    <t>Melting_Curves/meltCurve_O00291_3_HIP1.pdf</t>
  </si>
  <si>
    <t>Melting_Curves/meltCurve_O00299_CLIC1.pdf</t>
  </si>
  <si>
    <t>Melting_Curves/meltCurve_O00303_EIF3F.pdf</t>
  </si>
  <si>
    <t>Melting_Curves/meltCurve_O00308_WWP2.pdf</t>
  </si>
  <si>
    <t>Melting_Curves/meltCurve_O00329_PIK3CD.pdf</t>
  </si>
  <si>
    <t>Melting_Curves/meltCurve_O00399_DCTN6.pdf</t>
  </si>
  <si>
    <t>Melting_Curves/meltCurve_O00401_WASL.pdf</t>
  </si>
  <si>
    <t>Melting_Curves/meltCurve_O00409_2_FOXN3.pdf</t>
  </si>
  <si>
    <t>Melting_Curves/meltCurve_O00410_IPO5.pdf</t>
  </si>
  <si>
    <t>Melting_Curves/meltCurve_O00410_2_IPO5.pdf</t>
  </si>
  <si>
    <t>Melting_Curves/meltCurve_O00411_POLRMT.pdf</t>
  </si>
  <si>
    <t>Melting_Curves/meltCurve_O00418_EEF2K.pdf</t>
  </si>
  <si>
    <t>Melting_Curves/meltCurve_O00422_SAP18.pdf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</si>
  <si>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</si>
  <si>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</si>
  <si>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</si>
  <si>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</si>
  <si>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Melting_Curves/meltCurve_O00443_PIK3C2A.pdf</t>
  </si>
  <si>
    <t>Melting_Curves/meltCurve_O00459_PIK3R2.pdf</t>
  </si>
  <si>
    <t>Melting_Curves/meltCurve_O00462_MANBA.pdf</t>
  </si>
  <si>
    <t>Melting_Curves/meltCurve_O00468_2_AGRN.pdf</t>
  </si>
  <si>
    <t>Melting_Curves/meltCurve_O00471_EXOC5.pdf</t>
  </si>
  <si>
    <t>Melting_Curves/meltCurve_O00479_HMGN4.pdf</t>
  </si>
  <si>
    <t>Melting_Curves/meltCurve_O00487_PSMD14.pdf</t>
  </si>
  <si>
    <t>Melting_Curves/meltCurve_O00488_ZNF593.pdf</t>
  </si>
  <si>
    <t>Melting_Curves/meltCurve_O00499_6_BIN1.pdf</t>
  </si>
  <si>
    <t>Melting_Curves/meltCurve_O00505_KPNA3.pdf</t>
  </si>
  <si>
    <t>Melting_Curves/meltCurve_O00506_STK25.pdf</t>
  </si>
  <si>
    <t>Melting_Curves/meltCurve_O00512_BCL9.pdf</t>
  </si>
  <si>
    <t>Melting_Curves/meltCurve_O00522_3_KRIT1.pdf</t>
  </si>
  <si>
    <t>Melting_Curves/meltCurve_O00534_VWA5A.pdf</t>
  </si>
  <si>
    <t>Melting_Curves/meltCurve_O00560_3_SDCBP.pdf</t>
  </si>
  <si>
    <t>Melting_Curves/meltCurve_O00566_MPHOSPH10.pdf</t>
  </si>
  <si>
    <t>Melting_Curves/meltCurve_O00567_NOP56.pdf</t>
  </si>
  <si>
    <t>Melting_Curves/meltCurve_O00570_SOX1.pdf</t>
  </si>
  <si>
    <t>Melting_Curves/meltCurve_O00571_DDX3X.pdf</t>
  </si>
  <si>
    <t>Melting_Curves/meltCurve_O00625_PIR.pdf</t>
  </si>
  <si>
    <t>Melting_Curves/meltCurve_O00629_KPNA4.pdf</t>
  </si>
  <si>
    <t>Melting_Curves/meltCurve_O00635_TRIM38.pdf</t>
  </si>
  <si>
    <t>Melting_Curves/meltCurve_O00716_2_E2F3.pdf</t>
  </si>
  <si>
    <t>Melting_Curves/meltCurve_O00743_PPP6C.pdf</t>
  </si>
  <si>
    <t>Melting_Curves/meltCurve_O00748_CES2.pdf</t>
  </si>
  <si>
    <t>Melting_Curves/meltCurve_O00754_2_MAN2B1.pdf</t>
  </si>
  <si>
    <t>Melting_Curves/meltCurve_O00764_PDXK.pdf</t>
  </si>
  <si>
    <t>Melting_Curves/meltCurve_O14497_ARID1A.pdf</t>
  </si>
  <si>
    <t>Melting_Curves/meltCurve_O14503_BHLHE40.pdf</t>
  </si>
  <si>
    <t>Melting_Curves/meltCurve_O14508_SOCS2.pdf</t>
  </si>
  <si>
    <t>Melting_Curves/meltCurve_O14519_2_CDK2AP1.pdf</t>
  </si>
  <si>
    <t>Melting_Curves/meltCurve_O14526_2_FCHO1.pdf</t>
  </si>
  <si>
    <t>Melting_Curves/meltCurve_O14545_TRAFD1.pdf</t>
  </si>
  <si>
    <t>Melting_Curves/meltCurve_O14561_NDUFAB1.pdf</t>
  </si>
  <si>
    <t>Melting_Curves/meltCurve_O14578_4_CIT.pdf</t>
  </si>
  <si>
    <t>Melting_Curves/meltCurve_O14579_COPE.pdf</t>
  </si>
  <si>
    <t>Melting_Curves/meltCurve_O14617_AP3D1.pdf</t>
  </si>
  <si>
    <t>Melting_Curves/meltCurve_O14646_2_CHD1.pdf</t>
  </si>
  <si>
    <t>Melting_Curves/meltCurve_O14647_CHD2.pdf</t>
  </si>
  <si>
    <t>Melting_Curves/meltCurve_O14649_KCNK3.pdf</t>
  </si>
  <si>
    <t>Melting_Curves/meltCurve_O14653_3_GOSR2.pdf</t>
  </si>
  <si>
    <t>Melting_Curves/meltCurve_O14654_IRS4.pdf</t>
  </si>
  <si>
    <t>Melting_Curves/meltCurve_O14656_TOR1A.pdf</t>
  </si>
  <si>
    <t>Melting_Curves/meltCurve_O14657_TOR1B.pdf</t>
  </si>
  <si>
    <t>Melting_Curves/meltCurve_O14672_ADAM10.pdf</t>
  </si>
  <si>
    <t>Melting_Curves/meltCurve_O14686_MLL2.pdf</t>
  </si>
  <si>
    <t>Melting_Curves/meltCurve_O14733_MAP2K7.pdf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</si>
  <si>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</si>
  <si>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</si>
  <si>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</si>
  <si>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</si>
  <si>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Melting_Curves/meltCurve_O14770_6_MEIS2.pdf</t>
  </si>
  <si>
    <t>Melting_Curves/meltCurve_O14772_FPGT.pdf</t>
  </si>
  <si>
    <t>Melting_Curves/meltCurve_O14773_2_TPP1.pdf</t>
  </si>
  <si>
    <t>Melting_Curves/meltCurve_O14776_2_TCERG1.pdf</t>
  </si>
  <si>
    <t>Melting_Curves/meltCurve_O14777_NDC80.pdf</t>
  </si>
  <si>
    <t>Melting_Curves/meltCurve_O14787_2_TNPO2.pdf</t>
  </si>
  <si>
    <t>Melting_Curves/meltCurve_O14795_UNC13B.pdf</t>
  </si>
  <si>
    <t>Melting_Curves/meltCurve_O14802_POLR3A.pdf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</si>
  <si>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</si>
  <si>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</si>
  <si>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</si>
  <si>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</si>
  <si>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Melting_Curves/meltCurve_O14907_TAX1BP3.pdf</t>
  </si>
  <si>
    <t>Melting_Curves/meltCurve_O14908_GIPC1.pdf</t>
  </si>
  <si>
    <t>Melting_Curves/meltCurve_O14920_IKBKB.pdf</t>
  </si>
  <si>
    <t>Melting_Curves/meltCurve_O14924_2_RGS12.pdf</t>
  </si>
  <si>
    <t>Melting_Curves/meltCurve_O14929_HAT1.pdf</t>
  </si>
  <si>
    <t>Melting_Curves/meltCurve_O14933_UBE2L6.pdf</t>
  </si>
  <si>
    <t>Melting_Curves/meltCurve_O14964_HGS.pdf</t>
  </si>
  <si>
    <t>Melting_Curves/meltCurve_O14965_AURKA.pdf</t>
  </si>
  <si>
    <t>Melting_Curves/meltCurve_O14974_PPP1R12A.pdf</t>
  </si>
  <si>
    <t>Melting_Curves/meltCurve_O14976_GAK.pdf</t>
  </si>
  <si>
    <t>Melting_Curves/meltCurve_O14979_3_HNRPDL.pdf</t>
  </si>
  <si>
    <t>Melting_Curves/meltCurve_O14980_XPO1.pdf</t>
  </si>
  <si>
    <t>Melting_Curves/meltCurve_O14981_BTAF1.pdf</t>
  </si>
  <si>
    <t>Melting_Curves/meltCurve_O15013_7_ARHGEF10.pdf</t>
  </si>
  <si>
    <t>Melting_Curves/meltCurve_O15014_ZNF609.pdf</t>
  </si>
  <si>
    <t>Melting_Curves/meltCurve_O15015_ZNF646.pdf</t>
  </si>
  <si>
    <t>Melting_Curves/meltCurve_O15020_SPTBN2.pdf</t>
  </si>
  <si>
    <t>Melting_Curves/meltCurve_O15020_2_SPTBN2.pdf</t>
  </si>
  <si>
    <t>Melting_Curves/meltCurve_O15037_KHNYN.pdf</t>
  </si>
  <si>
    <t>Melting_Curves/meltCurve_O15040_2_TECPR2.pdf</t>
  </si>
  <si>
    <t>Melting_Curves/meltCurve_O15047_SETD1A.pdf</t>
  </si>
  <si>
    <t>Melting_Curves/meltCurve_O15050_TRANK1.pdf</t>
  </si>
  <si>
    <t>Melting_Curves/meltCurve_O15054_KDM6B.pdf</t>
  </si>
  <si>
    <t>Melting_Curves/meltCurve_O15056_SYNJ2.pdf</t>
  </si>
  <si>
    <t>Melting_Curves/meltCurve_O15060_ZBTB39.pdf</t>
  </si>
  <si>
    <t>Melting_Curves/meltCurve_O15062_ZBTB5.pdf</t>
  </si>
  <si>
    <t>Melting_Curves/meltCurve_O15063_KIAA0355.pdf</t>
  </si>
  <si>
    <t>Melting_Curves/meltCurve_O15066_KIF3B.pdf</t>
  </si>
  <si>
    <t>Melting_Curves/meltCurve_O15067_PFAS.pdf</t>
  </si>
  <si>
    <t>Melting_Curves/meltCurve_O15078_CEP290.pdf</t>
  </si>
  <si>
    <t>Melting_Curves/meltCurve_O15084_ANKRD28.pdf</t>
  </si>
  <si>
    <t>Melting_Curves/meltCurve_O15085_2_ARHGEF11.pdf</t>
  </si>
  <si>
    <t>Melting_Curves/meltCurve_O15111_CHUK.pdf</t>
  </si>
  <si>
    <t>Melting_Curves/meltCurve_O15116_LSM1.pdf</t>
  </si>
  <si>
    <t>Melting_Curves/meltCurve_O15117_FYB.pdf</t>
  </si>
  <si>
    <t>Melting_Curves/meltCurve_O15118_NPC1.pdf</t>
  </si>
  <si>
    <t>Melting_Curves/meltCurve_O15131_KPNA5.pdf</t>
  </si>
  <si>
    <t>Melting_Curves/meltCurve_O15143_ARPC1B.pdf</t>
  </si>
  <si>
    <t>Melting_Curves/meltCurve_O15144_ARPC2.pdf</t>
  </si>
  <si>
    <t>Melting_Curves/meltCurve_O15145_ARPC3.pdf</t>
  </si>
  <si>
    <t>Melting_Curves/meltCurve_O15156_ZBTB7B.pdf</t>
  </si>
  <si>
    <t>Melting_Curves/meltCurve_O15160_2_POLR1C.pdf</t>
  </si>
  <si>
    <t>Melting_Curves/meltCurve_O15164_TRIM24.pdf</t>
  </si>
  <si>
    <t>Melting_Curves/meltCurve_O15169_2_AXIN1.pdf</t>
  </si>
  <si>
    <t>Melting_Curves/meltCurve_O15173_PGRMC2.pdf</t>
  </si>
  <si>
    <t>Melting_Curves/meltCurve_O15211_RGL2.pdf</t>
  </si>
  <si>
    <t>Melting_Curves/meltCurve_O15212_PFDN6.pdf</t>
  </si>
  <si>
    <t>Melting_Curves/meltCurve_O15213_WDR46.pdf</t>
  </si>
  <si>
    <t>Melting_Curves/meltCurve_O15226_NKRF.pdf</t>
  </si>
  <si>
    <t>Melting_Curves/meltCurve_O15234_CASC3.pdf</t>
  </si>
  <si>
    <t>Melting_Curves/meltCurve_O15240_VGF.pdf</t>
  </si>
  <si>
    <t>Melting_Curves/meltCurve_O15247_CLIC2.pdf</t>
  </si>
  <si>
    <t>Melting_Curves/meltCurve_O15260_2_SURF4.pdf</t>
  </si>
  <si>
    <t>Melting_Curves/meltCurve_O15265_ATXN7.pdf</t>
  </si>
  <si>
    <t>Melting_Curves/meltCurve_O15269_SPTLC1.pdf</t>
  </si>
  <si>
    <t>Melting_Curves/meltCurve_O15294_OGT.pdf</t>
  </si>
  <si>
    <t>Melting_Curves/meltCurve_O15305_PMM2.pdf</t>
  </si>
  <si>
    <t>Melting_Curves/meltCurve_O15315_5_RAD51B.pdf</t>
  </si>
  <si>
    <t>Melting_Curves/meltCurve_O15344_MID1.pdf</t>
  </si>
  <si>
    <t>Melting_Curves/meltCurve_O15355_PPM1G.pdf</t>
  </si>
  <si>
    <t>Melting_Curves/meltCurve_O15357_INPPL1.pdf</t>
  </si>
  <si>
    <t>Melting_Curves/meltCurve_O15372_EIF3H.pdf</t>
  </si>
  <si>
    <t>Melting_Curves/meltCurve_O15379_HDAC3.pdf</t>
  </si>
  <si>
    <t>Melting_Curves/meltCurve_O15381_NVL.pdf</t>
  </si>
  <si>
    <t>Melting_Curves/meltCurve_O15382_BCAT2.pdf</t>
  </si>
  <si>
    <t>Melting_Curves/meltCurve_O15392_5_BIRC5.pdf</t>
  </si>
  <si>
    <t>Melting_Curves/meltCurve_O15397_IPO8.pdf</t>
  </si>
  <si>
    <t>Melting_Curves/meltCurve_O15400_2_STX7.pdf</t>
  </si>
  <si>
    <t>Melting_Curves/meltCurve_O15446_CD3EAP.pdf</t>
  </si>
  <si>
    <t>Melting_Curves/meltCurve_O15479_MAGEB2.pdf</t>
  </si>
  <si>
    <t>Melting_Curves/meltCurve_O15488_4_GYG2.pdf</t>
  </si>
  <si>
    <t>Melting_Curves/meltCurve_O15498_YKT6.pdf</t>
  </si>
  <si>
    <t>Melting_Curves/meltCurve_O15504_NUPL2.pdf</t>
  </si>
  <si>
    <t>Melting_Curves/meltCurve_O15511_ARPC5.pdf</t>
  </si>
  <si>
    <t>Melting_Curves/meltCurve_O15514_POLR2D.pdf</t>
  </si>
  <si>
    <t>Melting_Curves/meltCurve_O15524_SOCS1.pdf</t>
  </si>
  <si>
    <t>Melting_Curves/meltCurve_O15541_RNF113A.pdf</t>
  </si>
  <si>
    <t>Melting_Curves/meltCurve_O15550_KDM6A.pdf</t>
  </si>
  <si>
    <t>Melting_Curves/meltCurve_O43143_DHX15.pdf</t>
  </si>
  <si>
    <t>Melting_Curves/meltCurve_O43148_RNMT.pdf</t>
  </si>
  <si>
    <t>Melting_Curves/meltCurve_O43149_ZZEF1.pdf</t>
  </si>
  <si>
    <t>Melting_Curves/meltCurve_O43156_TTI1.pdf</t>
  </si>
  <si>
    <t>Melting_Curves/meltCurve_O43164_2_PJA2.pdf</t>
  </si>
  <si>
    <t>Melting_Curves/meltCurve_O43167_ZBTB24.pdf</t>
  </si>
  <si>
    <t>Melting_Curves/meltCurve_O43172_2_PRPF4.pdf</t>
  </si>
  <si>
    <t>Melting_Curves/meltCurve_O43175_PHGDH.pdf</t>
  </si>
  <si>
    <t>Melting_Curves/meltCurve_O43182_4_ARHGAP6.pdf</t>
  </si>
  <si>
    <t>Melting_Curves/meltCurve_O43237_DYNC1LI2.pdf</t>
  </si>
  <si>
    <t>Melting_Curves/meltCurve_O43242_PSMD3.pdf</t>
  </si>
  <si>
    <t>Melting_Curves/meltCurve_O43251_6_RBFOX2.pdf</t>
  </si>
  <si>
    <t>Melting_Curves/meltCurve_O43252_PAPSS1.pdf</t>
  </si>
  <si>
    <t>Melting_Curves/meltCurve_O43264_ZW10.pdf</t>
  </si>
  <si>
    <t>Melting_Curves/meltCurve_O43290_SART1.pdf</t>
  </si>
  <si>
    <t>Melting_Curves/meltCurve_O43298_ZBTB43.pdf</t>
  </si>
  <si>
    <t>Melting_Curves/meltCurve_O43299_AP5Z1.pdf</t>
  </si>
  <si>
    <t>Melting_Curves/meltCurve_O43303_2_CCP110.pdf</t>
  </si>
  <si>
    <t>Melting_Curves/meltCurve_O43310_CTIF.pdf</t>
  </si>
  <si>
    <t>Melting_Curves/meltCurve_O43314_2_PPIP5K2.pdf</t>
  </si>
  <si>
    <t>Melting_Curves/meltCurve_O43318_MAP3K7.pdf</t>
  </si>
  <si>
    <t>Melting_Curves/meltCurve_O43324_EEF1E1.pdf</t>
  </si>
  <si>
    <t>Melting_Curves/meltCurve_O43325_LYRM1.pdf</t>
  </si>
  <si>
    <t>Melting_Curves/meltCurve_O43353_RIPK2.pdf</t>
  </si>
  <si>
    <t>Melting_Curves/meltCurve_O43379_WDR62.pdf</t>
  </si>
  <si>
    <t>Melting_Curves/meltCurve_O43390_HNRNPR.pdf</t>
  </si>
  <si>
    <t>Melting_Curves/meltCurve_O43395_PRPF3.pdf</t>
  </si>
  <si>
    <t>Melting_Curves/meltCurve_O43396_TXNL1.pdf</t>
  </si>
  <si>
    <t>Melting_Curves/meltCurve_O43399_TPD52L2.pdf</t>
  </si>
  <si>
    <t>Melting_Curves/meltCurve_O43402_EMC8.pdf</t>
  </si>
  <si>
    <t>Melting_Curves/meltCurve_O43414_3_ERI3.pdf</t>
  </si>
  <si>
    <t>Melting_Curves/meltCurve_O43422_PRKRIR.pdf</t>
  </si>
  <si>
    <t>Melting_Curves/meltCurve_O43427_2_FIBP.pdf</t>
  </si>
  <si>
    <t>Melting_Curves/meltCurve_O43432_EIF4G3.pdf</t>
  </si>
  <si>
    <t>Melting_Curves/meltCurve_O43435_3_TBX1.pdf</t>
  </si>
  <si>
    <t>Melting_Curves/meltCurve_O43447_PPIH.pdf</t>
  </si>
  <si>
    <t>Melting_Curves/meltCurve_O43464_HTRA2.pdf</t>
  </si>
  <si>
    <t>Melting_Curves/meltCurve_O43482_OIP5.pdf</t>
  </si>
  <si>
    <t>Melting_Curves/meltCurve_O43488_AKR7A2.pdf</t>
  </si>
  <si>
    <t>Melting_Curves/meltCurve_O43491_EPB41L2.pdf</t>
  </si>
  <si>
    <t>Melting_Curves/meltCurve_O43493_4_TGOLN2.pdf</t>
  </si>
  <si>
    <t>Melting_Curves/meltCurve_O43504_LAMTOR5.pdf</t>
  </si>
  <si>
    <t>Melting_Curves/meltCurve_O43513_MED7.pdf</t>
  </si>
  <si>
    <t>Melting_Curves/meltCurve_O43516_WIPF1.pdf</t>
  </si>
  <si>
    <t>Melting_Curves/meltCurve_O43521_6_BCL2L11.pdf</t>
  </si>
  <si>
    <t>Melting_Curves/meltCurve_O43542_XRCC3.pdf</t>
  </si>
  <si>
    <t>Melting_Curves/meltCurve_O43566_RGS14.pdf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</si>
  <si>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</si>
  <si>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</si>
  <si>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</si>
  <si>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</si>
  <si>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</si>
  <si>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</si>
  <si>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</si>
  <si>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Melting_Curves/meltCurve_O43660_2_PLRG1.pdf</t>
  </si>
  <si>
    <t>Melting_Curves/meltCurve_O43663_PRC1.pdf</t>
  </si>
  <si>
    <t>Melting_Curves/meltCurve_O43665_2_RGS10.pdf</t>
  </si>
  <si>
    <t>Melting_Curves/meltCurve_O43670_2_ZNF207.pdf</t>
  </si>
  <si>
    <t>Melting_Curves/meltCurve_O43678_NDUFA2.pdf</t>
  </si>
  <si>
    <t>Melting_Curves/meltCurve_O43681_ASNA1.pdf</t>
  </si>
  <si>
    <t>Melting_Curves/meltCurve_O43707_ACTN4.pdf</t>
  </si>
  <si>
    <t>Melting_Curves/meltCurve_O43709_WBSCR22.pdf</t>
  </si>
  <si>
    <t>Melting_Curves/meltCurve_O43715_TRIAP1.pdf</t>
  </si>
  <si>
    <t>Melting_Curves/meltCurve_O43716_GATC.pdf</t>
  </si>
  <si>
    <t>Melting_Curves/meltCurve_O43719_HTATSF1.pdf</t>
  </si>
  <si>
    <t>Melting_Curves/meltCurve_O43739_2_CYTH3.pdf</t>
  </si>
  <si>
    <t>Melting_Curves/meltCurve_O43747_AP1G1.pdf</t>
  </si>
  <si>
    <t>Melting_Curves/meltCurve_O43752_STX6.pdf</t>
  </si>
  <si>
    <t>Melting_Curves/meltCurve_O43765_SGTA.pdf</t>
  </si>
  <si>
    <t>Melting_Curves/meltCurve_O43766_LIAS.pdf</t>
  </si>
  <si>
    <t>Melting_Curves/meltCurve_O43768_2_ENSA.pdf</t>
  </si>
  <si>
    <t>Melting_Curves/meltCurve_O43776_NARS.pdf</t>
  </si>
  <si>
    <t>Melting_Curves/meltCurve_O43791_SPOP.pdf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</si>
  <si>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</si>
  <si>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</si>
  <si>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</si>
  <si>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</si>
  <si>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</si>
  <si>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Melting_Curves/meltCurve_O43822_2_C21orf2.pdf</t>
  </si>
  <si>
    <t>Melting_Curves/meltCurve_O43823_AKAP8.pdf</t>
  </si>
  <si>
    <t>Melting_Curves/meltCurve_O43829_ZBTB14.pdf</t>
  </si>
  <si>
    <t>Melting_Curves/meltCurve_O43837_IDH3B.pdf</t>
  </si>
  <si>
    <t>Melting_Curves/meltCurve_O43847_NRD1.pdf</t>
  </si>
  <si>
    <t>Melting_Curves/meltCurve_O43852_CALU.pdf</t>
  </si>
  <si>
    <t>Melting_Curves/meltCurve_O43852_2_CALU.pdf</t>
  </si>
  <si>
    <t>Melting_Curves/meltCurve_O43865_AHCYL1.pdf</t>
  </si>
  <si>
    <t>Melting_Curves/meltCurve_O43896_KIF1C.pdf</t>
  </si>
  <si>
    <t>Melting_Curves/meltCurve_O43913_ORC5.pdf</t>
  </si>
  <si>
    <t>Melting_Curves/meltCurve_O43924_PDE6D.pdf</t>
  </si>
  <si>
    <t>Melting_Curves/meltCurve_O43929_ORC4.pdf</t>
  </si>
  <si>
    <t>Melting_Curves/meltCurve_O43930_PRKY.pdf</t>
  </si>
  <si>
    <t>Melting_Curves/meltCurve_O43933_PEX1.pdf</t>
  </si>
  <si>
    <t>Melting_Curves/meltCurve_O60216_RAD21.pdf</t>
  </si>
  <si>
    <t>Melting_Curves/meltCurve_O60220_TIMM8A.pdf</t>
  </si>
  <si>
    <t>Melting_Curves/meltCurve_O60231_DHX16.pdf</t>
  </si>
  <si>
    <t>Melting_Curves/meltCurve_O60234_GMFG.pdf</t>
  </si>
  <si>
    <t>Melting_Curves/meltCurve_O60244_MED14.pdf</t>
  </si>
  <si>
    <t>Melting_Curves/meltCurve_O60256_PRPSAP2.pdf</t>
  </si>
  <si>
    <t>Melting_Curves/meltCurve_O60264_SMARCA5.pdf</t>
  </si>
  <si>
    <t>Melting_Curves/meltCurve_O60271_SPAG9.pdf</t>
  </si>
  <si>
    <t>Melting_Curves/meltCurve_O60271_4_SPAG9.pdf</t>
  </si>
  <si>
    <t>Melting_Curves/meltCurve_O60292_SIPA1L3.pdf</t>
  </si>
  <si>
    <t>Melting_Curves/meltCurve_O60293_2_ZFC3H1.pdf</t>
  </si>
  <si>
    <t>Melting_Curves/meltCurve_O60294_LCMT2.pdf</t>
  </si>
  <si>
    <t>Melting_Curves/meltCurve_O60296_TRAK2.pdf</t>
  </si>
  <si>
    <t>Melting_Curves/meltCurve_O60306_AQR.pdf</t>
  </si>
  <si>
    <t>Melting_Curves/meltCurve_O60308_3_CEP104.pdf</t>
  </si>
  <si>
    <t>Melting_Curves/meltCurve_O60313_OPA1.pdf</t>
  </si>
  <si>
    <t>Melting_Curves/meltCurve_O60315_2_ZEB2.pdf</t>
  </si>
  <si>
    <t>Melting_Curves/meltCurve_O60318_MCM3AP.pdf</t>
  </si>
  <si>
    <t>Melting_Curves/meltCurve_O60333_2_KIF1B.pdf</t>
  </si>
  <si>
    <t>Melting_Curves/meltCurve_O60333_3_KIF1B.pdf</t>
  </si>
  <si>
    <t>Melting_Curves/meltCurve_O60341_KDM1A.pdf</t>
  </si>
  <si>
    <t>Melting_Curves/meltCurve_O60343_2_TBC1D4.pdf</t>
  </si>
  <si>
    <t>Melting_Curves/meltCurve_O60344_4_ECE2.pdf</t>
  </si>
  <si>
    <t>Melting_Curves/meltCurve_O60346_PHLPP1.pdf</t>
  </si>
  <si>
    <t>Melting_Curves/meltCurve_O60347_TBC1D12.pdf</t>
  </si>
  <si>
    <t>Melting_Curves/meltCurve_O60353_2_FZD6.pdf</t>
  </si>
  <si>
    <t>Melting_Curves/meltCurve_O60361_NME2P1.pdf</t>
  </si>
  <si>
    <t>Melting_Curves/meltCurve_O60443_DFNA5.pdf</t>
  </si>
  <si>
    <t>Melting_Curves/meltCurve_O60447_EVI5.pdf</t>
  </si>
  <si>
    <t>Melting_Curves/meltCurve_O60493_SNX3.pdf</t>
  </si>
  <si>
    <t>Melting_Curves/meltCurve_O60502_MGEA5.pdf</t>
  </si>
  <si>
    <t>Melting_Curves/meltCurve_O60506_2_SYNCRIP.pdf</t>
  </si>
  <si>
    <t>Melting_Curves/meltCurve_O60547_2_GMDS.pdf</t>
  </si>
  <si>
    <t>Melting_Curves/meltCurve_O60551_NMT2.pdf</t>
  </si>
  <si>
    <t>Melting_Curves/meltCurve_O60563_CCNT1.pdf</t>
  </si>
  <si>
    <t>Melting_Curves/meltCurve_O60566_BUB1B.pdf</t>
  </si>
  <si>
    <t>Melting_Curves/meltCurve_O60568_PLOD3.pdf</t>
  </si>
  <si>
    <t>Melting_Curves/meltCurve_O60583_2_CCNT2.pdf</t>
  </si>
  <si>
    <t>Melting_Curves/meltCurve_O60613_SEP15.pdf</t>
  </si>
  <si>
    <t>Melting_Curves/meltCurve_O60645_2_EXOC3.pdf</t>
  </si>
  <si>
    <t>Melting_Curves/meltCurve_O60664_4_PLIN3.pdf</t>
  </si>
  <si>
    <t>Melting_Curves/meltCurve_O60671_RAD1.pdf</t>
  </si>
  <si>
    <t>Melting_Curves/meltCurve_O60678_PRMT3.pdf</t>
  </si>
  <si>
    <t>Melting_Curves/meltCurve_O60701_UGDH.pdf</t>
  </si>
  <si>
    <t>Melting_Curves/meltCurve_O60716_5_CTNND1.pdf</t>
  </si>
  <si>
    <t>Melting_Curves/meltCurve_O60732_MAGEC1.pdf</t>
  </si>
  <si>
    <t>Melting_Curves/meltCurve_O60749_SNX2.pdf</t>
  </si>
  <si>
    <t>Melting_Curves/meltCurve_O60762_DPM1.pdf</t>
  </si>
  <si>
    <t>Melting_Curves/meltCurve_O60763_USO1.pdf</t>
  </si>
  <si>
    <t>Melting_Curves/meltCurve_O60826_CCDC22.pdf</t>
  </si>
  <si>
    <t>Melting_Curves/meltCurve_O60828_2_PQBP1.pdf</t>
  </si>
  <si>
    <t>Melting_Curves/meltCurve_O60829_PAGE4.pdf</t>
  </si>
  <si>
    <t>Melting_Curves/meltCurve_O60832_DKC1.pdf</t>
  </si>
  <si>
    <t>Melting_Curves/meltCurve_O60841_EIF5B.pdf</t>
  </si>
  <si>
    <t>Melting_Curves/meltCurve_O60858_TRIM13.pdf</t>
  </si>
  <si>
    <t>Melting_Curves/meltCurve_O60869_EDF1.pdf</t>
  </si>
  <si>
    <t>Melting_Curves/meltCurve_O60870_KIN.pdf</t>
  </si>
  <si>
    <t>Melting_Curves/meltCurve_O60884_DNAJA2.pdf</t>
  </si>
  <si>
    <t>Melting_Curves/meltCurve_O60885_BRD4.pdf</t>
  </si>
  <si>
    <t>Melting_Curves/meltCurve_O60888_3_CUTA.pdf</t>
  </si>
  <si>
    <t>Melting_Curves/meltCurve_O60890_OPHN1.pdf</t>
  </si>
  <si>
    <t>Melting_Curves/meltCurve_O60907_2_TBL1X.pdf</t>
  </si>
  <si>
    <t>Melting_Curves/meltCurve_O60921_HUS1.pdf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</si>
  <si>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</si>
  <si>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</si>
  <si>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</si>
  <si>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</si>
  <si>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Melting_Curves/meltCurve_O75030_12_MITF.pdf</t>
  </si>
  <si>
    <t>Melting_Curves/meltCurve_O75037_3_KIF21B.pdf</t>
  </si>
  <si>
    <t>Melting_Curves/meltCurve_O75044_SRGAP2.pdf</t>
  </si>
  <si>
    <t>Melting_Curves/meltCurve_O75061_4_DNAJC6.pdf</t>
  </si>
  <si>
    <t>Melting_Curves/meltCurve_O75063_FAM20B.pdf</t>
  </si>
  <si>
    <t>Melting_Curves/meltCurve_O75064_DENND4B.pdf</t>
  </si>
  <si>
    <t>Melting_Curves/meltCurve_O75083_WDR1.pdf</t>
  </si>
  <si>
    <t>Melting_Curves/meltCurve_O75113_N4BP1.pdf</t>
  </si>
  <si>
    <t>Melting_Curves/meltCurve_O75116_ROCK2.pdf</t>
  </si>
  <si>
    <t>Melting_Curves/meltCurve_O75131_CPNE3.pdf</t>
  </si>
  <si>
    <t>Melting_Curves/meltCurve_O75132_ZBED4.pdf</t>
  </si>
  <si>
    <t>Melting_Curves/meltCurve_O75143_2_ATG13.pdf</t>
  </si>
  <si>
    <t>Melting_Curves/meltCurve_O75144_ICOSLG.pdf</t>
  </si>
  <si>
    <t>Melting_Curves/meltCurve_O75145_2_PPFIA3.pdf</t>
  </si>
  <si>
    <t>Melting_Curves/meltCurve_O75146_HIP1R.pdf</t>
  </si>
  <si>
    <t>Melting_Curves/meltCurve_O75147_2_OBSL1.pdf</t>
  </si>
  <si>
    <t>Melting_Curves/meltCurve_O75150_RNF40.pdf</t>
  </si>
  <si>
    <t>Melting_Curves/meltCurve_O75151_PHF2.pdf</t>
  </si>
  <si>
    <t>Melting_Curves/meltCurve_O75152_ZC3H11A.pdf</t>
  </si>
  <si>
    <t>Melting_Curves/meltCurve_O75154_RAB11FIP3.pdf</t>
  </si>
  <si>
    <t>Melting_Curves/meltCurve_O75155_CAND2.pdf</t>
  </si>
  <si>
    <t>Melting_Curves/meltCurve_O75157_2_TSC22D2.pdf</t>
  </si>
  <si>
    <t>Melting_Curves/meltCurve_O75164_KDM4A.pdf</t>
  </si>
  <si>
    <t>Melting_Curves/meltCurve_O75165_DNAJC13.pdf</t>
  </si>
  <si>
    <t>Melting_Curves/meltCurve_O75167_5_PHACTR2.pdf</t>
  </si>
  <si>
    <t>Melting_Curves/meltCurve_O75170_2_PPP6R2.pdf</t>
  </si>
  <si>
    <t>Melting_Curves/meltCurve_O75175_CNOT3.pdf</t>
  </si>
  <si>
    <t>Melting_Curves/meltCurve_O75177_SS18L1.pdf</t>
  </si>
  <si>
    <t>Melting_Curves/meltCurve_O75182_2_SIN3B.pdf</t>
  </si>
  <si>
    <t>Melting_Curves/meltCurve_O75190_DNAJB6.pdf</t>
  </si>
  <si>
    <t>Melting_Curves/meltCurve_O75191_XYLB.pdf</t>
  </si>
  <si>
    <t>Melting_Curves/meltCurve_O75223_GGCT.pdf</t>
  </si>
  <si>
    <t>Melting_Curves/meltCurve_O75306_2_NDUFS2.pdf</t>
  </si>
  <si>
    <t>Melting_Curves/meltCurve_O75312_ZNF259.pdf</t>
  </si>
  <si>
    <t>Melting_Curves/meltCurve_O75319_DUSP11.pdf</t>
  </si>
  <si>
    <t>Melting_Curves/meltCurve_O75323_GBAS.pdf</t>
  </si>
  <si>
    <t>Melting_Curves/meltCurve_O75330_2_HMMR.pdf</t>
  </si>
  <si>
    <t>Melting_Curves/meltCurve_O75340_PDCD6.pdf</t>
  </si>
  <si>
    <t>Melting_Curves/meltCurve_O75340_2_PDCD6.pdf</t>
  </si>
  <si>
    <t>Melting_Curves/meltCurve_O75347_TBCA.pdf</t>
  </si>
  <si>
    <t>Melting_Curves/meltCurve_O75348_ATP6V1G1.pdf</t>
  </si>
  <si>
    <t>Melting_Curves/meltCurve_O75351_VPS4B.pdf</t>
  </si>
  <si>
    <t>Melting_Curves/meltCurve_O75356_ENTPD5.pdf</t>
  </si>
  <si>
    <t>Melting_Curves/meltCurve_O75362_ZNF217.pdf</t>
  </si>
  <si>
    <t>Melting_Curves/meltCurve_O75367_2_H2AFY.pdf</t>
  </si>
  <si>
    <t>Melting_Curves/meltCurve_O75368_SH3BGRL.pdf</t>
  </si>
  <si>
    <t>Melting_Curves/meltCurve_O75369_8_FLNB.pdf</t>
  </si>
  <si>
    <t>Melting_Curves/meltCurve_O75376_NCOR1.pdf</t>
  </si>
  <si>
    <t>Melting_Curves/meltCurve_O75380_NDUFS6.pdf</t>
  </si>
  <si>
    <t>Melting_Curves/meltCurve_O75382_3_TRIM3.pdf</t>
  </si>
  <si>
    <t>Melting_Curves/meltCurve_O75385_ULK1.pdf</t>
  </si>
  <si>
    <t>Melting_Curves/meltCurve_O75391_SPAG7.pdf</t>
  </si>
  <si>
    <t>Melting_Curves/meltCurve_O75396_SEC22B.pdf</t>
  </si>
  <si>
    <t>Melting_Curves/meltCurve_O75398_4_DEAF1.pdf</t>
  </si>
  <si>
    <t>Melting_Curves/meltCurve_O75400_3_PRPF40A.pdf</t>
  </si>
  <si>
    <t>Melting_Curves/meltCurve_O75410_7_TACC1.pdf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</si>
  <si>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</si>
  <si>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</si>
  <si>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</si>
  <si>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</si>
  <si>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Melting_Curves/meltCurve_O75439_PMPCB.pdf</t>
  </si>
  <si>
    <t>Melting_Curves/meltCurve_O75446_SAP30.pdf</t>
  </si>
  <si>
    <t>Melting_Curves/meltCurve_O75449_KATNA1.pdf</t>
  </si>
  <si>
    <t>Melting_Curves/meltCurve_O75459_PAGE1.pdf</t>
  </si>
  <si>
    <t>Melting_Curves/meltCurve_O75460_ERN1.pdf</t>
  </si>
  <si>
    <t>Melting_Curves/meltCurve_O75475_PSIP1.pdf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</si>
  <si>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</si>
  <si>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</si>
  <si>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</si>
  <si>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</si>
  <si>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Melting_Curves/meltCurve_O75528_TADA3.pdf</t>
  </si>
  <si>
    <t>Melting_Curves/meltCurve_O75529_TAF5L.pdf</t>
  </si>
  <si>
    <t>Melting_Curves/meltCurve_O75530_3_EED.pdf</t>
  </si>
  <si>
    <t>Melting_Curves/meltCurve_O75531_BANF1.pdf</t>
  </si>
  <si>
    <t>Melting_Curves/meltCurve_O75533_SF3B1.pdf</t>
  </si>
  <si>
    <t>Melting_Curves/meltCurve_O75534_2_CSDE1.pdf</t>
  </si>
  <si>
    <t>Melting_Curves/meltCurve_O75554_WBP4.pdf</t>
  </si>
  <si>
    <t>Melting_Curves/meltCurve_O75575_CRCP.pdf</t>
  </si>
  <si>
    <t>Melting_Curves/meltCurve_O75586_MED6.pdf</t>
  </si>
  <si>
    <t>Melting_Curves/meltCurve_O75600_GCAT.pdf</t>
  </si>
  <si>
    <t>Melting_Curves/meltCurve_O75607_NPM3.pdf</t>
  </si>
  <si>
    <t>Melting_Curves/meltCurve_O75608_2_LYPLA1.pdf</t>
  </si>
  <si>
    <t>Melting_Curves/meltCurve_O75616_ERAL1.pdf</t>
  </si>
  <si>
    <t>Melting_Curves/meltCurve_O75629_CREG1.pdf</t>
  </si>
  <si>
    <t>Melting_Curves/meltCurve_O75635_2_SERPINB7.pdf</t>
  </si>
  <si>
    <t>Melting_Curves/meltCurve_O75643_SNRNP200.pdf</t>
  </si>
  <si>
    <t>Melting_Curves/meltCurve_O75648_2_TRMU.pdf</t>
  </si>
  <si>
    <t>Melting_Curves/meltCurve_O75663_TIPRL.pdf</t>
  </si>
  <si>
    <t>Melting_Curves/meltCurve_O75683_SURF6.pdf</t>
  </si>
  <si>
    <t>Melting_Curves/meltCurve_O75688_PPM1B.pdf</t>
  </si>
  <si>
    <t>Melting_Curves/meltCurve_O75695_RP2.pdf</t>
  </si>
  <si>
    <t>Melting_Curves/meltCurve_O75717_WDHD1.pdf</t>
  </si>
  <si>
    <t>Melting_Curves/meltCurve_O75771_3_RAD51D.pdf</t>
  </si>
  <si>
    <t>Melting_Curves/meltCurve_O75781_PALM.pdf</t>
  </si>
  <si>
    <t>Melting_Curves/meltCurve_O75791_GRAP2.pdf</t>
  </si>
  <si>
    <t>Melting_Curves/meltCurve_O75792_RNASEH2A.pdf</t>
  </si>
  <si>
    <t>Melting_Curves/meltCurve_O75794_CDC123.pdf</t>
  </si>
  <si>
    <t>Melting_Curves/meltCurve_O75808_SOLH.pdf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</si>
  <si>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</si>
  <si>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</si>
  <si>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</si>
  <si>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</si>
  <si>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Melting_Curves/meltCurve_O75843_AP1G2.pdf</t>
  </si>
  <si>
    <t>Melting_Curves/meltCurve_O75844_ZMPSTE24.pdf</t>
  </si>
  <si>
    <t>Melting_Curves/meltCurve_O75864_2_PPP1R37.pdf</t>
  </si>
  <si>
    <t>Melting_Curves/meltCurve_O75865_2_TRAPPC6A.pdf</t>
  </si>
  <si>
    <t>Melting_Curves/meltCurve_O75874_IDH1.pdf</t>
  </si>
  <si>
    <t>Melting_Curves/meltCurve_O75884_RBBP9.pdf</t>
  </si>
  <si>
    <t>Melting_Curves/meltCurve_O75886_STAM2.pdf</t>
  </si>
  <si>
    <t>Melting_Curves/meltCurve_O75909_CCNK.pdf</t>
  </si>
  <si>
    <t>Melting_Curves/meltCurve_O75915_ARL6IP5.pdf</t>
  </si>
  <si>
    <t>Melting_Curves/meltCurve_O75925_PIAS1.pdf</t>
  </si>
  <si>
    <t>Melting_Curves/meltCurve_O75928_2_PIAS2.pdf</t>
  </si>
  <si>
    <t>Melting_Curves/meltCurve_O75934_BCAS2.pdf</t>
  </si>
  <si>
    <t>Melting_Curves/meltCurve_O75935_3_DCTN3.pdf</t>
  </si>
  <si>
    <t>Melting_Curves/meltCurve_O75937_DNAJC8.pdf</t>
  </si>
  <si>
    <t>Melting_Curves/meltCurve_O75940_SMNDC1.pdf</t>
  </si>
  <si>
    <t>Melting_Curves/meltCurve_O75943_3_RAD17.pdf</t>
  </si>
  <si>
    <t>Melting_Curves/meltCurve_O75947_2_ATP5H.pdf</t>
  </si>
  <si>
    <t>Melting_Curves/meltCurve_O75955_FLOT1.pdf</t>
  </si>
  <si>
    <t>Melting_Curves/meltCurve_O75962_5_TRIO.pdf</t>
  </si>
  <si>
    <t>Melting_Curves/meltCurve_O75995_SASH3.pdf</t>
  </si>
  <si>
    <t>Melting_Curves/meltCurve_O76003_GLRX3.pdf</t>
  </si>
  <si>
    <t>Melting_Curves/meltCurve_O76011_KRT34.pdf</t>
  </si>
  <si>
    <t>Melting_Curves/meltCurve_O76021_RSL1D1.pdf</t>
  </si>
  <si>
    <t>Melting_Curves/meltCurve_O76031_CLPX.pdf</t>
  </si>
  <si>
    <t>Melting_Curves/meltCurve_O76038_SCGN.pdf</t>
  </si>
  <si>
    <t>Melting_Curves/meltCurve_O76041_2_NEBL.pdf</t>
  </si>
  <si>
    <t>Melting_Curves/meltCurve_O76064_RNF8.pdf</t>
  </si>
  <si>
    <t>Melting_Curves/meltCurve_O76070_SNCG.pdf</t>
  </si>
  <si>
    <t>Melting_Curves/meltCurve_O76071_CIAO1.pdf</t>
  </si>
  <si>
    <t>Melting_Curves/meltCurve_O76075_DFFB.pdf</t>
  </si>
  <si>
    <t>Melting_Curves/meltCurve_O76080_ZFAND5.pdf</t>
  </si>
  <si>
    <t>Melting_Curves/meltCurve_O76094_SRP72.pdf</t>
  </si>
  <si>
    <t>Melting_Curves/meltCurve_O77932_DOM3Z.pdf</t>
  </si>
  <si>
    <t>Melting_Curves/meltCurve_O94761_RECQL4.pdf</t>
  </si>
  <si>
    <t>Melting_Curves/meltCurve_O94762_RECQL5.pdf</t>
  </si>
  <si>
    <t>Melting_Curves/meltCurve_O94763_URI1.pdf</t>
  </si>
  <si>
    <t>Melting_Curves/meltCurve_O94763_4_URI1.pdf</t>
  </si>
  <si>
    <t>Melting_Curves/meltCurve_O94776_MTA2.pdf</t>
  </si>
  <si>
    <t>Melting_Curves/meltCurve_O94782_USP1.pdf</t>
  </si>
  <si>
    <t>Melting_Curves/meltCurve_O94788_ALDH1A2.pdf</t>
  </si>
  <si>
    <t>Melting_Curves/meltCurve_O94804_STK10.pdf</t>
  </si>
  <si>
    <t>Melting_Curves/meltCurve_O94806_PRKD3.pdf</t>
  </si>
  <si>
    <t>Melting_Curves/meltCurve_O94808_GFPT2.pdf</t>
  </si>
  <si>
    <t>Melting_Curves/meltCurve_O94817_ATG12.pdf</t>
  </si>
  <si>
    <t>Melting_Curves/meltCurve_O94819_KBTBD11.pdf</t>
  </si>
  <si>
    <t>Melting_Curves/meltCurve_O94822_LTN1.pdf</t>
  </si>
  <si>
    <t>Melting_Curves/meltCurve_O94826_TOMM70A.pdf</t>
  </si>
  <si>
    <t>Melting_Curves/meltCurve_O94829_IPO13.pdf</t>
  </si>
  <si>
    <t>Melting_Curves/meltCurve_O94830_DDHD2.pdf</t>
  </si>
  <si>
    <t>Melting_Curves/meltCurve_O94851_5_MICAL2.pdf</t>
  </si>
  <si>
    <t>Melting_Curves/meltCurve_O94854_KIAA0754.pdf</t>
  </si>
  <si>
    <t>Melting_Curves/meltCurve_O94855_SEC24D.pdf</t>
  </si>
  <si>
    <t>Melting_Curves/meltCurve_O94864_2_SUPT7L.pdf</t>
  </si>
  <si>
    <t>Melting_Curves/meltCurve_O94874_UFL1.pdf</t>
  </si>
  <si>
    <t>Melting_Curves/meltCurve_O94876_TMCC1.pdf</t>
  </si>
  <si>
    <t>Melting_Curves/meltCurve_O94880_PHF14.pdf</t>
  </si>
  <si>
    <t>Melting_Curves/meltCurve_O94880_2_PHF14.pdf</t>
  </si>
  <si>
    <t>Melting_Curves/meltCurve_O94888_UBXN7.pdf</t>
  </si>
  <si>
    <t>Melting_Curves/meltCurve_O94889_KLHL18.pdf</t>
  </si>
  <si>
    <t>Melting_Curves/meltCurve_O94898_LRIG2.pdf</t>
  </si>
  <si>
    <t>Melting_Curves/meltCurve_O94903_PROSC.pdf</t>
  </si>
  <si>
    <t>Melting_Curves/meltCurve_O94906_2_PRPF6.pdf</t>
  </si>
  <si>
    <t>Melting_Curves/meltCurve_O94913_PCF11.pdf</t>
  </si>
  <si>
    <t>Melting_Curves/meltCurve_O94925_3_GLS.pdf</t>
  </si>
  <si>
    <t>Melting_Curves/meltCurve_O94927_HAUS5.pdf</t>
  </si>
  <si>
    <t>Melting_Curves/meltCurve_O94941_2_UBOX5.pdf</t>
  </si>
  <si>
    <t>Melting_Curves/meltCurve_O94953_KDM4B.pdf</t>
  </si>
  <si>
    <t>Melting_Curves/meltCurve_O94964_2_SOGA1.pdf</t>
  </si>
  <si>
    <t>Melting_Curves/meltCurve_O94966_7_USP19.pdf</t>
  </si>
  <si>
    <t>Melting_Curves/meltCurve_O94967_2_WDR47.pdf</t>
  </si>
  <si>
    <t>Melting_Curves/meltCurve_O94973_AP2A2.pdf</t>
  </si>
  <si>
    <t>Melting_Curves/meltCurve_O94979_SEC31A.pdf</t>
  </si>
  <si>
    <t>Melting_Curves/meltCurve_O94988_6_FAM13A.pdf</t>
  </si>
  <si>
    <t>Melting_Curves/meltCurve_O94992_HEXIM1.pdf</t>
  </si>
  <si>
    <t>Melting_Curves/meltCurve_O95059_RPP14.pdf</t>
  </si>
  <si>
    <t>Melting_Curves/meltCurve_O95067_CCNB2.pdf</t>
  </si>
  <si>
    <t>Melting_Curves/meltCurve_O95081_2_AGFG2.pdf</t>
  </si>
  <si>
    <t>Melting_Curves/meltCurve_O95104_SCAF4.pdf</t>
  </si>
  <si>
    <t>Melting_Curves/meltCurve_O95149_SNUPN.pdf</t>
  </si>
  <si>
    <t>Melting_Curves/meltCurve_O95155_2_UBE4B.pdf</t>
  </si>
  <si>
    <t>Melting_Curves/meltCurve_O95163_IKBKAP.pdf</t>
  </si>
  <si>
    <t>Melting_Curves/meltCurve_O95197_3_RTN3.pdf</t>
  </si>
  <si>
    <t>Melting_Curves/meltCurve_O95202_LETM1.pdf</t>
  </si>
  <si>
    <t>Melting_Curves/meltCurve_O95205_MBLL.pdf</t>
  </si>
  <si>
    <t>Melting_Curves/meltCurve_O95218_2_ZRANB2.pdf</t>
  </si>
  <si>
    <t>Melting_Curves/meltCurve_O95219_SNX4.pdf</t>
  </si>
  <si>
    <t>Melting_Curves/meltCurve_O95229_ZWINT.pdf</t>
  </si>
  <si>
    <t>Melting_Curves/meltCurve_O95231_VENTX.pdf</t>
  </si>
  <si>
    <t>Melting_Curves/meltCurve_O95232_LUC7L3.pdf</t>
  </si>
  <si>
    <t>Melting_Curves/meltCurve_O95239_KIF4A.pdf</t>
  </si>
  <si>
    <t>Melting_Curves/meltCurve_O95243_2_MBD4.pdf</t>
  </si>
  <si>
    <t>Melting_Curves/meltCurve_O95248_SBF1.pdf</t>
  </si>
  <si>
    <t>Melting_Curves/meltCurve_O95251_4_KAT7.pdf</t>
  </si>
  <si>
    <t>Melting_Curves/meltCurve_O95273_CCNDBP1.pdf</t>
  </si>
  <si>
    <t>Melting_Curves/meltCurve_O95292_VAPB.pdf</t>
  </si>
  <si>
    <t>Melting_Curves/meltCurve_O95295_SNAPIN.pdf</t>
  </si>
  <si>
    <t>Melting_Curves/meltCurve_O95297_4_MPZL1.pdf</t>
  </si>
  <si>
    <t>Melting_Curves/meltCurve_O95302_FKBP9.pdf</t>
  </si>
  <si>
    <t>Melting_Curves/meltCurve_O95336_PGLS.pdf</t>
  </si>
  <si>
    <t>Melting_Curves/meltCurve_O95347_SMC2.pdf</t>
  </si>
  <si>
    <t>Melting_Curves/meltCurve_O95352_ATG7.pdf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</si>
  <si>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</si>
  <si>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</si>
  <si>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</si>
  <si>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</si>
  <si>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Melting_Curves/meltCurve_O95379_TNFAIP8.pdf</t>
  </si>
  <si>
    <t>Melting_Curves/meltCurve_O95391_SLU7.pdf</t>
  </si>
  <si>
    <t>Melting_Curves/meltCurve_O95394_PGM3.pdf</t>
  </si>
  <si>
    <t>Melting_Curves/meltCurve_O95396_MOCS3.pdf</t>
  </si>
  <si>
    <t>Melting_Curves/meltCurve_O95397_PLEKHA8P1.pdf</t>
  </si>
  <si>
    <t>Melting_Curves/meltCurve_O95399_UTS2.pdf</t>
  </si>
  <si>
    <t>Melting_Curves/meltCurve_O95400_CD2BP2.pdf</t>
  </si>
  <si>
    <t>Melting_Curves/meltCurve_O95402_MED26.pdf</t>
  </si>
  <si>
    <t>Melting_Curves/meltCurve_O95405_ZFYVE9.pdf</t>
  </si>
  <si>
    <t>Melting_Curves/meltCurve_O95429_2_BAG4.pdf</t>
  </si>
  <si>
    <t>Melting_Curves/meltCurve_O95433_AHSA1.pdf</t>
  </si>
  <si>
    <t>Melting_Curves/meltCurve_O95453_2_PARN.pdf</t>
  </si>
  <si>
    <t>Melting_Curves/meltCurve_O95456_PSMG1.pdf</t>
  </si>
  <si>
    <t>Melting_Curves/meltCurve_O95466_FMNL1.pdf</t>
  </si>
  <si>
    <t>Melting_Curves/meltCurve_O95478_NSA2.pdf</t>
  </si>
  <si>
    <t>Melting_Curves/meltCurve_O95479_H6PD.pdf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</si>
  <si>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</si>
  <si>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</si>
  <si>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</si>
  <si>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</si>
  <si>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Melting_Curves/meltCurve_O95568_METTL18.pdf</t>
  </si>
  <si>
    <t>Melting_Curves/meltCurve_O95571_ETHE1.pdf</t>
  </si>
  <si>
    <t>Melting_Curves/meltCurve_O95573_ACSL3.pdf</t>
  </si>
  <si>
    <t>Melting_Curves/meltCurve_O95602_POLR1A.pdf</t>
  </si>
  <si>
    <t>Melting_Curves/meltCurve_O95613_PCNT.pdf</t>
  </si>
  <si>
    <t>Melting_Curves/meltCurve_O95619_YEATS4.pdf</t>
  </si>
  <si>
    <t>Melting_Curves/meltCurve_O95620_DUS4L.pdf</t>
  </si>
  <si>
    <t>Melting_Curves/meltCurve_O95625_ZBTB11.pdf</t>
  </si>
  <si>
    <t>Melting_Curves/meltCurve_O95628_9_CNOT4.pdf</t>
  </si>
  <si>
    <t>Melting_Curves/meltCurve_O95630_STAMBP.pdf</t>
  </si>
  <si>
    <t>Melting_Curves/meltCurve_O95639_CPSF4.pdf</t>
  </si>
  <si>
    <t>Melting_Curves/meltCurve_O95644_5_NFATC1.pdf</t>
  </si>
  <si>
    <t>Melting_Curves/meltCurve_O95671_2_ASMTL.pdf</t>
  </si>
  <si>
    <t>Melting_Curves/meltCurve_O95684_2_FGFR1OP.pdf</t>
  </si>
  <si>
    <t>Melting_Curves/meltCurve_O95721_SNAP29.pdf</t>
  </si>
  <si>
    <t>Melting_Curves/meltCurve_O95747_OXSR1.pdf</t>
  </si>
  <si>
    <t>Melting_Curves/meltCurve_O95749_GGPS1.pdf</t>
  </si>
  <si>
    <t>Melting_Curves/meltCurve_O95757_HSPA4L.pdf</t>
  </si>
  <si>
    <t>Melting_Curves/meltCurve_O95758_1_PTBP3.pdf</t>
  </si>
  <si>
    <t>Melting_Curves/meltCurve_O95777_NAA38.pdf</t>
  </si>
  <si>
    <t>Melting_Curves/meltCurve_O95782_2_AP2A1.pdf</t>
  </si>
  <si>
    <t>Melting_Curves/meltCurve_O95801_TTC4.pdf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</si>
  <si>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</si>
  <si>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</si>
  <si>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</si>
  <si>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</si>
  <si>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</si>
  <si>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Melting_Curves/meltCurve_O95834_2_EML2.pdf</t>
  </si>
  <si>
    <t>Melting_Curves/meltCurve_O95835_2_LATS1.pdf</t>
  </si>
  <si>
    <t>Melting_Curves/meltCurve_O95861_BPNT1.pdf</t>
  </si>
  <si>
    <t>Melting_Curves/meltCurve_O95865_DDAH2.pdf</t>
  </si>
  <si>
    <t>Melting_Curves/meltCurve_O95881_TXNDC12.pdf</t>
  </si>
  <si>
    <t>Melting_Curves/meltCurve_O95905_ECD.pdf</t>
  </si>
  <si>
    <t>Melting_Curves/meltCurve_O95926_SYF2.pdf</t>
  </si>
  <si>
    <t>Melting_Curves/meltCurve_O95983_MBD3.pdf</t>
  </si>
  <si>
    <t>Melting_Curves/meltCurve_O95985_TOP3B.pdf</t>
  </si>
  <si>
    <t>Melting_Curves/meltCurve_O95989_NUDT3.pdf</t>
  </si>
  <si>
    <t>Melting_Curves/meltCurve_O95999_BCL10.pdf</t>
  </si>
  <si>
    <t>Melting_Curves/meltCurve_O96007_MOCS2.pdf</t>
  </si>
  <si>
    <t>Melting_Curves/meltCurve_O96008_TOMM40.pdf</t>
  </si>
  <si>
    <t>Melting_Curves/meltCurve_O96013_PAK4.pdf</t>
  </si>
  <si>
    <t>Melting_Curves/meltCurve_O96017_CHEK2.pdf</t>
  </si>
  <si>
    <t>Melting_Curves/meltCurve_O96018_APBA3.pdf</t>
  </si>
  <si>
    <t>Melting_Curves/meltCurve_O96019_ACTL6A.pdf</t>
  </si>
  <si>
    <t>Melting_Curves/meltCurve_O96028_WHSC1.pdf</t>
  </si>
  <si>
    <t>Melting_Curves/meltCurve_O96033_MOCS2.pdf</t>
  </si>
  <si>
    <t>Melting_Curves/meltCurve_P00338_LDHA.pdf</t>
  </si>
  <si>
    <t>Melting_Curves/meltCurve_P00352_ALDH1A1.pdf</t>
  </si>
  <si>
    <t>Melting_Curves/meltCurve_P00367_GLUD1.pdf</t>
  </si>
  <si>
    <t>Melting_Curves/meltCurve_P00374_DHFR.pdf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</si>
  <si>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</si>
  <si>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</si>
  <si>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</si>
  <si>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</si>
  <si>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</si>
  <si>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</si>
  <si>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</si>
  <si>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</si>
  <si>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Melting_Curves/meltCurve_P00558_PGK1.pdf</t>
  </si>
  <si>
    <t>Melting_Curves/meltCurve_P00568_AK1.pdf</t>
  </si>
  <si>
    <t>Melting_Curves/meltCurve_P00747_.pdf</t>
  </si>
  <si>
    <t>Melting_Curves/meltCurve_P00813_ADA.pdf</t>
  </si>
  <si>
    <t>Melting_Curves/meltCurve_P00918_CA2.pdf</t>
  </si>
  <si>
    <t>Melting_Curves/meltCurve_P00966_ASS1.pdf</t>
  </si>
  <si>
    <t>Melting_Curves/meltCurve_P01008_.pdf</t>
  </si>
  <si>
    <t>Melting_Curves/meltCurve_P01023_.pdf</t>
  </si>
  <si>
    <t>Melting_Curves/meltCurve_P01024_.pdf</t>
  </si>
  <si>
    <t>Melting_Curves/meltCurve_P01034_CST3.pdf</t>
  </si>
  <si>
    <t>Melting_Curves/meltCurve_P01111_NRAS.pdf</t>
  </si>
  <si>
    <t>Melting_Curves/meltCurve_P01116_2_KRAS.pdf</t>
  </si>
  <si>
    <t>Melting_Curves/meltCurve_P01137_TGFB1.pdf</t>
  </si>
  <si>
    <t>Melting_Curves/meltCurve_P02008_HBZ.pdf</t>
  </si>
  <si>
    <t>Melting_Curves/meltCurve_P02042_HBD.pdf</t>
  </si>
  <si>
    <t>Melting_Curves/meltCurve_P02100_HBE1.pdf</t>
  </si>
  <si>
    <t>Melting_Curves/meltCurve_P02533_KRT14.pdf</t>
  </si>
  <si>
    <t>Melting_Curves/meltCurve_P02538_KRT6A.pdf</t>
  </si>
  <si>
    <t>Melting_Curves/meltCurve_P02545_LMNA.pdf</t>
  </si>
  <si>
    <t>Melting_Curves/meltCurve_P02549_SPTA1.pdf</t>
  </si>
  <si>
    <t>Melting_Curves/meltCurve_P02649_APOE.pdf</t>
  </si>
  <si>
    <t>Melting_Curves/meltCurve_P02750_LRG1.pdf</t>
  </si>
  <si>
    <t>Melting_Curves/meltCurve_P02765_.pdf</t>
  </si>
  <si>
    <t>Melting_Curves/meltCurve_P02768_ALB.pdf</t>
  </si>
  <si>
    <t>Melting_Curves/meltCurve_P02774_.pdf</t>
  </si>
  <si>
    <t>Melting_Curves/meltCurve_P02786_TFRC.pdf</t>
  </si>
  <si>
    <t>Melting_Curves/meltCurve_P02792_FTL.pdf</t>
  </si>
  <si>
    <t>Melting_Curves/meltCurve_P02794_FTH1.pdf</t>
  </si>
  <si>
    <t>Melting_Curves/meltCurve_P04004_.pdf</t>
  </si>
  <si>
    <t>Melting_Curves/meltCurve_P04040_CAT.pdf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</si>
  <si>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</si>
  <si>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</si>
  <si>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</si>
  <si>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</si>
  <si>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Melting_Curves/meltCurve_P04150_2_NR3C1.pdf</t>
  </si>
  <si>
    <t>Melting_Curves/meltCurve_P04181_OAT.pdf</t>
  </si>
  <si>
    <t>Melting_Curves/meltCurve_P04183_TK1.pdf</t>
  </si>
  <si>
    <t>Melting_Curves/meltCurve_P04264_KRT1.pdf</t>
  </si>
  <si>
    <t>Melting_Curves/meltCurve_P04350_TUBB4A.pdf</t>
  </si>
  <si>
    <t>Melting_Curves/meltCurve_P04406_GAPDH.pdf</t>
  </si>
  <si>
    <t>Melting_Curves/meltCurve_P04424_ASL.pdf</t>
  </si>
  <si>
    <t>Melting_Curves/meltCurve_P04629_4_NTRK1.pdf</t>
  </si>
  <si>
    <t>Melting_Curves/meltCurve_P04632_CAPNS1.pdf</t>
  </si>
  <si>
    <t>Melting_Curves/meltCurve_P04792_HSPB1.pdf</t>
  </si>
  <si>
    <t>Melting_Curves/meltCurve_P04818_TYMS.pdf</t>
  </si>
  <si>
    <t>Melting_Curves/meltCurve_P04843_RPN1.pdf</t>
  </si>
  <si>
    <t>Melting_Curves/meltCurve_P04844_2_RPN2.pdf</t>
  </si>
  <si>
    <t>Melting_Curves/meltCurve_P04899_GNAI2.pdf</t>
  </si>
  <si>
    <t>Melting_Curves/meltCurve_P04920_2_SLC4A2.pdf</t>
  </si>
  <si>
    <t>Melting_Curves/meltCurve_P05023_4_ATP1A1.pdf</t>
  </si>
  <si>
    <t>Melting_Curves/meltCurve_P05091_ALDH2.pdf</t>
  </si>
  <si>
    <t>Melting_Curves/meltCurve_P05114_HMGN1.pdf</t>
  </si>
  <si>
    <t>Melting_Curves/meltCurve_P05141_SLC25A5.pdf</t>
  </si>
  <si>
    <t>Melting_Curves/meltCurve_P05161_ISG15.pdf</t>
  </si>
  <si>
    <t>Melting_Curves/meltCurve_P05165_3_PCCA.pdf</t>
  </si>
  <si>
    <t>Melting_Curves/meltCurve_P05166_PCCB.pdf</t>
  </si>
  <si>
    <t>Melting_Curves/meltCurve_P05198_EIF2S1.pdf</t>
  </si>
  <si>
    <t>Melting_Curves/meltCurve_P05204_HMGN2.pdf</t>
  </si>
  <si>
    <t>Melting_Curves/meltCurve_P05362_ICAM1.pdf</t>
  </si>
  <si>
    <t>Melting_Curves/meltCurve_P05387_RPLP2.pdf</t>
  </si>
  <si>
    <t>Melting_Curves/meltCurve_P05388_RPLP0.pdf</t>
  </si>
  <si>
    <t>Melting_Curves/meltCurve_P05423_POLR3D.pdf</t>
  </si>
  <si>
    <t>Melting_Curves/meltCurve_P05455_SSB.pdf</t>
  </si>
  <si>
    <t>Melting_Curves/meltCurve_P05556_2_ITGB1.pdf</t>
  </si>
  <si>
    <t>Melting_Curves/meltCurve_P05771_2_PRKCB.pdf</t>
  </si>
  <si>
    <t>Melting_Curves/meltCurve_P05783_KRT18.pdf</t>
  </si>
  <si>
    <t>Melting_Curves/meltCurve_P05787_KRT8.pdf</t>
  </si>
  <si>
    <t>Melting_Curves/meltCurve_P05937_CALB1.pdf</t>
  </si>
  <si>
    <t>Melting_Curves/meltCurve_P06132_UROD.pdf</t>
  </si>
  <si>
    <t>Melting_Curves/meltCurve_P06280_GLA.pdf</t>
  </si>
  <si>
    <t>Melting_Curves/meltCurve_P06396_2_GSN.pdf</t>
  </si>
  <si>
    <t>Melting_Curves/meltCurve_P06400_RB1.pdf</t>
  </si>
  <si>
    <t>Melting_Curves/meltCurve_P06493_CDK1.pdf</t>
  </si>
  <si>
    <t>Melting_Curves/meltCurve_P06576_ATP5B.pdf</t>
  </si>
  <si>
    <t>Melting_Curves/meltCurve_P06730_EIF4E.pdf</t>
  </si>
  <si>
    <t>Melting_Curves/meltCurve_P06733_ENO1.pdf</t>
  </si>
  <si>
    <t>Melting_Curves/meltCurve_P06737_2_PYGL.pdf</t>
  </si>
  <si>
    <t>Melting_Curves/meltCurve_P06744_GPI.pdf</t>
  </si>
  <si>
    <t>Melting_Curves/meltCurve_P06746_POLB.pdf</t>
  </si>
  <si>
    <t>Melting_Curves/meltCurve_P06748_NPM1.pdf</t>
  </si>
  <si>
    <t>Melting_Curves/meltCurve_P06753_2_TPM3.pdf</t>
  </si>
  <si>
    <t>Melting_Curves/meltCurve_P06753_3_TPM3.pdf</t>
  </si>
  <si>
    <t>Melting_Curves/meltCurve_P06753_5_TPM3.pdf</t>
  </si>
  <si>
    <t>Melting_Curves/meltCurve_P06865_HEXA.pdf</t>
  </si>
  <si>
    <t>Melting_Curves/meltCurve_P07108_DBI.pdf</t>
  </si>
  <si>
    <t>Melting_Curves/meltCurve_P07195_LDHB.pdf</t>
  </si>
  <si>
    <t>Melting_Curves/meltCurve_P07205_PGK2.pdf</t>
  </si>
  <si>
    <t>Melting_Curves/meltCurve_P07237_P4HB.pdf</t>
  </si>
  <si>
    <t>Melting_Curves/meltCurve_P07339_CTSD.pdf</t>
  </si>
  <si>
    <t>Melting_Curves/meltCurve_P07355_ANXA2.pdf</t>
  </si>
  <si>
    <t>Melting_Curves/meltCurve_P07384_CAPN1.pdf</t>
  </si>
  <si>
    <t>Melting_Curves/meltCurve_P07602_PSAP.pdf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</si>
  <si>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</si>
  <si>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</si>
  <si>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</si>
  <si>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</si>
  <si>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</si>
  <si>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</si>
  <si>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</si>
  <si>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</si>
  <si>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</si>
  <si>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Melting_Curves/meltCurve_P07942_LAMB1.pdf</t>
  </si>
  <si>
    <t>Melting_Curves/meltCurve_P07947_YES1.pdf</t>
  </si>
  <si>
    <t>Melting_Curves/meltCurve_P07948_LYN.pdf</t>
  </si>
  <si>
    <t>Melting_Curves/meltCurve_P07954_2_FH.pdf</t>
  </si>
  <si>
    <t>Melting_Curves/meltCurve_P07992_ERCC1.pdf</t>
  </si>
  <si>
    <t>Melting_Curves/meltCurve_P07996_THBS1.pdf</t>
  </si>
  <si>
    <t>Melting_Curves/meltCurve_P08047_SP1.pdf</t>
  </si>
  <si>
    <t>Melting_Curves/meltCurve_P08107_HSPA1A.pdf</t>
  </si>
  <si>
    <t>Melting_Curves/meltCurve_P08133_ANXA6.pdf</t>
  </si>
  <si>
    <t>Melting_Curves/meltCurve_P08195_2_SLC3A2.pdf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</si>
  <si>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</si>
  <si>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</si>
  <si>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</si>
  <si>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</si>
  <si>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Melting_Curves/meltCurve_P08397_2_HMBS.pdf</t>
  </si>
  <si>
    <t>Melting_Curves/meltCurve_P08559_3_PDHA1.pdf</t>
  </si>
  <si>
    <t>Melting_Curves/meltCurve_P08575_2_PTPRC.pdf</t>
  </si>
  <si>
    <t>Melting_Curves/meltCurve_P08579_SNRPB2.pdf</t>
  </si>
  <si>
    <t>Melting_Curves/meltCurve_P08590_MYL3.pdf</t>
  </si>
  <si>
    <t>Melting_Curves/meltCurve_P08621_SNRNP70.pdf</t>
  </si>
  <si>
    <t>Melting_Curves/meltCurve_P08651_2_NFIC.pdf</t>
  </si>
  <si>
    <t>Melting_Curves/meltCurve_P08670_VIM.pdf</t>
  </si>
  <si>
    <t>Melting_Curves/meltCurve_P08727_KRT19.pdf</t>
  </si>
  <si>
    <t>Melting_Curves/meltCurve_P08754_GNAI3.pdf</t>
  </si>
  <si>
    <t>Melting_Curves/meltCurve_P08758_ANXA5.pdf</t>
  </si>
  <si>
    <t>Melting_Curves/meltCurve_P08779_KRT16.pdf</t>
  </si>
  <si>
    <t>Melting_Curves/meltCurve_P09012_SNRPA.pdf</t>
  </si>
  <si>
    <t>Melting_Curves/meltCurve_P09038_2_FGF2.pdf</t>
  </si>
  <si>
    <t>Melting_Curves/meltCurve_P09105_HBQ1.pdf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</si>
  <si>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</si>
  <si>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</si>
  <si>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</si>
  <si>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</si>
  <si>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Melting_Curves/meltCurve_P09327_VIL1.pdf</t>
  </si>
  <si>
    <t>Melting_Curves/meltCurve_P09382_LGALS1.pdf</t>
  </si>
  <si>
    <t>Melting_Curves/meltCurve_P09417_QDPR.pdf</t>
  </si>
  <si>
    <t>Melting_Curves/meltCurve_P09429_HMGB1.pdf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</si>
  <si>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</si>
  <si>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</si>
  <si>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</si>
  <si>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</si>
  <si>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Melting_Curves/meltCurve_P09622_DLD.pdf</t>
  </si>
  <si>
    <t>Melting_Curves/meltCurve_P09651_3_HNRNPA1.pdf</t>
  </si>
  <si>
    <t>Melting_Curves/meltCurve_P09661_SNRPA1.pdf</t>
  </si>
  <si>
    <t>Melting_Curves/meltCurve_P09668_CTSH.pdf</t>
  </si>
  <si>
    <t>Melting_Curves/meltCurve_P09874_PARP1.pdf</t>
  </si>
  <si>
    <t>Melting_Curves/meltCurve_P09884_POLA1.pdf</t>
  </si>
  <si>
    <t>Melting_Curves/meltCurve_P09917_ALOX5.pdf</t>
  </si>
  <si>
    <t>Melting_Curves/meltCurve_P09960_LTA4H.pdf</t>
  </si>
  <si>
    <t>Melting_Curves/meltCurve_P09972_ALDOC.pdf</t>
  </si>
  <si>
    <t>Melting_Curves/meltCurve_P0C7T5_ATXN1L.pdf</t>
  </si>
  <si>
    <t>Melting_Curves/meltCurve_P0CAP2_POLR2M.pdf</t>
  </si>
  <si>
    <t>Melting_Curves/meltCurve_P0CG12_CHTF8.pdf</t>
  </si>
  <si>
    <t>Melting_Curves/meltCurve_P0CG13_CHTF8.pdf</t>
  </si>
  <si>
    <t>Melting_Curves/meltCurve_P0CJ79_ZNF888.pdf</t>
  </si>
  <si>
    <t>Melting_Curves/meltCurve_P0CL82_GAGE12I.pdf</t>
  </si>
  <si>
    <t>Melting_Curves/meltCurve_P0CW22_RPS17L.pdf</t>
  </si>
  <si>
    <t>Melting_Curves/meltCurve_P0DI82_TRAPPC2P1.pdf</t>
  </si>
  <si>
    <t>Melting_Curves/meltCurve_P10109_FDX1.pdf</t>
  </si>
  <si>
    <t>Melting_Curves/meltCurve_P10155_TROVE2.pdf</t>
  </si>
  <si>
    <t>Melting_Curves/meltCurve_P10242_11_MYB.pdf</t>
  </si>
  <si>
    <t>Melting_Curves/meltCurve_P10244_MYBL2.pdf</t>
  </si>
  <si>
    <t>Melting_Curves/meltCurve_P10253_GAA.pdf</t>
  </si>
  <si>
    <t>Melting_Curves/meltCurve_P10398_ARAF.pdf</t>
  </si>
  <si>
    <t>Melting_Curves/meltCurve_P10515_DLAT.pdf</t>
  </si>
  <si>
    <t>Melting_Curves/meltCurve_P10586_2_PTPRF.pdf</t>
  </si>
  <si>
    <t>Melting_Curves/meltCurve_P10588_NR2F6.pdf</t>
  </si>
  <si>
    <t>Melting_Curves/meltCurve_P10599_TXN.pdf</t>
  </si>
  <si>
    <t>Melting_Curves/meltCurve_P10606_COX5B.pdf</t>
  </si>
  <si>
    <t>Melting_Curves/meltCurve_P10619_CTSA.pdf</t>
  </si>
  <si>
    <t>Melting_Curves/meltCurve_P10636_2_MAPT.pdf</t>
  </si>
  <si>
    <t>Melting_Curves/meltCurve_P10644_PRKAR1A.pdf</t>
  </si>
  <si>
    <t>Melting_Curves/meltCurve_P10646_2_TFPI.pdf</t>
  </si>
  <si>
    <t>Melting_Curves/meltCurve_P10746_UROS.pdf</t>
  </si>
  <si>
    <t>Melting_Curves/meltCurve_P10768_ESD.pdf</t>
  </si>
  <si>
    <t>Melting_Curves/meltCurve_P10809_HSPD1.pdf</t>
  </si>
  <si>
    <t>Melting_Curves/meltCurve_P11021_HSPA5.pdf</t>
  </si>
  <si>
    <t>Melting_Curves/meltCurve_P11086_PNMT.pdf</t>
  </si>
  <si>
    <t>Melting_Curves/meltCurve_P11137_3_MAP2.pdf</t>
  </si>
  <si>
    <t>Melting_Curves/meltCurve_P11142_HSPA8.pdf</t>
  </si>
  <si>
    <t>Melting_Curves/meltCurve_P11171_EPB41.pdf</t>
  </si>
  <si>
    <t>Melting_Curves/meltCurve_P11171_2_EPB41.pdf</t>
  </si>
  <si>
    <t>Melting_Curves/meltCurve_P11171_4_EPB41.pdf</t>
  </si>
  <si>
    <t>Melting_Curves/meltCurve_P11171_5_EPB41.pdf</t>
  </si>
  <si>
    <t>Melting_Curves/meltCurve_P11172_UMPS.pdf</t>
  </si>
  <si>
    <t>Melting_Curves/meltCurve_P11177_3_PDHB.pdf</t>
  </si>
  <si>
    <t>Melting_Curves/meltCurve_P11216_PYGB.pdf</t>
  </si>
  <si>
    <t>Melting_Curves/meltCurve_P11233_RALA.pdf</t>
  </si>
  <si>
    <t>Melting_Curves/meltCurve_P11234_RALB.pdf</t>
  </si>
  <si>
    <t>Melting_Curves/meltCurve_P11274_BCR.pdf</t>
  </si>
  <si>
    <t>Melting_Curves/meltCurve_P11277_3_SPTB.pdf</t>
  </si>
  <si>
    <t>Melting_Curves/meltCurve_P11279_LAMP1.pdf</t>
  </si>
  <si>
    <t>Melting_Curves/meltCurve_P11309_2_PIM1.pdf</t>
  </si>
  <si>
    <t>Melting_Curves/meltCurve_P11310_ACADM.pdf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</si>
  <si>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</si>
  <si>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</si>
  <si>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</si>
  <si>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</si>
  <si>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Melting_Curves/meltCurve_P11498_PC.pdf</t>
  </si>
  <si>
    <t>Melting_Curves/meltCurve_P11532_3_DMD.pdf</t>
  </si>
  <si>
    <t>Melting_Curves/meltCurve_P11717_IGF2R.pdf</t>
  </si>
  <si>
    <t>Melting_Curves/meltCurve_P11766_ADH5.pdf</t>
  </si>
  <si>
    <t>Melting_Curves/meltCurve_P11802_CDK4.pdf</t>
  </si>
  <si>
    <t>Melting_Curves/meltCurve_P11831_SRF.pdf</t>
  </si>
  <si>
    <t>Melting_Curves/meltCurve_P11908_PRPS2.pdf</t>
  </si>
  <si>
    <t>Melting_Curves/meltCurve_P11940_PABPC1.pdf</t>
  </si>
  <si>
    <t>Melting_Curves/meltCurve_P12004_PCNA.pdf</t>
  </si>
  <si>
    <t>Melting_Curves/meltCurve_P12036_NEFH.pdf</t>
  </si>
  <si>
    <t>Melting_Curves/meltCurve_P12081_HARS.pdf</t>
  </si>
  <si>
    <t>Melting_Curves/meltCurve_P12236_SLC25A6.pdf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</si>
  <si>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</si>
  <si>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</si>
  <si>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</si>
  <si>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</si>
  <si>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Melting_Curves/meltCurve_P12694_BCKDHA.pdf</t>
  </si>
  <si>
    <t>Melting_Curves/meltCurve_P12757_3_SKIL.pdf</t>
  </si>
  <si>
    <t>Melting_Curves/meltCurve_P12814_ACTN1.pdf</t>
  </si>
  <si>
    <t>Melting_Curves/meltCurve_P12821_2_ACE.pdf</t>
  </si>
  <si>
    <t>Melting_Curves/meltCurve_P12882_MYH1.pdf</t>
  </si>
  <si>
    <t>Melting_Curves/meltCurve_P12955_PEPD.pdf</t>
  </si>
  <si>
    <t>Melting_Curves/meltCurve_P12956_XRCC6.pdf</t>
  </si>
  <si>
    <t>Melting_Curves/meltCurve_P12980_LYL1.pdf</t>
  </si>
  <si>
    <t>Melting_Curves/meltCurve_P13010_XRCC5.pdf</t>
  </si>
  <si>
    <t>Melting_Curves/meltCurve_P13056_NR2C1.pdf</t>
  </si>
  <si>
    <t>Melting_Curves/meltCurve_P13073_COX4I1.pdf</t>
  </si>
  <si>
    <t>Melting_Curves/meltCurve_P13284_IFI30.pdf</t>
  </si>
  <si>
    <t>Melting_Curves/meltCurve_P13489_RNH1.pdf</t>
  </si>
  <si>
    <t>Melting_Curves/meltCurve_P13498_CYBA.pdf</t>
  </si>
  <si>
    <t>Melting_Curves/meltCurve_P13639_EEF2.pdf</t>
  </si>
  <si>
    <t>Melting_Curves/meltCurve_P13645_KRT10.pdf</t>
  </si>
  <si>
    <t>Melting_Curves/meltCurve_P13647_KRT5.pdf</t>
  </si>
  <si>
    <t>Melting_Curves/meltCurve_P13667_PDIA4.pdf</t>
  </si>
  <si>
    <t>Melting_Curves/meltCurve_P13674_2_P4HA1.pdf</t>
  </si>
  <si>
    <t>Melting_Curves/meltCurve_P13682_ZNF35.pdf</t>
  </si>
  <si>
    <t>Melting_Curves/meltCurve_P13693_TPT1.pdf</t>
  </si>
  <si>
    <t>Melting_Curves/meltCurve_P13796_LCP1.pdf</t>
  </si>
  <si>
    <t>Melting_Curves/meltCurve_P13797_PLS3.pdf</t>
  </si>
  <si>
    <t>Melting_Curves/meltCurve_P13798_APEH.pdf</t>
  </si>
  <si>
    <t>Melting_Curves/meltCurve_P13804_ETFA.pdf</t>
  </si>
  <si>
    <t>Melting_Curves/meltCurve_P13861_PRKAR2A.pdf</t>
  </si>
  <si>
    <t>Melting_Curves/meltCurve_P13929_3_ENO3.pdf</t>
  </si>
  <si>
    <t>Melting_Curves/meltCurve_P13984_GTF2F2.pdf</t>
  </si>
  <si>
    <t>Melting_Curves/meltCurve_P13995_MTHFD2.pdf</t>
  </si>
  <si>
    <t>Melting_Curves/meltCurve_P14174_MIF.pdf</t>
  </si>
  <si>
    <t>Melting_Curves/meltCurve_P14209_3_CD99.pdf</t>
  </si>
  <si>
    <t>Melting_Curves/meltCurve_P14314_2_PRKCSH.pdf</t>
  </si>
  <si>
    <t>Melting_Curves/meltCurve_P14317_HCLS1.pdf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</si>
  <si>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</si>
  <si>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</si>
  <si>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</si>
  <si>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</si>
  <si>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Melting_Curves/meltCurve_P14621_ACYP2.pdf</t>
  </si>
  <si>
    <t>Melting_Curves/meltCurve_P14625_HSP90B1.pdf</t>
  </si>
  <si>
    <t>Melting_Curves/meltCurve_P14635_CCNB1.pdf</t>
  </si>
  <si>
    <t>Melting_Curves/meltCurve_P14649_MYL6B.pdf</t>
  </si>
  <si>
    <t>Melting_Curves/meltCurve_P14678_SNRPB.pdf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</si>
  <si>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</si>
  <si>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</si>
  <si>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</si>
  <si>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</si>
  <si>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</si>
  <si>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</si>
  <si>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Melting_Curves/meltCurve_P15056_BRAF.pdf</t>
  </si>
  <si>
    <t>Melting_Curves/meltCurve_P15088_CPA3.pdf</t>
  </si>
  <si>
    <t>Melting_Curves/meltCurve_P15104_GLUL.pdf</t>
  </si>
  <si>
    <t>Melting_Curves/meltCurve_P15151_3_PVR.pdf</t>
  </si>
  <si>
    <t>Melting_Curves/meltCurve_P15153_RAC2.pdf</t>
  </si>
  <si>
    <t>Melting_Curves/meltCurve_P15170_2_GSPT1.pdf</t>
  </si>
  <si>
    <t>Melting_Curves/meltCurve_P15289_ARSA.pdf</t>
  </si>
  <si>
    <t>Melting_Curves/meltCurve_P15311_EZR.pdf</t>
  </si>
  <si>
    <t>Melting_Curves/meltCurve_P15374_UCHL3.pdf</t>
  </si>
  <si>
    <t>Melting_Curves/meltCurve_P15498_VAV1.pdf</t>
  </si>
  <si>
    <t>Melting_Curves/meltCurve_P15529_15_CD46.pdf</t>
  </si>
  <si>
    <t>Melting_Curves/meltCurve_P15531_NME1.pdf</t>
  </si>
  <si>
    <t>Melting_Curves/meltCurve_P15735_2_PHKG2.pdf</t>
  </si>
  <si>
    <t>Melting_Curves/meltCurve_P15822_HIVEP1.pdf</t>
  </si>
  <si>
    <t>Melting_Curves/meltCurve_P15848_ARSB.pdf</t>
  </si>
  <si>
    <t>Melting_Curves/meltCurve_P15880_RPS2.pdf</t>
  </si>
  <si>
    <t>Melting_Curves/meltCurve_P15884_5_TCF4.pdf</t>
  </si>
  <si>
    <t>Melting_Curves/meltCurve_P15923_2_TCF3.pdf</t>
  </si>
  <si>
    <t>Melting_Curves/meltCurve_P15924_DSP.pdf</t>
  </si>
  <si>
    <t>Melting_Curves/meltCurve_P15927_RPA2.pdf</t>
  </si>
  <si>
    <t>Melting_Curves/meltCurve_P15976_3_GATA1.pdf</t>
  </si>
  <si>
    <t>Melting_Curves/meltCurve_P16083_NQO2.pdf</t>
  </si>
  <si>
    <t>Melting_Curves/meltCurve_P16150_SPN.pdf</t>
  </si>
  <si>
    <t>Melting_Curves/meltCurve_P16152_CBR1.pdf</t>
  </si>
  <si>
    <t>Melting_Curves/meltCurve_P16157_10_ANK1.pdf</t>
  </si>
  <si>
    <t>Melting_Curves/meltCurve_P16219_ACADS.pdf</t>
  </si>
  <si>
    <t>Melting_Curves/meltCurve_P16278_3_GLB1.pdf</t>
  </si>
  <si>
    <t>Melting_Curves/meltCurve_P16298_PPP3CB.pdf</t>
  </si>
  <si>
    <t>Melting_Curves/meltCurve_P16333_NCK1.pdf</t>
  </si>
  <si>
    <t>Melting_Curves/meltCurve_P16383_GCFC2.pdf</t>
  </si>
  <si>
    <t>Melting_Curves/meltCurve_P16401_HIST1H1B.pdf</t>
  </si>
  <si>
    <t>Melting_Curves/meltCurve_P16403_HIST1H1C.pdf</t>
  </si>
  <si>
    <t>Melting_Curves/meltCurve_P16591_FER.pdf</t>
  </si>
  <si>
    <t>Melting_Curves/meltCurve_P16591_3_FER.pdf</t>
  </si>
  <si>
    <t>Melting_Curves/meltCurve_P16615_ATP2A2.pdf</t>
  </si>
  <si>
    <t>Melting_Curves/meltCurve_P16885_PLCG2.pdf</t>
  </si>
  <si>
    <t>Melting_Curves/meltCurve_P16930_FAH.pdf</t>
  </si>
  <si>
    <t>Melting_Curves/meltCurve_P16949_STMN1.pdf</t>
  </si>
  <si>
    <t>Melting_Curves/meltCurve_P16989_YBX3.pdf</t>
  </si>
  <si>
    <t>Melting_Curves/meltCurve_P16989_2_YBX3.pdf</t>
  </si>
  <si>
    <t>Melting_Curves/meltCurve_P17026_ZNF22.pdf</t>
  </si>
  <si>
    <t>Melting_Curves/meltCurve_P17028_ZNF24.pdf</t>
  </si>
  <si>
    <t>Melting_Curves/meltCurve_P17029_ZKSCAN1.pdf</t>
  </si>
  <si>
    <t>Melting_Curves/meltCurve_P17050_NAGA.pdf</t>
  </si>
  <si>
    <t>Melting_Curves/meltCurve_P17066_HSPA6.pdf</t>
  </si>
  <si>
    <t>Melting_Curves/meltCurve_P17096_2_HMGA1.pdf</t>
  </si>
  <si>
    <t>Melting_Curves/meltCurve_P17098_ZNF8.pdf</t>
  </si>
  <si>
    <t>Melting_Curves/meltCurve_P17174_GOT1.pdf</t>
  </si>
  <si>
    <t>Melting_Curves/meltCurve_P17252_PRKCA.pdf</t>
  </si>
  <si>
    <t>Melting_Curves/meltCurve_P17275_JUNB.pdf</t>
  </si>
  <si>
    <t>Melting_Curves/meltCurve_P17480_2_UBTF.pdf</t>
  </si>
  <si>
    <t>Melting_Curves/meltCurve_P17482_HOXB9.pdf</t>
  </si>
  <si>
    <t>Melting_Curves/meltCurve_P17483_HOXB4.pdf</t>
  </si>
  <si>
    <t>Melting_Curves/meltCurve_P17535_JUND.pdf</t>
  </si>
  <si>
    <t>Melting_Curves/meltCurve_P17542_TAL1.pdf</t>
  </si>
  <si>
    <t>Melting_Curves/meltCurve_P17544_4_ATF7.pdf</t>
  </si>
  <si>
    <t>Melting_Curves/meltCurve_P17612_PRKACA.pdf</t>
  </si>
  <si>
    <t>Melting_Curves/meltCurve_P17655_CAPN2.pdf</t>
  </si>
  <si>
    <t>Melting_Curves/meltCurve_P17661_DES.pdf</t>
  </si>
  <si>
    <t>Melting_Curves/meltCurve_P17676_CEBPB.pdf</t>
  </si>
  <si>
    <t>Melting_Curves/meltCurve_P17706_2_PTPN2.pdf</t>
  </si>
  <si>
    <t>Melting_Curves/meltCurve_P17707_AMD1.pdf</t>
  </si>
  <si>
    <t>Melting_Curves/meltCurve_P17812_CTPS1.pdf</t>
  </si>
  <si>
    <t>Melting_Curves/meltCurve_P17844_DDX5.pdf</t>
  </si>
  <si>
    <t>Melting_Curves/meltCurve_P17858_PFKL.pdf</t>
  </si>
  <si>
    <t>Melting_Curves/meltCurve_P17861_XBP1.pdf</t>
  </si>
  <si>
    <t>Melting_Curves/meltCurve_P17900_GM2A.pdf</t>
  </si>
  <si>
    <t>Melting_Curves/meltCurve_P17931_LGALS3.pdf</t>
  </si>
  <si>
    <t>Melting_Curves/meltCurve_P17987_TCP1.pdf</t>
  </si>
  <si>
    <t>Melting_Curves/meltCurve_P18031_PTPN1.pdf</t>
  </si>
  <si>
    <t>Melting_Curves/meltCurve_P18065_IGFBP2.pdf</t>
  </si>
  <si>
    <t>Melting_Curves/meltCurve_P18085_ARF4.pdf</t>
  </si>
  <si>
    <t>Melting_Curves/meltCurve_P18124_RPL7.pdf</t>
  </si>
  <si>
    <t>Melting_Curves/meltCurve_P18206_2_VCL.pdf</t>
  </si>
  <si>
    <t>Melting_Curves/meltCurve_P18583_7_SON.pdf</t>
  </si>
  <si>
    <t>Melting_Curves/meltCurve_P18615_NELFE.pdf</t>
  </si>
  <si>
    <t>Melting_Curves/meltCurve_P18669_PGAM1.pdf</t>
  </si>
  <si>
    <t>Melting_Curves/meltCurve_P18754_RCC1.pdf</t>
  </si>
  <si>
    <t>Melting_Curves/meltCurve_P18846_ATF1.pdf</t>
  </si>
  <si>
    <t>Melting_Curves/meltCurve_P18847_4_ATF3.pdf</t>
  </si>
  <si>
    <t>Melting_Curves/meltCurve_P18850_ATF6.pdf</t>
  </si>
  <si>
    <t>Melting_Curves/meltCurve_P18859_ATP5J.pdf</t>
  </si>
  <si>
    <t>Melting_Curves/meltCurve_P18887_XRCC1.pdf</t>
  </si>
  <si>
    <t>Melting_Curves/meltCurve_P19105_MYL12A.pdf</t>
  </si>
  <si>
    <t>Melting_Curves/meltCurve_P19174_2_PLCG1.pdf</t>
  </si>
  <si>
    <t>Melting_Curves/meltCurve_P19338_NCL.pdf</t>
  </si>
  <si>
    <t>Melting_Curves/meltCurve_P19367_2_HK1.pdf</t>
  </si>
  <si>
    <t>Melting_Curves/meltCurve_P19367_4_HK1.pdf</t>
  </si>
  <si>
    <t>Melting_Curves/meltCurve_P19387_POLR2C.pdf</t>
  </si>
  <si>
    <t>Melting_Curves/meltCurve_P19388_POLR2E.pdf</t>
  </si>
  <si>
    <t>Melting_Curves/meltCurve_P19404_NDUFV2.pdf</t>
  </si>
  <si>
    <t>Melting_Curves/meltCurve_P19447_ERCC3.pdf</t>
  </si>
  <si>
    <t>Melting_Curves/meltCurve_P19525_EIF2AK2.pdf</t>
  </si>
  <si>
    <t>Melting_Curves/meltCurve_P19532_TFE3.pdf</t>
  </si>
  <si>
    <t>Melting_Curves/meltCurve_P19544_2_WT1.pdf</t>
  </si>
  <si>
    <t>Melting_Curves/meltCurve_P19623_SRM.pdf</t>
  </si>
  <si>
    <t>Melting_Curves/meltCurve_P19784_CSNK2A2.pdf</t>
  </si>
  <si>
    <t>Melting_Curves/meltCurve_P19838_NFKB1.pdf</t>
  </si>
  <si>
    <t>Melting_Curves/meltCurve_P20042_EIF2S2.pdf</t>
  </si>
  <si>
    <t>Melting_Curves/meltCurve_P20138_3_CD33.pdf</t>
  </si>
  <si>
    <t>Melting_Curves/meltCurve_P20248_CCNA2.pdf</t>
  </si>
  <si>
    <t>Melting_Curves/meltCurve_P20290_BTF3.pdf</t>
  </si>
  <si>
    <t>Melting_Curves/meltCurve_P20333_TNFRSF1B.pdf</t>
  </si>
  <si>
    <t>Melting_Curves/meltCurve_P20337_RAB3B.pdf</t>
  </si>
  <si>
    <t>Melting_Curves/meltCurve_P20338_RAB4A.pdf</t>
  </si>
  <si>
    <t>Melting_Curves/meltCurve_P20340_2_RAB6A.pdf</t>
  </si>
  <si>
    <t>Melting_Curves/meltCurve_P20585_MSH3.pdf</t>
  </si>
  <si>
    <t>Melting_Curves/meltCurve_P20618_PSMB1.pdf</t>
  </si>
  <si>
    <t>Melting_Curves/meltCurve_P20674_COX5A.pdf</t>
  </si>
  <si>
    <t>Melting_Curves/meltCurve_P20700_LMNB1.pdf</t>
  </si>
  <si>
    <t>Melting_Curves/meltCurve_P20749_BCL3.pdf</t>
  </si>
  <si>
    <t>Melting_Curves/meltCurve_P20839_2_IMPDH1.pdf</t>
  </si>
  <si>
    <t>Melting_Curves/meltCurve_P20933_AGA.pdf</t>
  </si>
  <si>
    <t>Melting_Curves/meltCurve_P20936_2_RASA1.pdf</t>
  </si>
  <si>
    <t>Melting_Curves/meltCurve_P20962_PTMS.pdf</t>
  </si>
  <si>
    <t>Melting_Curves/meltCurve_P21127_CDK11B.pdf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</si>
  <si>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</si>
  <si>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</si>
  <si>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</si>
  <si>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</si>
  <si>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</si>
  <si>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Melting_Curves/meltCurve_P21359_2_NF1.pdf</t>
  </si>
  <si>
    <t>Melting_Curves/meltCurve_P21399_ACO1.pdf</t>
  </si>
  <si>
    <t>Melting_Curves/meltCurve_P21580_TNFAIP3.pdf</t>
  </si>
  <si>
    <t>Melting_Curves/meltCurve_P21675_TAF1.pdf</t>
  </si>
  <si>
    <t>Melting_Curves/meltCurve_P21695_2_GPD1.pdf</t>
  </si>
  <si>
    <t>Melting_Curves/meltCurve_P21796_VDAC1.pdf</t>
  </si>
  <si>
    <t>Melting_Curves/meltCurve_P21912_SDHB.pdf</t>
  </si>
  <si>
    <t>Melting_Curves/meltCurve_P21964_2_COMT.pdf</t>
  </si>
  <si>
    <t>Melting_Curves/meltCurve_P21980_TGM2.pdf</t>
  </si>
  <si>
    <t>Melting_Curves/meltCurve_P22033_MUT.pdf</t>
  </si>
  <si>
    <t>Melting_Curves/meltCurve_P22059_OSBP.pdf</t>
  </si>
  <si>
    <t>Melting_Curves/meltCurve_P22061_2_PCMT1.pdf</t>
  </si>
  <si>
    <t>Melting_Curves/meltCurve_P22102_GART.pdf</t>
  </si>
  <si>
    <t>Melting_Curves/meltCurve_P22234_PAICS.pdf</t>
  </si>
  <si>
    <t>Melting_Curves/meltCurve_P22307_6_SCP2.pdf</t>
  </si>
  <si>
    <t>Melting_Curves/meltCurve_P22314_UBA1.pdf</t>
  </si>
  <si>
    <t>Melting_Curves/meltCurve_P22392_2_NME2.pdf</t>
  </si>
  <si>
    <t>Melting_Curves/meltCurve_P22532_SPRR2D.pdf</t>
  </si>
  <si>
    <t>Melting_Curves/meltCurve_P22570_FDXR.pdf</t>
  </si>
  <si>
    <t>Melting_Curves/meltCurve_P22626_HNRNPA2B1.pdf</t>
  </si>
  <si>
    <t>Melting_Curves/meltCurve_P22670_RFX1.pdf</t>
  </si>
  <si>
    <t>Melting_Curves/meltCurve_P22681_CBL.pdf</t>
  </si>
  <si>
    <t>Melting_Curves/meltCurve_P22694_4_PRKACB.pdf</t>
  </si>
  <si>
    <t>Melting_Curves/meltCurve_P22830_FECH.pdf</t>
  </si>
  <si>
    <t>Melting_Curves/meltCurve_P23025_XPA.pdf</t>
  </si>
  <si>
    <t>Melting_Curves/meltCurve_P23142_3_FBLN1.pdf</t>
  </si>
  <si>
    <t>Melting_Curves/meltCurve_P23193_TCEA1.pdf</t>
  </si>
  <si>
    <t>Melting_Curves/meltCurve_P23246_SFPQ.pdf</t>
  </si>
  <si>
    <t>Melting_Curves/meltCurve_P23258_TUBG1.pdf</t>
  </si>
  <si>
    <t>Melting_Curves/meltCurve_P23284_PPIB.pdf</t>
  </si>
  <si>
    <t>Melting_Curves/meltCurve_P23297_S100A1.pdf</t>
  </si>
  <si>
    <t>Melting_Curves/meltCurve_P23368_ME2.pdf</t>
  </si>
  <si>
    <t>Melting_Curves/meltCurve_P23381_WARS.pdf</t>
  </si>
  <si>
    <t>Melting_Curves/meltCurve_P23396_RPS3.pdf</t>
  </si>
  <si>
    <t>Melting_Curves/meltCurve_P23409_MYF6.pdf</t>
  </si>
  <si>
    <t>Melting_Curves/meltCurve_P23434_GCSH.pdf</t>
  </si>
  <si>
    <t>Melting_Curves/meltCurve_P23470_2_PTPRG.pdf</t>
  </si>
  <si>
    <t>Melting_Curves/meltCurve_P23497_SP100.pdf</t>
  </si>
  <si>
    <t>Melting_Curves/meltCurve_P23511_2_NFYA.pdf</t>
  </si>
  <si>
    <t>Melting_Curves/meltCurve_P23526_AHCY.pdf</t>
  </si>
  <si>
    <t>Melting_Curves/meltCurve_P23528_CFL1.pdf</t>
  </si>
  <si>
    <t>Melting_Curves/meltCurve_P23588_EIF4B.pdf</t>
  </si>
  <si>
    <t>Melting_Curves/meltCurve_P23610_F8A1.pdf</t>
  </si>
  <si>
    <t>Melting_Curves/meltCurve_P23634_7_ATP2B4.pdf</t>
  </si>
  <si>
    <t>Melting_Curves/meltCurve_P23677_ITPKA.pdf</t>
  </si>
  <si>
    <t>Melting_Curves/meltCurve_P23769_2_GATA2.pdf</t>
  </si>
  <si>
    <t>Melting_Curves/meltCurve_P23786_CPT2.pdf</t>
  </si>
  <si>
    <t>Melting_Curves/meltCurve_P23919_DTYMK.pdf</t>
  </si>
  <si>
    <t>Melting_Curves/meltCurve_P23921_RRM1.pdf</t>
  </si>
  <si>
    <t>Melting_Curves/meltCurve_P24534_EEF1B2.pdf</t>
  </si>
  <si>
    <t>Melting_Curves/meltCurve_P24666_ACP1.pdf</t>
  </si>
  <si>
    <t>Melting_Curves/meltCurve_P24666_2_ACP1.pdf</t>
  </si>
  <si>
    <t>Melting_Curves/meltCurve_P24752_ACAT1.pdf</t>
  </si>
  <si>
    <t>Melting_Curves/meltCurve_P24928_POLR2A.pdf</t>
  </si>
  <si>
    <t>Melting_Curves/meltCurve_P24941_CDK2.pdf</t>
  </si>
  <si>
    <t>Melting_Curves/meltCurve_P25054_2_APC.pdf</t>
  </si>
  <si>
    <t>Melting_Curves/meltCurve_P25098_ADRBK1.pdf</t>
  </si>
  <si>
    <t>Melting_Curves/meltCurve_P25205_MCM3.pdf</t>
  </si>
  <si>
    <t>Melting_Curves/meltCurve_P25398_RPS12.pdf</t>
  </si>
  <si>
    <t>Melting_Curves/meltCurve_P25440_BRD2.pdf</t>
  </si>
  <si>
    <t>Melting_Curves/meltCurve_P25685_DNAJB1.pdf</t>
  </si>
  <si>
    <t>Melting_Curves/meltCurve_P25705_ATP5A1.pdf</t>
  </si>
  <si>
    <t>Melting_Curves/meltCurve_P25774_2_CTSS.pdf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</si>
  <si>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</si>
  <si>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</si>
  <si>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</si>
  <si>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</si>
  <si>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Melting_Curves/meltCurve_P25815_S100P.pdf</t>
  </si>
  <si>
    <t>Melting_Curves/meltCurve_P26038_MSN.pdf</t>
  </si>
  <si>
    <t>Melting_Curves/meltCurve_P26196_DDX6.pdf</t>
  </si>
  <si>
    <t>Melting_Curves/meltCurve_P26232_2_CTNNA2.pdf</t>
  </si>
  <si>
    <t>Melting_Curves/meltCurve_P26358_DNMT1.pdf</t>
  </si>
  <si>
    <t>Melting_Curves/meltCurve_P26358_2_DNMT1.pdf</t>
  </si>
  <si>
    <t>Melting_Curves/meltCurve_P26368_2_U2AF2.pdf</t>
  </si>
  <si>
    <t>Melting_Curves/meltCurve_P26373_RPL13.pdf</t>
  </si>
  <si>
    <t>Melting_Curves/meltCurve_P26374_CHML.pdf</t>
  </si>
  <si>
    <t>Melting_Curves/meltCurve_P26447_S100A4.pdf</t>
  </si>
  <si>
    <t>Melting_Curves/meltCurve_P26583_HMGB2.pdf</t>
  </si>
  <si>
    <t>Melting_Curves/meltCurve_P26599_PTBP1.pdf</t>
  </si>
  <si>
    <t>Melting_Curves/meltCurve_P26639_TARS.pdf</t>
  </si>
  <si>
    <t>Melting_Curves/meltCurve_P26640_VARS.pdf</t>
  </si>
  <si>
    <t>Melting_Curves/meltCurve_P26641_EEF1G.pdf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</si>
  <si>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</si>
  <si>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</si>
  <si>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</si>
  <si>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</si>
  <si>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Melting_Curves/meltCurve_P27448_8_MARK3.pdf</t>
  </si>
  <si>
    <t>Melting_Curves/meltCurve_P27540_2_ARNT.pdf</t>
  </si>
  <si>
    <t>Melting_Curves/meltCurve_P27694_RPA1.pdf</t>
  </si>
  <si>
    <t>Melting_Curves/meltCurve_P27695_APEX1.pdf</t>
  </si>
  <si>
    <t>Melting_Curves/meltCurve_P27707_DCK.pdf</t>
  </si>
  <si>
    <t>Melting_Curves/meltCurve_P27797_CALR.pdf</t>
  </si>
  <si>
    <t>Melting_Curves/meltCurve_P27815_6_PDE4A.pdf</t>
  </si>
  <si>
    <t>Melting_Curves/meltCurve_P27816_MAP4.pdf</t>
  </si>
  <si>
    <t>Melting_Curves/meltCurve_P27816_5_MAP4.pdf</t>
  </si>
  <si>
    <t>Melting_Curves/meltCurve_P27824_CANX.pdf</t>
  </si>
  <si>
    <t>Melting_Curves/meltCurve_P27986_PIK3R1.pdf</t>
  </si>
  <si>
    <t>Melting_Curves/meltCurve_P28062_2_PSMB8.pdf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</si>
  <si>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</si>
  <si>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</si>
  <si>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</si>
  <si>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</si>
  <si>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Melting_Curves/meltCurve_P28161_2_GSTM2.pdf</t>
  </si>
  <si>
    <t>Melting_Curves/meltCurve_P28289_TMOD1.pdf</t>
  </si>
  <si>
    <t>Melting_Curves/meltCurve_P28331_4_NDUFS1.pdf</t>
  </si>
  <si>
    <t>Melting_Curves/meltCurve_P28340_POLD1.pdf</t>
  </si>
  <si>
    <t>Melting_Curves/meltCurve_P28482_MAPK1.pdf</t>
  </si>
  <si>
    <t>Melting_Curves/meltCurve_P28715_ERCC5.pdf</t>
  </si>
  <si>
    <t>Melting_Curves/meltCurve_P28749_RBL1.pdf</t>
  </si>
  <si>
    <t>Melting_Curves/meltCurve_P28799_GRN.pdf</t>
  </si>
  <si>
    <t>Melting_Curves/meltCurve_P28838_2_LAP3.pdf</t>
  </si>
  <si>
    <t>Melting_Curves/meltCurve_P28908_TNFRSF8.pdf</t>
  </si>
  <si>
    <t>Melting_Curves/meltCurve_P29083_GTF2E1.pdf</t>
  </si>
  <si>
    <t>Melting_Curves/meltCurve_P29084_GTF2E2.pdf</t>
  </si>
  <si>
    <t>Melting_Curves/meltCurve_P29144_TPP2.pdf</t>
  </si>
  <si>
    <t>Melting_Curves/meltCurve_P29218_IMPA1.pdf</t>
  </si>
  <si>
    <t>Melting_Curves/meltCurve_P29350_PTPN6.pdf</t>
  </si>
  <si>
    <t>Melting_Curves/meltCurve_P29353_2_SHC1.pdf</t>
  </si>
  <si>
    <t>Melting_Curves/meltCurve_P29353_7_SHC1.pdf</t>
  </si>
  <si>
    <t>Melting_Curves/meltCurve_P29372_5_MPG.pdf</t>
  </si>
  <si>
    <t>Melting_Curves/meltCurve_P29373_CRABP2.pdf</t>
  </si>
  <si>
    <t>Melting_Curves/meltCurve_P29374_3_ARID4A.pdf</t>
  </si>
  <si>
    <t>Melting_Curves/meltCurve_P29375_KDM5A.pdf</t>
  </si>
  <si>
    <t>Melting_Curves/meltCurve_P29401_TKT.pdf</t>
  </si>
  <si>
    <t>Melting_Curves/meltCurve_P29590_PML.pdf</t>
  </si>
  <si>
    <t>Melting_Curves/meltCurve_P29590_8_PML.pdf</t>
  </si>
  <si>
    <t>Melting_Curves/meltCurve_P29692_EEF1D.pdf</t>
  </si>
  <si>
    <t>Melting_Curves/meltCurve_P29692_2_EEF1D.pdf</t>
  </si>
  <si>
    <t>Melting_Curves/meltCurve_P29692_3_EEF1D.pdf</t>
  </si>
  <si>
    <t>Melting_Curves/meltCurve_P29966_MARCKS.pdf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</si>
  <si>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</si>
  <si>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</si>
  <si>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</si>
  <si>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</si>
  <si>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</si>
  <si>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</si>
  <si>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</si>
  <si>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Melting_Curves/meltCurve_P30047_GCHFR.pdf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</si>
  <si>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</si>
  <si>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</si>
  <si>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</si>
  <si>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</si>
  <si>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</si>
  <si>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</si>
  <si>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</si>
  <si>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Melting_Curves/meltCurve_P30260_CDC27.pdf</t>
  </si>
  <si>
    <t>Melting_Curves/meltCurve_P30279_CCND2.pdf</t>
  </si>
  <si>
    <t>Melting_Curves/meltCurve_P30281_CCND3.pdf</t>
  </si>
  <si>
    <t>Melting_Curves/meltCurve_P30291_WEE1.pdf</t>
  </si>
  <si>
    <t>Melting_Curves/meltCurve_P30307_CDC25C.pdf</t>
  </si>
  <si>
    <t>Melting_Curves/meltCurve_P30405_PPIF.pdf</t>
  </si>
  <si>
    <t>Melting_Curves/meltCurve_P30414_NKTR.pdf</t>
  </si>
  <si>
    <t>Melting_Curves/meltCurve_P30419_NMT1.pdf</t>
  </si>
  <si>
    <t>Melting_Curves/meltCurve_P30520_ADSS.pdf</t>
  </si>
  <si>
    <t>Melting_Curves/meltCurve_P30533_LRPAP1.pdf</t>
  </si>
  <si>
    <t>Melting_Curves/meltCurve_P30566_ADSL.pdf</t>
  </si>
  <si>
    <t>Melting_Curves/meltCurve_P30613_PKLR.pdf</t>
  </si>
  <si>
    <t>Melting_Curves/meltCurve_P30622_2_CLIP1.pdf</t>
  </si>
  <si>
    <t>Melting_Curves/meltCurve_P30711_GSTT1.pdf</t>
  </si>
  <si>
    <t>Melting_Curves/meltCurve_P30740_SERPINB1.pdf</t>
  </si>
  <si>
    <t>Melting_Curves/meltCurve_P30837_ALDH1B1.pdf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</si>
  <si>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</si>
  <si>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</si>
  <si>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</si>
  <si>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</si>
  <si>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</si>
  <si>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Melting_Curves/meltCurve_P31323_PRKAR2B.pdf</t>
  </si>
  <si>
    <t>Melting_Curves/meltCurve_P31327_CPS1.pdf</t>
  </si>
  <si>
    <t>Melting_Curves/meltCurve_P31350_RRM2.pdf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</si>
  <si>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</si>
  <si>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</si>
  <si>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</si>
  <si>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</si>
  <si>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</si>
  <si>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</si>
  <si>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</si>
  <si>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Melting_Curves/meltCurve_P31943_HNRNPH1.pdf</t>
  </si>
  <si>
    <t>Melting_Curves/meltCurve_P31946_2_YWHAB.pdf</t>
  </si>
  <si>
    <t>Melting_Curves/meltCurve_P31947_2_SFN.pdf</t>
  </si>
  <si>
    <t>Melting_Curves/meltCurve_P31948_STIP1.pdf</t>
  </si>
  <si>
    <t>Melting_Curves/meltCurve_P31949_S100A11.pdf</t>
  </si>
  <si>
    <t>Melting_Curves/meltCurve_P32019_2_INPP5B.pdf</t>
  </si>
  <si>
    <t>Melting_Curves/meltCurve_P32119_PRDX2.pdf</t>
  </si>
  <si>
    <t>Melting_Curves/meltCurve_P32121_5_ARRB2.pdf</t>
  </si>
  <si>
    <t>Melting_Curves/meltCurve_P32314_2_FOXN2.pdf</t>
  </si>
  <si>
    <t>Melting_Curves/meltCurve_P32321_DCTD.pdf</t>
  </si>
  <si>
    <t>Melting_Curves/meltCurve_P32322_PYCR1.pdf</t>
  </si>
  <si>
    <t>Melting_Curves/meltCurve_P32456_GBP2.pdf</t>
  </si>
  <si>
    <t>Melting_Curves/meltCurve_P32519_2_ELF1.pdf</t>
  </si>
  <si>
    <t>Melting_Curves/meltCurve_P32780_GTF2H1.pdf</t>
  </si>
  <si>
    <t>Melting_Curves/meltCurve_P32929_CTH.pdf</t>
  </si>
  <si>
    <t>Melting_Curves/meltCurve_P33121_2_ACSL1.pdf</t>
  </si>
  <si>
    <t>Melting_Curves/meltCurve_P33176_KIF5B.pdf</t>
  </si>
  <si>
    <t>Melting_Curves/meltCurve_P33240_2_CSTF2.pdf</t>
  </si>
  <si>
    <t>Melting_Curves/meltCurve_P33316_DUT.pdf</t>
  </si>
  <si>
    <t>Melting_Curves/meltCurve_P33316_2_DUT.pdf</t>
  </si>
  <si>
    <t>Melting_Curves/meltCurve_P33552_CKS2.pdf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</si>
  <si>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</si>
  <si>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</si>
  <si>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</si>
  <si>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</si>
  <si>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</si>
  <si>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Melting_Curves/meltCurve_P34896_2_SHMT1.pdf</t>
  </si>
  <si>
    <t>Melting_Curves/meltCurve_P34897_3_SHMT2.pdf</t>
  </si>
  <si>
    <t>Melting_Curves/meltCurve_P34913_EPHX2.pdf</t>
  </si>
  <si>
    <t>Melting_Curves/meltCurve_P34932_HSPA4.pdf</t>
  </si>
  <si>
    <t>Melting_Curves/meltCurve_P35219_CA8.pdf</t>
  </si>
  <si>
    <t>Melting_Curves/meltCurve_P35221_CTNNA1.pdf</t>
  </si>
  <si>
    <t>Melting_Curves/meltCurve_P35227_PCGF2.pdf</t>
  </si>
  <si>
    <t>Melting_Curves/meltCurve_P35232_PHB.pdf</t>
  </si>
  <si>
    <t>Melting_Curves/meltCurve_P35236_PTPN7.pdf</t>
  </si>
  <si>
    <t>Melting_Curves/meltCurve_P35237_SERPINB6.pdf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</si>
  <si>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</si>
  <si>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</si>
  <si>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</si>
  <si>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</si>
  <si>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</si>
  <si>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</si>
  <si>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</si>
  <si>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</si>
  <si>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Melting_Curves/meltCurve_P35520_CBS.pdf</t>
  </si>
  <si>
    <t>Melting_Curves/meltCurve_P35527_KRT9.pdf</t>
  </si>
  <si>
    <t>Melting_Curves/meltCurve_P35568_IRS1.pdf</t>
  </si>
  <si>
    <t>Melting_Curves/meltCurve_P35579_MYH9.pdf</t>
  </si>
  <si>
    <t>Melting_Curves/meltCurve_P35579_2_MYH9.pdf</t>
  </si>
  <si>
    <t>Melting_Curves/meltCurve_P35580_MYH10.pdf</t>
  </si>
  <si>
    <t>Melting_Curves/meltCurve_P35606_COPB2.pdf</t>
  </si>
  <si>
    <t>Melting_Curves/meltCurve_P35611_ADD1.pdf</t>
  </si>
  <si>
    <t>Melting_Curves/meltCurve_P35611_2_ADD1.pdf</t>
  </si>
  <si>
    <t>Melting_Curves/meltCurve_P35612_ADD2.pdf</t>
  </si>
  <si>
    <t>Melting_Curves/meltCurve_P35613_2_BSG.pdf</t>
  </si>
  <si>
    <t>Melting_Curves/meltCurve_P35637_2_FUS.pdf</t>
  </si>
  <si>
    <t>Melting_Curves/meltCurve_P35638_DDIT3.pdf</t>
  </si>
  <si>
    <t>Melting_Curves/meltCurve_P35658_2_NUP214.pdf</t>
  </si>
  <si>
    <t>Melting_Curves/meltCurve_P35658_4_NUP214.pdf</t>
  </si>
  <si>
    <t>Melting_Curves/meltCurve_P35712_SOX6.pdf</t>
  </si>
  <si>
    <t>Melting_Curves/meltCurve_P35749_4_MYH11.pdf</t>
  </si>
  <si>
    <t>Melting_Curves/meltCurve_P35754_GLRX.pdf</t>
  </si>
  <si>
    <t>Melting_Curves/meltCurve_P35790_2_CHKA.pdf</t>
  </si>
  <si>
    <t>Melting_Curves/meltCurve_P35813_PPM1A.pdf</t>
  </si>
  <si>
    <t>Melting_Curves/meltCurve_P35869_AHR.pdf</t>
  </si>
  <si>
    <t>Melting_Curves/meltCurve_P35908_KRT2.pdf</t>
  </si>
  <si>
    <t>Melting_Curves/meltCurve_P35998_PSMC2.pdf</t>
  </si>
  <si>
    <t>Melting_Curves/meltCurve_P36404_ARL2.pdf</t>
  </si>
  <si>
    <t>Melting_Curves/meltCurve_P36405_ARL3.pdf</t>
  </si>
  <si>
    <t>Melting_Curves/meltCurve_P36507_MAP2K2.pdf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</si>
  <si>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</si>
  <si>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</si>
  <si>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</si>
  <si>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</si>
  <si>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Melting_Curves/meltCurve_P36873_PPP1CC.pdf</t>
  </si>
  <si>
    <t>Melting_Curves/meltCurve_P36915_GNL1.pdf</t>
  </si>
  <si>
    <t>Melting_Curves/meltCurve_P36954_POLR2I.pdf</t>
  </si>
  <si>
    <t>Melting_Curves/meltCurve_P36955_SERPINF1.pdf</t>
  </si>
  <si>
    <t>Melting_Curves/meltCurve_P36957_DLST.pdf</t>
  </si>
  <si>
    <t>Melting_Curves/meltCurve_P36959_GMPR.pdf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</si>
  <si>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</si>
  <si>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</si>
  <si>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</si>
  <si>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</si>
  <si>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Melting_Curves/meltCurve_P37802_TAGLN2.pdf</t>
  </si>
  <si>
    <t>Melting_Curves/meltCurve_P37837_TALDO1.pdf</t>
  </si>
  <si>
    <t>Melting_Curves/meltCurve_P37840_2_SNCA.pdf</t>
  </si>
  <si>
    <t>Melting_Curves/meltCurve_P38117_ETFB.pdf</t>
  </si>
  <si>
    <t>Melting_Curves/meltCurve_P38159_RBMX.pdf</t>
  </si>
  <si>
    <t>Melting_Curves/meltCurve_P38398_4_BRCA1.pdf</t>
  </si>
  <si>
    <t>Melting_Curves/meltCurve_P38432_COIL.pdf</t>
  </si>
  <si>
    <t>Melting_Curves/meltCurve_P38606_ATP6V1A.pdf</t>
  </si>
  <si>
    <t>Melting_Curves/meltCurve_P38646_HSPA9.pdf</t>
  </si>
  <si>
    <t>Melting_Curves/meltCurve_P38919_EIF4A3.pdf</t>
  </si>
  <si>
    <t>Melting_Curves/meltCurve_P38935_IGHMBP2.pdf</t>
  </si>
  <si>
    <t>Melting_Curves/meltCurve_P39019_RPS19.pdf</t>
  </si>
  <si>
    <t>Melting_Curves/meltCurve_P39023_RPL3.pdf</t>
  </si>
  <si>
    <t>Melting_Curves/meltCurve_P39059_COL15A1.pdf</t>
  </si>
  <si>
    <t>Melting_Curves/meltCurve_P39656_DDOST.pdf</t>
  </si>
  <si>
    <t>Melting_Curves/meltCurve_P39687_ANP32A.pdf</t>
  </si>
  <si>
    <t>Melting_Curves/meltCurve_P39748_FEN1.pdf</t>
  </si>
  <si>
    <t>Melting_Curves/meltCurve_P39880_3_CUX1.pdf</t>
  </si>
  <si>
    <t>Melting_Curves/meltCurve_P40121_2_CAPG.pdf</t>
  </si>
  <si>
    <t>Melting_Curves/meltCurve_P40189_3_IL6ST.pdf</t>
  </si>
  <si>
    <t>Melting_Curves/meltCurve_P40222_TXLNA.pdf</t>
  </si>
  <si>
    <t>Melting_Curves/meltCurve_P40227_CCT6A.pdf</t>
  </si>
  <si>
    <t>Melting_Curves/meltCurve_P40306_PSMB10.pdf</t>
  </si>
  <si>
    <t>Melting_Curves/meltCurve_P40337_3_VHL.pdf</t>
  </si>
  <si>
    <t>Melting_Curves/meltCurve_P40425_PBX2.pdf</t>
  </si>
  <si>
    <t>Melting_Curves/meltCurve_P40429_RPL13A.pdf</t>
  </si>
  <si>
    <t>Melting_Curves/meltCurve_P40692_MLH1.pdf</t>
  </si>
  <si>
    <t>Melting_Curves/meltCurve_P40763_STAT3.pdf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</si>
  <si>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</si>
  <si>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</si>
  <si>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</si>
  <si>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</si>
  <si>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Melting_Curves/meltCurve_P40938_RFC3.pdf</t>
  </si>
  <si>
    <t>Melting_Curves/meltCurve_P40939_HADHA.pdf</t>
  </si>
  <si>
    <t>Melting_Curves/meltCurve_P41091_EIF2S3.pdf</t>
  </si>
  <si>
    <t>Melting_Curves/meltCurve_P41162_ETV3.pdf</t>
  </si>
  <si>
    <t>Melting_Curves/meltCurve_P41208_CETN2.pdf</t>
  </si>
  <si>
    <t>Melting_Curves/meltCurve_P41212_ETV6.pdf</t>
  </si>
  <si>
    <t>Melting_Curves/meltCurve_P41214_EIF2D.pdf</t>
  </si>
  <si>
    <t>Melting_Curves/meltCurve_P41223_BUD31.pdf</t>
  </si>
  <si>
    <t>Melting_Curves/meltCurve_P41227_2_NAA10.pdf</t>
  </si>
  <si>
    <t>Melting_Curves/meltCurve_P41229_2_KDM5C.pdf</t>
  </si>
  <si>
    <t>Melting_Curves/meltCurve_P41236_PPP1R2.pdf</t>
  </si>
  <si>
    <t>Melting_Curves/meltCurve_P41240_CSK.pdf</t>
  </si>
  <si>
    <t>Melting_Curves/meltCurve_P41250_GARS.pdf</t>
  </si>
  <si>
    <t>Melting_Curves/meltCurve_P41252_IARS.pdf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</si>
  <si>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</si>
  <si>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</si>
  <si>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</si>
  <si>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</si>
  <si>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Melting_Curves/meltCurve_P42166_TMPO.pdf</t>
  </si>
  <si>
    <t>Melting_Curves/meltCurve_P42167_TMPO.pdf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</si>
  <si>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</si>
  <si>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</si>
  <si>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</si>
  <si>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</si>
  <si>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Melting_Curves/meltCurve_P42331_6_ARHGAP25.pdf</t>
  </si>
  <si>
    <t>Melting_Curves/meltCurve_P42336_PIK3CA.pdf</t>
  </si>
  <si>
    <t>Melting_Curves/meltCurve_P42338_PIK3CB.pdf</t>
  </si>
  <si>
    <t>Melting_Curves/meltCurve_P42345_MTOR.pdf</t>
  </si>
  <si>
    <t>Melting_Curves/meltCurve_P42356_PI4KA.pdf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</si>
  <si>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</si>
  <si>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</si>
  <si>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</si>
  <si>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</si>
  <si>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Melting_Curves/meltCurve_P42679_3_MATK.pdf</t>
  </si>
  <si>
    <t>Melting_Curves/meltCurve_P42680_TEC.pdf</t>
  </si>
  <si>
    <t>Melting_Curves/meltCurve_P42684_6_ABL2.pdf</t>
  </si>
  <si>
    <t>Melting_Curves/meltCurve_P42694_HELZ.pdf</t>
  </si>
  <si>
    <t>Melting_Curves/meltCurve_P42695_NCAPD3.pdf</t>
  </si>
  <si>
    <t>Melting_Curves/meltCurve_P42696_2_RBM34.pdf</t>
  </si>
  <si>
    <t>Melting_Curves/meltCurve_P42704_LRPPRC.pdf</t>
  </si>
  <si>
    <t>Melting_Curves/meltCurve_P42765_ACAA2.pdf</t>
  </si>
  <si>
    <t>Melting_Curves/meltCurve_P42768_WAS.pdf</t>
  </si>
  <si>
    <t>Melting_Curves/meltCurve_P42773_CDKN2C.pdf</t>
  </si>
  <si>
    <t>Melting_Curves/meltCurve_P42785_PRCP.pdf</t>
  </si>
  <si>
    <t>Melting_Curves/meltCurve_P42858_HTT.pdf</t>
  </si>
  <si>
    <t>Melting_Curves/meltCurve_P43034_PAFAH1B1.pdf</t>
  </si>
  <si>
    <t>Melting_Curves/meltCurve_P43121_MCAM.pdf</t>
  </si>
  <si>
    <t>Melting_Curves/meltCurve_P43155_3_CRAT.pdf</t>
  </si>
  <si>
    <t>Melting_Curves/meltCurve_P43246_MSH2.pdf</t>
  </si>
  <si>
    <t>Melting_Curves/meltCurve_P43355_MAGEA1.pdf</t>
  </si>
  <si>
    <t>Melting_Curves/meltCurve_P43356_MAGEA2.pdf</t>
  </si>
  <si>
    <t>Melting_Curves/meltCurve_P43358_MAGEA4.pdf</t>
  </si>
  <si>
    <t>Melting_Curves/meltCurve_P43405_2_SYK.pdf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</si>
  <si>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</si>
  <si>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</si>
  <si>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</si>
  <si>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</si>
  <si>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Melting_Curves/meltCurve_P45880_VDAC2.pdf</t>
  </si>
  <si>
    <t>Melting_Curves/meltCurve_P45973_CBX5.pdf</t>
  </si>
  <si>
    <t>Melting_Curves/meltCurve_P45974_2_USP5.pdf</t>
  </si>
  <si>
    <t>Melting_Curves/meltCurve_P45983_3_MAPK8.pdf</t>
  </si>
  <si>
    <t>Melting_Curves/meltCurve_P45984_2_MAPK9.pdf</t>
  </si>
  <si>
    <t>Melting_Curves/meltCurve_P45985_MAP2K4.pdf</t>
  </si>
  <si>
    <t>Melting_Curves/meltCurve_P46013_MKI67.pdf</t>
  </si>
  <si>
    <t>Melting_Curves/meltCurve_P46019_PHKA2.pdf</t>
  </si>
  <si>
    <t>Melting_Curves/meltCurve_P46020_3_PHKA1.pdf</t>
  </si>
  <si>
    <t>Melting_Curves/meltCurve_P46060_RANGAP1.pdf</t>
  </si>
  <si>
    <t>Melting_Curves/meltCurve_P46063_RECQL.pdf</t>
  </si>
  <si>
    <t>Melting_Curves/meltCurve_P46087_NOP2.pdf</t>
  </si>
  <si>
    <t>Melting_Curves/meltCurve_P46100_4_ATRX.pdf</t>
  </si>
  <si>
    <t>Melting_Curves/meltCurve_P46108_CRK.pdf</t>
  </si>
  <si>
    <t>Melting_Curves/meltCurve_P46109_CRKL.pdf</t>
  </si>
  <si>
    <t>Melting_Curves/meltCurve_P46199_MTIF2.pdf</t>
  </si>
  <si>
    <t>Melting_Curves/meltCurve_P46527_CDKN1B.pdf</t>
  </si>
  <si>
    <t>Melting_Curves/meltCurve_P46531_NOTCH1.pdf</t>
  </si>
  <si>
    <t>Melting_Curves/meltCurve_P46734_2_MAP2K3.pdf</t>
  </si>
  <si>
    <t>Melting_Curves/meltCurve_P46736_2_BRCC3.pdf</t>
  </si>
  <si>
    <t>Melting_Curves/meltCurve_P46777_RPL5.pdf</t>
  </si>
  <si>
    <t>Melting_Curves/meltCurve_P46779_4_RPL28.pdf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</si>
  <si>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</si>
  <si>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</si>
  <si>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</si>
  <si>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</si>
  <si>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Melting_Curves/meltCurve_P46934_4_NEDD4.pdf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</si>
  <si>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</si>
  <si>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</si>
  <si>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</si>
  <si>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</si>
  <si>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</si>
  <si>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Melting_Curves/meltCurve_P47712_PLA2G4A.pdf</t>
  </si>
  <si>
    <t>Melting_Curves/meltCurve_P47736_RAP1GAP.pdf</t>
  </si>
  <si>
    <t>Melting_Curves/meltCurve_P47755_CAPZA2.pdf</t>
  </si>
  <si>
    <t>Melting_Curves/meltCurve_P47813_EIF1AX.pdf</t>
  </si>
  <si>
    <t>Melting_Curves/meltCurve_P47897_QARS.pdf</t>
  </si>
  <si>
    <t>Melting_Curves/meltCurve_P47914_RPL29.pdf</t>
  </si>
  <si>
    <t>Melting_Curves/meltCurve_P47974_ZFP36L2.pdf</t>
  </si>
  <si>
    <t>Melting_Curves/meltCurve_P47985_UQCRFS1.pdf</t>
  </si>
  <si>
    <t>Melting_Curves/meltCurve_P48047_ATP5O.pdf</t>
  </si>
  <si>
    <t>Melting_Curves/meltCurve_P48059_LIMS1.pdf</t>
  </si>
  <si>
    <t>Melting_Curves/meltCurve_P48147_PREP.pdf</t>
  </si>
  <si>
    <t>Melting_Curves/meltCurve_P48163_ME1.pdf</t>
  </si>
  <si>
    <t>Melting_Curves/meltCurve_P48200_IREB2.pdf</t>
  </si>
  <si>
    <t>Melting_Curves/meltCurve_P48378_2_RFX2.pdf</t>
  </si>
  <si>
    <t>Melting_Curves/meltCurve_P48380_2_RFX3.pdf</t>
  </si>
  <si>
    <t>Melting_Curves/meltCurve_P48382_RFX5.pdf</t>
  </si>
  <si>
    <t>Melting_Curves/meltCurve_P48444_ARCN1.pdf</t>
  </si>
  <si>
    <t>Melting_Curves/meltCurve_P48449_2_LSS.pdf</t>
  </si>
  <si>
    <t>Melting_Curves/meltCurve_P48454_PPP3CC.pdf</t>
  </si>
  <si>
    <t>Melting_Curves/meltCurve_P48506_GCLC.pdf</t>
  </si>
  <si>
    <t>Melting_Curves/meltCurve_P48507_GCLM.pdf</t>
  </si>
  <si>
    <t>Melting_Curves/meltCurve_P48553_TRAPPC10.pdf</t>
  </si>
  <si>
    <t>Melting_Curves/meltCurve_P48634_PRRC2A.pdf</t>
  </si>
  <si>
    <t>Melting_Curves/meltCurve_P48637_GSS.pdf</t>
  </si>
  <si>
    <t>Melting_Curves/meltCurve_P48643_CCT5.pdf</t>
  </si>
  <si>
    <t>Melting_Curves/meltCurve_P48651_PTDSS1.pdf</t>
  </si>
  <si>
    <t>Melting_Curves/meltCurve_P48681_NES.pdf</t>
  </si>
  <si>
    <t>Melting_Curves/meltCurve_P48729_CSNK1A1.pdf</t>
  </si>
  <si>
    <t>Melting_Curves/meltCurve_P48730_CSNK1D.pdf</t>
  </si>
  <si>
    <t>Melting_Curves/meltCurve_P48736_PIK3CG.pdf</t>
  </si>
  <si>
    <t>Melting_Curves/meltCurve_P48739_PITPNB.pdf</t>
  </si>
  <si>
    <t>Melting_Curves/meltCurve_P49005_POLD2.pdf</t>
  </si>
  <si>
    <t>Melting_Curves/meltCurve_P49006_MARCKSL1.pdf</t>
  </si>
  <si>
    <t>Melting_Curves/meltCurve_P49116_NR2C2.pdf</t>
  </si>
  <si>
    <t>Melting_Curves/meltCurve_P49116_2_NR2C2.pdf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</si>
  <si>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</si>
  <si>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</si>
  <si>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</si>
  <si>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</si>
  <si>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</si>
  <si>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Melting_Curves/meltCurve_P49321_NASP.pdf</t>
  </si>
  <si>
    <t>Melting_Curves/meltCurve_P49327_FASN.pdf</t>
  </si>
  <si>
    <t>Melting_Curves/meltCurve_P49336_2_CDK8.pdf</t>
  </si>
  <si>
    <t>Melting_Curves/meltCurve_P49354_FNTA.pdf</t>
  </si>
  <si>
    <t>Melting_Curves/meltCurve_P49366_DHPS.pdf</t>
  </si>
  <si>
    <t>Melting_Curves/meltCurve_P49368_CCT3.pdf</t>
  </si>
  <si>
    <t>Melting_Curves/meltCurve_P49407_ARRB1.pdf</t>
  </si>
  <si>
    <t>Melting_Curves/meltCurve_P49407_2_ARRB1.pdf</t>
  </si>
  <si>
    <t>Melting_Curves/meltCurve_P49411_TUFM.pdf</t>
  </si>
  <si>
    <t>Melting_Curves/meltCurve_P49427_CDC34.pdf</t>
  </si>
  <si>
    <t>Melting_Curves/meltCurve_P49441_INPP1.pdf</t>
  </si>
  <si>
    <t>Melting_Curves/meltCurve_P49448_GLUD2.pdf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</si>
  <si>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</si>
  <si>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</si>
  <si>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</si>
  <si>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</si>
  <si>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</si>
  <si>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</si>
  <si>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</si>
  <si>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Melting_Curves/meltCurve_P49593_PPM1F.pdf</t>
  </si>
  <si>
    <t>Melting_Curves/meltCurve_P49642_PRIM1.pdf</t>
  </si>
  <si>
    <t>Melting_Curves/meltCurve_P49643_PRIM2.pdf</t>
  </si>
  <si>
    <t>Melting_Curves/meltCurve_P49662_2_CASP4.pdf</t>
  </si>
  <si>
    <t>Melting_Curves/meltCurve_P49674_CSNK1E.pdf</t>
  </si>
  <si>
    <t>Melting_Curves/meltCurve_P49711_CTCF.pdf</t>
  </si>
  <si>
    <t>Melting_Curves/meltCurve_P49716_CEBPD.pdf</t>
  </si>
  <si>
    <t>Melting_Curves/meltCurve_P49720_PSMB3.pdf</t>
  </si>
  <si>
    <t>Melting_Curves/meltCurve_P49721_PSMB2.pdf</t>
  </si>
  <si>
    <t>Melting_Curves/meltCurve_P49736_MCM2.pdf</t>
  </si>
  <si>
    <t>Melting_Curves/meltCurve_P49748_ACADVL.pdf</t>
  </si>
  <si>
    <t>Melting_Curves/meltCurve_P49750_4_YLPM1.pdf</t>
  </si>
  <si>
    <t>Melting_Curves/meltCurve_P49755_TMED10.pdf</t>
  </si>
  <si>
    <t>Melting_Curves/meltCurve_P49756_RBM25.pdf</t>
  </si>
  <si>
    <t>Melting_Curves/meltCurve_P49757_3_NUMB.pdf</t>
  </si>
  <si>
    <t>Melting_Curves/meltCurve_P49770_EIF2B2.pdf</t>
  </si>
  <si>
    <t>Melting_Curves/meltCurve_P49773_HINT1.pdf</t>
  </si>
  <si>
    <t>Melting_Curves/meltCurve_P49789_FHIT.pdf</t>
  </si>
  <si>
    <t>Melting_Curves/meltCurve_P49792_RANBP2.pdf</t>
  </si>
  <si>
    <t>Melting_Curves/meltCurve_P49796_4_RGS3.pdf</t>
  </si>
  <si>
    <t>Melting_Curves/meltCurve_P49841_GSK3B.pdf</t>
  </si>
  <si>
    <t>Melting_Curves/meltCurve_P49848_2_TAF6.pdf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</si>
  <si>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</si>
  <si>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</si>
  <si>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</si>
  <si>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</si>
  <si>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</si>
  <si>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Melting_Curves/meltCurve_P49918_2_CDKN1C.pdf</t>
  </si>
  <si>
    <t>Melting_Curves/meltCurve_P49959_MRE11A.pdf</t>
  </si>
  <si>
    <t>Melting_Curves/meltCurve_P50053_KHK.pdf</t>
  </si>
  <si>
    <t>Melting_Curves/meltCurve_P50135_HNMT.pdf</t>
  </si>
  <si>
    <t>Melting_Curves/meltCurve_P50213_IDH3A.pdf</t>
  </si>
  <si>
    <t>Melting_Curves/meltCurve_P50219_MNX1.pdf</t>
  </si>
  <si>
    <t>Melting_Curves/meltCurve_P50225_SULT1A1.pdf</t>
  </si>
  <si>
    <t>Melting_Curves/meltCurve_P50238_CRIP1.pdf</t>
  </si>
  <si>
    <t>Melting_Curves/meltCurve_P50395_GDI2.pdf</t>
  </si>
  <si>
    <t>Melting_Curves/meltCurve_P50402_EMD.pdf</t>
  </si>
  <si>
    <t>Melting_Curves/meltCurve_P50453_SERPINB9.pdf</t>
  </si>
  <si>
    <t>Melting_Curves/meltCurve_P50454_SERPINH1.pdf</t>
  </si>
  <si>
    <t>Melting_Curves/meltCurve_P50479_PDLIM4.pdf</t>
  </si>
  <si>
    <t>Melting_Curves/meltCurve_P50502_ST13.pdf</t>
  </si>
  <si>
    <t>Melting_Curves/meltCurve_P50542_3_PEX5.pdf</t>
  </si>
  <si>
    <t>Melting_Curves/meltCurve_P50552_VASP.pdf</t>
  </si>
  <si>
    <t>Melting_Curves/meltCurve_P50570_4_DNM2.pdf</t>
  </si>
  <si>
    <t>Melting_Curves/meltCurve_P50579_METAP2.pdf</t>
  </si>
  <si>
    <t>Melting_Curves/meltCurve_P50583_NUDT2.pdf</t>
  </si>
  <si>
    <t>Melting_Curves/meltCurve_P50613_CDK7.pdf</t>
  </si>
  <si>
    <t>Melting_Curves/meltCurve_P50747_HLCS.pdf</t>
  </si>
  <si>
    <t>Melting_Curves/meltCurve_P50748_KNTC1.pdf</t>
  </si>
  <si>
    <t>Melting_Curves/meltCurve_P50749_RASSF2.pdf</t>
  </si>
  <si>
    <t>Melting_Curves/meltCurve_P50750_CDK9.pdf</t>
  </si>
  <si>
    <t>Melting_Curves/meltCurve_P50851_LRBA.pdf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</si>
  <si>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</si>
  <si>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</si>
  <si>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</si>
  <si>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</si>
  <si>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</si>
  <si>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</si>
  <si>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</si>
  <si>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</si>
  <si>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Melting_Curves/meltCurve_P51157_RAB28.pdf</t>
  </si>
  <si>
    <t>Melting_Curves/meltCurve_P51159_2_RAB27A.pdf</t>
  </si>
  <si>
    <t>Melting_Curves/meltCurve_P51161_FABP6.pdf</t>
  </si>
  <si>
    <t>Melting_Curves/meltCurve_P51178_PLCD1.pdf</t>
  </si>
  <si>
    <t>Melting_Curves/meltCurve_P51398_2_DAP3.pdf</t>
  </si>
  <si>
    <t>Melting_Curves/meltCurve_P51452_DUSP3.pdf</t>
  </si>
  <si>
    <t>Melting_Curves/meltCurve_P51511_MMP15.pdf</t>
  </si>
  <si>
    <t>Melting_Curves/meltCurve_P51531_2_SMARCA2.pdf</t>
  </si>
  <si>
    <t>Melting_Curves/meltCurve_P51532_5_SMARCA4.pdf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</si>
  <si>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</si>
  <si>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</si>
  <si>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</si>
  <si>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</si>
  <si>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Melting_Curves/meltCurve_P51587_BRCA2.pdf</t>
  </si>
  <si>
    <t>Melting_Curves/meltCurve_P51606_RENBP.pdf</t>
  </si>
  <si>
    <t>Melting_Curves/meltCurve_P51608_MECP2.pdf</t>
  </si>
  <si>
    <t>Melting_Curves/meltCurve_P51610_HCFC1.pdf</t>
  </si>
  <si>
    <t>Melting_Curves/meltCurve_P51610_4_HCFC1.pdf</t>
  </si>
  <si>
    <t>Melting_Curves/meltCurve_P51617_IRAK1.pdf</t>
  </si>
  <si>
    <t>Melting_Curves/meltCurve_P51649_ALDH5A1.pdf</t>
  </si>
  <si>
    <t>Melting_Curves/meltCurve_P51659_HSD17B4.pdf</t>
  </si>
  <si>
    <t>Melting_Curves/meltCurve_P51665_PSMD7.pdf</t>
  </si>
  <si>
    <t>Melting_Curves/meltCurve_P51668_UBE2D1.pdf</t>
  </si>
  <si>
    <t>Melting_Curves/meltCurve_P51687_SUOX.pdf</t>
  </si>
  <si>
    <t>Melting_Curves/meltCurve_P51688_SGSH.pdf</t>
  </si>
  <si>
    <t>Melting_Curves/meltCurve_P51692_STAT5B.pdf</t>
  </si>
  <si>
    <t>Melting_Curves/meltCurve_P51808_DYNLT3.pdf</t>
  </si>
  <si>
    <t>Melting_Curves/meltCurve_P51809_VAMP7.pdf</t>
  </si>
  <si>
    <t>Melting_Curves/meltCurve_P51825_3_AFF1.pdf</t>
  </si>
  <si>
    <t>Melting_Curves/meltCurve_P51857_2_AKR1D1.pdf</t>
  </si>
  <si>
    <t>Melting_Curves/meltCurve_P51858_HDGF.pdf</t>
  </si>
  <si>
    <t>Melting_Curves/meltCurve_P51946_CCNH.pdf</t>
  </si>
  <si>
    <t>Melting_Curves/meltCurve_P51948_MNAT1.pdf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</si>
  <si>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</si>
  <si>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</si>
  <si>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</si>
  <si>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</si>
  <si>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</si>
  <si>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</si>
  <si>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Melting_Curves/meltCurve_P52566_ARHGDIB.pdf</t>
  </si>
  <si>
    <t>Melting_Curves/meltCurve_P52594_2_AGFG1.pdf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</si>
  <si>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</si>
  <si>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</si>
  <si>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</si>
  <si>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</si>
  <si>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Melting_Curves/meltCurve_P52701_MSH6.pdf</t>
  </si>
  <si>
    <t>Melting_Curves/meltCurve_P52732_KIF11.pdf</t>
  </si>
  <si>
    <t>Melting_Curves/meltCurve_P52735_3_VAV2.pdf</t>
  </si>
  <si>
    <t>Melting_Curves/meltCurve_P52739_2_ZNF131.pdf</t>
  </si>
  <si>
    <t>Melting_Curves/meltCurve_P52747_2_ZNF143.pdf</t>
  </si>
  <si>
    <t>Melting_Curves/meltCurve_P52756_RBM5.pdf</t>
  </si>
  <si>
    <t>Melting_Curves/meltCurve_P52758_HRSP12.pdf</t>
  </si>
  <si>
    <t>Melting_Curves/meltCurve_P52788_SMS.pdf</t>
  </si>
  <si>
    <t>Melting_Curves/meltCurve_P52789_HK2.pdf</t>
  </si>
  <si>
    <t>Melting_Curves/meltCurve_P52815_MRPL12.pdf</t>
  </si>
  <si>
    <t>Melting_Curves/meltCurve_P52824_DGKQ.pdf</t>
  </si>
  <si>
    <t>Melting_Curves/meltCurve_P52888_THOP1.pdf</t>
  </si>
  <si>
    <t>Melting_Curves/meltCurve_P52907_CAPZA1.pdf</t>
  </si>
  <si>
    <t>Melting_Curves/meltCurve_P52948_5_NUP98.pdf</t>
  </si>
  <si>
    <t>Melting_Curves/meltCurve_P53004_BLVRA.pdf</t>
  </si>
  <si>
    <t>Melting_Curves/meltCurve_P53350_PLK1.pdf</t>
  </si>
  <si>
    <t>Melting_Curves/meltCurve_P53365_ARFIP2.pdf</t>
  </si>
  <si>
    <t>Melting_Curves/meltCurve_P53367_2_ARFIP1.pdf</t>
  </si>
  <si>
    <t>Melting_Curves/meltCurve_P53370_2_NUDT6.pdf</t>
  </si>
  <si>
    <t>Melting_Curves/meltCurve_P53384_2_NUBP1.pdf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</si>
  <si>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</si>
  <si>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</si>
  <si>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</si>
  <si>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</si>
  <si>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</si>
  <si>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</si>
  <si>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</si>
  <si>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</si>
  <si>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Melting_Curves/meltCurve_P53667_4_LIMK1.pdf</t>
  </si>
  <si>
    <t>Melting_Curves/meltCurve_P53675_2_CLTCL1.pdf</t>
  </si>
  <si>
    <t>Melting_Curves/meltCurve_P53677_AP3M2.pdf</t>
  </si>
  <si>
    <t>Melting_Curves/meltCurve_P53680_AP2S1.pdf</t>
  </si>
  <si>
    <t>Melting_Curves/meltCurve_P53701_HCCS.pdf</t>
  </si>
  <si>
    <t>Melting_Curves/meltCurve_P53778_MAPK12.pdf</t>
  </si>
  <si>
    <t>Melting_Curves/meltCurve_P53794_SLC5A3.pdf</t>
  </si>
  <si>
    <t>Melting_Curves/meltCurve_P53803_POLR2K.pdf</t>
  </si>
  <si>
    <t>Melting_Curves/meltCurve_P53805_RCAN1.pdf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</si>
  <si>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</si>
  <si>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</si>
  <si>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</si>
  <si>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</si>
  <si>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</si>
  <si>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</si>
  <si>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Melting_Curves/meltCurve_P54136_2_RARS.pdf</t>
  </si>
  <si>
    <t>Melting_Curves/meltCurve_P54198_HIRA.pdf</t>
  </si>
  <si>
    <t>Melting_Curves/meltCurve_P54259_ATN1.pdf</t>
  </si>
  <si>
    <t>Melting_Curves/meltCurve_P54274_2_TERF1.pdf</t>
  </si>
  <si>
    <t>Melting_Curves/meltCurve_P54277_3_PMS1.pdf</t>
  </si>
  <si>
    <t>Melting_Curves/meltCurve_P54278_PMS2.pdf</t>
  </si>
  <si>
    <t>Melting_Curves/meltCurve_P54577_YARS.pdf</t>
  </si>
  <si>
    <t>Melting_Curves/meltCurve_P54578_USP14.pdf</t>
  </si>
  <si>
    <t>Melting_Curves/meltCurve_P54619_2_PRKAG1.pdf</t>
  </si>
  <si>
    <t>Melting_Curves/meltCurve_P54687_4_BCAT1.pdf</t>
  </si>
  <si>
    <t>Melting_Curves/meltCurve_P54709_ATP1B3.pdf</t>
  </si>
  <si>
    <t>Melting_Curves/meltCurve_P54727_RAD23B.pdf</t>
  </si>
  <si>
    <t>Melting_Curves/meltCurve_P54802_NAGLU.pdf</t>
  </si>
  <si>
    <t>Melting_Curves/meltCurve_P54886_2_ALDH18A1.pdf</t>
  </si>
  <si>
    <t>Melting_Curves/meltCurve_P54920_NAPA.pdf</t>
  </si>
  <si>
    <t>Melting_Curves/meltCurve_P54922_ADPRH.pdf</t>
  </si>
  <si>
    <t>Melting_Curves/meltCurve_P55008_AIF1.pdf</t>
  </si>
  <si>
    <t>Melting_Curves/meltCurve_P55010_EIF5.pdf</t>
  </si>
  <si>
    <t>Melting_Curves/meltCurve_P55036_PSMD4.pdf</t>
  </si>
  <si>
    <t>Melting_Curves/meltCurve_P55039_DRG2.pdf</t>
  </si>
  <si>
    <t>Melting_Curves/meltCurve_P55058_3_PLTP.pdf</t>
  </si>
  <si>
    <t>Melting_Curves/meltCurve_P55060_3_CSE1L.pdf</t>
  </si>
  <si>
    <t>Melting_Curves/meltCurve_P55072_VCP.pdf</t>
  </si>
  <si>
    <t>Melting_Curves/meltCurve_P55081_MFAP1.pdf</t>
  </si>
  <si>
    <t>Melting_Curves/meltCurve_P55145_MANF.pdf</t>
  </si>
  <si>
    <t>Melting_Curves/meltCurve_P55160_NCKAP1L.pdf</t>
  </si>
  <si>
    <t>Melting_Curves/meltCurve_P55196_3_MLLT4.pdf</t>
  </si>
  <si>
    <t>Melting_Curves/meltCurve_P55198_MLLT6.pdf</t>
  </si>
  <si>
    <t>Melting_Curves/meltCurve_P55199_ELL.pdf</t>
  </si>
  <si>
    <t>Melting_Curves/meltCurve_P55211_CASP9.pdf</t>
  </si>
  <si>
    <t>Melting_Curves/meltCurve_P55212_CASP6.pdf</t>
  </si>
  <si>
    <t>Melting_Curves/meltCurve_P55263_ADK.pdf</t>
  </si>
  <si>
    <t>Melting_Curves/meltCurve_P55265_5_ADAR.pdf</t>
  </si>
  <si>
    <t>Melting_Curves/meltCurve_P55273_CDKN2D.pdf</t>
  </si>
  <si>
    <t>Melting_Curves/meltCurve_P55327_2_TPD52.pdf</t>
  </si>
  <si>
    <t>Melting_Curves/meltCurve_P55347_2_PKNOX1.pdf</t>
  </si>
  <si>
    <t>Melting_Curves/meltCurve_P55735_SEC13.pdf</t>
  </si>
  <si>
    <t>Melting_Curves/meltCurve_P55769_NHP2L1.pdf</t>
  </si>
  <si>
    <t>Melting_Curves/meltCurve_P55771_PAX9.pdf</t>
  </si>
  <si>
    <t>Melting_Curves/meltCurve_P55789_GFER.pdf</t>
  </si>
  <si>
    <t>Melting_Curves/meltCurve_P55795_HNRNPH2.pdf</t>
  </si>
  <si>
    <t>Melting_Curves/meltCurve_P55854_SUMO3.pdf</t>
  </si>
  <si>
    <t>Melting_Curves/meltCurve_P55884_EIF3B.pdf</t>
  </si>
  <si>
    <t>Melting_Curves/meltCurve_P55957_BID.pdf</t>
  </si>
  <si>
    <t>Melting_Curves/meltCurve_P56181_2_NDUFV3.pdf</t>
  </si>
  <si>
    <t>Melting_Curves/meltCurve_P56182_RRP1.pdf</t>
  </si>
  <si>
    <t>Melting_Curves/meltCurve_P56192_MARS.pdf</t>
  </si>
  <si>
    <t>Melting_Curves/meltCurve_P56211_ARPP19.pdf</t>
  </si>
  <si>
    <t>Melting_Curves/meltCurve_P56277_CMC4.pdf</t>
  </si>
  <si>
    <t>Melting_Curves/meltCurve_P56282_3_POLE2.pdf</t>
  </si>
  <si>
    <t>Melting_Curves/meltCurve_P56377_AP1S2.pdf</t>
  </si>
  <si>
    <t>Melting_Curves/meltCurve_P56385_ATP5I.pdf</t>
  </si>
  <si>
    <t>Melting_Curves/meltCurve_P56524_HDAC4.pdf</t>
  </si>
  <si>
    <t>Melting_Curves/meltCurve_P56537_EIF6.pdf</t>
  </si>
  <si>
    <t>Melting_Curves/meltCurve_P56597_NME5.pdf</t>
  </si>
  <si>
    <t>Melting_Curves/meltCurve_P56645_PER3.pdf</t>
  </si>
  <si>
    <t>Melting_Curves/meltCurve_P56945_5_BCAR1.pdf</t>
  </si>
  <si>
    <t>Melting_Curves/meltCurve_P56962_STX17.pdf</t>
  </si>
  <si>
    <t>Melting_Curves/meltCurve_P57060_RWDD2B.pdf</t>
  </si>
  <si>
    <t>Melting_Curves/meltCurve_P57076_C21orf59.pdf</t>
  </si>
  <si>
    <t>Melting_Curves/meltCurve_P57081_WDR4.pdf</t>
  </si>
  <si>
    <t>Melting_Curves/meltCurve_P57088_TMEM33.pdf</t>
  </si>
  <si>
    <t>Melting_Curves/meltCurve_P57105_SYNJ2BP.pdf</t>
  </si>
  <si>
    <t>Melting_Curves/meltCurve_P57682_KLF3.pdf</t>
  </si>
  <si>
    <t>Melting_Curves/meltCurve_P57737_3_CORO7.pdf</t>
  </si>
  <si>
    <t>Melting_Curves/meltCurve_P57740_NUP107.pdf</t>
  </si>
  <si>
    <t>Melting_Curves/meltCurve_P57764_GSDMD.pdf</t>
  </si>
  <si>
    <t>Melting_Curves/meltCurve_P57768_SNX16.pdf</t>
  </si>
  <si>
    <t>Melting_Curves/meltCurve_P57772_EEFSEC.pdf</t>
  </si>
  <si>
    <t>Melting_Curves/meltCurve_P58004_SESN2.pdf</t>
  </si>
  <si>
    <t>Melting_Curves/meltCurve_P58107_EPPK1.pdf</t>
  </si>
  <si>
    <t>Melting_Curves/meltCurve_P58335_2_ANTXR2.pdf</t>
  </si>
  <si>
    <t>Melting_Curves/meltCurve_P58546_MTPN.pdf</t>
  </si>
  <si>
    <t>Melting_Curves/meltCurve_P59780_AP3S2.pdf</t>
  </si>
  <si>
    <t>Melting_Curves/meltCurve_P59817_ZNF280A.pdf</t>
  </si>
  <si>
    <t>Melting_Curves/meltCurve_P59923_ZNF445.pdf</t>
  </si>
  <si>
    <t>Melting_Curves/meltCurve_P59998_ARPC4.pdf</t>
  </si>
  <si>
    <t>Melting_Curves/meltCurve_P60174_1_TPI1.pdf</t>
  </si>
  <si>
    <t>Melting_Curves/meltCurve_P60228_EIF3E.pdf</t>
  </si>
  <si>
    <t>Melting_Curves/meltCurve_P60468_SEC61B.pdf</t>
  </si>
  <si>
    <t>Melting_Curves/meltCurve_P60510_PPP4C.pdf</t>
  </si>
  <si>
    <t>Melting_Curves/meltCurve_P60520_GABARAPL2.pdf</t>
  </si>
  <si>
    <t>Melting_Curves/meltCurve_P60604_2_UBE2G2.pdf</t>
  </si>
  <si>
    <t>Melting_Curves/meltCurve_P60660_2_MYL6.pdf</t>
  </si>
  <si>
    <t>Melting_Curves/meltCurve_P60763_RAC3.pdf</t>
  </si>
  <si>
    <t>Melting_Curves/meltCurve_P60842_EIF4A1.pdf</t>
  </si>
  <si>
    <t>Melting_Curves/meltCurve_P60866_RPS20.pdf</t>
  </si>
  <si>
    <t>Melting_Curves/meltCurve_P60891_PRPS1.pdf</t>
  </si>
  <si>
    <t>Melting_Curves/meltCurve_P60900_PSMA6.pdf</t>
  </si>
  <si>
    <t>Melting_Curves/meltCurve_P60953_CDC42.pdf</t>
  </si>
  <si>
    <t>Melting_Curves/meltCurve_P60953_1_CDC42.pdf</t>
  </si>
  <si>
    <t>Melting_Curves/meltCurve_P60981_2_DSTN.pdf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</si>
  <si>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</si>
  <si>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</si>
  <si>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</si>
  <si>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</si>
  <si>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Melting_Curves/meltCurve_P61018_RAB4B.pdf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</si>
  <si>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</si>
  <si>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</si>
  <si>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</si>
  <si>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</si>
  <si>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</si>
  <si>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</si>
  <si>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</si>
  <si>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</si>
  <si>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</si>
  <si>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Melting_Curves/meltCurve_P61129_ZC3H6.pdf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</si>
  <si>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</si>
  <si>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</si>
  <si>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</si>
  <si>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</si>
  <si>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</si>
  <si>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</si>
  <si>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</si>
  <si>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</si>
  <si>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</si>
  <si>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</si>
  <si>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</si>
  <si>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</si>
  <si>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Melting_Curves/meltCurve_P61326_MAGOH.pdf</t>
  </si>
  <si>
    <t>Melting_Curves/meltCurve_P61353_RPL27.pdf</t>
  </si>
  <si>
    <t>Melting_Curves/meltCurve_P61457_PCBD1.pdf</t>
  </si>
  <si>
    <t>Melting_Curves/meltCurve_P61586_RHOA.pdf</t>
  </si>
  <si>
    <t>Melting_Curves/meltCurve_P61599_NAA20.pdf</t>
  </si>
  <si>
    <t>Melting_Curves/meltCurve_P61601_NCALD.pdf</t>
  </si>
  <si>
    <t>Melting_Curves/meltCurve_P61604_HSPE1.pdf</t>
  </si>
  <si>
    <t>Melting_Curves/meltCurve_P61619_SEC61A1.pdf</t>
  </si>
  <si>
    <t>Melting_Curves/meltCurve_P61758_VBP1.pdf</t>
  </si>
  <si>
    <t>Melting_Curves/meltCurve_P61764_STXBP1.pdf</t>
  </si>
  <si>
    <t>Melting_Curves/meltCurve_P61923_COPZ1.pdf</t>
  </si>
  <si>
    <t>Melting_Curves/meltCurve_P61956_2_SUMO2.pdf</t>
  </si>
  <si>
    <t>Melting_Curves/meltCurve_P61960_UFM1.pdf</t>
  </si>
  <si>
    <t>Melting_Curves/meltCurve_P61962_DCAF7.pdf</t>
  </si>
  <si>
    <t>Melting_Curves/meltCurve_P61964_WDR5.pdf</t>
  </si>
  <si>
    <t>Melting_Curves/meltCurve_P61966_AP1S1.pdf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</si>
  <si>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</si>
  <si>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</si>
  <si>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</si>
  <si>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</si>
  <si>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</si>
  <si>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</si>
  <si>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</si>
  <si>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</si>
  <si>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Melting_Curves/meltCurve_P62158_CALM1.pdf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</si>
  <si>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</si>
  <si>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</si>
  <si>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</si>
  <si>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</si>
  <si>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</si>
  <si>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</si>
  <si>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Melting_Curves/meltCurve_P62256_UBE2H.pdf</t>
  </si>
  <si>
    <t>Melting_Curves/meltCurve_P62258_YWHAE.pdf</t>
  </si>
  <si>
    <t>Melting_Curves/meltCurve_P62263_RPS14.pdf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</si>
  <si>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</si>
  <si>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</si>
  <si>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</si>
  <si>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</si>
  <si>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</si>
  <si>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</si>
  <si>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</si>
  <si>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</si>
  <si>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</si>
  <si>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</si>
  <si>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</si>
  <si>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</si>
  <si>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</si>
  <si>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</si>
  <si>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</si>
  <si>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</si>
  <si>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</si>
  <si>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</si>
  <si>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</si>
  <si>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Melting_Curves/meltCurve_P62633_3_CNBP.pdf</t>
  </si>
  <si>
    <t>Melting_Curves/meltCurve_P62633_4_CNBP.pdf</t>
  </si>
  <si>
    <t>Melting_Curves/meltCurve_P62633_5_CNBP.pdf</t>
  </si>
  <si>
    <t>Melting_Curves/meltCurve_P62699_YPEL5.pdf</t>
  </si>
  <si>
    <t>Melting_Curves/meltCurve_P62701_RPS4X.pdf</t>
  </si>
  <si>
    <t>Melting_Curves/meltCurve_P62714_PPP2CB.pdf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</si>
  <si>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</si>
  <si>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</si>
  <si>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</si>
  <si>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</si>
  <si>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Melting_Curves/meltCurve_P62826_RAN.pdf</t>
  </si>
  <si>
    <t>Melting_Curves/meltCurve_P62829_RPL23.pdf</t>
  </si>
  <si>
    <t>Melting_Curves/meltCurve_P62834_RAP1A.pdf</t>
  </si>
  <si>
    <t>Melting_Curves/meltCurve_P62837_UBE2D2.pdf</t>
  </si>
  <si>
    <t>Melting_Curves/meltCurve_P62847_2_RPS24.pdf</t>
  </si>
  <si>
    <t>Melting_Curves/meltCurve_P62851_RPS25.pdf</t>
  </si>
  <si>
    <t>Melting_Curves/meltCurve_P62854_RPS26.pdf</t>
  </si>
  <si>
    <t>Melting_Curves/meltCurve_P62857_RPS28.pdf</t>
  </si>
  <si>
    <t>Melting_Curves/meltCurve_P62861_FAU.pdf</t>
  </si>
  <si>
    <t>Melting_Curves/meltCurve_P62873_GNB1.pdf</t>
  </si>
  <si>
    <t>Melting_Curves/meltCurve_P62877_RBX1.pdf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</si>
  <si>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</si>
  <si>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</si>
  <si>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</si>
  <si>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</si>
  <si>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</si>
  <si>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</si>
  <si>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</si>
  <si>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</si>
  <si>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</si>
  <si>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Melting_Curves/meltCurve_P63092_3_GNAS.pdf</t>
  </si>
  <si>
    <t>Melting_Curves/meltCurve_P63104_YWHAZ.pdf</t>
  </si>
  <si>
    <t>Melting_Curves/meltCurve_P63151_PPP2R2A.pdf</t>
  </si>
  <si>
    <t>Melting_Curves/meltCurve_P63165_SUMO1.pdf</t>
  </si>
  <si>
    <t>Melting_Curves/meltCurve_P63167_DYNLL1.pdf</t>
  </si>
  <si>
    <t>Melting_Curves/meltCurve_P63241_EIF5A.pdf</t>
  </si>
  <si>
    <t>Melting_Curves/meltCurve_P63244_GNB2L1.pdf</t>
  </si>
  <si>
    <t>Melting_Curves/meltCurve_P63261_ACTG1.pdf</t>
  </si>
  <si>
    <t>Melting_Curves/meltCurve_P63272_SUPT4H1.pdf</t>
  </si>
  <si>
    <t>Melting_Curves/meltCurve_P63279_UBE2I.pdf</t>
  </si>
  <si>
    <t>Melting_Curves/meltCurve_P63302_SEPW1.pdf</t>
  </si>
  <si>
    <t>Melting_Curves/meltCurve_P63313_TMSB10.pdf</t>
  </si>
  <si>
    <t>Melting_Curves/meltCurve_P67775_PPP2CA.pdf</t>
  </si>
  <si>
    <t>Melting_Curves/meltCurve_P67809_YBX1.pdf</t>
  </si>
  <si>
    <t>Melting_Curves/meltCurve_P67870_CSNK2B.pdf</t>
  </si>
  <si>
    <t>Melting_Curves/meltCurve_P67936_TPM4.pdf</t>
  </si>
  <si>
    <t>Melting_Curves/meltCurve_P68032_ACTC1.pdf</t>
  </si>
  <si>
    <t>Melting_Curves/meltCurve_P68036_UBE2L3.pdf</t>
  </si>
  <si>
    <t>Melting_Curves/meltCurve_P68104_EEF1A1.pdf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</si>
  <si>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</si>
  <si>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</si>
  <si>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</si>
  <si>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</si>
  <si>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Melting_Curves/meltCurve_P69891_HBG1.pdf</t>
  </si>
  <si>
    <t>Melting_Curves/meltCurve_P69892_HBG2.pdf</t>
  </si>
  <si>
    <t>Melting_Curves/meltCurve_P69905_HBA1.pdf</t>
  </si>
  <si>
    <t>Melting_Curves/meltCurve_P78312_6_FAM193A.pdf</t>
  </si>
  <si>
    <t>Melting_Curves/meltCurve_P78314_SH3BP2.pdf</t>
  </si>
  <si>
    <t>Melting_Curves/meltCurve_P78318_IGBP1.pdf</t>
  </si>
  <si>
    <t>Melting_Curves/meltCurve_P78330_PSPH.pdf</t>
  </si>
  <si>
    <t>Melting_Curves/meltCurve_P78332_RBM6.pdf</t>
  </si>
  <si>
    <t>Melting_Curves/meltCurve_P78337_PITX1.pdf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</si>
  <si>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</si>
  <si>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</si>
  <si>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</si>
  <si>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</si>
  <si>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Melting_Curves/meltCurve_P78364_PHC1.pdf</t>
  </si>
  <si>
    <t>Melting_Curves/meltCurve_P78371_CCT2.pdf</t>
  </si>
  <si>
    <t>Melting_Curves/meltCurve_P78406_RAE1.pdf</t>
  </si>
  <si>
    <t>Melting_Curves/meltCurve_P78417_GSTO1.pdf</t>
  </si>
  <si>
    <t>Melting_Curves/meltCurve_P78527_PRKDC.pdf</t>
  </si>
  <si>
    <t>Melting_Curves/meltCurve_P78537_BLOC1S1.pdf</t>
  </si>
  <si>
    <t>Melting_Curves/meltCurve_P78549_NTHL1.pdf</t>
  </si>
  <si>
    <t>Melting_Curves/meltCurve_P78559_MAP1A.pdf</t>
  </si>
  <si>
    <t>Melting_Curves/meltCurve_P78560_CRADD.pdf</t>
  </si>
  <si>
    <t>Melting_Curves/meltCurve_P80217_IFI35.pdf</t>
  </si>
  <si>
    <t>Melting_Curves/meltCurve_P80297_MT1X.pdf</t>
  </si>
  <si>
    <t>Melting_Curves/meltCurve_P80303_2_NUCB2.pdf</t>
  </si>
  <si>
    <t>Melting_Curves/meltCurve_P81605_DCD.pdf</t>
  </si>
  <si>
    <t>Melting_Curves/meltCurve_P81877_4_SSBP2.pdf</t>
  </si>
  <si>
    <t>Melting_Curves/meltCurve_P82094_TMF1.pdf</t>
  </si>
  <si>
    <t>Melting_Curves/meltCurve_P82664_MRPS10.pdf</t>
  </si>
  <si>
    <t>Melting_Curves/meltCurve_P82673_MRPS35.pdf</t>
  </si>
  <si>
    <t>Melting_Curves/meltCurve_P82909_MRPS36.pdf</t>
  </si>
  <si>
    <t>Melting_Curves/meltCurve_P82912_3_MRPS11.pdf</t>
  </si>
  <si>
    <t>Melting_Curves/meltCurve_P82930_MRPS34.pdf</t>
  </si>
  <si>
    <t>Melting_Curves/meltCurve_P82933_MRPS9.pdf</t>
  </si>
  <si>
    <t>Melting_Curves/meltCurve_P82970_HMGN5.pdf</t>
  </si>
  <si>
    <t>Melting_Curves/meltCurve_P82979_SARNP.pdf</t>
  </si>
  <si>
    <t>Melting_Curves/meltCurve_P82980_RBP5.pdf</t>
  </si>
  <si>
    <t>Melting_Curves/meltCurve_P83369_LSM11.pdf</t>
  </si>
  <si>
    <t>Melting_Curves/meltCurve_P83436_COG7.pdf</t>
  </si>
  <si>
    <t>Melting_Curves/meltCurve_P83881_RPL36A.pdf</t>
  </si>
  <si>
    <t>Melting_Curves/meltCurve_P83916_CBX1.pdf</t>
  </si>
  <si>
    <t>Melting_Curves/meltCurve_P84022_SMAD3.pdf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</si>
  <si>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</si>
  <si>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</si>
  <si>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</si>
  <si>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</si>
  <si>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</si>
  <si>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Melting_Curves/meltCurve_P85037_FOXK1.pdf</t>
  </si>
  <si>
    <t>Melting_Curves/meltCurve_P85299_2_PRR5.pdf</t>
  </si>
  <si>
    <t>Melting_Curves/meltCurve_P86791_CCZ1.pdf</t>
  </si>
  <si>
    <t>Melting_Curves/meltCurve_P98082_3_DAB2.pdf</t>
  </si>
  <si>
    <t>Melting_Curves/meltCurve_P98170_XIAP.pdf</t>
  </si>
  <si>
    <t>Melting_Curves/meltCurve_P98175_2_RBM10.pdf</t>
  </si>
  <si>
    <t>Melting_Curves/meltCurve_P98179_RBM3.pdf</t>
  </si>
  <si>
    <t>Melting_Curves/meltCurve_Q00013_MPP1.pdf</t>
  </si>
  <si>
    <t>Melting_Curves/meltCurve_Q00059_TFAM.pdf</t>
  </si>
  <si>
    <t>Melting_Curves/meltCurve_Q00169_PITPNA.pdf</t>
  </si>
  <si>
    <t>Melting_Curves/meltCurve_Q00325_2_SLC25A3.pdf</t>
  </si>
  <si>
    <t>Melting_Curves/meltCurve_Q00341_HDLBP.pdf</t>
  </si>
  <si>
    <t>Melting_Curves/meltCurve_Q00403_GTF2B.pdf</t>
  </si>
  <si>
    <t>Melting_Curves/meltCurve_Q00526_CDK3.pdf</t>
  </si>
  <si>
    <t>Melting_Curves/meltCurve_Q00532_2_CDKL1.pdf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</si>
  <si>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</si>
  <si>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</si>
  <si>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</si>
  <si>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</si>
  <si>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Melting_Curves/meltCurve_Q00587_2_CDC42EP1.pdf</t>
  </si>
  <si>
    <t>Melting_Curves/meltCurve_Q00610_2_CLTC.pdf</t>
  </si>
  <si>
    <t>Melting_Curves/meltCurve_Q00613_2_HSF1.pdf</t>
  </si>
  <si>
    <t>Melting_Curves/meltCurve_Q00653_4_NFKB2.pdf</t>
  </si>
  <si>
    <t>Melting_Curves/meltCurve_Q00688_FKBP3.pdf</t>
  </si>
  <si>
    <t>Melting_Curves/meltCurve_Q00796_SORD.pdf</t>
  </si>
  <si>
    <t>Melting_Curves/meltCurve_Q00839_HNRNPU.pdf</t>
  </si>
  <si>
    <t>Melting_Curves/meltCurve_Q00839_2_HNRNPU.pdf</t>
  </si>
  <si>
    <t>Melting_Curves/meltCurve_Q00978_IRF9.pdf</t>
  </si>
  <si>
    <t>Melting_Curves/meltCurve_Q01081_U2AF1.pdf</t>
  </si>
  <si>
    <t>Melting_Curves/meltCurve_Q01082_SPTBN1.pdf</t>
  </si>
  <si>
    <t>Melting_Curves/meltCurve_Q01082_3_SPTBN1.pdf</t>
  </si>
  <si>
    <t>Melting_Curves/meltCurve_Q01085_TIAL1.pdf</t>
  </si>
  <si>
    <t>Melting_Curves/meltCurve_Q01105_2_SET.pdf</t>
  </si>
  <si>
    <t>Melting_Curves/meltCurve_Q01130_SRSF2.pdf</t>
  </si>
  <si>
    <t>Melting_Curves/meltCurve_Q01167_FOXK2.pdf</t>
  </si>
  <si>
    <t>Melting_Curves/meltCurve_Q01196_RUNX1.pdf</t>
  </si>
  <si>
    <t>Melting_Curves/meltCurve_Q01432_AMPD3.pdf</t>
  </si>
  <si>
    <t>Melting_Curves/meltCurve_Q01433_2_AMPD2.pdf</t>
  </si>
  <si>
    <t>Melting_Curves/meltCurve_Q01459_CTBS.pdf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</si>
  <si>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</si>
  <si>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</si>
  <si>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</si>
  <si>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</si>
  <si>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</si>
  <si>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</si>
  <si>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</si>
  <si>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Melting_Curves/meltCurve_Q01804_OTUD4.pdf</t>
  </si>
  <si>
    <t>Melting_Curves/meltCurve_Q01813_PFKP.pdf</t>
  </si>
  <si>
    <t>Melting_Curves/meltCurve_Q01831_2_XPC.pdf</t>
  </si>
  <si>
    <t>Melting_Curves/meltCurve_Q01844_6_EWSR1.pdf</t>
  </si>
  <si>
    <t>Melting_Curves/meltCurve_Q01850_CDR2.pdf</t>
  </si>
  <si>
    <t>Melting_Curves/meltCurve_Q01968_2_OCRL.pdf</t>
  </si>
  <si>
    <t>Melting_Curves/meltCurve_Q01970_PLCB3.pdf</t>
  </si>
  <si>
    <t>Melting_Curves/meltCurve_Q02040_AKAP17A.pdf</t>
  </si>
  <si>
    <t>Melting_Curves/meltCurve_Q02078_4_MEF2A.pdf</t>
  </si>
  <si>
    <t>Melting_Curves/meltCurve_Q02083_2_NAAA.pdf</t>
  </si>
  <si>
    <t>Melting_Curves/meltCurve_Q02086_2_SP2.pdf</t>
  </si>
  <si>
    <t>Melting_Curves/meltCurve_Q02156_PRKCE.pdf</t>
  </si>
  <si>
    <t>Melting_Curves/meltCurve_Q02224_CENPE.pdf</t>
  </si>
  <si>
    <t>Melting_Curves/meltCurve_Q02241_2_KIF23.pdf</t>
  </si>
  <si>
    <t>Melting_Curves/meltCurve_Q02446_SP4.pdf</t>
  </si>
  <si>
    <t>Melting_Curves/meltCurve_Q02447_4_SP3.pdf</t>
  </si>
  <si>
    <t>Melting_Curves/meltCurve_Q02487_DSC2.pdf</t>
  </si>
  <si>
    <t>Melting_Curves/meltCurve_Q02543_RPL18A.pdf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</si>
  <si>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</si>
  <si>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</si>
  <si>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</si>
  <si>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</si>
  <si>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Melting_Curves/meltCurve_Q02833_3_RASSF7.pdf</t>
  </si>
  <si>
    <t>Melting_Curves/meltCurve_Q02878_RPL6.pdf</t>
  </si>
  <si>
    <t>Melting_Curves/meltCurve_Q02880_2_TOP2B.pdf</t>
  </si>
  <si>
    <t>Melting_Curves/meltCurve_Q02952_3_AKAP12.pdf</t>
  </si>
  <si>
    <t>Melting_Curves/meltCurve_Q03001_DST.pdf</t>
  </si>
  <si>
    <t>Melting_Curves/meltCurve_Q03014_HHEX.pdf</t>
  </si>
  <si>
    <t>Melting_Curves/meltCurve_Q03060_25_CREM.pdf</t>
  </si>
  <si>
    <t>Melting_Curves/meltCurve_Q03111_MLLT1.pdf</t>
  </si>
  <si>
    <t>Melting_Curves/meltCurve_Q03154_ACY1.pdf</t>
  </si>
  <si>
    <t>Melting_Curves/meltCurve_Q03164_2_MLL.pdf</t>
  </si>
  <si>
    <t>Melting_Curves/meltCurve_Q03169_TNFAIP2.pdf</t>
  </si>
  <si>
    <t>Melting_Curves/meltCurve_Q03188_CENPC1.pdf</t>
  </si>
  <si>
    <t>Melting_Curves/meltCurve_Q03252_LMNB2.pdf</t>
  </si>
  <si>
    <t>Melting_Curves/meltCurve_Q03468_ERCC6.pdf</t>
  </si>
  <si>
    <t>Melting_Curves/meltCurve_Q03701_CEBPZ.pdf</t>
  </si>
  <si>
    <t>Melting_Curves/meltCurve_Q04446_GBE1.pdf</t>
  </si>
  <si>
    <t>Melting_Curves/meltCurve_Q04637_3_EIF4G1.pdf</t>
  </si>
  <si>
    <t>Melting_Curves/meltCurve_Q04637_5_EIF4G1.pdf</t>
  </si>
  <si>
    <t>Melting_Curves/meltCurve_Q04656_5_ATP7A.pdf</t>
  </si>
  <si>
    <t>Melting_Curves/meltCurve_Q04725_TLE2.pdf</t>
  </si>
  <si>
    <t>Melting_Curves/meltCurve_Q04759_PRKCQ.pdf</t>
  </si>
  <si>
    <t>Melting_Curves/meltCurve_Q04760_GLO1.pdf</t>
  </si>
  <si>
    <t>Melting_Curves/meltCurve_Q04828_AKR1C1.pdf</t>
  </si>
  <si>
    <t>Melting_Curves/meltCurve_Q04837_SSBP1.pdf</t>
  </si>
  <si>
    <t>Melting_Curves/meltCurve_Q04917_YWHAH.pdf</t>
  </si>
  <si>
    <t>Melting_Curves/meltCurve_Q05048_CSTF1.pdf</t>
  </si>
  <si>
    <t>Melting_Curves/meltCurve_Q05086_3_UBE3A.pdf</t>
  </si>
  <si>
    <t>Melting_Curves/meltCurve_Q05193_DNM1.pdf</t>
  </si>
  <si>
    <t>Melting_Curves/meltCurve_Q05209_PTPN12.pdf</t>
  </si>
  <si>
    <t>Melting_Curves/meltCurve_Q05513_PRKCZ.pdf</t>
  </si>
  <si>
    <t>Melting_Curves/meltCurve_Q05519_2_SRSF11.pdf</t>
  </si>
  <si>
    <t>Melting_Curves/meltCurve_Q05639_EEF1A2.pdf</t>
  </si>
  <si>
    <t>Melting_Curves/meltCurve_Q05655_PRKCD.pdf</t>
  </si>
  <si>
    <t>Melting_Curves/meltCurve_Q05682_5_CALD1.pdf</t>
  </si>
  <si>
    <t>Melting_Curves/meltCurve_Q05823_RNASEL.pdf</t>
  </si>
  <si>
    <t>Melting_Curves/meltCurve_Q05BQ5_MBTD1.pdf</t>
  </si>
  <si>
    <t>Melting_Curves/meltCurve_Q05D32_2_CTDSPL2.pdf</t>
  </si>
  <si>
    <t>Melting_Curves/meltCurve_Q05DA6_ZNF394.pdf</t>
  </si>
  <si>
    <t>Melting_Curves/meltCurve_Q06124_2_PTPN11.pdf</t>
  </si>
  <si>
    <t>Melting_Curves/meltCurve_Q06187_BTK.pdf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</si>
  <si>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</si>
  <si>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</si>
  <si>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</si>
  <si>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</si>
  <si>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Melting_Curves/meltCurve_Q06330_5_RBPJ.pdf</t>
  </si>
  <si>
    <t>Melting_Curves/meltCurve_Q06481_5_APLP2.pdf</t>
  </si>
  <si>
    <t>Melting_Curves/meltCurve_Q06546_GABPA.pdf</t>
  </si>
  <si>
    <t>Melting_Curves/meltCurve_Q06587_RING1.pdf</t>
  </si>
  <si>
    <t>Melting_Curves/meltCurve_Q06609_3_RAD51.pdf</t>
  </si>
  <si>
    <t>Melting_Curves/meltCurve_Q06830_PRDX1.pdf</t>
  </si>
  <si>
    <t>Melting_Curves/meltCurve_Q07021_C1QBP.pdf</t>
  </si>
  <si>
    <t>Melting_Curves/meltCurve_Q07157_TJP1.pdf</t>
  </si>
  <si>
    <t>Melting_Curves/meltCurve_Q07283_TCHH.pdf</t>
  </si>
  <si>
    <t>Melting_Curves/meltCurve_Q07666_KHDRBS1.pdf</t>
  </si>
  <si>
    <t>Melting_Curves/meltCurve_Q07812_5_BAX.pdf</t>
  </si>
  <si>
    <t>Melting_Curves/meltCurve_Q07864_POLE.pdf</t>
  </si>
  <si>
    <t>Melting_Curves/meltCurve_Q07866_3_KLC1.pdf</t>
  </si>
  <si>
    <t>Melting_Curves/meltCurve_Q07866_6_KLC1.pdf</t>
  </si>
  <si>
    <t>Melting_Curves/meltCurve_Q07912_TNK2.pdf</t>
  </si>
  <si>
    <t>Melting_Curves/meltCurve_Q07955_SRSF1.pdf</t>
  </si>
  <si>
    <t>Melting_Curves/meltCurve_Q07960_ARHGAP1.pdf</t>
  </si>
  <si>
    <t>Melting_Curves/meltCurve_Q08117_AES.pdf</t>
  </si>
  <si>
    <t>Melting_Curves/meltCurve_Q08170_SRSF4.pdf</t>
  </si>
  <si>
    <t>Melting_Curves/meltCurve_Q08209_PPP3CA.pdf</t>
  </si>
  <si>
    <t>Melting_Curves/meltCurve_Q08209_2_PPP3CA.pdf</t>
  </si>
  <si>
    <t>Melting_Curves/meltCurve_Q08211_DHX9.pdf</t>
  </si>
  <si>
    <t>Melting_Curves/meltCurve_Q08257_CRYZ.pdf</t>
  </si>
  <si>
    <t>Melting_Curves/meltCurve_Q08345_2_DDR1.pdf</t>
  </si>
  <si>
    <t>Melting_Curves/meltCurve_Q08378_GOLGA3.pdf</t>
  </si>
  <si>
    <t>Melting_Curves/meltCurve_Q08379_GOLGA2.pdf</t>
  </si>
  <si>
    <t>Melting_Curves/meltCurve_Q08380_LGALS3BP.pdf</t>
  </si>
  <si>
    <t>Melting_Curves/meltCurve_Q08495_EPB49.pdf</t>
  </si>
  <si>
    <t>Melting_Curves/meltCurve_Q08495_2_EPB49.pdf</t>
  </si>
  <si>
    <t>Melting_Curves/meltCurve_Q08623_HDHD1.pdf</t>
  </si>
  <si>
    <t>Melting_Curves/meltCurve_Q08752_PPID.pdf</t>
  </si>
  <si>
    <t>Melting_Curves/meltCurve_Q08945_SSRP1.pdf</t>
  </si>
  <si>
    <t>Melting_Curves/meltCurve_Q08AD1_2_CAMSAP2.pdf</t>
  </si>
  <si>
    <t>Melting_Curves/meltCurve_Q08AE8_2_SPIRE1.pdf</t>
  </si>
  <si>
    <t>Melting_Curves/meltCurve_Q08AF8_2_GOLGA8F.pdf</t>
  </si>
  <si>
    <t>Melting_Curves/meltCurve_Q08AG7_MZT1.pdf</t>
  </si>
  <si>
    <t>Melting_Curves/meltCurve_Q08AM6_VAC14.pdf</t>
  </si>
  <si>
    <t>Melting_Curves/meltCurve_Q08J23_NSUN2.pdf</t>
  </si>
  <si>
    <t>Melting_Curves/meltCurve_Q09028_3_RBBP4.pdf</t>
  </si>
  <si>
    <t>Melting_Curves/meltCurve_Q09161_NCBP1.pdf</t>
  </si>
  <si>
    <t>Melting_Curves/meltCurve_Q09472_EP300.pdf</t>
  </si>
  <si>
    <t>Melting_Curves/meltCurve_Q09666_AHNAK.pdf</t>
  </si>
  <si>
    <t>Melting_Curves/meltCurve_Q0JRZ9_FCHO2.pdf</t>
  </si>
  <si>
    <t>Melting_Curves/meltCurve_Q0PNE2_ELP6.pdf</t>
  </si>
  <si>
    <t>Melting_Curves/meltCurve_Q0VD83_APOBR.pdf</t>
  </si>
  <si>
    <t>Melting_Curves/meltCurve_Q0VDF9_HSPA14.pdf</t>
  </si>
  <si>
    <t>Melting_Curves/meltCurve_Q0VDG4_SCRN3.pdf</t>
  </si>
  <si>
    <t>Melting_Curves/meltCurve_Q0VG06_FAAP100.pdf</t>
  </si>
  <si>
    <t>Melting_Curves/meltCurve_Q0VGL1_LAMTOR4.pdf</t>
  </si>
  <si>
    <t>Melting_Curves/meltCurve_Q10567_2_AP1B1.pdf</t>
  </si>
  <si>
    <t>Melting_Curves/meltCurve_Q10567_3_AP1B1.pdf</t>
  </si>
  <si>
    <t>Melting_Curves/meltCurve_Q10570_CPSF1.pdf</t>
  </si>
  <si>
    <t>Melting_Curves/meltCurve_Q10713_PMPCA.pdf</t>
  </si>
  <si>
    <t>Melting_Curves/meltCurve_Q12756_KIF1A.pdf</t>
  </si>
  <si>
    <t>Melting_Curves/meltCurve_Q12766_2_HMGXB3.pdf</t>
  </si>
  <si>
    <t>Melting_Curves/meltCurve_Q12768_KIAA0196.pdf</t>
  </si>
  <si>
    <t>Melting_Curves/meltCurve_Q12769_NUP160.pdf</t>
  </si>
  <si>
    <t>Melting_Curves/meltCurve_Q12788_TBL3.pdf</t>
  </si>
  <si>
    <t>Melting_Curves/meltCurve_Q12789_GTF3C1.pdf</t>
  </si>
  <si>
    <t>Melting_Curves/meltCurve_Q12792_TWF1.pdf</t>
  </si>
  <si>
    <t>Melting_Curves/meltCurve_Q12797_10_ASPH.pdf</t>
  </si>
  <si>
    <t>Melting_Curves/meltCurve_Q12800_2_TFCP2.pdf</t>
  </si>
  <si>
    <t>Melting_Curves/meltCurve_Q12802_AKAP13.pdf</t>
  </si>
  <si>
    <t>Melting_Curves/meltCurve_Q12824_2_SMARCB1.pdf</t>
  </si>
  <si>
    <t>Melting_Curves/meltCurve_Q12830_2_BPTF.pdf</t>
  </si>
  <si>
    <t>Melting_Curves/meltCurve_Q12834_CDC20.pdf</t>
  </si>
  <si>
    <t>Melting_Curves/meltCurve_Q12840_KIF5A.pdf</t>
  </si>
  <si>
    <t>Melting_Curves/meltCurve_Q12849_GRSF1.pdf</t>
  </si>
  <si>
    <t>Melting_Curves/meltCurve_Q12872_SFSWAP.pdf</t>
  </si>
  <si>
    <t>Melting_Curves/meltCurve_Q12873_CHD3.pdf</t>
  </si>
  <si>
    <t>Melting_Curves/meltCurve_Q12874_SF3A3.pdf</t>
  </si>
  <si>
    <t>Melting_Curves/meltCurve_Q12888_TP53BP1.pdf</t>
  </si>
  <si>
    <t>Melting_Curves/meltCurve_Q12904_AIMP1.pdf</t>
  </si>
  <si>
    <t>Melting_Curves/meltCurve_Q12905_ILF2.pdf</t>
  </si>
  <si>
    <t>Melting_Curves/meltCurve_Q12906_7_ILF3.pdf</t>
  </si>
  <si>
    <t>Melting_Curves/meltCurve_Q12907_LMAN2.pdf</t>
  </si>
  <si>
    <t>Melting_Curves/meltCurve_Q12912_2_LRMP.pdf</t>
  </si>
  <si>
    <t>Melting_Curves/meltCurve_Q12933_3_TRAF2.pdf</t>
  </si>
  <si>
    <t>Melting_Curves/meltCurve_Q12948_FOXC1.pdf</t>
  </si>
  <si>
    <t>Melting_Curves/meltCurve_Q12955_ANK3.pdf</t>
  </si>
  <si>
    <t>Melting_Curves/meltCurve_Q12959_4_DLG1.pdf</t>
  </si>
  <si>
    <t>Melting_Curves/meltCurve_Q12959_5_DLG1.pdf</t>
  </si>
  <si>
    <t>Melting_Curves/meltCurve_Q12962_TAF10.pdf</t>
  </si>
  <si>
    <t>Melting_Curves/meltCurve_Q12968_NFATC3.pdf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</si>
  <si>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</si>
  <si>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</si>
  <si>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</si>
  <si>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</si>
  <si>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Melting_Curves/meltCurve_Q12982_BNIP2.pdf</t>
  </si>
  <si>
    <t>Melting_Curves/meltCurve_Q12986_2_NFX1.pdf</t>
  </si>
  <si>
    <t>Melting_Curves/meltCurve_Q12996_CSTF3.pdf</t>
  </si>
  <si>
    <t>Melting_Curves/meltCurve_Q13011_ECH1.pdf</t>
  </si>
  <si>
    <t>Melting_Curves/meltCurve_Q13017_2_ARHGAP5.pdf</t>
  </si>
  <si>
    <t>Melting_Curves/meltCurve_Q13033_2_STRN3.pdf</t>
  </si>
  <si>
    <t>Melting_Curves/meltCurve_Q13042_3_CDC16.pdf</t>
  </si>
  <si>
    <t>Melting_Curves/meltCurve_Q13043_STK4.pdf</t>
  </si>
  <si>
    <t>Melting_Curves/meltCurve_Q13045_FLII.pdf</t>
  </si>
  <si>
    <t>Melting_Curves/meltCurve_Q13049_TRIM32.pdf</t>
  </si>
  <si>
    <t>Melting_Curves/meltCurve_Q13057_COASY.pdf</t>
  </si>
  <si>
    <t>Melting_Curves/meltCurve_Q13085_ACACA.pdf</t>
  </si>
  <si>
    <t>Melting_Curves/meltCurve_Q13094_LCP2.pdf</t>
  </si>
  <si>
    <t>Melting_Curves/meltCurve_Q13105_ZBTB17.pdf</t>
  </si>
  <si>
    <t>Melting_Curves/meltCurve_Q13107_2_USP4.pdf</t>
  </si>
  <si>
    <t>Melting_Curves/meltCurve_Q13111_CHAF1A.pdf</t>
  </si>
  <si>
    <t>Melting_Curves/meltCurve_Q13112_CHAF1B.pdf</t>
  </si>
  <si>
    <t>Melting_Curves/meltCurve_Q13123_IK.pdf</t>
  </si>
  <si>
    <t>Melting_Curves/meltCurve_Q13127_4_REST.pdf</t>
  </si>
  <si>
    <t>Melting_Curves/meltCurve_Q13129_RLF.pdf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</si>
  <si>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</si>
  <si>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</si>
  <si>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</si>
  <si>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</si>
  <si>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Melting_Curves/meltCurve_Q13153_PAK1.pdf</t>
  </si>
  <si>
    <t>Melting_Curves/meltCurve_Q13155_AIMP2.pdf</t>
  </si>
  <si>
    <t>Melting_Curves/meltCurve_Q13158_FADD.pdf</t>
  </si>
  <si>
    <t>Melting_Curves/meltCurve_Q13162_PRDX4.pdf</t>
  </si>
  <si>
    <t>Melting_Curves/meltCurve_Q13163_4_MAP2K5.pdf</t>
  </si>
  <si>
    <t>Melting_Curves/meltCurve_Q13164_2_MAPK7.pdf</t>
  </si>
  <si>
    <t>Melting_Curves/meltCurve_Q13177_PAK2.pdf</t>
  </si>
  <si>
    <t>Melting_Curves/meltCurve_Q13185_CBX3.pdf</t>
  </si>
  <si>
    <t>Melting_Curves/meltCurve_Q13188_STK3.pdf</t>
  </si>
  <si>
    <t>Melting_Curves/meltCurve_Q13190_3_STX5.pdf</t>
  </si>
  <si>
    <t>Melting_Curves/meltCurve_Q13200_PSMD2.pdf</t>
  </si>
  <si>
    <t>Melting_Curves/meltCurve_Q13206_DDX10.pdf</t>
  </si>
  <si>
    <t>Melting_Curves/meltCurve_Q13216_ERCC8.pdf</t>
  </si>
  <si>
    <t>Melting_Curves/meltCurve_Q13217_DNAJC3.pdf</t>
  </si>
  <si>
    <t>Melting_Curves/meltCurve_Q13228_SELENBP1.pdf</t>
  </si>
  <si>
    <t>Melting_Curves/meltCurve_Q13232_NME3.pdf</t>
  </si>
  <si>
    <t>Melting_Curves/meltCurve_Q13233_MAP3K1.pdf</t>
  </si>
  <si>
    <t>Melting_Curves/meltCurve_Q13242_SRSF9.pdf</t>
  </si>
  <si>
    <t>Melting_Curves/meltCurve_Q13243_3_SRSF5.pdf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</si>
  <si>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</si>
  <si>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</si>
  <si>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</si>
  <si>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</si>
  <si>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</si>
  <si>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</si>
  <si>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Melting_Curves/meltCurve_Q13303_2_KCNAB2.pdf</t>
  </si>
  <si>
    <t>Melting_Curves/meltCurve_Q13308_3_PTK7.pdf</t>
  </si>
  <si>
    <t>Melting_Curves/meltCurve_Q13309_2_SKP2.pdf</t>
  </si>
  <si>
    <t>Melting_Curves/meltCurve_Q13310_3_PABPC4.pdf</t>
  </si>
  <si>
    <t>Melting_Curves/meltCurve_Q13315_ATM.pdf</t>
  </si>
  <si>
    <t>Melting_Curves/meltCurve_Q13322_2_GRB10.pdf</t>
  </si>
  <si>
    <t>Melting_Curves/meltCurve_Q13330_3_MTA1.pdf</t>
  </si>
  <si>
    <t>Melting_Curves/meltCurve_Q13332_6_PTPRS.pdf</t>
  </si>
  <si>
    <t>Melting_Curves/meltCurve_Q13347_EIF3I.pdf</t>
  </si>
  <si>
    <t>Melting_Curves/meltCurve_Q13351_KLF1.pdf</t>
  </si>
  <si>
    <t>Melting_Curves/meltCurve_Q13356_PPIL2.pdf</t>
  </si>
  <si>
    <t>Melting_Curves/meltCurve_Q13362_3_PPP2R5C.pdf</t>
  </si>
  <si>
    <t>Melting_Curves/meltCurve_Q13362_4_PPP2R5C.pdf</t>
  </si>
  <si>
    <t>Melting_Curves/meltCurve_Q13363_2_CTBP1.pdf</t>
  </si>
  <si>
    <t>Melting_Curves/meltCurve_Q13371_PDCL.pdf</t>
  </si>
  <si>
    <t>Melting_Curves/meltCurve_Q13395_TARBP1.pdf</t>
  </si>
  <si>
    <t>Melting_Curves/meltCurve_Q13404_UBE2V1.pdf</t>
  </si>
  <si>
    <t>Melting_Curves/meltCurve_Q13409_6_DYNC1I2.pdf</t>
  </si>
  <si>
    <t>Melting_Curves/meltCurve_Q13415_ORC1.pdf</t>
  </si>
  <si>
    <t>Melting_Curves/meltCurve_Q13416_ORC2.pdf</t>
  </si>
  <si>
    <t>Melting_Curves/meltCurve_Q13418_ILK.pdf</t>
  </si>
  <si>
    <t>Melting_Curves/meltCurve_Q13422_2_IKZF1.pdf</t>
  </si>
  <si>
    <t>Melting_Curves/meltCurve_Q13422_7_IKZF1.pdf</t>
  </si>
  <si>
    <t>Melting_Curves/meltCurve_Q13423_NNT.pdf</t>
  </si>
  <si>
    <t>Melting_Curves/meltCurve_Q13424_SNTA1.pdf</t>
  </si>
  <si>
    <t>Melting_Curves/meltCurve_Q13425_SNTB2.pdf</t>
  </si>
  <si>
    <t>Melting_Curves/meltCurve_Q13426_XRCC4.pdf</t>
  </si>
  <si>
    <t>Melting_Curves/meltCurve_Q13427_PPIG.pdf</t>
  </si>
  <si>
    <t>Melting_Curves/meltCurve_Q13428_3_TCOF1.pdf</t>
  </si>
  <si>
    <t>Melting_Curves/meltCurve_Q13428_4_TCOF1.pdf</t>
  </si>
  <si>
    <t>Melting_Curves/meltCurve_Q13432_2_UNC119.pdf</t>
  </si>
  <si>
    <t>Melting_Curves/meltCurve_Q13435_SF3B2.pdf</t>
  </si>
  <si>
    <t>Melting_Curves/meltCurve_Q13439_3_GOLGA4.pdf</t>
  </si>
  <si>
    <t>Melting_Curves/meltCurve_Q13442_PDAP1.pdf</t>
  </si>
  <si>
    <t>Melting_Curves/meltCurve_Q13451_FKBP5.pdf</t>
  </si>
  <si>
    <t>Melting_Curves/meltCurve_Q13464_ROCK1.pdf</t>
  </si>
  <si>
    <t>Melting_Curves/meltCurve_Q13469_NFATC2.pdf</t>
  </si>
  <si>
    <t>Melting_Curves/meltCurve_Q13492_3_PICALM.pdf</t>
  </si>
  <si>
    <t>Melting_Curves/meltCurve_Q13496_MTM1.pdf</t>
  </si>
  <si>
    <t>Melting_Curves/meltCurve_Q13501_SQSTM1.pdf</t>
  </si>
  <si>
    <t>Melting_Curves/meltCurve_Q13503_MED21.pdf</t>
  </si>
  <si>
    <t>Melting_Curves/meltCurve_Q13505_3_MTX1.pdf</t>
  </si>
  <si>
    <t>Melting_Curves/meltCurve_Q13506_NAB1.pdf</t>
  </si>
  <si>
    <t>Melting_Curves/meltCurve_Q13523_PRPF4B.pdf</t>
  </si>
  <si>
    <t>Melting_Curves/meltCurve_Q13526_PIN1.pdf</t>
  </si>
  <si>
    <t>Melting_Curves/meltCurve_Q13541_EIF4EBP1.pdf</t>
  </si>
  <si>
    <t>Melting_Curves/meltCurve_Q13542_EIF4EBP2.pdf</t>
  </si>
  <si>
    <t>Melting_Curves/meltCurve_Q13546_RIPK1.pdf</t>
  </si>
  <si>
    <t>Melting_Curves/meltCurve_Q13547_HDAC1.pdf</t>
  </si>
  <si>
    <t>Melting_Curves/meltCurve_Q13555_10_CAMK2G.pdf</t>
  </si>
  <si>
    <t>Melting_Curves/meltCurve_Q13557_8_CAMK2D.pdf</t>
  </si>
  <si>
    <t>Melting_Curves/meltCurve_Q13561_DCTN2.pdf</t>
  </si>
  <si>
    <t>Melting_Curves/meltCurve_Q13564_2_NAE1.pdf</t>
  </si>
  <si>
    <t>Melting_Curves/meltCurve_Q13572_ITPK1.pdf</t>
  </si>
  <si>
    <t>Melting_Curves/meltCurve_Q13573_SNW1.pdf</t>
  </si>
  <si>
    <t>Melting_Curves/meltCurve_Q13576_IQGAP2.pdf</t>
  </si>
  <si>
    <t>Melting_Curves/meltCurve_Q13586_STIM1.pdf</t>
  </si>
  <si>
    <t>Melting_Curves/meltCurve_Q13596_SNX1.pdf</t>
  </si>
  <si>
    <t>Melting_Curves/meltCurve_Q13601_2_KRR1.pdf</t>
  </si>
  <si>
    <t>Melting_Curves/meltCurve_Q13610_PWP1.pdf</t>
  </si>
  <si>
    <t>Melting_Curves/meltCurve_Q13613_MTMR1.pdf</t>
  </si>
  <si>
    <t>Melting_Curves/meltCurve_Q13614_MTMR2.pdf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</si>
  <si>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</si>
  <si>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</si>
  <si>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</si>
  <si>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</si>
  <si>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Melting_Curves/meltCurve_Q13620_1_CUL4B.pdf</t>
  </si>
  <si>
    <t>Melting_Curves/meltCurve_Q13625_TP53BP2.pdf</t>
  </si>
  <si>
    <t>Melting_Curves/meltCurve_Q13627_3_DYRK1A.pdf</t>
  </si>
  <si>
    <t>Melting_Curves/meltCurve_Q13630_TSTA3.pdf</t>
  </si>
  <si>
    <t>Melting_Curves/meltCurve_Q13636_RAB31.pdf</t>
  </si>
  <si>
    <t>Melting_Curves/meltCurve_Q13637_RAB32.pdf</t>
  </si>
  <si>
    <t>Melting_Curves/meltCurve_Q13643_FHL3.pdf</t>
  </si>
  <si>
    <t>Melting_Curves/meltCurve_Q13670_PMS2P11.pdf</t>
  </si>
  <si>
    <t>Melting_Curves/meltCurve_Q13724_MOGS.pdf</t>
  </si>
  <si>
    <t>Melting_Curves/meltCurve_Q13748_TUBA3C.pdf</t>
  </si>
  <si>
    <t>Melting_Curves/meltCurve_Q13769_THOC5.pdf</t>
  </si>
  <si>
    <t>Melting_Curves/meltCurve_Q13813_SPTAN1.pdf</t>
  </si>
  <si>
    <t>Melting_Curves/meltCurve_Q13813_2_SPTAN1.pdf</t>
  </si>
  <si>
    <t>Melting_Curves/meltCurve_Q13823_GNL2.pdf</t>
  </si>
  <si>
    <t>Melting_Curves/meltCurve_Q13825_AUH.pdf</t>
  </si>
  <si>
    <t>Melting_Curves/meltCurve_Q13838_DDX39B.pdf</t>
  </si>
  <si>
    <t>Melting_Curves/meltCurve_Q13867_BLMH.pdf</t>
  </si>
  <si>
    <t>Melting_Curves/meltCurve_Q13868_EXOSC2.pdf</t>
  </si>
  <si>
    <t>Melting_Curves/meltCurve_Q13873_BMPR2.pdf</t>
  </si>
  <si>
    <t>Melting_Curves/meltCurve_Q13885_TUBB2A.pdf</t>
  </si>
  <si>
    <t>Melting_Curves/meltCurve_Q13886_KLF9.pdf</t>
  </si>
  <si>
    <t>Melting_Curves/meltCurve_Q13895_BYSL.pdf</t>
  </si>
  <si>
    <t>Melting_Curves/meltCurve_Q13901_C1D.pdf</t>
  </si>
  <si>
    <t>Melting_Curves/meltCurve_Q13905_RAPGEF1.pdf</t>
  </si>
  <si>
    <t>Melting_Curves/meltCurve_Q13907_IDI1.pdf</t>
  </si>
  <si>
    <t>Melting_Curves/meltCurve_Q13951_2_CBFB.pdf</t>
  </si>
  <si>
    <t>Melting_Curves/meltCurve_Q13952_3_NFYC.pdf</t>
  </si>
  <si>
    <t>Melting_Curves/meltCurve_Q14004_CDK13.pdf</t>
  </si>
  <si>
    <t>Melting_Curves/meltCurve_Q14008_CKAP5.pdf</t>
  </si>
  <si>
    <t>Melting_Curves/meltCurve_Q14011_CIRBP.pdf</t>
  </si>
  <si>
    <t>Melting_Curves/meltCurve_Q14012_CAMK1.pdf</t>
  </si>
  <si>
    <t>Melting_Curves/meltCurve_Q14019_COTL1.pdf</t>
  </si>
  <si>
    <t>Melting_Curves/meltCurve_Q14061_COX17.pdf</t>
  </si>
  <si>
    <t>Melting_Curves/meltCurve_Q14103_3_HNRNPD.pdf</t>
  </si>
  <si>
    <t>Melting_Curves/meltCurve_Q14103_4_HNRNPD.pdf</t>
  </si>
  <si>
    <t>Melting_Curves/meltCurve_Q14118_DAG1.pdf</t>
  </si>
  <si>
    <t>Melting_Curves/meltCurve_Q14126_DSG2.pdf</t>
  </si>
  <si>
    <t>Melting_Curves/meltCurve_Q14137_BOP1.pdf</t>
  </si>
  <si>
    <t>Melting_Curves/meltCurve_Q14139_UBE4A.pdf</t>
  </si>
  <si>
    <t>Melting_Curves/meltCurve_Q14141_2_SEPT6.pdf</t>
  </si>
  <si>
    <t>Melting_Curves/meltCurve_Q14145_KEAP1.pdf</t>
  </si>
  <si>
    <t>Melting_Curves/meltCurve_Q14147_DHX34.pdf</t>
  </si>
  <si>
    <t>Melting_Curves/meltCurve_Q14149_MORC3.pdf</t>
  </si>
  <si>
    <t>Melting_Curves/meltCurve_Q14151_SAFB2.pdf</t>
  </si>
  <si>
    <t>Melting_Curves/meltCurve_Q14152_EIF3A.pdf</t>
  </si>
  <si>
    <t>Melting_Curves/meltCurve_Q14153_FAM53B.pdf</t>
  </si>
  <si>
    <t>Melting_Curves/meltCurve_Q14155_1_ARHGEF7.pdf</t>
  </si>
  <si>
    <t>Melting_Curves/meltCurve_Q14157_UBAP2L.pdf</t>
  </si>
  <si>
    <t>Melting_Curves/meltCurve_Q14160_SCRIB.pdf</t>
  </si>
  <si>
    <t>Melting_Curves/meltCurve_Q14161_4_GIT2.pdf</t>
  </si>
  <si>
    <t>Melting_Curves/meltCurve_Q14166_TTLL12.pdf</t>
  </si>
  <si>
    <t>Melting_Curves/meltCurve_Q14181_POLA2.pdf</t>
  </si>
  <si>
    <t>Melting_Curves/meltCurve_Q14191_WRN.pdf</t>
  </si>
  <si>
    <t>Melting_Curves/meltCurve_Q14192_FHL2.pdf</t>
  </si>
  <si>
    <t>Melting_Curves/meltCurve_Q14202_2_ZMYM3.pdf</t>
  </si>
  <si>
    <t>Melting_Curves/meltCurve_Q14203_6_DCTN1.pdf</t>
  </si>
  <si>
    <t>Melting_Curves/meltCurve_Q14204_DYNC1H1.pdf</t>
  </si>
  <si>
    <t>Melting_Curves/meltCurve_Q14207_NPAT.pdf</t>
  </si>
  <si>
    <t>Melting_Curves/meltCurve_Q14232_EIF2B1.pdf</t>
  </si>
  <si>
    <t>Melting_Curves/meltCurve_Q14241_TCEB3.pdf</t>
  </si>
  <si>
    <t>Melting_Curves/meltCurve_Q14244_2_MAP7.pdf</t>
  </si>
  <si>
    <t>Melting_Curves/meltCurve_Q14247_CTTN.pdf</t>
  </si>
  <si>
    <t>Melting_Curves/meltCurve_Q14247_3_CTTN.pdf</t>
  </si>
  <si>
    <t>Melting_Curves/meltCurve_Q14249_ENDOG.pdf</t>
  </si>
  <si>
    <t>Melting_Curves/meltCurve_Q14258_TRIM25.pdf</t>
  </si>
  <si>
    <t>Melting_Curves/meltCurve_Q14289_2_PTK2B.pdf</t>
  </si>
  <si>
    <t>Melting_Curves/meltCurve_Q14315_FLNC.pdf</t>
  </si>
  <si>
    <t>Melting_Curves/meltCurve_Q14318_2_FKBP8.pdf</t>
  </si>
  <si>
    <t>Melting_Curves/meltCurve_Q14320_FAM50A.pdf</t>
  </si>
  <si>
    <t>Melting_Curves/meltCurve_Q14331_FRG1.pdf</t>
  </si>
  <si>
    <t>Melting_Curves/meltCurve_Q14353_GAMT.pdf</t>
  </si>
  <si>
    <t>Melting_Curves/meltCurve_Q14376_GALE.pdf</t>
  </si>
  <si>
    <t>Melting_Curves/meltCurve_Q14444_2_CAPRIN1.pdf</t>
  </si>
  <si>
    <t>Melting_Curves/meltCurve_Q14457_BECN1.pdf</t>
  </si>
  <si>
    <t>Melting_Curves/meltCurve_Q14493_SLBP.pdf</t>
  </si>
  <si>
    <t>Melting_Curves/meltCurve_Q14498_2_RBM39.pdf</t>
  </si>
  <si>
    <t>Melting_Curves/meltCurve_Q14520_2_HABP2.pdf</t>
  </si>
  <si>
    <t>Melting_Curves/meltCurve_Q14527_HLTF.pdf</t>
  </si>
  <si>
    <t>Melting_Curves/meltCurve_Q14554_PDIA5.pdf</t>
  </si>
  <si>
    <t>Melting_Curves/meltCurve_Q14558_PRPSAP1.pdf</t>
  </si>
  <si>
    <t>Melting_Curves/meltCurve_Q14562_DHX8.pdf</t>
  </si>
  <si>
    <t>Melting_Curves/meltCurve_Q14566_MCM6.pdf</t>
  </si>
  <si>
    <t>Melting_Curves/meltCurve_Q14596_2_NBR1.pdf</t>
  </si>
  <si>
    <t>Melting_Curves/meltCurve_Q14651_PLS1.pdf</t>
  </si>
  <si>
    <t>Melting_Curves/meltCurve_Q14653_IRF3.pdf</t>
  </si>
  <si>
    <t>Melting_Curves/meltCurve_Q14657_LAGE3.pdf</t>
  </si>
  <si>
    <t>Melting_Curves/meltCurve_Q14669_2_TRIP12.pdf</t>
  </si>
  <si>
    <t>Melting_Curves/meltCurve_Q14671_PUM1.pdf</t>
  </si>
  <si>
    <t>Melting_Curves/meltCurve_Q14671_2_PUM1.pdf</t>
  </si>
  <si>
    <t>Melting_Curves/meltCurve_Q14674_ESPL1.pdf</t>
  </si>
  <si>
    <t>Melting_Curves/meltCurve_Q14676_MDC1.pdf</t>
  </si>
  <si>
    <t>Melting_Curves/meltCurve_Q14677_CLINT1.pdf</t>
  </si>
  <si>
    <t>Melting_Curves/meltCurve_Q14681_KCTD2.pdf</t>
  </si>
  <si>
    <t>Melting_Curves/meltCurve_Q14683_SMC1A.pdf</t>
  </si>
  <si>
    <t>Melting_Curves/meltCurve_Q14684_RRP1B.pdf</t>
  </si>
  <si>
    <t>Melting_Curves/meltCurve_Q14686_NCOA6.pdf</t>
  </si>
  <si>
    <t>Melting_Curves/meltCurve_Q14687_GSE1.pdf</t>
  </si>
  <si>
    <t>Melting_Curves/meltCurve_Q14689_6_DIP2A.pdf</t>
  </si>
  <si>
    <t>Melting_Curves/meltCurve_Q14690_PDCD11.pdf</t>
  </si>
  <si>
    <t>Melting_Curves/meltCurve_Q14691_GINS1.pdf</t>
  </si>
  <si>
    <t>Melting_Curves/meltCurve_Q14692_BMS1.pdf</t>
  </si>
  <si>
    <t>Melting_Curves/meltCurve_Q14693_LPIN1.pdf</t>
  </si>
  <si>
    <t>Melting_Curves/meltCurve_Q14694_USP10.pdf</t>
  </si>
  <si>
    <t>Melting_Curves/meltCurve_Q14696_MESDC2.pdf</t>
  </si>
  <si>
    <t>Melting_Curves/meltCurve_Q14697_GANAB.pdf</t>
  </si>
  <si>
    <t>Melting_Curves/meltCurve_Q14697_2_GANAB.pdf</t>
  </si>
  <si>
    <t>Melting_Curves/meltCurve_Q14739_LBR.pdf</t>
  </si>
  <si>
    <t>Melting_Curves/meltCurve_Q14746_2_COG2.pdf</t>
  </si>
  <si>
    <t>Melting_Curves/meltCurve_Q14781_CBX2.pdf</t>
  </si>
  <si>
    <t>Melting_Curves/meltCurve_Q14789_GOLGB1.pdf</t>
  </si>
  <si>
    <t>Melting_Curves/meltCurve_Q14790_9_CASP8.pdf</t>
  </si>
  <si>
    <t>Melting_Curves/meltCurve_Q147X3_NAA30.pdf</t>
  </si>
  <si>
    <t>Melting_Curves/meltCurve_Q14807_KIF22.pdf</t>
  </si>
  <si>
    <t>Melting_Curves/meltCurve_Q14814_4_MEF2D.pdf</t>
  </si>
  <si>
    <t>Melting_Curves/meltCurve_Q14839_2_CHD4.pdf</t>
  </si>
  <si>
    <t>Melting_Curves/meltCurve_Q14847_LASP1.pdf</t>
  </si>
  <si>
    <t>Melting_Curves/meltCurve_Q14914_2_PTGR1.pdf</t>
  </si>
  <si>
    <t>Melting_Curves/meltCurve_Q14919_DRAP1.pdf</t>
  </si>
  <si>
    <t>Melting_Curves/meltCurve_Q14934_8_NFATC4.pdf</t>
  </si>
  <si>
    <t>Melting_Curves/meltCurve_Q14964_RAB39A.pdf</t>
  </si>
  <si>
    <t>Melting_Curves/meltCurve_Q14966_ZNF638.pdf</t>
  </si>
  <si>
    <t>Melting_Curves/meltCurve_Q14974_KPNB1.pdf</t>
  </si>
  <si>
    <t>Melting_Curves/meltCurve_Q14978_3_NOLC1.pdf</t>
  </si>
  <si>
    <t>Melting_Curves/meltCurve_Q14980_NUMA1.pdf</t>
  </si>
  <si>
    <t>Melting_Curves/meltCurve_Q14980_2_NUMA1.pdf</t>
  </si>
  <si>
    <t>Melting_Curves/meltCurve_Q14980_4_NUMA1.pdf</t>
  </si>
  <si>
    <t>Melting_Curves/meltCurve_Q14997_PSME4.pdf</t>
  </si>
  <si>
    <t>Melting_Curves/meltCurve_Q14BN4_2_SLMAP.pdf</t>
  </si>
  <si>
    <t>Melting_Curves/meltCurve_Q14C86_6_GAPVD1.pdf</t>
  </si>
  <si>
    <t>Melting_Curves/meltCurve_Q14CM0_FRMPD4.pdf</t>
  </si>
  <si>
    <t>Melting_Curves/meltCurve_Q14CS0_UBXN2B.pdf</t>
  </si>
  <si>
    <t>Melting_Curves/meltCurve_Q14CX7_NAA25.pdf</t>
  </si>
  <si>
    <t>Melting_Curves/meltCurve_Q15003_NCAPH.pdf</t>
  </si>
  <si>
    <t>Melting_Curves/meltCurve_Q15007_WTAP.pdf</t>
  </si>
  <si>
    <t>Melting_Curves/meltCurve_Q15008_PSMD6.pdf</t>
  </si>
  <si>
    <t>Melting_Curves/meltCurve_Q15013_MAD2L1BP.pdf</t>
  </si>
  <si>
    <t>Melting_Curves/meltCurve_Q15014_MORF4L2.pdf</t>
  </si>
  <si>
    <t>Melting_Curves/meltCurve_Q15018_FAM175B.pdf</t>
  </si>
  <si>
    <t>Melting_Curves/meltCurve_Q15019_SEPT2.pdf</t>
  </si>
  <si>
    <t>Melting_Curves/meltCurve_Q15020_SART3.pdf</t>
  </si>
  <si>
    <t>Melting_Curves/meltCurve_Q15021_NCAPD2.pdf</t>
  </si>
  <si>
    <t>Melting_Curves/meltCurve_Q15024_EXOSC7.pdf</t>
  </si>
  <si>
    <t>Melting_Curves/meltCurve_Q15029_2_EFTUD2.pdf</t>
  </si>
  <si>
    <t>Melting_Curves/meltCurve_Q15032_2_R3HDM1.pdf</t>
  </si>
  <si>
    <t>Melting_Curves/meltCurve_Q15036_2_SNX17.pdf</t>
  </si>
  <si>
    <t>Melting_Curves/meltCurve_Q15042_RAB3GAP1.pdf</t>
  </si>
  <si>
    <t>Melting_Curves/meltCurve_Q15046_KARS.pdf</t>
  </si>
  <si>
    <t>Melting_Curves/meltCurve_Q15047_3_SETDB1.pdf</t>
  </si>
  <si>
    <t>Melting_Curves/meltCurve_Q15048_LRRC14.pdf</t>
  </si>
  <si>
    <t>Melting_Curves/meltCurve_Q15050_RRS1.pdf</t>
  </si>
  <si>
    <t>Melting_Curves/meltCurve_Q15051_IQCB1.pdf</t>
  </si>
  <si>
    <t>Melting_Curves/meltCurve_Q15052_ARHGEF6.pdf</t>
  </si>
  <si>
    <t>Melting_Curves/meltCurve_Q15056_EIF4H.pdf</t>
  </si>
  <si>
    <t>Melting_Curves/meltCurve_Q15056_2_EIF4H.pdf</t>
  </si>
  <si>
    <t>Melting_Curves/meltCurve_Q15057_ACAP2.pdf</t>
  </si>
  <si>
    <t>Melting_Curves/meltCurve_Q15058_KIF14.pdf</t>
  </si>
  <si>
    <t>Melting_Curves/meltCurve_Q15059_BRD3.pdf</t>
  </si>
  <si>
    <t>Melting_Curves/meltCurve_Q15061_WDR43.pdf</t>
  </si>
  <si>
    <t>Melting_Curves/meltCurve_Q15067_2_ACOX1.pdf</t>
  </si>
  <si>
    <t>Melting_Curves/meltCurve_Q15072_ZNF146.pdf</t>
  </si>
  <si>
    <t>Melting_Curves/meltCurve_Q15075_EEA1.pdf</t>
  </si>
  <si>
    <t>Melting_Curves/meltCurve_Q15102_PAFAH1B3.pdf</t>
  </si>
  <si>
    <t>Melting_Curves/meltCurve_Q15111_PLCL1.pdf</t>
  </si>
  <si>
    <t>Melting_Curves/meltCurve_Q15121_PEA15.pdf</t>
  </si>
  <si>
    <t>Melting_Curves/meltCurve_Q15126_PMVK.pdf</t>
  </si>
  <si>
    <t>Melting_Curves/meltCurve_Q15147_2_PLCB4.pdf</t>
  </si>
  <si>
    <t>Melting_Curves/meltCurve_Q15149_3_PLEC.pdf</t>
  </si>
  <si>
    <t>Melting_Curves/meltCurve_Q15149_4_PLEC.pdf</t>
  </si>
  <si>
    <t>Melting_Curves/meltCurve_Q15154_PCM1.pdf</t>
  </si>
  <si>
    <t>Melting_Curves/meltCurve_Q15154_2_PCM1.pdf</t>
  </si>
  <si>
    <t>Melting_Curves/meltCurve_Q15170_2_TCEAL1.pdf</t>
  </si>
  <si>
    <t>Melting_Curves/meltCurve_Q15172_PPP2R5A.pdf</t>
  </si>
  <si>
    <t>Melting_Curves/meltCurve_Q15173_PPP2R5B.pdf</t>
  </si>
  <si>
    <t>Melting_Curves/meltCurve_Q15181_PPA1.pdf</t>
  </si>
  <si>
    <t>Melting_Curves/meltCurve_Q15208_STK38.pdf</t>
  </si>
  <si>
    <t>Melting_Curves/meltCurve_Q15233_NONO.pdf</t>
  </si>
  <si>
    <t>Melting_Curves/meltCurve_Q15257_PPP2R4.pdf</t>
  </si>
  <si>
    <t>Melting_Curves/meltCurve_Q15262_PTPRK.pdf</t>
  </si>
  <si>
    <t>Melting_Curves/meltCurve_Q15269_PWP2.pdf</t>
  </si>
  <si>
    <t>Melting_Curves/meltCurve_Q15274_QPRT.pdf</t>
  </si>
  <si>
    <t>Melting_Curves/meltCurve_Q15276_RABEP1.pdf</t>
  </si>
  <si>
    <t>Melting_Curves/meltCurve_Q15283_2_RASA2.pdf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</si>
  <si>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</si>
  <si>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</si>
  <si>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</si>
  <si>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</si>
  <si>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</si>
  <si>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Melting_Curves/meltCurve_Q15345_LRRC41.pdf</t>
  </si>
  <si>
    <t>Melting_Curves/meltCurve_Q15361_TTF1.pdf</t>
  </si>
  <si>
    <t>Melting_Curves/meltCurve_Q15363_TMED2.pdf</t>
  </si>
  <si>
    <t>Melting_Curves/meltCurve_Q15365_PCBP1.pdf</t>
  </si>
  <si>
    <t>Melting_Curves/meltCurve_Q15366_2_PCBP2.pdf</t>
  </si>
  <si>
    <t>Melting_Curves/meltCurve_Q15366_3_PCBP2.pdf</t>
  </si>
  <si>
    <t>Melting_Curves/meltCurve_Q15382_RHEB.pdf</t>
  </si>
  <si>
    <t>Melting_Curves/meltCurve_Q15386_UBE3C.pdf</t>
  </si>
  <si>
    <t>Melting_Curves/meltCurve_Q15393_SF3B3.pdf</t>
  </si>
  <si>
    <t>Melting_Curves/meltCurve_Q15398_DLGAP5.pdf</t>
  </si>
  <si>
    <t>Melting_Curves/meltCurve_Q15404_RSU1.pdf</t>
  </si>
  <si>
    <t>Melting_Curves/meltCurve_Q15424_SAFB.pdf</t>
  </si>
  <si>
    <t>Melting_Curves/meltCurve_Q15427_SF3B4.pdf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</si>
  <si>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</si>
  <si>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</si>
  <si>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</si>
  <si>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</si>
  <si>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Melting_Curves/meltCurve_Q15506_SPA17.pdf</t>
  </si>
  <si>
    <t>Melting_Curves/meltCurve_Q15526_2_SURF1.pdf</t>
  </si>
  <si>
    <t>Melting_Curves/meltCurve_Q15527_SURF2.pdf</t>
  </si>
  <si>
    <t>Melting_Curves/meltCurve_Q15542_2_TAF5.pdf</t>
  </si>
  <si>
    <t>Melting_Curves/meltCurve_Q15543_TAF13.pdf</t>
  </si>
  <si>
    <t>Melting_Curves/meltCurve_Q15544_2_TAF11.pdf</t>
  </si>
  <si>
    <t>Melting_Curves/meltCurve_Q15545_TAF7.pdf</t>
  </si>
  <si>
    <t>Melting_Curves/meltCurve_Q15554_3_TERF2.pdf</t>
  </si>
  <si>
    <t>Melting_Curves/meltCurve_Q15555_MAPRE2.pdf</t>
  </si>
  <si>
    <t>Melting_Curves/meltCurve_Q15560_2_TCEA2.pdf</t>
  </si>
  <si>
    <t>Melting_Curves/meltCurve_Q15561_2_TEAD4.pdf</t>
  </si>
  <si>
    <t>Melting_Curves/meltCurve_Q15596_NCOA2.pdf</t>
  </si>
  <si>
    <t>Melting_Curves/meltCurve_Q15599_SLC9A3R2.pdf</t>
  </si>
  <si>
    <t>Melting_Curves/meltCurve_Q15628_TRADD.pdf</t>
  </si>
  <si>
    <t>Melting_Curves/meltCurve_Q15633_2_TARBP2.pdf</t>
  </si>
  <si>
    <t>Melting_Curves/meltCurve_Q15637_5_SF1.pdf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</si>
  <si>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</si>
  <si>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</si>
  <si>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</si>
  <si>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</si>
  <si>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</si>
  <si>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</si>
  <si>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Melting_Curves/meltCurve_Q15651_HMGN3.pdf</t>
  </si>
  <si>
    <t>Melting_Curves/meltCurve_Q15652_JMJD1C.pdf</t>
  </si>
  <si>
    <t>Melting_Curves/meltCurve_Q15654_TRIP6.pdf</t>
  </si>
  <si>
    <t>Melting_Curves/meltCurve_Q15691_MAPRE1.pdf</t>
  </si>
  <si>
    <t>Melting_Curves/meltCurve_Q15697_2_ZNF174.pdf</t>
  </si>
  <si>
    <t>Melting_Curves/meltCurve_Q15714_2_TSC22D1.pdf</t>
  </si>
  <si>
    <t>Melting_Curves/meltCurve_Q15717_ELAVL1.pdf</t>
  </si>
  <si>
    <t>Melting_Curves/meltCurve_Q15723_1_ELF2.pdf</t>
  </si>
  <si>
    <t>Melting_Curves/meltCurve_Q15738_NSDHL.pdf</t>
  </si>
  <si>
    <t>Melting_Curves/meltCurve_Q15742_NAB2.pdf</t>
  </si>
  <si>
    <t>Melting_Curves/meltCurve_Q15746_4_MYLK.pdf</t>
  </si>
  <si>
    <t>Melting_Curves/meltCurve_Q15750_2_TAB1.pdf</t>
  </si>
  <si>
    <t>Melting_Curves/meltCurve_Q15751_HERC1.pdf</t>
  </si>
  <si>
    <t>Melting_Curves/meltCurve_Q15758_SLC1A5.pdf</t>
  </si>
  <si>
    <t>Melting_Curves/meltCurve_Q15759_MAPK11.pdf</t>
  </si>
  <si>
    <t>Melting_Curves/meltCurve_Q15773_MLF2.pdf</t>
  </si>
  <si>
    <t>Melting_Curves/meltCurve_Q15776_ZKSCAN8.pdf</t>
  </si>
  <si>
    <t>Melting_Curves/meltCurve_Q15785_TOMM34.pdf</t>
  </si>
  <si>
    <t>Melting_Curves/meltCurve_Q15788_2_NCOA1.pdf</t>
  </si>
  <si>
    <t>Melting_Curves/meltCurve_Q15796_2_SMAD2.pdf</t>
  </si>
  <si>
    <t>Melting_Curves/meltCurve_Q15797_SMAD1.pdf</t>
  </si>
  <si>
    <t>Melting_Curves/meltCurve_Q15813_TBCE.pdf</t>
  </si>
  <si>
    <t>Melting_Curves/meltCurve_Q15814_TBCC.pdf</t>
  </si>
  <si>
    <t>Melting_Curves/meltCurve_Q15819_UBE2V2.pdf</t>
  </si>
  <si>
    <t>Melting_Curves/meltCurve_Q15831_2_STK11.pdf</t>
  </si>
  <si>
    <t>Melting_Curves/meltCurve_Q15833_STXBP2.pdf</t>
  </si>
  <si>
    <t>Melting_Curves/meltCurve_Q15836_VAMP3.pdf</t>
  </si>
  <si>
    <t>Melting_Curves/meltCurve_Q15843_NEDD8.pdf</t>
  </si>
  <si>
    <t>Melting_Curves/meltCurve_Q15904_ATP6AP1.pdf</t>
  </si>
  <si>
    <t>Melting_Curves/meltCurve_Q15906_VPS72.pdf</t>
  </si>
  <si>
    <t>Melting_Curves/meltCurve_Q15907_RAB11B.pdf</t>
  </si>
  <si>
    <t>Melting_Curves/meltCurve_Q15910_EZH2.pdf</t>
  </si>
  <si>
    <t>Melting_Curves/meltCurve_Q15935_ZNF77.pdf</t>
  </si>
  <si>
    <t>Melting_Curves/meltCurve_Q15942_ZYX.pdf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</si>
  <si>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</si>
  <si>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</si>
  <si>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</si>
  <si>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</si>
  <si>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</si>
  <si>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Melting_Curves/meltCurve_Q16352_INA.pdf</t>
  </si>
  <si>
    <t>Melting_Curves/meltCurve_Q16401_2_PSMD5.pdf</t>
  </si>
  <si>
    <t>Melting_Curves/meltCurve_Q16512_PKN1.pdf</t>
  </si>
  <si>
    <t>Melting_Curves/meltCurve_Q16513_3_PKN2.pdf</t>
  </si>
  <si>
    <t>Melting_Curves/meltCurve_Q16514_2_TAF12.pdf</t>
  </si>
  <si>
    <t>Melting_Curves/meltCurve_Q16531_DDB1.pdf</t>
  </si>
  <si>
    <t>Melting_Curves/meltCurve_Q16539_MAPK14.pdf</t>
  </si>
  <si>
    <t>Melting_Curves/meltCurve_Q16539_2_MAPK14.pdf</t>
  </si>
  <si>
    <t>Melting_Curves/meltCurve_Q16543_CDC37.pdf</t>
  </si>
  <si>
    <t>Melting_Curves/meltCurve_Q16555_2_DPYSL2.pdf</t>
  </si>
  <si>
    <t>Melting_Curves/meltCurve_Q16576_RBBP7.pdf</t>
  </si>
  <si>
    <t>Melting_Curves/meltCurve_Q16600_ZNF239.pdf</t>
  </si>
  <si>
    <t>Melting_Curves/meltCurve_Q16610_ECM1.pdf</t>
  </si>
  <si>
    <t>Melting_Curves/meltCurve_Q16619_2_CTF1.pdf</t>
  </si>
  <si>
    <t>Melting_Curves/meltCurve_Q16626_MEA1.pdf</t>
  </si>
  <si>
    <t>Melting_Curves/meltCurve_Q16629_3_SRSF7.pdf</t>
  </si>
  <si>
    <t>Melting_Curves/meltCurve_Q16637_3_SMN1.pdf</t>
  </si>
  <si>
    <t>Melting_Curves/meltCurve_Q16643_DBN1.pdf</t>
  </si>
  <si>
    <t>Melting_Curves/meltCurve_Q16644_MAPKAPK3.pdf</t>
  </si>
  <si>
    <t>Melting_Curves/meltCurve_Q16656_NRF1.pdf</t>
  </si>
  <si>
    <t>Melting_Curves/meltCurve_Q16658_FSCN1.pdf</t>
  </si>
  <si>
    <t>Melting_Curves/meltCurve_Q16659_MAPK6.pdf</t>
  </si>
  <si>
    <t>Melting_Curves/meltCurve_Q16666_3_IFI16.pdf</t>
  </si>
  <si>
    <t>Melting_Curves/meltCurve_Q16670_ZSCAN26.pdf</t>
  </si>
  <si>
    <t>Melting_Curves/meltCurve_Q16719_KYNU.pdf</t>
  </si>
  <si>
    <t>Melting_Curves/meltCurve_Q16740_CLPP.pdf</t>
  </si>
  <si>
    <t>Melting_Curves/meltCurve_Q16762_TST.pdf</t>
  </si>
  <si>
    <t>Melting_Curves/meltCurve_Q16763_UBE2S.pdf</t>
  </si>
  <si>
    <t>Melting_Curves/meltCurve_Q16773_CCBL1.pdf</t>
  </si>
  <si>
    <t>Melting_Curves/meltCurve_Q16778_HIST2H2BE.pdf</t>
  </si>
  <si>
    <t>Melting_Curves/meltCurve_Q16819_MEP1A.pdf</t>
  </si>
  <si>
    <t>Melting_Curves/meltCurve_Q16822_PCK2.pdf</t>
  </si>
  <si>
    <t>Melting_Curves/meltCurve_Q16831_UPP1.pdf</t>
  </si>
  <si>
    <t>Melting_Curves/meltCurve_Q16836_HADH.pdf</t>
  </si>
  <si>
    <t>Melting_Curves/meltCurve_Q16851_UGP2.pdf</t>
  </si>
  <si>
    <t>Melting_Curves/meltCurve_Q16854_DGUOK.pdf</t>
  </si>
  <si>
    <t>Melting_Curves/meltCurve_Q16864_ATP6V1F.pdf</t>
  </si>
  <si>
    <t>Melting_Curves/meltCurve_Q16875_3_PFKFB3.pdf</t>
  </si>
  <si>
    <t>Melting_Curves/meltCurve_Q17R31_2_TATDN3.pdf</t>
  </si>
  <si>
    <t>Melting_Curves/meltCurve_Q17RN3_FAM98C.pdf</t>
  </si>
  <si>
    <t>Melting_Curves/meltCurve_Q17RU2_REL.pdf</t>
  </si>
  <si>
    <t>Melting_Curves/meltCurve_Q19AV6_ZSWIM7.pdf</t>
  </si>
  <si>
    <t>Melting_Curves/meltCurve_Q1ED39_KNOP1.pdf</t>
  </si>
  <si>
    <t>Melting_Curves/meltCurve_Q1MSJ5_1_CSPP1.pdf</t>
  </si>
  <si>
    <t>Melting_Curves/meltCurve_Q27J81_2_INF2.pdf</t>
  </si>
  <si>
    <t>Melting_Curves/meltCurve_Q29RF7_PDS5A.pdf</t>
  </si>
  <si>
    <t>Melting_Curves/meltCurve_Q2KHR3_QSER1.pdf</t>
  </si>
  <si>
    <t>Melting_Curves/meltCurve_Q2KHT3_CLEC16A.pdf</t>
  </si>
  <si>
    <t>Melting_Curves/meltCurve_Q2M1P5_KIF7.pdf</t>
  </si>
  <si>
    <t>Melting_Curves/meltCurve_Q2M296_2_MTHFSD.pdf</t>
  </si>
  <si>
    <t>Melting_Curves/meltCurve_Q2M296_4_MTHFSD.pdf</t>
  </si>
  <si>
    <t>Melting_Curves/meltCurve_Q2M2I8_AAK1.pdf</t>
  </si>
  <si>
    <t>Melting_Curves/meltCurve_Q2M2Z5_5_PLK1S1.pdf</t>
  </si>
  <si>
    <t>Melting_Curves/meltCurve_Q2M389_KIAA1033.pdf</t>
  </si>
  <si>
    <t>Melting_Curves/meltCurve_Q2M3G4_2_SHROOM1.pdf</t>
  </si>
  <si>
    <t>Melting_Curves/meltCurve_Q2NKX9_C2orf68.pdf</t>
  </si>
  <si>
    <t>Melting_Curves/meltCurve_Q2NL82_TSR1.pdf</t>
  </si>
  <si>
    <t>Melting_Curves/meltCurve_Q2NL98_VMAC.pdf</t>
  </si>
  <si>
    <t>Melting_Curves/meltCurve_Q2PPJ7_3_RALGAPA2.pdf</t>
  </si>
  <si>
    <t>Melting_Curves/meltCurve_Q2TAC2_2_CCDC57.pdf</t>
  </si>
  <si>
    <t>Melting_Curves/meltCurve_Q2TAL8_QRICH1.pdf</t>
  </si>
  <si>
    <t>Melting_Curves/meltCurve_Q2TAM5_RELA.pdf</t>
  </si>
  <si>
    <t>Melting_Curves/meltCurve_Q2TAY7_SMU1.pdf</t>
  </si>
  <si>
    <t>Melting_Curves/meltCurve_Q2TAZ0_ATG2A.pdf</t>
  </si>
  <si>
    <t>Melting_Curves/meltCurve_Q2TB10_ZNF800.pdf</t>
  </si>
  <si>
    <t>Melting_Curves/meltCurve_Q2TBE0_CWF19L2.pdf</t>
  </si>
  <si>
    <t>Melting_Curves/meltCurve_Q2VPK5_CTU2.pdf</t>
  </si>
  <si>
    <t>Melting_Curves/meltCurve_Q2YD98_2_UVSSA.pdf</t>
  </si>
  <si>
    <t>Melting_Curves/meltCurve_Q32M88_ATHL1.pdf</t>
  </si>
  <si>
    <t>Melting_Curves/meltCurve_Q32MK0_MYLK3.pdf</t>
  </si>
  <si>
    <t>Melting_Curves/meltCurve_Q32MZ4_2_LRRFIP1.pdf</t>
  </si>
  <si>
    <t>Melting_Curves/meltCurve_Q32MZ4_3_LRRFIP1.pdf</t>
  </si>
  <si>
    <t>Melting_Curves/meltCurve_Q32N00_POLD3.pdf</t>
  </si>
  <si>
    <t>Melting_Curves/meltCurve_Q32P28_LEPRE1.pdf</t>
  </si>
  <si>
    <t>Melting_Curves/meltCurve_Q32P41_TRMT5.pdf</t>
  </si>
  <si>
    <t>Melting_Curves/meltCurve_Q32P44_EML3.pdf</t>
  </si>
  <si>
    <t>Melting_Curves/meltCurve_Q3B726_TWISTNB.pdf</t>
  </si>
  <si>
    <t>Melting_Curves/meltCurve_Q3KQU3_2_MAP7D1.pdf</t>
  </si>
  <si>
    <t>Melting_Curves/meltCurve_Q3KQV3_ZNF792.pdf</t>
  </si>
  <si>
    <t>Melting_Curves/meltCurve_Q3L8U1_2_CHD9.pdf</t>
  </si>
  <si>
    <t>Melting_Curves/meltCurve_Q3LXA3_DAK.pdf</t>
  </si>
  <si>
    <t>Melting_Curves/meltCurve_Q3MHD2_LSM12.pdf</t>
  </si>
  <si>
    <t>Melting_Curves/meltCurve_Q3MII6_TBC1D25.pdf</t>
  </si>
  <si>
    <t>Melting_Curves/meltCurve_Q3MIT2_PUS10.pdf</t>
  </si>
  <si>
    <t>Melting_Curves/meltCurve_Q3SXM5_HSDL1.pdf</t>
  </si>
  <si>
    <t>Melting_Curves/meltCurve_Q3SXZ3_ZNF718.pdf</t>
  </si>
  <si>
    <t>Melting_Curves/meltCurve_Q3SY69_ALDH1L2.pdf</t>
  </si>
  <si>
    <t>Melting_Curves/meltCurve_Q3T8J9_3_GON4L.pdf</t>
  </si>
  <si>
    <t>Melting_Curves/meltCurve_Q3V6T2_2_CCDC88A.pdf</t>
  </si>
  <si>
    <t>Melting_Curves/meltCurve_Q3V6T2_5_CCDC88A.pdf</t>
  </si>
  <si>
    <t>Melting_Curves/meltCurve_Q3YEC7_RABL6.pdf</t>
  </si>
  <si>
    <t>Melting_Curves/meltCurve_Q3ZCM7_TUBB8.pdf</t>
  </si>
  <si>
    <t>Melting_Curves/meltCurve_Q3ZCV1_USP38.pdf</t>
  </si>
  <si>
    <t>Melting_Curves/meltCurve_Q499Z4_ZNF672.pdf</t>
  </si>
  <si>
    <t>Melting_Curves/meltCurve_Q49A26_2_GLYR1.pdf</t>
  </si>
  <si>
    <t>Melting_Curves/meltCurve_Q49AN0_2_CRY2.pdf</t>
  </si>
  <si>
    <t>Melting_Curves/meltCurve_Q49AR2_C5orf22.pdf</t>
  </si>
  <si>
    <t>Melting_Curves/meltCurve_Q49B96_COX19.pdf</t>
  </si>
  <si>
    <t>Melting_Curves/meltCurve_Q4G0A6_FAM188B.pdf</t>
  </si>
  <si>
    <t>Melting_Curves/meltCurve_Q4G0F5_VPS26B.pdf</t>
  </si>
  <si>
    <t>Melting_Curves/meltCurve_Q4G0J3_LARP7.pdf</t>
  </si>
  <si>
    <t>Melting_Curves/meltCurve_Q4G0N4_NADKD1.pdf</t>
  </si>
  <si>
    <t>Melting_Curves/meltCurve_Q4G0W3_COL14A1.pdf</t>
  </si>
  <si>
    <t>Melting_Curves/meltCurve_Q4G176_ACSF3.pdf</t>
  </si>
  <si>
    <t>Melting_Curves/meltCurve_Q4J6C6_4_PREPL.pdf</t>
  </si>
  <si>
    <t>Melting_Curves/meltCurve_Q4KMP7_TBC1D10B.pdf</t>
  </si>
  <si>
    <t>Melting_Curves/meltCurve_Q4KWH8_3_PLCH1.pdf</t>
  </si>
  <si>
    <t>Melting_Curves/meltCurve_Q4LE39_2_ARID4B.pdf</t>
  </si>
  <si>
    <t>Melting_Curves/meltCurve_Q4V328_GRIPAP1.pdf</t>
  </si>
  <si>
    <t>Melting_Curves/meltCurve_Q4VC05_BCL7A.pdf</t>
  </si>
  <si>
    <t>Melting_Curves/meltCurve_Q4VC05_2_BCL7A.pdf</t>
  </si>
  <si>
    <t>Melting_Curves/meltCurve_Q4VC44_FLYWCH1.pdf</t>
  </si>
  <si>
    <t>Melting_Curves/meltCurve_Q4W8S1_ZNF298.pdf</t>
  </si>
  <si>
    <t>Melting_Curves/meltCurve_Q504Q3_2_PAN2.pdf</t>
  </si>
  <si>
    <t>Melting_Curves/meltCurve_Q504U8_EGFR.pdf</t>
  </si>
  <si>
    <t>Melting_Curves/meltCurve_Q52LJ0_2_FAM98B.pdf</t>
  </si>
  <si>
    <t>Melting_Curves/meltCurve_Q52LR7_EPC2.pdf</t>
  </si>
  <si>
    <t>Melting_Curves/meltCurve_Q53EL6_2_PDCD4.pdf</t>
  </si>
  <si>
    <t>Melting_Curves/meltCurve_Q53ET0_CRTC2.pdf</t>
  </si>
  <si>
    <t>Melting_Curves/meltCurve_Q53EZ4_CEP55.pdf</t>
  </si>
  <si>
    <t>Melting_Curves/meltCurve_Q53F19_C17orf85.pdf</t>
  </si>
  <si>
    <t>Melting_Curves/meltCurve_Q53FA7_TP53I3.pdf</t>
  </si>
  <si>
    <t>Melting_Curves/meltCurve_Q53FT3_C11orf73.pdf</t>
  </si>
  <si>
    <t>Melting_Curves/meltCurve_Q53FZ2_ACSM3.pdf</t>
  </si>
  <si>
    <t>Melting_Curves/meltCurve_Q53H47_SETMAR.pdf</t>
  </si>
  <si>
    <t>Melting_Curves/meltCurve_Q53H54_TRMT12.pdf</t>
  </si>
  <si>
    <t>Melting_Curves/meltCurve_Q53H82_LACTB2.pdf</t>
  </si>
  <si>
    <t>Melting_Curves/meltCurve_Q53H96_PYCRL.pdf</t>
  </si>
  <si>
    <t>Melting_Curves/meltCurve_Q53HC5_KLHL26.pdf</t>
  </si>
  <si>
    <t>Melting_Curves/meltCurve_Q53HC9_TSSC1.pdf</t>
  </si>
  <si>
    <t>Melting_Curves/meltCurve_Q53HL2_CDCA8.pdf</t>
  </si>
  <si>
    <t>Melting_Curves/meltCurve_Q53HV7_SMUG1.pdf</t>
  </si>
  <si>
    <t>Melting_Curves/meltCurve_Q53LP3_SOWAHC.pdf</t>
  </si>
  <si>
    <t>Melting_Curves/meltCurve_Q53QZ3_ARHGAP15.pdf</t>
  </si>
  <si>
    <t>Melting_Curves/meltCurve_Q53R41_2_FASTKD1.pdf</t>
  </si>
  <si>
    <t>Melting_Curves/meltCurve_Q53S33_BOLA3.pdf</t>
  </si>
  <si>
    <t>Melting_Curves/meltCurve_Q53T59_HS1BP3.pdf</t>
  </si>
  <si>
    <t>Melting_Curves/meltCurve_Q562E7_WDR81.pdf</t>
  </si>
  <si>
    <t>Melting_Curves/meltCurve_Q562F6_2_SGOL2.pdf</t>
  </si>
  <si>
    <t>Melting_Curves/meltCurve_Q567Q0_PPIA.pdf</t>
  </si>
  <si>
    <t>Melting_Curves/meltCurve_Q56A73_SPIN4.pdf</t>
  </si>
  <si>
    <t>Melting_Curves/meltCurve_Q56NI9_ESCO2.pdf</t>
  </si>
  <si>
    <t>Melting_Curves/meltCurve_Q58A45_3_PAN3.pdf</t>
  </si>
  <si>
    <t>Melting_Curves/meltCurve_Q58EX7_2_PLEKHG4.pdf</t>
  </si>
  <si>
    <t>Melting_Curves/meltCurve_Q58FF8_HSP90AB2P.pdf</t>
  </si>
  <si>
    <t>Melting_Curves/meltCurve_Q58FG1_HSP90AA4P.pdf</t>
  </si>
  <si>
    <t>Melting_Curves/meltCurve_Q58WW2_DCAF6.pdf</t>
  </si>
  <si>
    <t>Melting_Curves/meltCurve_Q59GN2_RPL39P5.pdf</t>
  </si>
  <si>
    <t>Melting_Curves/meltCurve_Q5BKU9_OXLD1.pdf</t>
  </si>
  <si>
    <t>Melting_Curves/meltCurve_Q5BKX5_C19orf54.pdf</t>
  </si>
  <si>
    <t>Melting_Curves/meltCurve_Q5BKZ1_ZNF326.pdf</t>
  </si>
  <si>
    <t>Melting_Curves/meltCurve_Q5C9Z4_NOM1.pdf</t>
  </si>
  <si>
    <t>Melting_Curves/meltCurve_Q5D0E6_2_DALRD3.pdf</t>
  </si>
  <si>
    <t>Melting_Curves/meltCurve_Q5D862_FLG2.pdf</t>
  </si>
  <si>
    <t>Melting_Curves/meltCurve_Q5EBL4_RILPL1.pdf</t>
  </si>
  <si>
    <t>Melting_Curves/meltCurve_Q5EBL8_PDZD11.pdf</t>
  </si>
  <si>
    <t>Melting_Curves/meltCurve_Q5EBM0_CMPK2.pdf</t>
  </si>
  <si>
    <t>Melting_Curves/meltCurve_Q5F1R6_DNAJC21.pdf</t>
  </si>
  <si>
    <t>Melting_Curves/meltCurve_Q5FBB7_5_SGOL1.pdf</t>
  </si>
  <si>
    <t>Melting_Curves/meltCurve_Q5FWF4_2_ZRANB3.pdf</t>
  </si>
  <si>
    <t>Melting_Curves/meltCurve_Q5FWF5_ESCO1.pdf</t>
  </si>
  <si>
    <t>Melting_Curves/meltCurve_Q5GLZ8_2_HERC4.pdf</t>
  </si>
  <si>
    <t>Melting_Curves/meltCurve_Q5H937_PKIG.pdf</t>
  </si>
  <si>
    <t>Melting_Curves/meltCurve_Q5H9A7_TIMP1.pdf</t>
  </si>
  <si>
    <t>Melting_Curves/meltCurve_Q5HYC2_2_KIAA2026.pdf</t>
  </si>
  <si>
    <t>Melting_Curves/meltCurve_Q5JP53_TUBB.pdf</t>
  </si>
  <si>
    <t>Melting_Curves/meltCurve_Q5JPE7_2_NOMO2.pdf</t>
  </si>
  <si>
    <t>Melting_Curves/meltCurve_Q5JPI3_2_C3orf38.pdf</t>
  </si>
  <si>
    <t>Melting_Curves/meltCurve_Q5JPI9_METTL10.pdf</t>
  </si>
  <si>
    <t>Melting_Curves/meltCurve_Q5JR08_RHOC.pdf</t>
  </si>
  <si>
    <t>Melting_Curves/meltCurve_Q5JRA6_2_MIA3.pdf</t>
  </si>
  <si>
    <t>Melting_Curves/meltCurve_Q5JRG1_NUPL1.pdf</t>
  </si>
  <si>
    <t>Melting_Curves/meltCurve_Q5JRL0_PAGE2B.pdf</t>
  </si>
  <si>
    <t>Melting_Curves/meltCurve_Q5JRX3_PITRM1.pdf</t>
  </si>
  <si>
    <t>Melting_Curves/meltCurve_Q5JS37_2_NHLRC3.pdf</t>
  </si>
  <si>
    <t>Melting_Curves/meltCurve_Q5JS54_PSMG4.pdf</t>
  </si>
  <si>
    <t>Melting_Curves/meltCurve_Q5JSB5_TFDP1.pdf</t>
  </si>
  <si>
    <t>Melting_Curves/meltCurve_Q5JSH3_2_WDR44.pdf</t>
  </si>
  <si>
    <t>Melting_Curves/meltCurve_Q5JSL3_DOCK11.pdf</t>
  </si>
  <si>
    <t>Melting_Curves/meltCurve_Q5JSZ5_PRRC2B.pdf</t>
  </si>
  <si>
    <t>Melting_Curves/meltCurve_Q5JTD0_2_TJAP1.pdf</t>
  </si>
  <si>
    <t>Melting_Curves/meltCurve_Q5JTH9_RRP12.pdf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</si>
  <si>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</si>
  <si>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</si>
  <si>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</si>
  <si>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</si>
  <si>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Melting_Curves/meltCurve_Q5JU21_FPGS.pdf</t>
  </si>
  <si>
    <t>Melting_Curves/meltCurve_Q5JU85_3_IQSEC2.pdf</t>
  </si>
  <si>
    <t>Melting_Curves/meltCurve_Q5JUL1_PAGE5.pdf</t>
  </si>
  <si>
    <t>Melting_Curves/meltCurve_Q5JUR7_TEX30.pdf</t>
  </si>
  <si>
    <t>Melting_Curves/meltCurve_Q5JVF3_3_PCID2.pdf</t>
  </si>
  <si>
    <t>Melting_Curves/meltCurve_Q5JVZ5_ELMO2.pdf</t>
  </si>
  <si>
    <t>Melting_Curves/meltCurve_Q5JW30_STAU1.pdf</t>
  </si>
  <si>
    <t>Melting_Curves/meltCurve_Q5JW85_GSTA3.pdf</t>
  </si>
  <si>
    <t>Melting_Curves/meltCurve_Q5JXC2_MIIP.pdf</t>
  </si>
  <si>
    <t>Melting_Curves/meltCurve_Q5K651_SAMD9.pdf</t>
  </si>
  <si>
    <t>Melting_Curves/meltCurve_Q5LJA5_UCHL5.pdf</t>
  </si>
  <si>
    <t>Melting_Curves/meltCurve_Q5M775_4_SPECC1.pdf</t>
  </si>
  <si>
    <t>Melting_Curves/meltCurve_Q5MIZ7_2_SMEK2.pdf</t>
  </si>
  <si>
    <t>Melting_Curves/meltCurve_Q5MNZ6_WDR45B.pdf</t>
  </si>
  <si>
    <t>Melting_Curves/meltCurve_Q5Q9G8_POLK.pdf</t>
  </si>
  <si>
    <t>Melting_Curves/meltCurve_Q5QNY5_PEX19.pdf</t>
  </si>
  <si>
    <t>Melting_Curves/meltCurve_Q5QNZ2_ATP5F1.pdf</t>
  </si>
  <si>
    <t>Melting_Curves/meltCurve_Q5QP56_BCL2L1.pdf</t>
  </si>
  <si>
    <t>Melting_Curves/meltCurve_Q5QP82_DCAF10.pdf</t>
  </si>
  <si>
    <t>Melting_Curves/meltCurve_Q5QPL9_RALY.pdf</t>
  </si>
  <si>
    <t>Melting_Curves/meltCurve_Q5QPM7_PSMF1.pdf</t>
  </si>
  <si>
    <t>Melting_Curves/meltCurve_Q5R372_4_RABGAP1L.pdf</t>
  </si>
  <si>
    <t>Melting_Curves/meltCurve_Q5R372_7_RABGAP1L.pdf</t>
  </si>
  <si>
    <t>Melting_Curves/meltCurve_Q5R3I4_TTC38.pdf</t>
  </si>
  <si>
    <t>Melting_Curves/meltCurve_Q5RKV6_EXOSC6.pdf</t>
  </si>
  <si>
    <t>Melting_Curves/meltCurve_Q5SNT6_FAM21B.pdf</t>
  </si>
  <si>
    <t>Melting_Curves/meltCurve_Q5SNW6_MTHFR.pdf</t>
  </si>
  <si>
    <t>Melting_Curves/meltCurve_Q5SQM6_NUDT13.pdf</t>
  </si>
  <si>
    <t>Melting_Curves/meltCurve_Q5SRE5_NUP188.pdf</t>
  </si>
  <si>
    <t>Melting_Curves/meltCurve_Q5SRN1_CDC40.pdf</t>
  </si>
  <si>
    <t>Melting_Curves/meltCurve_Q5SSJ5_HP1BP3.pdf</t>
  </si>
  <si>
    <t>Melting_Curves/meltCurve_Q5ST30_VARS2.pdf</t>
  </si>
  <si>
    <t>Melting_Curves/meltCurve_Q5SVZ6_ZMYM1.pdf</t>
  </si>
  <si>
    <t>Melting_Curves/meltCurve_Q5SW79_CEP170.pdf</t>
  </si>
  <si>
    <t>Melting_Curves/meltCurve_Q5SW79_2_CEP170.pdf</t>
  </si>
  <si>
    <t>Melting_Curves/meltCurve_Q5SW96_LDLRAP1.pdf</t>
  </si>
  <si>
    <t>Melting_Curves/meltCurve_Q5SX86_GDI2.pdf</t>
  </si>
  <si>
    <t>Melting_Curves/meltCurve_Q5SXM2_SNAPC4.pdf</t>
  </si>
  <si>
    <t>Melting_Curves/meltCurve_Q5SXM8_DNLZ.pdf</t>
  </si>
  <si>
    <t>Melting_Curves/meltCurve_Q5SY16_NOL9.pdf</t>
  </si>
  <si>
    <t>Melting_Curves/meltCurve_Q5SY21_ZBTB48.pdf</t>
  </si>
  <si>
    <t>Melting_Curves/meltCurve_Q5T011_5_SZT2.pdf</t>
  </si>
  <si>
    <t>Melting_Curves/meltCurve_Q5T0N5_3_FNBP1L.pdf</t>
  </si>
  <si>
    <t>Melting_Curves/meltCurve_Q5T123_SH3BGRL3.pdf</t>
  </si>
  <si>
    <t>Melting_Curves/meltCurve_Q5T160_RARS2.pdf</t>
  </si>
  <si>
    <t>Melting_Curves/meltCurve_Q5T171_PYGO2.pdf</t>
  </si>
  <si>
    <t>Melting_Curves/meltCurve_Q5T1C6_THEM4.pdf</t>
  </si>
  <si>
    <t>Melting_Curves/meltCurve_Q5T1M5_FKBP15.pdf</t>
  </si>
  <si>
    <t>Melting_Curves/meltCurve_Q5T1M5_2_FKBP15.pdf</t>
  </si>
  <si>
    <t>Melting_Curves/meltCurve_Q5T1V6_DDX59.pdf</t>
  </si>
  <si>
    <t>Melting_Curves/meltCurve_Q5T200_ZC3H13.pdf</t>
  </si>
  <si>
    <t>Melting_Curves/meltCurve_Q5T250_HSD17B7.pdf</t>
  </si>
  <si>
    <t>Melting_Curves/meltCurve_Q5T280_C9orf114.pdf</t>
  </si>
  <si>
    <t>Melting_Curves/meltCurve_Q5T2D3_OTUD3.pdf</t>
  </si>
  <si>
    <t>Melting_Curves/meltCurve_Q5T2J3_BCKDHB.pdf</t>
  </si>
  <si>
    <t>Melting_Curves/meltCurve_Q5T321_NBEA.pdf</t>
  </si>
  <si>
    <t>Melting_Curves/meltCurve_Q5T3I0_GPATCH4.pdf</t>
  </si>
  <si>
    <t>Melting_Curves/meltCurve_Q5T3J3_LRIF1.pdf</t>
  </si>
  <si>
    <t>Melting_Curves/meltCurve_Q5T427_ZNF438.pdf</t>
  </si>
  <si>
    <t>Melting_Curves/meltCurve_Q5T440_IBA57.pdf</t>
  </si>
  <si>
    <t>Melting_Curves/meltCurve_Q5T447_HECTD3.pdf</t>
  </si>
  <si>
    <t>Melting_Curves/meltCurve_Q5T4S7_3_UBR4.pdf</t>
  </si>
  <si>
    <t>Melting_Curves/meltCurve_Q5T5C0_3_STXBP5.pdf</t>
  </si>
  <si>
    <t>Melting_Curves/meltCurve_Q5T5U3_ARHGAP21.pdf</t>
  </si>
  <si>
    <t>Melting_Curves/meltCurve_Q5T5X7_BEND3.pdf</t>
  </si>
  <si>
    <t>Melting_Curves/meltCurve_Q5T5Y3_CAMSAP1.pdf</t>
  </si>
  <si>
    <t>Melting_Curves/meltCurve_Q5T6A0_CEP57L1.pdf</t>
  </si>
  <si>
    <t>Melting_Curves/meltCurve_Q5T6C5_ATXN7L2.pdf</t>
  </si>
  <si>
    <t>Melting_Curves/meltCurve_Q5T6F0_DCAF12.pdf</t>
  </si>
  <si>
    <t>Melting_Curves/meltCurve_Q5T6F2_UBAP2.pdf</t>
  </si>
  <si>
    <t>Melting_Curves/meltCurve_Q5T6V5_C9orf64.pdf</t>
  </si>
  <si>
    <t>Melting_Curves/meltCurve_Q5T749_KPRP.pdf</t>
  </si>
  <si>
    <t>Melting_Curves/meltCurve_Q5T7A2_ADCK3.pdf</t>
  </si>
  <si>
    <t>Melting_Curves/meltCurve_Q5T7V8_GORAB.pdf</t>
  </si>
  <si>
    <t>Melting_Curves/meltCurve_Q5T8A7_PPP1R26.pdf</t>
  </si>
  <si>
    <t>Melting_Curves/meltCurve_Q5T8I3_FAM102B.pdf</t>
  </si>
  <si>
    <t>Melting_Curves/meltCurve_Q5T8P6_3_RBM26.pdf</t>
  </si>
  <si>
    <t>Melting_Curves/meltCurve_Q5T985_.pdf</t>
  </si>
  <si>
    <t>Melting_Curves/meltCurve_Q5T9S5_2_CCDC18.pdf</t>
  </si>
  <si>
    <t>Melting_Curves/meltCurve_Q5TA12_DOPEY1.pdf</t>
  </si>
  <si>
    <t>Melting_Curves/meltCurve_Q5TA31_RNF187.pdf</t>
  </si>
  <si>
    <t>Melting_Curves/meltCurve_Q5TA45_3_CPSF3L.pdf</t>
  </si>
  <si>
    <t>Melting_Curves/meltCurve_Q5TA50_GLTPD1.pdf</t>
  </si>
  <si>
    <t>Melting_Curves/meltCurve_Q5TA58_AGO1.pdf</t>
  </si>
  <si>
    <t>Melting_Curves/meltCurve_Q5TAP6_UTP14C.pdf</t>
  </si>
  <si>
    <t>Melting_Curves/meltCurve_Q5TAQ0_MNF1.pdf</t>
  </si>
  <si>
    <t>Melting_Curves/meltCurve_Q5TAX3_ZCCHC11.pdf</t>
  </si>
  <si>
    <t>Melting_Curves/meltCurve_Q5TB80_2_KIAA1009.pdf</t>
  </si>
  <si>
    <t>Melting_Curves/meltCurve_Q5TBB1_RNASEH2B.pdf</t>
  </si>
  <si>
    <t>Melting_Curves/meltCurve_Q5TBP9_LSM14B.pdf</t>
  </si>
  <si>
    <t>Melting_Curves/meltCurve_Q5TC12_ATPAF1.pdf</t>
  </si>
  <si>
    <t>Melting_Curves/meltCurve_Q5TC79_ZBTB37.pdf</t>
  </si>
  <si>
    <t>Melting_Curves/meltCurve_Q5TC82_RC3H1.pdf</t>
  </si>
  <si>
    <t>Melting_Curves/meltCurve_Q5TCQ9_3_MAGI3.pdf</t>
  </si>
  <si>
    <t>Melting_Curves/meltCurve_Q5TCU3_TPM2.pdf</t>
  </si>
  <si>
    <t>Melting_Curves/meltCurve_Q5TDC2_MTCH1.pdf</t>
  </si>
  <si>
    <t>Melting_Curves/meltCurve_Q5TDH0_DDI2.pdf</t>
  </si>
  <si>
    <t>Melting_Curves/meltCurve_Q5TEC3_ZNF697.pdf</t>
  </si>
  <si>
    <t>Melting_Curves/meltCurve_Q5TEJ8_THEMIS2.pdf</t>
  </si>
  <si>
    <t>Melting_Curves/meltCurve_Q5TEU4_2_NDUFAF5.pdf</t>
  </si>
  <si>
    <t>Melting_Curves/meltCurve_Q5TFE4_NT5DC1.pdf</t>
  </si>
  <si>
    <t>Melting_Curves/meltCurve_Q5TGY3_AHDC1.pdf</t>
  </si>
  <si>
    <t>Melting_Curves/meltCurve_Q5THJ1_PRDM2.pdf</t>
  </si>
  <si>
    <t>Melting_Curves/meltCurve_Q5THJ4_2_VPS13D.pdf</t>
  </si>
  <si>
    <t>Melting_Curves/meltCurve_Q5THK1_PRR14L.pdf</t>
  </si>
  <si>
    <t>Melting_Curves/meltCurve_Q5TZA2_CROCC.pdf</t>
  </si>
  <si>
    <t>Melting_Curves/meltCurve_Q5U5Q3_MEX3C.pdf</t>
  </si>
  <si>
    <t>Melting_Curves/meltCurve_Q5U5X0_LYRM7.pdf</t>
  </si>
  <si>
    <t>Melting_Curves/meltCurve_Q5U623_ATF7IP2.pdf</t>
  </si>
  <si>
    <t>Melting_Curves/meltCurve_Q5UIP0_2_RIF1.pdf</t>
  </si>
  <si>
    <t>Melting_Curves/meltCurve_Q5VIR6_4_VPS53.pdf</t>
  </si>
  <si>
    <t>Melting_Curves/meltCurve_Q5VSL9_STRIP1.pdf</t>
  </si>
  <si>
    <t>Melting_Curves/meltCurve_Q5VSY0_2_GKAP1.pdf</t>
  </si>
  <si>
    <t>Melting_Curves/meltCurve_Q5VT06_CEP350.pdf</t>
  </si>
  <si>
    <t>Melting_Curves/meltCurve_Q5VT25_4_CDC42BPA.pdf</t>
  </si>
  <si>
    <t>Melting_Curves/meltCurve_Q5VT52_RPRD2.pdf</t>
  </si>
  <si>
    <t>Melting_Curves/meltCurve_Q5VTD9_2_GFI1B.pdf</t>
  </si>
  <si>
    <t>Melting_Curves/meltCurve_Q5VTL8_PRPF38B.pdf</t>
  </si>
  <si>
    <t>Melting_Curves/meltCurve_Q5VTR2_RNF20.pdf</t>
  </si>
  <si>
    <t>Melting_Curves/meltCurve_Q5VTU3_DYNLT1.pdf</t>
  </si>
  <si>
    <t>Melting_Curves/meltCurve_Q5VU43_3_PDE4DIP.pdf</t>
  </si>
  <si>
    <t>Melting_Curves/meltCurve_Q5VU58_TPM3.pdf</t>
  </si>
  <si>
    <t>Melting_Curves/meltCurve_Q5VUA4_ZNF318.pdf</t>
  </si>
  <si>
    <t>Melting_Curves/meltCurve_Q5VV41_ARHGEF16.pdf</t>
  </si>
  <si>
    <t>Melting_Curves/meltCurve_Q5VV42_CDKAL1.pdf</t>
  </si>
  <si>
    <t>Melting_Curves/meltCurve_Q5VV52_2_ZNF691.pdf</t>
  </si>
  <si>
    <t>Melting_Curves/meltCurve_Q5VV67_2_PPRC1.pdf</t>
  </si>
  <si>
    <t>Melting_Curves/meltCurve_Q5VVD7_PLEKHM2.pdf</t>
  </si>
  <si>
    <t>Melting_Curves/meltCurve_Q5VVJ2_MYSM1.pdf</t>
  </si>
  <si>
    <t>Melting_Curves/meltCurve_Q5VVL7_DBT.pdf</t>
  </si>
  <si>
    <t>Melting_Curves/meltCurve_Q5VVQ6_YOD1.pdf</t>
  </si>
  <si>
    <t>Melting_Curves/meltCurve_Q5VW00_DCAF12L2.pdf</t>
  </si>
  <si>
    <t>Melting_Curves/meltCurve_Q5VW32_BROX.pdf</t>
  </si>
  <si>
    <t>Melting_Curves/meltCurve_Q5VWG9_TAF3.pdf</t>
  </si>
  <si>
    <t>Melting_Curves/meltCurve_Q5VWJ9_SNX30.pdf</t>
  </si>
  <si>
    <t>Melting_Curves/meltCurve_Q5VWN6_FAM208B.pdf</t>
  </si>
  <si>
    <t>Melting_Curves/meltCurve_Q5VWP2_FAM46C.pdf</t>
  </si>
  <si>
    <t>Melting_Curves/meltCurve_Q5VWQ0_RSBN1.pdf</t>
  </si>
  <si>
    <t>Melting_Curves/meltCurve_Q5VWZ2_LYPLAL1.pdf</t>
  </si>
  <si>
    <t>Melting_Curves/meltCurve_Q5VXM9_RPF2.pdf</t>
  </si>
  <si>
    <t>Melting_Curves/meltCurve_Q5VYK3_ECM29.pdf</t>
  </si>
  <si>
    <t>Melting_Curves/meltCurve_Q5VYS8_6_ZCCHC6.pdf</t>
  </si>
  <si>
    <t>Melting_Curves/meltCurve_Q5VYV7_SLX4IP.pdf</t>
  </si>
  <si>
    <t>Melting_Curves/meltCurve_Q5VZE5_NAA35.pdf</t>
  </si>
  <si>
    <t>Melting_Curves/meltCurve_Q5VZK9_LRRC16A.pdf</t>
  </si>
  <si>
    <t>Melting_Curves/meltCurve_Q5VZL5_4_ZMYM4.pdf</t>
  </si>
  <si>
    <t>Melting_Curves/meltCurve_Q5W0B1_RNF219.pdf</t>
  </si>
  <si>
    <t>Melting_Curves/meltCurve_Q5W0V3_FAM160B1.pdf</t>
  </si>
  <si>
    <t>Melting_Curves/meltCurve_Q5W111_2_SPRYD7.pdf</t>
  </si>
  <si>
    <t>Melting_Curves/meltCurve_Q5XLC2_PFKFB4.pdf</t>
  </si>
  <si>
    <t>Melting_Curves/meltCurve_Q5XPI4_RNF123.pdf</t>
  </si>
  <si>
    <t>Melting_Curves/meltCurve_Q5XUX1_3_FBXW9.pdf</t>
  </si>
  <si>
    <t>Melting_Curves/meltCurve_Q63HM1_AFMID.pdf</t>
  </si>
  <si>
    <t>Melting_Curves/meltCurve_Q63HN8_RNF213.pdf</t>
  </si>
  <si>
    <t>Melting_Curves/meltCurve_Q63HQ0_AP1AR.pdf</t>
  </si>
  <si>
    <t>Melting_Curves/meltCurve_Q63ZY3_3_KANK2.pdf</t>
  </si>
  <si>
    <t>Melting_Curves/meltCurve_Q658Y4_FAM91A1.pdf</t>
  </si>
  <si>
    <t>Melting_Curves/meltCurve_Q659A1_NARG2.pdf</t>
  </si>
  <si>
    <t>Melting_Curves/meltCurve_Q659C4_LARP1B.pdf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</si>
  <si>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</si>
  <si>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</si>
  <si>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</si>
  <si>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</si>
  <si>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</si>
  <si>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Melting_Curves/meltCurve_Q676U5_2_ATG16L1.pdf</t>
  </si>
  <si>
    <t>Melting_Curves/meltCurve_Q68CP9_ARID2.pdf</t>
  </si>
  <si>
    <t>Melting_Curves/meltCurve_Q68CQ4_DIEXF.pdf</t>
  </si>
  <si>
    <t>Melting_Curves/meltCurve_Q68CZ6_HAUS3.pdf</t>
  </si>
  <si>
    <t>Melting_Curves/meltCurve_Q68D10_SPTY2D1.pdf</t>
  </si>
  <si>
    <t>Melting_Curves/meltCurve_Q68D20_PMS2CL.pdf</t>
  </si>
  <si>
    <t>Melting_Curves/meltCurve_Q68DK2_2_ZFYVE26.pdf</t>
  </si>
  <si>
    <t>Melting_Curves/meltCurve_Q68DQ2_CRYBG3.pdf</t>
  </si>
  <si>
    <t>Melting_Curves/meltCurve_Q68DS0_DKFZp781N011.pdf</t>
  </si>
  <si>
    <t>Melting_Curves/meltCurve_Q68E01_2_INTS3.pdf</t>
  </si>
  <si>
    <t>Melting_Curves/meltCurve_Q68EM7_ARHGAP17.pdf</t>
  </si>
  <si>
    <t>Melting_Curves/meltCurve_Q69YN2_CWF19L1.pdf</t>
  </si>
  <si>
    <t>Melting_Curves/meltCurve_Q69YN4_3_KIAA1429.pdf</t>
  </si>
  <si>
    <t>Melting_Curves/meltCurve_Q69YQ0_2_SPECC1L.pdf</t>
  </si>
  <si>
    <t>Melting_Curves/meltCurve_Q6AHZ1_ZNF518A.pdf</t>
  </si>
  <si>
    <t>Melting_Curves/meltCurve_Q6AI08_HEATR6.pdf</t>
  </si>
  <si>
    <t>Melting_Curves/meltCurve_Q6AI12_ANKRD40.pdf</t>
  </si>
  <si>
    <t>Melting_Curves/meltCurve_Q6AI39_GLTSCR1L.pdf</t>
  </si>
  <si>
    <t>Melting_Curves/meltCurve_Q6AWC2_3_WWC2.pdf</t>
  </si>
  <si>
    <t>Melting_Curves/meltCurve_Q6BCY4_CYB5R2.pdf</t>
  </si>
  <si>
    <t>Melting_Curves/meltCurve_Q6BDS2_UHRF1BP1.pdf</t>
  </si>
  <si>
    <t>Melting_Curves/meltCurve_Q6DCA0_AMMECR1L.pdf</t>
  </si>
  <si>
    <t>Melting_Curves/meltCurve_Q6DD87_ZNF787.pdf</t>
  </si>
  <si>
    <t>Melting_Curves/meltCurve_Q6DHV7_3_ADAL.pdf</t>
  </si>
  <si>
    <t>Melting_Curves/meltCurve_Q6DKI1_RPL7L1.pdf</t>
  </si>
  <si>
    <t>Melting_Curves/meltCurve_Q6DKJ4_NXN.pdf</t>
  </si>
  <si>
    <t>Melting_Curves/meltCurve_Q6DKK2_TTC19.pdf</t>
  </si>
  <si>
    <t>Melting_Curves/meltCurve_Q6DN90_2_IQSEC1.pdf</t>
  </si>
  <si>
    <t>Melting_Curves/meltCurve_Q6DT37_CDC42BPG.pdf</t>
  </si>
  <si>
    <t>Melting_Curves/meltCurve_Q6EEV4_2_POLR2M.pdf</t>
  </si>
  <si>
    <t>Melting_Curves/meltCurve_Q6EMK4_VASN.pdf</t>
  </si>
  <si>
    <t>Melting_Curves/meltCurve_Q6F5E8_RLTPR.pdf</t>
  </si>
  <si>
    <t>Melting_Curves/meltCurve_Q6FI81_3_CIAPIN1.pdf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</si>
  <si>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</si>
  <si>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</si>
  <si>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</si>
  <si>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</si>
  <si>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Melting_Curves/meltCurve_Q6GYQ0_RALGAPA1.pdf</t>
  </si>
  <si>
    <t>Melting_Curves/meltCurve_Q6I9Y2_THOC7.pdf</t>
  </si>
  <si>
    <t>Melting_Curves/meltCurve_Q6IA69_NADSYN1.pdf</t>
  </si>
  <si>
    <t>Melting_Curves/meltCurve_Q6IA86_3_ELP2.pdf</t>
  </si>
  <si>
    <t>Melting_Curves/meltCurve_Q6IAA8_LAMTOR1.pdf</t>
  </si>
  <si>
    <t>Melting_Curves/meltCurve_Q6IBS0_TWF2.pdf</t>
  </si>
  <si>
    <t>Melting_Curves/meltCurve_Q6IBW4_NCAPH2.pdf</t>
  </si>
  <si>
    <t>Melting_Curves/meltCurve_Q6ICB0_DESI1.pdf</t>
  </si>
  <si>
    <t>Melting_Curves/meltCurve_Q6ICL3_3_TANGO2.pdf</t>
  </si>
  <si>
    <t>Melting_Curves/meltCurve_Q6IE81_2_PHF17.pdf</t>
  </si>
  <si>
    <t>Melting_Curves/meltCurve_Q6IEG0_SNRNP48.pdf</t>
  </si>
  <si>
    <t>Melting_Curves/meltCurve_Q6IN84_MRM1.pdf</t>
  </si>
  <si>
    <t>Melting_Curves/meltCurve_Q6IN85_SMEK1.pdf</t>
  </si>
  <si>
    <t>Melting_Curves/meltCurve_Q6IPR1_LYRM5.pdf</t>
  </si>
  <si>
    <t>Melting_Curves/meltCurve_Q6IPR3_TYW3.pdf</t>
  </si>
  <si>
    <t>Melting_Curves/meltCurve_Q6IQ22_RAB12.pdf</t>
  </si>
  <si>
    <t>Melting_Curves/meltCurve_Q6IQ26_2_DENND5A.pdf</t>
  </si>
  <si>
    <t>Melting_Curves/meltCurve_Q6IQ49_2_SDE2.pdf</t>
  </si>
  <si>
    <t>Melting_Curves/meltCurve_Q6IQ55_2_TTBK2.pdf</t>
  </si>
  <si>
    <t>Melting_Curves/meltCurve_Q6JBY9_RCSD1.pdf</t>
  </si>
  <si>
    <t>Melting_Curves/meltCurve_Q6KC79_2_NIPBL.pdf</t>
  </si>
  <si>
    <t>Melting_Curves/meltCurve_Q6L8Q7_2_PDE12.pdf</t>
  </si>
  <si>
    <t>Melting_Curves/meltCurve_Q6MZP7_LIN54.pdf</t>
  </si>
  <si>
    <t>Melting_Curves/meltCurve_Q6MZP7_4_LIN54.pdf</t>
  </si>
  <si>
    <t>Melting_Curves/meltCurve_Q6N021_2_TET2.pdf</t>
  </si>
  <si>
    <t>Melting_Curves/meltCurve_Q6N043_2_ZNF280D.pdf</t>
  </si>
  <si>
    <t>Melting_Curves/meltCurve_Q6N063_OGFOD2.pdf</t>
  </si>
  <si>
    <t>Melting_Curves/meltCurve_Q6N069_NAA16.pdf</t>
  </si>
  <si>
    <t>Melting_Curves/meltCurve_Q6NS38_ALKBH2.pdf</t>
  </si>
  <si>
    <t>Melting_Curves/meltCurve_Q6NSB6_MKRN3.pdf</t>
  </si>
  <si>
    <t>Melting_Curves/meltCurve_Q6NSH3_CT45A5.pdf</t>
  </si>
  <si>
    <t>Melting_Curves/meltCurve_Q6NSJ2_PHLDB3.pdf</t>
  </si>
  <si>
    <t>Melting_Curves/meltCurve_Q6NSZ9_ZSCAN25.pdf</t>
  </si>
  <si>
    <t>Melting_Curves/meltCurve_Q6NT76_2_HMBOX1.pdf</t>
  </si>
  <si>
    <t>Melting_Curves/meltCurve_Q6NTE8_C5orf45.pdf</t>
  </si>
  <si>
    <t>Melting_Curves/meltCurve_Q6NUM6_TYW1B.pdf</t>
  </si>
  <si>
    <t>Melting_Curves/meltCurve_Q6NUQ4_2_TMEM214.pdf</t>
  </si>
  <si>
    <t>Melting_Curves/meltCurve_Q6NVU6_UFSP1.pdf</t>
  </si>
  <si>
    <t>Melting_Curves/meltCurve_Q6NVY1_HIBCH.pdf</t>
  </si>
  <si>
    <t>Melting_Curves/meltCurve_Q6NW34_2_C3orf17.pdf</t>
  </si>
  <si>
    <t>Melting_Curves/meltCurve_Q6NXE6_2_ARMC6.pdf</t>
  </si>
  <si>
    <t>Melting_Curves/meltCurve_Q6NXT1_ANKRD54.pdf</t>
  </si>
  <si>
    <t>Melting_Curves/meltCurve_Q6NYC8_PPP1R18.pdf</t>
  </si>
  <si>
    <t>Melting_Curves/meltCurve_Q6NZ36_3_FAAP20.pdf</t>
  </si>
  <si>
    <t>Melting_Curves/meltCurve_Q6NZI2_PTRF.pdf</t>
  </si>
  <si>
    <t>Melting_Curves/meltCurve_Q6NZY4_ZCCHC8.pdf</t>
  </si>
  <si>
    <t>Melting_Curves/meltCurve_Q6P052_MAN1A1.pdf</t>
  </si>
  <si>
    <t>Melting_Curves/meltCurve_Q6P087_2_RPUSD3.pdf</t>
  </si>
  <si>
    <t>Melting_Curves/meltCurve_Q6P0N0_MIS18BP1.pdf</t>
  </si>
  <si>
    <t>Melting_Curves/meltCurve_Q6P158_DHX57.pdf</t>
  </si>
  <si>
    <t>Melting_Curves/meltCurve_Q6P161_MRPL54.pdf</t>
  </si>
  <si>
    <t>Melting_Curves/meltCurve_Q6P1J9_CDC73.pdf</t>
  </si>
  <si>
    <t>Melting_Curves/meltCurve_Q6P1K2_PMF1.pdf</t>
  </si>
  <si>
    <t>Melting_Curves/meltCurve_Q6P1K8_GTF2H2C.pdf</t>
  </si>
  <si>
    <t>Melting_Curves/meltCurve_Q6P1L5_FAM117B.pdf</t>
  </si>
  <si>
    <t>Melting_Curves/meltCurve_Q6P1L8_MRPL14.pdf</t>
  </si>
  <si>
    <t>Melting_Curves/meltCurve_Q6P1M9_ARMCX5.pdf</t>
  </si>
  <si>
    <t>Melting_Curves/meltCurve_Q6P1N0_2_CC2D1A.pdf</t>
  </si>
  <si>
    <t>Melting_Curves/meltCurve_Q6P1N9_TATDN1.pdf</t>
  </si>
  <si>
    <t>Melting_Curves/meltCurve_Q6P1Q9_METTL2B.pdf</t>
  </si>
  <si>
    <t>Melting_Curves/meltCurve_Q6P1R4_DUS1L.pdf</t>
  </si>
  <si>
    <t>Melting_Curves/meltCurve_Q6P1X5_TAF2.pdf</t>
  </si>
  <si>
    <t>Melting_Curves/meltCurve_Q6P1X6_C8orf82.pdf</t>
  </si>
  <si>
    <t>Melting_Curves/meltCurve_Q6P275_STAG1.pdf</t>
  </si>
  <si>
    <t>Melting_Curves/meltCurve_Q6P2C8_MED27.pdf</t>
  </si>
  <si>
    <t>Melting_Curves/meltCurve_Q6P2D0_2_ZFP1.pdf</t>
  </si>
  <si>
    <t>Melting_Curves/meltCurve_Q6P2E9_EDC4.pdf</t>
  </si>
  <si>
    <t>Melting_Curves/meltCurve_Q6P2H3_2_CEP85.pdf</t>
  </si>
  <si>
    <t>Melting_Curves/meltCurve_Q6P2I3_FAHD2B.pdf</t>
  </si>
  <si>
    <t>Melting_Curves/meltCurve_Q6P2P2_PRMT10.pdf</t>
  </si>
  <si>
    <t>Melting_Curves/meltCurve_Q6P2Q9_PRPF8.pdf</t>
  </si>
  <si>
    <t>Melting_Curves/meltCurve_Q6P3S1_5_DENND1B.pdf</t>
  </si>
  <si>
    <t>Melting_Curves/meltCurve_Q6P3S6_FBXO42.pdf</t>
  </si>
  <si>
    <t>Melting_Curves/meltCurve_Q6P3W7_SCYL2.pdf</t>
  </si>
  <si>
    <t>Melting_Curves/meltCurve_Q6P3X3_TTC27.pdf</t>
  </si>
  <si>
    <t>Melting_Curves/meltCurve_Q6P4A8_PLBD1.pdf</t>
  </si>
  <si>
    <t>Melting_Curves/meltCurve_Q6P4F2_FDX1L.pdf</t>
  </si>
  <si>
    <t>Melting_Curves/meltCurve_Q6P4I2_WDR73.pdf</t>
  </si>
  <si>
    <t>Melting_Curves/meltCurve_Q6P577_MAGT1.pdf</t>
  </si>
  <si>
    <t>Melting_Curves/meltCurve_Q6P582_MZT2A.pdf</t>
  </si>
  <si>
    <t>Melting_Curves/meltCurve_Q6P587_FAHD1.pdf</t>
  </si>
  <si>
    <t>Melting_Curves/meltCurve_Q6P5Z2_PKN3.pdf</t>
  </si>
  <si>
    <t>Melting_Curves/meltCurve_Q6P6B7_2_ANKRD16.pdf</t>
  </si>
  <si>
    <t>Melting_Curves/meltCurve_Q6P6C2_ALKBH5.pdf</t>
  </si>
  <si>
    <t>Melting_Curves/meltCurve_Q6P9B9_INTS5.pdf</t>
  </si>
  <si>
    <t>Melting_Curves/meltCurve_Q6PCB5_RSBN1L.pdf</t>
  </si>
  <si>
    <t>Melting_Curves/meltCurve_Q6PCE3_PGM2L1.pdf</t>
  </si>
  <si>
    <t>Melting_Curves/meltCurve_Q6PCT2_2_FBXL19.pdf</t>
  </si>
  <si>
    <t>Melting_Curves/meltCurve_Q6PD62_CTR9.pdf</t>
  </si>
  <si>
    <t>Melting_Curves/meltCurve_Q6PD74_AAGAB.pdf</t>
  </si>
  <si>
    <t>Melting_Curves/meltCurve_Q6PEV8_2_FAM199X.pdf</t>
  </si>
  <si>
    <t>Melting_Curves/meltCurve_Q6PFW1_7_PPIP5K1.pdf</t>
  </si>
  <si>
    <t>Melting_Curves/meltCurve_Q6PGN9_2_PSRC1.pdf</t>
  </si>
  <si>
    <t>Melting_Curves/meltCurve_Q6PH81_2_C16orf87.pdf</t>
  </si>
  <si>
    <t>Melting_Curves/meltCurve_Q6PHR2_3_ULK3.pdf</t>
  </si>
  <si>
    <t>Melting_Curves/meltCurve_Q6PI48_DARS2.pdf</t>
  </si>
  <si>
    <t>Melting_Curves/meltCurve_Q6PID6_TTC33.pdf</t>
  </si>
  <si>
    <t>Melting_Curves/meltCurve_Q6PII3_CCDC174.pdf</t>
  </si>
  <si>
    <t>Melting_Curves/meltCurve_Q6PII5_2_HAGHL.pdf</t>
  </si>
  <si>
    <t>Melting_Curves/meltCurve_Q6PIJ6_FBXO38.pdf</t>
  </si>
  <si>
    <t>Melting_Curves/meltCurve_Q6PIW4_2_FIGNL1.pdf</t>
  </si>
  <si>
    <t>Melting_Curves/meltCurve_Q6PJ61_FBXO46.pdf</t>
  </si>
  <si>
    <t>Melting_Curves/meltCurve_Q6PJ69_TRIM65.pdf</t>
  </si>
  <si>
    <t>Melting_Curves/meltCurve_Q6PJG2_ELMSAN1.pdf</t>
  </si>
  <si>
    <t>Melting_Curves/meltCurve_Q6PJG6_BRAT1.pdf</t>
  </si>
  <si>
    <t>Melting_Curves/meltCurve_Q6PJI9_WDR59.pdf</t>
  </si>
  <si>
    <t>Melting_Curves/meltCurve_Q6PJP8_DCLRE1A.pdf</t>
  </si>
  <si>
    <t>Melting_Curves/meltCurve_Q6PJT7_3_ZC3H14.pdf</t>
  </si>
  <si>
    <t>Melting_Curves/meltCurve_Q6PJT7_5_ZC3H14.pdf</t>
  </si>
  <si>
    <t>Melting_Curves/meltCurve_Q6PJW8_2_CNST.pdf</t>
  </si>
  <si>
    <t>Melting_Curves/meltCurve_Q6PK04_CCDC137.pdf</t>
  </si>
  <si>
    <t>Melting_Curves/meltCurve_Q6PK81_2_ZNF773.pdf</t>
  </si>
  <si>
    <t>Melting_Curves/meltCurve_Q6PKG0_LARP1.pdf</t>
  </si>
  <si>
    <t>Melting_Curves/meltCurve_Q6PL18_ATAD2.pdf</t>
  </si>
  <si>
    <t>Melting_Curves/meltCurve_Q6PL24_TMED8.pdf</t>
  </si>
  <si>
    <t>Melting_Curves/meltCurve_Q6QNY0_BLOC1S3.pdf</t>
  </si>
  <si>
    <t>Melting_Curves/meltCurve_Q6QNY1_BLOC1S2.pdf</t>
  </si>
  <si>
    <t>Melting_Curves/meltCurve_Q6R327_RICTOR.pdf</t>
  </si>
  <si>
    <t>Melting_Curves/meltCurve_Q6RI45_5_BRWD3.pdf</t>
  </si>
  <si>
    <t>Melting_Curves/meltCurve_Q6RW13_2_AGTRAP.pdf</t>
  </si>
  <si>
    <t>Melting_Curves/meltCurve_Q6SPF0_SAMD1.pdf</t>
  </si>
  <si>
    <t>Melting_Curves/meltCurve_Q6STE5_2_SMARCD3.pdf</t>
  </si>
  <si>
    <t>Melting_Curves/meltCurve_Q6T4P5_4_LPPR3.pdf</t>
  </si>
  <si>
    <t>Melting_Curves/meltCurve_Q6UB35_MTHFD1L.pdf</t>
  </si>
  <si>
    <t>Melting_Curves/meltCurve_Q6UB98_2_ANKRD12.pdf</t>
  </si>
  <si>
    <t>Melting_Curves/meltCurve_Q6UB99_ANKRD11.pdf</t>
  </si>
  <si>
    <t>Melting_Curves/meltCurve_Q6ULP2_5_AFTPH.pdf</t>
  </si>
  <si>
    <t>Melting_Curves/meltCurve_Q6UN15_FIP1L1.pdf</t>
  </si>
  <si>
    <t>Melting_Curves/meltCurve_Q6UN15_3_FIP1L1.pdf</t>
  </si>
  <si>
    <t>Melting_Curves/meltCurve_Q6UUV7_3_CRTC3.pdf</t>
  </si>
  <si>
    <t>Melting_Curves/meltCurve_Q6UUV9_3_CRTC1.pdf</t>
  </si>
  <si>
    <t>Melting_Curves/meltCurve_Q6UVJ0_SASS6.pdf</t>
  </si>
  <si>
    <t>Melting_Curves/meltCurve_Q6UW63_KDELC1.pdf</t>
  </si>
  <si>
    <t>Melting_Curves/meltCurve_Q6UWE0_LRSAM1.pdf</t>
  </si>
  <si>
    <t>Melting_Curves/meltCurve_Q6UWP2_DHRS11.pdf</t>
  </si>
  <si>
    <t>Melting_Curves/meltCurve_Q6UWP8_SBSN.pdf</t>
  </si>
  <si>
    <t>Melting_Curves/meltCurve_Q6UX04_CWC27.pdf</t>
  </si>
  <si>
    <t>Melting_Curves/meltCurve_Q6UXH1_4_CRELD2.pdf</t>
  </si>
  <si>
    <t>Melting_Curves/meltCurve_Q6UXN9_WDR82.pdf</t>
  </si>
  <si>
    <t>Melting_Curves/meltCurve_Q6UXV4_APOOL.pdf</t>
  </si>
  <si>
    <t>Melting_Curves/meltCurve_Q6UY14_ADAMTSL4.pdf</t>
  </si>
  <si>
    <t>Melting_Curves/meltCurve_Q6V0I7_3_FAT4.pdf</t>
  </si>
  <si>
    <t>Melting_Curves/meltCurve_Q6VY07_PACS1.pdf</t>
  </si>
  <si>
    <t>Melting_Curves/meltCurve_Q6W2J9_4_BCOR.pdf</t>
  </si>
  <si>
    <t>Melting_Curves/meltCurve_Q6WCQ1_MPRIP.pdf</t>
  </si>
  <si>
    <t>Melting_Curves/meltCurve_Q6WKZ4_RAB11FIP1.pdf</t>
  </si>
  <si>
    <t>Melting_Curves/meltCurve_Q6WRI0_IGSF10.pdf</t>
  </si>
  <si>
    <t>Melting_Curves/meltCurve_Q6XQN6_NAPRT1.pdf</t>
  </si>
  <si>
    <t>Melting_Curves/meltCurve_Q6XUX3_2_DSTYK.pdf</t>
  </si>
  <si>
    <t>Melting_Curves/meltCurve_Q6XZF7_DNMBP.pdf</t>
  </si>
  <si>
    <t>Melting_Curves/meltCurve_Q6Y7W6_GIGYF2.pdf</t>
  </si>
  <si>
    <t>Melting_Curves/meltCurve_Q6YHU6_3_THADA.pdf</t>
  </si>
  <si>
    <t>Melting_Curves/meltCurve_Q6YN16_HSDL2.pdf</t>
  </si>
  <si>
    <t>Melting_Curves/meltCurve_Q6YP21_3_CCBL2.pdf</t>
  </si>
  <si>
    <t>Melting_Curves/meltCurve_Q6ZMI0_PPP1R21.pdf</t>
  </si>
  <si>
    <t>Melting_Curves/meltCurve_Q6ZMT4_JHDM1D.pdf</t>
  </si>
  <si>
    <t>Melting_Curves/meltCurve_Q6ZMZ3_3_SYNE3.pdf</t>
  </si>
  <si>
    <t>Melting_Curves/meltCurve_Q6ZN04_MEX3B.pdf</t>
  </si>
  <si>
    <t>Melting_Curves/meltCurve_Q6ZN06_ZNF813.pdf</t>
  </si>
  <si>
    <t>Melting_Curves/meltCurve_Q6ZN17_LIN28B.pdf</t>
  </si>
  <si>
    <t>Melting_Curves/meltCurve_Q6ZN28_MACC1.pdf</t>
  </si>
  <si>
    <t>Melting_Curves/meltCurve_Q6ZN54_6_DEF8.pdf</t>
  </si>
  <si>
    <t>Melting_Curves/meltCurve_Q6ZN55_ZNF574.pdf</t>
  </si>
  <si>
    <t>Melting_Curves/meltCurve_Q6ZNG1_ZNF600.pdf</t>
  </si>
  <si>
    <t>Melting_Curves/meltCurve_Q6ZNJ1_2_NBEAL2.pdf</t>
  </si>
  <si>
    <t>Melting_Curves/meltCurve_Q6ZNW5_GDPGP1.pdf</t>
  </si>
  <si>
    <t>Melting_Curves/meltCurve_Q6ZQN7_SLCO4C1.pdf</t>
  </si>
  <si>
    <t>Melting_Curves/meltCurve_Q6ZRP7_QSOX2.pdf</t>
  </si>
  <si>
    <t>Melting_Curves/meltCurve_Q6ZRS2_2_SRCAP.pdf</t>
  </si>
  <si>
    <t>Melting_Curves/meltCurve_Q6ZS11_RINL.pdf</t>
  </si>
  <si>
    <t>Melting_Curves/meltCurve_Q6ZS17_2_FAM65A.pdf</t>
  </si>
  <si>
    <t>Melting_Curves/meltCurve_Q6ZSJ8_C1orf122.pdf</t>
  </si>
  <si>
    <t>Melting_Curves/meltCurve_Q6ZSZ5_2_ARHGEF18.pdf</t>
  </si>
  <si>
    <t>Melting_Curves/meltCurve_Q6ZT12_UBR3.pdf</t>
  </si>
  <si>
    <t>Melting_Curves/meltCurve_Q6ZT62_SH3BP1.pdf</t>
  </si>
  <si>
    <t>Melting_Curves/meltCurve_Q6ZTN6_ANKRD13D.pdf</t>
  </si>
  <si>
    <t>Melting_Curves/meltCurve_Q6ZU65_UBN2.pdf</t>
  </si>
  <si>
    <t>Melting_Curves/meltCurve_Q6ZUM4_2_ARHGAP27.pdf</t>
  </si>
  <si>
    <t>Melting_Curves/meltCurve_Q6ZUT1_3_C11orf57.pdf</t>
  </si>
  <si>
    <t>Melting_Curves/meltCurve_Q6ZV70_2_LANCL3.pdf</t>
  </si>
  <si>
    <t>Melting_Curves/meltCurve_Q6ZVK8_NUDT18.pdf</t>
  </si>
  <si>
    <t>Melting_Curves/meltCurve_Q6ZVM7_TOM1L2.pdf</t>
  </si>
  <si>
    <t>Melting_Curves/meltCurve_Q6ZW49_4_PAXIP1.pdf</t>
  </si>
  <si>
    <t>Melting_Curves/meltCurve_Q6ZYL4_GTF2H5.pdf</t>
  </si>
  <si>
    <t>Melting_Curves/meltCurve_Q709C8_3_VPS13C.pdf</t>
  </si>
  <si>
    <t>Melting_Curves/meltCurve_Q70CQ2_USP34.pdf</t>
  </si>
  <si>
    <t>Melting_Curves/meltCurve_Q70EK8_USP53.pdf</t>
  </si>
  <si>
    <t>Melting_Curves/meltCurve_Q70EK9_USP51.pdf</t>
  </si>
  <si>
    <t>Melting_Curves/meltCurve_Q70EL1_7_USP54.pdf</t>
  </si>
  <si>
    <t>Melting_Curves/meltCurve_Q70IA6_MOB2.pdf</t>
  </si>
  <si>
    <t>Melting_Curves/meltCurve_Q70J99_UNC13D.pdf</t>
  </si>
  <si>
    <t>Melting_Curves/meltCurve_Q70UQ0_4_IKBIP.pdf</t>
  </si>
  <si>
    <t>Melting_Curves/meltCurve_Q70Z53_FRA10AC1.pdf</t>
  </si>
  <si>
    <t>Melting_Curves/meltCurve_Q711Q0_C10orf71.pdf</t>
  </si>
  <si>
    <t>Melting_Curves/meltCurve_Q712K3_UBE2R2.pdf</t>
  </si>
  <si>
    <t>Melting_Curves/meltCurve_Q71F56_MED13L.pdf</t>
  </si>
  <si>
    <t>Melting_Curves/meltCurve_Q71RC2_3_LARP4.pdf</t>
  </si>
  <si>
    <t>Melting_Curves/meltCurve_Q71SY5_4_MED25.pdf</t>
  </si>
  <si>
    <t>Melting_Curves/meltCurve_Q71U36_2_TUBA1A.pdf</t>
  </si>
  <si>
    <t>Melting_Curves/meltCurve_Q71UI9_H2AFV.pdf</t>
  </si>
  <si>
    <t>Melting_Curves/meltCurve_Q75N03_CBLL1.pdf</t>
  </si>
  <si>
    <t>Melting_Curves/meltCurve_Q75QN2_2_INTS8.pdf</t>
  </si>
  <si>
    <t>Melting_Curves/meltCurve_Q765P7_MTSS1L.pdf</t>
  </si>
  <si>
    <t>Melting_Curves/meltCurve_Q76FK4_4_NOL8.pdf</t>
  </si>
  <si>
    <t>Melting_Curves/meltCurve_Q76I76_SSH2.pdf</t>
  </si>
  <si>
    <t>Melting_Curves/meltCurve_Q76N32_2_CEP68.pdf</t>
  </si>
  <si>
    <t>Melting_Curves/meltCurve_Q7KZ85_SUPT6H.pdf</t>
  </si>
  <si>
    <t>Melting_Curves/meltCurve_Q7KZ85_2_SUPT6H.pdf</t>
  </si>
  <si>
    <t>Melting_Curves/meltCurve_Q7KZF4_SND1.pdf</t>
  </si>
  <si>
    <t>Melting_Curves/meltCurve_Q7KZI7_12_MARK2.pdf</t>
  </si>
  <si>
    <t>Melting_Curves/meltCurve_Q7KZI7_14_MARK2.pdf</t>
  </si>
  <si>
    <t>Melting_Curves/meltCurve_Q7KZJ0_RAD51C.pdf</t>
  </si>
  <si>
    <t>Melting_Curves/meltCurve_Q7L014_DDX46.pdf</t>
  </si>
  <si>
    <t>Melting_Curves/meltCurve_Q7L099_2_RUFY3.pdf</t>
  </si>
  <si>
    <t>Melting_Curves/meltCurve_Q7L099_4_RUFY3.pdf</t>
  </si>
  <si>
    <t>Melting_Curves/meltCurve_Q7L0Y3_TRMT10C.pdf</t>
  </si>
  <si>
    <t>Melting_Curves/meltCurve_Q7L1Q6_BZW1.pdf</t>
  </si>
  <si>
    <t>Melting_Curves/meltCurve_Q7L1T6_CYB5R4.pdf</t>
  </si>
  <si>
    <t>Melting_Curves/meltCurve_Q7L1V2_MON1B.pdf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</si>
  <si>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</si>
  <si>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</si>
  <si>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</si>
  <si>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</si>
  <si>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Melting_Curves/meltCurve_Q7L3S4_ZNF771.pdf</t>
  </si>
  <si>
    <t>Melting_Curves/meltCurve_Q7L3T8_PARS2.pdf</t>
  </si>
  <si>
    <t>Melting_Curves/meltCurve_Q7L3V2_BOP.pdf</t>
  </si>
  <si>
    <t>Melting_Curves/meltCurve_Q7L4I2_RSRC2.pdf</t>
  </si>
  <si>
    <t>Melting_Curves/meltCurve_Q7L523_RRAGA.pdf</t>
  </si>
  <si>
    <t>Melting_Curves/meltCurve_Q7L576_CYFIP1.pdf</t>
  </si>
  <si>
    <t>Melting_Curves/meltCurve_Q7L590_2_MCM10.pdf</t>
  </si>
  <si>
    <t>Melting_Curves/meltCurve_Q7L5D6_GET4.pdf</t>
  </si>
  <si>
    <t>Melting_Curves/meltCurve_Q7L5Y1_ENOSF1.pdf</t>
  </si>
  <si>
    <t>Melting_Curves/meltCurve_Q7L5Y6_DET1.pdf</t>
  </si>
  <si>
    <t>Melting_Curves/meltCurve_Q7L5Y9_MAEA.pdf</t>
  </si>
  <si>
    <t>Melting_Curves/meltCurve_Q7L775_EPM2AIP1.pdf</t>
  </si>
  <si>
    <t>Melting_Curves/meltCurve_Q7L7X3_TAOK1.pdf</t>
  </si>
  <si>
    <t>Melting_Curves/meltCurve_Q7L8J4_SH3BP5L.pdf</t>
  </si>
  <si>
    <t>Melting_Curves/meltCurve_Q7L8L6_FASTKD5.pdf</t>
  </si>
  <si>
    <t>Melting_Curves/meltCurve_Q7L8W6_ATPBD4.pdf</t>
  </si>
  <si>
    <t>Melting_Curves/meltCurve_Q7L945_ZNF627.pdf</t>
  </si>
  <si>
    <t>Melting_Curves/meltCurve_Q7LBC6_KDM3B.pdf</t>
  </si>
  <si>
    <t>Melting_Curves/meltCurve_Q7LBR1_CHMP1B.pdf</t>
  </si>
  <si>
    <t>Melting_Curves/meltCurve_Q7LDG7_RASGRP2.pdf</t>
  </si>
  <si>
    <t>Melting_Curves/meltCurve_Q7LG56_RRM2B.pdf</t>
  </si>
  <si>
    <t>Melting_Curves/meltCurve_Q7RTN6_6_STRADA.pdf</t>
  </si>
  <si>
    <t>Melting_Curves/meltCurve_Q7RTP6_MICAL3.pdf</t>
  </si>
  <si>
    <t>Melting_Curves/meltCurve_Q7RTS9_DYM.pdf</t>
  </si>
  <si>
    <t>Melting_Curves/meltCurve_Q7RTV0_PHF5A.pdf</t>
  </si>
  <si>
    <t>Melting_Curves/meltCurve_Q7Z2E3_3_APTX.pdf</t>
  </si>
  <si>
    <t>Melting_Curves/meltCurve_Q7Z2K8_GPRIN1.pdf</t>
  </si>
  <si>
    <t>Melting_Curves/meltCurve_Q7Z2T5_TRMT1L.pdf</t>
  </si>
  <si>
    <t>Melting_Curves/meltCurve_Q7Z2W4_ZC3HAV1.pdf</t>
  </si>
  <si>
    <t>Melting_Curves/meltCurve_Q7Z2Z2_EFTUD1.pdf</t>
  </si>
  <si>
    <t>Melting_Curves/meltCurve_Q7Z309_FAM122B.pdf</t>
  </si>
  <si>
    <t>Melting_Curves/meltCurve_Q7Z333_3_SETX.pdf</t>
  </si>
  <si>
    <t>Melting_Curves/meltCurve_Q7Z392_TRAPPC11.pdf</t>
  </si>
  <si>
    <t>Melting_Curves/meltCurve_Q7Z3B3_KANSL1.pdf</t>
  </si>
  <si>
    <t>Melting_Curves/meltCurve_Q7Z3D4_LYSMD3.pdf</t>
  </si>
  <si>
    <t>Melting_Curves/meltCurve_Q7Z3E2_C10orf118.pdf</t>
  </si>
  <si>
    <t>Melting_Curves/meltCurve_Q7Z3J2_C16orf62.pdf</t>
  </si>
  <si>
    <t>Melting_Curves/meltCurve_Q7Z3K3_5_POGZ.pdf</t>
  </si>
  <si>
    <t>Melting_Curves/meltCurve_Q7Z3K6_4_MIER3.pdf</t>
  </si>
  <si>
    <t>Melting_Curves/meltCurve_Q7Z3T8_ZFYVE16.pdf</t>
  </si>
  <si>
    <t>Melting_Curves/meltCurve_Q7Z3V4_UBE3B.pdf</t>
  </si>
  <si>
    <t>Melting_Curves/meltCurve_Q7Z3Z2_RD3.pdf</t>
  </si>
  <si>
    <t>Melting_Curves/meltCurve_Q7Z401_DENND4A.pdf</t>
  </si>
  <si>
    <t>Melting_Curves/meltCurve_Q7Z406_MYH14.pdf</t>
  </si>
  <si>
    <t>Melting_Curves/meltCurve_Q7Z417_NUFIP2.pdf</t>
  </si>
  <si>
    <t>Melting_Curves/meltCurve_Q7Z422_2_SZRD1.pdf</t>
  </si>
  <si>
    <t>Melting_Curves/meltCurve_Q7Z434_MAVS.pdf</t>
  </si>
  <si>
    <t>Melting_Curves/meltCurve_Q7Z460_CLASP1.pdf</t>
  </si>
  <si>
    <t>Melting_Curves/meltCurve_Q7Z478_DHX29.pdf</t>
  </si>
  <si>
    <t>Melting_Curves/meltCurve_Q7Z494_2_NPHP3.pdf</t>
  </si>
  <si>
    <t>Melting_Curves/meltCurve_Q7Z4G1_COMMD6.pdf</t>
  </si>
  <si>
    <t>Melting_Curves/meltCurve_Q7Z4H3_HDDC2.pdf</t>
  </si>
  <si>
    <t>Melting_Curves/meltCurve_Q7Z4H7_HAUS6.pdf</t>
  </si>
  <si>
    <t>Melting_Curves/meltCurve_Q7Z4H8_KDELC2.pdf</t>
  </si>
  <si>
    <t>Melting_Curves/meltCurve_Q7Z4I7_4_LIMS2.pdf</t>
  </si>
  <si>
    <t>Melting_Curves/meltCurve_Q7Z4Q2_HEATR3.pdf</t>
  </si>
  <si>
    <t>Melting_Curves/meltCurve_Q7Z4S6_3_KIF21A.pdf</t>
  </si>
  <si>
    <t>Melting_Curves/meltCurve_Q7Z4V5_HDGFRP2.pdf</t>
  </si>
  <si>
    <t>Melting_Curves/meltCurve_Q7Z4V5_2_HDGFRP2.pdf</t>
  </si>
  <si>
    <t>Melting_Curves/meltCurve_Q7Z4W1_DCXR.pdf</t>
  </si>
  <si>
    <t>Melting_Curves/meltCurve_Q7Z591_AKNA.pdf</t>
  </si>
  <si>
    <t>Melting_Curves/meltCurve_Q7Z5J4_3_RAI1.pdf</t>
  </si>
  <si>
    <t>Melting_Curves/meltCurve_Q7Z5K2_WAPAL.pdf</t>
  </si>
  <si>
    <t>Melting_Curves/meltCurve_Q7Z5L2_2_R3HCC1L.pdf</t>
  </si>
  <si>
    <t>Melting_Curves/meltCurve_Q7Z5L9_2_IRF2BP2.pdf</t>
  </si>
  <si>
    <t>Melting_Curves/meltCurve_Q7Z5W3_BCDIN3D.pdf</t>
  </si>
  <si>
    <t>Melting_Curves/meltCurve_Q7Z5Y7_KCTD20.pdf</t>
  </si>
  <si>
    <t>Melting_Curves/meltCurve_Q7Z624_CAMKMT.pdf</t>
  </si>
  <si>
    <t>Melting_Curves/meltCurve_Q7Z6B0_2_CCDC91.pdf</t>
  </si>
  <si>
    <t>Melting_Curves/meltCurve_Q7Z6E9_RBBP6.pdf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</si>
  <si>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</si>
  <si>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</si>
  <si>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</si>
  <si>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</si>
  <si>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Melting_Curves/meltCurve_Q7Z6M3_MILR1.pdf</t>
  </si>
  <si>
    <t>Melting_Curves/meltCurve_Q7Z6V5_ADAT2.pdf</t>
  </si>
  <si>
    <t>Melting_Curves/meltCurve_Q7Z794_KRT77.pdf</t>
  </si>
  <si>
    <t>Melting_Curves/meltCurve_Q7Z7A1_5_CNTRL.pdf</t>
  </si>
  <si>
    <t>Melting_Curves/meltCurve_Q7Z7A3_CTU1.pdf</t>
  </si>
  <si>
    <t>Melting_Curves/meltCurve_Q7Z7A4_PXK.pdf</t>
  </si>
  <si>
    <t>Melting_Curves/meltCurve_Q7Z7C8_TAF8.pdf</t>
  </si>
  <si>
    <t>Melting_Curves/meltCurve_Q7Z7E8_UBE2Q1.pdf</t>
  </si>
  <si>
    <t>Melting_Curves/meltCurve_Q7Z7F0_KIAA0907.pdf</t>
  </si>
  <si>
    <t>Melting_Curves/meltCurve_Q7Z7F7_MRPL55.pdf</t>
  </si>
  <si>
    <t>Melting_Curves/meltCurve_Q7Z7G8_2_VPS13B.pdf</t>
  </si>
  <si>
    <t>Melting_Curves/meltCurve_Q7Z7K0_CMC1.pdf</t>
  </si>
  <si>
    <t>Melting_Curves/meltCurve_Q7Z7K6_3_CENPV.pdf</t>
  </si>
  <si>
    <t>Melting_Curves/meltCurve_Q86SE9_PCGF5.pdf</t>
  </si>
  <si>
    <t>Melting_Curves/meltCurve_Q86SG6_NEK8.pdf</t>
  </si>
  <si>
    <t>Melting_Curves/meltCurve_Q86SQ4_2_GPR126.pdf</t>
  </si>
  <si>
    <t>Melting_Curves/meltCurve_Q86SQ7_SDCCAG8.pdf</t>
  </si>
  <si>
    <t>Melting_Curves/meltCurve_Q86SX6_GLRX5.pdf</t>
  </si>
  <si>
    <t>Melting_Curves/meltCurve_Q86SZ2_TRAPPC6B.pdf</t>
  </si>
  <si>
    <t>Melting_Curves/meltCurve_Q86T24_ZBTB33.pdf</t>
  </si>
  <si>
    <t>Melting_Curves/meltCurve_Q86T82_2_USP37.pdf</t>
  </si>
  <si>
    <t>Melting_Curves/meltCurve_Q86TA1_MOB3B.pdf</t>
  </si>
  <si>
    <t>Melting_Curves/meltCurve_Q86TB9_4_PATL1.pdf</t>
  </si>
  <si>
    <t>Melting_Curves/meltCurve_Q86TI0_TBC1D1.pdf</t>
  </si>
  <si>
    <t>Melting_Curves/meltCurve_Q86TI2_DPP9.pdf</t>
  </si>
  <si>
    <t>Melting_Curves/meltCurve_Q86TJ2_3_TADA2B.pdf</t>
  </si>
  <si>
    <t>Melting_Curves/meltCurve_Q86TN4_2_TRPT1.pdf</t>
  </si>
  <si>
    <t>Melting_Curves/meltCurve_Q86TP1_PRUNE.pdf</t>
  </si>
  <si>
    <t>Melting_Curves/meltCurve_Q86TU7_SETD3.pdf</t>
  </si>
  <si>
    <t>Melting_Curves/meltCurve_Q86TV2_LGMN.pdf</t>
  </si>
  <si>
    <t>Melting_Curves/meltCurve_Q86TV6_TTC7B.pdf</t>
  </si>
  <si>
    <t>Melting_Curves/meltCurve_Q86U28_ISCA2.pdf</t>
  </si>
  <si>
    <t>Melting_Curves/meltCurve_Q86U44_METTL3.pdf</t>
  </si>
  <si>
    <t>Melting_Curves/meltCurve_Q86U70_3_LDB1.pdf</t>
  </si>
  <si>
    <t>Melting_Curves/meltCurve_Q86U86_8_PBRM1.pdf</t>
  </si>
  <si>
    <t>Melting_Curves/meltCurve_Q86U90_YRDC.pdf</t>
  </si>
  <si>
    <t>Melting_Curves/meltCurve_Q86UA1_PRPF39.pdf</t>
  </si>
  <si>
    <t>Melting_Curves/meltCurve_Q86UE4_MTDH.pdf</t>
  </si>
  <si>
    <t>Melting_Curves/meltCurve_Q86UE8_2_TLK2.pdf</t>
  </si>
  <si>
    <t>Melting_Curves/meltCurve_Q86UK7_3_ZNF598.pdf</t>
  </si>
  <si>
    <t>Melting_Curves/meltCurve_Q86UP2_KTN1.pdf</t>
  </si>
  <si>
    <t>Melting_Curves/meltCurve_Q86US8_SMG6.pdf</t>
  </si>
  <si>
    <t>Melting_Curves/meltCurve_Q86UU0_3_BCL9L.pdf</t>
  </si>
  <si>
    <t>Melting_Curves/meltCurve_Q86UU1_2_PHLDB1.pdf</t>
  </si>
  <si>
    <t>Melting_Curves/meltCurve_Q86UV5_USP48.pdf</t>
  </si>
  <si>
    <t>Melting_Curves/meltCurve_Q86UW6_2_N4BP2.pdf</t>
  </si>
  <si>
    <t>Melting_Curves/meltCurve_Q86UX3_ABCC5.pdf</t>
  </si>
  <si>
    <t>Melting_Curves/meltCurve_Q86UX6_STK32C.pdf</t>
  </si>
  <si>
    <t>Melting_Curves/meltCurve_Q86UY0_TXNDC5.pdf</t>
  </si>
  <si>
    <t>Melting_Curves/meltCurve_Q86UY5_FAM83A.pdf</t>
  </si>
  <si>
    <t>Melting_Curves/meltCurve_Q86UY8_2_NT5DC3.pdf</t>
  </si>
  <si>
    <t>Melting_Curves/meltCurve_Q86V21_AACS.pdf</t>
  </si>
  <si>
    <t>Melting_Curves/meltCurve_Q86V48_LUZP1.pdf</t>
  </si>
  <si>
    <t>Melting_Curves/meltCurve_Q86V59_PNMAL1.pdf</t>
  </si>
  <si>
    <t>Melting_Curves/meltCurve_Q86V87_FAM160B2.pdf</t>
  </si>
  <si>
    <t>Melting_Curves/meltCurve_Q86VG3_C11orf74.pdf</t>
  </si>
  <si>
    <t>Melting_Curves/meltCurve_Q86VH3_hCG_1980662.pdf</t>
  </si>
  <si>
    <t>Melting_Curves/meltCurve_Q86VM9_ZC3H18.pdf</t>
  </si>
  <si>
    <t>Melting_Curves/meltCurve_Q86VN1_VPS36.pdf</t>
  </si>
  <si>
    <t>Melting_Curves/meltCurve_Q86VP1_2_TAX1BP1.pdf</t>
  </si>
  <si>
    <t>Melting_Curves/meltCurve_Q86VP6_CAND1.pdf</t>
  </si>
  <si>
    <t>Melting_Curves/meltCurve_Q86VQ1_GLCCI1.pdf</t>
  </si>
  <si>
    <t>Melting_Curves/meltCurve_Q86VQ6_TXNRD3.pdf</t>
  </si>
  <si>
    <t>Melting_Curves/meltCurve_Q86VR2_FAM134C.pdf</t>
  </si>
  <si>
    <t>Melting_Curves/meltCurve_Q86VS8_HOOK3.pdf</t>
  </si>
  <si>
    <t>Melting_Curves/meltCurve_Q86VU3_MAP4K2.pdf</t>
  </si>
  <si>
    <t>Melting_Curves/meltCurve_Q86VV8_3_RTTN.pdf</t>
  </si>
  <si>
    <t>Melting_Curves/meltCurve_Q86VX2_2_COMMD7.pdf</t>
  </si>
  <si>
    <t>Melting_Curves/meltCurve_Q86VX9_MON1A.pdf</t>
  </si>
  <si>
    <t>Melting_Curves/meltCurve_Q86VY4_TSPYL5.pdf</t>
  </si>
  <si>
    <t>Melting_Curves/meltCurve_Q86W34_AMZ2.pdf</t>
  </si>
  <si>
    <t>Melting_Curves/meltCurve_Q86W42_THOC6.pdf</t>
  </si>
  <si>
    <t>Melting_Curves/meltCurve_Q86W50_METTL16.pdf</t>
  </si>
  <si>
    <t>Melting_Curves/meltCurve_Q86W56_2_PARG.pdf</t>
  </si>
  <si>
    <t>Melting_Curves/meltCurve_Q86W92_4_PPFIBP1.pdf</t>
  </si>
  <si>
    <t>Melting_Curves/meltCurve_Q86WA6_2_BPHL.pdf</t>
  </si>
  <si>
    <t>Melting_Curves/meltCurve_Q86WH2_RASSF3.pdf</t>
  </si>
  <si>
    <t>Melting_Curves/meltCurve_Q86WJ1_2_CHD1L.pdf</t>
  </si>
  <si>
    <t>Melting_Curves/meltCurve_Q86WN1_FCHSD1.pdf</t>
  </si>
  <si>
    <t>Melting_Curves/meltCurve_Q86WP2_3_GPBP1.pdf</t>
  </si>
  <si>
    <t>Melting_Curves/meltCurve_Q86WQ0_NR2C2AP.pdf</t>
  </si>
  <si>
    <t>Melting_Curves/meltCurve_Q86WR0_CCDC25.pdf</t>
  </si>
  <si>
    <t>Melting_Curves/meltCurve_Q86WR7_PROSER2.pdf</t>
  </si>
  <si>
    <t>Melting_Curves/meltCurve_Q86WU2_2_LDHD.pdf</t>
  </si>
  <si>
    <t>Melting_Curves/meltCurve_Q86WX3_RPS19BP1.pdf</t>
  </si>
  <si>
    <t>Melting_Curves/meltCurve_Q86X02_CDR2L.pdf</t>
  </si>
  <si>
    <t>Melting_Curves/meltCurve_Q86X10_3_RALGAPB.pdf</t>
  </si>
  <si>
    <t>Melting_Curves/meltCurve_Q86X27_RALGPS2.pdf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</si>
  <si>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</si>
  <si>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</si>
  <si>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</si>
  <si>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</si>
  <si>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Melting_Curves/meltCurve_Q86X95_2_CIR1.pdf</t>
  </si>
  <si>
    <t>Melting_Curves/meltCurve_Q86XK2_6_FBXO11.pdf</t>
  </si>
  <si>
    <t>Melting_Curves/meltCurve_Q86XK3_3_SFR1.pdf</t>
  </si>
  <si>
    <t>Melting_Curves/meltCurve_Q86XN8_MEX3D.pdf</t>
  </si>
  <si>
    <t>Melting_Curves/meltCurve_Q86XP1_2_DGKH.pdf</t>
  </si>
  <si>
    <t>Melting_Curves/meltCurve_Q86XP3_DDX42.pdf</t>
  </si>
  <si>
    <t>Melting_Curves/meltCurve_Q86Y07_5_VRK2.pdf</t>
  </si>
  <si>
    <t>Melting_Curves/meltCurve_Q86Y13_DZIP3.pdf</t>
  </si>
  <si>
    <t>Melting_Curves/meltCurve_Q86Y22_COL23A1.pdf</t>
  </si>
  <si>
    <t>Melting_Curves/meltCurve_Q86Y37_CACUL1.pdf</t>
  </si>
  <si>
    <t>Melting_Curves/meltCurve_Q86Y56_HEATR2.pdf</t>
  </si>
  <si>
    <t>Melting_Curves/meltCurve_Q86Y79_PTRH1.pdf</t>
  </si>
  <si>
    <t>Melting_Curves/meltCurve_Q86Y82_STX12.pdf</t>
  </si>
  <si>
    <t>Melting_Curves/meltCurve_Q86Y91_2_KIF18B.pdf</t>
  </si>
  <si>
    <t>Melting_Curves/meltCurve_Q86YB8_ERO1LB.pdf</t>
  </si>
  <si>
    <t>Melting_Curves/meltCurve_Q86YH2_ZNF280B.pdf</t>
  </si>
  <si>
    <t>Melting_Curves/meltCurve_Q86YH6_PDSS2.pdf</t>
  </si>
  <si>
    <t>Melting_Curves/meltCurve_Q86YM7_HOMER1.pdf</t>
  </si>
  <si>
    <t>Melting_Curves/meltCurve_Q86YP4_GATAD2A.pdf</t>
  </si>
  <si>
    <t>Melting_Curves/meltCurve_Q86YR5_4_GPSM1.pdf</t>
  </si>
  <si>
    <t>Melting_Curves/meltCurve_Q86YS7_C2CD5.pdf</t>
  </si>
  <si>
    <t>Melting_Curves/meltCurve_Q86YV5_SGK223.pdf</t>
  </si>
  <si>
    <t>Melting_Curves/meltCurve_Q86YV9_HPS6.pdf</t>
  </si>
  <si>
    <t>Melting_Curves/meltCurve_Q86YZ3_HRNR.pdf</t>
  </si>
  <si>
    <t>Melting_Curves/meltCurve_Q8IU60_2_DCP2.pdf</t>
  </si>
  <si>
    <t>Melting_Curves/meltCurve_Q8IU81_IRF2BP1.pdf</t>
  </si>
  <si>
    <t>Melting_Curves/meltCurve_Q8IUC4_RHPN2.pdf</t>
  </si>
  <si>
    <t>Melting_Curves/meltCurve_Q8IUD2_ERC1.pdf</t>
  </si>
  <si>
    <t>Melting_Curves/meltCurve_Q8IUE1_TGIF2LX.pdf</t>
  </si>
  <si>
    <t>Melting_Curves/meltCurve_Q8IUF8_MINA.pdf</t>
  </si>
  <si>
    <t>Melting_Curves/meltCurve_Q8IUG5_MYO18B.pdf</t>
  </si>
  <si>
    <t>Melting_Curves/meltCurve_Q8IUH3_2_RBM45.pdf</t>
  </si>
  <si>
    <t>Melting_Curves/meltCurve_Q8IUI8_CRLF3.pdf</t>
  </si>
  <si>
    <t>Melting_Curves/meltCurve_Q8IUQ4_SIAH1.pdf</t>
  </si>
  <si>
    <t>Melting_Curves/meltCurve_Q8IUR0_TRAPPC5.pdf</t>
  </si>
  <si>
    <t>Melting_Curves/meltCurve_Q8IUX4_APOBEC3F.pdf</t>
  </si>
  <si>
    <t>Melting_Curves/meltCurve_Q8IUZ5_AGXT2L2.pdf</t>
  </si>
  <si>
    <t>Melting_Curves/meltCurve_Q8IV08_PLD3.pdf</t>
  </si>
  <si>
    <t>Melting_Curves/meltCurve_Q8IV38_ANKMY2.pdf</t>
  </si>
  <si>
    <t>Melting_Curves/meltCurve_Q8IV48_ERI1.pdf</t>
  </si>
  <si>
    <t>Melting_Curves/meltCurve_Q8IV50_LYSMD2.pdf</t>
  </si>
  <si>
    <t>Melting_Curves/meltCurve_Q8IV63_3_VRK3.pdf</t>
  </si>
  <si>
    <t>Melting_Curves/meltCurve_Q8IVD9_NUDCD3.pdf</t>
  </si>
  <si>
    <t>Melting_Curves/meltCurve_Q8IVL1_10_NAV2.pdf</t>
  </si>
  <si>
    <t>Melting_Curves/meltCurve_Q8IVM0_CCDC50.pdf</t>
  </si>
  <si>
    <t>Melting_Curves/meltCurve_Q8IVM0_2_CCDC50.pdf</t>
  </si>
  <si>
    <t>Melting_Curves/meltCurve_Q8IVS2_MCAT.pdf</t>
  </si>
  <si>
    <t>Melting_Curves/meltCurve_Q8IVV2_LOXHD1.pdf</t>
  </si>
  <si>
    <t>Melting_Curves/meltCurve_Q8IVW6_4_ARID3B.pdf</t>
  </si>
  <si>
    <t>Melting_Curves/meltCurve_Q8IW41_2_MAPKAPK5.pdf</t>
  </si>
  <si>
    <t>Melting_Curves/meltCurve_Q8IW45_CARKD.pdf</t>
  </si>
  <si>
    <t>Melting_Curves/meltCurve_Q8IWB7_WDFY1.pdf</t>
  </si>
  <si>
    <t>Melting_Curves/meltCurve_Q8IWB9_TEX2.pdf</t>
  </si>
  <si>
    <t>Melting_Curves/meltCurve_Q8IWC1_2_MAP7D3.pdf</t>
  </si>
  <si>
    <t>Melting_Curves/meltCurve_Q8IWD4_CCDC117.pdf</t>
  </si>
  <si>
    <t>Melting_Curves/meltCurve_Q8IWF6_DENND6A.pdf</t>
  </si>
  <si>
    <t>Melting_Curves/meltCurve_Q8IWG1_2_WDR63.pdf</t>
  </si>
  <si>
    <t>Melting_Curves/meltCurve_Q8IWI9_MGA.pdf</t>
  </si>
  <si>
    <t>Melting_Curves/meltCurve_Q8IWJ2_GCC2.pdf</t>
  </si>
  <si>
    <t>Melting_Curves/meltCurve_Q8IWL3_HSCB.pdf</t>
  </si>
  <si>
    <t>Melting_Curves/meltCurve_Q8IWP9_CCDC28A.pdf</t>
  </si>
  <si>
    <t>Melting_Curves/meltCurve_Q8IWR0_ZC3H7A.pdf</t>
  </si>
  <si>
    <t>Melting_Curves/meltCurve_Q8IWT0_ZBTB8OS.pdf</t>
  </si>
  <si>
    <t>Melting_Curves/meltCurve_Q8IWU2_LMTK2.pdf</t>
  </si>
  <si>
    <t>Melting_Curves/meltCurve_Q8IWV7_UBR1.pdf</t>
  </si>
  <si>
    <t>Melting_Curves/meltCurve_Q8IWV8_UBR2.pdf</t>
  </si>
  <si>
    <t>Melting_Curves/meltCurve_Q8IWW6_2_ARHGAP12.pdf</t>
  </si>
  <si>
    <t>Melting_Curves/meltCurve_Q8IWX8_CHERP.pdf</t>
  </si>
  <si>
    <t>Melting_Curves/meltCurve_Q8IWY8_4_ZSCAN29.pdf</t>
  </si>
  <si>
    <t>Melting_Curves/meltCurve_Q8IWY9_1_CDAN1.pdf</t>
  </si>
  <si>
    <t>Melting_Curves/meltCurve_Q8IWZ3_6_ANKHD1.pdf</t>
  </si>
  <si>
    <t>Melting_Curves/meltCurve_Q8IWZ8_SUGP1.pdf</t>
  </si>
  <si>
    <t>Melting_Curves/meltCurve_Q8IX01_4_SUGP2.pdf</t>
  </si>
  <si>
    <t>Melting_Curves/meltCurve_Q8IX04_6_UEVLD.pdf</t>
  </si>
  <si>
    <t>Melting_Curves/meltCurve_Q8IX07_ZFPM1.pdf</t>
  </si>
  <si>
    <t>Melting_Curves/meltCurve_Q8IX12_2_CCAR1.pdf</t>
  </si>
  <si>
    <t>Melting_Curves/meltCurve_Q8IX15_HOMEZ.pdf</t>
  </si>
  <si>
    <t>Melting_Curves/meltCurve_Q8IX18_3_DHX40.pdf</t>
  </si>
  <si>
    <t>Melting_Curves/meltCurve_Q8IX90_SKA3.pdf</t>
  </si>
  <si>
    <t>Melting_Curves/meltCurve_Q8IXB1_2_DNAJC10.pdf</t>
  </si>
  <si>
    <t>Melting_Curves/meltCurve_Q8IXH7_4_NELFCD.pdf</t>
  </si>
  <si>
    <t>Melting_Curves/meltCurve_Q8IXJ6_2_SIRT2.pdf</t>
  </si>
  <si>
    <t>Melting_Curves/meltCurve_Q8IXJ9_ASXL1.pdf</t>
  </si>
  <si>
    <t>Melting_Curves/meltCurve_Q8IXK0_2_PHC2.pdf</t>
  </si>
  <si>
    <t>Melting_Curves/meltCurve_Q8IXK2_GALNT12.pdf</t>
  </si>
  <si>
    <t>Melting_Curves/meltCurve_Q8IXM3_MRPL41.pdf</t>
  </si>
  <si>
    <t>Melting_Curves/meltCurve_Q8IXQ3_C9orf40.pdf</t>
  </si>
  <si>
    <t>Melting_Curves/meltCurve_Q8IXQ4_KIAA1704.pdf</t>
  </si>
  <si>
    <t>Melting_Curves/meltCurve_Q8IXQ5_2_KLHL7.pdf</t>
  </si>
  <si>
    <t>Melting_Curves/meltCurve_Q8IXS8_FAM126B.pdf</t>
  </si>
  <si>
    <t>Melting_Curves/meltCurve_Q8IXW5_RPAP2.pdf</t>
  </si>
  <si>
    <t>Melting_Curves/meltCurve_Q8IXZ2_ZC3H3.pdf</t>
  </si>
  <si>
    <t>Melting_Curves/meltCurve_Q8IY18_SMC5.pdf</t>
  </si>
  <si>
    <t>Melting_Curves/meltCurve_Q8IY22_CMIP.pdf</t>
  </si>
  <si>
    <t>Melting_Curves/meltCurve_Q8IY31_IFT20.pdf</t>
  </si>
  <si>
    <t>Melting_Curves/meltCurve_Q8IY33_MICALL2.pdf</t>
  </si>
  <si>
    <t>Melting_Curves/meltCurve_Q8IY37_DHX37.pdf</t>
  </si>
  <si>
    <t>Melting_Curves/meltCurve_Q8IY47_KBTBD2.pdf</t>
  </si>
  <si>
    <t>Melting_Curves/meltCurve_Q8IY63_2_AMOTL1.pdf</t>
  </si>
  <si>
    <t>Melting_Curves/meltCurve_Q8IY67_2_RAVER1.pdf</t>
  </si>
  <si>
    <t>Melting_Curves/meltCurve_Q8IY81_FTSJ3.pdf</t>
  </si>
  <si>
    <t>Melting_Curves/meltCurve_Q8IY92_SLX4.pdf</t>
  </si>
  <si>
    <t>Melting_Curves/meltCurve_Q8IYA6_CKAP2L.pdf</t>
  </si>
  <si>
    <t>Melting_Curves/meltCurve_Q8IYB5_3_SMAP1.pdf</t>
  </si>
  <si>
    <t>Melting_Curves/meltCurve_Q8IYB7_DIS3L2.pdf</t>
  </si>
  <si>
    <t>Melting_Curves/meltCurve_Q8IYB8_SUPV3L1.pdf</t>
  </si>
  <si>
    <t>Melting_Curves/meltCurve_Q8IYB9_ZNF595.pdf</t>
  </si>
  <si>
    <t>Melting_Curves/meltCurve_Q8IYD1_GSPT2.pdf</t>
  </si>
  <si>
    <t>Melting_Curves/meltCurve_Q8IYE0_CCDC146.pdf</t>
  </si>
  <si>
    <t>Melting_Curves/meltCurve_Q8IYH5_4_ZZZ3.pdf</t>
  </si>
  <si>
    <t>Melting_Curves/meltCurve_Q8IYI6_EXOC8.pdf</t>
  </si>
  <si>
    <t>Melting_Curves/meltCurve_Q8IYK4_COLGALT2.pdf</t>
  </si>
  <si>
    <t>Melting_Curves/meltCurve_Q8IYL3_C1orf174.pdf</t>
  </si>
  <si>
    <t>Melting_Curves/meltCurve_Q8IYN2_TCEAL8.pdf</t>
  </si>
  <si>
    <t>Melting_Curves/meltCurve_Q8IYN6_UBALD2.pdf</t>
  </si>
  <si>
    <t>Melting_Curves/meltCurve_Q8IYN9_PTK2.pdf</t>
  </si>
  <si>
    <t>Melting_Curves/meltCurve_Q8IYQ7_THNSL1.pdf</t>
  </si>
  <si>
    <t>Melting_Curves/meltCurve_Q8IYT2_FTSJD1.pdf</t>
  </si>
  <si>
    <t>Melting_Curves/meltCurve_Q8IYU2_HACE1.pdf</t>
  </si>
  <si>
    <t>Melting_Curves/meltCurve_Q8IYU8_MICU2.pdf</t>
  </si>
  <si>
    <t>Melting_Curves/meltCurve_Q8IYW5_RNF168.pdf</t>
  </si>
  <si>
    <t>Melting_Curves/meltCurve_Q8IZ07_ANKRD13A.pdf</t>
  </si>
  <si>
    <t>Melting_Curves/meltCurve_Q8IZ13_C5orf54.pdf</t>
  </si>
  <si>
    <t>Melting_Curves/meltCurve_Q8IZ21_3_PHACTR4.pdf</t>
  </si>
  <si>
    <t>Melting_Curves/meltCurve_Q8IZ69_TRMT2A.pdf</t>
  </si>
  <si>
    <t>Melting_Curves/meltCurve_Q8IZ73_RPUSD2.pdf</t>
  </si>
  <si>
    <t>Melting_Curves/meltCurve_Q8IZ83_ALDH16A1.pdf</t>
  </si>
  <si>
    <t>Melting_Curves/meltCurve_Q8IZD2_6_MLL5.pdf</t>
  </si>
  <si>
    <t>Melting_Curves/meltCurve_Q8IZE3_2_SCYL3.pdf</t>
  </si>
  <si>
    <t>Melting_Curves/meltCurve_Q8IZH2_2_XRN1.pdf</t>
  </si>
  <si>
    <t>Melting_Curves/meltCurve_Q8IZJ1_2_UNC5B.pdf</t>
  </si>
  <si>
    <t>Melting_Curves/meltCurve_Q8IZL2_MAML2.pdf</t>
  </si>
  <si>
    <t>Melting_Curves/meltCurve_Q8IZL8_PELP1.pdf</t>
  </si>
  <si>
    <t>Melting_Curves/meltCurve_Q8IZP0_10_ABI1.pdf</t>
  </si>
  <si>
    <t>Melting_Curves/meltCurve_Q8IZQ1_2_WDFY3.pdf</t>
  </si>
  <si>
    <t>Melting_Curves/meltCurve_Q8IZT6_2_ASPM.pdf</t>
  </si>
  <si>
    <t>Melting_Curves/meltCurve_Q8IZV5_RDH10.pdf</t>
  </si>
  <si>
    <t>Melting_Curves/meltCurve_Q8N0S2_SYCE1.pdf</t>
  </si>
  <si>
    <t>Melting_Curves/meltCurve_Q8N0T1_C8orf59.pdf</t>
  </si>
  <si>
    <t>Melting_Curves/meltCurve_Q8N0W3_FUK.pdf</t>
  </si>
  <si>
    <t>Melting_Curves/meltCurve_Q8N0X7_SPG20.pdf</t>
  </si>
  <si>
    <t>Melting_Curves/meltCurve_Q8N0Y2_2_ZNF444.pdf</t>
  </si>
  <si>
    <t>Melting_Curves/meltCurve_Q8N0Z3_SPICE1.pdf</t>
  </si>
  <si>
    <t>Melting_Curves/meltCurve_Q8N0Z6_TTC5.pdf</t>
  </si>
  <si>
    <t>Melting_Curves/meltCurve_Q8N108_17_MIER1.pdf</t>
  </si>
  <si>
    <t>Melting_Curves/meltCurve_Q8N122_RPTOR.pdf</t>
  </si>
  <si>
    <t>Melting_Curves/meltCurve_Q8N129_CNPY4.pdf</t>
  </si>
  <si>
    <t>Melting_Curves/meltCurve_Q8N142_ADSSL1.pdf</t>
  </si>
  <si>
    <t>Melting_Curves/meltCurve_Q8N163_KIAA1967.pdf</t>
  </si>
  <si>
    <t>Melting_Curves/meltCurve_Q8N183_NDUFAF2.pdf</t>
  </si>
  <si>
    <t>Melting_Curves/meltCurve_Q8N196_SIX5.pdf</t>
  </si>
  <si>
    <t>Melting_Curves/meltCurve_Q8N1A6_C4orf33.pdf</t>
  </si>
  <si>
    <t>Melting_Curves/meltCurve_Q8N1B4_VPS52.pdf</t>
  </si>
  <si>
    <t>Melting_Curves/meltCurve_Q8N1F7_NUP93.pdf</t>
  </si>
  <si>
    <t>Melting_Curves/meltCurve_Q8N1G0_ZNF687.pdf</t>
  </si>
  <si>
    <t>Melting_Curves/meltCurve_Q8N1G1_REXO1.pdf</t>
  </si>
  <si>
    <t>Melting_Curves/meltCurve_Q8N1G2_FTSJD2.pdf</t>
  </si>
  <si>
    <t>Melting_Curves/meltCurve_Q8N1G4_LRRC47.pdf</t>
  </si>
  <si>
    <t>Melting_Curves/meltCurve_Q8N1I1_FAM115C.pdf</t>
  </si>
  <si>
    <t>Melting_Curves/meltCurve_Q8N1N4_KRT78.pdf</t>
  </si>
  <si>
    <t>Melting_Curves/meltCurve_Q8N1Q1_CA13.pdf</t>
  </si>
  <si>
    <t>Melting_Curves/meltCurve_Q8N201_INTS1.pdf</t>
  </si>
  <si>
    <t>Melting_Curves/meltCurve_Q8N2F6_3_ARMC10.pdf</t>
  </si>
  <si>
    <t>Melting_Curves/meltCurve_Q8N2K0_ABHD12.pdf</t>
  </si>
  <si>
    <t>Melting_Curves/meltCurve_Q8N2W9_PIAS4.pdf</t>
  </si>
  <si>
    <t>Melting_Curves/meltCurve_Q8N300_CCDC23.pdf</t>
  </si>
  <si>
    <t>Melting_Curves/meltCurve_Q8N302_AGGF1.pdf</t>
  </si>
  <si>
    <t>Melting_Curves/meltCurve_Q8N335_GPD1L.pdf</t>
  </si>
  <si>
    <t>Melting_Curves/meltCurve_Q8N344_MIER2.pdf</t>
  </si>
  <si>
    <t>Melting_Curves/meltCurve_Q8N350_DOS.pdf</t>
  </si>
  <si>
    <t>Melting_Curves/meltCurve_Q8N371_KDM8.pdf</t>
  </si>
  <si>
    <t>Melting_Curves/meltCurve_Q8N392_ARHGAP18.pdf</t>
  </si>
  <si>
    <t>Melting_Curves/meltCurve_Q8N3C0_ASCC3.pdf</t>
  </si>
  <si>
    <t>Melting_Curves/meltCurve_Q8N3D4_EHBP1L1.pdf</t>
  </si>
  <si>
    <t>Melting_Curves/meltCurve_Q8N3F8_MICALL1.pdf</t>
  </si>
  <si>
    <t>Melting_Curves/meltCurve_Q8N3J3_3_C17orf53.pdf</t>
  </si>
  <si>
    <t>Melting_Curves/meltCurve_Q8N3P4_3_VPS8.pdf</t>
  </si>
  <si>
    <t>Melting_Curves/meltCurve_Q8N3R9_MPP5.pdf</t>
  </si>
  <si>
    <t>Melting_Curves/meltCurve_Q8N3X1_FNBP4.pdf</t>
  </si>
  <si>
    <t>Melting_Curves/meltCurve_Q8N3X6_3_LCORL.pdf</t>
  </si>
  <si>
    <t>Melting_Curves/meltCurve_Q8N3Y1_2_FBXW8.pdf</t>
  </si>
  <si>
    <t>Melting_Curves/meltCurve_Q8N465_2_D2HGDH.pdf</t>
  </si>
  <si>
    <t>Melting_Curves/meltCurve_Q8N488_RYBP.pdf</t>
  </si>
  <si>
    <t>Melting_Curves/meltCurve_Q8N4C8_4_MINK1.pdf</t>
  </si>
  <si>
    <t>Melting_Curves/meltCurve_Q8N4H5_TOMM5.pdf</t>
  </si>
  <si>
    <t>Melting_Curves/meltCurve_Q8N4J0_C9orf41.pdf</t>
  </si>
  <si>
    <t>Melting_Curves/meltCurve_Q8N4N3_2_KLHL36.pdf</t>
  </si>
  <si>
    <t>Melting_Curves/meltCurve_Q8N4P3_HDDC3.pdf</t>
  </si>
  <si>
    <t>Melting_Curves/meltCurve_Q8N4Q0_ZADH2.pdf</t>
  </si>
  <si>
    <t>Melting_Curves/meltCurve_Q8N4Q1_CHCHD4.pdf</t>
  </si>
  <si>
    <t>Melting_Curves/meltCurve_Q8N4T8_CBR4.pdf</t>
  </si>
  <si>
    <t>Melting_Curves/meltCurve_Q8N556_AFAP1.pdf</t>
  </si>
  <si>
    <t>Melting_Curves/meltCurve_Q8N567_ZCCHC9.pdf</t>
  </si>
  <si>
    <t>Melting_Curves/meltCurve_Q8N573_8_OXR1.pdf</t>
  </si>
  <si>
    <t>Melting_Curves/meltCurve_Q8N5A5_3_ZGPAT.pdf</t>
  </si>
  <si>
    <t>Melting_Curves/meltCurve_Q8N5C6_SRBD1.pdf</t>
  </si>
  <si>
    <t>Melting_Curves/meltCurve_Q8N5C7_DTWD1.pdf</t>
  </si>
  <si>
    <t>Melting_Curves/meltCurve_Q8N5C8_2_TAB3.pdf</t>
  </si>
  <si>
    <t>Melting_Curves/meltCurve_Q8N5D0_4_WDTC1.pdf</t>
  </si>
  <si>
    <t>Melting_Curves/meltCurve_Q8N5F7_NKAP.pdf</t>
  </si>
  <si>
    <t>Melting_Curves/meltCurve_Q8N5G2_TMEM57.pdf</t>
  </si>
  <si>
    <t>Melting_Curves/meltCurve_Q8N5I9_C12orf45.pdf</t>
  </si>
  <si>
    <t>Melting_Curves/meltCurve_Q8N5K1_CISD2.pdf</t>
  </si>
  <si>
    <t>Melting_Curves/meltCurve_Q8N5L8_RPP25L.pdf</t>
  </si>
  <si>
    <t>Melting_Curves/meltCurve_Q8N5M1_ATPAF2.pdf</t>
  </si>
  <si>
    <t>Melting_Curves/meltCurve_Q8N5N7_MRPL50.pdf</t>
  </si>
  <si>
    <t>Melting_Curves/meltCurve_Q8N5P1_ZC3H8.pdf</t>
  </si>
  <si>
    <t>Melting_Curves/meltCurve_Q8N5S9_CAMKK1.pdf</t>
  </si>
  <si>
    <t>Melting_Curves/meltCurve_Q8N5U6_RNF10.pdf</t>
  </si>
  <si>
    <t>Melting_Curves/meltCurve_Q8N5X7_2_EIF4E3.pdf</t>
  </si>
  <si>
    <t>Melting_Curves/meltCurve_Q8N5Y2_4_MSL3.pdf</t>
  </si>
  <si>
    <t>Melting_Curves/meltCurve_Q8N612_3_FAM160A2.pdf</t>
  </si>
  <si>
    <t>Melting_Curves/meltCurve_Q8N653_LZTR1.pdf</t>
  </si>
  <si>
    <t>Melting_Curves/meltCurve_Q8N655_C10orf12.pdf</t>
  </si>
  <si>
    <t>Melting_Curves/meltCurve_Q8N668_COMMD1.pdf</t>
  </si>
  <si>
    <t>Melting_Curves/meltCurve_Q8N680_ZBTB2.pdf</t>
  </si>
  <si>
    <t>Melting_Curves/meltCurve_Q8N684_CPSF7.pdf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</si>
  <si>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</si>
  <si>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</si>
  <si>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</si>
  <si>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</si>
  <si>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Melting_Curves/meltCurve_Q8N6T7_2_SIRT6.pdf</t>
  </si>
  <si>
    <t>Melting_Curves/meltCurve_Q8N720_3_ZNF655.pdf</t>
  </si>
  <si>
    <t>Melting_Curves/meltCurve_Q8N7X4_MAGEB6.pdf</t>
  </si>
  <si>
    <t>Melting_Curves/meltCurve_Q8N806_UBR7.pdf</t>
  </si>
  <si>
    <t>Melting_Curves/meltCurve_Q8N819_2_PPM1N.pdf</t>
  </si>
  <si>
    <t>Melting_Curves/meltCurve_Q8N8A6_DDX51.pdf</t>
  </si>
  <si>
    <t>Melting_Curves/meltCurve_Q8N8N7_PTGR2.pdf</t>
  </si>
  <si>
    <t>Melting_Curves/meltCurve_Q8N8R5_C2orf69.pdf</t>
  </si>
  <si>
    <t>Melting_Curves/meltCurve_Q8N8R7_ARL14EP.pdf</t>
  </si>
  <si>
    <t>Melting_Curves/meltCurve_Q8N8S7_2_ENAH.pdf</t>
  </si>
  <si>
    <t>Melting_Curves/meltCurve_Q8N954_GPATCH11.pdf</t>
  </si>
  <si>
    <t>Melting_Curves/meltCurve_Q8N960_CEP120.pdf</t>
  </si>
  <si>
    <t>Melting_Curves/meltCurve_Q8N998_CCDC89.pdf</t>
  </si>
  <si>
    <t>Melting_Curves/meltCurve_Q8N999_C12orf29.pdf</t>
  </si>
  <si>
    <t>Melting_Curves/meltCurve_Q8N9B5_2_JMY.pdf</t>
  </si>
  <si>
    <t>Melting_Curves/meltCurve_Q8N9F0_NAT8L.pdf</t>
  </si>
  <si>
    <t>Melting_Curves/meltCurve_Q8N9L1_4_ZIC4.pdf</t>
  </si>
  <si>
    <t>Melting_Curves/meltCurve_Q8N9M1_C19orf47.pdf</t>
  </si>
  <si>
    <t>Melting_Curves/meltCurve_Q8N9M5_TMEM102.pdf</t>
  </si>
  <si>
    <t>Melting_Curves/meltCurve_Q8N9N5_7_BANP.pdf</t>
  </si>
  <si>
    <t>Melting_Curves/meltCurve_Q8N9N7_LRRC57.pdf</t>
  </si>
  <si>
    <t>Melting_Curves/meltCurve_Q8N9N8_EIF1AD.pdf</t>
  </si>
  <si>
    <t>Melting_Curves/meltCurve_Q8N9Q2_SREK1IP1.pdf</t>
  </si>
  <si>
    <t>Melting_Curves/meltCurve_Q8N9R8_SCAI.pdf</t>
  </si>
  <si>
    <t>Melting_Curves/meltCurve_Q8N9V3_WDSUB1.pdf</t>
  </si>
  <si>
    <t>Melting_Curves/meltCurve_Q8N9Z2_CCDC71L.pdf</t>
  </si>
  <si>
    <t>Melting_Curves/meltCurve_Q8NAF0_ZNF579.pdf</t>
  </si>
  <si>
    <t>Melting_Curves/meltCurve_Q8NAP3_ZBTB38.pdf</t>
  </si>
  <si>
    <t>Melting_Curves/meltCurve_Q8NAT2_TDRD5.pdf</t>
  </si>
  <si>
    <t>Melting_Curves/meltCurve_Q8NAV1_PRPF38A.pdf</t>
  </si>
  <si>
    <t>Melting_Curves/meltCurve_Q8NB15_2_ZNF511.pdf</t>
  </si>
  <si>
    <t>Melting_Curves/meltCurve_Q8NB16_MLKL.pdf</t>
  </si>
  <si>
    <t>Melting_Curves/meltCurve_Q8NB37_3_PDDC1.pdf</t>
  </si>
  <si>
    <t>Melting_Curves/meltCurve_Q8NB42_2_ZNF527.pdf</t>
  </si>
  <si>
    <t>Melting_Curves/meltCurve_Q8NB46_ANKRD52.pdf</t>
  </si>
  <si>
    <t>Melting_Curves/meltCurve_Q8NB78_KDM1B.pdf</t>
  </si>
  <si>
    <t>Melting_Curves/meltCurve_Q8NB90_SPATA5.pdf</t>
  </si>
  <si>
    <t>Melting_Curves/meltCurve_Q8NBA8_DTWD2.pdf</t>
  </si>
  <si>
    <t>Melting_Curves/meltCurve_Q8NBF2_NHLRC2.pdf</t>
  </si>
  <si>
    <t>Melting_Curves/meltCurve_Q8NBF6_2_AVL9.pdf</t>
  </si>
  <si>
    <t>Melting_Curves/meltCurve_Q8NBJ5_COLGALT1.pdf</t>
  </si>
  <si>
    <t>Melting_Curves/meltCurve_Q8NBJ7_SUMF2.pdf</t>
  </si>
  <si>
    <t>Melting_Curves/meltCurve_Q8NBL1_POGLUT1.pdf</t>
  </si>
  <si>
    <t>Melting_Curves/meltCurve_Q8NBM4_4_UBAC2.pdf</t>
  </si>
  <si>
    <t>Melting_Curves/meltCurve_Q8NBN7_RDH13.pdf</t>
  </si>
  <si>
    <t>Melting_Curves/meltCurve_Q8NBX0_SCCPDH.pdf</t>
  </si>
  <si>
    <t>Melting_Curves/meltCurve_Q8NBZ0_INO80E.pdf</t>
  </si>
  <si>
    <t>Melting_Curves/meltCurve_Q8NC51_2_SERBP1.pdf</t>
  </si>
  <si>
    <t>Melting_Curves/meltCurve_Q8NC56_LEMD2.pdf</t>
  </si>
  <si>
    <t>Melting_Curves/meltCurve_Q8NC60_NOA1.pdf</t>
  </si>
  <si>
    <t>Melting_Curves/meltCurve_Q8NC81_CARD10.pdf</t>
  </si>
  <si>
    <t>Melting_Curves/meltCurve_Q8NC96_NECAP1.pdf</t>
  </si>
  <si>
    <t>Melting_Curves/meltCurve_Q8NCA5_2_FAM98A.pdf</t>
  </si>
  <si>
    <t>Melting_Curves/meltCurve_Q8NCC3_PLA2G15.pdf</t>
  </si>
  <si>
    <t>Melting_Curves/meltCurve_Q8NCD3_HJURP.pdf</t>
  </si>
  <si>
    <t>Melting_Curves/meltCurve_Q8NCE0_4_TSEN2.pdf</t>
  </si>
  <si>
    <t>Melting_Curves/meltCurve_Q8NCE2_2_MTMR14.pdf</t>
  </si>
  <si>
    <t>Melting_Curves/meltCurve_Q8NCF5_NFATC2IP.pdf</t>
  </si>
  <si>
    <t>Melting_Curves/meltCurve_Q8NCN2_ZBTB34.pdf</t>
  </si>
  <si>
    <t>Melting_Curves/meltCurve_Q8NCN4_RNF169.pdf</t>
  </si>
  <si>
    <t>Melting_Curves/meltCurve_Q8NCN5_PDPR.pdf</t>
  </si>
  <si>
    <t>Melting_Curves/meltCurve_Q8NCP5_3_ZBTB44.pdf</t>
  </si>
  <si>
    <t>Melting_Curves/meltCurve_Q8NCW5_APOA1BP.pdf</t>
  </si>
  <si>
    <t>Melting_Curves/meltCurve_Q8NCY6_MSANTD4.pdf</t>
  </si>
  <si>
    <t>Melting_Curves/meltCurve_Q8ND04_SMG8.pdf</t>
  </si>
  <si>
    <t>Melting_Curves/meltCurve_Q8ND24_RNF214.pdf</t>
  </si>
  <si>
    <t>Melting_Curves/meltCurve_Q8ND30_PPFIBP2.pdf</t>
  </si>
  <si>
    <t>Melting_Curves/meltCurve_Q8ND56_2_LSM14A.pdf</t>
  </si>
  <si>
    <t>Melting_Curves/meltCurve_Q8ND76_3_CCNY.pdf</t>
  </si>
  <si>
    <t>Melting_Curves/meltCurve_Q8NDC0_MAPK1IP1L.pdf</t>
  </si>
  <si>
    <t>Melting_Curves/meltCurve_Q8NDD1_3_C1orf131.pdf</t>
  </si>
  <si>
    <t>Melting_Curves/meltCurve_Q8NDF8_PAPD5.pdf</t>
  </si>
  <si>
    <t>Melting_Curves/meltCurve_Q8NDI1_3_EHBP1.pdf</t>
  </si>
  <si>
    <t>Melting_Curves/meltCurve_Q8NDV7_2_TNRC6A.pdf</t>
  </si>
  <si>
    <t>Melting_Curves/meltCurve_Q8NDX1_PSD4.pdf</t>
  </si>
  <si>
    <t>Melting_Curves/meltCurve_Q8NDX5_7_PHC3.pdf</t>
  </si>
  <si>
    <t>Melting_Curves/meltCurve_Q8NE01_2_CNNM3.pdf</t>
  </si>
  <si>
    <t>Melting_Curves/meltCurve_Q8NE35_2_CPEB3.pdf</t>
  </si>
  <si>
    <t>Melting_Curves/meltCurve_Q8NE71_ABCF1.pdf</t>
  </si>
  <si>
    <t>Melting_Curves/meltCurve_Q8NEB9_PIK3C3.pdf</t>
  </si>
  <si>
    <t>Melting_Curves/meltCurve_Q8NEC7_GSTCD.pdf</t>
  </si>
  <si>
    <t>Melting_Curves/meltCurve_Q8NEF9_SRFBP1.pdf</t>
  </si>
  <si>
    <t>Melting_Curves/meltCurve_Q8NEJ9_2_NGDN.pdf</t>
  </si>
  <si>
    <t>Melting_Curves/meltCurve_Q8NEM2_SHCBP1.pdf</t>
  </si>
  <si>
    <t>Melting_Curves/meltCurve_Q8NEN9_PDZD8.pdf</t>
  </si>
  <si>
    <t>Melting_Curves/meltCurve_Q8NEU8_2_APPL2.pdf</t>
  </si>
  <si>
    <t>Melting_Curves/meltCurve_Q8NEY1_2_NAV1.pdf</t>
  </si>
  <si>
    <t>Melting_Curves/meltCurve_Q8NEY8_2_PPHLN1.pdf</t>
  </si>
  <si>
    <t>Melting_Curves/meltCurve_Q8NEY8_3_PPHLN1.pdf</t>
  </si>
  <si>
    <t>Melting_Curves/meltCurve_Q8NEZ2_VPS37A.pdf</t>
  </si>
  <si>
    <t>Melting_Curves/meltCurve_Q8NEZ4_MLL3.pdf</t>
  </si>
  <si>
    <t>Melting_Curves/meltCurve_Q8NEZ5_FBXO22.pdf</t>
  </si>
  <si>
    <t>Melting_Curves/meltCurve_Q8NF37_LPCAT1.pdf</t>
  </si>
  <si>
    <t>Melting_Curves/meltCurve_Q8NF50_4_DOCK8.pdf</t>
  </si>
  <si>
    <t>Melting_Curves/meltCurve_Q8NF64_3_ZMIZ2.pdf</t>
  </si>
  <si>
    <t>Melting_Curves/meltCurve_Q8NF99_ZNF397.pdf</t>
  </si>
  <si>
    <t>Melting_Curves/meltCurve_Q8NFA0_USP32.pdf</t>
  </si>
  <si>
    <t>Melting_Curves/meltCurve_Q8NFC6_BOD1L1.pdf</t>
  </si>
  <si>
    <t>Melting_Curves/meltCurve_Q8NFF5_3_FLAD1.pdf</t>
  </si>
  <si>
    <t>Melting_Curves/meltCurve_Q8NFG4_FLCN.pdf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</si>
  <si>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</si>
  <si>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</si>
  <si>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</si>
  <si>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</si>
  <si>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Melting_Curves/meltCurve_Q8NFV4_ABHD11.pdf</t>
  </si>
  <si>
    <t>Melting_Curves/meltCurve_Q8NFW8_CMAS.pdf</t>
  </si>
  <si>
    <t>Melting_Curves/meltCurve_Q8NFY9_KBTBD8.pdf</t>
  </si>
  <si>
    <t>Melting_Curves/meltCurve_Q8NFZ0_FBXO18.pdf</t>
  </si>
  <si>
    <t>Melting_Curves/meltCurve_Q8NG08_HELB.pdf</t>
  </si>
  <si>
    <t>Melting_Curves/meltCurve_Q8NG31_2_CASC5.pdf</t>
  </si>
  <si>
    <t>Melting_Curves/meltCurve_Q8NG68_TTL.pdf</t>
  </si>
  <si>
    <t>Melting_Curves/meltCurve_Q8NHG7_SVIP.pdf</t>
  </si>
  <si>
    <t>Melting_Curves/meltCurve_Q8NHG8_ZNRF2.pdf</t>
  </si>
  <si>
    <t>Melting_Curves/meltCurve_Q8NHM4_TRY6.pdf</t>
  </si>
  <si>
    <t>Melting_Curves/meltCurve_Q8NHM5_4_KDM2B.pdf</t>
  </si>
  <si>
    <t>Melting_Curves/meltCurve_Q8NHP8_PLBD2.pdf</t>
  </si>
  <si>
    <t>Melting_Curves/meltCurve_Q8NHQ8_2_RASSF8.pdf</t>
  </si>
  <si>
    <t>Melting_Curves/meltCurve_Q8NHU6_TDRD7.pdf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</si>
  <si>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</si>
  <si>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</si>
  <si>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</si>
  <si>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</si>
  <si>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Melting_Curves/meltCurve_Q8NI27_THOC2.pdf</t>
  </si>
  <si>
    <t>Melting_Curves/meltCurve_Q8NI36_WDR36.pdf</t>
  </si>
  <si>
    <t>Melting_Curves/meltCurve_Q8NI51_8_CTCFL.pdf</t>
  </si>
  <si>
    <t>Melting_Curves/meltCurve_Q8TA86_RP9.pdf</t>
  </si>
  <si>
    <t>Melting_Curves/meltCurve_Q8TAC1_RFESD.pdf</t>
  </si>
  <si>
    <t>Melting_Curves/meltCurve_Q8TAD8_SNIP1.pdf</t>
  </si>
  <si>
    <t>Melting_Curves/meltCurve_Q8TAE6_PPP1R14C.pdf</t>
  </si>
  <si>
    <t>Melting_Curves/meltCurve_Q8TAE8_GADD45GIP1.pdf</t>
  </si>
  <si>
    <t>Melting_Curves/meltCurve_Q8TAF3_WDR48.pdf</t>
  </si>
  <si>
    <t>Melting_Curves/meltCurve_Q8TAP6_CEP76.pdf</t>
  </si>
  <si>
    <t>Melting_Curves/meltCurve_Q8TAP8_PPP1R35.pdf</t>
  </si>
  <si>
    <t>Melting_Curves/meltCurve_Q8TAQ2_SMARCC2.pdf</t>
  </si>
  <si>
    <t>Melting_Curves/meltCurve_Q8TAQ2_2_SMARCC2.pdf</t>
  </si>
  <si>
    <t>Melting_Curves/meltCurve_Q8TAT6_NPLOC4.pdf</t>
  </si>
  <si>
    <t>Melting_Curves/meltCurve_Q8TAV0_2_FAM76A.pdf</t>
  </si>
  <si>
    <t>Melting_Curves/meltCurve_Q8TAX9_5_GSDMB.pdf</t>
  </si>
  <si>
    <t>Melting_Curves/meltCurve_Q8TB03_CXorf38.pdf</t>
  </si>
  <si>
    <t>Melting_Curves/meltCurve_Q8TB24_RIN3.pdf</t>
  </si>
  <si>
    <t>Melting_Curves/meltCurve_Q8TB52_FBXO30.pdf</t>
  </si>
  <si>
    <t>Melting_Curves/meltCurve_Q8TB70_TXNDC9.pdf</t>
  </si>
  <si>
    <t>Melting_Curves/meltCurve_Q8TB72_3_PUM2.pdf</t>
  </si>
  <si>
    <t>Melting_Curves/meltCurve_Q8TBA6_2_GOLGA5.pdf</t>
  </si>
  <si>
    <t>Melting_Curves/meltCurve_Q8TBB5_3_KLHDC4.pdf</t>
  </si>
  <si>
    <t>Melting_Curves/meltCurve_Q8TBC4_UBA3.pdf</t>
  </si>
  <si>
    <t>Melting_Curves/meltCurve_Q8TBC5_4_ZSCAN18.pdf</t>
  </si>
  <si>
    <t>Melting_Curves/meltCurve_Q8TBE0_3_BAHD1.pdf</t>
  </si>
  <si>
    <t>Melting_Curves/meltCurve_Q8TBE9_NANP.pdf</t>
  </si>
  <si>
    <t>Melting_Curves/meltCurve_Q8TBF2_4_FAM213B.pdf</t>
  </si>
  <si>
    <t>Melting_Curves/meltCurve_Q8TBF4_ZCRB1.pdf</t>
  </si>
  <si>
    <t>Melting_Curves/meltCurve_Q8TBM8_DNAJB14.pdf</t>
  </si>
  <si>
    <t>Melting_Curves/meltCurve_Q8TBN0_RAB3IL1.pdf</t>
  </si>
  <si>
    <t>Melting_Curves/meltCurve_Q8TBN0_2_RAB3IL1.pdf</t>
  </si>
  <si>
    <t>Melting_Curves/meltCurve_Q8TBX8_PIP4K2C.pdf</t>
  </si>
  <si>
    <t>Melting_Curves/meltCurve_Q8TBZ6_TRMT10A.pdf</t>
  </si>
  <si>
    <t>Melting_Curves/meltCurve_Q8TC07_2_TBC1D15.pdf</t>
  </si>
  <si>
    <t>Melting_Curves/meltCurve_Q8TC12_2_RDH11.pdf</t>
  </si>
  <si>
    <t>Melting_Curves/meltCurve_Q8TCA0_LRRC20.pdf</t>
  </si>
  <si>
    <t>Melting_Curves/meltCurve_Q8TCD1_C18orf32.pdf</t>
  </si>
  <si>
    <t>Melting_Curves/meltCurve_Q8TCD5_NT5C.pdf</t>
  </si>
  <si>
    <t>Melting_Curves/meltCurve_Q8TCE6_2_FAM45A.pdf</t>
  </si>
  <si>
    <t>Melting_Curves/meltCurve_Q8TCG1_KIAA1524.pdf</t>
  </si>
  <si>
    <t>Melting_Curves/meltCurve_Q8TCN5_ZNF507.pdf</t>
  </si>
  <si>
    <t>Melting_Curves/meltCurve_Q8TCS8_PNPT1.pdf</t>
  </si>
  <si>
    <t>Melting_Curves/meltCurve_Q8TCU4_3_ALMS1.pdf</t>
  </si>
  <si>
    <t>Melting_Curves/meltCurve_Q8TCY9_3_URGCP.pdf</t>
  </si>
  <si>
    <t>Melting_Curves/meltCurve_Q8TD08_2_MAPK15.pdf</t>
  </si>
  <si>
    <t>Melting_Curves/meltCurve_Q8TD16_BICD2.pdf</t>
  </si>
  <si>
    <t>Melting_Curves/meltCurve_Q8TD19_NEK9.pdf</t>
  </si>
  <si>
    <t>Melting_Curves/meltCurve_Q8TD26_CHD6.pdf</t>
  </si>
  <si>
    <t>Melting_Curves/meltCurve_Q8TD30_GPT2.pdf</t>
  </si>
  <si>
    <t>Melting_Curves/meltCurve_Q8TD55_2_PLEKHO2.pdf</t>
  </si>
  <si>
    <t>Melting_Curves/meltCurve_Q8TD57_DNAH3.pdf</t>
  </si>
  <si>
    <t>Melting_Curves/meltCurve_Q8TDB6_DTX3L.pdf</t>
  </si>
  <si>
    <t>Melting_Curves/meltCurve_Q8TDD1_DDX54.pdf</t>
  </si>
  <si>
    <t>Melting_Curves/meltCurve_Q8TDD1_2_DDX54.pdf</t>
  </si>
  <si>
    <t>Melting_Curves/meltCurve_Q8TDH9_BLOC1S5.pdf</t>
  </si>
  <si>
    <t>Melting_Curves/meltCurve_Q8TDI0_CHD5.pdf</t>
  </si>
  <si>
    <t>Melting_Curves/meltCurve_Q8TDJ6_DMXL2.pdf</t>
  </si>
  <si>
    <t>Melting_Curves/meltCurve_Q8TDM6_DLG5.pdf</t>
  </si>
  <si>
    <t>Melting_Curves/meltCurve_Q8TDN4_4_CABLES1.pdf</t>
  </si>
  <si>
    <t>Melting_Curves/meltCurve_Q8TDN6_BRIX1.pdf</t>
  </si>
  <si>
    <t>Melting_Curves/meltCurve_Q8TDQ7_GNPDA2.pdf</t>
  </si>
  <si>
    <t>Melting_Curves/meltCurve_Q8TDQ7_4_GNPDA2.pdf</t>
  </si>
  <si>
    <t>Melting_Curves/meltCurve_Q8TDR0_2_TRAF3IP1.pdf</t>
  </si>
  <si>
    <t>Melting_Curves/meltCurve_Q8TDX7_NEK7.pdf</t>
  </si>
  <si>
    <t>Melting_Curves/meltCurve_Q8TDY2_2_RB1CC1.pdf</t>
  </si>
  <si>
    <t>Melting_Curves/meltCurve_Q8TDZ2_MICAL1.pdf</t>
  </si>
  <si>
    <t>Melting_Curves/meltCurve_Q8TE04_PANK1.pdf</t>
  </si>
  <si>
    <t>Melting_Curves/meltCurve_Q8TE76_3_MORC4.pdf</t>
  </si>
  <si>
    <t>Melting_Curves/meltCurve_Q8TEA1_NSUN6.pdf</t>
  </si>
  <si>
    <t>Melting_Curves/meltCurve_Q8TEA7_3_TBCK.pdf</t>
  </si>
  <si>
    <t>Melting_Curves/meltCurve_Q8TEA8_DTD1.pdf</t>
  </si>
  <si>
    <t>Melting_Curves/meltCurve_Q8TEB1_2_DCAF11.pdf</t>
  </si>
  <si>
    <t>Melting_Curves/meltCurve_Q8TED0_UTP15.pdf</t>
  </si>
  <si>
    <t>Melting_Curves/meltCurve_Q8TEH3_DENND1A.pdf</t>
  </si>
  <si>
    <t>Melting_Curves/meltCurve_Q8TEK3_2_DOT1L.pdf</t>
  </si>
  <si>
    <t>Melting_Curves/meltCurve_Q8TEM1_NUP210.pdf</t>
  </si>
  <si>
    <t>Melting_Curves/meltCurve_Q8TEQ6_GEMIN5.pdf</t>
  </si>
  <si>
    <t>Melting_Curves/meltCurve_Q8TER5_ARHGEF40.pdf</t>
  </si>
  <si>
    <t>Melting_Curves/meltCurve_Q8TES7_5_FBF1.pdf</t>
  </si>
  <si>
    <t>Melting_Curves/meltCurve_Q8TET4_GANC.pdf</t>
  </si>
  <si>
    <t>Melting_Curves/meltCurve_Q8TEU7_RAPGEF6.pdf</t>
  </si>
  <si>
    <t>Melting_Curves/meltCurve_Q8TEV9_2_SMCR8.pdf</t>
  </si>
  <si>
    <t>Melting_Curves/meltCurve_Q8TEW0_2_PARD3.pdf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</si>
  <si>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</si>
  <si>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</si>
  <si>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</si>
  <si>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</si>
  <si>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Melting_Curves/meltCurve_Q8TF46_DIS3L.pdf</t>
  </si>
  <si>
    <t>Melting_Curves/meltCurve_Q8TF50_ZNF526.pdf</t>
  </si>
  <si>
    <t>Melting_Curves/meltCurve_Q8TF61_FBXO41.pdf</t>
  </si>
  <si>
    <t>Melting_Curves/meltCurve_Q8TF64_GIPC3.pdf</t>
  </si>
  <si>
    <t>Melting_Curves/meltCurve_Q8TF74_WIPF2.pdf</t>
  </si>
  <si>
    <t>Melting_Curves/meltCurve_Q8TF76_2_GSG2.pdf</t>
  </si>
  <si>
    <t>Melting_Curves/meltCurve_Q8WTS1_ABHD5.pdf</t>
  </si>
  <si>
    <t>Melting_Curves/meltCurve_Q8WTS6_SETD7.pdf</t>
  </si>
  <si>
    <t>Melting_Curves/meltCurve_Q8WTW3_COG1.pdf</t>
  </si>
  <si>
    <t>Melting_Curves/meltCurve_Q8WU10_PYROXD1.pdf</t>
  </si>
  <si>
    <t>Melting_Curves/meltCurve_Q8WU39_3_MZB1.pdf</t>
  </si>
  <si>
    <t>Melting_Curves/meltCurve_Q8WU76_2_SCFD2.pdf</t>
  </si>
  <si>
    <t>Melting_Curves/meltCurve_Q8WU79_SMAP2.pdf</t>
  </si>
  <si>
    <t>Melting_Curves/meltCurve_Q8WU90_ZC3H15.pdf</t>
  </si>
  <si>
    <t>Melting_Curves/meltCurve_Q8WUA2_PPIL4.pdf</t>
  </si>
  <si>
    <t>Melting_Curves/meltCurve_Q8WUA4_GTF3C2.pdf</t>
  </si>
  <si>
    <t>Melting_Curves/meltCurve_Q8WUB8_3_PHF10.pdf</t>
  </si>
  <si>
    <t>Melting_Curves/meltCurve_Q8WUD1_RAB2B.pdf</t>
  </si>
  <si>
    <t>Melting_Curves/meltCurve_Q8WUD4_CCDC12.pdf</t>
  </si>
  <si>
    <t>Melting_Curves/meltCurve_Q8WUE5_CXorf48.pdf</t>
  </si>
  <si>
    <t>Melting_Curves/meltCurve_Q8WUF5_PPP1R13L.pdf</t>
  </si>
  <si>
    <t>Melting_Curves/meltCurve_Q8WUF8_FAM172A.pdf</t>
  </si>
  <si>
    <t>Melting_Curves/meltCurve_Q8WUH1_CHURC1.pdf</t>
  </si>
  <si>
    <t>Melting_Curves/meltCurve_Q8WUH2_TGFBRAP1.pdf</t>
  </si>
  <si>
    <t>Melting_Curves/meltCurve_Q8WUH6_C12orf23.pdf</t>
  </si>
  <si>
    <t>Melting_Curves/meltCurve_Q8WUI4_3_HDAC7.pdf</t>
  </si>
  <si>
    <t>Melting_Curves/meltCurve_Q8WUJ0_STYX.pdf</t>
  </si>
  <si>
    <t>Melting_Curves/meltCurve_Q8WUM4_PDCD6IP.pdf</t>
  </si>
  <si>
    <t>Melting_Curves/meltCurve_Q8WUN7_UBTD2.pdf</t>
  </si>
  <si>
    <t>Melting_Curves/meltCurve_Q8WUQ7_CACTIN.pdf</t>
  </si>
  <si>
    <t>Melting_Curves/meltCurve_Q8WUR7_C15orf40.pdf</t>
  </si>
  <si>
    <t>Melting_Curves/meltCurve_Q8WUU5_GATAD1.pdf</t>
  </si>
  <si>
    <t>Melting_Curves/meltCurve_Q8WUW1_BRK1.pdf</t>
  </si>
  <si>
    <t>Melting_Curves/meltCurve_Q8WUX2_CHAC2.pdf</t>
  </si>
  <si>
    <t>Melting_Curves/meltCurve_Q8WUX9_CHMP7.pdf</t>
  </si>
  <si>
    <t>Melting_Curves/meltCurve_Q8WUZ0_BCL7C.pdf</t>
  </si>
  <si>
    <t>Melting_Curves/meltCurve_Q8WV22_NSMCE1.pdf</t>
  </si>
  <si>
    <t>Melting_Curves/meltCurve_Q8WV41_SNX33.pdf</t>
  </si>
  <si>
    <t>Melting_Curves/meltCurve_Q8WV92_MITD1.pdf</t>
  </si>
  <si>
    <t>Melting_Curves/meltCurve_Q8WVB3_HEXDC.pdf</t>
  </si>
  <si>
    <t>Melting_Curves/meltCurve_Q8WVB6_CHTF18.pdf</t>
  </si>
  <si>
    <t>Melting_Curves/meltCurve_Q8WVC0_LEO1.pdf</t>
  </si>
  <si>
    <t>Melting_Curves/meltCurve_Q8WVC2_RPS21.pdf</t>
  </si>
  <si>
    <t>Melting_Curves/meltCurve_Q8WVD3_RNF138.pdf</t>
  </si>
  <si>
    <t>Melting_Curves/meltCurve_Q8WVE0_N6AMT2.pdf</t>
  </si>
  <si>
    <t>Melting_Curves/meltCurve_Q8WVJ2_NUDCD2.pdf</t>
  </si>
  <si>
    <t>Melting_Curves/meltCurve_Q8WVK2_SNRNP27.pdf</t>
  </si>
  <si>
    <t>Melting_Curves/meltCurve_Q8WVL7_ANKRD49.pdf</t>
  </si>
  <si>
    <t>Melting_Curves/meltCurve_Q8WVM0_TFB1M.pdf</t>
  </si>
  <si>
    <t>Melting_Curves/meltCurve_Q8WVM8_SCFD1.pdf</t>
  </si>
  <si>
    <t>Melting_Curves/meltCurve_Q8WVT3_TRAPPC12.pdf</t>
  </si>
  <si>
    <t>Melting_Curves/meltCurve_Q8WVV4_POF1B.pdf</t>
  </si>
  <si>
    <t>Melting_Curves/meltCurve_Q8WVV9_4_HNRPLL.pdf</t>
  </si>
  <si>
    <t>Melting_Curves/meltCurve_Q8WVY7_UBLCP1.pdf</t>
  </si>
  <si>
    <t>Melting_Curves/meltCurve_Q8WW01_TSEN15.pdf</t>
  </si>
  <si>
    <t>Melting_Curves/meltCurve_Q8WW12_PCNP.pdf</t>
  </si>
  <si>
    <t>Melting_Curves/meltCurve_Q8WW33_GTSF1.pdf</t>
  </si>
  <si>
    <t>Melting_Curves/meltCurve_Q8WW59_SPRYD4.pdf</t>
  </si>
  <si>
    <t>Melting_Curves/meltCurve_Q8WWH5_TRUB1.pdf</t>
  </si>
  <si>
    <t>Melting_Curves/meltCurve_Q8WWI5_3_SLC44A1.pdf</t>
  </si>
  <si>
    <t>Melting_Curves/meltCurve_Q8WWL2_4_SPIRE2.pdf</t>
  </si>
  <si>
    <t>Melting_Curves/meltCurve_Q8WWM7_ATXN2L.pdf</t>
  </si>
  <si>
    <t>Melting_Curves/meltCurve_Q8WWQ0_PHIP.pdf</t>
  </si>
  <si>
    <t>Melting_Curves/meltCurve_Q8WWV3_RTN4IP1.pdf</t>
  </si>
  <si>
    <t>Melting_Curves/meltCurve_Q8WWW0_2_RASSF5.pdf</t>
  </si>
  <si>
    <t>Melting_Curves/meltCurve_Q8WWX9_SELM.pdf</t>
  </si>
  <si>
    <t>Melting_Curves/meltCurve_Q8WWY3_PRPF31.pdf</t>
  </si>
  <si>
    <t>Melting_Curves/meltCurve_Q8WWZ3_2_EDARADD.pdf</t>
  </si>
  <si>
    <t>Melting_Curves/meltCurve_Q8WX92_NELFB.pdf</t>
  </si>
  <si>
    <t>Melting_Curves/meltCurve_Q8WXA9_2_SREK1.pdf</t>
  </si>
  <si>
    <t>Melting_Curves/meltCurve_Q8WXB1_METTL21A.pdf</t>
  </si>
  <si>
    <t>Melting_Curves/meltCurve_Q8WXD5_GEMIN6.pdf</t>
  </si>
  <si>
    <t>Melting_Curves/meltCurve_Q8WXE0_2_CASKIN2.pdf</t>
  </si>
  <si>
    <t>Melting_Curves/meltCurve_Q8WXE1_5_ATRIP.pdf</t>
  </si>
  <si>
    <t>Melting_Curves/meltCurve_Q8WXE9_STON2.pdf</t>
  </si>
  <si>
    <t>Melting_Curves/meltCurve_Q8WXF1_PSPC1.pdf</t>
  </si>
  <si>
    <t>Melting_Curves/meltCurve_Q8WXG6_8_MADD.pdf</t>
  </si>
  <si>
    <t>Melting_Curves/meltCurve_Q8WXI4_2_ACOT11.pdf</t>
  </si>
  <si>
    <t>Melting_Curves/meltCurve_Q8WXI9_GATAD2B.pdf</t>
  </si>
  <si>
    <t>Melting_Curves/meltCurve_Q8WXR4_4_MYO3B.pdf</t>
  </si>
  <si>
    <t>Melting_Curves/meltCurve_Q8WXW3_PIBF1.pdf</t>
  </si>
  <si>
    <t>Melting_Curves/meltCurve_Q8WXW3_2_PIBF1.pdf</t>
  </si>
  <si>
    <t>Melting_Curves/meltCurve_Q8WXX5_DNAJC9.pdf</t>
  </si>
  <si>
    <t>Melting_Curves/meltCurve_Q8WY91_THAP4.pdf</t>
  </si>
  <si>
    <t>Melting_Curves/meltCurve_Q8WYA6_CTNNBL1.pdf</t>
  </si>
  <si>
    <t>Melting_Curves/meltCurve_Q8WYB5_3_KAT6B.pdf</t>
  </si>
  <si>
    <t>Melting_Curves/meltCurve_Q8WYL5_4_SSH1.pdf</t>
  </si>
  <si>
    <t>Melting_Curves/meltCurve_Q8WYN0_ATG4A.pdf</t>
  </si>
  <si>
    <t>Melting_Curves/meltCurve_Q8WYP5_AHCTF1.pdf</t>
  </si>
  <si>
    <t>Melting_Curves/meltCurve_Q8WYQ5_3_DGCR8.pdf</t>
  </si>
  <si>
    <t>Melting_Curves/meltCurve_Q8WZ19_KCTD13.pdf</t>
  </si>
  <si>
    <t>Melting_Curves/meltCurve_Q8WZ42_12_TTN.pdf</t>
  </si>
  <si>
    <t>Melting_Curves/meltCurve_Q8WZ42_5_TTN.pdf</t>
  </si>
  <si>
    <t>Melting_Curves/meltCurve_Q8WZ64_ARAP2.pdf</t>
  </si>
  <si>
    <t>Melting_Curves/meltCurve_Q8WZ82_OVCA2.pdf</t>
  </si>
  <si>
    <t>Melting_Curves/meltCurve_Q8WZA0_LZIC.pdf</t>
  </si>
  <si>
    <t>Melting_Curves/meltCurve_Q8WZA9_IRGQ.pdf</t>
  </si>
  <si>
    <t>Melting_Curves/meltCurve_Q92466_DDB2.pdf</t>
  </si>
  <si>
    <t>Melting_Curves/meltCurve_Q92481_TFAP2B.pdf</t>
  </si>
  <si>
    <t>Melting_Curves/meltCurve_Q92499_DDX1.pdf</t>
  </si>
  <si>
    <t>Melting_Curves/meltCurve_Q92506_HSD17B8.pdf</t>
  </si>
  <si>
    <t>Melting_Curves/meltCurve_Q92522_H1FX.pdf</t>
  </si>
  <si>
    <t>Melting_Curves/meltCurve_Q92526_CCT6B.pdf</t>
  </si>
  <si>
    <t>Melting_Curves/meltCurve_Q92538_GBF1.pdf</t>
  </si>
  <si>
    <t>Melting_Curves/meltCurve_Q92541_RTF1.pdf</t>
  </si>
  <si>
    <t>Melting_Curves/meltCurve_Q92544_TM9SF4.pdf</t>
  </si>
  <si>
    <t>Melting_Curves/meltCurve_Q92546_RGP1.pdf</t>
  </si>
  <si>
    <t>Melting_Curves/meltCurve_Q92547_TOPBP1.pdf</t>
  </si>
  <si>
    <t>Melting_Curves/meltCurve_Q92551_IP6K1.pdf</t>
  </si>
  <si>
    <t>Melting_Curves/meltCurve_Q92552_MRPS27.pdf</t>
  </si>
  <si>
    <t>Melting_Curves/meltCurve_Q92558_WASF1.pdf</t>
  </si>
  <si>
    <t>Melting_Curves/meltCurve_Q92560_BAP1.pdf</t>
  </si>
  <si>
    <t>Melting_Curves/meltCurve_Q92562_FIG4.pdf</t>
  </si>
  <si>
    <t>Melting_Curves/meltCurve_Q92567_2_FAM168A.pdf</t>
  </si>
  <si>
    <t>Melting_Curves/meltCurve_Q92572_AP3S1.pdf</t>
  </si>
  <si>
    <t>Melting_Curves/meltCurve_Q92574_2_TSC1.pdf</t>
  </si>
  <si>
    <t>Melting_Curves/meltCurve_Q92575_UBXN4.pdf</t>
  </si>
  <si>
    <t>Melting_Curves/meltCurve_Q92576_2_PHF3.pdf</t>
  </si>
  <si>
    <t>Melting_Curves/meltCurve_Q92581_3_SLC9A6.pdf</t>
  </si>
  <si>
    <t>Melting_Curves/meltCurve_Q92585_MAML1.pdf</t>
  </si>
  <si>
    <t>Melting_Curves/meltCurve_Q92598_2_HSPH1.pdf</t>
  </si>
  <si>
    <t>Melting_Curves/meltCurve_Q92599_2_SEPT8.pdf</t>
  </si>
  <si>
    <t>Melting_Curves/meltCurve_Q92600_RQCD1.pdf</t>
  </si>
  <si>
    <t>Melting_Curves/meltCurve_Q92608_DOCK2.pdf</t>
  </si>
  <si>
    <t>Melting_Curves/meltCurve_Q92609_TBC1D5.pdf</t>
  </si>
  <si>
    <t>Melting_Curves/meltCurve_Q92610_ZNF592.pdf</t>
  </si>
  <si>
    <t>Melting_Curves/meltCurve_Q92613_PHF16.pdf</t>
  </si>
  <si>
    <t>Melting_Curves/meltCurve_Q92614_4_MYO18A.pdf</t>
  </si>
  <si>
    <t>Melting_Curves/meltCurve_Q92615_LARP4B.pdf</t>
  </si>
  <si>
    <t>Melting_Curves/meltCurve_Q92616_GCN1L1.pdf</t>
  </si>
  <si>
    <t>Melting_Curves/meltCurve_Q92618_ZNF516.pdf</t>
  </si>
  <si>
    <t>Melting_Curves/meltCurve_Q92619_HMHA1.pdf</t>
  </si>
  <si>
    <t>Melting_Curves/meltCurve_Q92621_NUP205.pdf</t>
  </si>
  <si>
    <t>Melting_Curves/meltCurve_Q92625_ANKS1A.pdf</t>
  </si>
  <si>
    <t>Melting_Curves/meltCurve_Q92636_NSMAF.pdf</t>
  </si>
  <si>
    <t>Melting_Curves/meltCurve_Q92664_2_GTF3A.pdf</t>
  </si>
  <si>
    <t>Melting_Curves/meltCurve_Q92665_MRPS31.pdf</t>
  </si>
  <si>
    <t>Melting_Curves/meltCurve_Q92667_AKAP1.pdf</t>
  </si>
  <si>
    <t>Melting_Curves/meltCurve_Q92686_NRGN.pdf</t>
  </si>
  <si>
    <t>Melting_Curves/meltCurve_Q92688_2_ANP32B.pdf</t>
  </si>
  <si>
    <t>Melting_Curves/meltCurve_Q92692_PVRL2.pdf</t>
  </si>
  <si>
    <t>Melting_Curves/meltCurve_Q92696_RABGGTA.pdf</t>
  </si>
  <si>
    <t>Melting_Curves/meltCurve_Q92734_2_TFG.pdf</t>
  </si>
  <si>
    <t>Melting_Curves/meltCurve_Q92747_ARPC1A.pdf</t>
  </si>
  <si>
    <t>Melting_Curves/meltCurve_Q92750_TAF4B.pdf</t>
  </si>
  <si>
    <t>Melting_Curves/meltCurve_Q92759_GTF2H4.pdf</t>
  </si>
  <si>
    <t>Melting_Curves/meltCurve_Q92766_RREB1.pdf</t>
  </si>
  <si>
    <t>Melting_Curves/meltCurve_Q92769_HDAC2.pdf</t>
  </si>
  <si>
    <t>Melting_Curves/meltCurve_Q92783_2_STAM.pdf</t>
  </si>
  <si>
    <t>Melting_Curves/meltCurve_Q92784_DPF3.pdf</t>
  </si>
  <si>
    <t>Melting_Curves/meltCurve_Q92785_DPF2.pdf</t>
  </si>
  <si>
    <t>Melting_Curves/meltCurve_Q92793_CREBBP.pdf</t>
  </si>
  <si>
    <t>Melting_Curves/meltCurve_Q92794_KAT6A.pdf</t>
  </si>
  <si>
    <t>Melting_Curves/meltCurve_Q92796_3_DLG3.pdf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</si>
  <si>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</si>
  <si>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</si>
  <si>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</si>
  <si>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</si>
  <si>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Melting_Curves/meltCurve_Q92828_CORO2A.pdf</t>
  </si>
  <si>
    <t>Melting_Curves/meltCurve_Q92830_KAT2A.pdf</t>
  </si>
  <si>
    <t>Melting_Curves/meltCurve_Q92834_RPGR.pdf</t>
  </si>
  <si>
    <t>Melting_Curves/meltCurve_Q92841_DDX17.pdf</t>
  </si>
  <si>
    <t>Melting_Curves/meltCurve_Q92843_2_BCL2L2.pdf</t>
  </si>
  <si>
    <t>Melting_Curves/meltCurve_Q92844_TANK.pdf</t>
  </si>
  <si>
    <t>Melting_Curves/meltCurve_Q92845_4_KIFAP3.pdf</t>
  </si>
  <si>
    <t>Melting_Curves/meltCurve_Q92851_6_CASP10.pdf</t>
  </si>
  <si>
    <t>Melting_Curves/meltCurve_Q92854_SEMA4D.pdf</t>
  </si>
  <si>
    <t>Melting_Curves/meltCurve_Q92878_RAD50.pdf</t>
  </si>
  <si>
    <t>Melting_Curves/meltCurve_Q92879_2_CELF1.pdf</t>
  </si>
  <si>
    <t>Melting_Curves/meltCurve_Q92882_OSTF1.pdf</t>
  </si>
  <si>
    <t>Melting_Curves/meltCurve_Q92888_3_ARHGEF1.pdf</t>
  </si>
  <si>
    <t>Melting_Curves/meltCurve_Q92889_ERCC4.pdf</t>
  </si>
  <si>
    <t>Melting_Curves/meltCurve_Q92890_UFD1L.pdf</t>
  </si>
  <si>
    <t>Melting_Curves/meltCurve_Q92896_GLG1.pdf</t>
  </si>
  <si>
    <t>Melting_Curves/meltCurve_Q92900_UPF1.pdf</t>
  </si>
  <si>
    <t>Melting_Curves/meltCurve_Q92902_2_HPS1.pdf</t>
  </si>
  <si>
    <t>Melting_Curves/meltCurve_Q92905_COPS5.pdf</t>
  </si>
  <si>
    <t>Melting_Curves/meltCurve_Q92917_GPKOW.pdf</t>
  </si>
  <si>
    <t>Melting_Curves/meltCurve_Q92922_SMARCC1.pdf</t>
  </si>
  <si>
    <t>Melting_Curves/meltCurve_Q92925_SMARCD2.pdf</t>
  </si>
  <si>
    <t>Melting_Curves/meltCurve_Q92945_KHSRP.pdf</t>
  </si>
  <si>
    <t>Melting_Curves/meltCurve_Q92947_2_GCDH.pdf</t>
  </si>
  <si>
    <t>Melting_Curves/meltCurve_Q92973_2_TNPO1.pdf</t>
  </si>
  <si>
    <t>Melting_Curves/meltCurve_Q92974_3_ARHGEF2.pdf</t>
  </si>
  <si>
    <t>Melting_Curves/meltCurve_Q92979_EMG1.pdf</t>
  </si>
  <si>
    <t>Melting_Curves/meltCurve_Q92989_CLP1.pdf</t>
  </si>
  <si>
    <t>Melting_Curves/meltCurve_Q92990_GLMN.pdf</t>
  </si>
  <si>
    <t>Melting_Curves/meltCurve_Q92993_KAT5.pdf</t>
  </si>
  <si>
    <t>Melting_Curves/meltCurve_Q92994_5_BRF1.pdf</t>
  </si>
  <si>
    <t>Melting_Curves/meltCurve_Q92995_2_USP13.pdf</t>
  </si>
  <si>
    <t>Melting_Curves/meltCurve_Q93008_USP9X.pdf</t>
  </si>
  <si>
    <t>Melting_Curves/meltCurve_Q93015_2_NAT6.pdf</t>
  </si>
  <si>
    <t>Melting_Curves/meltCurve_Q93034_CUL5.pdf</t>
  </si>
  <si>
    <t>Melting_Curves/meltCurve_Q93073_2_SECISBP2L.pdf</t>
  </si>
  <si>
    <t>Melting_Curves/meltCurve_Q93074_3_MED12.pdf</t>
  </si>
  <si>
    <t>Melting_Curves/meltCurve_Q93075_TATDN2.pdf</t>
  </si>
  <si>
    <t>Melting_Curves/meltCurve_Q93077_HIST1H2AC.pdf</t>
  </si>
  <si>
    <t>Melting_Curves/meltCurve_Q93096_PTP4A1.pdf</t>
  </si>
  <si>
    <t>Melting_Curves/meltCurve_Q93100_4_PHKB.pdf</t>
  </si>
  <si>
    <t>Melting_Curves/meltCurve_Q969E8_TSR2.pdf</t>
  </si>
  <si>
    <t>Melting_Curves/meltCurve_Q969F1_GTF3C6.pdf</t>
  </si>
  <si>
    <t>Melting_Curves/meltCurve_Q969F9_HPS3.pdf</t>
  </si>
  <si>
    <t>Melting_Curves/meltCurve_Q969G3_2_SMARCE1.pdf</t>
  </si>
  <si>
    <t>Melting_Curves/meltCurve_Q969G6_RFK.pdf</t>
  </si>
  <si>
    <t>Melting_Curves/meltCurve_Q969H0_FBXW7.pdf</t>
  </si>
  <si>
    <t>Melting_Curves/meltCurve_Q969H6_2_POP5.pdf</t>
  </si>
  <si>
    <t>Melting_Curves/meltCurve_Q969H8_C19orf10.pdf</t>
  </si>
  <si>
    <t>Melting_Curves/meltCurve_Q969J2_ZKSCAN4.pdf</t>
  </si>
  <si>
    <t>Melting_Curves/meltCurve_Q969J3_LOH12CR1.pdf</t>
  </si>
  <si>
    <t>Melting_Curves/meltCurve_Q969K3_RNF34.pdf</t>
  </si>
  <si>
    <t>Melting_Curves/meltCurve_Q969L4_LSM10.pdf</t>
  </si>
  <si>
    <t>Melting_Curves/meltCurve_Q969M3_YIPF5.pdf</t>
  </si>
  <si>
    <t>Melting_Curves/meltCurve_Q969R5_L3MBTL2.pdf</t>
  </si>
  <si>
    <t>Melting_Curves/meltCurve_Q969S3_ZNF622.pdf</t>
  </si>
  <si>
    <t>Melting_Curves/meltCurve_Q969S9_2_GFM2.pdf</t>
  </si>
  <si>
    <t>Melting_Curves/meltCurve_Q969T7_2_NT5C3B.pdf</t>
  </si>
  <si>
    <t>Melting_Curves/meltCurve_Q969U6_FBXW5.pdf</t>
  </si>
  <si>
    <t>Melting_Curves/meltCurve_Q969X6_CIRH1A.pdf</t>
  </si>
  <si>
    <t>Melting_Curves/meltCurve_Q969Y2_3_GTPBP3.pdf</t>
  </si>
  <si>
    <t>Melting_Curves/meltCurve_Q969Z0_TBRG4.pdf</t>
  </si>
  <si>
    <t>Melting_Curves/meltCurve_Q96A00_2_PPP1R14A.pdf</t>
  </si>
  <si>
    <t>Melting_Curves/meltCurve_Q96A33_CCDC47.pdf</t>
  </si>
  <si>
    <t>Melting_Curves/meltCurve_Q96A37_2_RNF166.pdf</t>
  </si>
  <si>
    <t>Melting_Curves/meltCurve_Q96A49_SYAP1.pdf</t>
  </si>
  <si>
    <t>Melting_Curves/meltCurve_Q96A65_EXOC4.pdf</t>
  </si>
  <si>
    <t>Melting_Curves/meltCurve_Q96AB3_ISOC2.pdf</t>
  </si>
  <si>
    <t>Melting_Curves/meltCurve_Q96AB6_NTAN1.pdf</t>
  </si>
  <si>
    <t>Melting_Curves/meltCurve_Q96AC1_FERMT2.pdf</t>
  </si>
  <si>
    <t>Melting_Curves/meltCurve_Q96AD5_PNPLA2.pdf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</si>
  <si>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</si>
  <si>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</si>
  <si>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</si>
  <si>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</si>
  <si>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Melting_Curves/meltCurve_Q96AT1_KIAA1143.pdf</t>
  </si>
  <si>
    <t>Melting_Curves/meltCurve_Q96AT9_RPE.pdf</t>
  </si>
  <si>
    <t>Melting_Curves/meltCurve_Q96AX1_VPS33A.pdf</t>
  </si>
  <si>
    <t>Melting_Curves/meltCurve_Q96AY2_EME1.pdf</t>
  </si>
  <si>
    <t>Melting_Curves/meltCurve_Q96AY4_TTC28.pdf</t>
  </si>
  <si>
    <t>Melting_Curves/meltCurve_Q96B02_UBE2W.pdf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</si>
  <si>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</si>
  <si>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</si>
  <si>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</si>
  <si>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</si>
  <si>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Melting_Curves/meltCurve_Q96B54_ZNF428.pdf</t>
  </si>
  <si>
    <t>Melting_Curves/meltCurve_Q96B97_SH3KBP1.pdf</t>
  </si>
  <si>
    <t>Melting_Curves/meltCurve_Q96BD5_2_PHF21A.pdf</t>
  </si>
  <si>
    <t>Melting_Curves/meltCurve_Q96BD8_2_SKA1.pdf</t>
  </si>
  <si>
    <t>Melting_Curves/meltCurve_Q96BF6_NACC2.pdf</t>
  </si>
  <si>
    <t>Melting_Curves/meltCurve_Q96BH1_RNF25.pdf</t>
  </si>
  <si>
    <t>Melting_Curves/meltCurve_Q96BJ3_AIDA.pdf</t>
  </si>
  <si>
    <t>Melting_Curves/meltCurve_Q96BK5_PINX1.pdf</t>
  </si>
  <si>
    <t>Melting_Curves/meltCurve_Q96BN2_TADA1.pdf</t>
  </si>
  <si>
    <t>Melting_Curves/meltCurve_Q96BN8_FAM105B.pdf</t>
  </si>
  <si>
    <t>Melting_Curves/meltCurve_Q96BP3_PPWD1.pdf</t>
  </si>
  <si>
    <t>Melting_Curves/meltCurve_Q96BR5_SELRC1.pdf</t>
  </si>
  <si>
    <t>Melting_Curves/meltCurve_Q96BR6_2_ZNF669.pdf</t>
  </si>
  <si>
    <t>Melting_Curves/meltCurve_Q96BS2_TESC.pdf</t>
  </si>
  <si>
    <t>Melting_Curves/meltCurve_Q96BT7_ALKBH8.pdf</t>
  </si>
  <si>
    <t>Melting_Curves/meltCurve_Q96BW5_2_PTER.pdf</t>
  </si>
  <si>
    <t>Melting_Curves/meltCurve_Q96BX8_MOB3A.pdf</t>
  </si>
  <si>
    <t>Melting_Curves/meltCurve_Q96BY7_ATG2B.pdf</t>
  </si>
  <si>
    <t>Melting_Curves/meltCurve_Q96BZ8_LENG1.pdf</t>
  </si>
  <si>
    <t>Melting_Curves/meltCurve_Q96BZ9_TBC1D20.pdf</t>
  </si>
  <si>
    <t>Melting_Curves/meltCurve_Q96C00_ZBTB9.pdf</t>
  </si>
  <si>
    <t>Melting_Curves/meltCurve_Q96C01_FAM136A.pdf</t>
  </si>
  <si>
    <t>Melting_Curves/meltCurve_Q96C19_EFHD2.pdf</t>
  </si>
  <si>
    <t>Melting_Curves/meltCurve_Q96C23_GALM.pdf</t>
  </si>
  <si>
    <t>Melting_Curves/meltCurve_Q96C24_SYTL4.pdf</t>
  </si>
  <si>
    <t>Melting_Curves/meltCurve_Q96C36_PYCR2.pdf</t>
  </si>
  <si>
    <t>Melting_Curves/meltCurve_Q96C86_DCPS.pdf</t>
  </si>
  <si>
    <t>Melting_Curves/meltCurve_Q96C90_PPP1R14B.pdf</t>
  </si>
  <si>
    <t>Melting_Curves/meltCurve_Q96C92_2_SDCCAG3.pdf</t>
  </si>
  <si>
    <t>Melting_Curves/meltCurve_Q96CB8_INTS12.pdf</t>
  </si>
  <si>
    <t>Melting_Curves/meltCurve_Q96CB9_4_NSUN4.pdf</t>
  </si>
  <si>
    <t>Melting_Curves/meltCurve_Q96CD0_FBXL8.pdf</t>
  </si>
  <si>
    <t>Melting_Curves/meltCurve_Q96CD2_PPCDC.pdf</t>
  </si>
  <si>
    <t>Melting_Curves/meltCurve_Q96CF2_CHMP4C.pdf</t>
  </si>
  <si>
    <t>Melting_Curves/meltCurve_Q96CN4_EVI5L.pdf</t>
  </si>
  <si>
    <t>Melting_Curves/meltCurve_Q96CN7_ISOC1.pdf</t>
  </si>
  <si>
    <t>Melting_Curves/meltCurve_Q96CN9_GCC1.pdf</t>
  </si>
  <si>
    <t>Melting_Curves/meltCurve_Q96CP2_FLYWCH2.pdf</t>
  </si>
  <si>
    <t>Melting_Curves/meltCurve_Q96CS2_HAUS1.pdf</t>
  </si>
  <si>
    <t>Melting_Curves/meltCurve_Q96CS3_FAF2.pdf</t>
  </si>
  <si>
    <t>Melting_Curves/meltCurve_Q96CT7_CCDC124.pdf</t>
  </si>
  <si>
    <t>Melting_Curves/meltCurve_Q96CU9_3_FOXRED1.pdf</t>
  </si>
  <si>
    <t>Melting_Curves/meltCurve_Q96CV9_2_OPTN.pdf</t>
  </si>
  <si>
    <t>Melting_Curves/meltCurve_Q96CW1_2_AP2M1.pdf</t>
  </si>
  <si>
    <t>Melting_Curves/meltCurve_Q96CW5_TUBGCP3.pdf</t>
  </si>
  <si>
    <t>Melting_Curves/meltCurve_Q96CW6_SLC7A6OS.pdf</t>
  </si>
  <si>
    <t>Melting_Curves/meltCurve_Q96D46_NMD3.pdf</t>
  </si>
  <si>
    <t>Melting_Curves/meltCurve_Q96D71_3_REPS1.pdf</t>
  </si>
  <si>
    <t>Melting_Curves/meltCurve_Q96DA6_2_DNAJC19.pdf</t>
  </si>
  <si>
    <t>Melting_Curves/meltCurve_Q96DB5_RMDN1.pdf</t>
  </si>
  <si>
    <t>Melting_Curves/meltCurve_Q96DC7_TMCO6.pdf</t>
  </si>
  <si>
    <t>Melting_Curves/meltCurve_Q96DC8_ECHDC3.pdf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</si>
  <si>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</si>
  <si>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</si>
  <si>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</si>
  <si>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</si>
  <si>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Melting_Curves/meltCurve_Q96DH6_2_MSI2.pdf</t>
  </si>
  <si>
    <t>Melting_Curves/meltCurve_Q96DI7_SNRNP40.pdf</t>
  </si>
  <si>
    <t>Melting_Curves/meltCurve_Q96DN6_MBD6.pdf</t>
  </si>
  <si>
    <t>Melting_Curves/meltCurve_Q96DT0_3_LGALS12.pdf</t>
  </si>
  <si>
    <t>Melting_Curves/meltCurve_Q96DT5_DNAH11.pdf</t>
  </si>
  <si>
    <t>Melting_Curves/meltCurve_Q96DT6_ATG4C.pdf</t>
  </si>
  <si>
    <t>Melting_Curves/meltCurve_Q96DT7_ZBTB10.pdf</t>
  </si>
  <si>
    <t>Melting_Curves/meltCurve_Q96DU7_ITPKC.pdf</t>
  </si>
  <si>
    <t>Melting_Curves/meltCurve_Q96DX4_RSPRY1.pdf</t>
  </si>
  <si>
    <t>Melting_Curves/meltCurve_Q96DX7_TRIM44.pdf</t>
  </si>
  <si>
    <t>Melting_Curves/meltCurve_Q96DZ1_2_ERLEC1.pdf</t>
  </si>
  <si>
    <t>Melting_Curves/meltCurve_Q96E09_FAM122A.pdf</t>
  </si>
  <si>
    <t>Melting_Curves/meltCurve_Q96E11_8_MRRF.pdf</t>
  </si>
  <si>
    <t>Melting_Curves/meltCurve_Q96E14_RMI2.pdf</t>
  </si>
  <si>
    <t>Melting_Curves/meltCurve_Q96E39_RBMXL1.pdf</t>
  </si>
  <si>
    <t>Melting_Curves/meltCurve_Q96EA4_SPDL1.pdf</t>
  </si>
  <si>
    <t>Melting_Curves/meltCurve_Q96EB1_ELP4.pdf</t>
  </si>
  <si>
    <t>Melting_Curves/meltCurve_Q96EB6_SIRT1.pdf</t>
  </si>
  <si>
    <t>Melting_Curves/meltCurve_Q96ED9_2_HOOK2.pdf</t>
  </si>
  <si>
    <t>Melting_Curves/meltCurve_Q96EE3_SEH1L.pdf</t>
  </si>
  <si>
    <t>Melting_Curves/meltCurve_Q96EH3_MALSU1.pdf</t>
  </si>
  <si>
    <t>Melting_Curves/meltCurve_Q96EK4_THAP11.pdf</t>
  </si>
  <si>
    <t>Melting_Curves/meltCurve_Q96EK5_KIAA1279.pdf</t>
  </si>
  <si>
    <t>Melting_Curves/meltCurve_Q96EK6_GNPNAT1.pdf</t>
  </si>
  <si>
    <t>Melting_Curves/meltCurve_Q96EK9_KTI12.pdf</t>
  </si>
  <si>
    <t>Melting_Curves/meltCurve_Q96EL3_MRPL53.pdf</t>
  </si>
  <si>
    <t>Melting_Curves/meltCurve_Q96EM0_L3HYPDH.pdf</t>
  </si>
  <si>
    <t>Melting_Curves/meltCurve_Q96EN8_MOCOS.pdf</t>
  </si>
  <si>
    <t>Melting_Curves/meltCurve_Q96EP0_RNF31.pdf</t>
  </si>
  <si>
    <t>Melting_Curves/meltCurve_Q96EP1_2_CHFR.pdf</t>
  </si>
  <si>
    <t>Melting_Curves/meltCurve_Q96EP5_DAZAP1.pdf</t>
  </si>
  <si>
    <t>Melting_Curves/meltCurve_Q96EQ0_SGTB.pdf</t>
  </si>
  <si>
    <t>Melting_Curves/meltCurve_Q96ER3_SAAL1.pdf</t>
  </si>
  <si>
    <t>Melting_Curves/meltCurve_Q96ES7_CCDC101.pdf</t>
  </si>
  <si>
    <t>Melting_Curves/meltCurve_Q96EU6_2_RRP36.pdf</t>
  </si>
  <si>
    <t>Melting_Curves/meltCurve_Q96EV2_RBM33.pdf</t>
  </si>
  <si>
    <t>Melting_Curves/meltCurve_Q96EV8_DTNBP1.pdf</t>
  </si>
  <si>
    <t>Melting_Curves/meltCurve_Q96EW2_HSPBAP1.pdf</t>
  </si>
  <si>
    <t>Melting_Curves/meltCurve_Q96EY1_2_DNAJA3.pdf</t>
  </si>
  <si>
    <t>Melting_Curves/meltCurve_Q96EY4_TMA16.pdf</t>
  </si>
  <si>
    <t>Melting_Curves/meltCurve_Q96EY5_MVB12A.pdf</t>
  </si>
  <si>
    <t>Melting_Curves/meltCurve_Q96EY7_PTCD3.pdf</t>
  </si>
  <si>
    <t>Melting_Curves/meltCurve_Q96EY8_MMAB.pdf</t>
  </si>
  <si>
    <t>Melting_Curves/meltCurve_Q96EY9_ADAT3.pdf</t>
  </si>
  <si>
    <t>Melting_Curves/meltCurve_Q96EZ8_3_MCRS1.pdf</t>
  </si>
  <si>
    <t>Melting_Curves/meltCurve_Q96F24_2_NRBF2.pdf</t>
  </si>
  <si>
    <t>Melting_Curves/meltCurve_Q96F44_3_TRIM11.pdf</t>
  </si>
  <si>
    <t>Melting_Curves/meltCurve_Q96F63_CCDC97.pdf</t>
  </si>
  <si>
    <t>Melting_Curves/meltCurve_Q96F86_EDC3.pdf</t>
  </si>
  <si>
    <t>Melting_Curves/meltCurve_Q96FC9_4_DDX11.pdf</t>
  </si>
  <si>
    <t>Melting_Curves/meltCurve_Q96FF9_CDCA5.pdf</t>
  </si>
  <si>
    <t>Melting_Curves/meltCurve_Q96FJ2_DYNLL2.pdf</t>
  </si>
  <si>
    <t>Melting_Curves/meltCurve_Q96FK6_WDR89.pdf</t>
  </si>
  <si>
    <t>Melting_Curves/meltCurve_Q96FN4_CPNE2.pdf</t>
  </si>
  <si>
    <t>Melting_Curves/meltCurve_Q96FN9_DTD2.pdf</t>
  </si>
  <si>
    <t>Melting_Curves/meltCurve_Q96FS4_SIPA1.pdf</t>
  </si>
  <si>
    <t>Melting_Curves/meltCurve_Q96FT9_IFT43.pdf</t>
  </si>
  <si>
    <t>Melting_Curves/meltCurve_Q96FV2_2_SCRN2.pdf</t>
  </si>
  <si>
    <t>Melting_Curves/meltCurve_Q96FV9_THOC1.pdf</t>
  </si>
  <si>
    <t>Melting_Curves/meltCurve_Q96FX2_DPH3.pdf</t>
  </si>
  <si>
    <t>Melting_Curves/meltCurve_Q96FX7_TRMT61A.pdf</t>
  </si>
  <si>
    <t>Melting_Curves/meltCurve_Q96G03_PGM2.pdf</t>
  </si>
  <si>
    <t>Melting_Curves/meltCurve_Q96G25_MED8.pdf</t>
  </si>
  <si>
    <t>Melting_Curves/meltCurve_Q96G28_CCDC104.pdf</t>
  </si>
  <si>
    <t>Melting_Curves/meltCurve_Q96G46_DUS3L.pdf</t>
  </si>
  <si>
    <t>Melting_Curves/meltCurve_Q96G74_3_OTUD5.pdf</t>
  </si>
  <si>
    <t>Melting_Curves/meltCurve_Q96GA3_LTV1.pdf</t>
  </si>
  <si>
    <t>Melting_Curves/meltCurve_Q96GA7_SDSL.pdf</t>
  </si>
  <si>
    <t>Melting_Curves/meltCurve_Q96GD0_PDXP.pdf</t>
  </si>
  <si>
    <t>Melting_Curves/meltCurve_Q96GE4_CEP95.pdf</t>
  </si>
  <si>
    <t>Melting_Curves/meltCurve_Q96GG9_DCUN1D1.pdf</t>
  </si>
  <si>
    <t>Melting_Curves/meltCurve_Q96GJ1_3_TRMT2B.pdf</t>
  </si>
  <si>
    <t>Melting_Curves/meltCurve_Q96GK7_FAHD2A.pdf</t>
  </si>
  <si>
    <t>Melting_Curves/meltCurve_Q96GM5_SMARCD1.pdf</t>
  </si>
  <si>
    <t>Melting_Curves/meltCurve_Q96GM8_TOE1.pdf</t>
  </si>
  <si>
    <t>Melting_Curves/meltCurve_Q96GQ7_DDX27.pdf</t>
  </si>
  <si>
    <t>Melting_Curves/meltCurve_Q96GS4_C17orf59.pdf</t>
  </si>
  <si>
    <t>Melting_Curves/meltCurve_Q96GV9_C5orf30.pdf</t>
  </si>
  <si>
    <t>Melting_Curves/meltCurve_Q96GW9_MARS2.pdf</t>
  </si>
  <si>
    <t>Melting_Curves/meltCurve_Q96GX2_ATXN7L3B.pdf</t>
  </si>
  <si>
    <t>Melting_Curves/meltCurve_Q96GX5_2_MASTL.pdf</t>
  </si>
  <si>
    <t>Melting_Curves/meltCurve_Q96GX9_APIP.pdf</t>
  </si>
  <si>
    <t>Melting_Curves/meltCurve_Q96GY0_ZC2HC1A.pdf</t>
  </si>
  <si>
    <t>Melting_Curves/meltCurve_Q96GY3_LIN37.pdf</t>
  </si>
  <si>
    <t>Melting_Curves/meltCurve_Q96H20_SNF8.pdf</t>
  </si>
  <si>
    <t>Melting_Curves/meltCurve_Q96H35_RBM18.pdf</t>
  </si>
  <si>
    <t>Melting_Curves/meltCurve_Q96H79_ZC3HAV1L.pdf</t>
  </si>
  <si>
    <t>Melting_Curves/meltCurve_Q96HA7_2_TONSL.pdf</t>
  </si>
  <si>
    <t>Melting_Curves/meltCurve_Q96HB5_2_CCDC120.pdf</t>
  </si>
  <si>
    <t>Melting_Curves/meltCurve_Q96HC4_PDLIM5.pdf</t>
  </si>
  <si>
    <t>Melting_Curves/meltCurve_Q96HE7_ERO1L.pdf</t>
  </si>
  <si>
    <t>Melting_Curves/meltCurve_Q96HJ9_C7orf55.pdf</t>
  </si>
  <si>
    <t>Melting_Curves/meltCurve_Q96HN2_2_AHCYL2.pdf</t>
  </si>
  <si>
    <t>Melting_Curves/meltCurve_Q96HP0_DOCK6.pdf</t>
  </si>
  <si>
    <t>Melting_Curves/meltCurve_Q96HP4_OXNAD1.pdf</t>
  </si>
  <si>
    <t>Melting_Curves/meltCurve_Q96HQ2_CDKN2AIPNL.pdf</t>
  </si>
  <si>
    <t>Melting_Curves/meltCurve_Q96HR8_2_NAF1.pdf</t>
  </si>
  <si>
    <t>Melting_Curves/meltCurve_Q96HS1_PGAM5.pdf</t>
  </si>
  <si>
    <t>Melting_Curves/meltCurve_Q96HW7_INTS4.pdf</t>
  </si>
  <si>
    <t>Melting_Curves/meltCurve_Q96HY6_DDRGK1.pdf</t>
  </si>
  <si>
    <t>Melting_Curves/meltCurve_Q96HY7_DHTKD1.pdf</t>
  </si>
  <si>
    <t>Melting_Curves/meltCurve_Q96I15_SCLY.pdf</t>
  </si>
  <si>
    <t>Melting_Curves/meltCurve_Q96I23_PYURF.pdf</t>
  </si>
  <si>
    <t>Melting_Curves/meltCurve_Q96I24_FUBP3.pdf</t>
  </si>
  <si>
    <t>Melting_Curves/meltCurve_Q96I25_RBM17.pdf</t>
  </si>
  <si>
    <t>Melting_Curves/meltCurve_Q96I51_WBSCR16.pdf</t>
  </si>
  <si>
    <t>Melting_Curves/meltCurve_Q96I59_NARS2.pdf</t>
  </si>
  <si>
    <t>Melting_Curves/meltCurve_Q96I99_SUCLG2.pdf</t>
  </si>
  <si>
    <t>Melting_Curves/meltCurve_Q96II8_LRCH3.pdf</t>
  </si>
  <si>
    <t>Melting_Curves/meltCurve_Q96IJ6_GMPPA.pdf</t>
  </si>
  <si>
    <t>Melting_Curves/meltCurve_Q96IK1_BOD1.pdf</t>
  </si>
  <si>
    <t>Melting_Curves/meltCurve_Q96IQ9_ZNF414.pdf</t>
  </si>
  <si>
    <t>Melting_Curves/meltCurve_Q96IR2_ZNF845.pdf</t>
  </si>
  <si>
    <t>Melting_Curves/meltCurve_Q96IU4_ABHD14B.pdf</t>
  </si>
  <si>
    <t>Melting_Curves/meltCurve_Q96IV0_2_NGLY1.pdf</t>
  </si>
  <si>
    <t>Melting_Curves/meltCurve_Q96IY1_NSL1.pdf</t>
  </si>
  <si>
    <t>Melting_Curves/meltCurve_Q96IZ0_PAWR.pdf</t>
  </si>
  <si>
    <t>Melting_Curves/meltCurve_Q96IZ5_2_RBM41.pdf</t>
  </si>
  <si>
    <t>Melting_Curves/meltCurve_Q96IZ7_2_RSRC1.pdf</t>
  </si>
  <si>
    <t>Melting_Curves/meltCurve_Q96J01_THOC3.pdf</t>
  </si>
  <si>
    <t>Melting_Curves/meltCurve_Q96J02_2_ITCH.pdf</t>
  </si>
  <si>
    <t>Melting_Curves/meltCurve_Q96J92_WNK4.pdf</t>
  </si>
  <si>
    <t>Melting_Curves/meltCurve_Q96JB2_COG3.pdf</t>
  </si>
  <si>
    <t>Melting_Curves/meltCurve_Q96JB3_2_HIC2.pdf</t>
  </si>
  <si>
    <t>Melting_Curves/meltCurve_Q96JB5_CDK5RAP3.pdf</t>
  </si>
  <si>
    <t>Melting_Curves/meltCurve_Q96JC1_2_VPS39.pdf</t>
  </si>
  <si>
    <t>Melting_Curves/meltCurve_Q96JC9_EAF1.pdf</t>
  </si>
  <si>
    <t>Melting_Curves/meltCurve_Q96JG6_CCDC132.pdf</t>
  </si>
  <si>
    <t>Melting_Curves/meltCurve_Q96JH7_VCPIP1.pdf</t>
  </si>
  <si>
    <t>Melting_Curves/meltCurve_Q96JI7_2_SPG11.pdf</t>
  </si>
  <si>
    <t>Melting_Curves/meltCurve_Q96JK2_2_DCAF5.pdf</t>
  </si>
  <si>
    <t>Melting_Curves/meltCurve_Q96JK9_MAML3.pdf</t>
  </si>
  <si>
    <t>Melting_Curves/meltCurve_Q96JM3_CHAMP1.pdf</t>
  </si>
  <si>
    <t>Melting_Curves/meltCurve_Q96JM7_2_L3MBTL3.pdf</t>
  </si>
  <si>
    <t>Melting_Curves/meltCurve_Q96JN2_2_CCDC136.pdf</t>
  </si>
  <si>
    <t>Melting_Curves/meltCurve_Q96JP5_ZFP91.pdf</t>
  </si>
  <si>
    <t>Melting_Curves/meltCurve_Q96JS3_PGBD1.pdf</t>
  </si>
  <si>
    <t>Melting_Curves/meltCurve_Q96K17_BTF3L4.pdf</t>
  </si>
  <si>
    <t>Melting_Curves/meltCurve_Q96K31_C8orf76.pdf</t>
  </si>
  <si>
    <t>Melting_Curves/meltCurve_Q96K58_ZNF668.pdf</t>
  </si>
  <si>
    <t>Melting_Curves/meltCurve_Q96K83_ZNF521.pdf</t>
  </si>
  <si>
    <t>Melting_Curves/meltCurve_Q96KB5_PBK.pdf</t>
  </si>
  <si>
    <t>Melting_Curves/meltCurve_Q96KC2_ARL5B.pdf</t>
  </si>
  <si>
    <t>Melting_Curves/meltCurve_Q96KC8_DNAJC1.pdf</t>
  </si>
  <si>
    <t>Melting_Curves/meltCurve_Q96KG9_3_SCYL1.pdf</t>
  </si>
  <si>
    <t>Melting_Curves/meltCurve_Q96KM6_ZNF512B.pdf</t>
  </si>
  <si>
    <t>Melting_Curves/meltCurve_Q96KP1_EXOC2.pdf</t>
  </si>
  <si>
    <t>Melting_Curves/meltCurve_Q96KP4_CNDP2.pdf</t>
  </si>
  <si>
    <t>Melting_Curves/meltCurve_Q96KR1_ZFR.pdf</t>
  </si>
  <si>
    <t>Melting_Curves/meltCurve_Q96L91_3_EP400.pdf</t>
  </si>
  <si>
    <t>Melting_Curves/meltCurve_Q96L92_SNX27.pdf</t>
  </si>
  <si>
    <t>Melting_Curves/meltCurve_Q96L93_6_KIF16B.pdf</t>
  </si>
  <si>
    <t>Melting_Curves/meltCurve_Q96LA8_PRMT6.pdf</t>
  </si>
  <si>
    <t>Melting_Curves/meltCurve_Q96LB3_IFT74.pdf</t>
  </si>
  <si>
    <t>Melting_Curves/meltCurve_Q96LD8_SENP8.pdf</t>
  </si>
  <si>
    <t>Melting_Curves/meltCurve_Q96LI5_2_CNOT6L.pdf</t>
  </si>
  <si>
    <t>Melting_Curves/meltCurve_Q96LJ8_UBXN10.pdf</t>
  </si>
  <si>
    <t>Melting_Curves/meltCurve_Q96LR5_UBE2E2.pdf</t>
  </si>
  <si>
    <t>Melting_Curves/meltCurve_Q96LT7_C9orf72.pdf</t>
  </si>
  <si>
    <t>Melting_Curves/meltCurve_Q96LZ7_RMDN2.pdf</t>
  </si>
  <si>
    <t>Melting_Curves/meltCurve_Q96M27_PRRC1.pdf</t>
  </si>
  <si>
    <t>Melting_Curves/meltCurve_Q96ME1_4_FBXL18.pdf</t>
  </si>
  <si>
    <t>Melting_Curves/meltCurve_Q96ME7_2_ZNF512.pdf</t>
  </si>
  <si>
    <t>Melting_Curves/meltCurve_Q96MG7_NDNL2.pdf</t>
  </si>
  <si>
    <t>Melting_Curves/meltCurve_Q96MH2_HEXIM2.pdf</t>
  </si>
  <si>
    <t>Melting_Curves/meltCurve_Q96MT0_.pdf</t>
  </si>
  <si>
    <t>Melting_Curves/meltCurve_Q96MU7_YTHDC1.pdf</t>
  </si>
  <si>
    <t>Melting_Curves/meltCurve_Q96MW1_CCDC43.pdf</t>
  </si>
  <si>
    <t>Melting_Curves/meltCurve_Q96MW5_COG8.pdf</t>
  </si>
  <si>
    <t>Melting_Curves/meltCurve_Q96MX3_ZNF48.pdf</t>
  </si>
  <si>
    <t>Melting_Curves/meltCurve_Q96MX6_WDR92.pdf</t>
  </si>
  <si>
    <t>Melting_Curves/meltCurve_Q96MY1_C20orf112.pdf</t>
  </si>
  <si>
    <t>Melting_Curves/meltCurve_Q96N06_C16orf55.pdf</t>
  </si>
  <si>
    <t>Melting_Curves/meltCurve_Q96N11_2_C7orf26.pdf</t>
  </si>
  <si>
    <t>Melting_Curves/meltCurve_Q96N21_2_ENTHD2.pdf</t>
  </si>
  <si>
    <t>Melting_Curves/meltCurve_Q96N66_2_MBOAT7.pdf</t>
  </si>
  <si>
    <t>Melting_Curves/meltCurve_Q96N67_4_DOCK7.pdf</t>
  </si>
  <si>
    <t>Melting_Curves/meltCurve_Q96NA2_RILP.pdf</t>
  </si>
  <si>
    <t>Melting_Curves/meltCurve_Q96NB1_FOPNL.pdf</t>
  </si>
  <si>
    <t>Melting_Curves/meltCurve_Q96NB3_ZNF830.pdf</t>
  </si>
  <si>
    <t>Melting_Curves/meltCurve_Q96NC0_ZMAT2.pdf</t>
  </si>
  <si>
    <t>Melting_Curves/meltCurve_Q96NL8_C8orf37.pdf</t>
  </si>
  <si>
    <t>Melting_Curves/meltCurve_Q96NT1_NAP1L5.pdf</t>
  </si>
  <si>
    <t>Melting_Curves/meltCurve_Q96P11_2_NSUN5.pdf</t>
  </si>
  <si>
    <t>Melting_Curves/meltCurve_Q96P16_RPRD1A.pdf</t>
  </si>
  <si>
    <t>Melting_Curves/meltCurve_Q96P47_AGAP3.pdf</t>
  </si>
  <si>
    <t>Melting_Curves/meltCurve_Q96P48_ARAP1.pdf</t>
  </si>
  <si>
    <t>Melting_Curves/meltCurve_Q96P70_IPO9.pdf</t>
  </si>
  <si>
    <t>Melting_Curves/meltCurve_Q96PC3_3_AP1S3.pdf</t>
  </si>
  <si>
    <t>Melting_Curves/meltCurve_Q96PK6_RBM14.pdf</t>
  </si>
  <si>
    <t>Melting_Curves/meltCurve_Q96PM5_RCHY1.pdf</t>
  </si>
  <si>
    <t>Melting_Curves/meltCurve_Q96PM9_ZNF385A.pdf</t>
  </si>
  <si>
    <t>Melting_Curves/meltCurve_Q96PQ6_4_ZNF317.pdf</t>
  </si>
  <si>
    <t>Melting_Curves/meltCurve_Q96PU5_6_NEDD4L.pdf</t>
  </si>
  <si>
    <t>Melting_Curves/meltCurve_Q96PU8_9_QKI.pdf</t>
  </si>
  <si>
    <t>Melting_Curves/meltCurve_Q96PV6_2_LENG8.pdf</t>
  </si>
  <si>
    <t>Melting_Curves/meltCurve_Q96PY5_FMNL2.pdf</t>
  </si>
  <si>
    <t>Melting_Curves/meltCurve_Q96PY6_2_NEK1.pdf</t>
  </si>
  <si>
    <t>Melting_Curves/meltCurve_Q96PZ0_PUS7.pdf</t>
  </si>
  <si>
    <t>Melting_Curves/meltCurve_Q96Q05_3_TRAPPC9.pdf</t>
  </si>
  <si>
    <t>Melting_Curves/meltCurve_Q96Q11_2_TRNT1.pdf</t>
  </si>
  <si>
    <t>Melting_Curves/meltCurve_Q96Q15_SMG1.pdf</t>
  </si>
  <si>
    <t>Melting_Curves/meltCurve_Q96Q42_ALS2.pdf</t>
  </si>
  <si>
    <t>Melting_Curves/meltCurve_Q96Q45_2_TMEM237.pdf</t>
  </si>
  <si>
    <t>Melting_Curves/meltCurve_Q96Q89_4_KIF20B.pdf</t>
  </si>
  <si>
    <t>Melting_Curves/meltCurve_Q96QC0_PPP1R10.pdf</t>
  </si>
  <si>
    <t>Melting_Curves/meltCurve_Q96QD9_FYTTD1.pdf</t>
  </si>
  <si>
    <t>Melting_Curves/meltCurve_Q96QE3_2_ATAD5.pdf</t>
  </si>
  <si>
    <t>Melting_Curves/meltCurve_Q96QF0_2_RAB3IP.pdf</t>
  </si>
  <si>
    <t>Melting_Curves/meltCurve_Q96QG7_MTMR9.pdf</t>
  </si>
  <si>
    <t>Melting_Curves/meltCurve_Q96QK1_VPS35.pdf</t>
  </si>
  <si>
    <t>Melting_Curves/meltCurve_Q96QR8_PURB.pdf</t>
  </si>
  <si>
    <t>Melting_Curves/meltCurve_Q96QT6_4_PHF12.pdf</t>
  </si>
  <si>
    <t>Melting_Curves/meltCurve_Q96QU6_ACCS.pdf</t>
  </si>
  <si>
    <t>Melting_Curves/meltCurve_Q96QU8_XPO6.pdf</t>
  </si>
  <si>
    <t>Melting_Curves/meltCurve_Q96QZ7_7_MAGI1.pdf</t>
  </si>
  <si>
    <t>Melting_Curves/meltCurve_Q96R06_SPAG5.pdf</t>
  </si>
  <si>
    <t>Melting_Curves/meltCurve_Q96RE7_NACC1.pdf</t>
  </si>
  <si>
    <t>Melting_Curves/meltCurve_Q96RF0_3_SNX18.pdf</t>
  </si>
  <si>
    <t>Melting_Curves/meltCurve_Q96RG2_PASK.pdf</t>
  </si>
  <si>
    <t>Melting_Curves/meltCurve_Q96RL1_UIMC1.pdf</t>
  </si>
  <si>
    <t>Melting_Curves/meltCurve_Q96RL7_4_VPS13A.pdf</t>
  </si>
  <si>
    <t>Melting_Curves/meltCurve_Q96RN5_MED15.pdf</t>
  </si>
  <si>
    <t>Melting_Curves/meltCurve_Q96RP9_GFM1.pdf</t>
  </si>
  <si>
    <t>Melting_Curves/meltCurve_Q96RQ3_MCCC1.pdf</t>
  </si>
  <si>
    <t>Melting_Curves/meltCurve_Q96RR4_6_CAMKK2.pdf</t>
  </si>
  <si>
    <t>Melting_Curves/meltCurve_Q96RS0_TGS1.pdf</t>
  </si>
  <si>
    <t>Melting_Curves/meltCurve_Q96RS6_NUDCD1.pdf</t>
  </si>
  <si>
    <t>Melting_Curves/meltCurve_Q96RT1_9_ERBB2IP.pdf</t>
  </si>
  <si>
    <t>Melting_Curves/meltCurve_Q96RU2_2_USP28.pdf</t>
  </si>
  <si>
    <t>Melting_Curves/meltCurve_Q96RU3_2_FNBP1.pdf</t>
  </si>
  <si>
    <t>Melting_Curves/meltCurve_Q96RY7_IFT140.pdf</t>
  </si>
  <si>
    <t>Melting_Curves/meltCurve_Q96S15_2_WDR24.pdf</t>
  </si>
  <si>
    <t>Melting_Curves/meltCurve_Q96S19_C16orf13.pdf</t>
  </si>
  <si>
    <t>Melting_Curves/meltCurve_Q96S38_RPS6KC1.pdf</t>
  </si>
  <si>
    <t>Melting_Curves/meltCurve_Q96S44_TP53RK.pdf</t>
  </si>
  <si>
    <t>Melting_Curves/meltCurve_Q96S52_2_PIGS.pdf</t>
  </si>
  <si>
    <t>Melting_Curves/meltCurve_Q96S55_2_WRNIP1.pdf</t>
  </si>
  <si>
    <t>Melting_Curves/meltCurve_Q96S59_RANBP9.pdf</t>
  </si>
  <si>
    <t>Melting_Curves/meltCurve_Q96S66_4_CLCC1.pdf</t>
  </si>
  <si>
    <t>Melting_Curves/meltCurve_Q96S82_UBL7.pdf</t>
  </si>
  <si>
    <t>Melting_Curves/meltCurve_Q96S90_LYSMD1.pdf</t>
  </si>
  <si>
    <t>Melting_Curves/meltCurve_Q96S94_CCNL2.pdf</t>
  </si>
  <si>
    <t>Melting_Curves/meltCurve_Q96S99_PLEKHF1.pdf</t>
  </si>
  <si>
    <t>Melting_Curves/meltCurve_Q96SB3_PPP1R9B.pdf</t>
  </si>
  <si>
    <t>Melting_Curves/meltCurve_Q96SB8_SMC6.pdf</t>
  </si>
  <si>
    <t>Melting_Curves/meltCurve_Q96SI1_KCTD15.pdf</t>
  </si>
  <si>
    <t>Melting_Curves/meltCurve_Q96SI9_STRBP.pdf</t>
  </si>
  <si>
    <t>Melting_Curves/meltCurve_Q96SK2_2_TMEM209.pdf</t>
  </si>
  <si>
    <t>Melting_Curves/meltCurve_Q96SN8_4_CDK5RAP2.pdf</t>
  </si>
  <si>
    <t>Melting_Curves/meltCurve_Q96ST2_IWS1.pdf</t>
  </si>
  <si>
    <t>Melting_Curves/meltCurve_Q96ST3_SIN3A.pdf</t>
  </si>
  <si>
    <t>Melting_Curves/meltCurve_Q96SU4_7_OSBPL9.pdf</t>
  </si>
  <si>
    <t>Melting_Curves/meltCurve_Q96SW2_2_CRBN.pdf</t>
  </si>
  <si>
    <t>Melting_Curves/meltCurve_Q96SY0_4_VWA9.pdf</t>
  </si>
  <si>
    <t>Melting_Curves/meltCurve_Q96SZ5_ADO.pdf</t>
  </si>
  <si>
    <t>Melting_Curves/meltCurve_Q96T21_SECISBP2.pdf</t>
  </si>
  <si>
    <t>Melting_Curves/meltCurve_Q96T23_2_RSF1.pdf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</si>
  <si>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</si>
  <si>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</si>
  <si>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</si>
  <si>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</si>
  <si>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Melting_Curves/meltCurve_Q96T76_MMS19.pdf</t>
  </si>
  <si>
    <t>Melting_Curves/meltCurve_Q96T88_UHRF1.pdf</t>
  </si>
  <si>
    <t>Melting_Curves/meltCurve_Q96TA1_2_FAM129B.pdf</t>
  </si>
  <si>
    <t>Melting_Curves/meltCurve_Q96TC7_RMDN3.pdf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</si>
  <si>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</si>
  <si>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</si>
  <si>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</si>
  <si>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</si>
  <si>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Melting_Curves/meltCurve_Q99447_PCYT2.pdf</t>
  </si>
  <si>
    <t>Melting_Curves/meltCurve_Q99456_KRT12.pdf</t>
  </si>
  <si>
    <t>Melting_Curves/meltCurve_Q99459_CDC5L.pdf</t>
  </si>
  <si>
    <t>Melting_Curves/meltCurve_Q99460_PSMD1.pdf</t>
  </si>
  <si>
    <t>Melting_Curves/meltCurve_Q99471_PFDN5.pdf</t>
  </si>
  <si>
    <t>Melting_Curves/meltCurve_Q99487_PAFAH2.pdf</t>
  </si>
  <si>
    <t>Melting_Curves/meltCurve_Q99496_RNF2.pdf</t>
  </si>
  <si>
    <t>Melting_Curves/meltCurve_Q99497_PARK7.pdf</t>
  </si>
  <si>
    <t>Melting_Curves/meltCurve_Q99501_GAS2L1.pdf</t>
  </si>
  <si>
    <t>Melting_Curves/meltCurve_Q99519_NEU1.pdf</t>
  </si>
  <si>
    <t>Melting_Curves/meltCurve_Q99523_SORT1.pdf</t>
  </si>
  <si>
    <t>Melting_Curves/meltCurve_Q99536_VAT1.pdf</t>
  </si>
  <si>
    <t>Melting_Curves/meltCurve_Q99541_PLIN2.pdf</t>
  </si>
  <si>
    <t>Melting_Curves/meltCurve_Q99543_DNAJC2.pdf</t>
  </si>
  <si>
    <t>Melting_Curves/meltCurve_Q99543_2_DNAJC2.pdf</t>
  </si>
  <si>
    <t>Melting_Curves/meltCurve_Q99549_MPHOSPH8.pdf</t>
  </si>
  <si>
    <t>Melting_Curves/meltCurve_Q99567_NUP88.pdf</t>
  </si>
  <si>
    <t>Melting_Curves/meltCurve_Q99570_PIK3R4.pdf</t>
  </si>
  <si>
    <t>Melting_Curves/meltCurve_Q99575_POP1.pdf</t>
  </si>
  <si>
    <t>Melting_Curves/meltCurve_Q99576_3_TSC22D3.pdf</t>
  </si>
  <si>
    <t>Melting_Curves/meltCurve_Q99583_MNT.pdf</t>
  </si>
  <si>
    <t>Melting_Curves/meltCurve_Q99584_S100A13.pdf</t>
  </si>
  <si>
    <t>Melting_Curves/meltCurve_Q99590_2_SCAF11.pdf</t>
  </si>
  <si>
    <t>Melting_Curves/meltCurve_Q99598_TSNAX.pdf</t>
  </si>
  <si>
    <t>Melting_Curves/meltCurve_Q99607_ELF4.pdf</t>
  </si>
  <si>
    <t>Melting_Curves/meltCurve_Q99611_SEPHS2.pdf</t>
  </si>
  <si>
    <t>Melting_Curves/meltCurve_Q99614_TTC1.pdf</t>
  </si>
  <si>
    <t>Melting_Curves/meltCurve_Q99615_DNAJC7.pdf</t>
  </si>
  <si>
    <t>Melting_Curves/meltCurve_Q99622_C12orf57.pdf</t>
  </si>
  <si>
    <t>Melting_Curves/meltCurve_Q99633_PRPF18.pdf</t>
  </si>
  <si>
    <t>Melting_Curves/meltCurve_Q99638_RAD9A.pdf</t>
  </si>
  <si>
    <t>Melting_Curves/meltCurve_Q99640_4_PKMYT1.pdf</t>
  </si>
  <si>
    <t>Melting_Curves/meltCurve_Q99653_CHP1.pdf</t>
  </si>
  <si>
    <t>Melting_Curves/meltCurve_Q99661_KIF2C.pdf</t>
  </si>
  <si>
    <t>Melting_Curves/meltCurve_Q99700_4_ATXN2.pdf</t>
  </si>
  <si>
    <t>Melting_Curves/meltCurve_Q99704_DOK1.pdf</t>
  </si>
  <si>
    <t>Melting_Curves/meltCurve_Q99707_MTR.pdf</t>
  </si>
  <si>
    <t>Melting_Curves/meltCurve_Q99708_RBBP8.pdf</t>
  </si>
  <si>
    <t>Melting_Curves/meltCurve_Q99714_HSD17B10.pdf</t>
  </si>
  <si>
    <t>Melting_Curves/meltCurve_Q99728_BARD1.pdf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</si>
  <si>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</si>
  <si>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</si>
  <si>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</si>
  <si>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</si>
  <si>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Melting_Curves/meltCurve_Q99767_2_APBA2.pdf</t>
  </si>
  <si>
    <t>Melting_Curves/meltCurve_Q99797_MIPEP.pdf</t>
  </si>
  <si>
    <t>Melting_Curves/meltCurve_Q99798_ACO2.pdf</t>
  </si>
  <si>
    <t>Melting_Curves/meltCurve_Q99832_CCT7.pdf</t>
  </si>
  <si>
    <t>Melting_Curves/meltCurve_Q99836_MYD88.pdf</t>
  </si>
  <si>
    <t>Melting_Curves/meltCurve_Q99848_EBNA1BP2.pdf</t>
  </si>
  <si>
    <t>Melting_Curves/meltCurve_Q99856_ARID3A.pdf</t>
  </si>
  <si>
    <t>Melting_Curves/meltCurve_Q99871_3_HAUS7.pdf</t>
  </si>
  <si>
    <t>Melting_Curves/meltCurve_Q99878_HIST1H2AJ.pdf</t>
  </si>
  <si>
    <t>Melting_Curves/meltCurve_Q99879_HIST1H2BM.pdf</t>
  </si>
  <si>
    <t>Melting_Curves/meltCurve_Q99933_4_BAG1.pdf</t>
  </si>
  <si>
    <t>Melting_Curves/meltCurve_Q99941_2_ATF6B.pdf</t>
  </si>
  <si>
    <t>Melting_Curves/meltCurve_Q99942_RNF5.pdf</t>
  </si>
  <si>
    <t>Melting_Curves/meltCurve_Q99952_PTPN18.pdf</t>
  </si>
  <si>
    <t>Melting_Curves/meltCurve_Q99956_DUSP9.pdf</t>
  </si>
  <si>
    <t>Melting_Curves/meltCurve_Q99961_SH3GL1.pdf</t>
  </si>
  <si>
    <t>Melting_Curves/meltCurve_Q99963_4_SH3GL3.pdf</t>
  </si>
  <si>
    <t>Melting_Curves/meltCurve_Q99986_VRK1.pdf</t>
  </si>
  <si>
    <t>Melting_Curves/meltCurve_Q99996_2_AKAP9.pdf</t>
  </si>
  <si>
    <t>Melting_Curves/meltCurve_Q9BPW8_NIPSNAP1.pdf</t>
  </si>
  <si>
    <t>Melting_Curves/meltCurve_Q9BPX3_NCAPG.pdf</t>
  </si>
  <si>
    <t>Melting_Curves/meltCurve_Q9BPX5_ARPC5L.pdf</t>
  </si>
  <si>
    <t>Melting_Curves/meltCurve_Q9BPX6_2_MICU1.pdf</t>
  </si>
  <si>
    <t>Melting_Curves/meltCurve_Q9BPX7_C7orf25.pdf</t>
  </si>
  <si>
    <t>Melting_Curves/meltCurve_Q9BPZ3_PAIP2.pdf</t>
  </si>
  <si>
    <t>Melting_Curves/meltCurve_Q9BPZ7_3_MAPKAP1.pdf</t>
  </si>
  <si>
    <t>Melting_Curves/meltCurve_Q9BQ39_DDX50.pdf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</si>
  <si>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</si>
  <si>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</si>
  <si>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</si>
  <si>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</si>
  <si>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</si>
  <si>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Melting_Curves/meltCurve_Q9BQ90_KLHDC3.pdf</t>
  </si>
  <si>
    <t>Melting_Curves/meltCurve_Q9BQA1_WDR77.pdf</t>
  </si>
  <si>
    <t>Melting_Curves/meltCurve_Q9BQB6_3_VKORC1.pdf</t>
  </si>
  <si>
    <t>Melting_Curves/meltCurve_Q9BQC3_DPH2.pdf</t>
  </si>
  <si>
    <t>Melting_Curves/meltCurve_Q9BQE3_TUBA1C.pdf</t>
  </si>
  <si>
    <t>Melting_Curves/meltCurve_Q9BQE5_APOL2.pdf</t>
  </si>
  <si>
    <t>Melting_Curves/meltCurve_Q9BQE9_4_BCL7B.pdf</t>
  </si>
  <si>
    <t>Melting_Curves/meltCurve_Q9BQF6_4_SENP7.pdf</t>
  </si>
  <si>
    <t>Melting_Curves/meltCurve_Q9BQG0_MYBBP1A.pdf</t>
  </si>
  <si>
    <t>Melting_Curves/meltCurve_Q9BQG2_NUDT12.pdf</t>
  </si>
  <si>
    <t>Melting_Curves/meltCurve_Q9BQI0_3_AIF1L.pdf</t>
  </si>
  <si>
    <t>Melting_Curves/meltCurve_Q9BQP7_MGME1.pdf</t>
  </si>
  <si>
    <t>Melting_Curves/meltCurve_Q9BQQ3_3_GORASP1.pdf</t>
  </si>
  <si>
    <t>Melting_Curves/meltCurve_Q9BQS8_FYCO1.pdf</t>
  </si>
  <si>
    <t>Melting_Curves/meltCurve_Q9BQY4_RHOXF2.pdf</t>
  </si>
  <si>
    <t>Melting_Curves/meltCurve_Q9BR61_ACBD6.pdf</t>
  </si>
  <si>
    <t>Melting_Curves/meltCurve_Q9BR76_CORO1B.pdf</t>
  </si>
  <si>
    <t>Melting_Curves/meltCurve_Q9BRA2_TXNDC17.pdf</t>
  </si>
  <si>
    <t>Melting_Curves/meltCurve_Q9BRD0_BUD13.pdf</t>
  </si>
  <si>
    <t>Melting_Curves/meltCurve_Q9BRF8_CPPED1.pdf</t>
  </si>
  <si>
    <t>Melting_Curves/meltCurve_Q9BRG1_VPS25.pdf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</si>
  <si>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</si>
  <si>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</si>
  <si>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</si>
  <si>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</si>
  <si>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Melting_Curves/meltCurve_Q9BRR0_ZKSCAN3.pdf</t>
  </si>
  <si>
    <t>Melting_Curves/meltCurve_Q9BRR6_2_ADPGK.pdf</t>
  </si>
  <si>
    <t>Melting_Curves/meltCurve_Q9BRR8_GPATCH1.pdf</t>
  </si>
  <si>
    <t>Melting_Curves/meltCurve_Q9BRR9_4_ARHGAP9.pdf</t>
  </si>
  <si>
    <t>Melting_Curves/meltCurve_Q9BRS2_RIOK1.pdf</t>
  </si>
  <si>
    <t>Melting_Curves/meltCurve_Q9BRT3_MIEN1.pdf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</si>
  <si>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</si>
  <si>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</si>
  <si>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</si>
  <si>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</si>
  <si>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Melting_Curves/meltCurve_Q9BRX9_WDR83.pdf</t>
  </si>
  <si>
    <t>Melting_Curves/meltCurve_Q9BRZ2_TRIM56.pdf</t>
  </si>
  <si>
    <t>Melting_Curves/meltCurve_Q9BS26_ERP44.pdf</t>
  </si>
  <si>
    <t>Melting_Curves/meltCurve_Q9BSB4_ATG101.pdf</t>
  </si>
  <si>
    <t>Melting_Curves/meltCurve_Q9BSC4_NOL10.pdf</t>
  </si>
  <si>
    <t>Melting_Curves/meltCurve_Q9BSD7_NTPCR.pdf</t>
  </si>
  <si>
    <t>Melting_Curves/meltCurve_Q9BSE2_TMEM79.pdf</t>
  </si>
  <si>
    <t>Melting_Curves/meltCurve_Q9BSE4_HERPUD2.pdf</t>
  </si>
  <si>
    <t>Melting_Curves/meltCurve_Q9BSF0_C2orf88.pdf</t>
  </si>
  <si>
    <t>Melting_Curves/meltCurve_Q9BSH4_TACO1.pdf</t>
  </si>
  <si>
    <t>Melting_Curves/meltCurve_Q9BSH5_HDHD3.pdf</t>
  </si>
  <si>
    <t>Melting_Curves/meltCurve_Q9BSI4_2_TINF2.pdf</t>
  </si>
  <si>
    <t>Melting_Curves/meltCurve_Q9BSJ2_TUBGCP2.pdf</t>
  </si>
  <si>
    <t>Melting_Curves/meltCurve_Q9BSJ5_3_C17orf80.pdf</t>
  </si>
  <si>
    <t>Melting_Curves/meltCurve_Q9BSJ8_ESYT1.pdf</t>
  </si>
  <si>
    <t>Melting_Curves/meltCurve_Q9BSL1_UBAC1.pdf</t>
  </si>
  <si>
    <t>Melting_Curves/meltCurve_Q9BSM1_3_PCGF1.pdf</t>
  </si>
  <si>
    <t>Melting_Curves/meltCurve_Q9BSQ5_CCM2.pdf</t>
  </si>
  <si>
    <t>Melting_Curves/meltCurve_Q9BSR8_YIPF4.pdf</t>
  </si>
  <si>
    <t>Melting_Curves/meltCurve_Q9BST9_3_RTKN.pdf</t>
  </si>
  <si>
    <t>Melting_Curves/meltCurve_Q9BSU1_C16orf70.pdf</t>
  </si>
  <si>
    <t>Melting_Curves/meltCurve_Q9BSU3_NAA11.pdf</t>
  </si>
  <si>
    <t>Melting_Curves/meltCurve_Q9BSV6_TSEN34.pdf</t>
  </si>
  <si>
    <t>Melting_Curves/meltCurve_Q9BSW2_2_EFCAB4B.pdf</t>
  </si>
  <si>
    <t>Melting_Curves/meltCurve_Q9BSY4_CHCHD5.pdf</t>
  </si>
  <si>
    <t>Melting_Curves/meltCurve_Q9BT09_CNPY3.pdf</t>
  </si>
  <si>
    <t>Melting_Curves/meltCurve_Q9BT25_2_HAUS8.pdf</t>
  </si>
  <si>
    <t>Melting_Curves/meltCurve_Q9BT30_ALKBH7.pdf</t>
  </si>
  <si>
    <t>Melting_Curves/meltCurve_Q9BT73_PSMG3.pdf</t>
  </si>
  <si>
    <t>Melting_Curves/meltCurve_Q9BT78_COPS4.pdf</t>
  </si>
  <si>
    <t>Melting_Curves/meltCurve_Q9BT92_TCHP.pdf</t>
  </si>
  <si>
    <t>Melting_Curves/meltCurve_Q9BTA9_2_WAC.pdf</t>
  </si>
  <si>
    <t>Melting_Curves/meltCurve_Q9BTC0_DIDO1.pdf</t>
  </si>
  <si>
    <t>Melting_Curves/meltCurve_Q9BTD8_4_RBM42.pdf</t>
  </si>
  <si>
    <t>Melting_Curves/meltCurve_Q9BTE1_2_DCTN5.pdf</t>
  </si>
  <si>
    <t>Melting_Curves/meltCurve_Q9BTE3_2_MCMBP.pdf</t>
  </si>
  <si>
    <t>Melting_Curves/meltCurve_Q9BTE6_AARSD1.pdf</t>
  </si>
  <si>
    <t>Melting_Curves/meltCurve_Q9BTE6_3_AARSD1.pdf</t>
  </si>
  <si>
    <t>Melting_Curves/meltCurve_Q9BTE7_DCUN1D5.pdf</t>
  </si>
  <si>
    <t>Melting_Curves/meltCurve_Q9BTF0_THUMPD2.pdf</t>
  </si>
  <si>
    <t>Melting_Curves/meltCurve_Q9BTK6_PAGR1.pdf</t>
  </si>
  <si>
    <t>Melting_Curves/meltCurve_Q9BTL3_FAM103A1.pdf</t>
  </si>
  <si>
    <t>Melting_Curves/meltCurve_Q9BTM9_URM1.pdf</t>
  </si>
  <si>
    <t>Melting_Curves/meltCurve_Q9BTT0_ANP32E.pdf</t>
  </si>
  <si>
    <t>Melting_Curves/meltCurve_Q9BTT4_MED10.pdf</t>
  </si>
  <si>
    <t>Melting_Curves/meltCurve_Q9BTV6_WDR85.pdf</t>
  </si>
  <si>
    <t>Melting_Curves/meltCurve_Q9BTW9_TBCD.pdf</t>
  </si>
  <si>
    <t>Melting_Curves/meltCurve_Q9BTX7_TTPAL.pdf</t>
  </si>
  <si>
    <t>Melting_Curves/meltCurve_Q9BTY2_FUCA2.pdf</t>
  </si>
  <si>
    <t>Melting_Curves/meltCurve_Q9BTY7_FAM203A.pdf</t>
  </si>
  <si>
    <t>Melting_Curves/meltCurve_Q9BU02_THTPA.pdf</t>
  </si>
  <si>
    <t>Melting_Curves/meltCurve_Q9BU64_CENPO.pdf</t>
  </si>
  <si>
    <t>Melting_Curves/meltCurve_Q9BU76_MMTAG2.pdf</t>
  </si>
  <si>
    <t>Melting_Curves/meltCurve_Q9BU89_DOHH.pdf</t>
  </si>
  <si>
    <t>Melting_Curves/meltCurve_Q9BUA3_C11orf84.pdf</t>
  </si>
  <si>
    <t>Melting_Curves/meltCurve_Q9BUB4_ADAT1.pdf</t>
  </si>
  <si>
    <t>Melting_Curves/meltCurve_Q9BUB5_2_MKNK1.pdf</t>
  </si>
  <si>
    <t>Melting_Curves/meltCurve_Q9BUE0_MED18.pdf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</si>
  <si>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</si>
  <si>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</si>
  <si>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</si>
  <si>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</si>
  <si>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Melting_Curves/meltCurve_Q9BUK6_2_MSTO1.pdf</t>
  </si>
  <si>
    <t>Melting_Curves/meltCurve_Q9BUL9_RPP25.pdf</t>
  </si>
  <si>
    <t>Melting_Curves/meltCurve_Q9BUN5_CCDC28B.pdf</t>
  </si>
  <si>
    <t>Melting_Curves/meltCurve_Q9BUP0_EFHD1.pdf</t>
  </si>
  <si>
    <t>Melting_Curves/meltCurve_Q9BUQ8_DDX23.pdf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</si>
  <si>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</si>
  <si>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</si>
  <si>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</si>
  <si>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</si>
  <si>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Melting_Curves/meltCurve_Q9BV19_C1orf50.pdf</t>
  </si>
  <si>
    <t>Melting_Curves/meltCurve_Q9BV20_MRI1.pdf</t>
  </si>
  <si>
    <t>Melting_Curves/meltCurve_Q9BV38_WDR18.pdf</t>
  </si>
  <si>
    <t>Melting_Curves/meltCurve_Q9BV40_VAMP8.pdf</t>
  </si>
  <si>
    <t>Melting_Curves/meltCurve_Q9BV44_THUMPD3.pdf</t>
  </si>
  <si>
    <t>Melting_Curves/meltCurve_Q9BV57_ADI1.pdf</t>
  </si>
  <si>
    <t>Melting_Curves/meltCurve_Q9BV68_2_RNF126.pdf</t>
  </si>
  <si>
    <t>Melting_Curves/meltCurve_Q9BV73_CEP250.pdf</t>
  </si>
  <si>
    <t>Melting_Curves/meltCurve_Q9BV79_MECR.pdf</t>
  </si>
  <si>
    <t>Melting_Curves/meltCurve_Q9BV86_NTMT1.pdf</t>
  </si>
  <si>
    <t>Melting_Curves/meltCurve_Q9BVA0_KATNB1.pdf</t>
  </si>
  <si>
    <t>Melting_Curves/meltCurve_Q9BVA1_TUBB2B.pdf</t>
  </si>
  <si>
    <t>Melting_Curves/meltCurve_Q9BVC3_DSCC1.pdf</t>
  </si>
  <si>
    <t>Melting_Curves/meltCurve_Q9BVC5_C2orf49.pdf</t>
  </si>
  <si>
    <t>Melting_Curves/meltCurve_Q9BVC6_TMEM109.pdf</t>
  </si>
  <si>
    <t>Melting_Curves/meltCurve_Q9BVG4_PBDC1.pdf</t>
  </si>
  <si>
    <t>Melting_Curves/meltCurve_Q9BVI0_PHF20.pdf</t>
  </si>
  <si>
    <t>Melting_Curves/meltCurve_Q9BVI4_NOC4L.pdf</t>
  </si>
  <si>
    <t>Melting_Curves/meltCurve_Q9BVJ6_UTP14A.pdf</t>
  </si>
  <si>
    <t>Melting_Curves/meltCurve_Q9BVJ7_DUSP23.pdf</t>
  </si>
  <si>
    <t>Melting_Curves/meltCurve_Q9BVK6_TMED9.pdf</t>
  </si>
  <si>
    <t>Melting_Curves/meltCurve_Q9BVL4_SELO.pdf</t>
  </si>
  <si>
    <t>Melting_Curves/meltCurve_Q9BVM2_DPCD.pdf</t>
  </si>
  <si>
    <t>Melting_Curves/meltCurve_Q9BVM4_GGACT.pdf</t>
  </si>
  <si>
    <t>Melting_Curves/meltCurve_Q9BVP2_2_GNL3.pdf</t>
  </si>
  <si>
    <t>Melting_Curves/meltCurve_Q9BVQ7_SPATA5L1.pdf</t>
  </si>
  <si>
    <t>Melting_Curves/meltCurve_Q9BVR6_TUBGCP4.pdf</t>
  </si>
  <si>
    <t>Melting_Curves/meltCurve_Q9BVS4_RIOK2.pdf</t>
  </si>
  <si>
    <t>Melting_Curves/meltCurve_Q9BW04_SARG.pdf</t>
  </si>
  <si>
    <t>Melting_Curves/meltCurve_Q9BW19_KIFC1.pdf</t>
  </si>
  <si>
    <t>Melting_Curves/meltCurve_Q9BW27_NUP85.pdf</t>
  </si>
  <si>
    <t>Melting_Curves/meltCurve_Q9BW61_DDA1.pdf</t>
  </si>
  <si>
    <t>Melting_Curves/meltCurve_Q9BW62_KATNAL1.pdf</t>
  </si>
  <si>
    <t>Melting_Curves/meltCurve_Q9BW66_CINP.pdf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</si>
  <si>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</si>
  <si>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</si>
  <si>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</si>
  <si>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</si>
  <si>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</si>
  <si>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</si>
  <si>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Melting_Curves/meltCurve_Q9BWE0_REPIN1.pdf</t>
  </si>
  <si>
    <t>Melting_Curves/meltCurve_Q9BWF3_RBM4.pdf</t>
  </si>
  <si>
    <t>Melting_Curves/meltCurve_Q9BWH6_RPAP1.pdf</t>
  </si>
  <si>
    <t>Melting_Curves/meltCurve_Q9BWJ5_SF3B5.pdf</t>
  </si>
  <si>
    <t>Melting_Curves/meltCurve_Q9BWN1_PRR14.pdf</t>
  </si>
  <si>
    <t>Melting_Curves/meltCurve_Q9BWS9_3_CHID1.pdf</t>
  </si>
  <si>
    <t>Melting_Curves/meltCurve_Q9BWT3_PAPOLG.pdf</t>
  </si>
  <si>
    <t>Melting_Curves/meltCurve_Q9BWT7_CARD10.pdf</t>
  </si>
  <si>
    <t>Melting_Curves/meltCurve_Q9BWU0_SLC4A1AP.pdf</t>
  </si>
  <si>
    <t>Melting_Curves/meltCurve_Q9BWW4_2_SSBP3.pdf</t>
  </si>
  <si>
    <t>Melting_Curves/meltCurve_Q9BWW5_SSDP4.pdf</t>
  </si>
  <si>
    <t>Melting_Curves/meltCurve_Q9BWW8_APOL6.pdf</t>
  </si>
  <si>
    <t>Melting_Curves/meltCurve_Q9BX10_2_GTPBP2.pdf</t>
  </si>
  <si>
    <t>Melting_Curves/meltCurve_Q9BX40_LSM14B.pdf</t>
  </si>
  <si>
    <t>Melting_Curves/meltCurve_Q9BX63_BRIP1.pdf</t>
  </si>
  <si>
    <t>Melting_Curves/meltCurve_Q9BX66_6_SORBS1.pdf</t>
  </si>
  <si>
    <t>Melting_Curves/meltCurve_Q9BX66_9_SORBS1.pdf</t>
  </si>
  <si>
    <t>Melting_Curves/meltCurve_Q9BX68_HINT2.pdf</t>
  </si>
  <si>
    <t>Melting_Curves/meltCurve_Q9BXB4_OSBPL11.pdf</t>
  </si>
  <si>
    <t>Melting_Curves/meltCurve_Q9BXD5_NPL.pdf</t>
  </si>
  <si>
    <t>Melting_Curves/meltCurve_Q9BXF6_RAB11FIP5.pdf</t>
  </si>
  <si>
    <t>Melting_Curves/meltCurve_Q9BXH1_BBC3.pdf</t>
  </si>
  <si>
    <t>Melting_Curves/meltCurve_Q9BXI6_TBC1D10A.pdf</t>
  </si>
  <si>
    <t>Melting_Curves/meltCurve_Q9BXJ9_NAA15.pdf</t>
  </si>
  <si>
    <t>Melting_Curves/meltCurve_Q9BXK1_KLF16.pdf</t>
  </si>
  <si>
    <t>Melting_Curves/meltCurve_Q9BXK5_BCL2L13.pdf</t>
  </si>
  <si>
    <t>Melting_Curves/meltCurve_Q9BXL5_HEMGN.pdf</t>
  </si>
  <si>
    <t>Melting_Curves/meltCurve_Q9BXL7_CARD11.pdf</t>
  </si>
  <si>
    <t>Melting_Curves/meltCurve_Q9BXP5_4_SRRT.pdf</t>
  </si>
  <si>
    <t>Melting_Curves/meltCurve_Q9BXR0_QTRT1.pdf</t>
  </si>
  <si>
    <t>Melting_Curves/meltCurve_Q9BXS5_AP1M1.pdf</t>
  </si>
  <si>
    <t>Melting_Curves/meltCurve_Q9BXS6_2_NUSAP1.pdf</t>
  </si>
  <si>
    <t>Melting_Curves/meltCurve_Q9BXS6_4_NUSAP1.pdf</t>
  </si>
  <si>
    <t>Melting_Curves/meltCurve_Q9BXV9_C14orf142.pdf</t>
  </si>
  <si>
    <t>Melting_Curves/meltCurve_Q9BXW7_2_CECR5.pdf</t>
  </si>
  <si>
    <t>Melting_Curves/meltCurve_Q9BXW9_2_FANCD2.pdf</t>
  </si>
  <si>
    <t>Melting_Curves/meltCurve_Q9BXY0_MAK16.pdf</t>
  </si>
  <si>
    <t>Melting_Curves/meltCurve_Q9BY12_2_SCAPER.pdf</t>
  </si>
  <si>
    <t>Melting_Curves/meltCurve_Q9BY32_ITPA.pdf</t>
  </si>
  <si>
    <t>Melting_Curves/meltCurve_Q9BY42_RTFDC1.pdf</t>
  </si>
  <si>
    <t>Melting_Curves/meltCurve_Q9BY43_CHMP4A.pdf</t>
  </si>
  <si>
    <t>Melting_Curves/meltCurve_Q9BY44_EIF2A.pdf</t>
  </si>
  <si>
    <t>Melting_Curves/meltCurve_Q9BY77_POLDIP3.pdf</t>
  </si>
  <si>
    <t>Melting_Curves/meltCurve_Q9BYB4_GNB1L.pdf</t>
  </si>
  <si>
    <t>Melting_Curves/meltCurve_Q9BYC8_MRPL32.pdf</t>
  </si>
  <si>
    <t>Melting_Curves/meltCurve_Q9BYD6_MRPL1.pdf</t>
  </si>
  <si>
    <t>Melting_Curves/meltCurve_Q9BYE2_3_.pdf</t>
  </si>
  <si>
    <t>Melting_Curves/meltCurve_Q9BYE7_PCGF6.pdf</t>
  </si>
  <si>
    <t>Melting_Curves/meltCurve_Q9BYG3_MKI67IP.pdf</t>
  </si>
  <si>
    <t>Melting_Curves/meltCurve_Q9BYG5_PARD6B.pdf</t>
  </si>
  <si>
    <t>Melting_Curves/meltCurve_Q9BYI3_FAM126A.pdf</t>
  </si>
  <si>
    <t>Melting_Curves/meltCurve_Q9BYM8_RBCK1.pdf</t>
  </si>
  <si>
    <t>Melting_Curves/meltCurve_Q9BYN0_SRXN1.pdf</t>
  </si>
  <si>
    <t>Melting_Curves/meltCurve_Q9BYT8_NLN.pdf</t>
  </si>
  <si>
    <t>Melting_Curves/meltCurve_Q9BYV8_CEP41.pdf</t>
  </si>
  <si>
    <t>Melting_Curves/meltCurve_Q9BYV9_BACH2.pdf</t>
  </si>
  <si>
    <t>Melting_Curves/meltCurve_Q9BYW2_SETD2.pdf</t>
  </si>
  <si>
    <t>Melting_Curves/meltCurve_Q9BYX4_2_IFIH1.pdf</t>
  </si>
  <si>
    <t>Melting_Curves/meltCurve_Q9BZ29_3_DOCK9.pdf</t>
  </si>
  <si>
    <t>Melting_Curves/meltCurve_Q9BZ95_4_WHSC1L1.pdf</t>
  </si>
  <si>
    <t>Melting_Curves/meltCurve_Q9BZD4_NUF2.pdf</t>
  </si>
  <si>
    <t>Melting_Curves/meltCurve_Q9BZE2_PUS3.pdf</t>
  </si>
  <si>
    <t>Melting_Curves/meltCurve_Q9BZE9_ASPSCR1.pdf</t>
  </si>
  <si>
    <t>Melting_Curves/meltCurve_Q9BZF1_3_OSBPL8.pdf</t>
  </si>
  <si>
    <t>Melting_Curves/meltCurve_Q9BZF2_OSBPL7.pdf</t>
  </si>
  <si>
    <t>Melting_Curves/meltCurve_Q9BZF3_2_OSBPL6.pdf</t>
  </si>
  <si>
    <t>Melting_Curves/meltCurve_Q9BZH6_WDR11.pdf</t>
  </si>
  <si>
    <t>Melting_Curves/meltCurve_Q9BZI7_2_UPF3B.pdf</t>
  </si>
  <si>
    <t>Melting_Curves/meltCurve_Q9BZJ0_2_CRNKL1.pdf</t>
  </si>
  <si>
    <t>Melting_Curves/meltCurve_Q9BZK7_TBL1XR1.pdf</t>
  </si>
  <si>
    <t>Melting_Curves/meltCurve_Q9BZL1_UBL5.pdf</t>
  </si>
  <si>
    <t>Melting_Curves/meltCurve_Q9BZL4_PPP1R12C.pdf</t>
  </si>
  <si>
    <t>Melting_Curves/meltCurve_Q9BZL6_PRKD2.pdf</t>
  </si>
  <si>
    <t>Melting_Curves/meltCurve_Q9BZM1_PLA2G12A.pdf</t>
  </si>
  <si>
    <t>Melting_Curves/meltCurve_Q9BZQ8_FAM129A.pdf</t>
  </si>
  <si>
    <t>Melting_Curves/meltCurve_Q9BZV1_UBXN6.pdf</t>
  </si>
  <si>
    <t>Melting_Curves/meltCurve_Q9BZX2_UCK2.pdf</t>
  </si>
  <si>
    <t>Melting_Curves/meltCurve_Q9BZZ5_2_API5.pdf</t>
  </si>
  <si>
    <t>Melting_Curves/meltCurve_Q9C004_2_SPRY4.pdf</t>
  </si>
  <si>
    <t>Melting_Curves/meltCurve_Q9C005_DPY30.pdf</t>
  </si>
  <si>
    <t>Melting_Curves/meltCurve_Q9C010_PKIB.pdf</t>
  </si>
  <si>
    <t>Melting_Curves/meltCurve_Q9C040_TRIM2.pdf</t>
  </si>
  <si>
    <t>Melting_Curves/meltCurve_Q9C073_FAM117A.pdf</t>
  </si>
  <si>
    <t>Melting_Curves/meltCurve_Q9C099_2_LRRCC1.pdf</t>
  </si>
  <si>
    <t>Melting_Curves/meltCurve_Q9C0B0_UNK.pdf</t>
  </si>
  <si>
    <t>Melting_Curves/meltCurve_Q9C0B1_FTO.pdf</t>
  </si>
  <si>
    <t>Melting_Curves/meltCurve_Q9C0B2_3_KIAA1751.pdf</t>
  </si>
  <si>
    <t>Melting_Curves/meltCurve_Q9C0B5_2_ZDHHC5.pdf</t>
  </si>
  <si>
    <t>Melting_Curves/meltCurve_Q9C0B7_TANGO6.pdf</t>
  </si>
  <si>
    <t>Melting_Curves/meltCurve_Q9C0C2_TNKS1BP1.pdf</t>
  </si>
  <si>
    <t>Melting_Curves/meltCurve_Q9C0C4_SEMA4C.pdf</t>
  </si>
  <si>
    <t>Melting_Curves/meltCurve_Q9C0C7_4_AMBRA1.pdf</t>
  </si>
  <si>
    <t>Melting_Curves/meltCurve_Q9C0C9_UBE2O.pdf</t>
  </si>
  <si>
    <t>Melting_Curves/meltCurve_Q9C0D2_KIAA1731.pdf</t>
  </si>
  <si>
    <t>Melting_Curves/meltCurve_Q9C0D3_ZYG11B.pdf</t>
  </si>
  <si>
    <t>Melting_Curves/meltCurve_Q9C0D5_TANC1.pdf</t>
  </si>
  <si>
    <t>Melting_Curves/meltCurve_Q9C0F1_CEP44.pdf</t>
  </si>
  <si>
    <t>Melting_Curves/meltCurve_Q9C0G0_ZNF407.pdf</t>
  </si>
  <si>
    <t>Melting_Curves/meltCurve_Q9C0I1_MTMR12.pdf</t>
  </si>
  <si>
    <t>Melting_Curves/meltCurve_Q9C0J8_WDR33.pdf</t>
  </si>
  <si>
    <t>Melting_Curves/meltCurve_Q9C0K7_2_STRADB.pdf</t>
  </si>
  <si>
    <t>Melting_Curves/meltCurve_Q9GZL7_WDR12.pdf</t>
  </si>
  <si>
    <t>Melting_Curves/meltCurve_Q9GZN2_TGIF2.pdf</t>
  </si>
  <si>
    <t>Melting_Curves/meltCurve_Q9GZN8_C20orf27.pdf</t>
  </si>
  <si>
    <t>Melting_Curves/meltCurve_Q9GZP4_PITHD1.pdf</t>
  </si>
  <si>
    <t>Melting_Curves/meltCurve_Q9GZQ3_COMMD5.pdf</t>
  </si>
  <si>
    <t>Melting_Curves/meltCurve_Q9GZR1_2_SENP6.pdf</t>
  </si>
  <si>
    <t>Melting_Curves/meltCurve_Q9GZR2_REXO4.pdf</t>
  </si>
  <si>
    <t>Melting_Curves/meltCurve_Q9GZS1_2_POLR1E.pdf</t>
  </si>
  <si>
    <t>Melting_Curves/meltCurve_Q9GZS3_WDR61.pdf</t>
  </si>
  <si>
    <t>Melting_Curves/meltCurve_Q9GZT3_2_SLIRP.pdf</t>
  </si>
  <si>
    <t>Melting_Curves/meltCurve_Q9GZT4_SRR.pdf</t>
  </si>
  <si>
    <t>Melting_Curves/meltCurve_Q9GZT8_2_NIF3L1.pdf</t>
  </si>
  <si>
    <t>Melting_Curves/meltCurve_Q9GZT9_EGLN1.pdf</t>
  </si>
  <si>
    <t>Melting_Curves/meltCurve_Q9GZU8_FAM192A.pdf</t>
  </si>
  <si>
    <t>Melting_Curves/meltCurve_Q9GZX9_TWSG1.pdf</t>
  </si>
  <si>
    <t>Melting_Curves/meltCurve_Q9GZY8_2_MFF.pdf</t>
  </si>
  <si>
    <t>Melting_Curves/meltCurve_Q9GZZ9_UBA5.pdf</t>
  </si>
  <si>
    <t>Melting_Curves/meltCurve_Q9H008_LHPP.pdf</t>
  </si>
  <si>
    <t>Melting_Curves/meltCurve_Q9H074_PAIP1.pdf</t>
  </si>
  <si>
    <t>Melting_Curves/meltCurve_Q9H074_2_PAIP1.pdf</t>
  </si>
  <si>
    <t>Melting_Curves/meltCurve_Q9H079_KATNBL1.pdf</t>
  </si>
  <si>
    <t>Melting_Curves/meltCurve_Q9H081_MIS12.pdf</t>
  </si>
  <si>
    <t>Melting_Curves/meltCurve_Q9H082_RAB33B.pdf</t>
  </si>
  <si>
    <t>Melting_Curves/meltCurve_Q9H094_2_NBPF3.pdf</t>
  </si>
  <si>
    <t>Melting_Curves/meltCurve_Q9H098_FAM107B.pdf</t>
  </si>
  <si>
    <t>Melting_Curves/meltCurve_Q9H0A0_NAT10.pdf</t>
  </si>
  <si>
    <t>Melting_Curves/meltCurve_Q9H0A8_COMMD4.pdf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</si>
  <si>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</si>
  <si>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</si>
  <si>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</si>
  <si>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</si>
  <si>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Melting_Curves/meltCurve_Q9H0E9_2_BRD8.pdf</t>
  </si>
  <si>
    <t>Melting_Curves/meltCurve_Q9H0F6_SHARPIN.pdf</t>
  </si>
  <si>
    <t>Melting_Curves/meltCurve_Q9H0F7_ARL6.pdf</t>
  </si>
  <si>
    <t>Melting_Curves/meltCurve_Q9H0G5_NSRP1.pdf</t>
  </si>
  <si>
    <t>Melting_Curves/meltCurve_Q9H0H5_RACGAP1.pdf</t>
  </si>
  <si>
    <t>Melting_Curves/meltCurve_Q9H0I2_2_ENKD1.pdf</t>
  </si>
  <si>
    <t>Melting_Curves/meltCurve_Q9H0J9_PARP12.pdf</t>
  </si>
  <si>
    <t>Melting_Curves/meltCurve_Q9H0K1_SIK2.pdf</t>
  </si>
  <si>
    <t>Melting_Curves/meltCurve_Q9H0K6_PUS7L.pdf</t>
  </si>
  <si>
    <t>Melting_Curves/meltCurve_Q9H0L4_CSTF2T.pdf</t>
  </si>
  <si>
    <t>Melting_Curves/meltCurve_Q9H0P0_3_NT5C3A.pdf</t>
  </si>
  <si>
    <t>Melting_Curves/meltCurve_Q9H0R1_AP5M1.pdf</t>
  </si>
  <si>
    <t>Melting_Curves/meltCurve_Q9H0R4_HDHD2.pdf</t>
  </si>
  <si>
    <t>Melting_Curves/meltCurve_Q9H0R6_QRSL1.pdf</t>
  </si>
  <si>
    <t>Melting_Curves/meltCurve_Q9H0S4_2_DDX47.pdf</t>
  </si>
  <si>
    <t>Melting_Curves/meltCurve_Q9H0U4_RAB1B.pdf</t>
  </si>
  <si>
    <t>Melting_Curves/meltCurve_Q9H0U9_TSPYL1.pdf</t>
  </si>
  <si>
    <t>Melting_Curves/meltCurve_Q9H0W5_CCDC8.pdf</t>
  </si>
  <si>
    <t>Melting_Curves/meltCurve_Q9H0W8_2_SMG9.pdf</t>
  </si>
  <si>
    <t>Melting_Curves/meltCurve_Q9H0W9_C11orf54.pdf</t>
  </si>
  <si>
    <t>Melting_Curves/meltCurve_Q9H116_GZF1.pdf</t>
  </si>
  <si>
    <t>Melting_Curves/meltCurve_Q9H173_SIL1.pdf</t>
  </si>
  <si>
    <t>Melting_Curves/meltCurve_Q9H175_CSRNP2.pdf</t>
  </si>
  <si>
    <t>Melting_Curves/meltCurve_Q9H1A4_ANAPC1.pdf</t>
  </si>
  <si>
    <t>Melting_Curves/meltCurve_Q9H1B7_IRF2BPL.pdf</t>
  </si>
  <si>
    <t>Melting_Curves/meltCurve_Q9H1D9_POLR3F.pdf</t>
  </si>
  <si>
    <t>Melting_Curves/meltCurve_Q9H1E3_NUCKS1.pdf</t>
  </si>
  <si>
    <t>Melting_Curves/meltCurve_Q9H1I8_ASCC2.pdf</t>
  </si>
  <si>
    <t>Melting_Curves/meltCurve_Q9H1J1_2_UPF3A.pdf</t>
  </si>
  <si>
    <t>Melting_Curves/meltCurve_Q9H1K1_ISCU.pdf</t>
  </si>
  <si>
    <t>Melting_Curves/meltCurve_Q9H1K6_MESDC1.pdf</t>
  </si>
  <si>
    <t>Melting_Curves/meltCurve_Q9H1P3_2_OSBPL2.pdf</t>
  </si>
  <si>
    <t>Melting_Curves/meltCurve_Q9H1Y0_ATG5.pdf</t>
  </si>
  <si>
    <t>Melting_Curves/meltCurve_Q9H1Z4_WDR13.pdf</t>
  </si>
  <si>
    <t>Melting_Curves/meltCurve_Q9H204_MED28.pdf</t>
  </si>
  <si>
    <t>Melting_Curves/meltCurve_Q9H211_CDT1.pdf</t>
  </si>
  <si>
    <t>Melting_Curves/meltCurve_Q9H223_EHD4.pdf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</si>
  <si>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</si>
  <si>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</si>
  <si>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</si>
  <si>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</si>
  <si>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Melting_Curves/meltCurve_Q9H2D6_5_TRIOBP.pdf</t>
  </si>
  <si>
    <t>Melting_Curves/meltCurve_Q9H2F5_2_EPC1.pdf</t>
  </si>
  <si>
    <t>Melting_Curves/meltCurve_Q9H2G2_2_SLK.pdf</t>
  </si>
  <si>
    <t>Melting_Curves/meltCurve_Q9H2H8_PPIL3.pdf</t>
  </si>
  <si>
    <t>Melting_Curves/meltCurve_Q9H2J4_PDCL3.pdf</t>
  </si>
  <si>
    <t>Melting_Curves/meltCurve_Q9H2K0_MTIF3.pdf</t>
  </si>
  <si>
    <t>Melting_Curves/meltCurve_Q9H2K8_TAOK3.pdf</t>
  </si>
  <si>
    <t>Melting_Curves/meltCurve_Q9H2M9_RAB3GAP2.pdf</t>
  </si>
  <si>
    <t>Melting_Curves/meltCurve_Q9H2P0_ADNP.pdf</t>
  </si>
  <si>
    <t>Melting_Curves/meltCurve_Q9H2P9_DPH5.pdf</t>
  </si>
  <si>
    <t>Melting_Curves/meltCurve_Q9H2U1_3_DHX36.pdf</t>
  </si>
  <si>
    <t>Melting_Curves/meltCurve_Q9H2U2_PPA2.pdf</t>
  </si>
  <si>
    <t>Melting_Curves/meltCurve_Q9H2W6_MRPL46.pdf</t>
  </si>
  <si>
    <t>Melting_Curves/meltCurve_Q9H2Y7_ZNF106.pdf</t>
  </si>
  <si>
    <t>Melting_Curves/meltCurve_Q9H307_PNN.pdf</t>
  </si>
  <si>
    <t>Melting_Curves/meltCurve_Q9H3C7_GGNBP2.pdf</t>
  </si>
  <si>
    <t>Melting_Curves/meltCurve_Q9H3F6_KCTD10.pdf</t>
  </si>
  <si>
    <t>Melting_Curves/meltCurve_Q9H3G5_CPVL.pdf</t>
  </si>
  <si>
    <t>Melting_Curves/meltCurve_Q9H3H1_4_TRIT1.pdf</t>
  </si>
  <si>
    <t>Melting_Curves/meltCurve_Q9H3H3_2_C11orf68.pdf</t>
  </si>
  <si>
    <t>Melting_Curves/meltCurve_Q9H3K6_BOLA2.pdf</t>
  </si>
  <si>
    <t>Melting_Curves/meltCurve_Q9H3L0_MMADHC.pdf</t>
  </si>
  <si>
    <t>Melting_Curves/meltCurve_Q9H3N1_TMX1.pdf</t>
  </si>
  <si>
    <t>Melting_Curves/meltCurve_Q9H3P2_NELFA.pdf</t>
  </si>
  <si>
    <t>Melting_Curves/meltCurve_Q9H3P7_ACBD3.pdf</t>
  </si>
  <si>
    <t>Melting_Curves/meltCurve_Q9H3Q1_CDC42EP4.pdf</t>
  </si>
  <si>
    <t>Melting_Curves/meltCurve_Q9H3S7_PTPN23.pdf</t>
  </si>
  <si>
    <t>Melting_Curves/meltCurve_Q9H3U1_UNC45A.pdf</t>
  </si>
  <si>
    <t>Melting_Curves/meltCurve_Q9H3Y8_PPDPF.pdf</t>
  </si>
  <si>
    <t>Melting_Curves/meltCurve_Q9H410_DSN1.pdf</t>
  </si>
  <si>
    <t>Melting_Curves/meltCurve_Q9H425_3_C1orf198.pdf</t>
  </si>
  <si>
    <t>Melting_Curves/meltCurve_Q9H444_CHMP4B.pdf</t>
  </si>
  <si>
    <t>Melting_Curves/meltCurve_Q9H469_FBXL15.pdf</t>
  </si>
  <si>
    <t>Melting_Curves/meltCurve_Q9H479_FN3K.pdf</t>
  </si>
  <si>
    <t>Melting_Curves/meltCurve_Q9H488_POFUT1.pdf</t>
  </si>
  <si>
    <t>Melting_Curves/meltCurve_Q9H496_IFRG15.pdf</t>
  </si>
  <si>
    <t>Melting_Curves/meltCurve_Q9H4A4_RNPEP.pdf</t>
  </si>
  <si>
    <t>Melting_Curves/meltCurve_Q9H4A5_GOLPH3L.pdf</t>
  </si>
  <si>
    <t>Melting_Curves/meltCurve_Q9H4A6_GOLPH3.pdf</t>
  </si>
  <si>
    <t>Melting_Curves/meltCurve_Q9H4E7_DEF6.pdf</t>
  </si>
  <si>
    <t>Melting_Curves/meltCurve_Q9H4G0_2_EPB41L1.pdf</t>
  </si>
  <si>
    <t>Melting_Curves/meltCurve_Q9H4H8_2_FAM83D.pdf</t>
  </si>
  <si>
    <t>Melting_Curves/meltCurve_Q9H4I2_ZHX3.pdf</t>
  </si>
  <si>
    <t>Melting_Curves/meltCurve_Q9H4L5_OSBPL3.pdf</t>
  </si>
  <si>
    <t>Melting_Curves/meltCurve_Q9H4L7_SMARCAD1.pdf</t>
  </si>
  <si>
    <t>Melting_Curves/meltCurve_Q9H4M3_2_FBXO44.pdf</t>
  </si>
  <si>
    <t>Melting_Curves/meltCurve_Q9H4M7_2_PLEKHA4.pdf</t>
  </si>
  <si>
    <t>Melting_Curves/meltCurve_Q9H4M9_EHD1.pdf</t>
  </si>
  <si>
    <t>Melting_Curves/meltCurve_Q9H4P4_2_RNF41.pdf</t>
  </si>
  <si>
    <t>Melting_Curves/meltCurve_Q9H4Z2_2_ZNF335.pdf</t>
  </si>
  <si>
    <t>Melting_Curves/meltCurve_Q9H4Z3_PCIF1.pdf</t>
  </si>
  <si>
    <t>Melting_Curves/meltCurve_Q9H501_ESF1.pdf</t>
  </si>
  <si>
    <t>Melting_Curves/meltCurve_Q9H568_ACTL8.pdf</t>
  </si>
  <si>
    <t>Melting_Curves/meltCurve_Q9H582_2_ZNF644.pdf</t>
  </si>
  <si>
    <t>Melting_Curves/meltCurve_Q9H583_HEATR1.pdf</t>
  </si>
  <si>
    <t>Melting_Curves/meltCurve_Q9H5H4_ZNF768.pdf</t>
  </si>
  <si>
    <t>Melting_Curves/meltCurve_Q9H5J0_ZBTB3.pdf</t>
  </si>
  <si>
    <t>Melting_Curves/meltCurve_Q9H5J8_TAF1D.pdf</t>
  </si>
  <si>
    <t>Melting_Curves/meltCurve_Q9H5N1_RABEP2.pdf</t>
  </si>
  <si>
    <t>Melting_Curves/meltCurve_Q9H5Q4_TFB2M.pdf</t>
  </si>
  <si>
    <t>Melting_Curves/meltCurve_Q9H5V7_IKZF5.pdf</t>
  </si>
  <si>
    <t>Melting_Curves/meltCurve_Q9H5V9_2_CXorf56.pdf</t>
  </si>
  <si>
    <t>Melting_Curves/meltCurve_Q9H5X1_FAM96A.pdf</t>
  </si>
  <si>
    <t>Melting_Curves/meltCurve_Q9H5Z1_2_DHX35.pdf</t>
  </si>
  <si>
    <t>Melting_Curves/meltCurve_Q9H633_3_RPP21.pdf</t>
  </si>
  <si>
    <t>Melting_Curves/meltCurve_Q9H6A9_2_PCNXL3.pdf</t>
  </si>
  <si>
    <t>Melting_Curves/meltCurve_Q9H6D7_HAUS4.pdf</t>
  </si>
  <si>
    <t>Melting_Curves/meltCurve_Q9H6E4_CCDC134.pdf</t>
  </si>
  <si>
    <t>Melting_Curves/meltCurve_Q9H6E5_TUT1.pdf</t>
  </si>
  <si>
    <t>Melting_Curves/meltCurve_Q9H6F5_CCDC86.pdf</t>
  </si>
  <si>
    <t>Melting_Curves/meltCurve_Q9H6H4_REEP4.pdf</t>
  </si>
  <si>
    <t>Melting_Curves/meltCurve_Q9H6K1_C6orf106.pdf</t>
  </si>
  <si>
    <t>Melting_Curves/meltCurve_Q9H6L4_ARMC7.pdf</t>
  </si>
  <si>
    <t>Melting_Curves/meltCurve_Q9H6Q4_NARFL.pdf</t>
  </si>
  <si>
    <t>Melting_Curves/meltCurve_Q9H6R4_4_NOL6.pdf</t>
  </si>
  <si>
    <t>Melting_Curves/meltCurve_Q9H6R7_C2orf44.pdf</t>
  </si>
  <si>
    <t>Melting_Curves/meltCurve_Q9H6S0_YTHDC2.pdf</t>
  </si>
  <si>
    <t>Melting_Curves/meltCurve_Q9H6S1_AZI2.pdf</t>
  </si>
  <si>
    <t>Melting_Curves/meltCurve_Q9H6S3_2_EPS8L2.pdf</t>
  </si>
  <si>
    <t>Melting_Curves/meltCurve_Q9H6T3_2_RPAP3.pdf</t>
  </si>
  <si>
    <t>Melting_Curves/meltCurve_Q9H6U6_2_BCAS3.pdf</t>
  </si>
  <si>
    <t>Melting_Curves/meltCurve_Q9H6W3_NO66.pdf</t>
  </si>
  <si>
    <t>Melting_Curves/meltCurve_Q9H6Y2_WDR55.pdf</t>
  </si>
  <si>
    <t>Melting_Curves/meltCurve_Q9H6Z4_RANBP3.pdf</t>
  </si>
  <si>
    <t>Melting_Curves/meltCurve_Q9H6Z4_2_RANBP3.pdf</t>
  </si>
  <si>
    <t>Melting_Curves/meltCurve_Q9H773_DCTPP1.pdf</t>
  </si>
  <si>
    <t>Melting_Curves/meltCurve_Q9H777_ELAC1.pdf</t>
  </si>
  <si>
    <t>Melting_Curves/meltCurve_Q9H7B4_SMYD3.pdf</t>
  </si>
  <si>
    <t>Melting_Curves/meltCurve_Q9H7C9_AAMDC.pdf</t>
  </si>
  <si>
    <t>Melting_Curves/meltCurve_Q9H7D7_2_WDR26.pdf</t>
  </si>
  <si>
    <t>Melting_Curves/meltCurve_Q9H7E2_3_TDRD3.pdf</t>
  </si>
  <si>
    <t>Melting_Curves/meltCurve_Q9H7E9_C8orf33.pdf</t>
  </si>
  <si>
    <t>Melting_Curves/meltCurve_Q9H7L9_SUDS3.pdf</t>
  </si>
  <si>
    <t>Melting_Curves/meltCurve_Q9H7N4_SCAF1.pdf</t>
  </si>
  <si>
    <t>Melting_Curves/meltCurve_Q9H7P9_PLEKHG2.pdf</t>
  </si>
  <si>
    <t>Melting_Curves/meltCurve_Q9H7X3_ZNF696.pdf</t>
  </si>
  <si>
    <t>Melting_Curves/meltCurve_Q9H7Z6_KAT8.pdf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</si>
  <si>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</si>
  <si>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</si>
  <si>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</si>
  <si>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</si>
  <si>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</si>
  <si>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Melting_Curves/meltCurve_Q9H867_5_METTL21D.pdf</t>
  </si>
  <si>
    <t>Melting_Curves/meltCurve_Q9H869_5_YY1AP1.pdf</t>
  </si>
  <si>
    <t>Melting_Curves/meltCurve_Q9H871_RMND5A.pdf</t>
  </si>
  <si>
    <t>Melting_Curves/meltCurve_Q9H875_PRKRIP1.pdf</t>
  </si>
  <si>
    <t>Melting_Curves/meltCurve_Q9H8E8_CSRP2BP.pdf</t>
  </si>
  <si>
    <t>Melting_Curves/meltCurve_Q9H8G2_CAAP1.pdf</t>
  </si>
  <si>
    <t>Melting_Curves/meltCurve_Q9H8H0_NOL11.pdf</t>
  </si>
  <si>
    <t>Melting_Curves/meltCurve_Q9H8K7_C10orf88.pdf</t>
  </si>
  <si>
    <t>Melting_Curves/meltCurve_Q9H8M2_BRD9.pdf</t>
  </si>
  <si>
    <t>Melting_Curves/meltCurve_Q9H8M7_FAM188A.pdf</t>
  </si>
  <si>
    <t>Melting_Curves/meltCurve_Q9H8S9_MOB1A.pdf</t>
  </si>
  <si>
    <t>Melting_Curves/meltCurve_Q9H8U3_ZFAND3.pdf</t>
  </si>
  <si>
    <t>Melting_Curves/meltCurve_Q9H8V3_ECT2.pdf</t>
  </si>
  <si>
    <t>Melting_Curves/meltCurve_Q9H8W4_PLEKHF2.pdf</t>
  </si>
  <si>
    <t>Melting_Curves/meltCurve_Q9H8Y5_ANKZF1.pdf</t>
  </si>
  <si>
    <t>Melting_Curves/meltCurve_Q9H8Y8_GORASP2.pdf</t>
  </si>
  <si>
    <t>Melting_Curves/meltCurve_Q9H900_ZWILCH.pdf</t>
  </si>
  <si>
    <t>Melting_Curves/meltCurve_Q9H910_2_HN1L.pdf</t>
  </si>
  <si>
    <t>Melting_Curves/meltCurve_Q9H939_PSTPIP2.pdf</t>
  </si>
  <si>
    <t>Melting_Curves/meltCurve_Q9H944_MED20.pdf</t>
  </si>
  <si>
    <t>Melting_Curves/meltCurve_Q9H967_WDR76.pdf</t>
  </si>
  <si>
    <t>Melting_Curves/meltCurve_Q9H974_QTRTD1.pdf</t>
  </si>
  <si>
    <t>Melting_Curves/meltCurve_Q9H993_C6orf211.pdf</t>
  </si>
  <si>
    <t>Melting_Curves/meltCurve_Q9H999_PANK3.pdf</t>
  </si>
  <si>
    <t>Melting_Curves/meltCurve_Q9H9A5_2_CNOT10.pdf</t>
  </si>
  <si>
    <t>Melting_Curves/meltCurve_Q9H9A6_LRRC40.pdf</t>
  </si>
  <si>
    <t>Melting_Curves/meltCurve_Q9H9A7_RMI1.pdf</t>
  </si>
  <si>
    <t>Melting_Curves/meltCurve_Q9H9B1_EHMT1.pdf</t>
  </si>
  <si>
    <t>Melting_Curves/meltCurve_Q9H9B4_SFXN1.pdf</t>
  </si>
  <si>
    <t>Melting_Curves/meltCurve_Q9H9C1_2_VIPAS39.pdf</t>
  </si>
  <si>
    <t>Melting_Curves/meltCurve_Q9H9E3_COG4.pdf</t>
  </si>
  <si>
    <t>Melting_Curves/meltCurve_Q9H9F9_ACTR5.pdf</t>
  </si>
  <si>
    <t>Melting_Curves/meltCurve_Q9H9G7_AGO3.pdf</t>
  </si>
  <si>
    <t>Melting_Curves/meltCurve_Q9H9H4_VPS37B.pdf</t>
  </si>
  <si>
    <t>Melting_Curves/meltCurve_Q9H9J2_MRPL44.pdf</t>
  </si>
  <si>
    <t>Melting_Curves/meltCurve_Q9H9L3_ISG20L2.pdf</t>
  </si>
  <si>
    <t>Melting_Curves/meltCurve_Q9H9Q4_NHEJ1.pdf</t>
  </si>
  <si>
    <t>Melting_Curves/meltCurve_Q9H9S4_CAB39L.pdf</t>
  </si>
  <si>
    <t>Melting_Curves/meltCurve_Q9H9T3_2_ELP3.pdf</t>
  </si>
  <si>
    <t>Melting_Curves/meltCurve_Q9H9V9_2_JMJD4.pdf</t>
  </si>
  <si>
    <t>Melting_Curves/meltCurve_Q9H9Y4_GPN2.pdf</t>
  </si>
  <si>
    <t>Melting_Curves/meltCurve_Q9H9Y6_2_POLR1B.pdf</t>
  </si>
  <si>
    <t>Melting_Curves/meltCurve_Q9HA38_2_ZMAT3.pdf</t>
  </si>
  <si>
    <t>Melting_Curves/meltCurve_Q9HA47_3_UCK1.pdf</t>
  </si>
  <si>
    <t>Melting_Curves/meltCurve_Q9HA64_FN3KRP.pdf</t>
  </si>
  <si>
    <t>Melting_Curves/meltCurve_Q9HA65_2_TBC1D17.pdf</t>
  </si>
  <si>
    <t>Melting_Curves/meltCurve_Q9HA77_CARS2.pdf</t>
  </si>
  <si>
    <t>Melting_Curves/meltCurve_Q9HAB8_PPCS.pdf</t>
  </si>
  <si>
    <t>Melting_Curves/meltCurve_Q9HAF1_2_MEAF6.pdf</t>
  </si>
  <si>
    <t>Melting_Curves/meltCurve_Q9HAJ7_SAP30L.pdf</t>
  </si>
  <si>
    <t>Melting_Curves/meltCurve_Q9HAN9_NMNAT1.pdf</t>
  </si>
  <si>
    <t>Melting_Curves/meltCurve_Q9HAR2_3_LPHN3.pdf</t>
  </si>
  <si>
    <t>Melting_Curves/meltCurve_Q9HAT2_SIAE.pdf</t>
  </si>
  <si>
    <t>Melting_Curves/meltCurve_Q9HAT8_PELI2.pdf</t>
  </si>
  <si>
    <t>Melting_Curves/meltCurve_Q9HAU0_PLEKHA5.pdf</t>
  </si>
  <si>
    <t>Melting_Curves/meltCurve_Q9HAU4_SMURF2.pdf</t>
  </si>
  <si>
    <t>Melting_Curves/meltCurve_Q9HAU5_UPF2.pdf</t>
  </si>
  <si>
    <t>Melting_Curves/meltCurve_Q9HAU8_RNPEPL1.pdf</t>
  </si>
  <si>
    <t>Melting_Curves/meltCurve_Q9HAV4_XPO5.pdf</t>
  </si>
  <si>
    <t>Melting_Curves/meltCurve_Q9HAV7_GRPEL1.pdf</t>
  </si>
  <si>
    <t>Melting_Curves/meltCurve_Q9HAW4_2_CLSPN.pdf</t>
  </si>
  <si>
    <t>Melting_Curves/meltCurve_Q9HB19_PLEKHA2.pdf</t>
  </si>
  <si>
    <t>Melting_Curves/meltCurve_Q9HB21_PLEKHA1.pdf</t>
  </si>
  <si>
    <t>Melting_Curves/meltCurve_Q9HB40_SCPEP1.pdf</t>
  </si>
  <si>
    <t>Melting_Curves/meltCurve_Q9HB58_6_SP110.pdf</t>
  </si>
  <si>
    <t>Melting_Curves/meltCurve_Q9HB71_CACYBP.pdf</t>
  </si>
  <si>
    <t>Melting_Curves/meltCurve_Q9HB90_RRAGC.pdf</t>
  </si>
  <si>
    <t>Melting_Curves/meltCurve_Q9HB96_FANCE.pdf</t>
  </si>
  <si>
    <t>Melting_Curves/meltCurve_Q9HBE1_4_PATZ1.pdf</t>
  </si>
  <si>
    <t>Melting_Curves/meltCurve_Q9HBE4_2_IL21.pdf</t>
  </si>
  <si>
    <t>Melting_Curves/meltCurve_Q9HBI1_PARVB.pdf</t>
  </si>
  <si>
    <t>Melting_Curves/meltCurve_Q9HBL8_NMRAL1.pdf</t>
  </si>
  <si>
    <t>Melting_Curves/meltCurve_Q9HBM1_SPC25.pdf</t>
  </si>
  <si>
    <t>Melting_Curves/meltCurve_Q9HBM6_TAF9B.pdf</t>
  </si>
  <si>
    <t>Melting_Curves/meltCurve_Q9HBM8_AGPAT1.pdf</t>
  </si>
  <si>
    <t>Melting_Curves/meltCurve_Q9HBN3_POLL.pdf</t>
  </si>
  <si>
    <t>Melting_Curves/meltCurve_Q9HBR0_SLC38A10.pdf</t>
  </si>
  <si>
    <t>Melting_Curves/meltCurve_Q9HBU6_ETNK1.pdf</t>
  </si>
  <si>
    <t>Melting_Curves/meltCurve_Q9HC35_EML4.pdf</t>
  </si>
  <si>
    <t>Melting_Curves/meltCurve_Q9HC38_2_GLOD4.pdf</t>
  </si>
  <si>
    <t>Melting_Curves/meltCurve_Q9HC44_GPBP1L1.pdf</t>
  </si>
  <si>
    <t>Melting_Curves/meltCurve_Q9HC52_CBX8.pdf</t>
  </si>
  <si>
    <t>Melting_Curves/meltCurve_Q9HC77_CENPJ.pdf</t>
  </si>
  <si>
    <t>Melting_Curves/meltCurve_Q9HCC0_MCCC2.pdf</t>
  </si>
  <si>
    <t>Melting_Curves/meltCurve_Q9HCC9_2_ZFYVE28.pdf</t>
  </si>
  <si>
    <t>Melting_Curves/meltCurve_Q9HCC9_5_ZFYVE28.pdf</t>
  </si>
  <si>
    <t>Melting_Curves/meltCurve_Q9HCD5_NCOA5.pdf</t>
  </si>
  <si>
    <t>Melting_Curves/meltCurve_Q9HCE0_2_EPG5.pdf</t>
  </si>
  <si>
    <t>Melting_Curves/meltCurve_Q9HCE1_MOV10.pdf</t>
  </si>
  <si>
    <t>Melting_Curves/meltCurve_Q9HCE5_METTL14.pdf</t>
  </si>
  <si>
    <t>Melting_Curves/meltCurve_Q9HCH0_3_NCKAP5L.pdf</t>
  </si>
  <si>
    <t>Melting_Curves/meltCurve_Q9HCI7_MSL2.pdf</t>
  </si>
  <si>
    <t>Melting_Curves/meltCurve_Q9HCJ0_TNRC6C.pdf</t>
  </si>
  <si>
    <t>Melting_Curves/meltCurve_Q9HCJ3_2_RAVER2.pdf</t>
  </si>
  <si>
    <t>Melting_Curves/meltCurve_Q9HCK8_CHD8.pdf</t>
  </si>
  <si>
    <t>Melting_Curves/meltCurve_Q9HCM4_4_EPB41L5.pdf</t>
  </si>
  <si>
    <t>Melting_Curves/meltCurve_Q9HCN4_2_GPN1.pdf</t>
  </si>
  <si>
    <t>Melting_Curves/meltCurve_Q9HCN8_SDF2L1.pdf</t>
  </si>
  <si>
    <t>Melting_Curves/meltCurve_Q9HCU8_POLD4.pdf</t>
  </si>
  <si>
    <t>Melting_Curves/meltCurve_Q9HD15_SRA1.pdf</t>
  </si>
  <si>
    <t>Melting_Curves/meltCurve_Q9HD20_2_ATP13A1.pdf</t>
  </si>
  <si>
    <t>Melting_Curves/meltCurve_Q9HD26_GOPC.pdf</t>
  </si>
  <si>
    <t>Melting_Curves/meltCurve_Q9HD40_SEPSECS.pdf</t>
  </si>
  <si>
    <t>Melting_Curves/meltCurve_Q9HD42_CHMP1A.pdf</t>
  </si>
  <si>
    <t>Melting_Curves/meltCurve_Q9HD45_TM9SF3.pdf</t>
  </si>
  <si>
    <t>Melting_Curves/meltCurve_Q9HD47_2_RANGRF.pdf</t>
  </si>
  <si>
    <t>Melting_Curves/meltCurve_Q9HDC5_JPH1.pdf</t>
  </si>
  <si>
    <t>Melting_Curves/meltCurve_Q9HDC9_2_APMAP.pdf</t>
  </si>
  <si>
    <t>Melting_Curves/meltCurve_Q9NNW5_WDR6.pdf</t>
  </si>
  <si>
    <t>Melting_Curves/meltCurve_Q9NNX1_3_TUFT1.pdf</t>
  </si>
  <si>
    <t>Melting_Curves/meltCurve_Q9NP50_FAM60A.pdf</t>
  </si>
  <si>
    <t>Melting_Curves/meltCurve_Q9NP66_HMG20A.pdf</t>
  </si>
  <si>
    <t>Melting_Curves/meltCurve_Q9NP72_RAB18.pdf</t>
  </si>
  <si>
    <t>Melting_Curves/meltCurve_Q9NP73_ALG13.pdf</t>
  </si>
  <si>
    <t>Melting_Curves/meltCurve_Q9NP74_PALMD.pdf</t>
  </si>
  <si>
    <t>Melting_Curves/meltCurve_Q9NP77_SSU72.pdf</t>
  </si>
  <si>
    <t>Melting_Curves/meltCurve_Q9NP79_VTA1.pdf</t>
  </si>
  <si>
    <t>Melting_Curves/meltCurve_Q9NP97_DYNLRB1.pdf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</si>
  <si>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</si>
  <si>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</si>
  <si>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</si>
  <si>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</si>
  <si>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</si>
  <si>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Melting_Curves/meltCurve_Q9NPE3_NOP10.pdf</t>
  </si>
  <si>
    <t>Melting_Curves/meltCurve_Q9NPF4_OSGEP.pdf</t>
  </si>
  <si>
    <t>Melting_Curves/meltCurve_Q9NPF5_DMAP1.pdf</t>
  </si>
  <si>
    <t>Melting_Curves/meltCurve_Q9NPG3_2_UBN1.pdf</t>
  </si>
  <si>
    <t>Melting_Curves/meltCurve_Q9NPH3_5_IL1RAP.pdf</t>
  </si>
  <si>
    <t>Melting_Curves/meltCurve_Q9NPI1_BRD7.pdf</t>
  </si>
  <si>
    <t>Melting_Curves/meltCurve_Q9NPI6_DCP1A.pdf</t>
  </si>
  <si>
    <t>Melting_Curves/meltCurve_Q9NPI8_FANCF.pdf</t>
  </si>
  <si>
    <t>Melting_Curves/meltCurve_Q9NPJ3_ACOT13.pdf</t>
  </si>
  <si>
    <t>Melting_Curves/meltCurve_Q9NPJ6_MED4.pdf</t>
  </si>
  <si>
    <t>Melting_Curves/meltCurve_Q9NPJ8_NXT2.pdf</t>
  </si>
  <si>
    <t>Melting_Curves/meltCurve_Q9NPQ8_RIC8A.pdf</t>
  </si>
  <si>
    <t>Melting_Curves/meltCurve_Q9NQ29_LUC7L.pdf</t>
  </si>
  <si>
    <t>Melting_Curves/meltCurve_Q9NQ55_2_PPAN.pdf</t>
  </si>
  <si>
    <t>Melting_Curves/meltCurve_Q9NQ88_TIGAR.pdf</t>
  </si>
  <si>
    <t>Melting_Curves/meltCurve_Q9NQ89_C12orf4.pdf</t>
  </si>
  <si>
    <t>Melting_Curves/meltCurve_Q9NQ92_COPRS.pdf</t>
  </si>
  <si>
    <t>Melting_Curves/meltCurve_Q9NQA3_WASH6P.pdf</t>
  </si>
  <si>
    <t>Melting_Curves/meltCurve_Q9NQC3_RTN4.pdf</t>
  </si>
  <si>
    <t>Melting_Curves/meltCurve_Q9NQE9_HINT3.pdf</t>
  </si>
  <si>
    <t>Melting_Curves/meltCurve_Q9NQG5_RPRD1B.pdf</t>
  </si>
  <si>
    <t>Melting_Curves/meltCurve_Q9NQG6_SMCR7L.pdf</t>
  </si>
  <si>
    <t>Melting_Curves/meltCurve_Q9NQH7_2_XPNPEP3.pdf</t>
  </si>
  <si>
    <t>Melting_Curves/meltCurve_Q9NQL2_RRAGD.pdf</t>
  </si>
  <si>
    <t>Melting_Curves/meltCurve_Q9NQP4_PFDN4.pdf</t>
  </si>
  <si>
    <t>Melting_Curves/meltCurve_Q9NQR1_2_SETD8.pdf</t>
  </si>
  <si>
    <t>Melting_Curves/meltCurve_Q9NQR4_NIT2.pdf</t>
  </si>
  <si>
    <t>Melting_Curves/meltCurve_Q9NQS1_AVEN.pdf</t>
  </si>
  <si>
    <t>Melting_Curves/meltCurve_Q9NQS7_2_INCENP.pdf</t>
  </si>
  <si>
    <t>Melting_Curves/meltCurve_Q9NQT4_EXOSC5.pdf</t>
  </si>
  <si>
    <t>Melting_Curves/meltCurve_Q9NQT5_EXOSC3.pdf</t>
  </si>
  <si>
    <t>Melting_Curves/meltCurve_Q9NQT8_KIF13B.pdf</t>
  </si>
  <si>
    <t>Melting_Curves/meltCurve_Q9NQV6_2_PRDM10.pdf</t>
  </si>
  <si>
    <t>Melting_Curves/meltCurve_Q9NQW6_ANLN.pdf</t>
  </si>
  <si>
    <t>Melting_Curves/meltCurve_Q9NQW7_3_XPNPEP1.pdf</t>
  </si>
  <si>
    <t>Melting_Curves/meltCurve_Q9NQX3_GPHN.pdf</t>
  </si>
  <si>
    <t>Melting_Curves/meltCurve_Q9NQY0_BIN3.pdf</t>
  </si>
  <si>
    <t>Melting_Curves/meltCurve_Q9NQZ2_UTP3.pdf</t>
  </si>
  <si>
    <t>Melting_Curves/meltCurve_Q9NQZ5_STARD7.pdf</t>
  </si>
  <si>
    <t>Melting_Curves/meltCurve_Q9NR09_BIRC6.pdf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</si>
  <si>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</si>
  <si>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</si>
  <si>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</si>
  <si>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</si>
  <si>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</si>
  <si>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</si>
  <si>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</si>
  <si>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Melting_Curves/meltCurve_Q9NR46_SH3GLB2.pdf</t>
  </si>
  <si>
    <t>Melting_Curves/meltCurve_Q9NR50_EIF2B3.pdf</t>
  </si>
  <si>
    <t>Melting_Curves/meltCurve_Q9NR82_4_KCNQ5.pdf</t>
  </si>
  <si>
    <t>Melting_Curves/meltCurve_Q9NRD1_FBXO6.pdf</t>
  </si>
  <si>
    <t>Melting_Curves/meltCurve_Q9NRD5_PICK1.pdf</t>
  </si>
  <si>
    <t>Melting_Curves/meltCurve_Q9NRF2_3_SH2B1.pdf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</si>
  <si>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</si>
  <si>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</si>
  <si>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</si>
  <si>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</si>
  <si>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Melting_Curves/meltCurve_Q9NRG4_SMYD2.pdf</t>
  </si>
  <si>
    <t>Melting_Curves/meltCurve_Q9NRH1_YAE1D1.pdf</t>
  </si>
  <si>
    <t>Melting_Curves/meltCurve_Q9NRH2_SNRK.pdf</t>
  </si>
  <si>
    <t>Melting_Curves/meltCurve_Q9NRL2_2_BAZ1A.pdf</t>
  </si>
  <si>
    <t>Melting_Curves/meltCurve_Q9NRL3_STRN4.pdf</t>
  </si>
  <si>
    <t>Melting_Curves/meltCurve_Q9NRN7_AASDHPPT.pdf</t>
  </si>
  <si>
    <t>Melting_Curves/meltCurve_Q9NRN9_METTL5.pdf</t>
  </si>
  <si>
    <t>Melting_Curves/meltCurve_Q9NRR4_2_DROSHA.pdf</t>
  </si>
  <si>
    <t>Melting_Curves/meltCurve_Q9NRR5_UBQLN4.pdf</t>
  </si>
  <si>
    <t>Melting_Curves/meltCurve_Q9NRS6_SNX15.pdf</t>
  </si>
  <si>
    <t>Melting_Curves/meltCurve_Q9NRV9_HEBP1.pdf</t>
  </si>
  <si>
    <t>Melting_Curves/meltCurve_Q9NRW1_RAB6B.pdf</t>
  </si>
  <si>
    <t>Melting_Curves/meltCurve_Q9NRW4_DUSP22.pdf</t>
  </si>
  <si>
    <t>Melting_Curves/meltCurve_Q9NRW7_VPS45.pdf</t>
  </si>
  <si>
    <t>Melting_Curves/meltCurve_Q9NRX4_PHPT1.pdf</t>
  </si>
  <si>
    <t>Melting_Curves/meltCurve_Q9NRY2_INIP.pdf</t>
  </si>
  <si>
    <t>Melting_Curves/meltCurve_Q9NRY4_ARHGAP35.pdf</t>
  </si>
  <si>
    <t>Melting_Curves/meltCurve_Q9NRY5_FAM114A2.pdf</t>
  </si>
  <si>
    <t>Melting_Curves/meltCurve_Q9NRZ9_6_HELLS.pdf</t>
  </si>
  <si>
    <t>Melting_Curves/meltCurve_Q9NS18_GLRX2.pdf</t>
  </si>
  <si>
    <t>Melting_Curves/meltCurve_Q9NS56_TOPORS.pdf</t>
  </si>
  <si>
    <t>Melting_Curves/meltCurve_Q9NS73_2_MBIP.pdf</t>
  </si>
  <si>
    <t>Melting_Curves/meltCurve_Q9NS86_LANCL2.pdf</t>
  </si>
  <si>
    <t>Melting_Curves/meltCurve_Q9NS87_2_KIF15.pdf</t>
  </si>
  <si>
    <t>Melting_Curves/meltCurve_Q9NS91_RAD18.pdf</t>
  </si>
  <si>
    <t>Melting_Curves/meltCurve_Q9NSA3_CTNNBIP1.pdf</t>
  </si>
  <si>
    <t>Melting_Curves/meltCurve_Q9NSC5_5_HOMER3.pdf</t>
  </si>
  <si>
    <t>Melting_Curves/meltCurve_Q9NSD9_FARSB.pdf</t>
  </si>
  <si>
    <t>Melting_Curves/meltCurve_Q9NSE2_CISH.pdf</t>
  </si>
  <si>
    <t>Melting_Curves/meltCurve_Q9NSE4_IARS2.pdf</t>
  </si>
  <si>
    <t>Melting_Curves/meltCurve_Q9NSG2_C1orf112.pdf</t>
  </si>
  <si>
    <t>Melting_Curves/meltCurve_Q9NSI2_2_FAM207A.pdf</t>
  </si>
  <si>
    <t>Melting_Curves/meltCurve_Q9NSI6_3_BRWD1.pdf</t>
  </si>
  <si>
    <t>Melting_Curves/meltCurve_Q9NSI8_SAMSN1.pdf</t>
  </si>
  <si>
    <t>Melting_Curves/meltCurve_Q9NSK0_KLC4.pdf</t>
  </si>
  <si>
    <t>Melting_Curves/meltCurve_Q9NSY0_NRBP2.pdf</t>
  </si>
  <si>
    <t>Melting_Curves/meltCurve_Q9NSY1_BMP2K.pdf</t>
  </si>
  <si>
    <t>Melting_Curves/meltCurve_Q9NT62_ATG3.pdf</t>
  </si>
  <si>
    <t>Melting_Curves/meltCurve_Q9NT99_LRRC4B.pdf</t>
  </si>
  <si>
    <t>Melting_Curves/meltCurve_Q9NTG7_SIRT3.pdf</t>
  </si>
  <si>
    <t>Melting_Curves/meltCurve_Q9NTI5_2_PDS5B.pdf</t>
  </si>
  <si>
    <t>Melting_Curves/meltCurve_Q9NTJ3_SMC4.pdf</t>
  </si>
  <si>
    <t>Melting_Curves/meltCurve_Q9NTJ4_3_MAN2C1.pdf</t>
  </si>
  <si>
    <t>Melting_Curves/meltCurve_Q9NTK5_OLA1.pdf</t>
  </si>
  <si>
    <t>Melting_Curves/meltCurve_Q9NTK5_2_OLA1.pdf</t>
  </si>
  <si>
    <t>Melting_Curves/meltCurve_Q9NTM9_CUTC.pdf</t>
  </si>
  <si>
    <t>Melting_Curves/meltCurve_Q9NTW7_3_ZFP64.pdf</t>
  </si>
  <si>
    <t>Melting_Curves/meltCurve_Q9NTX5_2_ECHDC1.pdf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</si>
  <si>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</si>
  <si>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</si>
  <si>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</si>
  <si>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</si>
  <si>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Melting_Curves/meltCurve_Q9NUB1_3_ACSS1.pdf</t>
  </si>
  <si>
    <t>Melting_Curves/meltCurve_Q9NUD5_ZCCHC3.pdf</t>
  </si>
  <si>
    <t>Melting_Curves/meltCurve_Q9NUG6_PDRG1.pdf</t>
  </si>
  <si>
    <t>Melting_Curves/meltCurve_Q9NUJ1_ABHD10.pdf</t>
  </si>
  <si>
    <t>Melting_Curves/meltCurve_Q9NUJ3_TCP11L1.pdf</t>
  </si>
  <si>
    <t>Melting_Curves/meltCurve_Q9NUM4_TMEM106B.pdf</t>
  </si>
  <si>
    <t>Melting_Curves/meltCurve_Q9NUP1_BLOC1S4.pdf</t>
  </si>
  <si>
    <t>Melting_Curves/meltCurve_Q9NUP7_TRMT13.pdf</t>
  </si>
  <si>
    <t>Melting_Curves/meltCurve_Q9NUQ3_TXLNG.pdf</t>
  </si>
  <si>
    <t>Melting_Curves/meltCurve_Q9NUQ6_2_SPATS2L.pdf</t>
  </si>
  <si>
    <t>Melting_Curves/meltCurve_Q9NUQ8_2_ABCF3.pdf</t>
  </si>
  <si>
    <t>Melting_Curves/meltCurve_Q9NUQ9_FAM49B.pdf</t>
  </si>
  <si>
    <t>Melting_Curves/meltCurve_Q9NUS5_AP5S1.pdf</t>
  </si>
  <si>
    <t>Melting_Curves/meltCurve_Q9NUU7_DDX19A.pdf</t>
  </si>
  <si>
    <t>Melting_Curves/meltCurve_Q9NUW8_TDP1.pdf</t>
  </si>
  <si>
    <t>Melting_Curves/meltCurve_Q9NUX5_2_POT1.pdf</t>
  </si>
  <si>
    <t>Melting_Curves/meltCurve_Q9NUY8_2_TBC1D23.pdf</t>
  </si>
  <si>
    <t>Melting_Curves/meltCurve_Q9NV06_DCAF13.pdf</t>
  </si>
  <si>
    <t>Melting_Curves/meltCurve_Q9NV31_IMP3.pdf</t>
  </si>
  <si>
    <t>Melting_Curves/meltCurve_Q9NV35_NUDT15.pdf</t>
  </si>
  <si>
    <t>Melting_Curves/meltCurve_Q9NV56_MRGBP.pdf</t>
  </si>
  <si>
    <t>Melting_Curves/meltCurve_Q9NV70_2_EXOC1.pdf</t>
  </si>
  <si>
    <t>Melting_Curves/meltCurve_Q9NV88_3_INTS9.pdf</t>
  </si>
  <si>
    <t>Melting_Curves/meltCurve_Q9NV96_3_TMEM30A.pdf</t>
  </si>
  <si>
    <t>Melting_Curves/meltCurve_Q9NVA4_TMEM184C.pdf</t>
  </si>
  <si>
    <t>Melting_Curves/meltCurve_Q9NVC6_MED17.pdf</t>
  </si>
  <si>
    <t>Melting_Curves/meltCurve_Q9NVE5_USP40.pdf</t>
  </si>
  <si>
    <t>Melting_Curves/meltCurve_Q9NVE7_PANK4.pdf</t>
  </si>
  <si>
    <t>Melting_Curves/meltCurve_Q9NVF7_FBXO28.pdf</t>
  </si>
  <si>
    <t>Melting_Curves/meltCurve_Q9NVG8_TBC1D13.pdf</t>
  </si>
  <si>
    <t>Melting_Curves/meltCurve_Q9NVH0_2_EXD2.pdf</t>
  </si>
  <si>
    <t>Melting_Curves/meltCurve_Q9NVH2_3_INTS7.pdf</t>
  </si>
  <si>
    <t>Melting_Curves/meltCurve_Q9NVH6_TMLHE.pdf</t>
  </si>
  <si>
    <t>Melting_Curves/meltCurve_Q9NVI1_FANCI.pdf</t>
  </si>
  <si>
    <t>Melting_Curves/meltCurve_Q9NVI7_2_ATAD3A.pdf</t>
  </si>
  <si>
    <t>Melting_Curves/meltCurve_Q9NVJ2_ARL8B.pdf</t>
  </si>
  <si>
    <t>Melting_Curves/meltCurve_Q9NVM4_3_PRMT7.pdf</t>
  </si>
  <si>
    <t>Melting_Curves/meltCurve_Q9NVM6_DNAJC17.pdf</t>
  </si>
  <si>
    <t>Melting_Curves/meltCurve_Q9NVM9_ASUN.pdf</t>
  </si>
  <si>
    <t>Melting_Curves/meltCurve_Q9NVN3_3_RIC8B.pdf</t>
  </si>
  <si>
    <t>Melting_Curves/meltCurve_Q9NVN8_GNL3L.pdf</t>
  </si>
  <si>
    <t>Melting_Curves/meltCurve_Q9NVP1_DDX18.pdf</t>
  </si>
  <si>
    <t>Melting_Curves/meltCurve_Q9NVP2_ASF1B.pdf</t>
  </si>
  <si>
    <t>Melting_Curves/meltCurve_Q9NVR0_KLHL11.pdf</t>
  </si>
  <si>
    <t>Melting_Curves/meltCurve_Q9NVR2_INTS10.pdf</t>
  </si>
  <si>
    <t>Melting_Curves/meltCurve_Q9NVR5_DNAAF2.pdf</t>
  </si>
  <si>
    <t>Melting_Curves/meltCurve_Q9NVT9_ARMC1.pdf</t>
  </si>
  <si>
    <t>Melting_Curves/meltCurve_Q9NVU0_5_POLR3E.pdf</t>
  </si>
  <si>
    <t>Melting_Curves/meltCurve_Q9NVU7_2_SDAD1.pdf</t>
  </si>
  <si>
    <t>Melting_Curves/meltCurve_Q9NVW2_RLIM.pdf</t>
  </si>
  <si>
    <t>Melting_Curves/meltCurve_Q9NVX0_HAUS2.pdf</t>
  </si>
  <si>
    <t>Melting_Curves/meltCurve_Q9NVX2_NLE1.pdf</t>
  </si>
  <si>
    <t>Melting_Curves/meltCurve_Q9NVZ3_NECAP2.pdf</t>
  </si>
  <si>
    <t>Melting_Curves/meltCurve_Q9NW08_2_POLR3B.pdf</t>
  </si>
  <si>
    <t>Melting_Curves/meltCurve_Q9NW13_RBM28.pdf</t>
  </si>
  <si>
    <t>Melting_Curves/meltCurve_Q9NW64_RBM22.pdf</t>
  </si>
  <si>
    <t>Melting_Curves/meltCurve_Q9NW68_4_BSDC1.pdf</t>
  </si>
  <si>
    <t>Melting_Curves/meltCurve_Q9NW75_2_GPATCH2.pdf</t>
  </si>
  <si>
    <t>Melting_Curves/meltCurve_Q9NW82_WDR70.pdf</t>
  </si>
  <si>
    <t>Melting_Curves/meltCurve_Q9NW97_TMEM51.pdf</t>
  </si>
  <si>
    <t>Melting_Curves/meltCurve_Q9NWA0_MED9.pdf</t>
  </si>
  <si>
    <t>Melting_Curves/meltCurve_Q9NWB6_ARGLU1.pdf</t>
  </si>
  <si>
    <t>Melting_Curves/meltCurve_Q9NWB7_IFT57.pdf</t>
  </si>
  <si>
    <t>Melting_Curves/meltCurve_Q9NWD9_BEX4.pdf</t>
  </si>
  <si>
    <t>Melting_Curves/meltCurve_Q9NWH9_SLTM.pdf</t>
  </si>
  <si>
    <t>Melting_Curves/meltCurve_Q9NWK9_ZNHIT6.pdf</t>
  </si>
  <si>
    <t>Melting_Curves/meltCurve_Q9NWM3_CUEDC1.pdf</t>
  </si>
  <si>
    <t>Melting_Curves/meltCurve_Q9NWM8_FKBP14.pdf</t>
  </si>
  <si>
    <t>Melting_Curves/meltCurve_Q9NWQ9_C14orf119.pdf</t>
  </si>
  <si>
    <t>Melting_Curves/meltCurve_Q9NWS0_PIH1D1.pdf</t>
  </si>
  <si>
    <t>Melting_Curves/meltCurve_Q9NWS6_FAM118A.pdf</t>
  </si>
  <si>
    <t>Melting_Curves/meltCurve_Q9NWT1_PAK1IP1.pdf</t>
  </si>
  <si>
    <t>Melting_Curves/meltCurve_Q9NWT6_HIF1AN.pdf</t>
  </si>
  <si>
    <t>Melting_Curves/meltCurve_Q9NWT8_AURKAIP1.pdf</t>
  </si>
  <si>
    <t>Melting_Curves/meltCurve_Q9NWU1_OXSM.pdf</t>
  </si>
  <si>
    <t>Melting_Curves/meltCurve_Q9NWU2_GID8.pdf</t>
  </si>
  <si>
    <t>Melting_Curves/meltCurve_Q9NWV4_C1orf123.pdf</t>
  </si>
  <si>
    <t>Melting_Curves/meltCurve_Q9NWW7_C2orf42.pdf</t>
  </si>
  <si>
    <t>Melting_Curves/meltCurve_Q9NWX6_THG1L.pdf</t>
  </si>
  <si>
    <t>Melting_Curves/meltCurve_Q9NWY4_C4orf27.pdf</t>
  </si>
  <si>
    <t>Melting_Curves/meltCurve_Q9NWZ3_IRAK4.pdf</t>
  </si>
  <si>
    <t>Melting_Curves/meltCurve_Q9NWZ5_3_UCKL1.pdf</t>
  </si>
  <si>
    <t>Melting_Curves/meltCurve_Q9NWZ8_GEMIN8.pdf</t>
  </si>
  <si>
    <t>Melting_Curves/meltCurve_Q9NX01_TXNL4B.pdf</t>
  </si>
  <si>
    <t>Melting_Curves/meltCurve_Q9NX02_5_NLRP2.pdf</t>
  </si>
  <si>
    <t>Melting_Curves/meltCurve_Q9NX07_TRNAU1AP.pdf</t>
  </si>
  <si>
    <t>Melting_Curves/meltCurve_Q9NX08_COMMD8.pdf</t>
  </si>
  <si>
    <t>Melting_Curves/meltCurve_Q9NX09_DDIT4.pdf</t>
  </si>
  <si>
    <t>Melting_Curves/meltCurve_Q9NX24_NHP2.pdf</t>
  </si>
  <si>
    <t>Melting_Curves/meltCurve_Q9NX38_FAM206A.pdf</t>
  </si>
  <si>
    <t>Melting_Curves/meltCurve_Q9NX46_ADPRHL2.pdf</t>
  </si>
  <si>
    <t>Melting_Curves/meltCurve_Q9NX55_HYPK.pdf</t>
  </si>
  <si>
    <t>Melting_Curves/meltCurve_Q9NX58_LYAR.pdf</t>
  </si>
  <si>
    <t>Melting_Curves/meltCurve_Q9NX63_CHCHD3.pdf</t>
  </si>
  <si>
    <t>Melting_Curves/meltCurve_Q9NX70_MED29.pdf</t>
  </si>
  <si>
    <t>Melting_Curves/meltCurve_Q9NX74_DUS2L.pdf</t>
  </si>
  <si>
    <t>Melting_Curves/meltCurve_Q9NXA8_SIRT5.pdf</t>
  </si>
  <si>
    <t>Melting_Curves/meltCurve_Q9NXC5_MIOS.pdf</t>
  </si>
  <si>
    <t>Melting_Curves/meltCurve_Q9NXE8_CWC25.pdf</t>
  </si>
  <si>
    <t>Melting_Curves/meltCurve_Q9NXF7_DCAF16.pdf</t>
  </si>
  <si>
    <t>Melting_Curves/meltCurve_Q9NXG2_THUMPD1.pdf</t>
  </si>
  <si>
    <t>Melting_Curves/meltCurve_Q9NXH9_TRMT1.pdf</t>
  </si>
  <si>
    <t>Melting_Curves/meltCurve_Q9NXJ5_PGPEP1.pdf</t>
  </si>
  <si>
    <t>Melting_Curves/meltCurve_Q9NXK8_FBXL12.pdf</t>
  </si>
  <si>
    <t>Melting_Curves/meltCurve_Q9NXN4_2_GDAP2.pdf</t>
  </si>
  <si>
    <t>Melting_Curves/meltCurve_Q9NXR1_2_NDE1.pdf</t>
  </si>
  <si>
    <t>Melting_Curves/meltCurve_Q9NXR7_BRE.pdf</t>
  </si>
  <si>
    <t>Melting_Curves/meltCurve_Q9NXU5_ARL15.pdf</t>
  </si>
  <si>
    <t>Melting_Curves/meltCurve_Q9NXV2_KCTD5.pdf</t>
  </si>
  <si>
    <t>Melting_Curves/meltCurve_Q9NXV6_CDKN2AIP.pdf</t>
  </si>
  <si>
    <t>Melting_Curves/meltCurve_Q9NXW2_DNAJB12.pdf</t>
  </si>
  <si>
    <t>Melting_Curves/meltCurve_Q9NXW9_ALKBH4.pdf</t>
  </si>
  <si>
    <t>Melting_Curves/meltCurve_Q9NXX6_NSMCE4A.pdf</t>
  </si>
  <si>
    <t>Melting_Curves/meltCurve_Q9NXZ1_SAGE1.pdf</t>
  </si>
  <si>
    <t>Melting_Curves/meltCurve_Q9NY12_2_GAR1.pdf</t>
  </si>
  <si>
    <t>Melting_Curves/meltCurve_Q9NY27_PPP4R2.pdf</t>
  </si>
  <si>
    <t>Melting_Curves/meltCurve_Q9NY33_DPP3.pdf</t>
  </si>
  <si>
    <t>Melting_Curves/meltCurve_Q9NY61_AATF.pdf</t>
  </si>
  <si>
    <t>Melting_Curves/meltCurve_Q9NY93_DDX56.pdf</t>
  </si>
  <si>
    <t>Melting_Curves/meltCurve_Q9NYB0_TERF2IP.pdf</t>
  </si>
  <si>
    <t>Melting_Curves/meltCurve_Q9NYF8_2_BCLAF1.pdf</t>
  </si>
  <si>
    <t>Melting_Curves/meltCurve_Q9NYH9_UTP6.pdf</t>
  </si>
  <si>
    <t>Melting_Curves/meltCurve_Q9NYJ1_COA4.pdf</t>
  </si>
  <si>
    <t>Melting_Curves/meltCurve_Q9NYJ8_TAB2.pdf</t>
  </si>
  <si>
    <t>Melting_Curves/meltCurve_Q9NYK6_3_EURL.pdf</t>
  </si>
  <si>
    <t>Melting_Curves/meltCurve_Q9NYL2_MLTK.pdf</t>
  </si>
  <si>
    <t>Melting_Curves/meltCurve_Q9NYL2_2_MLTK.pdf</t>
  </si>
  <si>
    <t>Melting_Curves/meltCurve_Q9NYL9_TMOD3.pdf</t>
  </si>
  <si>
    <t>Melting_Curves/meltCurve_Q9NYP9_MIS18A.pdf</t>
  </si>
  <si>
    <t>Melting_Curves/meltCurve_Q9NYU2_2_UGGT1.pdf</t>
  </si>
  <si>
    <t>Melting_Curves/meltCurve_Q9NYV4_2_CDK12.pdf</t>
  </si>
  <si>
    <t>Melting_Curves/meltCurve_Q9NYY8_2_FASTKD2.pdf</t>
  </si>
  <si>
    <t>Melting_Curves/meltCurve_Q9NYZ3_GTSE1.pdf</t>
  </si>
  <si>
    <t>Melting_Curves/meltCurve_Q9NZ08_ERAP1.pdf</t>
  </si>
  <si>
    <t>Melting_Curves/meltCurve_Q9NZ09_2_UBAP1.pdf</t>
  </si>
  <si>
    <t>Melting_Curves/meltCurve_Q9NZ32_ACTR10.pdf</t>
  </si>
  <si>
    <t>Melting_Curves/meltCurve_Q9NZ52_GGA3.pdf</t>
  </si>
  <si>
    <t>Melting_Curves/meltCurve_Q9NZ53_PODXL2.pdf</t>
  </si>
  <si>
    <t>Melting_Curves/meltCurve_Q9NZ63_C9orf78.pdf</t>
  </si>
  <si>
    <t>Melting_Curves/meltCurve_Q9NZA1_3_CLIC5.pdf</t>
  </si>
  <si>
    <t>Melting_Curves/meltCurve_Q9NZB2_FAM120A.pdf</t>
  </si>
  <si>
    <t>Melting_Curves/meltCurve_Q9NZC9_SMARCAL1.pdf</t>
  </si>
  <si>
    <t>Melting_Curves/meltCurve_Q9NZD2_GLTP.pdf</t>
  </si>
  <si>
    <t>Melting_Curves/meltCurve_Q9NZD4_AHSP.pdf</t>
  </si>
  <si>
    <t>Melting_Curves/meltCurve_Q9NZI7_4_UBP1.pdf</t>
  </si>
  <si>
    <t>Melting_Curves/meltCurve_Q9NZI8_IGF2BP1.pdf</t>
  </si>
  <si>
    <t>Melting_Curves/meltCurve_Q9NZJ6_COQ3.pdf</t>
  </si>
  <si>
    <t>Melting_Curves/meltCurve_Q9NZJ9_NUDT4.pdf</t>
  </si>
  <si>
    <t>Melting_Curves/meltCurve_Q9NZJ9_2_NUDT4.pdf</t>
  </si>
  <si>
    <t>Melting_Curves/meltCurve_Q9NZL4_HSPBP1.pdf</t>
  </si>
  <si>
    <t>Melting_Curves/meltCurve_Q9NZL9_MAT2B.pdf</t>
  </si>
  <si>
    <t>Melting_Curves/meltCurve_Q9NZM3_2_ITSN2.pdf</t>
  </si>
  <si>
    <t>Melting_Curves/meltCurve_Q9NZM4_2_GLTSCR1.pdf</t>
  </si>
  <si>
    <t>Melting_Curves/meltCurve_Q9NZM5_GLTSCR2.pdf</t>
  </si>
  <si>
    <t>Melting_Curves/meltCurve_Q9NZN4_EHD2.pdf</t>
  </si>
  <si>
    <t>Melting_Curves/meltCurve_Q9NZN5_2_ARHGEF12.pdf</t>
  </si>
  <si>
    <t>Melting_Curves/meltCurve_Q9NZQ3_3_NCKIPSD.pdf</t>
  </si>
  <si>
    <t>Melting_Curves/meltCurve_Q9NZR2_LRP1B.pdf</t>
  </si>
  <si>
    <t>Melting_Curves/meltCurve_Q9NZT2_2_OGFR.pdf</t>
  </si>
  <si>
    <t>Melting_Curves/meltCurve_Q9NZV6_MSRB1.pdf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</si>
  <si>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</si>
  <si>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</si>
  <si>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</si>
  <si>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</si>
  <si>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</si>
  <si>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Melting_Curves/meltCurve_Q9P031_CCDC59.pdf</t>
  </si>
  <si>
    <t>Melting_Curves/meltCurve_Q9P032_NDUFAF4.pdf</t>
  </si>
  <si>
    <t>Melting_Curves/meltCurve_Q9P035_PTPLAD1.pdf</t>
  </si>
  <si>
    <t>Melting_Curves/meltCurve_Q9P0J7_KCMF1.pdf</t>
  </si>
  <si>
    <t>Melting_Curves/meltCurve_Q9P0K7_3_RAI14.pdf</t>
  </si>
  <si>
    <t>Melting_Curves/meltCurve_Q9P0L0_VAPA.pdf</t>
  </si>
  <si>
    <t>Melting_Curves/meltCurve_Q9P0N9_3_TBC1D7.pdf</t>
  </si>
  <si>
    <t>Melting_Curves/meltCurve_Q9P0P8_C6orf203.pdf</t>
  </si>
  <si>
    <t>Melting_Curves/meltCurve_Q9P0R6_GSKIP.pdf</t>
  </si>
  <si>
    <t>Melting_Curves/meltCurve_Q9P0U4_CXXC1.pdf</t>
  </si>
  <si>
    <t>Melting_Curves/meltCurve_Q9P0W2_HMG20B.pdf</t>
  </si>
  <si>
    <t>Melting_Curves/meltCurve_Q9P107_GMIP.pdf</t>
  </si>
  <si>
    <t>Melting_Curves/meltCurve_Q9P1F3_ABRACL.pdf</t>
  </si>
  <si>
    <t>Melting_Curves/meltCurve_Q9P1Q0_3_VPS54.pdf</t>
  </si>
  <si>
    <t>Melting_Curves/meltCurve_Q9P1U0_ZNRD1.pdf</t>
  </si>
  <si>
    <t>Melting_Curves/meltCurve_Q9P1U1_ACTR3B.pdf</t>
  </si>
  <si>
    <t>Melting_Curves/meltCurve_Q9P1Z2_2_CALCOCO1.pdf</t>
  </si>
  <si>
    <t>Melting_Curves/meltCurve_Q9P206_2_KIAA1522.pdf</t>
  </si>
  <si>
    <t>Melting_Curves/meltCurve_Q9P209_CEP72.pdf</t>
  </si>
  <si>
    <t>Melting_Curves/meltCurve_Q9P215_POGK.pdf</t>
  </si>
  <si>
    <t>Melting_Curves/meltCurve_Q9P219_CCDC88C.pdf</t>
  </si>
  <si>
    <t>Melting_Curves/meltCurve_Q9P244_LRFN1.pdf</t>
  </si>
  <si>
    <t>Melting_Curves/meltCurve_Q9P246_STIM2.pdf</t>
  </si>
  <si>
    <t>Melting_Curves/meltCurve_Q9P253_VPS18.pdf</t>
  </si>
  <si>
    <t>Melting_Curves/meltCurve_Q9P258_RCC2.pdf</t>
  </si>
  <si>
    <t>Melting_Curves/meltCurve_Q9P260_KIAA1468.pdf</t>
  </si>
  <si>
    <t>Melting_Curves/meltCurve_Q9P260_2_KIAA1468.pdf</t>
  </si>
  <si>
    <t>Melting_Curves/meltCurve_Q9P265_DIP2B.pdf</t>
  </si>
  <si>
    <t>Melting_Curves/meltCurve_Q9P270_SLAIN2.pdf</t>
  </si>
  <si>
    <t>Melting_Curves/meltCurve_Q9P275_USP36.pdf</t>
  </si>
  <si>
    <t>Melting_Curves/meltCurve_Q9P287_BCCIP.pdf</t>
  </si>
  <si>
    <t>Melting_Curves/meltCurve_Q9P287_2_BCCIP.pdf</t>
  </si>
  <si>
    <t>Melting_Curves/meltCurve_Q9P289_MST4.pdf</t>
  </si>
  <si>
    <t>Melting_Curves/meltCurve_Q9P2B4_CTTNBP2NL.pdf</t>
  </si>
  <si>
    <t>Melting_Curves/meltCurve_Q9P2B7_2_KIAA1430.pdf</t>
  </si>
  <si>
    <t>Melting_Curves/meltCurve_Q9P2D1_CHD7.pdf</t>
  </si>
  <si>
    <t>Melting_Curves/meltCurve_Q9P2D3_HEATR5B.pdf</t>
  </si>
  <si>
    <t>Melting_Curves/meltCurve_Q9P2D6_3_FAM135A.pdf</t>
  </si>
  <si>
    <t>Melting_Curves/meltCurve_Q9P2E3_ZNFX1.pdf</t>
  </si>
  <si>
    <t>Melting_Curves/meltCurve_Q9P2E9_RRBP1.pdf</t>
  </si>
  <si>
    <t>Melting_Curves/meltCurve_Q9P2G1_ANKIB1.pdf</t>
  </si>
  <si>
    <t>Melting_Curves/meltCurve_Q9P2I0_CPSF2.pdf</t>
  </si>
  <si>
    <t>Melting_Curves/meltCurve_Q9P2J5_LARS.pdf</t>
  </si>
  <si>
    <t>Melting_Curves/meltCurve_Q9P2K3_RCOR3.pdf</t>
  </si>
  <si>
    <t>Melting_Curves/meltCurve_Q9P2K5_2_MYEF2.pdf</t>
  </si>
  <si>
    <t>Melting_Curves/meltCurve_Q9P2K6_KLHL42.pdf</t>
  </si>
  <si>
    <t>Melting_Curves/meltCurve_Q9P2K8_2_EIF2AK4.pdf</t>
  </si>
  <si>
    <t>Melting_Curves/meltCurve_Q9P2M4_TBC1D14.pdf</t>
  </si>
  <si>
    <t>Melting_Curves/meltCurve_Q9P2N2_3_ARHGAP28.pdf</t>
  </si>
  <si>
    <t>Melting_Curves/meltCurve_Q9P2N5_RBM27.pdf</t>
  </si>
  <si>
    <t>Melting_Curves/meltCurve_Q9P2N6_3_KANSL3.pdf</t>
  </si>
  <si>
    <t>Melting_Curves/meltCurve_Q9P2P1_NYNRIN.pdf</t>
  </si>
  <si>
    <t>Melting_Curves/meltCurve_Q9P2P5_2_HECW2.pdf</t>
  </si>
  <si>
    <t>Melting_Curves/meltCurve_Q9P2R3_ANKFY1.pdf</t>
  </si>
  <si>
    <t>Melting_Curves/meltCurve_Q9P2R6_RERE.pdf</t>
  </si>
  <si>
    <t>Melting_Curves/meltCurve_Q9P2S5_WRAP73.pdf</t>
  </si>
  <si>
    <t>Melting_Curves/meltCurve_Q9P2W1_PSMC3IP.pdf</t>
  </si>
  <si>
    <t>Melting_Curves/meltCurve_Q9P2X0_DPM3.pdf</t>
  </si>
  <si>
    <t>Melting_Curves/meltCurve_Q9P2X3_IMPACT.pdf</t>
  </si>
  <si>
    <t>Melting_Curves/meltCurve_Q9P2Y5_UVRAG.pdf</t>
  </si>
  <si>
    <t>Melting_Curves/meltCurve_Q9UBB4_ATXN10.pdf</t>
  </si>
  <si>
    <t>Melting_Curves/meltCurve_Q9UBB5_MBD2.pdf</t>
  </si>
  <si>
    <t>Melting_Curves/meltCurve_Q9UBB6_NCDN.pdf</t>
  </si>
  <si>
    <t>Melting_Curves/meltCurve_Q9UBB9_TFIP11.pdf</t>
  </si>
  <si>
    <t>Melting_Curves/meltCurve_Q9UBC2_2_EPS15L1.pdf</t>
  </si>
  <si>
    <t>Melting_Curves/meltCurve_Q9UBC3_6_DNMT3B.pdf</t>
  </si>
  <si>
    <t>Melting_Curves/meltCurve_Q9UBD5_ORC3.pdf</t>
  </si>
  <si>
    <t>Melting_Curves/meltCurve_Q9UBE0_SAE1.pdf</t>
  </si>
  <si>
    <t>Melting_Curves/meltCurve_Q9UBF1_MAGEC2.pdf</t>
  </si>
  <si>
    <t>Melting_Curves/meltCurve_Q9UBF2_COPG2.pdf</t>
  </si>
  <si>
    <t>Melting_Curves/meltCurve_Q9UBF8_2_PI4KB.pdf</t>
  </si>
  <si>
    <t>Melting_Curves/meltCurve_Q9UBG0_MRC2.pdf</t>
  </si>
  <si>
    <t>Melting_Curves/meltCurve_Q9UBI1_COMMD3.pdf</t>
  </si>
  <si>
    <t>Melting_Curves/meltCurve_Q9UBI9_HECA.pdf</t>
  </si>
  <si>
    <t>Melting_Curves/meltCurve_Q9UBK8_2_MTRR.pdf</t>
  </si>
  <si>
    <t>Melting_Curves/meltCurve_Q9UBK9_UXT.pdf</t>
  </si>
  <si>
    <t>Melting_Curves/meltCurve_Q9UBL3_3_ASH2L.pdf</t>
  </si>
  <si>
    <t>Melting_Curves/meltCurve_Q9UBL6_2_CPNE7.pdf</t>
  </si>
  <si>
    <t>Melting_Curves/meltCurve_Q9UBP0_3_SPAST.pdf</t>
  </si>
  <si>
    <t>Melting_Curves/meltCurve_Q9UBP6_METTL1.pdf</t>
  </si>
  <si>
    <t>Melting_Curves/meltCurve_Q9UBQ0_VPS29.pdf</t>
  </si>
  <si>
    <t>Melting_Curves/meltCurve_Q9UBQ7_GRHPR.pdf</t>
  </si>
  <si>
    <t>Melting_Curves/meltCurve_Q9UBR2_CTSZ.pdf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</si>
  <si>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</si>
  <si>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</si>
  <si>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</si>
  <si>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</si>
  <si>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Melting_Curves/meltCurve_Q9UBT7_3_CTNNAL1.pdf</t>
  </si>
  <si>
    <t>Melting_Curves/meltCurve_Q9UBU6_FAM8A1.pdf</t>
  </si>
  <si>
    <t>Melting_Curves/meltCurve_Q9UBU7_DBF4.pdf</t>
  </si>
  <si>
    <t>Melting_Curves/meltCurve_Q9UBU8_2_MORF4L1.pdf</t>
  </si>
  <si>
    <t>Melting_Curves/meltCurve_Q9UBU9_NXF1.pdf</t>
  </si>
  <si>
    <t>Melting_Curves/meltCurve_Q9UBV8_PEF1.pdf</t>
  </si>
  <si>
    <t>Melting_Curves/meltCurve_Q9UBW7_ZMYM2.pdf</t>
  </si>
  <si>
    <t>Melting_Curves/meltCurve_Q9UBW8_COPS7A.pdf</t>
  </si>
  <si>
    <t>Melting_Curves/meltCurve_Q9UDT6_2_CLIP2.pdf</t>
  </si>
  <si>
    <t>Melting_Curves/meltCurve_Q9UDV7_ZNF282.pdf</t>
  </si>
  <si>
    <t>Melting_Curves/meltCurve_Q9UDY2_TJP2.pdf</t>
  </si>
  <si>
    <t>Melting_Curves/meltCurve_Q9UDY4_DNAJB4.pdf</t>
  </si>
  <si>
    <t>Melting_Curves/meltCurve_Q9UDY8_MALT1.pdf</t>
  </si>
  <si>
    <t>Melting_Curves/meltCurve_Q9UEE9_CFDP1.pdf</t>
  </si>
  <si>
    <t>Melting_Curves/meltCurve_Q9UEG4_ZNF629.pdf</t>
  </si>
  <si>
    <t>Melting_Curves/meltCurve_Q9UER7_DAXX.pdf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</si>
  <si>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</si>
  <si>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</si>
  <si>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</si>
  <si>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</si>
  <si>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Melting_Curves/meltCurve_Q9UFC0_LRWD1.pdf</t>
  </si>
  <si>
    <t>Melting_Curves/meltCurve_Q9UFG5_C19orf25.pdf</t>
  </si>
  <si>
    <t>Melting_Curves/meltCurve_Q9UFN0_NIPSNAP3A.pdf</t>
  </si>
  <si>
    <t>Melting_Curves/meltCurve_Q9UFW8_CGGBP1.pdf</t>
  </si>
  <si>
    <t>Melting_Curves/meltCurve_Q9UG01_IFT172.pdf</t>
  </si>
  <si>
    <t>Melting_Curves/meltCurve_Q9UG63_ABCF2.pdf</t>
  </si>
  <si>
    <t>Melting_Curves/meltCurve_Q9UGI8_TES.pdf</t>
  </si>
  <si>
    <t>Melting_Curves/meltCurve_Q9UGI8_2_TES.pdf</t>
  </si>
  <si>
    <t>Melting_Curves/meltCurve_Q9UGK8_SERGEF.pdf</t>
  </si>
  <si>
    <t>Melting_Curves/meltCurve_Q9UGL1_KDM5B.pdf</t>
  </si>
  <si>
    <t>Melting_Curves/meltCurve_Q9UGP4_LIMD1.pdf</t>
  </si>
  <si>
    <t>Melting_Curves/meltCurve_Q9UGP8_SEC63.pdf</t>
  </si>
  <si>
    <t>Melting_Curves/meltCurve_Q9UGR2_2_ZC3H7B.pdf</t>
  </si>
  <si>
    <t>Melting_Curves/meltCurve_Q9UGU0_2_TCF20.pdf</t>
  </si>
  <si>
    <t>Melting_Curves/meltCurve_Q9UGU5_HMGXB4.pdf</t>
  </si>
  <si>
    <t>Melting_Curves/meltCurve_Q9UGV2_NDRG3.pdf</t>
  </si>
  <si>
    <t>Melting_Curves/meltCurve_Q9UGY1_NOL12.pdf</t>
  </si>
  <si>
    <t>Melting_Curves/meltCurve_Q9UH62_ARMCX3.pdf</t>
  </si>
  <si>
    <t>Melting_Curves/meltCurve_Q9UH65_SWAP70.pdf</t>
  </si>
  <si>
    <t>Melting_Curves/meltCurve_Q9UH90_FBXO40.pdf</t>
  </si>
  <si>
    <t>Melting_Curves/meltCurve_Q9UH92_2_MLX.pdf</t>
  </si>
  <si>
    <t>Melting_Curves/meltCurve_Q9UHA3_RSL24D1.pdf</t>
  </si>
  <si>
    <t>Melting_Curves/meltCurve_Q9UHA4_LAMTOR3.pdf</t>
  </si>
  <si>
    <t>Melting_Curves/meltCurve_Q9UHB6_LIMA1.pdf</t>
  </si>
  <si>
    <t>Melting_Curves/meltCurve_Q9UHB6_4_LIMA1.pdf</t>
  </si>
  <si>
    <t>Melting_Curves/meltCurve_Q9UHB7_AFF4.pdf</t>
  </si>
  <si>
    <t>Melting_Curves/meltCurve_Q9UHB9_SRP68.pdf</t>
  </si>
  <si>
    <t>Melting_Curves/meltCurve_Q9UHD1_CHORDC1.pdf</t>
  </si>
  <si>
    <t>Melting_Curves/meltCurve_Q9UHD2_TBK1.pdf</t>
  </si>
  <si>
    <t>Melting_Curves/meltCurve_Q9UHD8_7_SEPT9.pdf</t>
  </si>
  <si>
    <t>Melting_Curves/meltCurve_Q9UHD9_UBQLN2.pdf</t>
  </si>
  <si>
    <t>Melting_Curves/meltCurve_Q9UHF1_EGFL7.pdf</t>
  </si>
  <si>
    <t>Melting_Curves/meltCurve_Q9UHI6_DDX20.pdf</t>
  </si>
  <si>
    <t>Melting_Curves/meltCurve_Q9UHJ3_2_SFMBT1.pdf</t>
  </si>
  <si>
    <t>Melting_Curves/meltCurve_Q9UHJ6_SHPK.pdf</t>
  </si>
  <si>
    <t>Melting_Curves/meltCurve_Q9UHK0_NUFIP1.pdf</t>
  </si>
  <si>
    <t>Melting_Curves/meltCurve_Q9UHL4_DPP7.pdf</t>
  </si>
  <si>
    <t>Melting_Curves/meltCurve_Q9UHN1_POLG2.pdf</t>
  </si>
  <si>
    <t>Melting_Curves/meltCurve_Q9UHN6_2_TMEM2.pdf</t>
  </si>
  <si>
    <t>Melting_Curves/meltCurve_Q9UHP3_USP25.pdf</t>
  </si>
  <si>
    <t>Melting_Curves/meltCurve_Q9UHQ1_4_NARF.pdf</t>
  </si>
  <si>
    <t>Melting_Curves/meltCurve_Q9UHR4_BAIAP2L1.pdf</t>
  </si>
  <si>
    <t>Melting_Curves/meltCurve_Q9UHR5_SAP30BP.pdf</t>
  </si>
  <si>
    <t>Melting_Curves/meltCurve_Q9UHR6_ZNHIT2.pdf</t>
  </si>
  <si>
    <t>Melting_Curves/meltCurve_Q9UHV7_MED13.pdf</t>
  </si>
  <si>
    <t>Melting_Curves/meltCurve_Q9UHV9_PFDN2.pdf</t>
  </si>
  <si>
    <t>Melting_Curves/meltCurve_Q9UHW5_GPN3.pdf</t>
  </si>
  <si>
    <t>Melting_Curves/meltCurve_Q9UHX1_2_PUF60.pdf</t>
  </si>
  <si>
    <t>Melting_Curves/meltCurve_Q9UHY1_NRBP1.pdf</t>
  </si>
  <si>
    <t>Melting_Curves/meltCurve_Q9UHY7_ENOPH1.pdf</t>
  </si>
  <si>
    <t>Melting_Curves/meltCurve_Q9UI08_EVL.pdf</t>
  </si>
  <si>
    <t>Melting_Curves/meltCurve_Q9UI10_EIF2B4.pdf</t>
  </si>
  <si>
    <t>Melting_Curves/meltCurve_Q9UI10_3_EIF2B4.pdf</t>
  </si>
  <si>
    <t>Melting_Curves/meltCurve_Q9UI12_ATP6V1H.pdf</t>
  </si>
  <si>
    <t>Melting_Curves/meltCurve_Q9UI26_IPO11.pdf</t>
  </si>
  <si>
    <t>Melting_Curves/meltCurve_Q9UI30_TRMT112.pdf</t>
  </si>
  <si>
    <t>Melting_Curves/meltCurve_Q9UI95_MAD2L2.pdf</t>
  </si>
  <si>
    <t>Melting_Curves/meltCurve_Q9UIA9_XPO7.pdf</t>
  </si>
  <si>
    <t>Melting_Curves/meltCurve_Q9UIC8_LCMT1.pdf</t>
  </si>
  <si>
    <t>Melting_Curves/meltCurve_Q9UID3_VPS51.pdf</t>
  </si>
  <si>
    <t>Melting_Curves/meltCurve_Q9UIG0_2_BAZ1B.pdf</t>
  </si>
  <si>
    <t>Melting_Curves/meltCurve_Q9UII2_ATPIF1.pdf</t>
  </si>
  <si>
    <t>Melting_Curves/meltCurve_Q9UIL1_3_SCOC.pdf</t>
  </si>
  <si>
    <t>Melting_Curves/meltCurve_Q9UIM3_FKBPL.pdf</t>
  </si>
  <si>
    <t>Melting_Curves/meltCurve_Q9UIQ6_3_LNPEP.pdf</t>
  </si>
  <si>
    <t>Melting_Curves/meltCurve_Q9UIU6_SIX4.pdf</t>
  </si>
  <si>
    <t>Melting_Curves/meltCurve_Q9UIV1_CNOT7.pdf</t>
  </si>
  <si>
    <t>Melting_Curves/meltCurve_Q9UJ41_2_RABGEF1.pdf</t>
  </si>
  <si>
    <t>Melting_Curves/meltCurve_Q9UJ68_2_MSRA.pdf</t>
  </si>
  <si>
    <t>Melting_Curves/meltCurve_Q9UJ70_NAGK.pdf</t>
  </si>
  <si>
    <t>Melting_Curves/meltCurve_Q9UJ78_2_ZMYM5.pdf</t>
  </si>
  <si>
    <t>Melting_Curves/meltCurve_Q9UJA5_TRMT6.pdf</t>
  </si>
  <si>
    <t>Melting_Curves/meltCurve_Q9UJC5_SH3BGRL2.pdf</t>
  </si>
  <si>
    <t>Melting_Curves/meltCurve_Q9UJJ2_ZNF280C.pdf</t>
  </si>
  <si>
    <t>Melting_Curves/meltCurve_Q9UJK0_TSR3.pdf</t>
  </si>
  <si>
    <t>Melting_Curves/meltCurve_Q9UJM3_ERRFI1.pdf</t>
  </si>
  <si>
    <t>Melting_Curves/meltCurve_Q9UJN7_ZNF391.pdf</t>
  </si>
  <si>
    <t>Melting_Curves/meltCurve_Q9UJT0_TUBE1.pdf</t>
  </si>
  <si>
    <t>Melting_Curves/meltCurve_Q9UJT2_2_TSKS.pdf</t>
  </si>
  <si>
    <t>Melting_Curves/meltCurve_Q9UJU6_DBNL.pdf</t>
  </si>
  <si>
    <t>Melting_Curves/meltCurve_Q9UJU6_2_DBNL.pdf</t>
  </si>
  <si>
    <t>Melting_Curves/meltCurve_Q9UJV9_DDX41.pdf</t>
  </si>
  <si>
    <t>Melting_Curves/meltCurve_Q9UJW0_DCTN4.pdf</t>
  </si>
  <si>
    <t>Melting_Curves/meltCurve_Q9UJX2_3_CDC23.pdf</t>
  </si>
  <si>
    <t>Melting_Curves/meltCurve_Q9UJX3_2_ANAPC7.pdf</t>
  </si>
  <si>
    <t>Melting_Curves/meltCurve_Q9UJX6_ANAPC2.pdf</t>
  </si>
  <si>
    <t>Melting_Curves/meltCurve_Q9UJY4_GGA2.pdf</t>
  </si>
  <si>
    <t>Melting_Curves/meltCurve_Q9UJY5_4_GGA1.pdf</t>
  </si>
  <si>
    <t>Melting_Curves/meltCurve_Q9UK41_VPS28.pdf</t>
  </si>
  <si>
    <t>Melting_Curves/meltCurve_Q9UK45_LSM7.pdf</t>
  </si>
  <si>
    <t>Melting_Curves/meltCurve_Q9UK53_3_ING1.pdf</t>
  </si>
  <si>
    <t>Melting_Curves/meltCurve_Q9UK59_DBR1.pdf</t>
  </si>
  <si>
    <t>Melting_Curves/meltCurve_Q9UK61_3_FAM208A.pdf</t>
  </si>
  <si>
    <t>Melting_Curves/meltCurve_Q9UK73_FEM1B.pdf</t>
  </si>
  <si>
    <t>Melting_Curves/meltCurve_Q9UK97_3_FBXO9.pdf</t>
  </si>
  <si>
    <t>Melting_Curves/meltCurve_Q9UK99_2_FBXO3.pdf</t>
  </si>
  <si>
    <t>Melting_Curves/meltCurve_Q9UKA4_AKAP11.pdf</t>
  </si>
  <si>
    <t>Melting_Curves/meltCurve_Q9UKA9_PTBP2.pdf</t>
  </si>
  <si>
    <t>Melting_Curves/meltCurve_Q9UKB1_2_FBXW11.pdf</t>
  </si>
  <si>
    <t>Melting_Curves/meltCurve_Q9UKB3_DNAJC12.pdf</t>
  </si>
  <si>
    <t>Melting_Curves/meltCurve_Q9UKD2_MRTO4.pdf</t>
  </si>
  <si>
    <t>Melting_Curves/meltCurve_Q9UKE5_TNIK.pdf</t>
  </si>
  <si>
    <t>Melting_Curves/meltCurve_Q9UKE5_3_TNIK.pdf</t>
  </si>
  <si>
    <t>Melting_Curves/meltCurve_Q9UKE5_4_TNIK.pdf</t>
  </si>
  <si>
    <t>Melting_Curves/meltCurve_Q9UKF6_CPSF3.pdf</t>
  </si>
  <si>
    <t>Melting_Curves/meltCurve_Q9UKG1_APPL1.pdf</t>
  </si>
  <si>
    <t>Melting_Curves/meltCurve_Q9UKI8_TLK1.pdf</t>
  </si>
  <si>
    <t>Melting_Curves/meltCurve_Q9UKJ3_GPATCH8.pdf</t>
  </si>
  <si>
    <t>Melting_Curves/meltCurve_Q9UKK3_PARP4.pdf</t>
  </si>
  <si>
    <t>Melting_Curves/meltCurve_Q9UKL0_RCOR1.pdf</t>
  </si>
  <si>
    <t>Melting_Curves/meltCurve_Q9UKL3_CASP8AP2.pdf</t>
  </si>
  <si>
    <t>Melting_Curves/meltCurve_Q9UKL6_PCTP.pdf</t>
  </si>
  <si>
    <t>Melting_Curves/meltCurve_Q9UKN8_GTF3C4.pdf</t>
  </si>
  <si>
    <t>Melting_Curves/meltCurve_Q9UKS6_PACSIN3.pdf</t>
  </si>
  <si>
    <t>Melting_Curves/meltCurve_Q9UKT4_2_FBXO5.pdf</t>
  </si>
  <si>
    <t>Melting_Curves/meltCurve_Q9UKT5_FBXO4.pdf</t>
  </si>
  <si>
    <t>Melting_Curves/meltCurve_Q9UKT9_7_IKZF3.pdf</t>
  </si>
  <si>
    <t>Melting_Curves/meltCurve_Q9UKU7_ACAD8.pdf</t>
  </si>
  <si>
    <t>Melting_Curves/meltCurve_Q9UKV3_ACIN1.pdf</t>
  </si>
  <si>
    <t>Melting_Curves/meltCurve_Q9UKV3_5_ACIN1.pdf</t>
  </si>
  <si>
    <t>Melting_Curves/meltCurve_Q9UKV8_AGO2.pdf</t>
  </si>
  <si>
    <t>Melting_Curves/meltCurve_Q9UKX7_NUP50.pdf</t>
  </si>
  <si>
    <t>Melting_Curves/meltCurve_Q9UKY1_ZHX1.pdf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</si>
  <si>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</si>
  <si>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</si>
  <si>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</si>
  <si>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</si>
  <si>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</si>
  <si>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Melting_Curves/meltCurve_Q9UL33_2_TRAPPC2L.pdf</t>
  </si>
  <si>
    <t>Melting_Curves/meltCurve_Q9UL46_PSME2.pdf</t>
  </si>
  <si>
    <t>Melting_Curves/meltCurve_Q9UL54_2_TAOK2.pdf</t>
  </si>
  <si>
    <t>Melting_Curves/meltCurve_Q9UL63_MKLN1.pdf</t>
  </si>
  <si>
    <t>Melting_Curves/meltCurve_Q9ULA0_DNPEP.pdf</t>
  </si>
  <si>
    <t>Melting_Curves/meltCurve_Q9ULC3_RAB23.pdf</t>
  </si>
  <si>
    <t>Melting_Curves/meltCurve_Q9ULC4_MCTS1.pdf</t>
  </si>
  <si>
    <t>Melting_Curves/meltCurve_Q9ULD2_4_MTUS1.pdf</t>
  </si>
  <si>
    <t>Melting_Curves/meltCurve_Q9ULD5_ZNF777.pdf</t>
  </si>
  <si>
    <t>Melting_Curves/meltCurve_Q9ULD9_ZNF608.pdf</t>
  </si>
  <si>
    <t>Melting_Curves/meltCurve_Q9ULE0_WWC3.pdf</t>
  </si>
  <si>
    <t>Melting_Curves/meltCurve_Q9ULE6_PALD1.pdf</t>
  </si>
  <si>
    <t>Melting_Curves/meltCurve_Q9ULF5_SLC39A10.pdf</t>
  </si>
  <si>
    <t>Melting_Curves/meltCurve_Q9ULH0_5_KIDINS220.pdf</t>
  </si>
  <si>
    <t>Melting_Curves/meltCurve_Q9ULH1_ASAP1.pdf</t>
  </si>
  <si>
    <t>Melting_Curves/meltCurve_Q9ULH7_4_MKL2.pdf</t>
  </si>
  <si>
    <t>Melting_Curves/meltCurve_Q9ULJ3_2_ZBTB21.pdf</t>
  </si>
  <si>
    <t>Melting_Curves/meltCurve_Q9ULJ6_ZMIZ1.pdf</t>
  </si>
  <si>
    <t>Melting_Curves/meltCurve_Q9ULK2_ATXN7L1.pdf</t>
  </si>
  <si>
    <t>Melting_Curves/meltCurve_Q9ULK4_4_MED23.pdf</t>
  </si>
  <si>
    <t>Melting_Curves/meltCurve_Q9ULL5_3_PRR12.pdf</t>
  </si>
  <si>
    <t>Melting_Curves/meltCurve_Q9ULM3_YEATS2.pdf</t>
  </si>
  <si>
    <t>Melting_Curves/meltCurve_Q9ULM6_CNOT6.pdf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</si>
  <si>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</si>
  <si>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</si>
  <si>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</si>
  <si>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</si>
  <si>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Melting_Curves/meltCurve_Q9ULU4_12_ZMYND8.pdf</t>
  </si>
  <si>
    <t>Melting_Curves/meltCurve_Q9ULV3_5_CIZ1.pdf</t>
  </si>
  <si>
    <t>Melting_Curves/meltCurve_Q9ULV4_CORO1C.pdf</t>
  </si>
  <si>
    <t>Melting_Curves/meltCurve_Q9ULW0_TPX2.pdf</t>
  </si>
  <si>
    <t>Melting_Curves/meltCurve_Q9ULW3_ABT1.pdf</t>
  </si>
  <si>
    <t>Melting_Curves/meltCurve_Q9ULX3_NOB1.pdf</t>
  </si>
  <si>
    <t>Melting_Curves/meltCurve_Q9ULX6_AKAP8L.pdf</t>
  </si>
  <si>
    <t>Melting_Curves/meltCurve_Q9ULZ2_STAP1.pdf</t>
  </si>
  <si>
    <t>Melting_Curves/meltCurve_Q9ULZ3_PYCARD.pdf</t>
  </si>
  <si>
    <t>Melting_Curves/meltCurve_Q9ULZ3_2_PYCARD.pdf</t>
  </si>
  <si>
    <t>Melting_Curves/meltCurve_Q9UM13_ANAPC10.pdf</t>
  </si>
  <si>
    <t>Melting_Curves/meltCurve_Q9UM54_6_MYO6.pdf</t>
  </si>
  <si>
    <t>Melting_Curves/meltCurve_Q9UMF0_ICAM5.pdf</t>
  </si>
  <si>
    <t>Melting_Curves/meltCurve_Q9UMN6_WBP7.pdf</t>
  </si>
  <si>
    <t>Melting_Curves/meltCurve_Q9UMR2_DDX19B.pdf</t>
  </si>
  <si>
    <t>Melting_Curves/meltCurve_Q9UMS0_3_NFU1.pdf</t>
  </si>
  <si>
    <t>Melting_Curves/meltCurve_Q9UMS4_PRPF19.pdf</t>
  </si>
  <si>
    <t>Melting_Curves/meltCurve_Q9UMX0_UBQLN1.pdf</t>
  </si>
  <si>
    <t>Melting_Curves/meltCurve_Q9UMX5_NENF.pdf</t>
  </si>
  <si>
    <t>Melting_Curves/meltCurve_Q9UMY1_NOL7.pdf</t>
  </si>
  <si>
    <t>Melting_Curves/meltCurve_Q9UMY4_2_SNX12.pdf</t>
  </si>
  <si>
    <t>Melting_Curves/meltCurve_Q9UMZ2_5_SYNRG.pdf</t>
  </si>
  <si>
    <t>Melting_Curves/meltCurve_Q9UN36_2_NDRG2.pdf</t>
  </si>
  <si>
    <t>Melting_Curves/meltCurve_Q9UN37_VPS4A.pdf</t>
  </si>
  <si>
    <t>Melting_Curves/meltCurve_Q9UN86_2_G3BP2.pdf</t>
  </si>
  <si>
    <t>Melting_Curves/meltCurve_Q9UNE7_STUB1.pdf</t>
  </si>
  <si>
    <t>Melting_Curves/meltCurve_Q9UNF0_2_PACSIN2.pdf</t>
  </si>
  <si>
    <t>Melting_Curves/meltCurve_Q9UNF1_MAGED2.pdf</t>
  </si>
  <si>
    <t>Melting_Curves/meltCurve_Q9UNH5_3_CDC14A.pdf</t>
  </si>
  <si>
    <t>Melting_Curves/meltCurve_Q9UNH7_SNX6.pdf</t>
  </si>
  <si>
    <t>Melting_Curves/meltCurve_Q9UNL4_8_ING4.pdf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</si>
  <si>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</si>
  <si>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</si>
  <si>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</si>
  <si>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</si>
  <si>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Melting_Curves/meltCurve_Q9UNQ2_DIMT1.pdf</t>
  </si>
  <si>
    <t>Melting_Curves/meltCurve_Q9UNS1_2_TIMELESS.pdf</t>
  </si>
  <si>
    <t>Melting_Curves/meltCurve_Q9UNS2_COPS3.pdf</t>
  </si>
  <si>
    <t>Melting_Curves/meltCurve_Q9UNW1_MINPP1.pdf</t>
  </si>
  <si>
    <t>Melting_Curves/meltCurve_Q9UNX4_WDR3.pdf</t>
  </si>
  <si>
    <t>Melting_Curves/meltCurve_Q9UNY4_2_TTF2.pdf</t>
  </si>
  <si>
    <t>Melting_Curves/meltCurve_Q9UNZ2_NSFL1C.pdf</t>
  </si>
  <si>
    <t>Melting_Curves/meltCurve_Q9UNZ5_C19orf53.pdf</t>
  </si>
  <si>
    <t>Melting_Curves/meltCurve_Q9UP83_COG5.pdf</t>
  </si>
  <si>
    <t>Melting_Curves/meltCurve_Q9UPA5_BSN.pdf</t>
  </si>
  <si>
    <t>Melting_Curves/meltCurve_Q9UPM8_AP4E1.pdf</t>
  </si>
  <si>
    <t>Melting_Curves/meltCurve_Q9UPN3_MACF1.pdf</t>
  </si>
  <si>
    <t>Melting_Curves/meltCurve_Q9UPN4_3_AZI1.pdf</t>
  </si>
  <si>
    <t>Melting_Curves/meltCurve_Q9UPN6_SCAF8.pdf</t>
  </si>
  <si>
    <t>Melting_Curves/meltCurve_Q9UPN7_PPP6R1.pdf</t>
  </si>
  <si>
    <t>Melting_Curves/meltCurve_Q9UPN9_TRIM33.pdf</t>
  </si>
  <si>
    <t>Melting_Curves/meltCurve_Q9UPP5_2_KIAA1107.pdf</t>
  </si>
  <si>
    <t>Melting_Curves/meltCurve_Q9UPQ3_2_AGAP1.pdf</t>
  </si>
  <si>
    <t>Melting_Curves/meltCurve_Q9UPQ9_1_TNRC6B.pdf</t>
  </si>
  <si>
    <t>Melting_Curves/meltCurve_Q9UPR0_PLCL2.pdf</t>
  </si>
  <si>
    <t>Melting_Curves/meltCurve_Q9UPR3_SMG5.pdf</t>
  </si>
  <si>
    <t>Melting_Curves/meltCurve_Q9UPS6_SETD1B.pdf</t>
  </si>
  <si>
    <t>Melting_Curves/meltCurve_Q9UPT5_2_EXOC7.pdf</t>
  </si>
  <si>
    <t>Melting_Curves/meltCurve_Q9UPT8_ZC3H4.pdf</t>
  </si>
  <si>
    <t>Melting_Curves/meltCurve_Q9UPT9_USP22.pdf</t>
  </si>
  <si>
    <t>Melting_Curves/meltCurve_Q9UPU5_USP24.pdf</t>
  </si>
  <si>
    <t>Melting_Curves/meltCurve_Q9UPU7_TBC1D2B.pdf</t>
  </si>
  <si>
    <t>Melting_Curves/meltCurve_Q9UPV0_2_CEP164.pdf</t>
  </si>
  <si>
    <t>Melting_Curves/meltCurve_Q9UPW5_AGTPBP1.pdf</t>
  </si>
  <si>
    <t>Melting_Curves/meltCurve_Q9UPY3_DICER1.pdf</t>
  </si>
  <si>
    <t>Melting_Curves/meltCurve_Q9UPY8_2_MAPRE3.pdf</t>
  </si>
  <si>
    <t>Melting_Curves/meltCurve_Q9UPZ3_2_HPS5.pdf</t>
  </si>
  <si>
    <t>Melting_Curves/meltCurve_Q9UQ13_2_SHOC2.pdf</t>
  </si>
  <si>
    <t>Melting_Curves/meltCurve_Q9UQ35_SRRM2.pdf</t>
  </si>
  <si>
    <t>Melting_Curves/meltCurve_Q9UQ80_PA2G4.pdf</t>
  </si>
  <si>
    <t>Melting_Curves/meltCurve_Q9UQ84_4_EXO1.pdf</t>
  </si>
  <si>
    <t>Melting_Curves/meltCurve_Q9UQB8_3_BAIAP2.pdf</t>
  </si>
  <si>
    <t>Melting_Curves/meltCurve_Q9UQC2_2_GAB2.pdf</t>
  </si>
  <si>
    <t>Melting_Curves/meltCurve_Q9UQE7_SMC3.pdf</t>
  </si>
  <si>
    <t>Melting_Curves/meltCurve_Q9UQL6_HDAC5.pdf</t>
  </si>
  <si>
    <t>Melting_Curves/meltCurve_Q9UQQ2_SH2B3.pdf</t>
  </si>
  <si>
    <t>Melting_Curves/meltCurve_Q9UQR0_SCML2.pdf</t>
  </si>
  <si>
    <t>Melting_Curves/meltCurve_Q9UQR1_ZNF148.pdf</t>
  </si>
  <si>
    <t>Melting_Curves/meltCurve_Q9Y217_MTMR6.pdf</t>
  </si>
  <si>
    <t>Melting_Curves/meltCurve_Q9Y219_JAG2.pdf</t>
  </si>
  <si>
    <t>Melting_Curves/meltCurve_Q9Y221_2_NIP7.pdf</t>
  </si>
  <si>
    <t>Melting_Curves/meltCurve_Q9Y222_5_DMTF1.pdf</t>
  </si>
  <si>
    <t>Melting_Curves/meltCurve_Q9Y223_GNE.pdf</t>
  </si>
  <si>
    <t>Melting_Curves/meltCurve_Q9Y224_C14orf166.pdf</t>
  </si>
  <si>
    <t>Melting_Curves/meltCurve_Q9Y230_RUVBL2.pdf</t>
  </si>
  <si>
    <t>Melting_Curves/meltCurve_Q9Y232_2_CDYL.pdf</t>
  </si>
  <si>
    <t>Melting_Curves/meltCurve_Q9Y232_3_CDYL.pdf</t>
  </si>
  <si>
    <t>Melting_Curves/meltCurve_Q9Y237_PIN4.pdf</t>
  </si>
  <si>
    <t>Melting_Curves/meltCurve_Q9Y244_POMP.pdf</t>
  </si>
  <si>
    <t>Melting_Curves/meltCurve_Q9Y248_GINS2.pdf</t>
  </si>
  <si>
    <t>Melting_Curves/meltCurve_Q9Y259_CHKB.pdf</t>
  </si>
  <si>
    <t>Melting_Curves/meltCurve_Q9Y262_EIF3L.pdf</t>
  </si>
  <si>
    <t>Melting_Curves/meltCurve_Q9Y263_PLAA.pdf</t>
  </si>
  <si>
    <t>Melting_Curves/meltCurve_Q9Y265_RUVBL1.pdf</t>
  </si>
  <si>
    <t>Melting_Curves/meltCurve_Q9Y266_NUDC.pdf</t>
  </si>
  <si>
    <t>Melting_Curves/meltCurve_Q9Y277_VDAC3.pdf</t>
  </si>
  <si>
    <t>Melting_Curves/meltCurve_Q9Y281_3_CFL2.pdf</t>
  </si>
  <si>
    <t>Melting_Curves/meltCurve_Q9Y285_FARSA.pdf</t>
  </si>
  <si>
    <t>Melting_Curves/meltCurve_Q9Y289_SLC5A6.pdf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</si>
  <si>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</si>
  <si>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</si>
  <si>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</si>
  <si>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</si>
  <si>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Melting_Curves/meltCurve_Q9Y2B0_CNPY2.pdf</t>
  </si>
  <si>
    <t>Melting_Curves/meltCurve_Q9Y2D4_2_EXOC6B.pdf</t>
  </si>
  <si>
    <t>Melting_Curves/meltCurve_Q9Y2F5_KIAA0947.pdf</t>
  </si>
  <si>
    <t>Melting_Curves/meltCurve_Q9Y2G2_4_CARD8.pdf</t>
  </si>
  <si>
    <t>Melting_Curves/meltCurve_Q9Y2H0_3_DLGAP4.pdf</t>
  </si>
  <si>
    <t>Melting_Curves/meltCurve_Q9Y2H1_STK38L.pdf</t>
  </si>
  <si>
    <t>Melting_Curves/meltCurve_Q9Y2H2_INPP5F.pdf</t>
  </si>
  <si>
    <t>Melting_Curves/meltCurve_Q9Y2H5_PLEKHA6.pdf</t>
  </si>
  <si>
    <t>Melting_Curves/meltCurve_Q9Y2I1_NISCH.pdf</t>
  </si>
  <si>
    <t>Melting_Curves/meltCurve_Q9Y2I7_PIKFYVE.pdf</t>
  </si>
  <si>
    <t>Melting_Curves/meltCurve_Q9Y2I8_WDR37.pdf</t>
  </si>
  <si>
    <t>Melting_Curves/meltCurve_Q9Y2J2_2_EPB41L3.pdf</t>
  </si>
  <si>
    <t>Melting_Curves/meltCurve_Q9Y2K2_SIK3.pdf</t>
  </si>
  <si>
    <t>Melting_Curves/meltCurve_Q9Y2K7_KDM2A.pdf</t>
  </si>
  <si>
    <t>Melting_Curves/meltCurve_Q9Y2L1_DIS3.pdf</t>
  </si>
  <si>
    <t>Melting_Curves/meltCurve_Q9Y2L9_2_LRCH1.pdf</t>
  </si>
  <si>
    <t>Melting_Curves/meltCurve_Q9Y2P8_RCL1.pdf</t>
  </si>
  <si>
    <t>Melting_Curves/meltCurve_Q9Y2Q3_GSTK1.pdf</t>
  </si>
  <si>
    <t>Melting_Curves/meltCurve_Q9Y2Q5_LAMTOR2.pdf</t>
  </si>
  <si>
    <t>Melting_Curves/meltCurve_Q9Y2R4_DDX52.pdf</t>
  </si>
  <si>
    <t>Melting_Curves/meltCurve_Q9Y2S0_POLR1D.pdf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</si>
  <si>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</si>
  <si>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</si>
  <si>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</si>
  <si>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</si>
  <si>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Melting_Curves/meltCurve_Q9Y2T7_YBX2.pdf</t>
  </si>
  <si>
    <t>Melting_Curves/meltCurve_Q9Y2U5_MAP3K2.pdf</t>
  </si>
  <si>
    <t>Melting_Curves/meltCurve_Q9Y2U8_LEMD3.pdf</t>
  </si>
  <si>
    <t>Melting_Curves/meltCurve_Q9Y2V0_2_C15orf41.pdf</t>
  </si>
  <si>
    <t>Melting_Curves/meltCurve_Q9Y2V2_CARHSP1.pdf</t>
  </si>
  <si>
    <t>Melting_Curves/meltCurve_Q9Y2V7_COG6.pdf</t>
  </si>
  <si>
    <t>Melting_Curves/meltCurve_Q9Y2W1_THRAP3.pdf</t>
  </si>
  <si>
    <t>Melting_Curves/meltCurve_Q9Y2X0_2_MED16.pdf</t>
  </si>
  <si>
    <t>Melting_Curves/meltCurve_Q9Y2X3_NOP58.pdf</t>
  </si>
  <si>
    <t>Melting_Curves/meltCurve_Q9Y2X7_GIT1.pdf</t>
  </si>
  <si>
    <t>Melting_Curves/meltCurve_Q9Y2Z0_SUGT1.pdf</t>
  </si>
  <si>
    <t>Melting_Curves/meltCurve_Q9Y2Z0_2_SUGT1.pdf</t>
  </si>
  <si>
    <t>Melting_Curves/meltCurve_Q9Y2Z2_5_MTO1.pdf</t>
  </si>
  <si>
    <t>Melting_Curves/meltCurve_Q9Y2Z4_YARS2.pdf</t>
  </si>
  <si>
    <t>Melting_Curves/meltCurve_Q9Y303_AMDHD2.pdf</t>
  </si>
  <si>
    <t>Melting_Curves/meltCurve_Q9Y303_2_AMDHD2.pdf</t>
  </si>
  <si>
    <t>Melting_Curves/meltCurve_Q9Y305_3_ACOT9.pdf</t>
  </si>
  <si>
    <t>Melting_Curves/meltCurve_Q9Y312_AAR2.pdf</t>
  </si>
  <si>
    <t>Melting_Curves/meltCurve_Q9Y314_NOSIP.pdf</t>
  </si>
  <si>
    <t>Melting_Curves/meltCurve_Q9Y315_DERA.pdf</t>
  </si>
  <si>
    <t>Melting_Curves/meltCurve_Q9Y316_MEMO1.pdf</t>
  </si>
  <si>
    <t>Melting_Curves/meltCurve_Q9Y330_ZBTB12.pdf</t>
  </si>
  <si>
    <t>Melting_Curves/meltCurve_Q9Y333_LSM2.pdf</t>
  </si>
  <si>
    <t>Melting_Curves/meltCurve_Q9Y343_2_SNX24.pdf</t>
  </si>
  <si>
    <t>Melting_Curves/meltCurve_Q9Y371_SH3GLB1.pdf</t>
  </si>
  <si>
    <t>Melting_Curves/meltCurve_Q9Y376_CAB39.pdf</t>
  </si>
  <si>
    <t>Melting_Curves/meltCurve_Q9Y383_LUC7L2.pdf</t>
  </si>
  <si>
    <t>Melting_Curves/meltCurve_Q9Y385_UBE2J1.pdf</t>
  </si>
  <si>
    <t>Melting_Curves/meltCurve_Q9Y388_RBMX2.pdf</t>
  </si>
  <si>
    <t>Melting_Curves/meltCurve_Q9Y3A2_UTP11L.pdf</t>
  </si>
  <si>
    <t>Melting_Curves/meltCurve_Q9Y3A3_2_MOB4.pdf</t>
  </si>
  <si>
    <t>Melting_Curves/meltCurve_Q9Y3A5_SBDS.pdf</t>
  </si>
  <si>
    <t>Melting_Curves/meltCurve_Q9Y3B2_EXOSC1.pdf</t>
  </si>
  <si>
    <t>Melting_Curves/meltCurve_Q9Y3B3_2_TMED7.pdf</t>
  </si>
  <si>
    <t>Melting_Curves/meltCurve_Q9Y3B4_SF3B14.pdf</t>
  </si>
  <si>
    <t>Melting_Curves/meltCurve_Q9Y3B9_RRP15.pdf</t>
  </si>
  <si>
    <t>Melting_Curves/meltCurve_Q9Y3C1_NOP16.pdf</t>
  </si>
  <si>
    <t>Melting_Curves/meltCurve_Q9Y3C4_2_TPRKB.pdf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</si>
  <si>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</si>
  <si>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</si>
  <si>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</si>
  <si>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</si>
  <si>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</si>
  <si>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</si>
  <si>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Melting_Curves/meltCurve_Q9Y3D9_MRPS23.pdf</t>
  </si>
  <si>
    <t>Melting_Curves/meltCurve_Q9Y3E1_HDGFRP3.pdf</t>
  </si>
  <si>
    <t>Melting_Curves/meltCurve_Q9Y3E2_BOLA1.pdf</t>
  </si>
  <si>
    <t>Melting_Curves/meltCurve_Q9Y3E5_PTRH2.pdf</t>
  </si>
  <si>
    <t>Melting_Curves/meltCurve_Q9Y3E7_CHMP3.pdf</t>
  </si>
  <si>
    <t>Melting_Curves/meltCurve_Q9Y3F4_STRAP.pdf</t>
  </si>
  <si>
    <t>Melting_Curves/meltCurve_Q9Y3I0_C22orf28.pdf</t>
  </si>
  <si>
    <t>Melting_Curves/meltCurve_Q9Y3I1_FBXO7.pdf</t>
  </si>
  <si>
    <t>Melting_Curves/meltCurve_Q9Y3L3_SH3BP1.pdf</t>
  </si>
  <si>
    <t>Melting_Curves/meltCurve_Q9Y3P9_RABGAP1.pdf</t>
  </si>
  <si>
    <t>Melting_Curves/meltCurve_Q9Y3P9_2_RABGAP1.pdf</t>
  </si>
  <si>
    <t>Melting_Curves/meltCurve_Q9Y3Q8_TSC22D4.pdf</t>
  </si>
  <si>
    <t>Melting_Curves/meltCurve_Q9Y3R5_2_DOPEY2.pdf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</si>
  <si>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</si>
  <si>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</si>
  <si>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</si>
  <si>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</si>
  <si>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Melting_Curves/meltCurve_Q9Y3X0_CCDC9.pdf</t>
  </si>
  <si>
    <t>Melting_Curves/meltCurve_Q9Y3Y2_4_CHTOP.pdf</t>
  </si>
  <si>
    <t>Melting_Curves/meltCurve_Q9Y3Z3_4_SAMHD1.pdf</t>
  </si>
  <si>
    <t>Melting_Curves/meltCurve_Q9Y426_2_C2CD2.pdf</t>
  </si>
  <si>
    <t>Melting_Curves/meltCurve_Q9Y446_PKP3.pdf</t>
  </si>
  <si>
    <t>Melting_Curves/meltCurve_Q9Y448_KNSTRN.pdf</t>
  </si>
  <si>
    <t>Melting_Curves/meltCurve_Q9Y450_HBS1L.pdf</t>
  </si>
  <si>
    <t>Melting_Curves/meltCurve_Q9Y450_2_HBS1L.pdf</t>
  </si>
  <si>
    <t>Melting_Curves/meltCurve_Q9Y478_PRKAB1.pdf</t>
  </si>
  <si>
    <t>Melting_Curves/meltCurve_Q9Y483_3_MTF2.pdf</t>
  </si>
  <si>
    <t>Melting_Curves/meltCurve_Q9Y485_DMXL1.pdf</t>
  </si>
  <si>
    <t>Melting_Curves/meltCurve_Q9Y490_TLN1.pdf</t>
  </si>
  <si>
    <t>Melting_Curves/meltCurve_Q9Y496_KIF3A.pdf</t>
  </si>
  <si>
    <t>Melting_Curves/meltCurve_Q9Y4A5_2_TRRAP.pdf</t>
  </si>
  <si>
    <t>Melting_Curves/meltCurve_Q9Y4B4_RAD54L2.pdf</t>
  </si>
  <si>
    <t>Melting_Curves/meltCurve_Q9Y4B6_VPRBP.pdf</t>
  </si>
  <si>
    <t>Melting_Curves/meltCurve_Q9Y4C1_KDM3A.pdf</t>
  </si>
  <si>
    <t>Melting_Curves/meltCurve_Q9Y4C2_2_FAM115A.pdf</t>
  </si>
  <si>
    <t>Melting_Curves/meltCurve_Q9Y4E5_2_ZNF451.pdf</t>
  </si>
  <si>
    <t>Melting_Curves/meltCurve_Q9Y4E5_4_ZNF451.pdf</t>
  </si>
  <si>
    <t>Melting_Curves/meltCurve_Q9Y4E8_USP15.pdf</t>
  </si>
  <si>
    <t>Melting_Curves/meltCurve_Q9Y4F3_3_KIAA0430.pdf</t>
  </si>
  <si>
    <t>Melting_Curves/meltCurve_Q9Y4G6_TLN2.pdf</t>
  </si>
  <si>
    <t>Melting_Curves/meltCurve_Q9Y4G8_RAPGEF2.pdf</t>
  </si>
  <si>
    <t>Melting_Curves/meltCurve_Q9Y4H2_IRS2.pdf</t>
  </si>
  <si>
    <t>Melting_Curves/meltCurve_Q9Y4I1_2_MYO5A.pdf</t>
  </si>
  <si>
    <t>Melting_Curves/meltCurve_Q9Y4I5_MTL5.pdf</t>
  </si>
  <si>
    <t>Melting_Curves/meltCurve_Q9Y4K1_AIM1.pdf</t>
  </si>
  <si>
    <t>Melting_Curves/meltCurve_Q9Y4K3_TRAF6.pdf</t>
  </si>
  <si>
    <t>Melting_Curves/meltCurve_Q9Y4K4_MAP4K5.pdf</t>
  </si>
  <si>
    <t>Melting_Curves/meltCurve_Q9Y4L1_HYOU1.pdf</t>
  </si>
  <si>
    <t>Melting_Curves/meltCurve_Q9Y4P1_6_ATG4B.pdf</t>
  </si>
  <si>
    <t>Melting_Curves/meltCurve_Q9Y4P8_3_WIPI2.pdf</t>
  </si>
  <si>
    <t>Melting_Curves/meltCurve_Q9Y4R8_TELO2.pdf</t>
  </si>
  <si>
    <t>Melting_Curves/meltCurve_Q9Y4U1_MMACHC.pdf</t>
  </si>
  <si>
    <t>Melting_Curves/meltCurve_Q9Y4W2_2_LAS1L.pdf</t>
  </si>
  <si>
    <t>Melting_Curves/meltCurve_Q9Y4X0_AMMECR1.pdf</t>
  </si>
  <si>
    <t>Melting_Curves/meltCurve_Q9Y4X5_ARIH1.pdf</t>
  </si>
  <si>
    <t>Melting_Curves/meltCurve_Q9Y4Z0_LSM4.pdf</t>
  </si>
  <si>
    <t>Melting_Curves/meltCurve_Q9Y508_RNF114.pdf</t>
  </si>
  <si>
    <t>Melting_Curves/meltCurve_Q9Y520_4_PRRC2C.pdf</t>
  </si>
  <si>
    <t>Melting_Curves/meltCurve_Q9Y535_POLR3H.pdf</t>
  </si>
  <si>
    <t>Melting_Curves/meltCurve_Q9Y546_LRRC42.pdf</t>
  </si>
  <si>
    <t>Melting_Curves/meltCurve_Q9Y547_HSPB11.pdf</t>
  </si>
  <si>
    <t>Melting_Curves/meltCurve_Q9Y570_PPME1.pdf</t>
  </si>
  <si>
    <t>Melting_Curves/meltCurve_Q9Y580_RBM7.pdf</t>
  </si>
  <si>
    <t>Melting_Curves/meltCurve_Q9Y592_2_CCDC41.pdf</t>
  </si>
  <si>
    <t>Melting_Curves/meltCurve_Q9Y597_2_KCTD3.pdf</t>
  </si>
  <si>
    <t>Melting_Curves/meltCurve_Q9Y5A6_ZSCAN21.pdf</t>
  </si>
  <si>
    <t>Melting_Curves/meltCurve_Q9Y5A7_2_NUB1.pdf</t>
  </si>
  <si>
    <t>Melting_Curves/meltCurve_Q9Y5A9_YTHDF2.pdf</t>
  </si>
  <si>
    <t>Melting_Curves/meltCurve_Q9Y5B0_CTDP1.pdf</t>
  </si>
  <si>
    <t>Melting_Curves/meltCurve_Q9Y5B6_PAXBP1.pdf</t>
  </si>
  <si>
    <t>Melting_Curves/meltCurve_Q9Y5B8_NME7.pdf</t>
  </si>
  <si>
    <t>Melting_Curves/meltCurve_Q9Y5B9_SUPT16H.pdf</t>
  </si>
  <si>
    <t>Melting_Curves/meltCurve_Q9Y5J1_UTP18.pdf</t>
  </si>
  <si>
    <t>Melting_Curves/meltCurve_Q9Y5J6_TIMM10B.pdf</t>
  </si>
  <si>
    <t>Melting_Curves/meltCurve_Q9Y5J7_TIMM9.pdf</t>
  </si>
  <si>
    <t>Melting_Curves/meltCurve_Q9Y5J9_TIMM8B.pdf</t>
  </si>
  <si>
    <t>Melting_Curves/meltCurve_Q9Y5K5_2_UCHL5.pdf</t>
  </si>
  <si>
    <t>Melting_Curves/meltCurve_Q9Y5K6_CD2AP.pdf</t>
  </si>
  <si>
    <t>Melting_Curves/meltCurve_Q9Y5K8_ATP6V1D.pdf</t>
  </si>
  <si>
    <t>Melting_Curves/meltCurve_Q9Y5L0_TNPO3.pdf</t>
  </si>
  <si>
    <t>Melting_Curves/meltCurve_Q9Y5L4_TIMM13.pdf</t>
  </si>
  <si>
    <t>Melting_Curves/meltCurve_Q9Y5M8_SRPRB.pdf</t>
  </si>
  <si>
    <t>Melting_Curves/meltCurve_Q9Y5N5_N6AMT1.pdf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</si>
  <si>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</si>
  <si>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</si>
  <si>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</si>
  <si>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</si>
  <si>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Melting_Curves/meltCurve_Q9Y5R8_TRAPPC1.pdf</t>
  </si>
  <si>
    <t>Melting_Curves/meltCurve_Q9Y5S1_TRPV2.pdf</t>
  </si>
  <si>
    <t>Melting_Curves/meltCurve_Q9Y5S2_CDC42BPB.pdf</t>
  </si>
  <si>
    <t>Melting_Curves/meltCurve_Q9Y5S9_RBM8A.pdf</t>
  </si>
  <si>
    <t>Melting_Curves/meltCurve_Q9Y5U2_2_TSSC4.pdf</t>
  </si>
  <si>
    <t>Melting_Curves/meltCurve_Q9Y5X1_SNX9.pdf</t>
  </si>
  <si>
    <t>Melting_Curves/meltCurve_Q9Y5X2_SNX8.pdf</t>
  </si>
  <si>
    <t>Melting_Curves/meltCurve_Q9Y5X3_SNX5.pdf</t>
  </si>
  <si>
    <t>Melting_Curves/meltCurve_Q9Y5Y2_NUBP2.pdf</t>
  </si>
  <si>
    <t>Melting_Curves/meltCurve_Q9Y5Z4_HEBP2.pdf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</si>
  <si>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</si>
  <si>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</si>
  <si>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</si>
  <si>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</si>
  <si>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Melting_Curves/meltCurve_Q9Y646_CPQ.pdf</t>
  </si>
  <si>
    <t>Melting_Curves/meltCurve_Q9Y657_SPIN1.pdf</t>
  </si>
  <si>
    <t>Melting_Curves/meltCurve_Q9Y666_2_SLC12A7.pdf</t>
  </si>
  <si>
    <t>Melting_Curves/meltCurve_Q9Y678_COPG1.pdf</t>
  </si>
  <si>
    <t>Melting_Curves/meltCurve_Q9Y679_AUP1.pdf</t>
  </si>
  <si>
    <t>Melting_Curves/meltCurve_Q9Y680_3_FKBP7.pdf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</si>
  <si>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</si>
  <si>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</si>
  <si>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</si>
  <si>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</si>
  <si>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</si>
  <si>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</si>
  <si>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Melting_Curves/meltCurve_Q9Y6B7_AP4B1.pdf</t>
  </si>
  <si>
    <t>Melting_Curves/meltCurve_Q9Y6C2_EMILIN1.pdf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</si>
  <si>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</si>
  <si>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</si>
  <si>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</si>
  <si>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</si>
  <si>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</si>
  <si>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Melting_Curves/meltCurve_Q9Y6G5_COMMD10.pdf</t>
  </si>
  <si>
    <t>Melting_Curves/meltCurve_Q9Y6G9_DYNC1LI1.pdf</t>
  </si>
  <si>
    <t>Melting_Curves/meltCurve_Q9Y6H1_CHCHD2.pdf</t>
  </si>
  <si>
    <t>Melting_Curves/meltCurve_Q9Y6I3_EPN1.pdf</t>
  </si>
  <si>
    <t>Melting_Curves/meltCurve_Q9Y6I4_USP3.pdf</t>
  </si>
  <si>
    <t>Melting_Curves/meltCurve_Q9Y6I9_TEX264.pdf</t>
  </si>
  <si>
    <t>Melting_Curves/meltCurve_Q9Y6J9_TAF6L.pdf</t>
  </si>
  <si>
    <t>Melting_Curves/meltCurve_Q9Y6K1_DNMT3A.pdf</t>
  </si>
  <si>
    <t>Melting_Curves/meltCurve_Q9Y6K9_IKBKG.pdf</t>
  </si>
  <si>
    <t>Melting_Curves/meltCurve_Q9Y6M1_1_IGF2BP2.pdf</t>
  </si>
  <si>
    <t>Melting_Curves/meltCurve_Q9Y6M5_SLC30A1.pdf</t>
  </si>
  <si>
    <t>Melting_Curves/meltCurve_Q9Y6M7_6_SLC4A7.pdf</t>
  </si>
  <si>
    <t>Melting_Curves/meltCurve_Q9Y6P5_2_SESN1.pdf</t>
  </si>
  <si>
    <t>Melting_Curves/meltCurve_Q9Y6Q2_STON1.pdf</t>
  </si>
  <si>
    <t>Melting_Curves/meltCurve_Q9Y6Q9_5_NCOA3.pdf</t>
  </si>
  <si>
    <t>Melting_Curves/meltCurve_Q9Y6R0_NUMBL.pdf</t>
  </si>
  <si>
    <t>Melting_Curves/meltCurve_Q9Y6V0_2_PCLO.pdf</t>
  </si>
  <si>
    <t>Melting_Curves/meltCurve_Q9Y6V7_DDX49.pdf</t>
  </si>
  <si>
    <t>Melting_Curves/meltCurve_Q9Y6W3_CAPN7.pdf</t>
  </si>
  <si>
    <t>Melting_Curves/meltCurve_Q9Y6W5_WASF2.pdf</t>
  </si>
  <si>
    <t>Melting_Curves/meltCurve_Q9Y6X8_ZHX2.pdf</t>
  </si>
  <si>
    <t>Melting_Curves/meltCurve_Q9Y6X9_MORC2.pdf</t>
  </si>
  <si>
    <t>Melting_Curves/meltCurve_R4GMN1_MOSPD2.pdf</t>
  </si>
  <si>
    <t>Melting_Curves/meltCurve_R4GMR5_PSMD8.pdf</t>
  </si>
  <si>
    <t>Melting_Curves/meltCurve_R4GMX3_BMI1.pdf</t>
  </si>
  <si>
    <t>Melting_Curves/meltCurve_R4GN55_YTHDF3.pdf</t>
  </si>
  <si>
    <t>Melting_Curves/meltCurve_R4GNB1_AASDH.pdf</t>
  </si>
  <si>
    <t>Melting_Curves/meltCurve_R4GNB2_DENND4C.pdf</t>
  </si>
  <si>
    <t>Melting_Curves/meltCurve_R4GND1_UBE2E3.pdf</t>
  </si>
  <si>
    <t>Melting_Curves/meltCurve_R4GNH2_FBXO2.pdf</t>
  </si>
  <si>
    <t>Melting_Curves/meltCurve_R4GNH3_PSMC3.pdf</t>
  </si>
  <si>
    <t>Melting_Curves/meltCurve_R4GNJ5_ACD.pdf</t>
  </si>
  <si>
    <t>Yes</t>
  </si>
  <si>
    <t>No</t>
  </si>
  <si>
    <t>Transcription factor E2F8</t>
  </si>
  <si>
    <t>Ubiquitin-like modifier-activating enzyme 6</t>
  </si>
  <si>
    <t>Isoform 2 of Mediator of RNA polymerase II transcription subunit 19</t>
  </si>
  <si>
    <t>UHRF1-binding protein 1-like</t>
  </si>
  <si>
    <t>Shootin-1</t>
  </si>
  <si>
    <t>Tripartite motif-containing protein 26 (Fragment)</t>
  </si>
  <si>
    <t>Neuroblastoma-amplified sequence</t>
  </si>
  <si>
    <t>tRNA wybutosine-synthesizing protein 5</t>
  </si>
  <si>
    <t>Isoform 2 of Fucose mutarotase</t>
  </si>
  <si>
    <t>Isoform 2 of Transmembrane protein 131-like</t>
  </si>
  <si>
    <t>Isoform 2 of von Willebrand factor A domain-containing protein 8</t>
  </si>
  <si>
    <t>Isoform 2 of Protein strawberry notch homolog 1</t>
  </si>
  <si>
    <t>Isoform 2 of Isoprenoid synthase domain-containing protein</t>
  </si>
  <si>
    <t>Metallo-beta-lactamase domain-containing protein 1</t>
  </si>
  <si>
    <t>Isoform 3 of Protein KRBA1</t>
  </si>
  <si>
    <t>Isoform 2 of Trafficking protein particle complex subunit 13</t>
  </si>
  <si>
    <t>Isoform 2 of CCR4-NOT transcription complex subunit 1</t>
  </si>
  <si>
    <t>Isoform 7 of Transcription factor TFIIIB component B homolog</t>
  </si>
  <si>
    <t>Phosphoglycolate phosphatase</t>
  </si>
  <si>
    <t>UPF0600 protein C5orf51</t>
  </si>
  <si>
    <t>HCG2039464</t>
  </si>
  <si>
    <t>RCC1 domain-containing protein 1</t>
  </si>
  <si>
    <t>Oral-facial-digital syndrome 1 protein</t>
  </si>
  <si>
    <t>Zinc finger protein 281</t>
  </si>
  <si>
    <t>Zinc finger protein 316</t>
  </si>
  <si>
    <t>ADP-sugar pyrophosphatase</t>
  </si>
  <si>
    <t>Succinate dehydrogenase assembly factor 1, mitochondrial</t>
  </si>
  <si>
    <t>Charged multivesicular body protein 1a</t>
  </si>
  <si>
    <t>Proline-rich protein PRCC</t>
  </si>
  <si>
    <t>WAS/WASL-interacting protein family member 3</t>
  </si>
  <si>
    <t>Coiled-coil domain-containing protein 160</t>
  </si>
  <si>
    <t>Hematological and neurological-expressed 1-like protein</t>
  </si>
  <si>
    <t>Obscurin</t>
  </si>
  <si>
    <t>Putative gamma-glutamyltranspeptidase 3</t>
  </si>
  <si>
    <t>Biotinidase</t>
  </si>
  <si>
    <t>Isoform 2 of Tubulin alpha chain-like 3</t>
  </si>
  <si>
    <t>Structural maintenance of chromosomes flexible hinge domain-containing protein 1</t>
  </si>
  <si>
    <t>GATS-like protein 2</t>
  </si>
  <si>
    <t>Protein unc-119 homolog B</t>
  </si>
  <si>
    <t>Coiled-coil-helix-coiled-coil-helix domain-containing protein 1</t>
  </si>
  <si>
    <t>Nucleolar complex protein 3 homolog</t>
  </si>
  <si>
    <t>Coiled-coil domain-containing protein 85C</t>
  </si>
  <si>
    <t>Diaphanous homolog 2 (Drosophila), isoform CRA_c</t>
  </si>
  <si>
    <t>Annexin</t>
  </si>
  <si>
    <t>Ubiquitin carboxyl-terminal hydrolase 27</t>
  </si>
  <si>
    <t>Ankyrin repeat domain-containing protein 36A</t>
  </si>
  <si>
    <t>Protein FAM127A</t>
  </si>
  <si>
    <t>TANK-binding kinase 1-binding protein 1</t>
  </si>
  <si>
    <t>Isoform 2 of Nuclear envelope pore membrane protein POM 121C</t>
  </si>
  <si>
    <t>Intersectin 1 long form variant 3</t>
  </si>
  <si>
    <t>EGF domain-specific O-linked N-acetylglucosamine transferase</t>
  </si>
  <si>
    <t>Isoform 5 of Protein SFI1 homolog</t>
  </si>
  <si>
    <t>UPF0249 protein ydjC homolog</t>
  </si>
  <si>
    <t>Putative uncharacterized protein ENSP00000344348</t>
  </si>
  <si>
    <t>Zinc finger protein 850</t>
  </si>
  <si>
    <t>Fragile X mental retardation protein 1</t>
  </si>
  <si>
    <t>Metabotropic glutamate receptor 5</t>
  </si>
  <si>
    <t>Glycogen synthase kinase-3 alpha</t>
  </si>
  <si>
    <t>Down syndrome critical region protein 3</t>
  </si>
  <si>
    <t>S100P-binding protein</t>
  </si>
  <si>
    <t>Protein Hook homolog 1</t>
  </si>
  <si>
    <t>Tubulin alpha-4A chain</t>
  </si>
  <si>
    <t>Rho guanine nucleotide exchange factor 33</t>
  </si>
  <si>
    <t>BICD1 protein</t>
  </si>
  <si>
    <t>TFIIH basal transcription factor complex helicase XPD subunit (Fragment)</t>
  </si>
  <si>
    <t>Reticulocalbin-2</t>
  </si>
  <si>
    <t>Matrin-3</t>
  </si>
  <si>
    <t>Nucleoside diphosphate-linked moiety X motif 19, mitochondrial</t>
  </si>
  <si>
    <t>Ribonuclease P protein subunit p29</t>
  </si>
  <si>
    <t>Serine/arginine repetitive matrix protein 1</t>
  </si>
  <si>
    <t>6-phosphofructo-2-kinase/fructose-2, 6-bisphosphatase 2 transcript variant 3</t>
  </si>
  <si>
    <t>Dynein light chain 4, axonemal</t>
  </si>
  <si>
    <t>Neutrophil cytosol factor 4 (Fragment)</t>
  </si>
  <si>
    <t>Uncharacterized protein KIAA0930 (Fragment)</t>
  </si>
  <si>
    <t>TBC1 domain family member 22A</t>
  </si>
  <si>
    <t>HLA-B associated transcript 3, isoform CRA_a</t>
  </si>
  <si>
    <t>Histone-lysine N-methyltransferase EHMT2</t>
  </si>
  <si>
    <t>GRB2-related adapter protein 2 (Fragment)</t>
  </si>
  <si>
    <t>Pyridoxal phosphate phosphatase</t>
  </si>
  <si>
    <t>Protein-tyrosine sulfotransferase 2 (Fragment)</t>
  </si>
  <si>
    <t>Centromere protein M</t>
  </si>
  <si>
    <t>26S proteasome non-ATPase regulatory subunit 10</t>
  </si>
  <si>
    <t>Isoform 4 of Forkhead-associated domain-containing protein 1</t>
  </si>
  <si>
    <t>3-hydroxymethyl-3-methylglutaryl-Coenzyme A lyase (Hydroxymethylglutaricaciduria), isoform CRA_b</t>
  </si>
  <si>
    <t>GPI-anchor transamidase</t>
  </si>
  <si>
    <t>Capping protein (Actin filament) muscle Z-line, beta, isoform CRA_a</t>
  </si>
  <si>
    <t>Rootletin (Fragment)</t>
  </si>
  <si>
    <t>Eukaryotic translation initiation factor 4E transporter</t>
  </si>
  <si>
    <t>Nuclear factor 1 A-type</t>
  </si>
  <si>
    <t>Hsp90 co-chaperone Cdc37-like 1</t>
  </si>
  <si>
    <t>Trypsin-3 (Fragment)</t>
  </si>
  <si>
    <t>Guanylate kinase (Fragment)</t>
  </si>
  <si>
    <t>Sterol O-acyltransferase 1 (Fragment)</t>
  </si>
  <si>
    <t>Receptor tyrosine kinase-like orphan receptor 2, isoform CRA_b</t>
  </si>
  <si>
    <t>Fibroblast growth factor 13 (Fragment)</t>
  </si>
  <si>
    <t>Thioredoxin reductase 1, cytoplasmic</t>
  </si>
  <si>
    <t>Breast cancer metastasis-suppressor 1-like protein</t>
  </si>
  <si>
    <t>Zinc finger CCHC domain-containing protein 2</t>
  </si>
  <si>
    <t>Bifunctional arginine demethylase and lysyl-hydroxylase JMJD6</t>
  </si>
  <si>
    <t>Nucleoporin GLE1</t>
  </si>
  <si>
    <t>Coiled-coil domain-containing protein 92</t>
  </si>
  <si>
    <t>Tripartite motif-containing protein 16</t>
  </si>
  <si>
    <t>Squalene synthase</t>
  </si>
  <si>
    <t>AMSH-like protease</t>
  </si>
  <si>
    <t>E3 ubiquitin-protein ligase RING2</t>
  </si>
  <si>
    <t>Leucine zipper transcription factor-like 1, isoform CRA_b</t>
  </si>
  <si>
    <t>Protein artemis</t>
  </si>
  <si>
    <t>Solute carrier family 30 (Zinc transporter), member 6, isoform CRA_c</t>
  </si>
  <si>
    <t>Superoxide dismutase</t>
  </si>
  <si>
    <t>PHD finger protein 23</t>
  </si>
  <si>
    <t>Centromere protein H</t>
  </si>
  <si>
    <t>Probable ATP-dependent RNA helicase DDX58</t>
  </si>
  <si>
    <t>Retinoic acid receptor RXR-alpha</t>
  </si>
  <si>
    <t>Calponin-2</t>
  </si>
  <si>
    <t>NADH dehydrogenase [ubiquinone] flavoprotein 1, mitochondrial</t>
  </si>
  <si>
    <t>Vesicle-fusing ATPase</t>
  </si>
  <si>
    <t>Protein DEK</t>
  </si>
  <si>
    <t>28S ribosomal protein S18b, mitochondrial</t>
  </si>
  <si>
    <t>Isocitrate dehydrogenase [NADP]</t>
  </si>
  <si>
    <t>Catenin beta-1</t>
  </si>
  <si>
    <t>Translation initiation factor eIF-2B subunit alpha</t>
  </si>
  <si>
    <t>Phosphatidylinositol 5-phosphate 4-kinase type-2 alpha</t>
  </si>
  <si>
    <t>MAP1S light chain</t>
  </si>
  <si>
    <t>Neuronal growth regulator 1</t>
  </si>
  <si>
    <t>Eukaryotic translation initiation factor 2-alpha kinase 1</t>
  </si>
  <si>
    <t>RWD domain-containing protein 2A</t>
  </si>
  <si>
    <t>Tudor and KH domain-containing protein</t>
  </si>
  <si>
    <t>Ras-related protein Rab-5A</t>
  </si>
  <si>
    <t>Small nuclear ribonucleoprotein Sm D3</t>
  </si>
  <si>
    <t>Citrate synthase</t>
  </si>
  <si>
    <t>DNA topoisomerase</t>
  </si>
  <si>
    <t>Zinc finger protein 286A</t>
  </si>
  <si>
    <t>Cartilage oligomeric matrix protein</t>
  </si>
  <si>
    <t>Lipolysis-stimulated lipoprotein receptor</t>
  </si>
  <si>
    <t>Epidermal growth factor receptor kinase substrate 8-like protein 1</t>
  </si>
  <si>
    <t>ATP synthase subunit gamma</t>
  </si>
  <si>
    <t>Protein CHURC1-FNTB</t>
  </si>
  <si>
    <t>Kinesin-like protein KIF20A</t>
  </si>
  <si>
    <t>Beta/gamma crystallin domain-containing protein 3 (Fragment)</t>
  </si>
  <si>
    <t>NAD(P)H dehydrogenase [quinone] 1</t>
  </si>
  <si>
    <t>Ribosomal protein S6 kinase beta-1</t>
  </si>
  <si>
    <t>E3 ubiquitin-protein ligase RNF220</t>
  </si>
  <si>
    <t>Zinc finger protein 460</t>
  </si>
  <si>
    <t>Eyes absent homolog 3</t>
  </si>
  <si>
    <t>Prostaglandin E synthase 3</t>
  </si>
  <si>
    <t>Makorin, ring finger protein, 2, isoform CRA_b</t>
  </si>
  <si>
    <t>TOX high mobility group box family member 4</t>
  </si>
  <si>
    <t>Short/branched chain-specific acyl-CoA dehydrogenase, mitochondrial</t>
  </si>
  <si>
    <t>Histone deacetylase 8</t>
  </si>
  <si>
    <t>Ran-binding protein 10</t>
  </si>
  <si>
    <t>Transformer-2 protein homolog alpha</t>
  </si>
  <si>
    <t>6-phosphogluconate dehydrogenase, decarboxylating</t>
  </si>
  <si>
    <t>Myotubularin-related protein 9</t>
  </si>
  <si>
    <t>Sorting nexin-4</t>
  </si>
  <si>
    <t>N-alpha-acetyltransferase 40</t>
  </si>
  <si>
    <t>cDNA FLJ59742, highly similar to mRNA decapping enzyme 1B (EC 3.-.-.-)</t>
  </si>
  <si>
    <t>Rab proteins geranylgeranyltransferase component A 1</t>
  </si>
  <si>
    <t>SUMO-interacting motif-containing protein 1</t>
  </si>
  <si>
    <t>SH2 domain-containing protein 3A</t>
  </si>
  <si>
    <t>SFRS protein kinase 1, isoform CRA_f</t>
  </si>
  <si>
    <t>Mitogen-activated protein kinase kinase kinase 11</t>
  </si>
  <si>
    <t>Uncharacterized protein KIAA0513</t>
  </si>
  <si>
    <t>Tyrosine-protein phosphatase non-receptor type 23</t>
  </si>
  <si>
    <t>WD repeat-containing protein 41</t>
  </si>
  <si>
    <t>DNA ligase</t>
  </si>
  <si>
    <t>Sodium/hydrogen exchanger</t>
  </si>
  <si>
    <t>Citrate lyase subunit beta-like protein, mitochondrial</t>
  </si>
  <si>
    <t>Eukaryotic translation initiation factor 3 subunit J</t>
  </si>
  <si>
    <t>Kelch-like protein 20</t>
  </si>
  <si>
    <t>Ubiquitin carboxyl-terminal hydrolase 16</t>
  </si>
  <si>
    <t>Ribokinase</t>
  </si>
  <si>
    <t>Eukaryotic translation initiation factor 3 subunit D</t>
  </si>
  <si>
    <t>Iron-sulfur protein NUBPL</t>
  </si>
  <si>
    <t>ADP-ribosylation factor-like protein 1</t>
  </si>
  <si>
    <t>Caseinolytic peptidase B protein homolog</t>
  </si>
  <si>
    <t>Fragile X mental retardation syndrome-related protein 1</t>
  </si>
  <si>
    <t>Sentrin-specific protease 5</t>
  </si>
  <si>
    <t>Nucleoporin NUP53</t>
  </si>
  <si>
    <t>Nucleoporin NDC1</t>
  </si>
  <si>
    <t>Histone deacetylase 6</t>
  </si>
  <si>
    <t>Thymidine kinase 2, mitochondrial</t>
  </si>
  <si>
    <t>PHD finger protein 6</t>
  </si>
  <si>
    <t>Pyridoxine-5-phosphate oxidase</t>
  </si>
  <si>
    <t>Stomatin-like protein 2, mitochondrial</t>
  </si>
  <si>
    <t>Myb/SANT-like DNA-binding domain-containing protein 2</t>
  </si>
  <si>
    <t>Serine/threonine-protein kinase RIO3</t>
  </si>
  <si>
    <t>Serine/arginine-rich-splicing factor 3</t>
  </si>
  <si>
    <t>Lysosome-associated membrane glycoprotein 2</t>
  </si>
  <si>
    <t>3-ketoacyl-CoA thiolase</t>
  </si>
  <si>
    <t>Methyltransferase-like protein 13</t>
  </si>
  <si>
    <t>Insulin-like growth factor-binding protein 4</t>
  </si>
  <si>
    <t>Segment polarity protein dishevelled homolog DVL-3</t>
  </si>
  <si>
    <t>RNA polymerase I-specific transcription initiation factor RRN3</t>
  </si>
  <si>
    <t>Elongator complex protein 4</t>
  </si>
  <si>
    <t>JmjC domain-containing protein 7</t>
  </si>
  <si>
    <t>LIM domain kinase 2</t>
  </si>
  <si>
    <t>Pescadillo homolog</t>
  </si>
  <si>
    <t>Transcriptional enhancer factor TEF-5</t>
  </si>
  <si>
    <t>R3H domain-containing protein 2</t>
  </si>
  <si>
    <t>DNA excision repair protein ERCC-6-like</t>
  </si>
  <si>
    <t>Pre-mRNA-splicing factor CWC22 homolog</t>
  </si>
  <si>
    <t>Cat eye syndrome critical region protein 2</t>
  </si>
  <si>
    <t>Transcription factor E2F6</t>
  </si>
  <si>
    <t>GPI transamidase component PIG-T</t>
  </si>
  <si>
    <t>Protein disulfide-isomerase A6</t>
  </si>
  <si>
    <t>Kelch-like protein 22</t>
  </si>
  <si>
    <t>Tetratricopeptide repeat protein 26</t>
  </si>
  <si>
    <t>Enolase</t>
  </si>
  <si>
    <t>Ubiquinol-cytochrome c reductase complex chaperone CBP3 homolog</t>
  </si>
  <si>
    <t>Calcium/calmodulin-dependent 3,5-cyclic nucleotide phosphodiesterase 1A</t>
  </si>
  <si>
    <t>GRB2-associated-binding protein 1</t>
  </si>
  <si>
    <t>Delta-aminolevulinic acid dehydratase</t>
  </si>
  <si>
    <t>Prenylcysteine oxidase 1</t>
  </si>
  <si>
    <t>Deoxyribonuclease-2-alpha</t>
  </si>
  <si>
    <t>ETS domain-containing transcription factor ERF</t>
  </si>
  <si>
    <t>Tumor necrosis factor receptor superfamily member 10B</t>
  </si>
  <si>
    <t>ETS translocation variant 4</t>
  </si>
  <si>
    <t>Stathmin</t>
  </si>
  <si>
    <t>Tryptophan--tRNA ligase, mitochondrial</t>
  </si>
  <si>
    <t>Armadillo repeat containing 8, isoform CRA_g</t>
  </si>
  <si>
    <t>2,4-dienoyl-CoA reductase, mitochondrial</t>
  </si>
  <si>
    <t>Diacylglycerol kinase zeta</t>
  </si>
  <si>
    <t>Calponin-1</t>
  </si>
  <si>
    <t>3-phosphoinositide-dependent protein kinase 1</t>
  </si>
  <si>
    <t>Ubiquitin carboxyl-terminal hydrolase</t>
  </si>
  <si>
    <t>Solute carrier family 2, facilitated glucose transporter member 14</t>
  </si>
  <si>
    <t>Galactosylgalactosylxylosylprotein 3-beta-glucuronosyltransferase 3</t>
  </si>
  <si>
    <t>N-acetylgalactosamine kinase</t>
  </si>
  <si>
    <t>PPP2R5E protein</t>
  </si>
  <si>
    <t>UBX domain-containing protein 2A</t>
  </si>
  <si>
    <t>SOS2 protein</t>
  </si>
  <si>
    <t>CPEB4 protein</t>
  </si>
  <si>
    <t>Protein Wiz</t>
  </si>
  <si>
    <t>Coiled-coil domain-containing protein 115</t>
  </si>
  <si>
    <t>Eukaryotic translation initiation factor 4E member 2, isoform CRA_b</t>
  </si>
  <si>
    <t>60S ribosomal protein L31</t>
  </si>
  <si>
    <t>Thymosin alpha-1</t>
  </si>
  <si>
    <t>Cyclic AMP-dependent transcription factor ATF-2</t>
  </si>
  <si>
    <t>Transcription elongation factor B (SIII), polypeptide 2 (18kDa, elongin B), isoform CRA_b</t>
  </si>
  <si>
    <t>UPF0452 protein C7orf41</t>
  </si>
  <si>
    <t>U4/U6.U5 tri-snRNP-associated protein 2</t>
  </si>
  <si>
    <t>Cytochrome c oxidase assembly factor 5</t>
  </si>
  <si>
    <t>1-phosphatidylinositol 4,5-bisphosphate phosphodiesterase beta-2</t>
  </si>
  <si>
    <t>RNA-binding protein 12B</t>
  </si>
  <si>
    <t>Aspartyl aminopeptidase (Fragment)</t>
  </si>
  <si>
    <t>Putative WAS protein family homolog 3</t>
  </si>
  <si>
    <t>Myc-associated zinc finger protein</t>
  </si>
  <si>
    <t>Mediator of RNA polymerase II transcription subunit 30</t>
  </si>
  <si>
    <t>Asparagine synthetase domain-containing protein 1 (Fragment)</t>
  </si>
  <si>
    <t>26S proteasome non-ATPase regulatory subunit 6</t>
  </si>
  <si>
    <t>Rho GTPase-activating protein 19</t>
  </si>
  <si>
    <t>Charged multivesicular body protein 2b</t>
  </si>
  <si>
    <t>Nuclear-interacting partner of ALK</t>
  </si>
  <si>
    <t>Sorcin</t>
  </si>
  <si>
    <t>E3 ubiquitin-protein ligase RNF181</t>
  </si>
  <si>
    <t>Adenylate cyclase 1 (Brain), isoform CRA_e</t>
  </si>
  <si>
    <t>Uncharacterized protein</t>
  </si>
  <si>
    <t>NEDD8-conjugating enzyme UBE2F</t>
  </si>
  <si>
    <t>Ubiquitin-conjugating enzyme E2 E1 (Fragment)</t>
  </si>
  <si>
    <t>NF-kappa-B essential modulator (Fragment)</t>
  </si>
  <si>
    <t>DNA-directed RNA polymerase</t>
  </si>
  <si>
    <t>Protein CMSS1 (Fragment)</t>
  </si>
  <si>
    <t>Translocon-associated protein subunit alpha</t>
  </si>
  <si>
    <t>Regulator of chromosome condensation (Fragment)</t>
  </si>
  <si>
    <t>Zinc finger protein 639 (Fragment)</t>
  </si>
  <si>
    <t>Transmembrane protein 98 (Fragment)</t>
  </si>
  <si>
    <t>Ashwin</t>
  </si>
  <si>
    <t>Cyclic AMP-responsive element-binding protein 1 (Fragment)</t>
  </si>
  <si>
    <t>Inhibitor of growth protein 2 (Fragment)</t>
  </si>
  <si>
    <t>Programmed cell death protein 10 (Fragment)</t>
  </si>
  <si>
    <t>Protein lin-9 homolog</t>
  </si>
  <si>
    <t>Transgelin-3</t>
  </si>
  <si>
    <t>Fanconi anemia group B protein (Fragment)</t>
  </si>
  <si>
    <t>Ubiquitin fusion degradation protein 1 homolog (Fragment)</t>
  </si>
  <si>
    <t>Transportin-3</t>
  </si>
  <si>
    <t>Neuronal cell adhesion molecule (Fragment)</t>
  </si>
  <si>
    <t>Histone deacetylase 10</t>
  </si>
  <si>
    <t>Cell division cycle-associated 7-like protein</t>
  </si>
  <si>
    <t>GTP-binding protein 10 (Fragment)</t>
  </si>
  <si>
    <t>40S ribosomal protein SA (Fragment)</t>
  </si>
  <si>
    <t>Translocon-associated protein subunit gamma</t>
  </si>
  <si>
    <t>HMG box transcription factor BBX</t>
  </si>
  <si>
    <t>Zinc finger protein 467</t>
  </si>
  <si>
    <t>BSD domain-containing protein 1</t>
  </si>
  <si>
    <t>Fos-related antigen 2 (Fragment)</t>
  </si>
  <si>
    <t>N-lysine methyltransferase SETD6 (Fragment)</t>
  </si>
  <si>
    <t>Protein diaphanous homolog 3</t>
  </si>
  <si>
    <t>Transmembrane and ubiquitin-like domain-containing protein 1 (Fragment)</t>
  </si>
  <si>
    <t>Nuclear receptor corepressor 2</t>
  </si>
  <si>
    <t>COP9 signalosome complex subunit 1</t>
  </si>
  <si>
    <t>BAG family molecular chaperone regulator 3 (Fragment)</t>
  </si>
  <si>
    <t>Syntaxin-4 (Fragment)</t>
  </si>
  <si>
    <t>Cytochrome c (Fragment)</t>
  </si>
  <si>
    <t>ATPase family AAA domain-containing protein 2B (Fragment)</t>
  </si>
  <si>
    <t>Angio-associated migratory cell protein</t>
  </si>
  <si>
    <t>Zinc finger and SCAN domain-containing protein 31 (Fragment)</t>
  </si>
  <si>
    <t>EP400 N-terminal-like protein</t>
  </si>
  <si>
    <t>MAWD binding protein, isoform CRA_a</t>
  </si>
  <si>
    <t>Guanine nucleotide-binding protein G(I)/G(S)/G(T) subunit beta-2 (Fragment)</t>
  </si>
  <si>
    <t>2-hydroxyacyl-CoA lyase 1 (Fragment)</t>
  </si>
  <si>
    <t>Myeloid-associated differentiation marker (Fragment)</t>
  </si>
  <si>
    <t>DNA-directed RNA polymerases I, II, and III subunit RPABC3 (Fragment)</t>
  </si>
  <si>
    <t>Apoptotic protease-activating factor 1</t>
  </si>
  <si>
    <t>AP-4 complex subunit mu-1 (Fragment)</t>
  </si>
  <si>
    <t>O-acetyl-ADP-ribose deacetylase 1 (Fragment)</t>
  </si>
  <si>
    <t>Hsp70-binding protein 1</t>
  </si>
  <si>
    <t>Muscleblind-like protein 1</t>
  </si>
  <si>
    <t>Ubiquitin carboxyl-terminal hydrolase 42 (Fragment)</t>
  </si>
  <si>
    <t>DNA replication licensing factor MCM2</t>
  </si>
  <si>
    <t>NF-kappa-B inhibitor-interacting Ras-like protein 2</t>
  </si>
  <si>
    <t>Coiled-coil domain-containing protein 58</t>
  </si>
  <si>
    <t>Nucleoside diphosphate kinase</t>
  </si>
  <si>
    <t>Uncharacterized protein C7orf50 (Fragment)</t>
  </si>
  <si>
    <t>Serine/threonine-protein kinase 11-interacting protein</t>
  </si>
  <si>
    <t>DNA-binding protein SATB2</t>
  </si>
  <si>
    <t>NADH dehydrogenase [ubiquinone] complex I, assembly factor 7 (Fragment)</t>
  </si>
  <si>
    <t>SOSS complex subunit B1 (Fragment)</t>
  </si>
  <si>
    <t>Zinc finger protein Helios</t>
  </si>
  <si>
    <t>Probable histidine--tRNA ligase, mitochondrial</t>
  </si>
  <si>
    <t>Phosphatidylinositide phosphatase SAC1 (Fragment)</t>
  </si>
  <si>
    <t>Forkhead box J3, isoform CRA_b (Fragment)</t>
  </si>
  <si>
    <t>Rho GTPase-activating protein 23</t>
  </si>
  <si>
    <t>E3 ubiquitin-protein ligase TRIM22 (Fragment)</t>
  </si>
  <si>
    <t>60S ribosomal protein L24</t>
  </si>
  <si>
    <t>DnaJ homolog subfamily B member 2 (Fragment)</t>
  </si>
  <si>
    <t>Zinc finger BED domain-containing protein 1 (Fragment)</t>
  </si>
  <si>
    <t>Polycomb group RING finger protein 3 (Fragment)</t>
  </si>
  <si>
    <t>Filamin A-interacting protein 1-like (Fragment)</t>
  </si>
  <si>
    <t>Ribonuclease P protein subunit p20 (Fragment)</t>
  </si>
  <si>
    <t>Carboxypeptidase A5 (Fragment)</t>
  </si>
  <si>
    <t>ADP-ribosylation factor GTPase-activating protein 3</t>
  </si>
  <si>
    <t>Poly(rC)-binding protein 4 (Fragment)</t>
  </si>
  <si>
    <t>60S ribosomal protein L32 (Fragment)</t>
  </si>
  <si>
    <t>Protein KRI1 homolog</t>
  </si>
  <si>
    <t>PHD finger protein 20-like protein 1</t>
  </si>
  <si>
    <t>NADPH-dependent diflavin oxidoreductase 1</t>
  </si>
  <si>
    <t>Transcription factor RelB</t>
  </si>
  <si>
    <t>Meiotic nuclear division protein 1 homolog</t>
  </si>
  <si>
    <t>Myocyte-specific enhancer factor 2C</t>
  </si>
  <si>
    <t>Heterogeneous nuclear ribonucleoprotein A/B</t>
  </si>
  <si>
    <t>Centromere protein U (Fragment)</t>
  </si>
  <si>
    <t>DNA-directed RNA polymerase III subunit RPC7 (Fragment)</t>
  </si>
  <si>
    <t>Protein CDV3 homolog</t>
  </si>
  <si>
    <t>Microtubule-associated protein 1B (Fragment)</t>
  </si>
  <si>
    <t>Complexin-1 (Fragment)</t>
  </si>
  <si>
    <t>E3 ubiquitin-protein ligase SH3RF1 (Fragment)</t>
  </si>
  <si>
    <t>Docking protein 3</t>
  </si>
  <si>
    <t>60S ribosomal protein L9 (Fragment)</t>
  </si>
  <si>
    <t>Endonuclease 8-like 3</t>
  </si>
  <si>
    <t>CXXC-type zinc finger protein 5 (Fragment)</t>
  </si>
  <si>
    <t>OCIA domain-containing protein 1</t>
  </si>
  <si>
    <t>Syntaxin-18 (Fragment)</t>
  </si>
  <si>
    <t>Estradiol 17-beta-dehydrogenase 11</t>
  </si>
  <si>
    <t>E3 ubiquitin-protein ligase E3D</t>
  </si>
  <si>
    <t>40S ribosomal protein S23</t>
  </si>
  <si>
    <t>Ubiquitin-like-conjugating enzyme ATG10</t>
  </si>
  <si>
    <t>Alpha-L-iduronidase</t>
  </si>
  <si>
    <t>BRCA1-A complex subunit Abraxas</t>
  </si>
  <si>
    <t>PRELI domain-containing protein 1, mitochondrial</t>
  </si>
  <si>
    <t>Zinc finger protein 652</t>
  </si>
  <si>
    <t>Cytochrome b5 type B</t>
  </si>
  <si>
    <t>Septin 11, isoform CRA_b</t>
  </si>
  <si>
    <t>Ufm1-specific protease 2</t>
  </si>
  <si>
    <t>Ankyrin repeat and KH domain-containing protein 1 (Fragment)</t>
  </si>
  <si>
    <t>Centromere protein K</t>
  </si>
  <si>
    <t>Ribonuclease T2 (Fragment)</t>
  </si>
  <si>
    <t>Transcription initiation factor TFIID subunit 9 (Fragment)</t>
  </si>
  <si>
    <t>Major facilitator superfamily domain-containing protein 10</t>
  </si>
  <si>
    <t>Sorting nexin-14 (Fragment)</t>
  </si>
  <si>
    <t>Short transient receptor potential channel 4-associated protein</t>
  </si>
  <si>
    <t>Protein MMS22-like</t>
  </si>
  <si>
    <t>Geminin (Fragment)</t>
  </si>
  <si>
    <t>39S ribosomal protein L13, mitochondrial</t>
  </si>
  <si>
    <t>E3 SUMO-protein ligase NSE2</t>
  </si>
  <si>
    <t>Transmembrane protein 232</t>
  </si>
  <si>
    <t>RWD domain-containing protein 1 (Fragment)</t>
  </si>
  <si>
    <t>Zinc finger protein 354B (Fragment)</t>
  </si>
  <si>
    <t>Transcription elongation factor B polypeptide 1 (Fragment)</t>
  </si>
  <si>
    <t>Vinexin (Fragment)</t>
  </si>
  <si>
    <t>DNA repair and recombination protein RAD54B (Fragment)</t>
  </si>
  <si>
    <t>Erlin-2 (Fragment)</t>
  </si>
  <si>
    <t>60S ribosomal protein L30 (Fragment)</t>
  </si>
  <si>
    <t>TELO2-interacting protein 2</t>
  </si>
  <si>
    <t>Coiled-coil-helix-coiled-coil-helix domain-containing protein 7 (Fragment)</t>
  </si>
  <si>
    <t>AP-3 complex subunit beta-1</t>
  </si>
  <si>
    <t>Zinc finger transcription factor Trps1</t>
  </si>
  <si>
    <t>AN1-type zinc finger protein 1</t>
  </si>
  <si>
    <t>S-phase kinase-associated protein 1</t>
  </si>
  <si>
    <t>Serine/threonine-protein kinase Sgk3 (Fragment)</t>
  </si>
  <si>
    <t>Centrin-3</t>
  </si>
  <si>
    <t>COP9 signalosome complex subunit 6</t>
  </si>
  <si>
    <t>A-kinase anchor protein 10, mitochondrial (Fragment)</t>
  </si>
  <si>
    <t>Acid ceramidase</t>
  </si>
  <si>
    <t>UPF0361 protein C3orf37</t>
  </si>
  <si>
    <t>E3 ubiquitin-protein ligase UBR5</t>
  </si>
  <si>
    <t>Nicastrin</t>
  </si>
  <si>
    <t>Uncharacterized protein C12orf43</t>
  </si>
  <si>
    <t>Calcium-binding and coiled-coil domain-containing protein 2</t>
  </si>
  <si>
    <t>Nesprin-1</t>
  </si>
  <si>
    <t>E3 ubiquitin-protein ligase CBL-B</t>
  </si>
  <si>
    <t>Dynein heavy chain 9, axonemal</t>
  </si>
  <si>
    <t>60S ribosomal protein L14</t>
  </si>
  <si>
    <t>Target of Myb protein 1</t>
  </si>
  <si>
    <t>Inhibitor of Bruton tyrosine kinase</t>
  </si>
  <si>
    <t>Pyridoxal-dependent decarboxylase domain-containing protein 1</t>
  </si>
  <si>
    <t>Syntaxin-binding protein 4</t>
  </si>
  <si>
    <t>N-alpha-acetyltransferase 50</t>
  </si>
  <si>
    <t>Eukaryotic initiation factor 4A-II</t>
  </si>
  <si>
    <t>Gamma-tubulin complex component 6</t>
  </si>
  <si>
    <t>MKL/myocardin-like protein 1</t>
  </si>
  <si>
    <t>Microtubule-associated serine/threonine-protein kinase 2</t>
  </si>
  <si>
    <t>High mobility group protein B3 (Fragment)</t>
  </si>
  <si>
    <t>Hephaestin</t>
  </si>
  <si>
    <t>Exportin-7</t>
  </si>
  <si>
    <t>Ankyrin repeat domain-containing protein 26</t>
  </si>
  <si>
    <t>Protein NDRG1</t>
  </si>
  <si>
    <t>Inhibitor of growth protein 3</t>
  </si>
  <si>
    <t>U2 snRNP-associated SURP motif-containing protein</t>
  </si>
  <si>
    <t>TNFAIP3-interacting protein 1</t>
  </si>
  <si>
    <t>Methyl-CpG-binding domain protein 1</t>
  </si>
  <si>
    <t>RNA-binding motif, single-stranded-interacting protein 1</t>
  </si>
  <si>
    <t>Procollagen-lysine,2-oxoglutarate 5-dioxygenase 2</t>
  </si>
  <si>
    <t>Basic leucine zipper and W2 domain-containing protein 2 (Fragment)</t>
  </si>
  <si>
    <t>Protein CBFA2T3</t>
  </si>
  <si>
    <t>Casein kinase II subunit alpha</t>
  </si>
  <si>
    <t>Condensin-2 complex subunit G2</t>
  </si>
  <si>
    <t>Glucose-6-phosphate 1-dehydrogenase (Fragment)</t>
  </si>
  <si>
    <t>Nucleoporin p54</t>
  </si>
  <si>
    <t>Metastasis-associated protein MTA3</t>
  </si>
  <si>
    <t>ADP-ribosylation factor GTPase-activating protein 1</t>
  </si>
  <si>
    <t>DEP domain-containing mTOR-interacting protein</t>
  </si>
  <si>
    <t>Methyl-CpG-binding domain protein 1 (Fragment)</t>
  </si>
  <si>
    <t>Microtubule-associated protein</t>
  </si>
  <si>
    <t>Cytoplasmic FMR1-interacting protein 2</t>
  </si>
  <si>
    <t>NADPH--cytochrome P450 reductase</t>
  </si>
  <si>
    <t>Prenylcysteine oxidase-like</t>
  </si>
  <si>
    <t>Sal-like protein 2</t>
  </si>
  <si>
    <t>Septin-10</t>
  </si>
  <si>
    <t>Exocyst complex component 6</t>
  </si>
  <si>
    <t>Putative Polycomb group protein ASXL2</t>
  </si>
  <si>
    <t>Serine/threonine-protein kinase Nek4 (Fragment)</t>
  </si>
  <si>
    <t>Ribosomal protein L15 (Fragment)</t>
  </si>
  <si>
    <t>Eukaryotic translation initiation factor 4 gamma 1</t>
  </si>
  <si>
    <t>Ribonucleoprotein PTB-binding 1</t>
  </si>
  <si>
    <t>Pyruvate dehydrogenase protein X component, mitochondrial</t>
  </si>
  <si>
    <t>THO complex subunit 4</t>
  </si>
  <si>
    <t>E3 ubiquitin-protein ligase TRIM36</t>
  </si>
  <si>
    <t>Protein AF-10</t>
  </si>
  <si>
    <t>Mitotic checkpoint serine/threonine-protein kinase BUB1</t>
  </si>
  <si>
    <t>CUGBP Elav-like family member 2</t>
  </si>
  <si>
    <t>Translation initiation factor eIF-2B subunit epsilon</t>
  </si>
  <si>
    <t>Protein SMG7</t>
  </si>
  <si>
    <t>Anaphase-promoting complex subunit 4</t>
  </si>
  <si>
    <t>Beta-glucuronidase</t>
  </si>
  <si>
    <t>Golgi SNAP receptor complex member 1</t>
  </si>
  <si>
    <t>Structural maintenance of chromosomes protein</t>
  </si>
  <si>
    <t>Cytoskeleton-associated protein 2</t>
  </si>
  <si>
    <t>Armadillo repeat protein deleted in velo-cardio-facial syndrome</t>
  </si>
  <si>
    <t>DNA-directed RNA polymerase I subunit RPA34</t>
  </si>
  <si>
    <t>Intraflagellar transport protein 122 homolog</t>
  </si>
  <si>
    <t>Putative E3 ubiquitin-protein ligase UNKL</t>
  </si>
  <si>
    <t>Islet cell autoantigen 1</t>
  </si>
  <si>
    <t>Nucleosome-remodeling factor subunit BPTF (Fragment)</t>
  </si>
  <si>
    <t>Dystonin</t>
  </si>
  <si>
    <t>Cell division cycle-associated protein 2</t>
  </si>
  <si>
    <t>Protein diaphanous homolog 1</t>
  </si>
  <si>
    <t>Protein FAM193B</t>
  </si>
  <si>
    <t>Nuclear pore complex protein Nup155</t>
  </si>
  <si>
    <t>Acyl-CoA synthetase family member 2, mitochondrial</t>
  </si>
  <si>
    <t>Transducin beta-like protein 2</t>
  </si>
  <si>
    <t>Centrosomal protein of 192 kDa</t>
  </si>
  <si>
    <t>Nucleolar protein 14</t>
  </si>
  <si>
    <t>Serine/threonine-protein phosphatase 2A 56 kDa regulatory subunit delta isoform</t>
  </si>
  <si>
    <t>Centrosomal protein of 97 kDa</t>
  </si>
  <si>
    <t>Translin</t>
  </si>
  <si>
    <t>COP9 signalosome complex subunit 8</t>
  </si>
  <si>
    <t>Mediator of RNA polymerase II transcription subunit 22 (Fragment)</t>
  </si>
  <si>
    <t>Thioredoxin-dependent peroxide reductase, mitochondrial</t>
  </si>
  <si>
    <t>Tubulin polyglutamylase TTLL4</t>
  </si>
  <si>
    <t>Double-stranded RNA-binding protein Staufen homolog 2</t>
  </si>
  <si>
    <t>Tetranectin</t>
  </si>
  <si>
    <t>Probable leucine--tRNA ligase, mitochondrial</t>
  </si>
  <si>
    <t>Sperm-specific antigen 2</t>
  </si>
  <si>
    <t>Tyrosine-protein kinase Mer</t>
  </si>
  <si>
    <t>Band 4.1-like protein 2</t>
  </si>
  <si>
    <t>Transforming growth factor beta regulator 1</t>
  </si>
  <si>
    <t>G-protein-signaling modulator 3</t>
  </si>
  <si>
    <t>Splicing factor 3B subunit 2 (Fragment)</t>
  </si>
  <si>
    <t>Erythroid differentiation-related factor 1</t>
  </si>
  <si>
    <t>PHD and RING finger domain-containing protein 1</t>
  </si>
  <si>
    <t>UBX domain-containing protein 1 (Fragment)</t>
  </si>
  <si>
    <t>Cysteine and histidine-rich protein 1</t>
  </si>
  <si>
    <t>Breast cancer metastasis-suppressor 1 (Fragment)</t>
  </si>
  <si>
    <t>CD81 antigen</t>
  </si>
  <si>
    <t>C2 domain-containing protein 2-like</t>
  </si>
  <si>
    <t>Transcriptional enhancer factor TEF-1</t>
  </si>
  <si>
    <t>Sorting nexin-19</t>
  </si>
  <si>
    <t>Protein arginine N-methyltransferase 1</t>
  </si>
  <si>
    <t>Tetratricopeptide repeat protein 9C (Fragment)</t>
  </si>
  <si>
    <t>60S ribosomal protein L8 (Fragment)</t>
  </si>
  <si>
    <t>Signal peptidase complex subunit 2</t>
  </si>
  <si>
    <t>Protein NEDD8-MDP1 (Fragment)</t>
  </si>
  <si>
    <t>Glycosylphosphatidylinositol anchor attachment 1 protein (Fragment)</t>
  </si>
  <si>
    <t>Puromycin-sensitive aminopeptidase</t>
  </si>
  <si>
    <t>60S ribosomal protein L27a</t>
  </si>
  <si>
    <t>RING finger protein 141 (Fragment)</t>
  </si>
  <si>
    <t>Microtubule-actin cross-linking factor 1, isoforms 1/2/3/5 (Fragment)</t>
  </si>
  <si>
    <t>Small acidic protein (Fragment)</t>
  </si>
  <si>
    <t>Protein EMSY</t>
  </si>
  <si>
    <t>Upstream stimulatory factor 1 (Fragment)</t>
  </si>
  <si>
    <t>Baculoviral IAP repeat-containing protein 2</t>
  </si>
  <si>
    <t>Methylosome subunit pICln</t>
  </si>
  <si>
    <t>Protein FAM118B (Fragment)</t>
  </si>
  <si>
    <t>BTB/POZ domain-containing protein KCTD21 (Fragment)</t>
  </si>
  <si>
    <t>LIM domain only protein 7</t>
  </si>
  <si>
    <t>ATP synthase subunit g, mitochondrial</t>
  </si>
  <si>
    <t>Receptor-binding cancer antigen-expressed on SiSo cells</t>
  </si>
  <si>
    <t>CD59 glycoprotein</t>
  </si>
  <si>
    <t>Probable ribonuclease ZC3H12C</t>
  </si>
  <si>
    <t>Exophilin-5 (Fragment)</t>
  </si>
  <si>
    <t>Ribosomal RNA-processing protein 8</t>
  </si>
  <si>
    <t>Kelch repeat and BTB domain-containing protein 4</t>
  </si>
  <si>
    <t>Zinc finger protein-like 1 (Fragment)</t>
  </si>
  <si>
    <t>Growth arrest-specific protein 2 (Fragment)</t>
  </si>
  <si>
    <t>PHD finger protein 1</t>
  </si>
  <si>
    <t>Lysosomal acid phosphatase</t>
  </si>
  <si>
    <t>Repressor of RNA polymerase III transcription MAF1 homolog (Fragment)</t>
  </si>
  <si>
    <t>Ribosomal protein S6 kinase</t>
  </si>
  <si>
    <t>WD repeat-containing protein 74</t>
  </si>
  <si>
    <t>Alpha-ketoglutarate-dependent dioxygenase alkB homolog 3 (Fragment)</t>
  </si>
  <si>
    <t>SCL-interrupting locus protein</t>
  </si>
  <si>
    <t>Constitutive coactivator of peroxisome proliferator-activated receptor gamma</t>
  </si>
  <si>
    <t>Ras GTPase-activating-like protein IQGAP3</t>
  </si>
  <si>
    <t>tRNA (guanine(10)-N2)-methyltransferase homolog</t>
  </si>
  <si>
    <t>Copine-1 (Fragment)</t>
  </si>
  <si>
    <t>FGGY carbohydrate kinase domain-containing protein</t>
  </si>
  <si>
    <t>Exportin-4</t>
  </si>
  <si>
    <t>Protein FAM204A</t>
  </si>
  <si>
    <t>General transcription factor IIH subunit 3 (Fragment)</t>
  </si>
  <si>
    <t>WASH complex subunit CCDC53</t>
  </si>
  <si>
    <t>Phosphatidylinositol 4-phosphate 3-kinase C2 domain-containing subunit beta</t>
  </si>
  <si>
    <t>Junction plakoglobin</t>
  </si>
  <si>
    <t>Serine/threonine-protein kinase WNK1</t>
  </si>
  <si>
    <t>Mothers against decapentaplegic homolog 5</t>
  </si>
  <si>
    <t>Protein FAM76B</t>
  </si>
  <si>
    <t>Calcium-binding mitochondrial carrier protein Aralar2</t>
  </si>
  <si>
    <t>Cell division cycle-associated protein 3</t>
  </si>
  <si>
    <t>Cytosine-specific methyltransferase</t>
  </si>
  <si>
    <t>Protein furry homolog-like</t>
  </si>
  <si>
    <t>Succinyl-CoA ligase [ADP-forming] subunit beta, mitochondrial</t>
  </si>
  <si>
    <t>A-kinase anchor protein 7 isoform gamma</t>
  </si>
  <si>
    <t>Arginyl-tRNA--protein transferase 1</t>
  </si>
  <si>
    <t>PCTP-like protein</t>
  </si>
  <si>
    <t>Prohibitin-2</t>
  </si>
  <si>
    <t>Low affinity immunoglobulin gamma Fc region receptor II-a</t>
  </si>
  <si>
    <t>Uracil-DNA glycosylase</t>
  </si>
  <si>
    <t>Ribosomal protein S6 kinase alpha-3</t>
  </si>
  <si>
    <t>Ubiquitin thioesterase OTUB1</t>
  </si>
  <si>
    <t>Maestro heat-like repeat-containing protein family member 2B</t>
  </si>
  <si>
    <t>Paxillin</t>
  </si>
  <si>
    <t>FERM, RhoGEF and pleckstrin domain-containing protein 2</t>
  </si>
  <si>
    <t>Denticleless protein homolog</t>
  </si>
  <si>
    <t>Thiamin pyrophosphokinase 1</t>
  </si>
  <si>
    <t>Liprin-beta-1 (Fragment)</t>
  </si>
  <si>
    <t>L-lactate dehydrogenase A chain (Fragment)</t>
  </si>
  <si>
    <t>Rho GTPase-activating protein 4</t>
  </si>
  <si>
    <t>Amyloid-like protein 2</t>
  </si>
  <si>
    <t>E3 ubiquitin-protein ligase TRIM21</t>
  </si>
  <si>
    <t>Steroid hormone receptor ERR1 (Fragment)</t>
  </si>
  <si>
    <t>Anaphase-promoting complex subunit 5</t>
  </si>
  <si>
    <t>Kinase suppressor of Ras 1</t>
  </si>
  <si>
    <t>SEC23-interacting protein</t>
  </si>
  <si>
    <t>CLK4-associating serine/arginine-rich protein</t>
  </si>
  <si>
    <t>Zinc finger protein 384 (Fragment)</t>
  </si>
  <si>
    <t>Guanine nucleotide-binding protein subunit alpha-13</t>
  </si>
  <si>
    <t>Thioredoxin reductase 2, mitochondrial</t>
  </si>
  <si>
    <t>Uncharacterized protein KIAA1211</t>
  </si>
  <si>
    <t>Malectin (Fragment)</t>
  </si>
  <si>
    <t>Lipopolysaccharide-responsive and beige-like anchor protein</t>
  </si>
  <si>
    <t>RAD51-associated protein 1</t>
  </si>
  <si>
    <t>Glucosylceramidase</t>
  </si>
  <si>
    <t>Zinc finger protein 7</t>
  </si>
  <si>
    <t>Synaptotagmin-10</t>
  </si>
  <si>
    <t>Ankyrin repeat and LEM domain-containing protein 2</t>
  </si>
  <si>
    <t>Protein lunapark</t>
  </si>
  <si>
    <t>Pre-mRNA-splicing factor SYF1</t>
  </si>
  <si>
    <t>Protein transport protein Sec23A</t>
  </si>
  <si>
    <t>Receptor-type tyrosine-protein phosphatase beta</t>
  </si>
  <si>
    <t>RPA-interacting protein</t>
  </si>
  <si>
    <t>Tumor susceptibility gene 101 protein</t>
  </si>
  <si>
    <t>Protein angel homolog 2</t>
  </si>
  <si>
    <t>Melanoma antigen preferentially-expressed in tumors</t>
  </si>
  <si>
    <t>Importin subunit alpha</t>
  </si>
  <si>
    <t>Peroxisomal membrane protein PEX14</t>
  </si>
  <si>
    <t>Vacuolar protein sorting-associated protein 37C (Fragment)</t>
  </si>
  <si>
    <t>Tight junction protein ZO-3</t>
  </si>
  <si>
    <t>Long-chain-fatty-acid--CoA ligase ACSBG1</t>
  </si>
  <si>
    <t>Programmed cell death protein 2</t>
  </si>
  <si>
    <t>Zinc finger protein ZFPM2</t>
  </si>
  <si>
    <t>Protein Jumonji</t>
  </si>
  <si>
    <t>tRNA methyltransferase 10 homolog B</t>
  </si>
  <si>
    <t>Mitogen-activated protein kinase kinase kinase kinase</t>
  </si>
  <si>
    <t>Nuclear pore complex protein Nup133</t>
  </si>
  <si>
    <t>Interferon gamma receptor 1</t>
  </si>
  <si>
    <t>ATP-dependent RNA helicase DDX55</t>
  </si>
  <si>
    <t>CLIP-associating protein 2</t>
  </si>
  <si>
    <t>Atlastin-3</t>
  </si>
  <si>
    <t>Bromodomain-containing protein 1</t>
  </si>
  <si>
    <t>Insulin-induced gene 1 protein</t>
  </si>
  <si>
    <t>Cyclin-dependent kinase 17</t>
  </si>
  <si>
    <t>Axin interactor, dorsalization-associated protein</t>
  </si>
  <si>
    <t>WW domain-binding protein 11</t>
  </si>
  <si>
    <t>Coiled-coil domain-containing protein 82 (Fragment)</t>
  </si>
  <si>
    <t>Microsomal glutathione S-transferase 1 (Fragment)</t>
  </si>
  <si>
    <t>GA-binding protein subunit beta-1</t>
  </si>
  <si>
    <t>NADH dehydrogenase [ubiquinone] 1 alpha subcomplex subunit 8</t>
  </si>
  <si>
    <t>2-oxoglutarate dehydrogenase, mitochondrial</t>
  </si>
  <si>
    <t>Retinoblastoma-like protein 2 (Fragment)</t>
  </si>
  <si>
    <t>Type I inositol 3,4-bisphosphate 4-phosphatase</t>
  </si>
  <si>
    <t>Heat shock protein 75 kDa, mitochondrial</t>
  </si>
  <si>
    <t>Mevalonate kinase</t>
  </si>
  <si>
    <t>Epsin-2 (Fragment)</t>
  </si>
  <si>
    <t>Nuclear pore complex protein Nup153</t>
  </si>
  <si>
    <t>Probable global transcription activator SNF2L1 (Fragment)</t>
  </si>
  <si>
    <t>Large proline-rich protein BAG6 (Fragment)</t>
  </si>
  <si>
    <t>Calcineurin subunit B type 1</t>
  </si>
  <si>
    <t>Galectin-8</t>
  </si>
  <si>
    <t>Tumor protein D53</t>
  </si>
  <si>
    <t>Integrin-alpha FG-GAP repeat-containing protein 2</t>
  </si>
  <si>
    <t>Uncharacterized protein C14orf80</t>
  </si>
  <si>
    <t>2-methoxy-6-polyprenyl-1,4-benzoquinol methylase, mitochondrial (Fragment)</t>
  </si>
  <si>
    <t>Eukaryotic translation initiation factor 4B (Fragment)</t>
  </si>
  <si>
    <t>DNA fragmentation factor subunit beta</t>
  </si>
  <si>
    <t>Zinc finger protein Eos</t>
  </si>
  <si>
    <t>Methyltransferase-like protein 7A (Fragment)</t>
  </si>
  <si>
    <t>Spermatogenesis-associated serine-rich protein 2</t>
  </si>
  <si>
    <t>Serine/threonine-protein kinase Nek3</t>
  </si>
  <si>
    <t>Nuclear transcription factor Y subunit beta (Fragment)</t>
  </si>
  <si>
    <t>Plexin-A1</t>
  </si>
  <si>
    <t>DAZ-associated protein 2</t>
  </si>
  <si>
    <t>Squamous cell carcinoma antigen recognized by T-cells 3 (Fragment)</t>
  </si>
  <si>
    <t>CCR4-NOT transcription complex subunit 2 (Fragment)</t>
  </si>
  <si>
    <t>Nucleosome assembly protein 1-like 1</t>
  </si>
  <si>
    <t>Protein MON2 homolog</t>
  </si>
  <si>
    <t>Dystrophin</t>
  </si>
  <si>
    <t>Nucleosome assembly protein 1-like 1 (Fragment)</t>
  </si>
  <si>
    <t>Nascent polypeptide-associated complex subunit alpha</t>
  </si>
  <si>
    <t>Ataxin-2 (Fragment)</t>
  </si>
  <si>
    <t>Chromatin complexes subunit BAP18</t>
  </si>
  <si>
    <t>Protein BTG1 (Fragment)</t>
  </si>
  <si>
    <t>Adenylate kinase 2, mitochondrial</t>
  </si>
  <si>
    <t>Acyl-CoA dehydrogenase family member 10</t>
  </si>
  <si>
    <t>Transcription factor NF-E2 45 kDa subunit (Fragment)</t>
  </si>
  <si>
    <t>TGF-beta receptor type-1</t>
  </si>
  <si>
    <t>E3 ubiquitin-protein ligase RNF216</t>
  </si>
  <si>
    <t>Transducin-like enhancer protein 4</t>
  </si>
  <si>
    <t>Adiponectin receptor protein 1</t>
  </si>
  <si>
    <t>Golgi integral membrane protein 4</t>
  </si>
  <si>
    <t>60S ribosomal protein L10</t>
  </si>
  <si>
    <t>YTH domain family protein 1</t>
  </si>
  <si>
    <t>Vezatin (Fragment)</t>
  </si>
  <si>
    <t>Ras-related protein Rab-24</t>
  </si>
  <si>
    <t>Nucleolysin TIA-1 isoform p40</t>
  </si>
  <si>
    <t>Protein phosphatase 1 regulatory subunit 12B</t>
  </si>
  <si>
    <t>Transducin-like enhancer protein 3</t>
  </si>
  <si>
    <t>Serine/threonine-protein kinase WNK2</t>
  </si>
  <si>
    <t>Mediator of RNA polymerase II transcription subunit 24</t>
  </si>
  <si>
    <t>G protein-coupled receptor kinase 6</t>
  </si>
  <si>
    <t>Coiled-coil domain-containing protein 93</t>
  </si>
  <si>
    <t>Probable E3 ubiquitin-protein ligase MYCBP2</t>
  </si>
  <si>
    <t>Calponin-3</t>
  </si>
  <si>
    <t>Probable ATP-dependent RNA helicase DDX31</t>
  </si>
  <si>
    <t>Cohesin subunit SA-2</t>
  </si>
  <si>
    <t>Reticulon-4</t>
  </si>
  <si>
    <t>NADH dehydrogenase [ubiquinone] 1 alpha subcomplex subunit 5</t>
  </si>
  <si>
    <t>Ataxin-2</t>
  </si>
  <si>
    <t>RNA-binding protein PNO1</t>
  </si>
  <si>
    <t>39S ribosomal protein L40, mitochondrial</t>
  </si>
  <si>
    <t>60S ribosomal protein L35a</t>
  </si>
  <si>
    <t>Protein SFI1 homolog</t>
  </si>
  <si>
    <t>SAC3 domain-containing protein 1</t>
  </si>
  <si>
    <t>E3 ubiquitin-protein ligase RNF149</t>
  </si>
  <si>
    <t>Atlastin-2</t>
  </si>
  <si>
    <t>Helicase SKI2W</t>
  </si>
  <si>
    <t>AN1-type zinc finger protein 2B</t>
  </si>
  <si>
    <t>COBW domain-containing protein 2</t>
  </si>
  <si>
    <t>Translocation protein SEC62</t>
  </si>
  <si>
    <t>Cleavage and polyadenylation-specificity factor subunit 6</t>
  </si>
  <si>
    <t>Processed sterol regulatory element-binding protein 2</t>
  </si>
  <si>
    <t>Lin-7 homolog C (C. elegans), isoform CRA_b</t>
  </si>
  <si>
    <t>Transcription factor 8 (Represses interleukin 2 expression), isoform CRA_b</t>
  </si>
  <si>
    <t>Inositol-3-phosphate synthase 1</t>
  </si>
  <si>
    <t>Polypeptide N-acetylgalactosaminyltransferase 2 soluble form</t>
  </si>
  <si>
    <t>Activating transcription factor 7 interacting protein, isoform CRA_f</t>
  </si>
  <si>
    <t>ARP6 actin-related protein 6 homolog (Yeast), isoform CRA_d</t>
  </si>
  <si>
    <t>60S ribosomal protein L18</t>
  </si>
  <si>
    <t>C-1-tetrahydrofolate synthase, cytoplasmic</t>
  </si>
  <si>
    <t>Acylphosphatase</t>
  </si>
  <si>
    <t>T1-TrpRS (Fragment)</t>
  </si>
  <si>
    <t>Zinc finger protein 410 (Fragment)</t>
  </si>
  <si>
    <t>DDB1- and CUL4-associated factor 8</t>
  </si>
  <si>
    <t>Ataxin-3 (Fragment)</t>
  </si>
  <si>
    <t>Heterogeneous nuclear ribonucleoproteins C1/C2</t>
  </si>
  <si>
    <t>Protein farnesyltransferase subunit beta</t>
  </si>
  <si>
    <t>Diacylglycerol kinase alpha (Fragment)</t>
  </si>
  <si>
    <t>AP-4 complex subunit sigma-1 (Fragment)</t>
  </si>
  <si>
    <t>Heterogeneous nuclear ribonucleoproteins C1/C2 (Fragment)</t>
  </si>
  <si>
    <t>ATP-dependent RNA helicase DDX24</t>
  </si>
  <si>
    <t>Paired box protein Pax-6 (Fragment)</t>
  </si>
  <si>
    <t>cTAGE family member 5</t>
  </si>
  <si>
    <t>Maleylacetoacetate isomerase</t>
  </si>
  <si>
    <t>Nuclear export mediator factor NEMF (Fragment)</t>
  </si>
  <si>
    <t>Methionine aminopeptidase</t>
  </si>
  <si>
    <t>AT rich interactive domain 1B (SWI1-like), isoform CRA_a</t>
  </si>
  <si>
    <t>Mitogen-activated protein kinase kinase kinase kinase 4</t>
  </si>
  <si>
    <t>HCG2002594, isoform CRA_c</t>
  </si>
  <si>
    <t>Protein FAM133B</t>
  </si>
  <si>
    <t>Solute carrier family 12 (Sodium/potassium/chloride transporters), member 2, isoform CRA_a</t>
  </si>
  <si>
    <t>Myotubularin related protein 3, isoform CRA_e</t>
  </si>
  <si>
    <t>TCF3 (E2A) fusion partner (In childhood Leukemia), isoform CRA_b</t>
  </si>
  <si>
    <t>Son of sevenless homolog 1</t>
  </si>
  <si>
    <t>Calcineurin binding protein 1, isoform CRA_b</t>
  </si>
  <si>
    <t>Protein S (Alpha), isoform CRA_b</t>
  </si>
  <si>
    <t>Zinc finger protein 277</t>
  </si>
  <si>
    <t>28S ribosomal protein S22, mitochondrial</t>
  </si>
  <si>
    <t>Fibronectin type III domain containing 3A, isoform CRA_f</t>
  </si>
  <si>
    <t>Cisplatin resistance related protein CRR9p, isoform CRA_c</t>
  </si>
  <si>
    <t>HCG21296, isoform CRA_c</t>
  </si>
  <si>
    <t>HCG1647660, isoform CRA_a</t>
  </si>
  <si>
    <t>Protein disulfide isomerase family A, member 3, isoform CRA_b</t>
  </si>
  <si>
    <t>Cordon-bleu protein-like 1</t>
  </si>
  <si>
    <t>MAU2 chromatid cohesion factor homolog</t>
  </si>
  <si>
    <t>G/T mismatch-specific thymine DNA glycosylase</t>
  </si>
  <si>
    <t>tRNA pseudouridine synthase (Fragment)</t>
  </si>
  <si>
    <t>TIMELESS-interacting protein</t>
  </si>
  <si>
    <t>M-phase inducer phosphatase 2</t>
  </si>
  <si>
    <t>WD repeat domain phosphoinositide-interacting protein 4</t>
  </si>
  <si>
    <t>Vesicle transport protein USE1</t>
  </si>
  <si>
    <t>Phosphofurin acidic cluster sorting protein 2</t>
  </si>
  <si>
    <t>Lysosomal thioesterase PPT2 (Fragment)</t>
  </si>
  <si>
    <t>Myosin phosphatase Rho-interacting protein (Fragment)</t>
  </si>
  <si>
    <t>60S ribosomal protein L35 (Fragment)</t>
  </si>
  <si>
    <t>Actin-binding LIM protein 1</t>
  </si>
  <si>
    <t>Histone lysine demethylase PHF8 (Fragment)</t>
  </si>
  <si>
    <t>Eukaryotic translation initiation factor 4 gamma 2</t>
  </si>
  <si>
    <t>SET domain-containing protein 5 (Fragment)</t>
  </si>
  <si>
    <t>Uncharacterized protein C7orf43 (Fragment)</t>
  </si>
  <si>
    <t>Nuclear receptor corepressor 1 (Fragment)</t>
  </si>
  <si>
    <t>Inosine-5-monophosphate dehydrogenase 2 (Fragment)</t>
  </si>
  <si>
    <t>La-related protein 4B (Fragment)</t>
  </si>
  <si>
    <t>Probable phospholipid-transporting ATPase IH (Fragment)</t>
  </si>
  <si>
    <t>Arginyl-tRNA--protein transferase 1 (Fragment)</t>
  </si>
  <si>
    <t>Cip1-interacting zinc finger protein (Fragment)</t>
  </si>
  <si>
    <t>Pyrroline-5-carboxylate reductase 3 (Fragment)</t>
  </si>
  <si>
    <t>U3 small nucleolar ribonucleoprotein protein IMP4 (Fragment)</t>
  </si>
  <si>
    <t>AT-rich interactive domain-containing protein 1B (Fragment)</t>
  </si>
  <si>
    <t>Serine/threonine-protein kinase WNK2 (Fragment)</t>
  </si>
  <si>
    <t>Uncharacterized protein (Fragment)</t>
  </si>
  <si>
    <t>Probable E3 ubiquitin-protein ligase HERC3 (Fragment)</t>
  </si>
  <si>
    <t>2-deoxynucleoside 5-phosphate N-hydrolase 1 (Fragment)</t>
  </si>
  <si>
    <t>Rap guanine nucleotide exchange factor 2 (Fragment)</t>
  </si>
  <si>
    <t>ATP-binding cassette sub-family E member 1 (Fragment)</t>
  </si>
  <si>
    <t>60 kDa SS-A/Ro ribonucleoprotein (Fragment)</t>
  </si>
  <si>
    <t>Inositol hexakisphosphate and diphosphoinositol-pentakisphosphate kinase 2 (Fragment)</t>
  </si>
  <si>
    <t>Pterin-4-alpha-carbinolamine dehydratase 2 (Fragment)</t>
  </si>
  <si>
    <t>RNA-binding protein 24 (Fragment)</t>
  </si>
  <si>
    <t>Epididymis-specific alpha-mannosidase (Fragment)</t>
  </si>
  <si>
    <t>Ubiquitin-conjugating enzyme E2 B (Fragment)</t>
  </si>
  <si>
    <t>Spermatogenesis-associated protein 24 (Fragment)</t>
  </si>
  <si>
    <t>UPF0461 protein C5orf24 (Fragment)</t>
  </si>
  <si>
    <t>Amyloid beta A4 precursor protein-binding family B member 2 (Fragment)</t>
  </si>
  <si>
    <t>UPF0317 protein C14orf159, mitochondrial (Fragment)</t>
  </si>
  <si>
    <t>Putative hydroxypyruvate isomerase (Fragment)</t>
  </si>
  <si>
    <t>Cyclin-C (Fragment)</t>
  </si>
  <si>
    <t>39S ribosomal protein L43, mitochondrial (Fragment)</t>
  </si>
  <si>
    <t>Mitochondrial fission regulator 1 (Fragment)</t>
  </si>
  <si>
    <t>Transgelin (Fragment)</t>
  </si>
  <si>
    <t>Pleckstrin homology domain-containing family A member 7 (Fragment)</t>
  </si>
  <si>
    <t>Protein scribble homolog (Fragment)</t>
  </si>
  <si>
    <t>Protein Hook homolog 3 (Fragment)</t>
  </si>
  <si>
    <t>39S ribosomal protein L49, mitochondrial (Fragment)</t>
  </si>
  <si>
    <t>Probable tRNA (uracil-O(2)-)-methyltransferase (Fragment)</t>
  </si>
  <si>
    <t>Serine/threonine-protein phosphatase (Fragment)</t>
  </si>
  <si>
    <t>Putative uncharacterized protein C11orf80</t>
  </si>
  <si>
    <t>Selenoprotein H (Fragment)</t>
  </si>
  <si>
    <t>Activating signal cointegrator 1 complex subunit 1 (Fragment)</t>
  </si>
  <si>
    <t>Sjoegren syndrome/scleroderma autoantigen 1 (Fragment)</t>
  </si>
  <si>
    <t>RNA-binding protein 40 (Fragment)</t>
  </si>
  <si>
    <t>Ribonuclease H2 subunit C (Fragment)</t>
  </si>
  <si>
    <t>Gem-associated protein 2 (Fragment)</t>
  </si>
  <si>
    <t>Transcription initiation factor TFIID subunit 2 (Fragment)</t>
  </si>
  <si>
    <t>Nuclear mitotic apparatus protein 1 (Fragment)</t>
  </si>
  <si>
    <t>Oligoribonuclease, mitochondrial (Fragment)</t>
  </si>
  <si>
    <t>F-box only protein 21 (Fragment)</t>
  </si>
  <si>
    <t>KAT8 regulatory NSL complex subunit 2 (Fragment)</t>
  </si>
  <si>
    <t>Uncharacterized protein C14orf142 (Fragment)</t>
  </si>
  <si>
    <t>Centrosomal protein of 128 kDa (Fragment)</t>
  </si>
  <si>
    <t>PCNA-associated factor</t>
  </si>
  <si>
    <t>Protein regulator of cytokinesis 1 (Fragment)</t>
  </si>
  <si>
    <t>POU domain, class 2, transcription factor 1</t>
  </si>
  <si>
    <t>Beta-2-microglobulin form pI 5.3 (Fragment)</t>
  </si>
  <si>
    <t>Transient receptor potential cation channel subfamily M member 7</t>
  </si>
  <si>
    <t>EP300-interacting inhibitor of differentiation 1</t>
  </si>
  <si>
    <t>DNA-binding protein RFX7</t>
  </si>
  <si>
    <t>Ankyrin repeat domain-containing protein 17 (Fragment)</t>
  </si>
  <si>
    <t>GMP reductase 2</t>
  </si>
  <si>
    <t>Glycine amidinotransferase, mitochondrial (Fragment)</t>
  </si>
  <si>
    <t>Uncharacterized protein C15orf57 (Fragment)</t>
  </si>
  <si>
    <t>Ras-related protein Rab-8B (Fragment)</t>
  </si>
  <si>
    <t>Signal peptidase complex catalytic subunit SEC11A</t>
  </si>
  <si>
    <t>Uveal autoantigen with coiled-coil domains and ankyrin repeats</t>
  </si>
  <si>
    <t>Bloom syndrome protein</t>
  </si>
  <si>
    <t>Complement decay-accelerating factor (Fragment)</t>
  </si>
  <si>
    <t>Nucleolar protein 3 (Fragment)</t>
  </si>
  <si>
    <t>AKT-interacting protein (Fragment)</t>
  </si>
  <si>
    <t>Uncharacterized protein C15orf39 (Fragment)</t>
  </si>
  <si>
    <t>M-phase phosphoprotein 6</t>
  </si>
  <si>
    <t>Mannose-6-phosphate isomerase</t>
  </si>
  <si>
    <t>Microtubule-actin cross-linking factor 1, isoforms 1/2/3/5</t>
  </si>
  <si>
    <t>Zinc finger protein 276 (Fragment)</t>
  </si>
  <si>
    <t>Hydroxyacylglutathione hydrolase, mitochondrial (Fragment)</t>
  </si>
  <si>
    <t>Fructose-bisphosphate aldolase A (Fragment)</t>
  </si>
  <si>
    <t>snRNA-activating protein complex subunit 5</t>
  </si>
  <si>
    <t>HCG2044799</t>
  </si>
  <si>
    <t>Zinc finger FYVE domain-containing protein 19</t>
  </si>
  <si>
    <t>Ubiquitin domain-containing protein UBFD1</t>
  </si>
  <si>
    <t>Maspardin</t>
  </si>
  <si>
    <t>Probable G-protein-coupled receptor 97</t>
  </si>
  <si>
    <t>Eukaryotic translation initiation factor 3 subunit C</t>
  </si>
  <si>
    <t>Ubiquitin carboxyl-terminal hydrolase CYLD</t>
  </si>
  <si>
    <t>Ras-related protein Rab-11A</t>
  </si>
  <si>
    <t>Ubiquinone biosynthesis protein COQ9, mitochondrial</t>
  </si>
  <si>
    <t>Cytochrome b-c1 complex subunit 2, mitochondrial</t>
  </si>
  <si>
    <t>Biogenesis of lysosome-related organelles complex 1 subunit 6</t>
  </si>
  <si>
    <t>Target of rapamycin complex subunit LST8 (Fragment)</t>
  </si>
  <si>
    <t>Cyclin-dependent kinase 10 (Fragment)</t>
  </si>
  <si>
    <t>Probable glutamate--tRNA ligase, mitochondrial</t>
  </si>
  <si>
    <t>Microtubule-associated protein 1 light chain 3 beta, isoform CRA_f</t>
  </si>
  <si>
    <t>Homocysteine-responsive endoplasmic reticulum-resident ubiquitin-like domain member 1 protein (Fragment)</t>
  </si>
  <si>
    <t>ADP-ribosylation factor-like protein 2-binding protein</t>
  </si>
  <si>
    <t>Neuroplastin</t>
  </si>
  <si>
    <t>Ataxin-2-like protein</t>
  </si>
  <si>
    <t>Transcription factor E4F1</t>
  </si>
  <si>
    <t>2-oxoglutarate and iron-dependent oxygenase domain-containing protein 1</t>
  </si>
  <si>
    <t>NADH dehydrogenase [ubiquinone] 1 beta subcomplex subunit 10 (Fragment)</t>
  </si>
  <si>
    <t>RNA-binding protein with serine-rich domain 1</t>
  </si>
  <si>
    <t>GABARAP-a</t>
  </si>
  <si>
    <t>Grancalcin</t>
  </si>
  <si>
    <t>Histone deacetylase complex subunit SAP130</t>
  </si>
  <si>
    <t>Nitrogen permease regulator 3-like protein</t>
  </si>
  <si>
    <t>Serine/threonine-protein phosphatase 6 regulatory subunit 3</t>
  </si>
  <si>
    <t>Extended synaptotagmin-2 (Fragment)</t>
  </si>
  <si>
    <t>DNA excision repair protein ERCC-6-like 2 (Fragment)</t>
  </si>
  <si>
    <t>Fibroblast growth factor receptor 2 (Fragment)</t>
  </si>
  <si>
    <t>Endostatin (Fragment)</t>
  </si>
  <si>
    <t>Kalirin (Fragment)</t>
  </si>
  <si>
    <t>Nucleolin (Fragment)</t>
  </si>
  <si>
    <t>RNA-binding protein EWS (Fragment)</t>
  </si>
  <si>
    <t>Cohesin subunit SA-3</t>
  </si>
  <si>
    <t>Kinesin-like protein KIF23</t>
  </si>
  <si>
    <t>Tropomyosin 1 (Alpha), isoform CRA_m</t>
  </si>
  <si>
    <t>Thioredoxin (Fragment)</t>
  </si>
  <si>
    <t>DnaJ homolog subfamily B member 14 (Fragment)</t>
  </si>
  <si>
    <t>Methylmalonyl-CoA epimerase, mitochondrial (Fragment)</t>
  </si>
  <si>
    <t>Chromodomain-helicase-DNA-binding protein 3 (Fragment)</t>
  </si>
  <si>
    <t>Ran-specific GTPase-activating protein (Fragment)</t>
  </si>
  <si>
    <t>Alpha-actinin-4 (Fragment)</t>
  </si>
  <si>
    <t>Protein downstream neighbor of Son (Fragment)</t>
  </si>
  <si>
    <t>E3 ubiquitin-protein ligase FANCL (Fragment)</t>
  </si>
  <si>
    <t>Deoxynucleotidyltransferase terminal-interacting protein 1 (Fragment)</t>
  </si>
  <si>
    <t>Protein cordon-bleu (Fragment)</t>
  </si>
  <si>
    <t>Coiled-coil and C2 domain-containing protein 1B (Fragment)</t>
  </si>
  <si>
    <t>Isocitrate dehydrogenase [NAD] subunit gamma, mitochondrial (Fragment)</t>
  </si>
  <si>
    <t>Major facilitator superfamily domain-containing protein 6 (Fragment)</t>
  </si>
  <si>
    <t>Ecto-ADP-ribosyltransferase 4 (Fragment)</t>
  </si>
  <si>
    <t>Renin receptor (Fragment)</t>
  </si>
  <si>
    <t>Glucosamine (N-acetyl)-6-sulfatase (Sanfilippo disease IIID), isoform CRA_b</t>
  </si>
  <si>
    <t>Mitochondrial inner membrane protein (Fragment)</t>
  </si>
  <si>
    <t>Serine/threonine-protein kinase 19 (Fragment)</t>
  </si>
  <si>
    <t>Glycosylphosphatidylinositol-anchored high density lipoprotein-binding protein 1 (Fragment)</t>
  </si>
  <si>
    <t>Fragile X mental retardation syndrome-related protein 1 (Fragment)</t>
  </si>
  <si>
    <t>Poly [ADP-ribose] polymerase 14 (Fragment)</t>
  </si>
  <si>
    <t>Frataxin, mitochondrial (Fragment)</t>
  </si>
  <si>
    <t>Leucine-rich repeat and calponin homology domain-containing protein 4 (Fragment)</t>
  </si>
  <si>
    <t>Transcription factor SPT20 homolog (Fragment)</t>
  </si>
  <si>
    <t>Phospholipid scramblase 1 (Fragment)</t>
  </si>
  <si>
    <t>Probable E3 ubiquitin-protein ligase RNF217</t>
  </si>
  <si>
    <t>PWWP domain-containing protein 2B</t>
  </si>
  <si>
    <t>Trinucleotide repeat-containing gene 18 protein</t>
  </si>
  <si>
    <t>28S ribosomal protein S17, mitochondrial</t>
  </si>
  <si>
    <t>Zinc finger protein 263 (Fragment)</t>
  </si>
  <si>
    <t>Diphthamide biosynthesis protein 1 (Fragment)</t>
  </si>
  <si>
    <t>Myosin light chain 4 (Fragment)</t>
  </si>
  <si>
    <t>Elongator complex protein 5 (Fragment)</t>
  </si>
  <si>
    <t>Zinc finger protein 213 (Fragment)</t>
  </si>
  <si>
    <t>HCG30384, isoform CRA_d</t>
  </si>
  <si>
    <t>Clustered mitochondria protein homolog</t>
  </si>
  <si>
    <t>Gem-associated protein 4</t>
  </si>
  <si>
    <t>Protein capicua homolog</t>
  </si>
  <si>
    <t>Protein FAM195B</t>
  </si>
  <si>
    <t>Segment polarity protein dishevelled homolog DVL-2</t>
  </si>
  <si>
    <t>Charged multivesicular body protein 6 (Fragment)</t>
  </si>
  <si>
    <t>Methyltransferase-like protein 22 (Fragment)</t>
  </si>
  <si>
    <t>40S ribosomal protein S15a</t>
  </si>
  <si>
    <t>Trafficking protein particle complex subunit 1 (Fragment)</t>
  </si>
  <si>
    <t>G1/S-specific cyclin-E1 (Fragment)</t>
  </si>
  <si>
    <t>SET and MYND domain-containing protein 4 (Fragment)</t>
  </si>
  <si>
    <t>Heme oxygenase 2</t>
  </si>
  <si>
    <t>Sperm-associated antigen 7</t>
  </si>
  <si>
    <t>NF-kappa-B inhibitor beta (Fragment)</t>
  </si>
  <si>
    <t>G protein pathway suppressor 2 (Fragment)</t>
  </si>
  <si>
    <t>Acyl carrier protein (Fragment)</t>
  </si>
  <si>
    <t>TOM1-like protein 1</t>
  </si>
  <si>
    <t>Ankyrin-2</t>
  </si>
  <si>
    <t>Epididymal secretory protein E1</t>
  </si>
  <si>
    <t>Integrator complex subunit 2</t>
  </si>
  <si>
    <t>Afadin</t>
  </si>
  <si>
    <t>Galactocerebrosidase</t>
  </si>
  <si>
    <t>Fibrosin-1-like protein</t>
  </si>
  <si>
    <t>26S proteasome non-ATPase regulatory subunit 9</t>
  </si>
  <si>
    <t>Centlein</t>
  </si>
  <si>
    <t>Torsin-1A-interacting protein 1</t>
  </si>
  <si>
    <t>Transcription cofactor vestigial-like protein 4</t>
  </si>
  <si>
    <t>Serine/threonine-protein phosphatase 6 regulatory ankyrin repeat subunit B</t>
  </si>
  <si>
    <t>Mitogen-activated protein kinase kinase kinase 4</t>
  </si>
  <si>
    <t>Protein SAAL1</t>
  </si>
  <si>
    <t>Copper chaperone for superoxide dismutase</t>
  </si>
  <si>
    <t>Folliculin-interacting protein 1</t>
  </si>
  <si>
    <t>Sentrin-specific protease 3</t>
  </si>
  <si>
    <t>Serine/threonine-protein kinase BRSK1</t>
  </si>
  <si>
    <t>Protein transport protein Sec16A</t>
  </si>
  <si>
    <t>Zinc finger FYVE domain-containing protein 1</t>
  </si>
  <si>
    <t>YY1-associated factor 2</t>
  </si>
  <si>
    <t>BRCA1-associated protein</t>
  </si>
  <si>
    <t>Methylmalonate-semialdehyde dehydrogenase [acylating], mitochondrial</t>
  </si>
  <si>
    <t>Zinc finger protein 292</t>
  </si>
  <si>
    <t>PWWP domain-containing protein MUM1</t>
  </si>
  <si>
    <t>Probable fibrosin-1</t>
  </si>
  <si>
    <t>Signal-induced proliferation-associated 1-like protein 1</t>
  </si>
  <si>
    <t>Receptor-type tyrosine-protein phosphatase alpha</t>
  </si>
  <si>
    <t>Deoxynucleotidyltransferase terminal-interacting protein 2</t>
  </si>
  <si>
    <t>WASH complex subunit FAM21C</t>
  </si>
  <si>
    <t>Prospero homeobox protein 1</t>
  </si>
  <si>
    <t>Synaptojanin-1</t>
  </si>
  <si>
    <t>Protein FAM83H (Fragment)</t>
  </si>
  <si>
    <t>Dipeptidyl peptidase 8</t>
  </si>
  <si>
    <t>Sulfurtransferase</t>
  </si>
  <si>
    <t>COP9 signalosome complex subunit 7b</t>
  </si>
  <si>
    <t>Sentrin-specific protease 2</t>
  </si>
  <si>
    <t>Cell division cycle 7-related protein kinase</t>
  </si>
  <si>
    <t>BRISC and BRCA1-A complex member 1</t>
  </si>
  <si>
    <t>Protein cramped-like</t>
  </si>
  <si>
    <t>Zinc finger protein 525</t>
  </si>
  <si>
    <t>One cut domain family member 2</t>
  </si>
  <si>
    <t>Mitogen-activated protein kinase kinase kinase 3</t>
  </si>
  <si>
    <t>Protein SSXT</t>
  </si>
  <si>
    <t>MIF4G domain-containing protein</t>
  </si>
  <si>
    <t>Protein-methionine sulfoxide oxidase MICAL3 (Fragment)</t>
  </si>
  <si>
    <t>DNA polymerase iota</t>
  </si>
  <si>
    <t>Hematological and neurological-expressed 1 protein</t>
  </si>
  <si>
    <t>Rho GDP-dissociation inhibitor 1 (Fragment)</t>
  </si>
  <si>
    <t>Bromodomain adjacent to zinc finger domain protein 2A</t>
  </si>
  <si>
    <t>V-type proton ATPase subunit d 1 (Fragment)</t>
  </si>
  <si>
    <t>Protein SCO1 homolog, mitochondrial</t>
  </si>
  <si>
    <t>Flotillin-2</t>
  </si>
  <si>
    <t>Dynein heavy chain 9, axonemal (Fragment)</t>
  </si>
  <si>
    <t>Aurora kinase B (Fragment)</t>
  </si>
  <si>
    <t>Zinc finger homeobox protein 4</t>
  </si>
  <si>
    <t>Trafficking protein particle complex subunit 8</t>
  </si>
  <si>
    <t>60S ribosomal protein L17 (Fragment)</t>
  </si>
  <si>
    <t>Polycomb protein SUZ12</t>
  </si>
  <si>
    <t>NADPH:adrenodoxin oxidoreductase, mitochondrial</t>
  </si>
  <si>
    <t>Male-specific lethal 1 homolog</t>
  </si>
  <si>
    <t>Ribosomal protein L19</t>
  </si>
  <si>
    <t>Myotubularin-related protein 4</t>
  </si>
  <si>
    <t>Unconventional myosin-Id</t>
  </si>
  <si>
    <t>Vesicle-associated membrane protein 2</t>
  </si>
  <si>
    <t>Vascular endothelial zinc finger 1</t>
  </si>
  <si>
    <t>Mitotic checkpoint protein BUB3 (Fragment)</t>
  </si>
  <si>
    <t>Nuclear distribution protein nudE-like 1</t>
  </si>
  <si>
    <t>Microtubule-associated serine/threonine-protein kinase 4</t>
  </si>
  <si>
    <t>Stimulator of interferon genes protein (Fragment)</t>
  </si>
  <si>
    <t>Coiled-coil-helix-coiled-coil-helix domain-containing protein 6, mitochondrial</t>
  </si>
  <si>
    <t>Dynein heavy chain 12, axonemal</t>
  </si>
  <si>
    <t>RANBP2-like and GRIP domain-containing protein 2</t>
  </si>
  <si>
    <t>Protein Njmu-R1</t>
  </si>
  <si>
    <t>RWD domain containing 4A</t>
  </si>
  <si>
    <t>WW domain-binding protein 2 (Fragment)</t>
  </si>
  <si>
    <t>Protein syndesmos (Fragment)</t>
  </si>
  <si>
    <t>Tartrate-resistant acid phosphatase type 5 (Fragment)</t>
  </si>
  <si>
    <t>Mothers against decapentaplegic homolog 4</t>
  </si>
  <si>
    <t>SEC14-like protein 1 (Fragment)</t>
  </si>
  <si>
    <t>Sphingosine kinase 1 (Fragment)</t>
  </si>
  <si>
    <t>Signal peptidase complex catalytic subunit SEC11C</t>
  </si>
  <si>
    <t>Kunitz-type protease inhibitor 2 (Fragment)</t>
  </si>
  <si>
    <t>Histone H3 (Fragment)</t>
  </si>
  <si>
    <t>Signal transducer and activator of transcription 5A</t>
  </si>
  <si>
    <t>Lon protease homolog, mitochondrial</t>
  </si>
  <si>
    <t>Ataxin-7-like protein 3 (Fragment)</t>
  </si>
  <si>
    <t>Periplakin</t>
  </si>
  <si>
    <t>Zinc finger protein 235</t>
  </si>
  <si>
    <t>Intercellular adhesion molecule 1 (Fragment)</t>
  </si>
  <si>
    <t>Dedicator of cytokinesis protein 6 (Fragment)</t>
  </si>
  <si>
    <t>Hsp90 co-chaperone Cdc37 (Fragment)</t>
  </si>
  <si>
    <t>Kinesin light chain 3 (Fragment)</t>
  </si>
  <si>
    <t>Protein phosphatase 1 regulatory subunit 12C (Fragment)</t>
  </si>
  <si>
    <t>40S ribosomal protein S15</t>
  </si>
  <si>
    <t>Polypyrimidine tract-binding protein 1 (Fragment)</t>
  </si>
  <si>
    <t>WD repeat domain phosphoinositide-interacting protein 1 (Fragment)</t>
  </si>
  <si>
    <t>Katanin p60 ATPase-containing subunit A-like 2 (Fragment)</t>
  </si>
  <si>
    <t>Transmembrane protein 205 (Fragment)</t>
  </si>
  <si>
    <t>UBA-like domain-containing protein 1</t>
  </si>
  <si>
    <t>UPF0515 protein C19orf66 (Fragment)</t>
  </si>
  <si>
    <t>Nicalin</t>
  </si>
  <si>
    <t>Kinetochore protein Spc24 (Fragment)</t>
  </si>
  <si>
    <t>Uncharacterized protein C19orf57</t>
  </si>
  <si>
    <t>Transcription elongation factor 1 homolog</t>
  </si>
  <si>
    <t>HCG2039718, isoform CRA_g</t>
  </si>
  <si>
    <t>Asparagine--tRNA ligase, cytoplasmic</t>
  </si>
  <si>
    <t>Uncharacterized protein C18orf8</t>
  </si>
  <si>
    <t>ETS domain-containing protein Elk-1</t>
  </si>
  <si>
    <t>Proteasome assembly chaperone 2</t>
  </si>
  <si>
    <t>Protein MEF2BNB (Fragment)</t>
  </si>
  <si>
    <t>Uncharacterized protein C19orf55</t>
  </si>
  <si>
    <t>Asparagine--tRNA ligase, cytoplasmic (Fragment)</t>
  </si>
  <si>
    <t>Protein C19orf12 (Fragment)</t>
  </si>
  <si>
    <t>Nuclear factor 1 X-type</t>
  </si>
  <si>
    <t>Scaffold attachment factor B2 (Fragment)</t>
  </si>
  <si>
    <t>Zinc finger protein 700</t>
  </si>
  <si>
    <t>Tropomyosin alpha-4 chain (Fragment)</t>
  </si>
  <si>
    <t>Matrix-remodeling-associated protein 7</t>
  </si>
  <si>
    <t>Eukaryotic translation initiation factor 3 subunit K</t>
  </si>
  <si>
    <t>Uncharacterized protein C19orf43</t>
  </si>
  <si>
    <t>Ubiquitin-conjugating enzyme E2 O (Fragment)</t>
  </si>
  <si>
    <t>Protein FAM86A</t>
  </si>
  <si>
    <t>Centromere protein S (Fragment)</t>
  </si>
  <si>
    <t>UV excision repair protein RAD23 homolog A</t>
  </si>
  <si>
    <t>Dynamin-2</t>
  </si>
  <si>
    <t>UPF0711 protein C18orf21 (Fragment)</t>
  </si>
  <si>
    <t>Serine--tRNA ligase, mitochondrial</t>
  </si>
  <si>
    <t>Paf1, RNA polymerase II associated factor, homolog (S. cerevisiae), isoform CRA_c</t>
  </si>
  <si>
    <t>Kaptin (Fragment)</t>
  </si>
  <si>
    <t>Epidermal growth factor receptor substrate 15-like 1 (Fragment)</t>
  </si>
  <si>
    <t>Upstream stimulatory factor 2 (Fragment)</t>
  </si>
  <si>
    <t>Protein SMG9 (Fragment)</t>
  </si>
  <si>
    <t>Protein Smaug homolog 2</t>
  </si>
  <si>
    <t>Dystrobrevin alpha</t>
  </si>
  <si>
    <t>Sarcoplasmic reticulum histidine-rich calcium-binding protein</t>
  </si>
  <si>
    <t>Zinc finger and BTB domain-containing protein 45 (Fragment)</t>
  </si>
  <si>
    <t>Reticulocalbin-3 (Fragment)</t>
  </si>
  <si>
    <t>Heterogeneous nuclear ribonucleoprotein M (Fragment)</t>
  </si>
  <si>
    <t>Rho guanine nucleotide exchange factor 1</t>
  </si>
  <si>
    <t>Protein KASH5 (Fragment)</t>
  </si>
  <si>
    <t>MPN domain-containing protein</t>
  </si>
  <si>
    <t>KxDL motif-containing protein 1 (Fragment)</t>
  </si>
  <si>
    <t>40S ribosomal protein S5 (Fragment)</t>
  </si>
  <si>
    <t>Zinc finger protein 414 (Fragment)</t>
  </si>
  <si>
    <t>rRNA 2-O-methyltransferase fibrillarin (Fragment)</t>
  </si>
  <si>
    <t>Zinc finger protein 552 (Fragment)</t>
  </si>
  <si>
    <t>Coiled-coil domain-containing protein 94 (Fragment)</t>
  </si>
  <si>
    <t>Unconventional myosin-IXb (Fragment)</t>
  </si>
  <si>
    <t>Prenylated Rab acceptor protein 1</t>
  </si>
  <si>
    <t>Alkyldihydroxyacetonephosphate synthase, peroxisomal</t>
  </si>
  <si>
    <t>Isoform 2 of UBX domain-containing protein 8</t>
  </si>
  <si>
    <t>Isoform 1 of Kinesin-like protein KIF2A</t>
  </si>
  <si>
    <t>Isoform 2 of Kinesin-like protein KIF2A</t>
  </si>
  <si>
    <t>ATP-dependent RNA helicase DDX39A</t>
  </si>
  <si>
    <t>PDZ and LIM domain protein 1</t>
  </si>
  <si>
    <t>Isoform 6 of Cytosolic acyl coenzyme A thioester hydrolase</t>
  </si>
  <si>
    <t>Unconventional myosin-Ic</t>
  </si>
  <si>
    <t>Unconventional myosin-If</t>
  </si>
  <si>
    <t>Synaptosomal-associated protein 23</t>
  </si>
  <si>
    <t>AH receptor-interacting protein</t>
  </si>
  <si>
    <t>GTP-binding protein 1</t>
  </si>
  <si>
    <t>Syntaxin-binding protein 3</t>
  </si>
  <si>
    <t>Isoform 3 of Amyloid beta A4 precursor protein-binding family B member 1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</si>
  <si>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</si>
  <si>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</si>
  <si>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</si>
  <si>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</si>
  <si>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</si>
  <si>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Isoform 2 of Menin</t>
  </si>
  <si>
    <t>E3 SUMO-protein ligase CBX4</t>
  </si>
  <si>
    <t>Membrane-associated progesterone receptor component 1</t>
  </si>
  <si>
    <t>Transcription initiation factor TFIID subunit 4</t>
  </si>
  <si>
    <t>DNA fragmentation factor subunit alpha</t>
  </si>
  <si>
    <t>Isoform DFF35 of DNA fragmentation factor subunit alpha</t>
  </si>
  <si>
    <t>Regulatory factor X-associated protein</t>
  </si>
  <si>
    <t>Isoform 3 of Huntingtin-interacting protein 1</t>
  </si>
  <si>
    <t>Chloride intracellular channel protein 1</t>
  </si>
  <si>
    <t>Eukaryotic translation initiation factor 3 subunit F</t>
  </si>
  <si>
    <t>NEDD4-like E3 ubiquitin-protein ligase WWP2</t>
  </si>
  <si>
    <t>Phosphatidylinositol 4,5-bisphosphate 3-kinase catalytic subunit delta isoform</t>
  </si>
  <si>
    <t>Dynactin subunit 6</t>
  </si>
  <si>
    <t>Neural Wiskott-Aldrich syndrome protein</t>
  </si>
  <si>
    <t>Isoform 2 of Forkhead box protein N3</t>
  </si>
  <si>
    <t>Importin-5</t>
  </si>
  <si>
    <t>Isoform 2 of Importin-5</t>
  </si>
  <si>
    <t>DNA-directed RNA polymerase, mitochondrial</t>
  </si>
  <si>
    <t>Eukaryotic elongation factor 2 kinase</t>
  </si>
  <si>
    <t>Histone deacetylase complex subunit SAP18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</si>
  <si>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</si>
  <si>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</si>
  <si>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</si>
  <si>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</si>
  <si>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4-phosphate 3-kinase C2 domain-containing subunit alpha</t>
  </si>
  <si>
    <t>Phosphatidylinositol 3-kinase regulatory subunit beta</t>
  </si>
  <si>
    <t>Beta-mannosidase</t>
  </si>
  <si>
    <t>Isoform 2 of Agrin</t>
  </si>
  <si>
    <t>Exocyst complex component 5</t>
  </si>
  <si>
    <t>High mobility group nucleosome-binding domain-containing protein 4</t>
  </si>
  <si>
    <t>26S proteasome non-ATPase regulatory subunit 14</t>
  </si>
  <si>
    <t>Zinc finger protein 593</t>
  </si>
  <si>
    <t>Isoform II2 of Myc box-dependent-interacting protein 1</t>
  </si>
  <si>
    <t>Importin subunit alpha-3</t>
  </si>
  <si>
    <t>Serine/threonine-protein kinase 25</t>
  </si>
  <si>
    <t>B-cell CLL/lymphoma 9 protein</t>
  </si>
  <si>
    <t>Isoform 3 of Krev interaction trapped protein 1</t>
  </si>
  <si>
    <t>von Willebrand factor A domain-containing protein 5A</t>
  </si>
  <si>
    <t>Isoform 3 of Syntenin-1</t>
  </si>
  <si>
    <t>U3 small nucleolar ribonucleoprotein protein MPP10</t>
  </si>
  <si>
    <t>Nucleolar protein 56</t>
  </si>
  <si>
    <t>Transcription factor SOX-1</t>
  </si>
  <si>
    <t>ATP-dependent RNA helicase DDX3X</t>
  </si>
  <si>
    <t>Pirin</t>
  </si>
  <si>
    <t>Importin subunit alpha-4</t>
  </si>
  <si>
    <t>Tripartite motif-containing protein 38</t>
  </si>
  <si>
    <t>Isoform 2 of Transcription factor E2F3</t>
  </si>
  <si>
    <t>Serine/threonine-protein phosphatase 6 catalytic subunit</t>
  </si>
  <si>
    <t>Cocaine esterase</t>
  </si>
  <si>
    <t>Isoform 2 of Lysosomal alpha-mannosidase</t>
  </si>
  <si>
    <t>Pyridoxal kinase</t>
  </si>
  <si>
    <t>AT-rich interactive domain-containing protein 1A</t>
  </si>
  <si>
    <t>Class E basic helix-loop-helix protein 40</t>
  </si>
  <si>
    <t>Suppressor of cytokine signaling 2</t>
  </si>
  <si>
    <t>Isoform 2 of Cyclin-dependent kinase 2-associated protein 1</t>
  </si>
  <si>
    <t>Isoform 2 of FCH domain only protein 1</t>
  </si>
  <si>
    <t>TRAF-type zinc finger domain-containing protein 1</t>
  </si>
  <si>
    <t>Acyl carrier protein, mitochondrial</t>
  </si>
  <si>
    <t>Isoform 4 of Citron Rho-interacting kinase</t>
  </si>
  <si>
    <t>Coatomer subunit epsilon</t>
  </si>
  <si>
    <t>AP-3 complex subunit delta-1</t>
  </si>
  <si>
    <t>Isoform 2 of Chromodomain-helicase-DNA-binding protein 1</t>
  </si>
  <si>
    <t>Chromodomain-helicase-DNA-binding protein 2</t>
  </si>
  <si>
    <t>Potassium channel subfamily K member 3</t>
  </si>
  <si>
    <t>Isoform 3 of Golgi SNAP receptor complex member 2</t>
  </si>
  <si>
    <t>Insulin receptor substrate 4</t>
  </si>
  <si>
    <t>Torsin-1A</t>
  </si>
  <si>
    <t>Torsin-1B</t>
  </si>
  <si>
    <t>Disintegrin and metalloproteinase domain-containing protein 10</t>
  </si>
  <si>
    <t>Histone-lysine N-methyltransferase MLL2</t>
  </si>
  <si>
    <t>Dual specificity mitogen-activated protein kinase kinase 7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</si>
  <si>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</si>
  <si>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</si>
  <si>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</si>
  <si>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</si>
  <si>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6 of Homeobox protein Meis2</t>
  </si>
  <si>
    <t>Fucose-1-phosphate guanylyltransferase</t>
  </si>
  <si>
    <t>Isoform 2 of Tripeptidyl-peptidase 1</t>
  </si>
  <si>
    <t>Isoform 2 of Transcription elongation regulator 1</t>
  </si>
  <si>
    <t>Kinetochore protein NDC80 homolog</t>
  </si>
  <si>
    <t>Isoform 2 of Transportin-2</t>
  </si>
  <si>
    <t>Protein unc-13 homolog B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</si>
  <si>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</si>
  <si>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</si>
  <si>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</si>
  <si>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</si>
  <si>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</si>
  <si>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Tax1-binding protein 3</t>
  </si>
  <si>
    <t>PDZ domain-containing protein GIPC1</t>
  </si>
  <si>
    <t>Inhibitor of nuclear factor kappa-B kinase subunit beta</t>
  </si>
  <si>
    <t>Isoform 2 of Regulator of G-protein signaling 12</t>
  </si>
  <si>
    <t>Histone acetyltransferase type B catalytic subunit</t>
  </si>
  <si>
    <t>Ubiquitin/ISG15-conjugating enzyme E2 L6</t>
  </si>
  <si>
    <t>Hepatocyte growth factor-regulated tyrosine kinase substrate</t>
  </si>
  <si>
    <t>Aurora kinase A</t>
  </si>
  <si>
    <t>Protein phosphatase 1 regulatory subunit 12A</t>
  </si>
  <si>
    <t>Cyclin-G-associated kinase</t>
  </si>
  <si>
    <t>Isoform 3 of Heterogeneous nuclear ribonucleoprotein D-like</t>
  </si>
  <si>
    <t>Exportin-1</t>
  </si>
  <si>
    <t>TATA-binding protein-associated factor 172</t>
  </si>
  <si>
    <t>Isoform 3 of Rho guanine nucleotide exchange factor 10</t>
  </si>
  <si>
    <t>Zinc finger protein 609</t>
  </si>
  <si>
    <t>Zinc finger protein 646</t>
  </si>
  <si>
    <t>Spectrin beta chain, non-erythrocytic 2</t>
  </si>
  <si>
    <t>Isoform 2 of Spectrin beta chain, non-erythrocytic 2</t>
  </si>
  <si>
    <t>Protein KHNYN</t>
  </si>
  <si>
    <t>Isoform 2 of Tectonin beta-propeller repeat-containing protein 2</t>
  </si>
  <si>
    <t>Histone-lysine N-methyltransferase SETD1A</t>
  </si>
  <si>
    <t>TPR and ankyrin repeat-containing protein 1</t>
  </si>
  <si>
    <t>Lysine-specific demethylase 6B</t>
  </si>
  <si>
    <t>Synaptojanin-2</t>
  </si>
  <si>
    <t>Zinc finger and BTB domain-containing protein 39</t>
  </si>
  <si>
    <t>Zinc finger and BTB domain-containing protein 5</t>
  </si>
  <si>
    <t>Uncharacterized protein KIAA0355</t>
  </si>
  <si>
    <t>Kinesin-like protein KIF3B</t>
  </si>
  <si>
    <t>Phosphoribosylformylglycinamidine synthase</t>
  </si>
  <si>
    <t>Centrosomal protein of 290 kDa</t>
  </si>
  <si>
    <t>Serine/threonine-protein phosphatase 6 regulatory ankyrin repeat subunit A</t>
  </si>
  <si>
    <t>Isoform 2 of Rho guanine nucleotide exchange factor 11</t>
  </si>
  <si>
    <t>Inhibitor of nuclear factor kappa-B kinase subunit alpha</t>
  </si>
  <si>
    <t>U6 snRNA-associated Sm-like protein LSm1</t>
  </si>
  <si>
    <t>FYN-binding protein</t>
  </si>
  <si>
    <t>Niemann-Pick C1 protein</t>
  </si>
  <si>
    <t>Importin subunit alpha-6</t>
  </si>
  <si>
    <t>Actin-related protein 2/3 complex subunit 1B</t>
  </si>
  <si>
    <t>Actin-related protein 2/3 complex subunit 2</t>
  </si>
  <si>
    <t>Actin-related protein 2/3 complex subunit 3</t>
  </si>
  <si>
    <t>Zinc finger and BTB domain-containing protein 7B</t>
  </si>
  <si>
    <t>Isoform 2 of DNA-directed RNA polymerases I and III subunit RPAC1</t>
  </si>
  <si>
    <t>Transcription intermediary factor 1-alpha</t>
  </si>
  <si>
    <t>Isoform 2 of Axin-1</t>
  </si>
  <si>
    <t>Membrane-associated progesterone receptor component 2</t>
  </si>
  <si>
    <t>Ral guanine nucleotide dissociation stimulator-like 2</t>
  </si>
  <si>
    <t>Prefoldin subunit 6</t>
  </si>
  <si>
    <t>WD repeat-containing protein 46</t>
  </si>
  <si>
    <t>NF-kappa-B-repressing factor</t>
  </si>
  <si>
    <t>Protein CASC3</t>
  </si>
  <si>
    <t>Neurosecretory protein VGF</t>
  </si>
  <si>
    <t>Chloride intracellular channel protein 2</t>
  </si>
  <si>
    <t>Isoform 2 of Surfeit locus protein 4</t>
  </si>
  <si>
    <t>Ataxin-7</t>
  </si>
  <si>
    <t>Serine palmitoyltransferase 1</t>
  </si>
  <si>
    <t>UDP-N-acetylglucosamine--peptide N-acetylglucosaminyltransferase 110 kDa subunit</t>
  </si>
  <si>
    <t>Phosphomannomutase 2</t>
  </si>
  <si>
    <t>Isoform 5 of DNA repair protein RAD51 homolog 2</t>
  </si>
  <si>
    <t>Midline-1</t>
  </si>
  <si>
    <t>Protein phosphatase 1G</t>
  </si>
  <si>
    <t>Phosphatidylinositol 3,4,5-trisphosphate 5-phosphatase 2</t>
  </si>
  <si>
    <t>Eukaryotic translation initiation factor 3 subunit H</t>
  </si>
  <si>
    <t>Histone deacetylase 3</t>
  </si>
  <si>
    <t>Nuclear valosin-containing protein-like</t>
  </si>
  <si>
    <t>Branched-chain-amino-acid aminotransferase, mitochondrial</t>
  </si>
  <si>
    <t>Isoform 5 of Baculoviral IAP repeat-containing protein 5</t>
  </si>
  <si>
    <t>Importin-8</t>
  </si>
  <si>
    <t>Isoform 2 of Syntaxin-7</t>
  </si>
  <si>
    <t>Melanoma-associated antigen B2</t>
  </si>
  <si>
    <t>Isoform Delta of Glycogenin-2</t>
  </si>
  <si>
    <t>Synaptobrevin homolog YKT6</t>
  </si>
  <si>
    <t>Nucleoporin-like protein 2</t>
  </si>
  <si>
    <t>Actin-related protein 2/3 complex subunit 5</t>
  </si>
  <si>
    <t>DNA-directed RNA polymerase II subunit RPB4</t>
  </si>
  <si>
    <t>Suppressor of cytokine signaling 1</t>
  </si>
  <si>
    <t>RING finger protein 113A</t>
  </si>
  <si>
    <t>Lysine-specific demethylase 6A</t>
  </si>
  <si>
    <t>Putative pre-mRNA-splicing factor ATP-dependent RNA helicase DHX15</t>
  </si>
  <si>
    <t>mRNA cap guanine-N7 methyltransferase</t>
  </si>
  <si>
    <t>Zinc finger ZZ-type and EF-hand domain-containing protein 1</t>
  </si>
  <si>
    <t>TELO2-interacting protein 1 homolog</t>
  </si>
  <si>
    <t>Isoform 2 of E3 ubiquitin-protein ligase Praja-2</t>
  </si>
  <si>
    <t>Zinc finger and BTB domain-containing protein 24</t>
  </si>
  <si>
    <t>Isoform 2 of U4/U6 small nuclear ribonucleoprotein Prp4</t>
  </si>
  <si>
    <t>D-3-phosphoglycerate dehydrogenase</t>
  </si>
  <si>
    <t>Isoform 4 of Rho GTPase-activating protein 6</t>
  </si>
  <si>
    <t>Cytoplasmic dynein 1 light intermediate chain 2</t>
  </si>
  <si>
    <t>26S proteasome non-ATPase regulatory subunit 3</t>
  </si>
  <si>
    <t>Isoform 6 of RNA binding protein fox-1 homolog 2</t>
  </si>
  <si>
    <t>Bifunctional 3-phosphoadenosine 5-phosphosulfate synthase 1</t>
  </si>
  <si>
    <t>Centromere/kinetochore protein zw10 homolog</t>
  </si>
  <si>
    <t>U4/U6.U5 tri-snRNP-associated protein 1</t>
  </si>
  <si>
    <t>Zinc finger and BTB domain-containing protein 43</t>
  </si>
  <si>
    <t>AP-5 complex subunit zeta-1</t>
  </si>
  <si>
    <t>Isoform 2 of Centriolar coiled-coil protein of 110 kDa</t>
  </si>
  <si>
    <t>CBP80/20-dependent translation initiation factor</t>
  </si>
  <si>
    <t>Isoform 2 of Inositol hexakisphosphate and diphosphoinositol-pentakisphosphate kinase 2</t>
  </si>
  <si>
    <t>Mitogen-activated protein kinase kinase kinase 7</t>
  </si>
  <si>
    <t>Eukaryotic translation elongation factor 1 epsilon-1</t>
  </si>
  <si>
    <t>LYR motif-containing protein 1</t>
  </si>
  <si>
    <t>Receptor-interacting serine/threonine-protein kinase 2</t>
  </si>
  <si>
    <t>WD repeat-containing protein 62</t>
  </si>
  <si>
    <t>Heterogeneous nuclear ribonucleoprotein R</t>
  </si>
  <si>
    <t>U4/U6 small nuclear ribonucleoprotein Prp3</t>
  </si>
  <si>
    <t>Thioredoxin-like protein 1</t>
  </si>
  <si>
    <t>Tumor protein D54</t>
  </si>
  <si>
    <t>ER membrane protein complex subunit 8</t>
  </si>
  <si>
    <t>Isoform 3 of ERI1 exoribonuclease 3</t>
  </si>
  <si>
    <t>52 kDa repressor of the inhibitor of the protein kinase</t>
  </si>
  <si>
    <t>Isoform Short of Acidic fibroblast growth factor intracellular-binding protein</t>
  </si>
  <si>
    <t>Eukaryotic translation initiation factor 4 gamma 3</t>
  </si>
  <si>
    <t>Isoform C of T-box transcription factor TBX1</t>
  </si>
  <si>
    <t>Peptidyl-prolyl cis-trans isomerase H</t>
  </si>
  <si>
    <t>Serine protease HTRA2, mitochondrial</t>
  </si>
  <si>
    <t>Protein Mis18-beta</t>
  </si>
  <si>
    <t>Aflatoxin B1 aldehyde reductase member 2</t>
  </si>
  <si>
    <t>Isoform 4 of Trans-Golgi network integral membrane protein 2</t>
  </si>
  <si>
    <t>Ragulator complex protein LAMTOR5</t>
  </si>
  <si>
    <t>Mediator of RNA polymerase II transcription subunit 7</t>
  </si>
  <si>
    <t>WAS/WASL-interacting protein family member 1</t>
  </si>
  <si>
    <t>Isoform Bim-alpha3 of Bcl-2-like protein 11</t>
  </si>
  <si>
    <t>DNA repair protein XRCC3</t>
  </si>
  <si>
    <t>Regulator of G-protein signaling 14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</si>
  <si>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</si>
  <si>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</si>
  <si>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</si>
  <si>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</si>
  <si>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</si>
  <si>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</si>
  <si>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</si>
  <si>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Isoform 2 of Pleiotropic regulator 1</t>
  </si>
  <si>
    <t>Protein regulator of cytokinesis 1</t>
  </si>
  <si>
    <t>Isoform 2 of Regulator of G-protein signaling 10</t>
  </si>
  <si>
    <t>Isoform 2 of Zinc finger protein 207</t>
  </si>
  <si>
    <t>NADH dehydrogenase [ubiquinone] 1 alpha subcomplex subunit 2</t>
  </si>
  <si>
    <t>ATPase ASNA1</t>
  </si>
  <si>
    <t>Alpha-actinin-4</t>
  </si>
  <si>
    <t>Uncharacterized methyltransferase WBSCR22</t>
  </si>
  <si>
    <t>TP53-regulated inhibitor of apoptosis 1</t>
  </si>
  <si>
    <t>Glutamyl-tRNA(Gln) amidotransferase subunit C, mitochondrial</t>
  </si>
  <si>
    <t>HIV Tat-specific factor 1</t>
  </si>
  <si>
    <t>Isoform 2 of Cytohesin-3</t>
  </si>
  <si>
    <t>AP-1 complex subunit gamma-1</t>
  </si>
  <si>
    <t>Syntaxin-6</t>
  </si>
  <si>
    <t>Small glutamine-rich tetratricopeptide repeat-containing protein alpha</t>
  </si>
  <si>
    <t>Lipoyl synthase, mitochondrial</t>
  </si>
  <si>
    <t>Isoform 2 of Alpha-endosulfine</t>
  </si>
  <si>
    <t>Speckle-type POZ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</si>
  <si>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</si>
  <si>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</si>
  <si>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</si>
  <si>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</si>
  <si>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</si>
  <si>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Isoform Short of Protein C21orf2</t>
  </si>
  <si>
    <t>A-kinase anchor protein 8</t>
  </si>
  <si>
    <t>Zinc finger and BTB domain-containing protein 14</t>
  </si>
  <si>
    <t>Isocitrate dehydrogenase [NAD] subunit beta, mitochondrial</t>
  </si>
  <si>
    <t>Nardilysin</t>
  </si>
  <si>
    <t>Calumenin</t>
  </si>
  <si>
    <t>Isoform 2 of Calumenin</t>
  </si>
  <si>
    <t>Putative adenosylhomocysteinase 2</t>
  </si>
  <si>
    <t>Kinesin-like protein KIF1C</t>
  </si>
  <si>
    <t>Origin recognition complex subunit 5</t>
  </si>
  <si>
    <t>Retinal rod rhodopsin-sensitive cGMP 3,5-cyclic phosphodiesterase subunit delta</t>
  </si>
  <si>
    <t>Origin recognition complex subunit 4</t>
  </si>
  <si>
    <t>Putative serine/threonine-protein kinase PRKY</t>
  </si>
  <si>
    <t>Peroxisome biogenesis factor 1</t>
  </si>
  <si>
    <t>Double-strand-break repair protein rad21 homolog</t>
  </si>
  <si>
    <t>Mitochondrial import inner membrane translocase subunit Tim8 A</t>
  </si>
  <si>
    <t>Putative pre-mRNA-splicing factor ATP-dependent RNA helicase DHX16</t>
  </si>
  <si>
    <t>Glia maturation factor gamma</t>
  </si>
  <si>
    <t>Mediator of RNA polymerase II transcription subunit 14</t>
  </si>
  <si>
    <t>Phosphoribosyl pyrophosphate synthase-associated protein 2</t>
  </si>
  <si>
    <t>SWI/SNF-related matrix-associated actin-dependent regulator of chromatin subfamily A member 5</t>
  </si>
  <si>
    <t>C-Jun-amino-terminal kinase-interacting protein 4</t>
  </si>
  <si>
    <t>Isoform 4 of C-Jun-amino-terminal kinase-interacting protein 4</t>
  </si>
  <si>
    <t>Signal-induced proliferation-associated 1-like protein 3</t>
  </si>
  <si>
    <t>Isoform 2 of Zinc finger C3H1 domain-containing protein</t>
  </si>
  <si>
    <t>Leucine carboxyl methyltransferase 2</t>
  </si>
  <si>
    <t>Trafficking kinesin-binding protein 2</t>
  </si>
  <si>
    <t>Intron-binding protein aquarius</t>
  </si>
  <si>
    <t>Isoform 3 of Centrosomal protein of 104 kDa</t>
  </si>
  <si>
    <t>Dynamin-like 120 kDa protein, mitochondrial</t>
  </si>
  <si>
    <t>Isoform 2 of Zinc finger E-box-binding homeobox 2</t>
  </si>
  <si>
    <t>80 kDa MCM3-associated protein</t>
  </si>
  <si>
    <t>Isoform 2 of Kinesin-like protein KIF1B</t>
  </si>
  <si>
    <t>Isoform 3 of Kinesin-like protein KIF1B</t>
  </si>
  <si>
    <t>Lysine-specific histone demethylase 1A</t>
  </si>
  <si>
    <t>Isoform 2 of TBC1 domain family member 4</t>
  </si>
  <si>
    <t>Isoform D of Endothelin-converting enzyme 2</t>
  </si>
  <si>
    <t>PH domain leucine-rich repeat-containing protein phosphatase 1</t>
  </si>
  <si>
    <t>TBC1 domain family member 12</t>
  </si>
  <si>
    <t>Isoform 2 of Frizzled-6</t>
  </si>
  <si>
    <t>Putative nucleoside diphosphate kinase</t>
  </si>
  <si>
    <t>Non-syndromic hearing impairment protein 5</t>
  </si>
  <si>
    <t>Ecotropic viral integration site 5 protein homolog</t>
  </si>
  <si>
    <t>Sorting nexin-3</t>
  </si>
  <si>
    <t>Bifunctional protein NCOAT</t>
  </si>
  <si>
    <t>Isoform 2 of Heterogeneous nuclear ribonucleoprotein Q</t>
  </si>
  <si>
    <t>Isoform 2 of GDP-mannose 4,6 dehydratase</t>
  </si>
  <si>
    <t>Glycylpeptide N-tetradecanoyltransferase 2</t>
  </si>
  <si>
    <t>Cyclin-T1</t>
  </si>
  <si>
    <t>Mitotic checkpoint serine/threonine-protein kinase BUB1 beta</t>
  </si>
  <si>
    <t>Procollagen-lysine,2-oxoglutarate 5-dioxygenase 3</t>
  </si>
  <si>
    <t>Isoform 2 of Cyclin-T2</t>
  </si>
  <si>
    <t>15 kDa selenoprotein</t>
  </si>
  <si>
    <t>Isoform 2 of Exocyst complex component 3</t>
  </si>
  <si>
    <t>Isoform 4 of Perilipin-3</t>
  </si>
  <si>
    <t>Cell cycle checkpoint protein RAD1</t>
  </si>
  <si>
    <t>Protein arginine N-methyltransferase 3</t>
  </si>
  <si>
    <t>UDP-glucose 6-dehydrogenase</t>
  </si>
  <si>
    <t>Isoform 1A of Catenin delta-1</t>
  </si>
  <si>
    <t>Melanoma-associated antigen C1</t>
  </si>
  <si>
    <t>Sorting nexin-2</t>
  </si>
  <si>
    <t>Dolichol-phosphate mannosyltransferase</t>
  </si>
  <si>
    <t>General vesicular transport factor p115</t>
  </si>
  <si>
    <t>Coiled-coil domain-containing protein 22</t>
  </si>
  <si>
    <t>Isoform 2 of Polyglutamine-binding protein 1</t>
  </si>
  <si>
    <t>P antigen family member 4</t>
  </si>
  <si>
    <t>H/ACA ribonucleoprotein complex subunit 4</t>
  </si>
  <si>
    <t>Eukaryotic translation initiation factor 5B</t>
  </si>
  <si>
    <t>E3 ubiquitin-protein ligase TRIM13</t>
  </si>
  <si>
    <t>Endothelial differentiation-related factor 1</t>
  </si>
  <si>
    <t>DNA/RNA-binding protein KIN17</t>
  </si>
  <si>
    <t>DnaJ homolog subfamily A member 2</t>
  </si>
  <si>
    <t>Bromodomain-containing protein 4</t>
  </si>
  <si>
    <t>Isoform C of Protein CutA</t>
  </si>
  <si>
    <t>Oligophrenin-1</t>
  </si>
  <si>
    <t>Isoform 2 of F-box-like/WD repeat-containing protein TBL1X</t>
  </si>
  <si>
    <t>Checkpoint protein HUS1</t>
  </si>
  <si>
    <t>Prefoldin subunit 1</t>
  </si>
  <si>
    <t>Protein phosphatase 1 regulatory subunit 11</t>
  </si>
  <si>
    <t>Nibrin</t>
  </si>
  <si>
    <t>mRNA-capping enzyme</t>
  </si>
  <si>
    <t>Isoform 12 of Microphthalmia-associated transcription factor</t>
  </si>
  <si>
    <t>Isoform 3 of Kinesin-like protein KIF21B</t>
  </si>
  <si>
    <t>SLIT-ROBO Rho GTPase-activating protein 2</t>
  </si>
  <si>
    <t>Isoform 4 of Putative tyrosine-protein phosphatase auxilin</t>
  </si>
  <si>
    <t>Glycosaminoglycan xylosylkinase</t>
  </si>
  <si>
    <t>DENN domain-containing protein 4B</t>
  </si>
  <si>
    <t>WD repeat-containing protein 1</t>
  </si>
  <si>
    <t>NEDD4-binding protein 1</t>
  </si>
  <si>
    <t>Rho-associated protein kinase 2</t>
  </si>
  <si>
    <t>Copine-3</t>
  </si>
  <si>
    <t>Zinc finger BED domain-containing protein 4</t>
  </si>
  <si>
    <t>Isoform 2 of Autophagy-related protein 13</t>
  </si>
  <si>
    <t>ICOS ligand</t>
  </si>
  <si>
    <t>Isoform 2 of Liprin-alpha-3</t>
  </si>
  <si>
    <t>Huntingtin-interacting protein 1-related protein</t>
  </si>
  <si>
    <t>Isoform 2 of Obscurin-like protein 1</t>
  </si>
  <si>
    <t>E3 ubiquitin-protein ligase BRE1B</t>
  </si>
  <si>
    <t>Lysine-specific demethylase PHF2</t>
  </si>
  <si>
    <t>Zinc finger CCCH domain-containing protein 11A</t>
  </si>
  <si>
    <t>Rab11 family-interacting protein 3</t>
  </si>
  <si>
    <t>Cullin-associated NEDD8-dissociated protein 2</t>
  </si>
  <si>
    <t>Isoform 2 of TSC22 domain family protein 2</t>
  </si>
  <si>
    <t>Lysine-specific demethylase 4A</t>
  </si>
  <si>
    <t>DnaJ homolog subfamily C member 13</t>
  </si>
  <si>
    <t>Isoform 5 of Phosphatase and actin regulator 2</t>
  </si>
  <si>
    <t>Isoform 2 of Serine/threonine-protein phosphatase 6 regulatory subunit 2</t>
  </si>
  <si>
    <t>CCR4-NOT transcription complex subunit 3</t>
  </si>
  <si>
    <t>Calcium-responsive transactivator</t>
  </si>
  <si>
    <t>Isoform 2 of Paired amphipathic helix protein Sin3b</t>
  </si>
  <si>
    <t>DnaJ homolog subfamily B member 6</t>
  </si>
  <si>
    <t>Xylulose kinase</t>
  </si>
  <si>
    <t>Gamma-glutamylcyclotransferase</t>
  </si>
  <si>
    <t>Isoform 2 of NADH dehydrogenase [ubiquinone] iron-sulfur protein 2, mitochondrial</t>
  </si>
  <si>
    <t>Zinc finger protein ZPR1</t>
  </si>
  <si>
    <t>RNA/RNP complex-1-interacting phosphatase</t>
  </si>
  <si>
    <t>Protein NipSnap homolog 2</t>
  </si>
  <si>
    <t>Isoform 2 of Hyaluronan mediated motility receptor</t>
  </si>
  <si>
    <t>Programmed cell death protein 6</t>
  </si>
  <si>
    <t>Isoform 2 of Programmed cell death protein 6</t>
  </si>
  <si>
    <t>Tubulin-specific chaperone A</t>
  </si>
  <si>
    <t>V-type proton ATPase subunit G 1</t>
  </si>
  <si>
    <t>Vacuolar protein sorting-associated protein 4B</t>
  </si>
  <si>
    <t>Ectonucleoside triphosphate diphosphohydrolase 5</t>
  </si>
  <si>
    <t>Zinc finger protein 217</t>
  </si>
  <si>
    <t>Isoform 1 of Core histone macro-H2A.1</t>
  </si>
  <si>
    <t>SH3 domain-binding glutamic acid-rich-like protein</t>
  </si>
  <si>
    <t>Isoform 8 of Filamin-B</t>
  </si>
  <si>
    <t>Nuclear receptor corepressor 1</t>
  </si>
  <si>
    <t>NADH dehydrogenase [ubiquinone] iron-sulfur protein 6, mitochondrial</t>
  </si>
  <si>
    <t>Isoform Gamma of Tripartite motif-containing protein 3</t>
  </si>
  <si>
    <t>Serine/threonine-protein kinase ULK1</t>
  </si>
  <si>
    <t>Vesicle-trafficking protein SEC22b</t>
  </si>
  <si>
    <t>Isoform 3 of Deformed epidermal autoregulatory factor 1 homolog</t>
  </si>
  <si>
    <t>Isoform 3 of Pre-mRNA-processing factor 40 homolog A</t>
  </si>
  <si>
    <t>Isoform 7 of Transforming acidic coiled-coil-containing protein 1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</si>
  <si>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</si>
  <si>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</si>
  <si>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</si>
  <si>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</si>
  <si>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Mitochondrial-processing peptidase subunit beta</t>
  </si>
  <si>
    <t>Histone deacetylase complex subunit SAP30</t>
  </si>
  <si>
    <t>Katanin p60 ATPase-containing subunit A1</t>
  </si>
  <si>
    <t>P antigen family member 1</t>
  </si>
  <si>
    <t>Serine/threonine-protein kinase/endoribonuclease IRE1</t>
  </si>
  <si>
    <t>PC4 and SFRS1-interacting protein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</si>
  <si>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</si>
  <si>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</si>
  <si>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</si>
  <si>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</si>
  <si>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Transcriptional adapter 3</t>
  </si>
  <si>
    <t>TAF5-like RNA polymerase II p300/CBP-associated factor-associated factor 65 kDa subunit 5L</t>
  </si>
  <si>
    <t>Isoform 3 of Polycomb protein EED</t>
  </si>
  <si>
    <t>Barrier-to-autointegration factor</t>
  </si>
  <si>
    <t>Splicing factor 3B subunit 1</t>
  </si>
  <si>
    <t>Isoform Short of Cold shock domain-containing protein E1</t>
  </si>
  <si>
    <t>WW domain-binding protein 4</t>
  </si>
  <si>
    <t>DNA-directed RNA polymerase III subunit RPC9</t>
  </si>
  <si>
    <t>Mediator of RNA polymerase II transcription subunit 6</t>
  </si>
  <si>
    <t>2-amino-3-ketobutyrate coenzyme A ligase, mitochondrial</t>
  </si>
  <si>
    <t>Nucleoplasmin-3</t>
  </si>
  <si>
    <t>Isoform 2 of Acyl-protein thioesterase 1</t>
  </si>
  <si>
    <t>GTPase Era, mitochondrial</t>
  </si>
  <si>
    <t>Protein CREG1</t>
  </si>
  <si>
    <t>Isoform 2 of Serpin B7</t>
  </si>
  <si>
    <t>U5 small nuclear ribonucleoprotein 200 kDa helicase</t>
  </si>
  <si>
    <t>Isoform 2 of Mitochondrial tRNA-specific 2-thiouridylase 1</t>
  </si>
  <si>
    <t>TIP41-like protein</t>
  </si>
  <si>
    <t>Surfeit locus protein 6</t>
  </si>
  <si>
    <t>Protein phosphatase 1B</t>
  </si>
  <si>
    <t>Protein XRP2</t>
  </si>
  <si>
    <t>WD repeat and HMG-box DNA-binding protein 1</t>
  </si>
  <si>
    <t>Isoform 3 of DNA repair protein RAD51 homolog 4</t>
  </si>
  <si>
    <t>Paralemmin-1</t>
  </si>
  <si>
    <t>GRB2-related adapter protein 2</t>
  </si>
  <si>
    <t>Ribonuclease H2 subunit A</t>
  </si>
  <si>
    <t>Cell division cycle protein 123 homolog</t>
  </si>
  <si>
    <t>Calpain-15</t>
  </si>
  <si>
    <t>Isoform 2 of Ribonuclease P protein subunit p40</t>
  </si>
  <si>
    <t>Eukaryotic translation initiation factor 3 subunit G</t>
  </si>
  <si>
    <t>Carbonyl reductase [NADPH] 3</t>
  </si>
  <si>
    <t>AP-1 complex subunit gamma-like 2</t>
  </si>
  <si>
    <t>CAAX prenyl protease 1 homolog</t>
  </si>
  <si>
    <t>Isoform 2 of Protein phosphatase 1 regulatory subunit 37</t>
  </si>
  <si>
    <t>Isoform 2 of Trafficking protein particle complex subunit 6A</t>
  </si>
  <si>
    <t>Isocitrate dehydrogenase [NADP] cytoplasmic</t>
  </si>
  <si>
    <t>Putative hydrolase RBBP9</t>
  </si>
  <si>
    <t>Signal transducing adapter molecule 2</t>
  </si>
  <si>
    <t>Cyclin-K</t>
  </si>
  <si>
    <t>PRA1 family protein 3</t>
  </si>
  <si>
    <t>E3 SUMO-protein ligase PIAS1</t>
  </si>
  <si>
    <t>Isoform PIAS2-alpha of E3 SUMO-protein ligase PIAS2</t>
  </si>
  <si>
    <t>Pre-mRNA-splicing factor SPF27</t>
  </si>
  <si>
    <t>Isoform 3 of Dynactin subunit 3</t>
  </si>
  <si>
    <t>DnaJ homolog subfamily C member 8</t>
  </si>
  <si>
    <t>Survival of motor neuron-related-splicing factor 30</t>
  </si>
  <si>
    <t>Isoform 3 of Cell cycle checkpoint protein RAD17</t>
  </si>
  <si>
    <t>Isoform 2 of ATP synthase subunit d, mitochondrial</t>
  </si>
  <si>
    <t>Flotillin-1</t>
  </si>
  <si>
    <t>Isoform 5 of Triple functional domain protein</t>
  </si>
  <si>
    <t>SAM and SH3 domain-containing protein 3</t>
  </si>
  <si>
    <t>Glutaredoxin-3</t>
  </si>
  <si>
    <t>Keratin, type I cuticular Ha4</t>
  </si>
  <si>
    <t>Ribosomal L1 domain-containing protein 1</t>
  </si>
  <si>
    <t>ATP-dependent Clp protease ATP-binding subunit clpX-like, mitochondrial</t>
  </si>
  <si>
    <t>Secretagogin</t>
  </si>
  <si>
    <t>Isoform 2 of Nebulette</t>
  </si>
  <si>
    <t>E3 ubiquitin-protein ligase RNF8</t>
  </si>
  <si>
    <t>Gamma-synuclein</t>
  </si>
  <si>
    <t>Probable cytosolic iron-sulfur protein assembly protein CIAO1</t>
  </si>
  <si>
    <t>AN1-type zinc finger protein 5</t>
  </si>
  <si>
    <t>Signal recognition particle subunit SRP72</t>
  </si>
  <si>
    <t>Decapping and exoribonuclease protein</t>
  </si>
  <si>
    <t>ATP-dependent DNA helicase Q4</t>
  </si>
  <si>
    <t>ATP-dependent DNA helicase Q5</t>
  </si>
  <si>
    <t>Unconventional prefoldin RPB5 interactor 1</t>
  </si>
  <si>
    <t>Isoform 4 of Unconventional prefoldin RPB5 interactor 1</t>
  </si>
  <si>
    <t>Metastasis-associated protein MTA2</t>
  </si>
  <si>
    <t>Ubiquitin carboxyl-terminal hydrolase 1</t>
  </si>
  <si>
    <t>Retinal dehydrogenase 2</t>
  </si>
  <si>
    <t>Serine/threonine-protein kinase 10</t>
  </si>
  <si>
    <t>Serine/threonine-protein kinase D3</t>
  </si>
  <si>
    <t>Glutamine--fructose-6-phosphate aminotransferase [isomerizing] 2</t>
  </si>
  <si>
    <t>Ubiquitin-like protein ATG12</t>
  </si>
  <si>
    <t>Kelch repeat and BTB domain-containing protein 11</t>
  </si>
  <si>
    <t>E3 ubiquitin-protein ligase listerin</t>
  </si>
  <si>
    <t>Mitochondrial import receptor subunit TOM70</t>
  </si>
  <si>
    <t>Importin-13</t>
  </si>
  <si>
    <t>Phospholipase DDHD2</t>
  </si>
  <si>
    <t>Isoform 5 of Protein-methionine sulfoxide oxidase MICAL2</t>
  </si>
  <si>
    <t>Uncharacterized protein KIAA0754</t>
  </si>
  <si>
    <t>Protein transport protein Sec24D</t>
  </si>
  <si>
    <t>Isoform 2 of STAGA complex 65 subunit gamma</t>
  </si>
  <si>
    <t>E3 UFM1-protein ligase 1</t>
  </si>
  <si>
    <t>Transmembrane and coiled-coil domains protein 1</t>
  </si>
  <si>
    <t>PHD finger protein 14</t>
  </si>
  <si>
    <t>Isoform 2 of PHD finger protein 14</t>
  </si>
  <si>
    <t>UBX domain-containing protein 7</t>
  </si>
  <si>
    <t>Kelch-like protein 18</t>
  </si>
  <si>
    <t>Leucine-rich repeats and immunoglobulin-like domains protein 2</t>
  </si>
  <si>
    <t>Proline synthase co-transcribed bacterial homolog protein</t>
  </si>
  <si>
    <t>Isoform 2 of Pre-mRNA-processing factor 6</t>
  </si>
  <si>
    <t>Pre-mRNA cleavage complex 2 protein Pcf11</t>
  </si>
  <si>
    <t>Isoform 3 of Glutaminase kidney isoform, mitochondrial</t>
  </si>
  <si>
    <t>HAUS augmin-like complex subunit 5</t>
  </si>
  <si>
    <t>Isoform 2 of RING finger protein 37</t>
  </si>
  <si>
    <t>Lysine-specific demethylase 4B</t>
  </si>
  <si>
    <t>Isoform 2 of Protein SOGA1</t>
  </si>
  <si>
    <t>Isoform 7 of Ubiquitin carboxyl-terminal hydrolase 19</t>
  </si>
  <si>
    <t>Isoform 2 of WD repeat-containing protein 47</t>
  </si>
  <si>
    <t>AP-2 complex subunit alpha-2</t>
  </si>
  <si>
    <t>Protein transport protein Sec31A</t>
  </si>
  <si>
    <t>Isoform 5 of Protein FAM13A</t>
  </si>
  <si>
    <t>Protein HEXIM1</t>
  </si>
  <si>
    <t>Ribonuclease P protein subunit p14</t>
  </si>
  <si>
    <t>G2/mitotic-specific cyclin-B2</t>
  </si>
  <si>
    <t>Isoform 2 of Arf-GAP domain and FG repeat-containing protein 2</t>
  </si>
  <si>
    <t>Splicing factor, arginine/serine-rich 15</t>
  </si>
  <si>
    <t>Snurportin-1</t>
  </si>
  <si>
    <t>Isoform 2 of Ubiquitin conjugation factor E4 B</t>
  </si>
  <si>
    <t>Elongator complex protein 1</t>
  </si>
  <si>
    <t>Isoform 3 of Reticulon-3</t>
  </si>
  <si>
    <t>LETM1 and EF-hand domain-containing protein 1, mitochondrial</t>
  </si>
  <si>
    <t>Muscleblind-like 2 (Drosophila), isoform CRA_b</t>
  </si>
  <si>
    <t>Isoform 2 of Zinc finger Ran-binding domain-containing protein 2</t>
  </si>
  <si>
    <t>ZW10 interactor</t>
  </si>
  <si>
    <t>Homeobox protein VENTX</t>
  </si>
  <si>
    <t>Luc7-like protein 3</t>
  </si>
  <si>
    <t>Chromosome-associated kinesin KIF4A</t>
  </si>
  <si>
    <t>Isoform 2 of Methyl-CpG-binding domain protein 4</t>
  </si>
  <si>
    <t>Myotubularin-related protein 5</t>
  </si>
  <si>
    <t>Isoform 4 of Histone acetyltransferase KAT7</t>
  </si>
  <si>
    <t>Cyclin-D1-binding protein 1</t>
  </si>
  <si>
    <t>Vesicle-associated membrane protein-associated protein B/C</t>
  </si>
  <si>
    <t>SNARE-associated protein Snapin</t>
  </si>
  <si>
    <t>Isoform 4 of Myelin protein zero-like protein 1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</si>
  <si>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</si>
  <si>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</si>
  <si>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</si>
  <si>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</si>
  <si>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Zinc finger and BTB domain-containing protein 7A</t>
  </si>
  <si>
    <t>Acyl-protein thioesterase 2</t>
  </si>
  <si>
    <t>Importin-7</t>
  </si>
  <si>
    <t>E3 ubiquitin-protein ligase ARIH2</t>
  </si>
  <si>
    <t>Tumor necrosis factor alpha-induced protein 8</t>
  </si>
  <si>
    <t>Pre-mRNA-splicing factor SLU7</t>
  </si>
  <si>
    <t>Phosphoacetylglucosamine mutase</t>
  </si>
  <si>
    <t>Adenylyltransferase and sulfurtransferase MOCS3</t>
  </si>
  <si>
    <t>Putative protein PLEKHA9</t>
  </si>
  <si>
    <t>Urotensin-2</t>
  </si>
  <si>
    <t>CD2 antigen cytoplasmic tail-binding protein 2</t>
  </si>
  <si>
    <t>Mediator of RNA polymerase II transcription subunit 26</t>
  </si>
  <si>
    <t>Zinc finger FYVE domain-containing protein 9</t>
  </si>
  <si>
    <t>Isoform 2 of BAG family molecular chaperone regulator 4</t>
  </si>
  <si>
    <t>Activator of 90 kDa heat shock protein ATPase homolog 1</t>
  </si>
  <si>
    <t>Isoform 2 of Poly(A)-specific ribonuclease PARN</t>
  </si>
  <si>
    <t>Proteasome assembly chaperone 1</t>
  </si>
  <si>
    <t>Formin-like protein 1</t>
  </si>
  <si>
    <t>Ribosome biogenesis protein NSA2 homolog</t>
  </si>
  <si>
    <t>GDH/6PGL endoplasmic bifunctional protein</t>
  </si>
  <si>
    <t>Protein transport protein Sec24A</t>
  </si>
  <si>
    <t>Isoform 2 of Protein transport protein Sec24B</t>
  </si>
  <si>
    <t>NAD kinase</t>
  </si>
  <si>
    <t>Tyrosyl-DNA phosphodiesterase 2</t>
  </si>
  <si>
    <t>Histidine protein methyltransferase 1 homolog</t>
  </si>
  <si>
    <t>Protein ETHE1, mitochondrial</t>
  </si>
  <si>
    <t>Long-chain-fatty-acid--CoA ligase 3</t>
  </si>
  <si>
    <t>DNA-directed RNA polymerase I subunit RPA1</t>
  </si>
  <si>
    <t>Pericentrin</t>
  </si>
  <si>
    <t>YEATS domain-containing protein 4</t>
  </si>
  <si>
    <t>tRNA-dihydrouridine(20a/20b) synthase [NAD(P)+]-like</t>
  </si>
  <si>
    <t>Zinc finger and BTB domain-containing protein 11</t>
  </si>
  <si>
    <t>Isoform 9 of CCR4-NOT transcription complex subunit 4</t>
  </si>
  <si>
    <t>STAM-binding protein</t>
  </si>
  <si>
    <t>Cleavage and polyadenylation specificity factor subunit 4</t>
  </si>
  <si>
    <t>Isoform B-beta of Nuclear factor of activated T-cells, cytoplasmic 1</t>
  </si>
  <si>
    <t>Isoform 2 of N-acetylserotonin O-methyltransferase-like protein</t>
  </si>
  <si>
    <t>Isoform 2 of FGFR1 oncogene partner</t>
  </si>
  <si>
    <t>Synaptosomal-associated protein 29</t>
  </si>
  <si>
    <t>Serine/threonine-protein kinase OSR1</t>
  </si>
  <si>
    <t>Geranylgeranyl pyrophosphate synthase</t>
  </si>
  <si>
    <t>Heat shock 70 kDa protein 4L</t>
  </si>
  <si>
    <t>Isoform 1 of Polypyrimidine tract-binding protein 3</t>
  </si>
  <si>
    <t>N-alpha-acetyltransferase 38, NatC auxiliary subunit</t>
  </si>
  <si>
    <t>Isoform B of AP-2 complex subunit alpha-1</t>
  </si>
  <si>
    <t>Tetratricopeptide repeat protein 4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</si>
  <si>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</si>
  <si>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</si>
  <si>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</si>
  <si>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</si>
  <si>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</si>
  <si>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Isoform 2 of Echinoderm microtubule-associated protein-like 2</t>
  </si>
  <si>
    <t>Isoform 2 of Serine/threonine-protein kinase LATS1</t>
  </si>
  <si>
    <t>3(2),5-bisphosphate nucleotidase 1</t>
  </si>
  <si>
    <t>N(G),N(G)-dimethylarginine dimethylaminohydrolase 2</t>
  </si>
  <si>
    <t>Thioredoxin domain-containing protein 12</t>
  </si>
  <si>
    <t>Protein SGT1</t>
  </si>
  <si>
    <t>Pre-mRNA-splicing factor SYF2</t>
  </si>
  <si>
    <t>Methyl-CpG-binding domain protein 3</t>
  </si>
  <si>
    <t>DNA topoisomerase 3-beta-1</t>
  </si>
  <si>
    <t>Diphosphoinositol polyphosphate phosphohydrolase 1</t>
  </si>
  <si>
    <t>B-cell lymphoma/leukemia 10</t>
  </si>
  <si>
    <t>Molybdopterin synthase catalytic subunit</t>
  </si>
  <si>
    <t>Mitochondrial import receptor subunit TOM40 homolog</t>
  </si>
  <si>
    <t>Serine/threonine-protein kinase PAK 4</t>
  </si>
  <si>
    <t>Serine/threonine-protein kinase Chk2</t>
  </si>
  <si>
    <t>Amyloid beta A4 precursor protein-binding family A member 3</t>
  </si>
  <si>
    <t>Actin-like protein 6A</t>
  </si>
  <si>
    <t>Histone-lysine N-methyltransferase NSD2</t>
  </si>
  <si>
    <t>Molybdopterin synthase sulfur carrier subunit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</si>
  <si>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</si>
  <si>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</si>
  <si>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</si>
  <si>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</si>
  <si>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</si>
  <si>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</si>
  <si>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</si>
  <si>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</si>
  <si>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</si>
  <si>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</si>
  <si>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</si>
  <si>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</si>
  <si>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</si>
  <si>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Adenylate kinase isoenzyme 1</t>
  </si>
  <si>
    <t>Adenosine deaminase</t>
  </si>
  <si>
    <t>Carbonic anhydrase 2</t>
  </si>
  <si>
    <t>Argininosuccinate synthase</t>
  </si>
  <si>
    <t>Cystatin-C</t>
  </si>
  <si>
    <t>GTPase NRas</t>
  </si>
  <si>
    <t>Isoform 2B of GTPase KRas</t>
  </si>
  <si>
    <t>Transforming growth factor beta-1</t>
  </si>
  <si>
    <t>Hemoglobin subunit zeta</t>
  </si>
  <si>
    <t>Hemoglobin subunit delta</t>
  </si>
  <si>
    <t>Hemoglobin subunit epsilon</t>
  </si>
  <si>
    <t>Keratin, type I cytoskeletal 14</t>
  </si>
  <si>
    <t>Keratin, type II cytoskeletal 6A</t>
  </si>
  <si>
    <t>Prelamin-A/C</t>
  </si>
  <si>
    <t>Spectrin alpha chain, erythrocytic 1</t>
  </si>
  <si>
    <t>Apolipoprotein E</t>
  </si>
  <si>
    <t>Leucine-rich alpha-2-glycoprotein</t>
  </si>
  <si>
    <t>Serum albumin</t>
  </si>
  <si>
    <t>Transferrin receptor protein 1</t>
  </si>
  <si>
    <t>Ferritin light chain</t>
  </si>
  <si>
    <t>Ferritin heavy chain</t>
  </si>
  <si>
    <t>Catalase</t>
  </si>
  <si>
    <t>Tissue alpha-L-fucosidase</t>
  </si>
  <si>
    <t>Fructose-bisphosphate aldolase A</t>
  </si>
  <si>
    <t>Cystatin-B</t>
  </si>
  <si>
    <t>Annexin A1</t>
  </si>
  <si>
    <t>Isoform Beta of Glucocorticoid receptor</t>
  </si>
  <si>
    <t>Ornithine aminotransferase, mitochondrial</t>
  </si>
  <si>
    <t>Thymidine kinase, cytosolic</t>
  </si>
  <si>
    <t>Keratin, type II cytoskeletal 1</t>
  </si>
  <si>
    <t>Tubulin beta-4A chain</t>
  </si>
  <si>
    <t>Glyceraldehyde-3-phosphate dehydrogenase</t>
  </si>
  <si>
    <t>Argininosuccinate lyase</t>
  </si>
  <si>
    <t>Isoform TrkA-III of High affinity nerve growth factor receptor</t>
  </si>
  <si>
    <t>Calpain small subunit 1</t>
  </si>
  <si>
    <t>Heat shock protein beta-1</t>
  </si>
  <si>
    <t>Thymidylate synthase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</si>
  <si>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</si>
  <si>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</si>
  <si>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</si>
  <si>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B1 of Anion exchange protein 2</t>
  </si>
  <si>
    <t>Isoform 4 of Sodium/potassium-transporting ATPase subunit alpha-1</t>
  </si>
  <si>
    <t>Aldehyde dehydrogenase, mitochondrial</t>
  </si>
  <si>
    <t>Non-histone chromosomal protein HMG-14</t>
  </si>
  <si>
    <t>ADP/ATP translocase 2</t>
  </si>
  <si>
    <t>Ubiquitin-like protein ISG15</t>
  </si>
  <si>
    <t>Isoform 3 of Propionyl-CoA carboxylase alpha chain, mitochondrial</t>
  </si>
  <si>
    <t>Propionyl-CoA carboxylase beta chain, mitochondrial</t>
  </si>
  <si>
    <t>Eukaryotic translation initiation factor 2 subunit 1</t>
  </si>
  <si>
    <t>Non-histone chromosomal protein HMG-17</t>
  </si>
  <si>
    <t>Intercellular adhesion molecule 1</t>
  </si>
  <si>
    <t>60S acidic ribosomal protein P2</t>
  </si>
  <si>
    <t>60S acidic ribosomal protein P0</t>
  </si>
  <si>
    <t>DNA-directed RNA polymerase III subunit RPC4</t>
  </si>
  <si>
    <t>Lupus La protein</t>
  </si>
  <si>
    <t>Isoform Beta-1B of Integrin beta-1</t>
  </si>
  <si>
    <t>Isoform Beta-II of Protein kinase C beta type</t>
  </si>
  <si>
    <t>Keratin, type I cytoskeletal 18</t>
  </si>
  <si>
    <t>Keratin, type II cytoskeletal 8</t>
  </si>
  <si>
    <t>Calbindin</t>
  </si>
  <si>
    <t>Uroporphyrinogen decarboxylase</t>
  </si>
  <si>
    <t>Alpha-galactosidase A</t>
  </si>
  <si>
    <t>Isoform 2 of Gelsolin</t>
  </si>
  <si>
    <t>Retinoblastoma-associated protein</t>
  </si>
  <si>
    <t>Cyclin-dependent kinase 1</t>
  </si>
  <si>
    <t>ATP synthase subunit beta, mitochondrial</t>
  </si>
  <si>
    <t>Eukaryotic translation initiation factor 4E</t>
  </si>
  <si>
    <t>Alpha-enolase</t>
  </si>
  <si>
    <t>Isoform 2 of Glycogen phosphorylase, liver form</t>
  </si>
  <si>
    <t>Glucose-6-phosphate isomerase</t>
  </si>
  <si>
    <t>DNA polymerase beta</t>
  </si>
  <si>
    <t>Nucleophosmin</t>
  </si>
  <si>
    <t>Isoform 2 of Tropomyosin alpha-3 chain</t>
  </si>
  <si>
    <t>Isoform 3 of Tropomyosin alpha-3 chain</t>
  </si>
  <si>
    <t>Isoform 5 of Tropomyosin alpha-3 chain</t>
  </si>
  <si>
    <t>Beta-hexosaminidase subunit alpha</t>
  </si>
  <si>
    <t>Acyl-CoA-binding protein</t>
  </si>
  <si>
    <t>L-lactate dehydrogenase B chain</t>
  </si>
  <si>
    <t>Phosphoglycerate kinase 2</t>
  </si>
  <si>
    <t>Protein disulfide-isomerase</t>
  </si>
  <si>
    <t>Cathepsin D</t>
  </si>
  <si>
    <t>Annexin A2</t>
  </si>
  <si>
    <t>Calpain-1 catalytic subunit</t>
  </si>
  <si>
    <t>Proactivator polypeptide</t>
  </si>
  <si>
    <t>Beta-hexosaminidase subunit beta</t>
  </si>
  <si>
    <t>Cathepsin L1</t>
  </si>
  <si>
    <t>Profilin-1</t>
  </si>
  <si>
    <t>Bisphosphoglycerate mutase</t>
  </si>
  <si>
    <t>Adenine phosphoribosyltransferase</t>
  </si>
  <si>
    <t>Cathepsin B</t>
  </si>
  <si>
    <t>Heat shock protein HSP 90-alpha</t>
  </si>
  <si>
    <t>Galactose-1-phosphate uridylyltransferase</t>
  </si>
  <si>
    <t>Cytochrome b-c1 complex subunit 6, mitochondrial</t>
  </si>
  <si>
    <t>Laminin subunit beta-1</t>
  </si>
  <si>
    <t>Tyrosine-protein kinase Yes</t>
  </si>
  <si>
    <t>Tyrosine-protein kinase Lyn</t>
  </si>
  <si>
    <t>Isoform Cytoplasmic of Fumarate hydratase, mitochondrial</t>
  </si>
  <si>
    <t>DNA excision repair protein ERCC-1</t>
  </si>
  <si>
    <t>Thrombospondin-1</t>
  </si>
  <si>
    <t>Transcription factor Sp1</t>
  </si>
  <si>
    <t>Heat shock 70 kDa protein 1A/1B</t>
  </si>
  <si>
    <t>Annexin A6</t>
  </si>
  <si>
    <t>Isoform 2 of 4F2 cell-surface antigen heavy chain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</si>
  <si>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</si>
  <si>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</si>
  <si>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</si>
  <si>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</si>
  <si>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Isoform 2 of Porphobilinogen deaminase</t>
  </si>
  <si>
    <t>Isoform 3 of Pyruvate dehydrogenase E1 component subunit alpha, somatic form, mitochondrial</t>
  </si>
  <si>
    <t>Isoform 2 of Receptor-type tyrosine-protein phosphatase C</t>
  </si>
  <si>
    <t>U2 small nuclear ribonucleoprotein B</t>
  </si>
  <si>
    <t>Myosin light chain 3</t>
  </si>
  <si>
    <t>U1 small nuclear ribonucleoprotein 70 kDa</t>
  </si>
  <si>
    <t>Isoform 1 of Nuclear factor 1 C-type</t>
  </si>
  <si>
    <t>Vimentin</t>
  </si>
  <si>
    <t>Keratin, type I cytoskeletal 19</t>
  </si>
  <si>
    <t>Guanine nucleotide-binding protein G(k) subunit alpha</t>
  </si>
  <si>
    <t>Annexin A5</t>
  </si>
  <si>
    <t>Keratin, type I cytoskeletal 16</t>
  </si>
  <si>
    <t>U1 small nuclear ribonucleoprotein A</t>
  </si>
  <si>
    <t>Isoform 3 of Fibroblast growth factor 2</t>
  </si>
  <si>
    <t>Hemoglobin subunit theta-1</t>
  </si>
  <si>
    <t>3-ketoacyl-CoA thiolase, peroxisomal</t>
  </si>
  <si>
    <t>Signal recognition particle 19 kDa protein</t>
  </si>
  <si>
    <t>Glutathione S-transferase P</t>
  </si>
  <si>
    <t>U1 small nuclear ribonucleoprotein C</t>
  </si>
  <si>
    <t>Villin-1</t>
  </si>
  <si>
    <t>Galectin-1</t>
  </si>
  <si>
    <t>Dihydropteridine reductase</t>
  </si>
  <si>
    <t>High mobility group protein B1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</si>
  <si>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</si>
  <si>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</si>
  <si>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</si>
  <si>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</si>
  <si>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Dihydrolipoyl dehydrogenase, mitochondrial</t>
  </si>
  <si>
    <t>Isoform 2 of Heterogeneous nuclear ribonucleoprotein A1</t>
  </si>
  <si>
    <t>U2 small nuclear ribonucleoprotein A</t>
  </si>
  <si>
    <t>Pro-cathepsin H</t>
  </si>
  <si>
    <t>Poly [ADP-ribose] polymerase 1</t>
  </si>
  <si>
    <t>DNA polymerase alpha catalytic subunit</t>
  </si>
  <si>
    <t>Arachidonate 5-lipoxygenase</t>
  </si>
  <si>
    <t>Leukotriene A-4 hydrolase</t>
  </si>
  <si>
    <t>Fructose-bisphosphate aldolase C</t>
  </si>
  <si>
    <t>Ataxin-1-like</t>
  </si>
  <si>
    <t>DNA-directed RNA polymerase II subunit GRINL1A</t>
  </si>
  <si>
    <t>Chromosome transmission fidelity protein 8 homolog isoform 2</t>
  </si>
  <si>
    <t>Chromosome transmission fidelity protein 8 homolog</t>
  </si>
  <si>
    <t>Zinc finger protein 888</t>
  </si>
  <si>
    <t>G antigen 12I</t>
  </si>
  <si>
    <t>40S ribosomal protein S17-like</t>
  </si>
  <si>
    <t>Trafficking protein particle complex subunit 2 protein TRAPPC2P1</t>
  </si>
  <si>
    <t>Adrenodoxin, mitochondrial</t>
  </si>
  <si>
    <t>60 kDa SS-A/Ro ribonucleoprotein</t>
  </si>
  <si>
    <t>Isoform 11 of Transcriptional activator Myb</t>
  </si>
  <si>
    <t>Myb-related protein B</t>
  </si>
  <si>
    <t>Lysosomal alpha-glucosidase</t>
  </si>
  <si>
    <t>Serine/threonine-protein kinase A-Raf</t>
  </si>
  <si>
    <t>Dihydrolipoyllysine-residue acetyltransferase component of pyruvate dehydrogenase complex, mitochondrial</t>
  </si>
  <si>
    <t>Isoform 2 of Receptor-type tyrosine-protein phosphatase F</t>
  </si>
  <si>
    <t>Nuclear receptor subfamily 2 group F member 6</t>
  </si>
  <si>
    <t>Thioredoxin</t>
  </si>
  <si>
    <t>Cytochrome c oxidase subunit 5B, mitochondrial</t>
  </si>
  <si>
    <t>Lysosomal protective protein</t>
  </si>
  <si>
    <t>Isoform Fetal-tau of Microtubule-associated protein tau</t>
  </si>
  <si>
    <t>cAMP-dependent protein kinase type I-alpha regulatory subunit</t>
  </si>
  <si>
    <t>Isoform Beta of Tissue factor pathway inhibitor</t>
  </si>
  <si>
    <t>Uroporphyrinogen-III synthase</t>
  </si>
  <si>
    <t>S-formylglutathione hydrolase</t>
  </si>
  <si>
    <t>60 kDa heat shock protein, mitochondrial</t>
  </si>
  <si>
    <t>78 kDa glucose-regulated protein</t>
  </si>
  <si>
    <t>Phenylethanolamine N-methyltransferase</t>
  </si>
  <si>
    <t>Isoform 3 of Microtubule-associated protein 2</t>
  </si>
  <si>
    <t>Heat shock cognate 71 kDa protein</t>
  </si>
  <si>
    <t>Protein 4.1</t>
  </si>
  <si>
    <t>Isoform 2 of Protein 4.1</t>
  </si>
  <si>
    <t>Isoform 4 of Protein 4.1</t>
  </si>
  <si>
    <t>Isoform 5 of Protein 4.1</t>
  </si>
  <si>
    <t>Uridine 5-monophosphate synthase</t>
  </si>
  <si>
    <t>Isoform 3 of Pyruvate dehydrogenase E1 component subunit beta, mitochondrial</t>
  </si>
  <si>
    <t>Glycogen phosphorylase, brain form</t>
  </si>
  <si>
    <t>Ras-related protein Ral-A</t>
  </si>
  <si>
    <t>Ras-related protein Ral-B</t>
  </si>
  <si>
    <t>Breakpoint cluster region protein</t>
  </si>
  <si>
    <t>Isoform 3 of Spectrin beta chain, erythrocytic</t>
  </si>
  <si>
    <t>Lysosome-associated membrane glycoprotein 1</t>
  </si>
  <si>
    <t>Isoform 2 of Serine/threonine-protein kinase pim-1</t>
  </si>
  <si>
    <t>Medium-chain specific acyl-CoA dehydrogenase, mitochondrial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</si>
  <si>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</si>
  <si>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</si>
  <si>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</si>
  <si>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</si>
  <si>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</si>
  <si>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Isoform 2 of Dystrophin</t>
  </si>
  <si>
    <t>Cation-independent mannose-6-phosphate receptor</t>
  </si>
  <si>
    <t>Alcohol dehydrogenase class-3</t>
  </si>
  <si>
    <t>Cyclin-dependent kinase 4</t>
  </si>
  <si>
    <t>Serum response factor</t>
  </si>
  <si>
    <t>Ribose-phosphate pyrophosphokinase 2</t>
  </si>
  <si>
    <t>Polyadenylate-binding protein 1</t>
  </si>
  <si>
    <t>Proliferating cell nuclear antigen</t>
  </si>
  <si>
    <t>Neurofilament heavy polypeptide</t>
  </si>
  <si>
    <t>Histidine--tRNA ligase, cytoplasmic</t>
  </si>
  <si>
    <t>ADP/ATP translocase 3</t>
  </si>
  <si>
    <t>Nucleoprotein TPR</t>
  </si>
  <si>
    <t>Creatine kinase B-type</t>
  </si>
  <si>
    <t>Annexin A3</t>
  </si>
  <si>
    <t>Creatine kinase U-type, mitochondrial</t>
  </si>
  <si>
    <t>2-oxoisovalerate dehydrogenase subunit alpha, mitochondrial</t>
  </si>
  <si>
    <t>Isoform SNON2 of Ski-like protein</t>
  </si>
  <si>
    <t>Alpha-actinin-1</t>
  </si>
  <si>
    <t>Isoform Somatic-2 of Angiotensin-converting enzyme</t>
  </si>
  <si>
    <t>Myosin-1</t>
  </si>
  <si>
    <t>Xaa-Pro dipeptidase</t>
  </si>
  <si>
    <t>X-ray repair cross-complementing protein 6</t>
  </si>
  <si>
    <t>Protein lyl-1</t>
  </si>
  <si>
    <t>X-ray repair cross-complementing protein 5</t>
  </si>
  <si>
    <t>Nuclear receptor subfamily 2 group C member 1</t>
  </si>
  <si>
    <t>Cytochrome c oxidase subunit 4 isoform 1, mitochondrial</t>
  </si>
  <si>
    <t>Gamma-interferon-inducible lysosomal thiol reductase</t>
  </si>
  <si>
    <t>Ribonuclease inhibitor</t>
  </si>
  <si>
    <t>Cytochrome b-245 light chain</t>
  </si>
  <si>
    <t>Elongation factor 2</t>
  </si>
  <si>
    <t>Keratin, type I cytoskeletal 10</t>
  </si>
  <si>
    <t>Keratin, type II cytoskeletal 5</t>
  </si>
  <si>
    <t>Protein disulfide-isomerase A4</t>
  </si>
  <si>
    <t>Isoform 2 of Prolyl 4-hydroxylase subunit alpha-1</t>
  </si>
  <si>
    <t>Zinc finger protein 35</t>
  </si>
  <si>
    <t>Translationally-controlled tumor protein</t>
  </si>
  <si>
    <t>Plastin-2</t>
  </si>
  <si>
    <t>Plastin-3</t>
  </si>
  <si>
    <t>Acylamino-acid-releasing enzyme</t>
  </si>
  <si>
    <t>Electron transfer flavoprotein subunit alpha, mitochondrial</t>
  </si>
  <si>
    <t>cAMP-dependent protein kinase type II-alpha regulatory subunit</t>
  </si>
  <si>
    <t>Isoform 3 of 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</si>
  <si>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</si>
  <si>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</si>
  <si>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</si>
  <si>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</si>
  <si>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Isoform 2 of Glucosidase 2 subunit beta</t>
  </si>
  <si>
    <t>Hematopoietic lineage cell-specific protein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</si>
  <si>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</si>
  <si>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</si>
  <si>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</si>
  <si>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</si>
  <si>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Acylphosphatase-2</t>
  </si>
  <si>
    <t>Endoplasmin</t>
  </si>
  <si>
    <t>G2/mitotic-specific cyclin-B1</t>
  </si>
  <si>
    <t>Myosin light chain 6B</t>
  </si>
  <si>
    <t>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</si>
  <si>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</si>
  <si>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</si>
  <si>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</si>
  <si>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</si>
  <si>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Cytochrome b-c1 complex subunit 7</t>
  </si>
  <si>
    <t>Serine/threonine-protein kinase B-raf</t>
  </si>
  <si>
    <t>Mast cell carboxypeptidase A</t>
  </si>
  <si>
    <t>Glutamine synthetase</t>
  </si>
  <si>
    <t>Isoform Gamma of Poliovirus receptor</t>
  </si>
  <si>
    <t>Ras-related C3 botulinum toxin substrate 2</t>
  </si>
  <si>
    <t>Isoform 2 of Eukaryotic peptide chain release factor GTP-binding subunit ERF3A</t>
  </si>
  <si>
    <t>Arylsulfatase A</t>
  </si>
  <si>
    <t>Ezrin</t>
  </si>
  <si>
    <t>Ubiquitin carboxyl-terminal hydrolase isozyme L3</t>
  </si>
  <si>
    <t>Proto-oncogene vav</t>
  </si>
  <si>
    <t>Isoform K of Membrane cofactor protein</t>
  </si>
  <si>
    <t>Nucleoside diphosphate kinase A</t>
  </si>
  <si>
    <t>Isoform 2 of Phosphorylase b kinase gamma catalytic chain, liver/testis isoform</t>
  </si>
  <si>
    <t>Zinc finger protein 40</t>
  </si>
  <si>
    <t>Arylsulfatase B</t>
  </si>
  <si>
    <t>40S ribosomal protein S2</t>
  </si>
  <si>
    <t>Isoform B-delta of Transcription factor 4</t>
  </si>
  <si>
    <t>Isoform E47 of Transcription factor E2-alpha</t>
  </si>
  <si>
    <t>Desmoplakin</t>
  </si>
  <si>
    <t>Replication protein A 32 kDa subunit</t>
  </si>
  <si>
    <t>Isoform 3 of Erythroid transcription factor</t>
  </si>
  <si>
    <t>Ribosyldihydronicotinamide dehydrogenase [quinone]</t>
  </si>
  <si>
    <t>Leukosialin</t>
  </si>
  <si>
    <t>Carbonyl reductase [NADPH] 1</t>
  </si>
  <si>
    <t>Isoform Er9 of Ankyrin-1</t>
  </si>
  <si>
    <t>Short-chain specific acyl-CoA dehydrogenase, mitochondrial</t>
  </si>
  <si>
    <t>Isoform 3 of Beta-galactosidase</t>
  </si>
  <si>
    <t>Serine/threonine-protein phosphatase 2B catalytic subunit beta isoform</t>
  </si>
  <si>
    <t>Cytoplasmic protein NCK1</t>
  </si>
  <si>
    <t>GC-rich sequence DNA-binding factor 2</t>
  </si>
  <si>
    <t>Histone H1.5</t>
  </si>
  <si>
    <t>Histone H1.2</t>
  </si>
  <si>
    <t>Tyrosine-protein kinase Fer</t>
  </si>
  <si>
    <t>Isoform 3 of Tyrosine-protein kinase Fer</t>
  </si>
  <si>
    <t>Sarcoplasmic/endoplasmic reticulum calcium ATPase 2</t>
  </si>
  <si>
    <t>1-phosphatidylinositol 4,5-bisphosphate phosphodiesterase gamma-2</t>
  </si>
  <si>
    <t>Fumarylacetoacetase</t>
  </si>
  <si>
    <t>Y-box-binding protein 3</t>
  </si>
  <si>
    <t>Isoform 2 of Y-box-binding protein 3</t>
  </si>
  <si>
    <t>Zinc finger protein 22</t>
  </si>
  <si>
    <t>Zinc finger protein 24</t>
  </si>
  <si>
    <t>Zinc finger protein with KRAB and SCAN domains 1</t>
  </si>
  <si>
    <t>Alpha-N-acetylgalactosaminidase</t>
  </si>
  <si>
    <t>Heat shock 70 kDa protein 6</t>
  </si>
  <si>
    <t>Isoform HMG-Y of High mobility group protein HMG-I/HMG-Y</t>
  </si>
  <si>
    <t>Zinc finger protein 8</t>
  </si>
  <si>
    <t>Aspartate aminotransferase, cytoplasmic</t>
  </si>
  <si>
    <t>Protein kinase C alpha type</t>
  </si>
  <si>
    <t>Transcription factor jun-B</t>
  </si>
  <si>
    <t>Isoform UBF2 of Nucleolar transcription factor 1</t>
  </si>
  <si>
    <t>Homeobox protein Hox-B9</t>
  </si>
  <si>
    <t>Homeobox protein Hox-B4</t>
  </si>
  <si>
    <t>Transcription factor jun-D</t>
  </si>
  <si>
    <t>T-cell acute lymphocytic leukemia protein 1</t>
  </si>
  <si>
    <t>Isoform 4 of Cyclic AMP-dependent transcription factor ATF-7</t>
  </si>
  <si>
    <t>cAMP-dependent protein kinase catalytic subunit alpha</t>
  </si>
  <si>
    <t>Calpain-2 catalytic subunit</t>
  </si>
  <si>
    <t>Desmin</t>
  </si>
  <si>
    <t>CCAAT/enhancer-binding protein beta</t>
  </si>
  <si>
    <t>Isoform PTPA of Tyrosine-protein phosphatase non-receptor type 2</t>
  </si>
  <si>
    <t>S-adenosylmethionine decarboxylase proenzyme</t>
  </si>
  <si>
    <t>CTP synthase 1</t>
  </si>
  <si>
    <t>Probable ATP-dependent RNA helicase DDX5</t>
  </si>
  <si>
    <t>6-phosphofructokinase, liver type</t>
  </si>
  <si>
    <t>X-box-binding protein 1</t>
  </si>
  <si>
    <t>Ganglioside GM2 activator</t>
  </si>
  <si>
    <t>Galectin-3</t>
  </si>
  <si>
    <t>T-complex protein 1 subunit alpha</t>
  </si>
  <si>
    <t>Tyrosine-protein phosphatase non-receptor type 1</t>
  </si>
  <si>
    <t>Insulin-like growth factor-binding protein 2</t>
  </si>
  <si>
    <t>ADP-ribosylation factor 4</t>
  </si>
  <si>
    <t>60S ribosomal protein L7</t>
  </si>
  <si>
    <t>Isoform 1 of Vinculin</t>
  </si>
  <si>
    <t>Isoform G of Protein SON</t>
  </si>
  <si>
    <t>Negative elongation factor E</t>
  </si>
  <si>
    <t>Phosphoglycerate mutase 1</t>
  </si>
  <si>
    <t>Regulator of chromosome condensation</t>
  </si>
  <si>
    <t>Cyclic AMP-dependent transcription factor ATF-1</t>
  </si>
  <si>
    <t>Isoform 4 of Cyclic AMP-dependent transcription factor ATF-3</t>
  </si>
  <si>
    <t>Cyclic AMP-dependent transcription factor ATF-6 alpha</t>
  </si>
  <si>
    <t>ATP synthase-coupling factor 6, mitochondrial</t>
  </si>
  <si>
    <t>DNA repair protein XRCC1</t>
  </si>
  <si>
    <t>Myosin regulatory light chain 12A</t>
  </si>
  <si>
    <t>Isoform 2 of 1-phosphatidylinositol 4,5-bisphosphate phosphodiesterase gamma-1</t>
  </si>
  <si>
    <t>Nucleolin</t>
  </si>
  <si>
    <t>Isoform 2 of Hexokinase-1</t>
  </si>
  <si>
    <t>Isoform 4 of Hexokinase-1</t>
  </si>
  <si>
    <t>DNA-directed RNA polymerase II subunit RPB3</t>
  </si>
  <si>
    <t>DNA-directed RNA polymerases I, II, and III subunit RPABC1</t>
  </si>
  <si>
    <t>NADH dehydrogenase [ubiquinone] flavoprotein 2, mitochondrial</t>
  </si>
  <si>
    <t>TFIIH basal transcription factor complex helicase XPB subunit</t>
  </si>
  <si>
    <t>Interferon-induced, double-stranded RNA-activated protein kinase</t>
  </si>
  <si>
    <t>Transcription factor E3</t>
  </si>
  <si>
    <t>Isoform 2 of Wilms tumor protein</t>
  </si>
  <si>
    <t>Spermidine synthase</t>
  </si>
  <si>
    <t>Nuclear factor NF-kappa-B p105 subunit</t>
  </si>
  <si>
    <t>Eukaryotic translation initiation factor 2 subunit 2</t>
  </si>
  <si>
    <t>Isoform 3 of Myeloid cell surface antigen CD33</t>
  </si>
  <si>
    <t>Cyclin-A2</t>
  </si>
  <si>
    <t>Transcription factor BTF3</t>
  </si>
  <si>
    <t>Tumor necrosis factor receptor superfamily member 1B</t>
  </si>
  <si>
    <t>Ras-related protein Rab-3B</t>
  </si>
  <si>
    <t>Ras-related protein Rab-4A</t>
  </si>
  <si>
    <t>Isoform 2 of Ras-related protein Rab-6A</t>
  </si>
  <si>
    <t>DNA mismatch repair protein Msh3</t>
  </si>
  <si>
    <t>Proteasome subunit beta type-1</t>
  </si>
  <si>
    <t>Cytochrome c oxidase subunit 5A, mitochondrial</t>
  </si>
  <si>
    <t>Lamin-B1</t>
  </si>
  <si>
    <t>B-cell lymphoma 3 protein</t>
  </si>
  <si>
    <t>Isoform 2 of Inosine-5-monophosphate dehydrogenase 1</t>
  </si>
  <si>
    <t>N(4)-(beta-N-acetylglucosaminyl)-L-asparaginase</t>
  </si>
  <si>
    <t>Isoform 2 of Ras GTPase-activating protein 1</t>
  </si>
  <si>
    <t>Parathymosin</t>
  </si>
  <si>
    <t>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</si>
  <si>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</si>
  <si>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</si>
  <si>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</si>
  <si>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</si>
  <si>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</si>
  <si>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Isoform 1 of Neurofibromin</t>
  </si>
  <si>
    <t>Cytoplasmic aconitate hydratase</t>
  </si>
  <si>
    <t>Tumor necrosis factor alpha-induced protein 3</t>
  </si>
  <si>
    <t>Transcription initiation factor TFIID subunit 1</t>
  </si>
  <si>
    <t>Isoform 2 of Glycerol-3-phosphate dehydrogenase [NAD(+)], cytoplasmic</t>
  </si>
  <si>
    <t>Voltage-dependent anion-selective channel protein 1</t>
  </si>
  <si>
    <t>Succinate dehydrogenase [ubiquinone] iron-sulfur subunit,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</si>
  <si>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</si>
  <si>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</si>
  <si>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</si>
  <si>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</si>
  <si>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Isoform 2 of Protein-L-isoaspartate(D-aspartate) O-methyltransferase</t>
  </si>
  <si>
    <t>Trifunctional purine biosynthetic protein adenosine-3</t>
  </si>
  <si>
    <t>Multifunctional protein ADE2</t>
  </si>
  <si>
    <t>Isoform 6 of Non-specific lipid-transfer protein</t>
  </si>
  <si>
    <t>Ubiquitin-like modifier-activating enzyme 1</t>
  </si>
  <si>
    <t>Isoform 3 of Nucleoside diphosphate kinase B</t>
  </si>
  <si>
    <t>Small proline-rich protein 2D</t>
  </si>
  <si>
    <t>Heterogeneous nuclear ribonucleoproteins A2/B1</t>
  </si>
  <si>
    <t>MHC class II regulatory factor RFX1</t>
  </si>
  <si>
    <t>E3 ubiquitin-protein ligase CBL</t>
  </si>
  <si>
    <t>Isoform 4 of cAMP-dependent protein kinase catalytic subunit beta</t>
  </si>
  <si>
    <t>Ferrochelatase, mitochondrial</t>
  </si>
  <si>
    <t>DNA repair protein complementing XP-A cells</t>
  </si>
  <si>
    <t>Isoform B of Fibulin-1</t>
  </si>
  <si>
    <t>Transcription elongation factor A protein 1</t>
  </si>
  <si>
    <t>Splicing factor, proline- and glutamine-rich</t>
  </si>
  <si>
    <t>Tubulin gamma-1 chain</t>
  </si>
  <si>
    <t>Peptidyl-prolyl cis-trans isomerase B</t>
  </si>
  <si>
    <t>Protein S100-A1</t>
  </si>
  <si>
    <t>NAD-dependent malic enzyme, mitochondrial</t>
  </si>
  <si>
    <t>Tryptophan--tRNA ligase, cytoplasmic</t>
  </si>
  <si>
    <t>40S ribosomal protein S3</t>
  </si>
  <si>
    <t>Myogenic factor 6</t>
  </si>
  <si>
    <t>Glycine cleavage system H protein, mitochondrial</t>
  </si>
  <si>
    <t>Isoform 2 of Receptor-type tyrosine-protein phosphatase gamma</t>
  </si>
  <si>
    <t>Nuclear autoantigen Sp-100</t>
  </si>
  <si>
    <t>Isoform Short of Nuclear transcription factor Y subunit alpha</t>
  </si>
  <si>
    <t>Adenosylhomocysteinase</t>
  </si>
  <si>
    <t>Cofilin-1</t>
  </si>
  <si>
    <t>Eukaryotic translation initiation factor 4B</t>
  </si>
  <si>
    <t>Factor VIII intron 22 protein</t>
  </si>
  <si>
    <t>Isoform ZB of Plasma membrane calcium-transporting ATPase 4</t>
  </si>
  <si>
    <t>Inositol-trisphosphate 3-kinase A</t>
  </si>
  <si>
    <t>Isoform 2 of Endothelial transcription factor GATA-2</t>
  </si>
  <si>
    <t>Carnitine O-palmitoyltransferase 2, mitochondrial</t>
  </si>
  <si>
    <t>Thymidylate kinase</t>
  </si>
  <si>
    <t>Ribonucleoside-diphosphate reductase large subunit</t>
  </si>
  <si>
    <t>Elongation factor 1-beta</t>
  </si>
  <si>
    <t>Low molecular weight phosphotyrosine protein phosphatase</t>
  </si>
  <si>
    <t>Isoform 2 of Low molecular weight phosphotyrosine protein phosphatase</t>
  </si>
  <si>
    <t>Acetyl-CoA acetyltransferase, mitochondrial</t>
  </si>
  <si>
    <t>DNA-directed RNA polymerase II subunit RPB1</t>
  </si>
  <si>
    <t>Cyclin-dependent kinase 2</t>
  </si>
  <si>
    <t>Isoform Short of Adenomatous polyposis coli protein</t>
  </si>
  <si>
    <t>Beta-adrenergic receptor kinase 1</t>
  </si>
  <si>
    <t>DNA replication licensing factor MCM3</t>
  </si>
  <si>
    <t>40S ribosomal protein S12</t>
  </si>
  <si>
    <t>Bromodomain-containing protein 2</t>
  </si>
  <si>
    <t>DnaJ homolog subfamily B member 1</t>
  </si>
  <si>
    <t>ATP synthase subunit alpha, mitochondrial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</si>
  <si>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</si>
  <si>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</si>
  <si>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</si>
  <si>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</si>
  <si>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</si>
  <si>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</si>
  <si>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Moesin</t>
  </si>
  <si>
    <t>Probable ATP-dependent RNA helicase DDX6</t>
  </si>
  <si>
    <t>Isoform 2 of Catenin alpha-2</t>
  </si>
  <si>
    <t>DNA (cytosine-5)-methyltransferase 1</t>
  </si>
  <si>
    <t>Isoform 2 of DNA (cytosine-5)-methyltransferase 1</t>
  </si>
  <si>
    <t>Isoform 2 of Splicing factor U2AF 65 kDa subunit</t>
  </si>
  <si>
    <t>60S ribosomal protein L13</t>
  </si>
  <si>
    <t>Rab proteins geranylgeranyltransferase component A 2</t>
  </si>
  <si>
    <t>Protein S100-A4</t>
  </si>
  <si>
    <t>High mobility group protein B2</t>
  </si>
  <si>
    <t>Polypyrimidine tract-binding protein 1</t>
  </si>
  <si>
    <t>Threonine--tRNA ligase, cytoplasmic</t>
  </si>
  <si>
    <t>Valine--tRNA ligase</t>
  </si>
  <si>
    <t>Elongation factor 1-gamma</t>
  </si>
  <si>
    <t>Peptidyl-prolyl cis-trans isomerase FKBP2</t>
  </si>
  <si>
    <t>GTP:AMP phosphotransferase AK4, mitochondrial</t>
  </si>
  <si>
    <t>14-3-3 protein theta</t>
  </si>
  <si>
    <t>Mitogen-activated protein kinase 3</t>
  </si>
  <si>
    <t>Isoform 7 of MAP/microtubule affinity-regulating kinase 3</t>
  </si>
  <si>
    <t>Isoform 2 of Aryl hydrocarbon receptor nuclear translocator</t>
  </si>
  <si>
    <t>Replication protein A 70 kDa DNA-binding subunit</t>
  </si>
  <si>
    <t>DNA-(apurinic or apyrimidinic site) lyase</t>
  </si>
  <si>
    <t>Deoxycytidine kinase</t>
  </si>
  <si>
    <t>Calreticulin</t>
  </si>
  <si>
    <t>Isoform 6 of cAMP-specific 3,5-cyclic phosphodiesterase 4A</t>
  </si>
  <si>
    <t>Microtubule-associated protein 4</t>
  </si>
  <si>
    <t>Isoform 5 of Microtubule-associated protein 4</t>
  </si>
  <si>
    <t>Calnexin</t>
  </si>
  <si>
    <t>Phosphatidylinositol 3-kinase regulatory subunit alpha</t>
  </si>
  <si>
    <t>Isoform 2 of Proteasome subunit beta type-8</t>
  </si>
  <si>
    <t>Proteasome subunit alpha type-5</t>
  </si>
  <si>
    <t>Proteasome subunit beta type-4</t>
  </si>
  <si>
    <t>Proteasome subunit beta type-6</t>
  </si>
  <si>
    <t>Proteasome subunit beta type-5</t>
  </si>
  <si>
    <t>Isoform 2 of Glutathione S-transferase Mu 2</t>
  </si>
  <si>
    <t>Tropomodulin-1</t>
  </si>
  <si>
    <t>Isoform 4 of NADH-ubiquinone oxidoreductase 75 kDa subunit, mitochondrial</t>
  </si>
  <si>
    <t>DNA polymerase delta catalytic subunit</t>
  </si>
  <si>
    <t>Mitogen-activated protein kinase 1</t>
  </si>
  <si>
    <t>DNA repair protein complementing XP-G cells</t>
  </si>
  <si>
    <t>Retinoblastoma-like protein 1</t>
  </si>
  <si>
    <t>Granulins</t>
  </si>
  <si>
    <t>Isoform 2 of Cytosol aminopeptidase</t>
  </si>
  <si>
    <t>Tumor necrosis factor receptor superfamily member 8</t>
  </si>
  <si>
    <t>General transcription factor IIE subunit 1</t>
  </si>
  <si>
    <t>Transcription initiation factor IIE subunit beta</t>
  </si>
  <si>
    <t>Tripeptidyl-peptidase 2</t>
  </si>
  <si>
    <t>Inositol monophosphatase 1</t>
  </si>
  <si>
    <t>Tyrosine-protein phosphatase non-receptor type 6</t>
  </si>
  <si>
    <t>Isoform p52Shc of SHC-transforming protein 1</t>
  </si>
  <si>
    <t>Isoform 7 of SHC-transforming protein 1</t>
  </si>
  <si>
    <t>Isoform 4 of DNA-3-methyladenine glycosylase</t>
  </si>
  <si>
    <t>Cellular retinoic acid-binding protein 2</t>
  </si>
  <si>
    <t>Isoform III of AT-rich interactive domain-containing protein 4A</t>
  </si>
  <si>
    <t>Lysine-specific demethylase 5A</t>
  </si>
  <si>
    <t>Transketolase</t>
  </si>
  <si>
    <t>Protein PML</t>
  </si>
  <si>
    <t>Isoform PML-2 of Protein PML</t>
  </si>
  <si>
    <t>Elongation factor 1-delta</t>
  </si>
  <si>
    <t>Isoform 2 of Elongation factor 1-delta</t>
  </si>
  <si>
    <t>Isoform 3 of Elongation factor 1-delta</t>
  </si>
  <si>
    <t>Myristoylated alanine-rich C-kinase substrate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</si>
  <si>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</si>
  <si>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</si>
  <si>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</si>
  <si>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</si>
  <si>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</si>
  <si>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</si>
  <si>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</si>
  <si>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GTP cyclohydrolase 1 feedback regulatory protein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</si>
  <si>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</si>
  <si>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</si>
  <si>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</si>
  <si>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</si>
  <si>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</si>
  <si>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</si>
  <si>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</si>
  <si>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</si>
  <si>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G1/S-specific cyclin-D2</t>
  </si>
  <si>
    <t>G1/S-specific cyclin-D3</t>
  </si>
  <si>
    <t>Wee1-like protein kinase</t>
  </si>
  <si>
    <t>M-phase inducer phosphatase 3</t>
  </si>
  <si>
    <t>Peptidyl-prolyl cis-trans isomerase F, mitochondrial</t>
  </si>
  <si>
    <t>NK-tumor recognition protein</t>
  </si>
  <si>
    <t>Glycylpeptide N-tetradecanoyltransferase 1</t>
  </si>
  <si>
    <t>Adenylosuccinate synthetase isozyme 2</t>
  </si>
  <si>
    <t>Alpha-2-macroglobulin receptor-associated protein</t>
  </si>
  <si>
    <t>Adenylosuccinate lyase</t>
  </si>
  <si>
    <t>Pyruvate kinase isozymes R/L</t>
  </si>
  <si>
    <t>Isoform 3 of CAP-Gly domain-containing linker protein 1</t>
  </si>
  <si>
    <t>Glutathione S-transferase theta-1</t>
  </si>
  <si>
    <t>Leukocyte elastase inhibitor</t>
  </si>
  <si>
    <t>Aldehyde dehydrogenase X, mitochondrial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</si>
  <si>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</si>
  <si>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</si>
  <si>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</si>
  <si>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</si>
  <si>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</si>
  <si>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</si>
  <si>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Carbamoyl-phosphate synthase [ammonia], mitochondrial</t>
  </si>
  <si>
    <t>Ribonucleoside-diphosphate reductase subunit M2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</si>
  <si>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</si>
  <si>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</si>
  <si>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</si>
  <si>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</si>
  <si>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</si>
  <si>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</si>
  <si>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</si>
  <si>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Heterogeneous nuclear ribonucleoprotein H</t>
  </si>
  <si>
    <t>Isoform Short of 14-3-3 protein beta/alpha</t>
  </si>
  <si>
    <t>Isoform 2 of 14-3-3 protein sigma</t>
  </si>
  <si>
    <t>Stress-induced-phosphoprotein 1</t>
  </si>
  <si>
    <t>Protein S100-A11</t>
  </si>
  <si>
    <t>Isoform 2 of Type II inositol 1,4,5-trisphosphate 5-phosphatase</t>
  </si>
  <si>
    <t>Peroxiredoxin-2</t>
  </si>
  <si>
    <t>Isoform 5 of Beta-arrestin-2</t>
  </si>
  <si>
    <t>Isoform 2 of Forkhead box protein N2</t>
  </si>
  <si>
    <t>Deoxycytidylate deaminase</t>
  </si>
  <si>
    <t>Pyrroline-5-carboxylate reductase 1, mitochondrial</t>
  </si>
  <si>
    <t>Interferon-induced guanylate-binding protein 2</t>
  </si>
  <si>
    <t>Isoform 2 of ETS-related transcription factor Elf-1</t>
  </si>
  <si>
    <t>General transcription factor IIH subunit 1</t>
  </si>
  <si>
    <t>Cystathionine gamma-lyase</t>
  </si>
  <si>
    <t>Isoform 2 of Long-chain-fatty-acid--CoA ligase 1</t>
  </si>
  <si>
    <t>Kinesin-1 heavy chain</t>
  </si>
  <si>
    <t>Isoform 2 of Cleavage stimulation factor subunit 2</t>
  </si>
  <si>
    <t>Deoxyuridine 5-triphosphate nucleotidohydrolase, mitochondrial</t>
  </si>
  <si>
    <t>Isoform 2 of Deoxyuridine 5-triphosphate nucleotidohydrolase, mitochondrial</t>
  </si>
  <si>
    <t>Cyclin-dependent kinases regulatory subunit 2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</si>
  <si>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</si>
  <si>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</si>
  <si>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</si>
  <si>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</si>
  <si>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</si>
  <si>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</si>
  <si>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</si>
  <si>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Bifunctional epoxide hydrolase 2</t>
  </si>
  <si>
    <t>Heat shock 70 kDa protein 4</t>
  </si>
  <si>
    <t>Carbonic anhydrase-related protein</t>
  </si>
  <si>
    <t>Catenin alpha-1</t>
  </si>
  <si>
    <t>Polycomb group RING finger protein 2</t>
  </si>
  <si>
    <t>Prohibitin</t>
  </si>
  <si>
    <t>Tyrosine-protein phosphatase non-receptor type 7</t>
  </si>
  <si>
    <t>Serpin B6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</si>
  <si>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</si>
  <si>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</si>
  <si>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</si>
  <si>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</si>
  <si>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</si>
  <si>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</si>
  <si>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</si>
  <si>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</si>
  <si>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Cystathionine beta-synthase</t>
  </si>
  <si>
    <t>Keratin, type I cytoskeletal 9</t>
  </si>
  <si>
    <t>Insulin receptor substrate 1</t>
  </si>
  <si>
    <t>Myosin-9</t>
  </si>
  <si>
    <t>Isoform 2 of Myosin-9</t>
  </si>
  <si>
    <t>Myosin-10</t>
  </si>
  <si>
    <t>Coatomer subunit beta</t>
  </si>
  <si>
    <t>Alpha-adducin</t>
  </si>
  <si>
    <t>Isoform 2 of Alpha-adducin</t>
  </si>
  <si>
    <t>Beta-adducin</t>
  </si>
  <si>
    <t>Isoform 2 of Basigin</t>
  </si>
  <si>
    <t>Isoform Short of RNA-binding protein FUS</t>
  </si>
  <si>
    <t>DNA damage-inducible transcript 3 protein</t>
  </si>
  <si>
    <t>Isoform 2 of Nuclear pore complex protein Nup214</t>
  </si>
  <si>
    <t>Isoform 4 of Nuclear pore complex protein Nup214</t>
  </si>
  <si>
    <t>Transcription factor SOX-6</t>
  </si>
  <si>
    <t>Isoform 4 of Myosin-11</t>
  </si>
  <si>
    <t>Glutaredoxin-1</t>
  </si>
  <si>
    <t>Isoform 2 of Choline kinase alpha</t>
  </si>
  <si>
    <t>Protein phosphatase 1A</t>
  </si>
  <si>
    <t>Aryl hydrocarbon receptor</t>
  </si>
  <si>
    <t>Keratin, type II cytoskeletal 2 epidermal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</si>
  <si>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</si>
  <si>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</si>
  <si>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</si>
  <si>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</si>
  <si>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</si>
  <si>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</si>
  <si>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</si>
  <si>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</si>
  <si>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Serine/threonine-protein phosphatase PP1-gamma catalytic subunit</t>
  </si>
  <si>
    <t>Guanine nucleotide-binding protein-like 1</t>
  </si>
  <si>
    <t>DNA-directed RNA polymerase II subunit RPB9</t>
  </si>
  <si>
    <t>Pigment epithelium-derived factor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</si>
  <si>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</si>
  <si>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</si>
  <si>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</si>
  <si>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</si>
  <si>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</si>
  <si>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</si>
  <si>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Transgelin-2</t>
  </si>
  <si>
    <t>Transaldolase</t>
  </si>
  <si>
    <t>Isoform 2-4 of Alpha-synuclein</t>
  </si>
  <si>
    <t>Electron transfer flavoprotein subunit beta</t>
  </si>
  <si>
    <t>RNA-binding motif protein, X chromosome</t>
  </si>
  <si>
    <t>Isoform 4 of Breast cancer type 1 susceptibility protein</t>
  </si>
  <si>
    <t>Coilin</t>
  </si>
  <si>
    <t>V-type proton ATPase catalytic subunit A</t>
  </si>
  <si>
    <t>Stress-70 protein, mitochondrial</t>
  </si>
  <si>
    <t>Eukaryotic initiation factor 4A-III</t>
  </si>
  <si>
    <t>DNA-binding protein SMUBP-2</t>
  </si>
  <si>
    <t>40S ribosomal protein S19</t>
  </si>
  <si>
    <t>60S ribosomal protein L3</t>
  </si>
  <si>
    <t>Collagen alpha-1(XV) chain</t>
  </si>
  <si>
    <t>Dolichyl-diphosphooligosaccharide--protein glycosyltransferase 48 kDa subunit</t>
  </si>
  <si>
    <t>Acidic leucine-rich nuclear phosphoprotein 32 family member A</t>
  </si>
  <si>
    <t>Flap endonuclease 1</t>
  </si>
  <si>
    <t>Isoform 3 of Homeobox protein cut-like 1</t>
  </si>
  <si>
    <t>Isoform 2 of Macrophage-capping protein</t>
  </si>
  <si>
    <t>Isoform 3 of Interleukin-6 receptor subunit beta</t>
  </si>
  <si>
    <t>Alpha-taxilin</t>
  </si>
  <si>
    <t>T-complex protein 1 subunit zeta</t>
  </si>
  <si>
    <t>Proteasome subunit beta type-10</t>
  </si>
  <si>
    <t>Isoform 3 of Von Hippel-Lindau disease tumor suppressor</t>
  </si>
  <si>
    <t>Pre-B-cell leukemia transcription factor 2</t>
  </si>
  <si>
    <t>60S ribosomal protein L13a</t>
  </si>
  <si>
    <t>DNA mismatch repair protein Mlh1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</si>
  <si>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</si>
  <si>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</si>
  <si>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</si>
  <si>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</si>
  <si>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</si>
  <si>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</si>
  <si>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</si>
  <si>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</si>
  <si>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ETS translocation variant 3</t>
  </si>
  <si>
    <t>Centrin-2</t>
  </si>
  <si>
    <t>Transcription factor ETV6</t>
  </si>
  <si>
    <t>Eukaryotic translation initiation factor 2D</t>
  </si>
  <si>
    <t>Protein BUD31 homolog</t>
  </si>
  <si>
    <t>Isoform 2 of N-alpha-acetyltransferase 10</t>
  </si>
  <si>
    <t>Isoform 2 of Lysine-specific demethylase 5C</t>
  </si>
  <si>
    <t>Protein phosphatase inhibitor 2</t>
  </si>
  <si>
    <t>Tyrosine-protein kinase CSK</t>
  </si>
  <si>
    <t>Glycine--tRNA ligase</t>
  </si>
  <si>
    <t>Isoleucine--tRNA ligase, cytoplasmic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</si>
  <si>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</si>
  <si>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</si>
  <si>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</si>
  <si>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</si>
  <si>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</si>
  <si>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</si>
  <si>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</si>
  <si>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</si>
  <si>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</si>
  <si>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</si>
  <si>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Isoform 6 of Rho GTPase-activating protein 25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</si>
  <si>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</si>
  <si>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</si>
  <si>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</si>
  <si>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Phosphatidylinositol 4-kinase alpha</t>
  </si>
  <si>
    <t>Epidermal growth factor receptor substrate 15</t>
  </si>
  <si>
    <t>Caspase-3</t>
  </si>
  <si>
    <t>Caspase-2</t>
  </si>
  <si>
    <t>40S ribosomal protein S27</t>
  </si>
  <si>
    <t>Isoform 3 of Megakaryocyte-associated tyrosine-protein kinase</t>
  </si>
  <si>
    <t>Tyrosine-protein kinase Tec</t>
  </si>
  <si>
    <t>Isoform 6 of Abelson tyrosine-protein kinase 2</t>
  </si>
  <si>
    <t>Probable helicase with zinc finger domain</t>
  </si>
  <si>
    <t>Condensin-2 complex subunit D3</t>
  </si>
  <si>
    <t>Isoform 2 of RNA-binding protein 34</t>
  </si>
  <si>
    <t>Leucine-rich PPR motif-containing protein, mitochondrial</t>
  </si>
  <si>
    <t>3-ketoacyl-CoA thiolase, mitochondrial</t>
  </si>
  <si>
    <t>Wiskott-Aldrich syndrome protein</t>
  </si>
  <si>
    <t>Cyclin-dependent kinase 4 inhibitor C</t>
  </si>
  <si>
    <t>Lysosomal Pro-X carboxypeptidase</t>
  </si>
  <si>
    <t>Huntingtin</t>
  </si>
  <si>
    <t>Platelet-activating factor acetylhydrolase IB subunit alpha</t>
  </si>
  <si>
    <t>Cell surface glycoprotein MUC18</t>
  </si>
  <si>
    <t>Isoform 3 of Carnitine O-acetyltransferase</t>
  </si>
  <si>
    <t>DNA mismatch repair protein Msh2</t>
  </si>
  <si>
    <t>Melanoma-associated antigen 1</t>
  </si>
  <si>
    <t>Melanoma-associated antigen 2</t>
  </si>
  <si>
    <t>Melanoma-associated antigen 4</t>
  </si>
  <si>
    <t>Isoform Short of 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</si>
  <si>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</si>
  <si>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</si>
  <si>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</si>
  <si>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</si>
  <si>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</si>
  <si>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Chromobox protein homolog 5</t>
  </si>
  <si>
    <t>Isoform Short of Ubiquitin carboxyl-terminal hydrolase 5</t>
  </si>
  <si>
    <t>Isoform 3 of Mitogen-activated protein kinase 8</t>
  </si>
  <si>
    <t>Isoform Alpha-1 of Mitogen-activated protein kinase 9</t>
  </si>
  <si>
    <t>Dual specificity mitogen-activated protein kinase kinase 4</t>
  </si>
  <si>
    <t>Antigen KI-67</t>
  </si>
  <si>
    <t>Phosphorylase b kinase regulatory subunit alpha, liver isoform</t>
  </si>
  <si>
    <t>Isoform 3 of Phosphorylase b kinase regulatory subunit alpha, skeletal muscle isoform</t>
  </si>
  <si>
    <t>Ran GTPase-activating protein 1</t>
  </si>
  <si>
    <t>ATP-dependent DNA helicase Q1</t>
  </si>
  <si>
    <t>Putative ribosomal RNA methyltransferase NOP2</t>
  </si>
  <si>
    <t>Isoform 3 of Transcriptional regulator ATRX</t>
  </si>
  <si>
    <t>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</si>
  <si>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</si>
  <si>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</si>
  <si>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</si>
  <si>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</si>
  <si>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Isoform 1 of Dual specificity mitogen-activated protein kinase kinase 3</t>
  </si>
  <si>
    <t>Isoform 1 of Lys-63-specific deubiquitinase BRCC36</t>
  </si>
  <si>
    <t>60S ribosomal protein L5</t>
  </si>
  <si>
    <t>Isoform 4 of 60S ribosomal protein L28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</si>
  <si>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</si>
  <si>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</si>
  <si>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</si>
  <si>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</si>
  <si>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</si>
  <si>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</si>
  <si>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</si>
  <si>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</si>
  <si>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</si>
  <si>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</si>
  <si>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Cytosolic phospholipase A2</t>
  </si>
  <si>
    <t>Rap1 GTPase-activating protein 1</t>
  </si>
  <si>
    <t>F-actin-capping protein subunit alpha-2</t>
  </si>
  <si>
    <t>Eukaryotic translation initiation factor 1A, X-chromosomal</t>
  </si>
  <si>
    <t>Glutamine--tRNA ligase</t>
  </si>
  <si>
    <t>60S ribosomal protein L29</t>
  </si>
  <si>
    <t>Zinc finger protein 36, C3H1 type-like 2</t>
  </si>
  <si>
    <t>Cytochrome b-c1 complex subunit Rieske, mitochondrial</t>
  </si>
  <si>
    <t>ATP synthase subunit O, mitochondrial</t>
  </si>
  <si>
    <t>LIM and senescent cell antigen-like-containing domain protein 1</t>
  </si>
  <si>
    <t>Prolyl endopeptidase</t>
  </si>
  <si>
    <t>NADP-dependent malic enzyme</t>
  </si>
  <si>
    <t>Iron-responsive element-binding protein 2</t>
  </si>
  <si>
    <t>Isoform 2 of DNA-binding protein RFX2</t>
  </si>
  <si>
    <t>Isoform 2 of Transcription factor RFX3</t>
  </si>
  <si>
    <t>DNA-binding protein RFX5</t>
  </si>
  <si>
    <t>Coatomer subunit delta</t>
  </si>
  <si>
    <t>Isoform 2 of 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</si>
  <si>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</si>
  <si>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</si>
  <si>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</si>
  <si>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Trafficking protein particle complex subunit 10</t>
  </si>
  <si>
    <t>Protein PRRC2A</t>
  </si>
  <si>
    <t>Glutathione synthetase</t>
  </si>
  <si>
    <t>T-complex protein 1 subunit epsilon</t>
  </si>
  <si>
    <t>Phosphatidylserine synthase 1</t>
  </si>
  <si>
    <t>Nestin</t>
  </si>
  <si>
    <t>Casein kinase I isoform alpha</t>
  </si>
  <si>
    <t>Casein kinase I isoform delta</t>
  </si>
  <si>
    <t>Phosphatidylinositol 4,5-bisphosphate 3-kinase catalytic subunit gamma isoform</t>
  </si>
  <si>
    <t>Phosphatidylinositol transfer protein beta isoform</t>
  </si>
  <si>
    <t>DNA polymerase delta subunit 2</t>
  </si>
  <si>
    <t>MARCKS-related protein</t>
  </si>
  <si>
    <t>Nuclear receptor subfamily 2 group C member 2</t>
  </si>
  <si>
    <t>Isoform 2 of 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</si>
  <si>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</si>
  <si>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</si>
  <si>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</si>
  <si>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</si>
  <si>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</si>
  <si>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Nuclear autoantigenic sperm protein</t>
  </si>
  <si>
    <t>Fatty acid synthase</t>
  </si>
  <si>
    <t>Isoform 2 of Cyclin-dependent kinase 8</t>
  </si>
  <si>
    <t>Protein farnesyltransferase/geranylgeranyltransferase type-1 subunit alpha</t>
  </si>
  <si>
    <t>Deoxyhypusine synthase</t>
  </si>
  <si>
    <t>T-complex protein 1 subunit gamma</t>
  </si>
  <si>
    <t>Beta-arrestin-1</t>
  </si>
  <si>
    <t>Isoform 1B of Beta-arrestin-1</t>
  </si>
  <si>
    <t>Elongation factor Tu, mitochondrial</t>
  </si>
  <si>
    <t>Ubiquitin-conjugating enzyme E2 R1</t>
  </si>
  <si>
    <t>Inositol polyphosphate 1-phosphatase</t>
  </si>
  <si>
    <t>Glutamate dehydrogenase 2, mitochondrial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</si>
  <si>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</si>
  <si>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</si>
  <si>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</si>
  <si>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</si>
  <si>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</si>
  <si>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</si>
  <si>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</si>
  <si>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Protein phosphatase 1F</t>
  </si>
  <si>
    <t>DNA primase small subunit</t>
  </si>
  <si>
    <t>DNA primase large subunit</t>
  </si>
  <si>
    <t>Isoform 2 of Caspase-4</t>
  </si>
  <si>
    <t>Casein kinase I isoform epsilon</t>
  </si>
  <si>
    <t>Transcriptional repressor CTCF</t>
  </si>
  <si>
    <t>CCAAT/enhancer-binding protein delta</t>
  </si>
  <si>
    <t>Proteasome subunit beta type-3</t>
  </si>
  <si>
    <t>Proteasome subunit beta type-2</t>
  </si>
  <si>
    <t>Very long-chain specific acyl-CoA dehydrogenase, mitochondrial</t>
  </si>
  <si>
    <t>Isoform 4 of YLP motif-containing protein 1</t>
  </si>
  <si>
    <t>Transmembrane emp24 domain-containing protein 10</t>
  </si>
  <si>
    <t>RNA-binding protein 25</t>
  </si>
  <si>
    <t>Isoform 3 of Protein numb homolog</t>
  </si>
  <si>
    <t>Translation initiation factor eIF-2B subunit beta</t>
  </si>
  <si>
    <t>Histidine triad nucleotide-binding protein 1</t>
  </si>
  <si>
    <t>Bis(5-adenosyl)-triphosphatase</t>
  </si>
  <si>
    <t>E3 SUMO-protein ligase RanBP2</t>
  </si>
  <si>
    <t>Isoform 4 of Regulator of G-protein signaling 3</t>
  </si>
  <si>
    <t>Glycogen synthase kinase-3 beta</t>
  </si>
  <si>
    <t>Isoform 2 of Transcription initiation factor TFIID subunit 6</t>
  </si>
  <si>
    <t>Cytosolic purine 5-nucleotidase</t>
  </si>
  <si>
    <t>Selenide, water dikinase 1</t>
  </si>
  <si>
    <t>5-formyltetrahydrofolate cyclo-ligase</t>
  </si>
  <si>
    <t>GMP synthase [glutamine-hydrolyzing]</t>
  </si>
  <si>
    <t>DNA ligase 3</t>
  </si>
  <si>
    <t>Isoform Short of Cyclin-dependent kinase inhibitor 1C</t>
  </si>
  <si>
    <t>Double-strand break repair protein MRE11A</t>
  </si>
  <si>
    <t>Ketohexokinase</t>
  </si>
  <si>
    <t>Histamine N-methyltransferase</t>
  </si>
  <si>
    <t>Isocitrate dehydrogenase [NAD] subunit alpha, mitochondrial</t>
  </si>
  <si>
    <t>Motor neuron and pancreas homeobox protein 1</t>
  </si>
  <si>
    <t>Sulfotransferase 1A1</t>
  </si>
  <si>
    <t>Cysteine-rich protein 1</t>
  </si>
  <si>
    <t>Rab GDP dissociation inhibitor beta</t>
  </si>
  <si>
    <t>Emerin</t>
  </si>
  <si>
    <t>Serpin B9</t>
  </si>
  <si>
    <t>Serpin H1</t>
  </si>
  <si>
    <t>PDZ and LIM domain protein 4</t>
  </si>
  <si>
    <t>Hsc70-interacting protein</t>
  </si>
  <si>
    <t>Isoform 3 of Peroxisomal targeting signal 1 receptor</t>
  </si>
  <si>
    <t>Vasodilator-stimulated phosphoprotein</t>
  </si>
  <si>
    <t>Isoform 4 of Dynamin-2</t>
  </si>
  <si>
    <t>Methionine aminopeptidase 2</t>
  </si>
  <si>
    <t>Bis(5-nucleosyl)-tetraphosphatase [asymmetrical]</t>
  </si>
  <si>
    <t>Cyclin-dependent kinase 7</t>
  </si>
  <si>
    <t>Biotin--protein ligase</t>
  </si>
  <si>
    <t>Kinetochore-associated protein 1</t>
  </si>
  <si>
    <t>Ras association domain-containing protein 2</t>
  </si>
  <si>
    <t>Cyclin-dependent kinase 9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</si>
  <si>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</si>
  <si>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</si>
  <si>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</si>
  <si>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</si>
  <si>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</si>
  <si>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</si>
  <si>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</si>
  <si>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</si>
  <si>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Rab-28</t>
  </si>
  <si>
    <t>Isoform Short of Ras-related protein Rab-27A</t>
  </si>
  <si>
    <t>Gastrotropin</t>
  </si>
  <si>
    <t>1-phosphatidylinositol 4,5-bisphosphate phosphodiesterase delta-1</t>
  </si>
  <si>
    <t>Isoform 2 of 28S ribosomal protein S29, mitochondrial</t>
  </si>
  <si>
    <t>Dual specificity protein phosphatase 3</t>
  </si>
  <si>
    <t>Matrix metalloproteinase-15</t>
  </si>
  <si>
    <t>Isoform Short of Probable global transcription activator SNF2L2</t>
  </si>
  <si>
    <t>Isoform 5 of Transcription activator BRG1</t>
  </si>
  <si>
    <t>Galactokinase</t>
  </si>
  <si>
    <t>Translocon-associated protein subunit delta</t>
  </si>
  <si>
    <t>B-cell receptor-associated protein 31</t>
  </si>
  <si>
    <t>Thiopurine S-methyltransferase</t>
  </si>
  <si>
    <t>Breast cancer type 2 susceptibility protein</t>
  </si>
  <si>
    <t>N-acylglucosamine 2-epimerase</t>
  </si>
  <si>
    <t>Methyl-CpG-binding protein 2</t>
  </si>
  <si>
    <t>Host cell factor 1</t>
  </si>
  <si>
    <t>Isoform 4 of Host cell factor 1</t>
  </si>
  <si>
    <t>Interleukin-1 receptor-associated kinase 1</t>
  </si>
  <si>
    <t>Succinate-semialdehyde dehydrogenase, mitochondrial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</si>
  <si>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</si>
  <si>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</si>
  <si>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</si>
  <si>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</si>
  <si>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N-sulphoglucosamine sulphohydrolase</t>
  </si>
  <si>
    <t>Signal transducer and activator of transcription 5B</t>
  </si>
  <si>
    <t>Dynein light chain Tctex-type 3</t>
  </si>
  <si>
    <t>Vesicle-associated membrane protein 7</t>
  </si>
  <si>
    <t>Isoform 3 of AF4/FMR2 family member 1</t>
  </si>
  <si>
    <t>Isoform 2 of 3-oxo-5-beta-steroid 4-dehydrogenase</t>
  </si>
  <si>
    <t>Hepatoma-derived growth factor</t>
  </si>
  <si>
    <t>Cyclin-H</t>
  </si>
  <si>
    <t>CDK-activating kinase assembly factor MAT1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</si>
  <si>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</si>
  <si>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</si>
  <si>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</si>
  <si>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</si>
  <si>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</si>
  <si>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</si>
  <si>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Rho GDP-dissociation inhibitor 2</t>
  </si>
  <si>
    <t>Isoform 2 of Arf-GAP domain and FG repeat-containing protein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</si>
  <si>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</si>
  <si>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</si>
  <si>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</si>
  <si>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</si>
  <si>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</si>
  <si>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</si>
  <si>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Isoform 3 of Guanine nucleotide exchange factor VAV2</t>
  </si>
  <si>
    <t>Isoform 2 of Zinc finger protein 131</t>
  </si>
  <si>
    <t>Isoform 2 of Zinc finger protein 143</t>
  </si>
  <si>
    <t>RNA-binding protein 5</t>
  </si>
  <si>
    <t>Ribonuclease UK114</t>
  </si>
  <si>
    <t>Spermine synthase</t>
  </si>
  <si>
    <t>Hexokinase-2</t>
  </si>
  <si>
    <t>39S ribosomal protein L12, mitochondrial</t>
  </si>
  <si>
    <t>Diacylglycerol kinase theta</t>
  </si>
  <si>
    <t>Thimet oligopeptidase</t>
  </si>
  <si>
    <t>F-actin-capping protein subunit alpha-1</t>
  </si>
  <si>
    <t>Isoform 5 of Nuclear pore complex protein Nup98-Nup96</t>
  </si>
  <si>
    <t>Biliverdin reductase A</t>
  </si>
  <si>
    <t>Serine/threonine-protein kinase PLK1</t>
  </si>
  <si>
    <t>Arfaptin-2</t>
  </si>
  <si>
    <t>Isoform A of Arfaptin-1</t>
  </si>
  <si>
    <t>Isoform 2 of Nucleoside diphosphate-linked moiety X motif 6</t>
  </si>
  <si>
    <t>Isoform 2 of Cytosolic Fe-S cluster assembly factor NUBP1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</si>
  <si>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</si>
  <si>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</si>
  <si>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</si>
  <si>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</si>
  <si>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</si>
  <si>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</si>
  <si>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</si>
  <si>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Isoform 4 of LIM domain kinase 1</t>
  </si>
  <si>
    <t>Isoform 2 of Clathrin heavy chain 2</t>
  </si>
  <si>
    <t>AP-3 complex subunit mu-2</t>
  </si>
  <si>
    <t>AP-2 complex subunit sigma</t>
  </si>
  <si>
    <t>Cytochrome c-type heme lyase</t>
  </si>
  <si>
    <t>Mitogen-activated protein kinase 12</t>
  </si>
  <si>
    <t>Sodium/myo-inositol cotransporter</t>
  </si>
  <si>
    <t>DNA-directed RNA polymerases I, II, and III subunit RPABC4</t>
  </si>
  <si>
    <t>Calcipressin-1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</si>
  <si>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</si>
  <si>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</si>
  <si>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</si>
  <si>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</si>
  <si>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</si>
  <si>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</si>
  <si>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Isoform Monomeric of Arginine--tRNA ligase, cytoplasmic</t>
  </si>
  <si>
    <t>Protein HIRA</t>
  </si>
  <si>
    <t>Atrophin-1</t>
  </si>
  <si>
    <t>Isoform 2 of Telomeric repeat-binding factor 1</t>
  </si>
  <si>
    <t>Isoform 3 of PMS1 protein homolog 1</t>
  </si>
  <si>
    <t>Mismatch repair endonuclease PMS2</t>
  </si>
  <si>
    <t>Tyrosine--tRNA ligase, cytoplasmic</t>
  </si>
  <si>
    <t>Ubiquitin carboxyl-terminal hydrolase 14</t>
  </si>
  <si>
    <t>Isoform 2 of 5-AMP-activated protein kinase subunit gamma-1</t>
  </si>
  <si>
    <t>Isoform 4 of Branched-chain-amino-acid aminotransferase, cytosolic</t>
  </si>
  <si>
    <t>Sodium/potassium-transporting ATPase subunit beta-3</t>
  </si>
  <si>
    <t>UV excision repair protein RAD23 homolog B</t>
  </si>
  <si>
    <t>Alpha-N-acetylglucosaminidase</t>
  </si>
  <si>
    <t>Isoform Short of Delta-1-pyrroline-5-carboxylate synthase</t>
  </si>
  <si>
    <t>Alpha-soluble NSF attachment protein</t>
  </si>
  <si>
    <t>[Protein ADP-ribosylarginine] hydrolase</t>
  </si>
  <si>
    <t>Allograft inflammatory factor 1</t>
  </si>
  <si>
    <t>Eukaryotic translation initiation factor 5</t>
  </si>
  <si>
    <t>26S proteasome non-ATPase regulatory subunit 4</t>
  </si>
  <si>
    <t>Developmentally-regulated GTP-binding protein 2</t>
  </si>
  <si>
    <t>Isoform 3 of Phospholipid transfer protein</t>
  </si>
  <si>
    <t>Isoform 3 of Exportin-2</t>
  </si>
  <si>
    <t>Transitional endoplasmic reticulum ATPase</t>
  </si>
  <si>
    <t>Microfibrillar-associated protein 1</t>
  </si>
  <si>
    <t>Mesencephalic astrocyte-derived neurotrophic factor</t>
  </si>
  <si>
    <t>Nck-associated protein 1-like</t>
  </si>
  <si>
    <t>Isoform 3 of Afadin</t>
  </si>
  <si>
    <t>Protein AF-17</t>
  </si>
  <si>
    <t>RNA polymerase II elongation factor ELL</t>
  </si>
  <si>
    <t>Caspase-9</t>
  </si>
  <si>
    <t>Caspase-6</t>
  </si>
  <si>
    <t>Adenosine kinase</t>
  </si>
  <si>
    <t>Isoform 5 of Double-stranded RNA-specific adenosine deaminase</t>
  </si>
  <si>
    <t>Cyclin-dependent kinase 4 inhibitor D</t>
  </si>
  <si>
    <t>Isoform 2 of Tumor protein D52</t>
  </si>
  <si>
    <t>Isoform 2 of Homeobox protein PKNOX1</t>
  </si>
  <si>
    <t>Protein SEC13 homolog</t>
  </si>
  <si>
    <t>NHP2-like protein 1</t>
  </si>
  <si>
    <t>Paired box protein Pax-9</t>
  </si>
  <si>
    <t>FAD-linked sulfhydryl oxidase ALR</t>
  </si>
  <si>
    <t>Heterogeneous nuclear ribonucleoprotein H2</t>
  </si>
  <si>
    <t>Small ubiquitin-related modifier 3</t>
  </si>
  <si>
    <t>Eukaryotic translation initiation factor 3 subunit B</t>
  </si>
  <si>
    <t>BH3-interacting domain death agonist</t>
  </si>
  <si>
    <t>Isoform 2 of NADH dehydrogenase [ubiquinone] flavoprotein 3, mitochondrial</t>
  </si>
  <si>
    <t>Ribosomal RNA processing protein 1 homolog A</t>
  </si>
  <si>
    <t>Methionine--tRNA ligase, cytoplasmic</t>
  </si>
  <si>
    <t>cAMP-regulated phosphoprotein 19</t>
  </si>
  <si>
    <t>Cx9C motif-containing protein 4</t>
  </si>
  <si>
    <t>Isoform 3 of DNA polymerase epsilon subunit 2</t>
  </si>
  <si>
    <t>AP-1 complex subunit sigma-2</t>
  </si>
  <si>
    <t>ATP synthase subunit e, mitochondrial</t>
  </si>
  <si>
    <t>Histone deacetylase 4</t>
  </si>
  <si>
    <t>Eukaryotic translation initiation factor 6</t>
  </si>
  <si>
    <t>Nucleoside diphosphate kinase homolog 5</t>
  </si>
  <si>
    <t>Period circadian protein homolog 3</t>
  </si>
  <si>
    <t>Isoform 5 of Breast cancer anti-estrogen resistance protein 1</t>
  </si>
  <si>
    <t>Syntaxin-17</t>
  </si>
  <si>
    <t>RWD domain-containing protein 2B</t>
  </si>
  <si>
    <t>Uncharacterized protein C21orf59</t>
  </si>
  <si>
    <t>tRNA (guanine-N(7)-)-methyltransferase subunit WDR4</t>
  </si>
  <si>
    <t>Transmembrane protein 33</t>
  </si>
  <si>
    <t>Synaptojanin-2-binding protein</t>
  </si>
  <si>
    <t>Krueppel-like factor 3</t>
  </si>
  <si>
    <t>Isoform 3 of Coronin-7</t>
  </si>
  <si>
    <t>Nuclear pore complex protein Nup107</t>
  </si>
  <si>
    <t>Gasdermin-D</t>
  </si>
  <si>
    <t>Sorting nexin-16</t>
  </si>
  <si>
    <t>Selenocysteine-specific elongation factor</t>
  </si>
  <si>
    <t>Sestrin-2</t>
  </si>
  <si>
    <t>Epiplakin</t>
  </si>
  <si>
    <t>Isoform 2 of Anthrax toxin receptor 2</t>
  </si>
  <si>
    <t>Myotrophin</t>
  </si>
  <si>
    <t>AP-3 complex subunit sigma-2</t>
  </si>
  <si>
    <t>Zinc finger protein 280A</t>
  </si>
  <si>
    <t>Zinc finger protein 445</t>
  </si>
  <si>
    <t>Actin-related protein 2/3 complex subunit 4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</si>
  <si>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</si>
  <si>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</si>
  <si>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</si>
  <si>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</si>
  <si>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</si>
  <si>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Isoform 2 of Ubiquitin-conjugating enzyme E2 G2</t>
  </si>
  <si>
    <t>Isoform Smooth muscle of Myosin light polypeptide 6</t>
  </si>
  <si>
    <t>Ras-related C3 botulinum toxin substrate 3</t>
  </si>
  <si>
    <t>Eukaryotic initiation factor 4A-I</t>
  </si>
  <si>
    <t>40S ribosomal protein S20</t>
  </si>
  <si>
    <t>Ribose-phosphate pyrophosphokinase 1</t>
  </si>
  <si>
    <t>Proteasome subunit alpha type-6</t>
  </si>
  <si>
    <t>Cell division control protein 42 homolog</t>
  </si>
  <si>
    <t>Isoform 1 of Cell division control protein 42 homolog</t>
  </si>
  <si>
    <t>Isoform 2 of 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</si>
  <si>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</si>
  <si>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</si>
  <si>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</si>
  <si>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</si>
  <si>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Rab-4B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</si>
  <si>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</si>
  <si>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</si>
  <si>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</si>
  <si>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</si>
  <si>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</si>
  <si>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</si>
  <si>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</si>
  <si>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</si>
  <si>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</si>
  <si>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Zinc finger CCCH domain-containing protein 6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</si>
  <si>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</si>
  <si>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</si>
  <si>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</si>
  <si>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</si>
  <si>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</si>
  <si>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</si>
  <si>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</si>
  <si>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</si>
  <si>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</si>
  <si>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</si>
  <si>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60S ribosomal protein L26</t>
  </si>
  <si>
    <t>Proteasome activator complex subunit 3</t>
  </si>
  <si>
    <t>Protein mago nashi homolog</t>
  </si>
  <si>
    <t>60S ribosomal protein L27</t>
  </si>
  <si>
    <t>Pterin-4-alpha-carbinolamine dehydratase</t>
  </si>
  <si>
    <t>Transforming protein RhoA</t>
  </si>
  <si>
    <t>N-alpha-acetyltransferase 20</t>
  </si>
  <si>
    <t>Neurocalcin-delta</t>
  </si>
  <si>
    <t>10 kDa heat shock protein, mitochondrial</t>
  </si>
  <si>
    <t>Protein transport protein Sec61 subunit alpha isoform 1</t>
  </si>
  <si>
    <t>Prefoldin subunit 3</t>
  </si>
  <si>
    <t>Syntaxin-binding protein 1</t>
  </si>
  <si>
    <t>Coatomer subunit zeta-1</t>
  </si>
  <si>
    <t>Isoform 2 of Small ubiquitin-related modifier 2</t>
  </si>
  <si>
    <t>Ubiquitin-fold modifier 1</t>
  </si>
  <si>
    <t>DDB1- and CUL4-associated factor 7</t>
  </si>
  <si>
    <t>WD repeat-containing protein 5</t>
  </si>
  <si>
    <t>AP-1 complex subunit sigma-1A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</si>
  <si>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</si>
  <si>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</si>
  <si>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</si>
  <si>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</si>
  <si>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</si>
  <si>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</si>
  <si>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</si>
  <si>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</si>
  <si>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Calmodulin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</si>
  <si>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</si>
  <si>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</si>
  <si>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</si>
  <si>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</si>
  <si>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</si>
  <si>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</si>
  <si>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Ubiquitin-conjugating enzyme E2 H</t>
  </si>
  <si>
    <t>14-3-3 protein epsilon</t>
  </si>
  <si>
    <t>40S ribosomal protein S14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</si>
  <si>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</si>
  <si>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</si>
  <si>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</si>
  <si>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</si>
  <si>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</si>
  <si>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</si>
  <si>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</si>
  <si>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</si>
  <si>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</si>
  <si>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</si>
  <si>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</si>
  <si>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</si>
  <si>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</si>
  <si>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</si>
  <si>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</si>
  <si>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</si>
  <si>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</si>
  <si>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</si>
  <si>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</si>
  <si>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3 of Cellular nucleic acid-binding protein</t>
  </si>
  <si>
    <t>Isoform 4 of Cellular nucleic acid-binding protein</t>
  </si>
  <si>
    <t>Isoform 5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</si>
  <si>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</si>
  <si>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</si>
  <si>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</si>
  <si>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</si>
  <si>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</si>
  <si>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</si>
  <si>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</si>
  <si>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GTP-binding nuclear protein Ran</t>
  </si>
  <si>
    <t>60S ribosomal protein L23</t>
  </si>
  <si>
    <t>Ras-related protein Rap-1A</t>
  </si>
  <si>
    <t>Ubiquitin-conjugating enzyme E2 D2</t>
  </si>
  <si>
    <t>Isoform 2 of 40S ribosomal protein S24</t>
  </si>
  <si>
    <t>40S ribosomal protein S25</t>
  </si>
  <si>
    <t>40S ribosomal protein S26</t>
  </si>
  <si>
    <t>40S ribosomal protein S28</t>
  </si>
  <si>
    <t>40S ribosomal protein S30</t>
  </si>
  <si>
    <t>Guanine nucleotide-binding protein G(I)/G(S)/G(T) subunit beta-1</t>
  </si>
  <si>
    <t>E3 ubiquitin-protein ligase RBX1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</si>
  <si>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</si>
  <si>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</si>
  <si>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</si>
  <si>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</si>
  <si>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</si>
  <si>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</si>
  <si>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</si>
  <si>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</si>
  <si>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</si>
  <si>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Isoform 3 of Guanine nucleotide-binding protein G(s) subunit alpha isoforms short</t>
  </si>
  <si>
    <t>14-3-3 protein zeta/delta</t>
  </si>
  <si>
    <t>Serine/threonine-protein phosphatase 2A 55 kDa regulatory subunit B alpha isoform</t>
  </si>
  <si>
    <t>Small ubiquitin-related modifier 1</t>
  </si>
  <si>
    <t>Dynein light chain 1, cytoplasmic</t>
  </si>
  <si>
    <t>Eukaryotic translation initiation factor 5A-1</t>
  </si>
  <si>
    <t>Guanine nucleotide-binding protein subunit beta-2-like 1</t>
  </si>
  <si>
    <t>Actin, cytoplasmic 2</t>
  </si>
  <si>
    <t>Transcription elongation factor SPT4</t>
  </si>
  <si>
    <t>SUMO-conjugating enzyme UBC9</t>
  </si>
  <si>
    <t>Selenoprotein W</t>
  </si>
  <si>
    <t>Thymosin beta-10</t>
  </si>
  <si>
    <t>Serine/threonine-protein phosphatase 2A catalytic subunit alpha isoform</t>
  </si>
  <si>
    <t>Nuclease-sensitive element-binding protein 1</t>
  </si>
  <si>
    <t>Casein kinase II subunit beta</t>
  </si>
  <si>
    <t>Tropomyosin alpha-4 chain</t>
  </si>
  <si>
    <t>Actin, alpha cardiac muscle 1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</si>
  <si>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</si>
  <si>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</si>
  <si>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</si>
  <si>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</si>
  <si>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</si>
  <si>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</si>
  <si>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gamma-1</t>
  </si>
  <si>
    <t>Hemoglobin subunit gamma-2</t>
  </si>
  <si>
    <t>Hemoglobin subunit alpha</t>
  </si>
  <si>
    <t>Isoform 6 of Protein FAM193A</t>
  </si>
  <si>
    <t>SH3 domain-binding protein 2</t>
  </si>
  <si>
    <t>Immunoglobulin-binding protein 1</t>
  </si>
  <si>
    <t>Phosphoserine phosphatase</t>
  </si>
  <si>
    <t>RNA-binding protein 6</t>
  </si>
  <si>
    <t>Pituitary homeobox 1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</si>
  <si>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</si>
  <si>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</si>
  <si>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</si>
  <si>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</si>
  <si>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Polyhomeotic-like protein 1</t>
  </si>
  <si>
    <t>T-complex protein 1 subunit beta</t>
  </si>
  <si>
    <t>mRNA export factor</t>
  </si>
  <si>
    <t>Glutathione S-transferase omega-1</t>
  </si>
  <si>
    <t>DNA-dependent protein kinase catalytic subunit</t>
  </si>
  <si>
    <t>Biogenesis of lysosome-related organelles complex 1 subunit 1</t>
  </si>
  <si>
    <t>Endonuclease III-like protein 1</t>
  </si>
  <si>
    <t>Microtubule-associated protein 1A</t>
  </si>
  <si>
    <t>Death domain-containing protein CRADD</t>
  </si>
  <si>
    <t>Interferon-induced 35 kDa protein</t>
  </si>
  <si>
    <t>Metallothionein-1X</t>
  </si>
  <si>
    <t>Isoform 2 of Nucleobindin-2</t>
  </si>
  <si>
    <t>Dermcidin</t>
  </si>
  <si>
    <t>Isoform 4 of Single-stranded DNA-binding protein 2</t>
  </si>
  <si>
    <t>TATA element modulatory factor</t>
  </si>
  <si>
    <t>28S ribosomal protein S10, mitochondrial</t>
  </si>
  <si>
    <t>28S ribosomal protein S35, mitochondrial</t>
  </si>
  <si>
    <t>28S ribosomal protein S36, mitochondrial</t>
  </si>
  <si>
    <t>Isoform 3 of 28S ribosomal protein S11, mitochondrial</t>
  </si>
  <si>
    <t>28S ribosomal protein S34, mitochondrial</t>
  </si>
  <si>
    <t>28S ribosomal protein S9, mitochondrial</t>
  </si>
  <si>
    <t>High mobility group nucleosome-binding domain-containing protein 5</t>
  </si>
  <si>
    <t>SAP domain-containing ribonucleoprotein</t>
  </si>
  <si>
    <t>Retinol-binding protein 5</t>
  </si>
  <si>
    <t>U7 snRNA-associated Sm-like protein LSm11</t>
  </si>
  <si>
    <t>Conserved oligomeric Golgi complex subunit 7</t>
  </si>
  <si>
    <t>60S ribosomal protein L36a</t>
  </si>
  <si>
    <t>Chromobox protein homolog 1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</si>
  <si>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</si>
  <si>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</si>
  <si>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</si>
  <si>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</si>
  <si>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</si>
  <si>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Isoform 4 of Small EDRK-rich factor 2</t>
  </si>
  <si>
    <t>Forkhead box protein K1</t>
  </si>
  <si>
    <t>Isoform 2 of Proline-rich protein 5</t>
  </si>
  <si>
    <t>Vacuolar fusion protein CCZ1 homolog</t>
  </si>
  <si>
    <t>Isoform 3 of Disabled homolog 2</t>
  </si>
  <si>
    <t>E3 ubiquitin-protein ligase XIAP</t>
  </si>
  <si>
    <t>Isoform 2 of RNA-binding protein 10</t>
  </si>
  <si>
    <t>Putative RNA-binding protein 3</t>
  </si>
  <si>
    <t>55 kDa erythrocyte membrane protein</t>
  </si>
  <si>
    <t>Transcription factor A, mitochondrial</t>
  </si>
  <si>
    <t>Phosphatidylinositol transfer protein alpha isoform</t>
  </si>
  <si>
    <t>Isoform B of Phosphate carrier protein, mitochondrial</t>
  </si>
  <si>
    <t>Vigilin</t>
  </si>
  <si>
    <t>Transcription initiation factor IIB</t>
  </si>
  <si>
    <t>Cyclin-dependent kinase 3</t>
  </si>
  <si>
    <t>Isoform 2 of Cyclin-dependent kinase-like 1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</si>
  <si>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</si>
  <si>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</si>
  <si>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</si>
  <si>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</si>
  <si>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</si>
  <si>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</si>
  <si>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Short of Heat shock factor protein 1</t>
  </si>
  <si>
    <t>Isoform 4 of Nuclear factor NF-kappa-B p100 subunit</t>
  </si>
  <si>
    <t>Peptidyl-prolyl cis-trans isomerase FKBP3</t>
  </si>
  <si>
    <t>Sorbitol dehydrogenase</t>
  </si>
  <si>
    <t>Heterogeneous nuclear ribonucleoprotein U</t>
  </si>
  <si>
    <t>Isoform Short of Heterogeneous nuclear ribonucleoprotein U</t>
  </si>
  <si>
    <t>Interferon regulatory factor 9</t>
  </si>
  <si>
    <t>Splicing factor U2AF 35 kDa subunit</t>
  </si>
  <si>
    <t>Spectrin beta chain, non-erythrocytic 1</t>
  </si>
  <si>
    <t>Isoform 2 of Spectrin beta chain, non-erythrocytic 1</t>
  </si>
  <si>
    <t>Nucleolysin TIAR</t>
  </si>
  <si>
    <t>Isoform 2 of Protein SET</t>
  </si>
  <si>
    <t>Serine/arginine-rich splicing factor 2</t>
  </si>
  <si>
    <t>Forkhead box protein K2</t>
  </si>
  <si>
    <t>Runt-related transcription factor 1</t>
  </si>
  <si>
    <t>AMP deaminase 3</t>
  </si>
  <si>
    <t>Isoform Ex1A-2-3 of AMP deaminase 2</t>
  </si>
  <si>
    <t>Di-N-acetylchitobiase</t>
  </si>
  <si>
    <t>Fatty acid-binding protein, epidermal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</si>
  <si>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</si>
  <si>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</si>
  <si>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</si>
  <si>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</si>
  <si>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</si>
  <si>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</si>
  <si>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OTU domain-containing protein 4</t>
  </si>
  <si>
    <t>6-phosphofructokinase type C</t>
  </si>
  <si>
    <t>Isoform 2 of DNA repair protein complementing XP-C cells</t>
  </si>
  <si>
    <t>Isoform 6 of RNA-binding protein EWS</t>
  </si>
  <si>
    <t>Cerebellar degeneration-related protein 2</t>
  </si>
  <si>
    <t>Isoform B of Inositol polyphosphate 5-phosphatase OCRL-1</t>
  </si>
  <si>
    <t>1-phosphatidylinositol 4,5-bisphosphate phosphodiesterase beta-3</t>
  </si>
  <si>
    <t>A-kinase anchor protein 17A</t>
  </si>
  <si>
    <t>Isoform RSRFC9 of Myocyte-specific enhancer factor 2A</t>
  </si>
  <si>
    <t>Isoform 2 of N-acylethanolamine-hydrolyzing acid amidase</t>
  </si>
  <si>
    <t>Isoform 2 of Transcription factor Sp2</t>
  </si>
  <si>
    <t>Protein kinase C epsilon type</t>
  </si>
  <si>
    <t>Centromere-associated protein E</t>
  </si>
  <si>
    <t>Isoform 2 of Kinesin-like protein KIF23</t>
  </si>
  <si>
    <t>Transcription factor Sp4</t>
  </si>
  <si>
    <t>Isoform 4 of Transcription factor Sp3</t>
  </si>
  <si>
    <t>Desmocollin-2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</si>
  <si>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</si>
  <si>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</si>
  <si>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</si>
  <si>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</si>
  <si>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</si>
  <si>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</si>
  <si>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60S ribosomal protein L6</t>
  </si>
  <si>
    <t>Isoform Beta-1 of DNA topoisomerase 2-beta</t>
  </si>
  <si>
    <t>Isoform 3 of A-kinase anchor protein 12</t>
  </si>
  <si>
    <t>Hematopoietically-expressed homeobox protein HHEX</t>
  </si>
  <si>
    <t>Isoform 22 of cAMP-responsive element modulator</t>
  </si>
  <si>
    <t>Protein ENL</t>
  </si>
  <si>
    <t>Aminoacylase-1</t>
  </si>
  <si>
    <t>Isoform 2 of Histone-lysine N-methyltransferase MLL</t>
  </si>
  <si>
    <t>Tumor necrosis factor alpha-induced protein 2</t>
  </si>
  <si>
    <t>Centromere protein C 1</t>
  </si>
  <si>
    <t>Lamin-B2</t>
  </si>
  <si>
    <t>DNA excision repair protein ERCC-6</t>
  </si>
  <si>
    <t>CCAAT/enhancer-binding protein zeta</t>
  </si>
  <si>
    <t>1,4-alpha-glucan-branching enzyme</t>
  </si>
  <si>
    <t>Isoform B of Eukaryotic translation initiation factor 4 gamma 1</t>
  </si>
  <si>
    <t>Isoform D of Eukaryotic translation initiation factor 4 gamma 1</t>
  </si>
  <si>
    <t>Isoform 5 of Copper-transporting ATPase 1</t>
  </si>
  <si>
    <t>Transducin-like enhancer protein 2</t>
  </si>
  <si>
    <t>Protein kinase C theta type</t>
  </si>
  <si>
    <t>Lactoylglutathione lyase</t>
  </si>
  <si>
    <t>Aldo-keto reductase family 1 member C1</t>
  </si>
  <si>
    <t>Single-stranded DNA-binding protein, mitochondrial</t>
  </si>
  <si>
    <t>14-3-3 protein eta</t>
  </si>
  <si>
    <t>Cleavage stimulation factor subunit 1</t>
  </si>
  <si>
    <t>Isoform III of Ubiquitin-protein ligase E3A</t>
  </si>
  <si>
    <t>Dynamin-1</t>
  </si>
  <si>
    <t>Tyrosine-protein phosphatase non-receptor type 12</t>
  </si>
  <si>
    <t>Protein kinase C zeta type</t>
  </si>
  <si>
    <t>Isoform 2 of Serine/arginine-rich splicing factor 11</t>
  </si>
  <si>
    <t>Elongation factor 1-alpha 2</t>
  </si>
  <si>
    <t>Protein kinase C delta type</t>
  </si>
  <si>
    <t>Isoform 5 of Caldesmon</t>
  </si>
  <si>
    <t>2-5A-dependent ribonuclease</t>
  </si>
  <si>
    <t>MBT domain-containing protein 1</t>
  </si>
  <si>
    <t>Isoform 2 of CTD small phosphatase-like protein 2</t>
  </si>
  <si>
    <t>ZNF394 protein</t>
  </si>
  <si>
    <t>Isoform 2 of Tyrosine-protein phosphatase non-receptor type 11</t>
  </si>
  <si>
    <t>Tyrosine-protein kinase BTK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</si>
  <si>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</si>
  <si>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</si>
  <si>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</si>
  <si>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</si>
  <si>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5 of Recombining binding protein suppressor of hairless</t>
  </si>
  <si>
    <t>Isoform 5 of Amyloid-like protein 2</t>
  </si>
  <si>
    <t>GA-binding protein alpha chain</t>
  </si>
  <si>
    <t>E3 ubiquitin-protein ligase RING1</t>
  </si>
  <si>
    <t>Isoform 3 of DNA repair protein RAD51 homolog 1</t>
  </si>
  <si>
    <t>Peroxiredoxin-1</t>
  </si>
  <si>
    <t>Complement component 1 Q subcomponent-binding protein, mitochondrial</t>
  </si>
  <si>
    <t>Tight junction protein ZO-1</t>
  </si>
  <si>
    <t>Trichohyalin</t>
  </si>
  <si>
    <t>KH domain-containing, RNA-binding, signal transduction-associated protein 1</t>
  </si>
  <si>
    <t>Isoform Epsilon of Apoptosis regulator BAX</t>
  </si>
  <si>
    <t>DNA polymerase epsilon catalytic subunit A</t>
  </si>
  <si>
    <t>Isoform G of Kinesin light chain 1</t>
  </si>
  <si>
    <t>Isoform N of Kinesin light chain 1</t>
  </si>
  <si>
    <t>Activated CDC42 kinase 1</t>
  </si>
  <si>
    <t>Serine/arginine-rich splicing factor 1</t>
  </si>
  <si>
    <t>Rho GTPase-activating protein 1</t>
  </si>
  <si>
    <t>Amino-terminal enhancer of split</t>
  </si>
  <si>
    <t>Serine/arginine-rich splicing factor 4</t>
  </si>
  <si>
    <t>Serine/threonine-protein phosphatase 2B catalytic subunit alpha isoform</t>
  </si>
  <si>
    <t>Isoform 2 of Serine/threonine-protein phosphatase 2B catalytic subunit alpha isoform</t>
  </si>
  <si>
    <t>ATP-dependent RNA helicase A</t>
  </si>
  <si>
    <t>Quinone oxidoreductase</t>
  </si>
  <si>
    <t>Isoform 2 of Epithelial discoidin domain-containing receptor 1</t>
  </si>
  <si>
    <t>Golgin subfamily A member 3</t>
  </si>
  <si>
    <t>Golgin subfamily A member 2</t>
  </si>
  <si>
    <t>Galectin-3-binding protein</t>
  </si>
  <si>
    <t>Dematin</t>
  </si>
  <si>
    <t>Isoform Short of Dematin</t>
  </si>
  <si>
    <t>Pseudouridine-5-monophosphatase</t>
  </si>
  <si>
    <t>Peptidyl-prolyl cis-trans isomerase D</t>
  </si>
  <si>
    <t>FACT complex subunit SSRP1</t>
  </si>
  <si>
    <t>Isoform 2 of Calmodulin-regulated spectrin-associated protein 2</t>
  </si>
  <si>
    <t>Isoform 2 of Protein spire homolog 1</t>
  </si>
  <si>
    <t>Isoform 2 of Putative golgin subfamily A member 8F/8G</t>
  </si>
  <si>
    <t>Mitotic-spindle organizing protein 1</t>
  </si>
  <si>
    <t>Protein VAC14 homolog</t>
  </si>
  <si>
    <t>tRNA (cytosine(34)-C(5))-methyltransferase</t>
  </si>
  <si>
    <t>Isoform 3 of Histone-binding protein RBBP4</t>
  </si>
  <si>
    <t>Nuclear cap-binding protein subunit 1</t>
  </si>
  <si>
    <t>Histone acetyltransferase p300</t>
  </si>
  <si>
    <t>Neuroblast differentiation-associated protein AHNAK</t>
  </si>
  <si>
    <t>FCH domain only protein 2</t>
  </si>
  <si>
    <t>Elongator complex protein 6</t>
  </si>
  <si>
    <t>Apolipoprotein B receptor</t>
  </si>
  <si>
    <t>Heat shock 70 kDa protein 14</t>
  </si>
  <si>
    <t>Secernin-3</t>
  </si>
  <si>
    <t>Fanconi anemia-associated protein of 100 kDa</t>
  </si>
  <si>
    <t>Ragulator complex protein LAMTOR4</t>
  </si>
  <si>
    <t>Isoform B of AP-1 complex subunit beta-1</t>
  </si>
  <si>
    <t>Isoform C of AP-1 complex subunit beta-1</t>
  </si>
  <si>
    <t>Cleavage and polyadenylation specificity factor subunit 1</t>
  </si>
  <si>
    <t>Mitochondrial-processing peptidase subunit alpha</t>
  </si>
  <si>
    <t>Kinesin-like protein KIF1A</t>
  </si>
  <si>
    <t>Isoform 2 of HMG domain-containing protein 3</t>
  </si>
  <si>
    <t>WASH complex subunit strumpellin</t>
  </si>
  <si>
    <t>Nuclear pore complex protein Nup160</t>
  </si>
  <si>
    <t>Transducin beta-like protein 3</t>
  </si>
  <si>
    <t>General transcription factor 3C polypeptide 1</t>
  </si>
  <si>
    <t>Twinfilin-1</t>
  </si>
  <si>
    <t>Isoform 10 of Aspartyl/asparaginyl beta-hydroxylase</t>
  </si>
  <si>
    <t>Isoform 2 of Alpha-globin transcription factor CP2</t>
  </si>
  <si>
    <t>A-kinase anchor protein 13</t>
  </si>
  <si>
    <t>Isoform B of SWI/SNF-related matrix-associated actin-dependent regulator of chromatin subfamily B member 1</t>
  </si>
  <si>
    <t>Isoform 2 of Nucleosome-remodeling factor subunit BPTF</t>
  </si>
  <si>
    <t>Cell division cycle protein 20 homolog</t>
  </si>
  <si>
    <t>Kinesin heavy chain isoform 5A</t>
  </si>
  <si>
    <t>G-rich sequence factor 1</t>
  </si>
  <si>
    <t>Splicing factor, suppressor of white-apricot homolog</t>
  </si>
  <si>
    <t>Chromodomain-helicase-DNA-binding protein 3</t>
  </si>
  <si>
    <t>Splicing factor 3A subunit 3</t>
  </si>
  <si>
    <t>Tumor suppressor p53-binding protein 1</t>
  </si>
  <si>
    <t>Aminoacyl tRNA synthase complex-interacting multifunctional protein 1</t>
  </si>
  <si>
    <t>Interleukin enhancer-binding factor 2</t>
  </si>
  <si>
    <t>Isoform 7 of Interleukin enhancer-binding factor 3</t>
  </si>
  <si>
    <t>Vesicular integral-membrane protein VIP36</t>
  </si>
  <si>
    <t>Isoform 2 of Lymphoid-restricted membrane protein</t>
  </si>
  <si>
    <t>Isoform 3 of TNF receptor-associated factor 2</t>
  </si>
  <si>
    <t>Forkhead box protein C1</t>
  </si>
  <si>
    <t>Ankyrin-3</t>
  </si>
  <si>
    <t>Isoform 4 of Disks large homolog 1</t>
  </si>
  <si>
    <t>Isoform 5 of Disks large homolog 1</t>
  </si>
  <si>
    <t>Transcription initiation factor TFIID subunit 10</t>
  </si>
  <si>
    <t>Nuclear factor of activated T-cells, cytoplasmic 3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</si>
  <si>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</si>
  <si>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</si>
  <si>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</si>
  <si>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</si>
  <si>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BCL2/adenovirus E1B 19 kDa protein-interacting protein 2</t>
  </si>
  <si>
    <t>Isoform 2 of Transcriptional repressor NF-X1</t>
  </si>
  <si>
    <t>Cleavage stimulation factor subunit 3</t>
  </si>
  <si>
    <t>Delta(3,5)-Delta(2,4)-dienoyl-CoA isomerase, mitochondrial</t>
  </si>
  <si>
    <t>Isoform 2 of Rho GTPase-activating protein 5</t>
  </si>
  <si>
    <t>Isoform Alpha of Striatin-3</t>
  </si>
  <si>
    <t>Isoform 3 of Cell division cycle protein 16 homolog</t>
  </si>
  <si>
    <t>Serine/threonine-protein kinase 4</t>
  </si>
  <si>
    <t>Protein flightless-1 homolog</t>
  </si>
  <si>
    <t>E3 ubiquitin-protein ligase TRIM32</t>
  </si>
  <si>
    <t>Bifunctional coenzyme A synthase</t>
  </si>
  <si>
    <t>Acetyl-CoA carboxylase 1</t>
  </si>
  <si>
    <t>Lymphocyte cytosolic protein 2</t>
  </si>
  <si>
    <t>Zinc finger and BTB domain-containing protein 17</t>
  </si>
  <si>
    <t>Isoform 2 of Ubiquitin carboxyl-terminal hydrolase 4</t>
  </si>
  <si>
    <t>Chromatin assembly factor 1 subunit A</t>
  </si>
  <si>
    <t>Chromatin assembly factor 1 subunit B</t>
  </si>
  <si>
    <t>Protein Red</t>
  </si>
  <si>
    <t>Isoform 4 of RE1-silencing transcription factor</t>
  </si>
  <si>
    <t>Zinc finger protein Rlf</t>
  </si>
  <si>
    <t>5-AMP-activated protein kinase catalytic subunit alpha-1</t>
  </si>
  <si>
    <t>Liprin-alpha-1</t>
  </si>
  <si>
    <t>TAR DNA-binding protein 43</t>
  </si>
  <si>
    <t>Heterogeneous nuclear ribonucleoprotein A0</t>
  </si>
  <si>
    <t>Serine/threonine-protein kinase PAK 1</t>
  </si>
  <si>
    <t>Aminoacyl tRNA synthase complex-interacting multifunctional protein 2</t>
  </si>
  <si>
    <t>Protein FADD</t>
  </si>
  <si>
    <t>Peroxiredoxin-4</t>
  </si>
  <si>
    <t>Isoform 4 of Dual specificity mitogen-activated protein kinase kinase 5</t>
  </si>
  <si>
    <t>Isoform 2 of Mitogen-activated protein kinase 7</t>
  </si>
  <si>
    <t>Serine/threonine-protein kinase PAK 2</t>
  </si>
  <si>
    <t>Chromobox protein homolog 3</t>
  </si>
  <si>
    <t>Serine/threonine-protein kinase 3</t>
  </si>
  <si>
    <t>Isoform 3 of Syntaxin-5</t>
  </si>
  <si>
    <t>26S proteasome non-ATPase regulatory subunit 2</t>
  </si>
  <si>
    <t>Probable ATP-dependent RNA helicase DDX10</t>
  </si>
  <si>
    <t>DNA excision repair protein ERCC-8</t>
  </si>
  <si>
    <t>DnaJ homolog subfamily C member 3</t>
  </si>
  <si>
    <t>Selenium-binding protein 1</t>
  </si>
  <si>
    <t>Nucleoside diphosphate kinase 3</t>
  </si>
  <si>
    <t>Mitogen-activated protein kinase kinase kinase 1</t>
  </si>
  <si>
    <t>Serine/arginine-rich splicing factor 9</t>
  </si>
  <si>
    <t>Isoform SRP40-4 of 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</si>
  <si>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</si>
  <si>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</si>
  <si>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</si>
  <si>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</si>
  <si>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</si>
  <si>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</si>
  <si>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Isoform 2 of Voltage-gated potassium channel subunit beta-2</t>
  </si>
  <si>
    <t>Isoform 3 of Inactive tyrosine-protein kinase 7</t>
  </si>
  <si>
    <t>Isoform 2 of S-phase kinase-associated protein 2</t>
  </si>
  <si>
    <t>Isoform 3 of Polyadenylate-binding protein 4</t>
  </si>
  <si>
    <t>Serine-protein kinase ATM</t>
  </si>
  <si>
    <t>Isoform 1 of Growth factor receptor-bound protein 10</t>
  </si>
  <si>
    <t>Isoform 3 of Metastasis-associated protein MTA1</t>
  </si>
  <si>
    <t>Isoform 2 of Receptor-type tyrosine-protein phosphatase S</t>
  </si>
  <si>
    <t>Eukaryotic translation initiation factor 3 subunit I</t>
  </si>
  <si>
    <t>Krueppel-like factor 1</t>
  </si>
  <si>
    <t>Peptidyl-prolyl cis-trans isomerase-like 2</t>
  </si>
  <si>
    <t>Isoform Gamma-2 of Serine/threonine-protein phosphatase 2A 56 kDa regulatory subunit gamma isoform</t>
  </si>
  <si>
    <t>Isoform 4 of Serine/threonine-protein phosphatase 2A 56 kDa regulatory subunit gamma isoform</t>
  </si>
  <si>
    <t>Isoform 2 of C-terminal-binding protein 1</t>
  </si>
  <si>
    <t>Phosducin-like protein</t>
  </si>
  <si>
    <t>Probable methyltransferase TARBP1</t>
  </si>
  <si>
    <t>Ubiquitin-conjugating enzyme E2 variant 1</t>
  </si>
  <si>
    <t>Isoform 2F of Cytoplasmic dynein 1 intermediate chain 2</t>
  </si>
  <si>
    <t>Origin recognition complex subunit 1</t>
  </si>
  <si>
    <t>Origin recognition complex subunit 2</t>
  </si>
  <si>
    <t>Integrin-linked protein kinase</t>
  </si>
  <si>
    <t>Isoform Ik2 of DNA-binding protein Ikaros</t>
  </si>
  <si>
    <t>Isoform Ik7 of DNA-binding protein Ikaros</t>
  </si>
  <si>
    <t>NAD(P) transhydrogenase, mitochondrial</t>
  </si>
  <si>
    <t>Alpha-1-syntrophin</t>
  </si>
  <si>
    <t>Beta-2-syntrophin</t>
  </si>
  <si>
    <t>DNA repair protein XRCC4</t>
  </si>
  <si>
    <t>Peptidyl-prolyl cis-trans isomerase G</t>
  </si>
  <si>
    <t>Isoform 3 of Treacle protein</t>
  </si>
  <si>
    <t>Isoform 4 of Treacle protein</t>
  </si>
  <si>
    <t>Isoform B of Protein unc-119 homolog A</t>
  </si>
  <si>
    <t>Splicing factor 3B subunit 2</t>
  </si>
  <si>
    <t>Isoform 3 of Golgin subfamily A member 4</t>
  </si>
  <si>
    <t>28 kDa heat- and acid-stable phosphoprotein</t>
  </si>
  <si>
    <t>Peptidyl-prolyl cis-trans isomerase FKBP5</t>
  </si>
  <si>
    <t>Rho-associated protein kinase 1</t>
  </si>
  <si>
    <t>Nuclear factor of activated T-cells, cytoplasmic 2</t>
  </si>
  <si>
    <t>Isoform 3 of Phosphatidylinositol-binding clathrin assembly protein</t>
  </si>
  <si>
    <t>Myotubularin</t>
  </si>
  <si>
    <t>Sequestosome-1</t>
  </si>
  <si>
    <t>Mediator of RNA polymerase II transcription subunit 21</t>
  </si>
  <si>
    <t>Isoform 3 of Metaxin-1</t>
  </si>
  <si>
    <t>NGFI-A-binding protein 1</t>
  </si>
  <si>
    <t>Serine/threonine-protein kinase PRP4 homolog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</si>
  <si>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</si>
  <si>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</si>
  <si>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</si>
  <si>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</si>
  <si>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Histone deacetylase 1</t>
  </si>
  <si>
    <t>Isoform 10 of Calcium/calmodulin-dependent protein kinase type II subunit gamma</t>
  </si>
  <si>
    <t>Isoform Delta 6 of Calcium/calmodulin-dependent protein kinase type II subunit delta</t>
  </si>
  <si>
    <t>Dynactin subunit 2</t>
  </si>
  <si>
    <t>Isoform 2 of NEDD8-activating enzyme E1 regulatory subunit</t>
  </si>
  <si>
    <t>Inositol-tetrakisphosphate 1-kinase</t>
  </si>
  <si>
    <t>SNW domain-containing protein 1</t>
  </si>
  <si>
    <t>Ras GTPase-activating-like protein IQGAP2</t>
  </si>
  <si>
    <t>Stromal interaction molecule 1</t>
  </si>
  <si>
    <t>Sorting nexin-1</t>
  </si>
  <si>
    <t>Isoform 2 of KRR1 small subunit processome component homolog</t>
  </si>
  <si>
    <t>Periodic tryptophan protein 1 homolog</t>
  </si>
  <si>
    <t>Myotubularin-related protein 1</t>
  </si>
  <si>
    <t>Myotubularin-related protein 2</t>
  </si>
  <si>
    <t>Cullin-1</t>
  </si>
  <si>
    <t>Cullin-2</t>
  </si>
  <si>
    <t>Cullin-3</t>
  </si>
  <si>
    <t>Cullin-4A</t>
  </si>
  <si>
    <t>Isoform 2 of Cullin-4B</t>
  </si>
  <si>
    <t>Apoptosis-stimulating of p53 protein 2</t>
  </si>
  <si>
    <t>Isoform 2 of Dual specificity tyrosine-phosphorylation-regulated kinase 1A</t>
  </si>
  <si>
    <t>GDP-L-fucose synthase</t>
  </si>
  <si>
    <t>Ras-related protein Rab-31</t>
  </si>
  <si>
    <t>Ras-related protein Rab-32</t>
  </si>
  <si>
    <t>Four and a half LIM domains protein 3</t>
  </si>
  <si>
    <t>Putative postmeiotic segregation increased 2-like protein 11</t>
  </si>
  <si>
    <t>Mannosyl-oligosaccharide glucosidase</t>
  </si>
  <si>
    <t>Tubulin alpha-3C/D chain</t>
  </si>
  <si>
    <t>THO complex subunit 5 homolog</t>
  </si>
  <si>
    <t>Spectrin alpha chain, non-erythrocytic 1</t>
  </si>
  <si>
    <t>Isoform 2 of Spectrin alpha chain, non-erythrocytic 1</t>
  </si>
  <si>
    <t>Nucleolar GTP-binding protein 2</t>
  </si>
  <si>
    <t>Methylglutaconyl-CoA hydratase, mitochondrial</t>
  </si>
  <si>
    <t>Spliceosome RNA helicase DDX39B</t>
  </si>
  <si>
    <t>Bleomycin hydrolase</t>
  </si>
  <si>
    <t>Exosome complex component RRP4</t>
  </si>
  <si>
    <t>Bone morphogenetic protein receptor type-2</t>
  </si>
  <si>
    <t>Tubulin beta-2A chain</t>
  </si>
  <si>
    <t>Krueppel-like factor 9</t>
  </si>
  <si>
    <t>Bystin</t>
  </si>
  <si>
    <t>Nuclear nucleic acid-binding protein C1D</t>
  </si>
  <si>
    <t>Rap guanine nucleotide exchange factor 1</t>
  </si>
  <si>
    <t>Isopentenyl-diphosphate Delta-isomerase 1</t>
  </si>
  <si>
    <t>Isoform 2 of Core-binding factor subunit beta</t>
  </si>
  <si>
    <t>Isoform 2 of Nuclear transcription factor Y subunit gamma</t>
  </si>
  <si>
    <t>Cyclin-dependent kinase 13</t>
  </si>
  <si>
    <t>Cytoskeleton-associated protein 5</t>
  </si>
  <si>
    <t>Cold-inducible RNA-binding protein</t>
  </si>
  <si>
    <t>Calcium/calmodulin-dependent protein kinase type 1</t>
  </si>
  <si>
    <t>Coactosin-like protein</t>
  </si>
  <si>
    <t>Cytochrome c oxidase copper chaperone</t>
  </si>
  <si>
    <t>Isoform 3 of Heterogeneous nuclear ribonucleoprotein D0</t>
  </si>
  <si>
    <t>Isoform 4 of Heterogeneous nuclear ribonucleoprotein D0</t>
  </si>
  <si>
    <t>Dystroglycan</t>
  </si>
  <si>
    <t>Desmoglein-2</t>
  </si>
  <si>
    <t>Ribosome biogenesis protein BOP1</t>
  </si>
  <si>
    <t>Ubiquitin conjugation factor E4 A</t>
  </si>
  <si>
    <t>Isoform I of Septin-6</t>
  </si>
  <si>
    <t>Kelch-like ECH-associated protein 1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</si>
  <si>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</si>
  <si>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</si>
  <si>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</si>
  <si>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</si>
  <si>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Protein FAM53B</t>
  </si>
  <si>
    <t>Isoform 1 of Rho guanine nucleotide exchange factor 7</t>
  </si>
  <si>
    <t>Ubiquitin-associated protein 2-like</t>
  </si>
  <si>
    <t>Protein scribble homolog</t>
  </si>
  <si>
    <t>Isoform 4 of ARF GTPase-activating protein GIT2</t>
  </si>
  <si>
    <t>Tubulin--tyrosine ligase-like protein 12</t>
  </si>
  <si>
    <t>DNA polymerase alpha subunit B</t>
  </si>
  <si>
    <t>Werner syndrome ATP-dependent helicase</t>
  </si>
  <si>
    <t>Four and a half LIM domains protein 2</t>
  </si>
  <si>
    <t>Isoform 2 of Zinc finger MYM-type protein 3</t>
  </si>
  <si>
    <t>Isoform 6 of Dynactin subunit 1</t>
  </si>
  <si>
    <t>Cytoplasmic dynein 1 heavy chain 1</t>
  </si>
  <si>
    <t>Protein NPAT</t>
  </si>
  <si>
    <t>Transcription elongation factor B polypeptide 3</t>
  </si>
  <si>
    <t>Isoform 2 of Ensconsin</t>
  </si>
  <si>
    <t>Src substrate cortactin</t>
  </si>
  <si>
    <t>Isoform 3 of Src substrate cortactin</t>
  </si>
  <si>
    <t>Endonuclease G, mitochondrial</t>
  </si>
  <si>
    <t>E3 ubiquitin/ISG15 ligase TRIM25</t>
  </si>
  <si>
    <t>Isoform 2 of Protein-tyrosine kinase 2-beta</t>
  </si>
  <si>
    <t>Filamin-C</t>
  </si>
  <si>
    <t>Isoform 2 of Peptidyl-prolyl cis-trans isomerase FKBP8</t>
  </si>
  <si>
    <t>Protein FAM50A</t>
  </si>
  <si>
    <t>Protein FRG1</t>
  </si>
  <si>
    <t>Guanidinoacetate N-methyltransferase</t>
  </si>
  <si>
    <t>UDP-glucose 4-epimerase</t>
  </si>
  <si>
    <t>Isoform 2 of Caprin-1</t>
  </si>
  <si>
    <t>Beclin-1</t>
  </si>
  <si>
    <t>Histone RNA hairpin-binding protein</t>
  </si>
  <si>
    <t>Isoform 2 of RNA-binding protein 39</t>
  </si>
  <si>
    <t>Isoform 2 of Hyaluronan-binding protein 2</t>
  </si>
  <si>
    <t>Helicase-like transcription factor</t>
  </si>
  <si>
    <t>Protein disulfide-isomerase A5</t>
  </si>
  <si>
    <t>Phosphoribosyl pyrophosphate synthase-associated protein 1</t>
  </si>
  <si>
    <t>ATP-dependent RNA helicase DHX8</t>
  </si>
  <si>
    <t>DNA replication licensing factor MCM6</t>
  </si>
  <si>
    <t>Isoform 2 of Next to BRCA1 gene 1 protein</t>
  </si>
  <si>
    <t>Plastin-1</t>
  </si>
  <si>
    <t>Interferon regulatory factor 3</t>
  </si>
  <si>
    <t>L antigen family member 3</t>
  </si>
  <si>
    <t>Isoform 2 of E3 ubiquitin-protein ligase TRIP12</t>
  </si>
  <si>
    <t>Pumilio homolog 1</t>
  </si>
  <si>
    <t>Isoform 2 of Pumilio homolog 1</t>
  </si>
  <si>
    <t>Separin</t>
  </si>
  <si>
    <t>Mediator of DNA damage checkpoint protein 1</t>
  </si>
  <si>
    <t>Clathrin interactor 1</t>
  </si>
  <si>
    <t>BTB/POZ domain-containing protein KCTD2</t>
  </si>
  <si>
    <t>Structural maintenance of chromosomes protein 1A</t>
  </si>
  <si>
    <t>Ribosomal RNA processing protein 1 homolog B</t>
  </si>
  <si>
    <t>Nuclear receptor coactivator 6</t>
  </si>
  <si>
    <t>Genetic suppressor element 1</t>
  </si>
  <si>
    <t>Isoform 6 of Disco-interacting protein 2 homolog A</t>
  </si>
  <si>
    <t>Protein RRP5 homolog</t>
  </si>
  <si>
    <t>DNA replication complex GINS protein PSF1</t>
  </si>
  <si>
    <t>Ribosome biogenesis protein BMS1 homolog</t>
  </si>
  <si>
    <t>Phosphatidate phosphatase LPIN1</t>
  </si>
  <si>
    <t>Ubiquitin carboxyl-terminal hydrolase 10</t>
  </si>
  <si>
    <t>LDLR chaperone MESD</t>
  </si>
  <si>
    <t>Neutral alpha-glucosidase AB</t>
  </si>
  <si>
    <t>Isoform 2 of Neutral alpha-glucosidase AB</t>
  </si>
  <si>
    <t>Lamin-B receptor</t>
  </si>
  <si>
    <t>Isoform 2 of Conserved oligomeric Golgi complex subunit 2</t>
  </si>
  <si>
    <t>Chromobox protein homolog 2</t>
  </si>
  <si>
    <t>Golgin subfamily B member 1</t>
  </si>
  <si>
    <t>Isoform 9 of Caspase-8</t>
  </si>
  <si>
    <t>N-alpha-acetyltransferase 30</t>
  </si>
  <si>
    <t>Kinesin-like protein KIF22</t>
  </si>
  <si>
    <t>Isoform MEF2DA0 of Myocyte-specific enhancer factor 2D</t>
  </si>
  <si>
    <t>Isoform 2 of Chromodomain-helicase-DNA-binding protein 4</t>
  </si>
  <si>
    <t>LIM and SH3 domain protein 1</t>
  </si>
  <si>
    <t>Isoform 2 of Prostaglandin reductase 1</t>
  </si>
  <si>
    <t>Dr1-associated corepressor</t>
  </si>
  <si>
    <t>Isoform 8 of Nuclear factor of activated T-cells, cytoplasmic 4</t>
  </si>
  <si>
    <t>Ras-related protein Rab-39A</t>
  </si>
  <si>
    <t>Zinc finger protein 638</t>
  </si>
  <si>
    <t>Importin subunit beta-1</t>
  </si>
  <si>
    <t>Isoform 3 of Nucleolar and coiled-body phosphoprotein 1</t>
  </si>
  <si>
    <t>Nuclear mitotic apparatus protein 1</t>
  </si>
  <si>
    <t>Isoform 2 of Nuclear mitotic apparatus protein 1</t>
  </si>
  <si>
    <t>Isoform Numa-s of Nuclear mitotic apparatus protein 1</t>
  </si>
  <si>
    <t>Proteasome activator complex subunit 4</t>
  </si>
  <si>
    <t>Isoform 2 of Sarcolemmal membrane-associated protein</t>
  </si>
  <si>
    <t>Isoform 6 of GTPase-activating protein and VPS9 domain-containing protein 1</t>
  </si>
  <si>
    <t>FERM and PDZ domain-containing protein 4</t>
  </si>
  <si>
    <t>UBX domain-containing protein 2B</t>
  </si>
  <si>
    <t>N-alpha-acetyltransferase 25, NatB auxiliary subunit</t>
  </si>
  <si>
    <t>Condensin complex subunit 2</t>
  </si>
  <si>
    <t>Pre-mRNA-splicing regulator WTAP</t>
  </si>
  <si>
    <t>MAD2L1-binding protein</t>
  </si>
  <si>
    <t>Mortality factor 4-like protein 2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</si>
  <si>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</si>
  <si>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</si>
  <si>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</si>
  <si>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</si>
  <si>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</si>
  <si>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</si>
  <si>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</si>
  <si>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</si>
  <si>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Rab3 GTPase-activating protein catalytic subunit</t>
  </si>
  <si>
    <t>Lysine--tRNA ligase</t>
  </si>
  <si>
    <t>Isoform 3 of Histone-lysine N-methyltransferase SETDB1</t>
  </si>
  <si>
    <t>Leucine-rich repeat-containing protein 14</t>
  </si>
  <si>
    <t>Ribosome biogenesis regulatory protein homolog</t>
  </si>
  <si>
    <t>IQ calmodulin-binding motif-containing protein 1</t>
  </si>
  <si>
    <t>Rho guanine nucleotide exchange factor 6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</si>
  <si>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</si>
  <si>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</si>
  <si>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</si>
  <si>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</si>
  <si>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</si>
  <si>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</si>
  <si>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</si>
  <si>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Zinc finger protein OZF</t>
  </si>
  <si>
    <t>Early endosome antigen 1</t>
  </si>
  <si>
    <t>Platelet-activating factor acetylhydrolase IB subunit gamma</t>
  </si>
  <si>
    <t>Inactive phospholipase C-like protein 1</t>
  </si>
  <si>
    <t>Astrocytic phosphoprotein PEA-15</t>
  </si>
  <si>
    <t>Phosphomevalonate kinase</t>
  </si>
  <si>
    <t>Isoform 1 of 1-phosphatidylinositol 4,5-bisphosphate phosphodiesterase beta-4</t>
  </si>
  <si>
    <t>Isoform 3 of Plectin</t>
  </si>
  <si>
    <t>Isoform 4 of Plectin</t>
  </si>
  <si>
    <t>Pericentriolar material 1 protein</t>
  </si>
  <si>
    <t>Isoform 2 of Pericentriolar material 1 protein</t>
  </si>
  <si>
    <t>Isoform 2 of Transcription elongation factor A protein-like 1</t>
  </si>
  <si>
    <t>Serine/threonine-protein phosphatase 2A 56 kDa regulatory subunit alpha isoform</t>
  </si>
  <si>
    <t>Serine/threonine-protein phosphatase 2A 56 kDa regulatory subunit beta isoform</t>
  </si>
  <si>
    <t>Inorganic pyrophosphatase</t>
  </si>
  <si>
    <t>Serine/threonine-protein kinase 38</t>
  </si>
  <si>
    <t>Non-POU domain-containing octamer-binding protein</t>
  </si>
  <si>
    <t>Serine/threonine-protein phosphatase 2A activator</t>
  </si>
  <si>
    <t>Receptor-type tyrosine-protein phosphatase kappa</t>
  </si>
  <si>
    <t>Periodic tryptophan protein 2 homolog</t>
  </si>
  <si>
    <t>Nicotinate-nucleotide pyrophosphorylase [carboxylating]</t>
  </si>
  <si>
    <t>Rab GTPase-binding effector protein 1</t>
  </si>
  <si>
    <t>Isoform 2 of Ras GTPase-activating protein 2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</si>
  <si>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</si>
  <si>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</si>
  <si>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</si>
  <si>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</si>
  <si>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</si>
  <si>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</si>
  <si>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Transcription termination factor 1</t>
  </si>
  <si>
    <t>Transmembrane emp24 domain-containing protein 2</t>
  </si>
  <si>
    <t>Poly(rC)-binding protein 1</t>
  </si>
  <si>
    <t>Isoform 2 of Poly(rC)-binding protein 2</t>
  </si>
  <si>
    <t>Isoform 3 of Poly(rC)-binding protein 2</t>
  </si>
  <si>
    <t>GTP-binding protein Rheb</t>
  </si>
  <si>
    <t>Ubiquitin-protein ligase E3C</t>
  </si>
  <si>
    <t>Splicing factor 3B subunit 3</t>
  </si>
  <si>
    <t>Disks large-associated protein 5</t>
  </si>
  <si>
    <t>Ras suppressor protein 1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</si>
  <si>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</si>
  <si>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</si>
  <si>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</si>
  <si>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</si>
  <si>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</si>
  <si>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Isoform 2 of Cytohesin-1</t>
  </si>
  <si>
    <t>Sperm surface protein Sp17</t>
  </si>
  <si>
    <t>Isoform 2 of Surfeit locus protein 1</t>
  </si>
  <si>
    <t>Surfeit locus protein 2</t>
  </si>
  <si>
    <t>Isoform Short of Transcription initiation factor TFIID subunit 5</t>
  </si>
  <si>
    <t>Transcription initiation factor TFIID subunit 13</t>
  </si>
  <si>
    <t>Isoform 2 of Transcription initiation factor TFIID subunit 11</t>
  </si>
  <si>
    <t>Transcription initiation factor TFIID subunit 7</t>
  </si>
  <si>
    <t>Isoform 3 of Telomeric repeat-binding factor 2</t>
  </si>
  <si>
    <t>Microtubule-associated protein RP/EB family member 2</t>
  </si>
  <si>
    <t>Isoform 2 of Transcription elongation factor A protein 2</t>
  </si>
  <si>
    <t>Isoform 2 of Transcriptional enhancer factor TEF-3</t>
  </si>
  <si>
    <t>Nuclear receptor coactivator 2</t>
  </si>
  <si>
    <t>Na(+)/H(+) exchange regulatory cofactor NHE-RF2</t>
  </si>
  <si>
    <t>Tumor necrosis factor receptor type 1-associated DEATH domain protein</t>
  </si>
  <si>
    <t>Isoform 2 of RISC-loading complex subunit TARBP2</t>
  </si>
  <si>
    <t>Isoform 5 of Splicing factor 1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</si>
  <si>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</si>
  <si>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</si>
  <si>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</si>
  <si>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</si>
  <si>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</si>
  <si>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</si>
  <si>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High mobility group nucleosome-binding domain-containing protein 3</t>
  </si>
  <si>
    <t>Probable JmjC domain-containing histone demethylation protein 2C</t>
  </si>
  <si>
    <t>Thyroid receptor-interacting protein 6</t>
  </si>
  <si>
    <t>Microtubule-associated protein RP/EB family member 1</t>
  </si>
  <si>
    <t>Isoform 2 of Zinc finger protein 174</t>
  </si>
  <si>
    <t>Isoform 2 of TSC22 domain family protein 1</t>
  </si>
  <si>
    <t>ELAV-like protein 1</t>
  </si>
  <si>
    <t>Isoform 1 of ETS-related transcription factor Elf-2</t>
  </si>
  <si>
    <t>Sterol-4-alpha-carboxylate 3-dehydrogenase, decarboxylating</t>
  </si>
  <si>
    <t>NGFI-A-binding protein 2</t>
  </si>
  <si>
    <t>Isoform 3B of Myosin light chain kinase, smooth muscle</t>
  </si>
  <si>
    <t>Isoform 2 of TGF-beta-activated kinase 1 and MAP3K7-binding protein 1</t>
  </si>
  <si>
    <t>Probable E3 ubiquitin-protein ligase HERC1</t>
  </si>
  <si>
    <t>Neutral amino acid transporter B(0)</t>
  </si>
  <si>
    <t>Mitogen-activated protein kinase 11</t>
  </si>
  <si>
    <t>Myeloid leukemia factor 2</t>
  </si>
  <si>
    <t>Zinc finger protein with KRAB and SCAN domains 8</t>
  </si>
  <si>
    <t>Mitochondrial import receptor subunit TOM34</t>
  </si>
  <si>
    <t>Isoform 2 of Nuclear receptor coactivator 1</t>
  </si>
  <si>
    <t>Isoform Short of Mothers against decapentaplegic homolog 2</t>
  </si>
  <si>
    <t>Mothers against decapentaplegic homolog 1</t>
  </si>
  <si>
    <t>Tubulin-specific chaperone E</t>
  </si>
  <si>
    <t>Tubulin-specific chaperone C</t>
  </si>
  <si>
    <t>Ubiquitin-conjugating enzyme E2 variant 2</t>
  </si>
  <si>
    <t>Isoform 2 of Serine/threonine-protein kinase STK11</t>
  </si>
  <si>
    <t>Syntaxin-binding protein 2</t>
  </si>
  <si>
    <t>Vesicle-associated membrane protein 3</t>
  </si>
  <si>
    <t>NEDD8</t>
  </si>
  <si>
    <t>V-type proton ATPase subunit S1</t>
  </si>
  <si>
    <t>Vacuolar protein sorting-associated protein 72 homolog</t>
  </si>
  <si>
    <t>Ras-related protein Rab-11B</t>
  </si>
  <si>
    <t>Histone-lysine N-methyltransferase EZH2</t>
  </si>
  <si>
    <t>Zinc finger protein 77</t>
  </si>
  <si>
    <t>Zyxin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</si>
  <si>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</si>
  <si>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</si>
  <si>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</si>
  <si>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</si>
  <si>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</si>
  <si>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Alpha-internexin</t>
  </si>
  <si>
    <t>Isoform 2 of 26S proteasome non-ATPase regulatory subunit 5</t>
  </si>
  <si>
    <t>Serine/threonine-protein kinase N1</t>
  </si>
  <si>
    <t>Isoform 3 of Serine/threonine-protein kinase N2</t>
  </si>
  <si>
    <t>Isoform TAFII15 of Transcription initiation factor TFIID subunit 12</t>
  </si>
  <si>
    <t>DNA damage-binding protein 1</t>
  </si>
  <si>
    <t>Mitogen-activated protein kinase 14</t>
  </si>
  <si>
    <t>Isoform CSBP1 of Mitogen-activated protein kinase 14</t>
  </si>
  <si>
    <t>Hsp90 co-chaperone Cdc37</t>
  </si>
  <si>
    <t>Isoform 2 of Dihydropyrimidinase-related protein 2</t>
  </si>
  <si>
    <t>Histone-binding protein RBBP7</t>
  </si>
  <si>
    <t>Zinc finger protein 239</t>
  </si>
  <si>
    <t>Extracellular matrix protein 1</t>
  </si>
  <si>
    <t>Isoform 2 of Cardiotrophin-1</t>
  </si>
  <si>
    <t>Male-enhanced antigen 1</t>
  </si>
  <si>
    <t>Isoform 3 of Serine/arginine-rich splicing factor 7</t>
  </si>
  <si>
    <t>Isoform SMN-delta7 of Survival motor neuron protein</t>
  </si>
  <si>
    <t>Drebrin</t>
  </si>
  <si>
    <t>MAP kinase-activated protein kinase 3</t>
  </si>
  <si>
    <t>Nuclear respiratory factor 1</t>
  </si>
  <si>
    <t>Fascin</t>
  </si>
  <si>
    <t>Mitogen-activated protein kinase 6</t>
  </si>
  <si>
    <t>Isoform 3 of Gamma-interferon-inducible protein 16</t>
  </si>
  <si>
    <t>Zinc finger and SCAN domain-containing protein 26</t>
  </si>
  <si>
    <t>Kynureninase</t>
  </si>
  <si>
    <t>Putative ATP-dependent Clp protease proteolytic subunit, mitochondrial</t>
  </si>
  <si>
    <t>Thiosulfate sulfurtransferase</t>
  </si>
  <si>
    <t>Ubiquitin-conjugating enzyme E2 S</t>
  </si>
  <si>
    <t>Kynurenine--oxoglutarate transaminase 1</t>
  </si>
  <si>
    <t>Histone H2B type 2-E</t>
  </si>
  <si>
    <t>Meprin A subunit alpha</t>
  </si>
  <si>
    <t>Phosphoenolpyruvate carboxykinase [GTP], mitochondrial</t>
  </si>
  <si>
    <t>Uridine phosphorylase 1</t>
  </si>
  <si>
    <t>Hydroxyacyl-coenzyme A dehydrogenase, mitochondrial</t>
  </si>
  <si>
    <t>UTP--glucose-1-phosphate uridylyltransferase</t>
  </si>
  <si>
    <t>Deoxyguanosine kinase, mitochondrial</t>
  </si>
  <si>
    <t>V-type proton ATPase subunit F</t>
  </si>
  <si>
    <t>Isoform 3 of 6-phosphofructo-2-kinase/fructose-2,6-bisphosphatase 3</t>
  </si>
  <si>
    <t>Isoform 2 of Putative deoxyribonuclease TATDN3</t>
  </si>
  <si>
    <t>Protein FAM98C</t>
  </si>
  <si>
    <t>Proto-oncogene c-Rel</t>
  </si>
  <si>
    <t>Zinc finger SWIM domain-containing protein 7</t>
  </si>
  <si>
    <t>Lysine-rich nucleolar protein 1</t>
  </si>
  <si>
    <t>Isoform 1 of Centrosome and spindle pole-associated protein 1</t>
  </si>
  <si>
    <t>Isoform 2 of Inverted formin-2</t>
  </si>
  <si>
    <t>Sister chromatid cohesion protein PDS5 homolog A</t>
  </si>
  <si>
    <t>Glutamine and serine-rich protein 1</t>
  </si>
  <si>
    <t>Protein CLEC16A</t>
  </si>
  <si>
    <t>Kinesin-like protein KIF7</t>
  </si>
  <si>
    <t>Isoform 2 of Methenyltetrahydrofolate synthase domain-containing protein</t>
  </si>
  <si>
    <t>Isoform 4 of Methenyltetrahydrofolate synthase domain-containing protein</t>
  </si>
  <si>
    <t>AP2-associated protein kinase 1</t>
  </si>
  <si>
    <t>Isoform 5 of Centrosomal protein kizuna</t>
  </si>
  <si>
    <t>WASH complex subunit 7</t>
  </si>
  <si>
    <t>Isoform 2 of Protein Shroom1</t>
  </si>
  <si>
    <t>UPF0561 protein C2orf68</t>
  </si>
  <si>
    <t>Pre-rRNA-processing protein TSR1 homolog</t>
  </si>
  <si>
    <t>Vimentin-type intermediate filament-associated coiled-coil protein</t>
  </si>
  <si>
    <t>Isoform 3 of Ral GTPase-activating protein subunit alpha-2</t>
  </si>
  <si>
    <t>Isoform 2 of Coiled-coil domain-containing protein 57</t>
  </si>
  <si>
    <t>Glutamine-rich protein 1</t>
  </si>
  <si>
    <t>RELA protein</t>
  </si>
  <si>
    <t>WD40 repeat-containing protein SMU1</t>
  </si>
  <si>
    <t>Autophagy-related protein 2 homolog A</t>
  </si>
  <si>
    <t>Zinc finger protein 800</t>
  </si>
  <si>
    <t>CWF19-like protein 2</t>
  </si>
  <si>
    <t>Cytoplasmic tRNA 2-thiolation protein 2</t>
  </si>
  <si>
    <t>Isoform 2 of UV-stimulated scaffold protein A</t>
  </si>
  <si>
    <t>Acid trehalase-like protein 1</t>
  </si>
  <si>
    <t>Myosin light chain kinase 3</t>
  </si>
  <si>
    <t>Isoform 2 of Leucine-rich repeat flightless-interacting protein 1</t>
  </si>
  <si>
    <t>Isoform 3 of Leucine-rich repeat flightless-interacting protein 1</t>
  </si>
  <si>
    <t>DNA polymerase delta subunit 3</t>
  </si>
  <si>
    <t>Prolyl 3-hydroxylase 1</t>
  </si>
  <si>
    <t>tRNA (guanine(37)-N1)-methyltransferase</t>
  </si>
  <si>
    <t>Echinoderm microtubule-associated protein-like 3</t>
  </si>
  <si>
    <t>DNA-directed RNA polymerase I subunit RPA43</t>
  </si>
  <si>
    <t>Isoform 2 of MAP7 domain-containing protein 1</t>
  </si>
  <si>
    <t>Zinc finger protein 792</t>
  </si>
  <si>
    <t>Isoform 2 of Chromodomain-helicase-DNA-binding protein 9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</si>
  <si>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</si>
  <si>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</si>
  <si>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</si>
  <si>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</si>
  <si>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Inactive hydroxysteroid dehydrogenase-like protein 1</t>
  </si>
  <si>
    <t>Zinc finger protein 718</t>
  </si>
  <si>
    <t>Mitochondrial 10-formyltetrahydrofolate dehydrogenase</t>
  </si>
  <si>
    <t>Isoform 3 of GON-4-like protein</t>
  </si>
  <si>
    <t>Isoform 2 of Girdin</t>
  </si>
  <si>
    <t>Isoform 5 of Girdin</t>
  </si>
  <si>
    <t>Rab-like protein 6</t>
  </si>
  <si>
    <t>Tubulin beta-8 chain</t>
  </si>
  <si>
    <t>Zinc finger protein 672</t>
  </si>
  <si>
    <t>Isoform 2 of Putative oxidoreductase GLYR1</t>
  </si>
  <si>
    <t>Isoform 2 of Cryptochrome-2</t>
  </si>
  <si>
    <t>UPF0489 protein C5orf22</t>
  </si>
  <si>
    <t>Cytochrome c oxidase assembly protein COX19</t>
  </si>
  <si>
    <t>Protein FAM188B</t>
  </si>
  <si>
    <t>Vacuolar protein sorting-associated protein 26B</t>
  </si>
  <si>
    <t>La-related protein 7</t>
  </si>
  <si>
    <t>NAD kinase domain-containing protein 1, mitochondrial</t>
  </si>
  <si>
    <t>COL14A1 protein</t>
  </si>
  <si>
    <t>Acyl-CoA synthetase family member 3, mitochondrial</t>
  </si>
  <si>
    <t>Isoform 4 of Prolyl endopeptidase-like</t>
  </si>
  <si>
    <t>TBC1 domain family member 10B</t>
  </si>
  <si>
    <t>Isoform 3 of 1-phosphatidylinositol 4,5-bisphosphate phosphodiesterase eta-1</t>
  </si>
  <si>
    <t>Isoform 2 of AT-rich interactive domain-containing protein 4B</t>
  </si>
  <si>
    <t>GRIP1-associated protein 1</t>
  </si>
  <si>
    <t>B-cell CLL/lymphoma 7 protein family member A</t>
  </si>
  <si>
    <t>Isoform 2 of B-cell CLL/lymphoma 7 protein family member A</t>
  </si>
  <si>
    <t>FLYWCH-type zinc finger-containing protein 1</t>
  </si>
  <si>
    <t>PR domain zinc finger protein 15</t>
  </si>
  <si>
    <t>Isoform 2 of PAB-dependent poly(A)-specific ribonuclease subunit 2</t>
  </si>
  <si>
    <t>EGFR protein</t>
  </si>
  <si>
    <t>Isoform 2 of Protein FAM98B</t>
  </si>
  <si>
    <t>Enhancer of polycomb homolog 2</t>
  </si>
  <si>
    <t>Isoform 2 of Programmed cell death protein 4</t>
  </si>
  <si>
    <t>CREB-regulated transcription coactivator 2</t>
  </si>
  <si>
    <t>Centrosomal protein of 55 kDa</t>
  </si>
  <si>
    <t>Uncharacterized protein C17orf85</t>
  </si>
  <si>
    <t>Quinone oxidoreductase PIG3</t>
  </si>
  <si>
    <t>Protein Hikeshi</t>
  </si>
  <si>
    <t>Acyl-coenzyme A synthetase ACSM3, mitochondrial</t>
  </si>
  <si>
    <t>Histone-lysine N-methyltransferase SETMAR</t>
  </si>
  <si>
    <t>tRNA wybutosine-synthesizing protein 2 homolog</t>
  </si>
  <si>
    <t>Beta-lactamase-like protein 2</t>
  </si>
  <si>
    <t>Pyrroline-5-carboxylate reductase 3</t>
  </si>
  <si>
    <t>Kelch-like protein 26</t>
  </si>
  <si>
    <t>Protein TSSC1</t>
  </si>
  <si>
    <t>Borealin</t>
  </si>
  <si>
    <t>Single-strand selective monofunctional uracil DNA glycosylase</t>
  </si>
  <si>
    <t>Ankyrin repeat domain-containing protein SOWAHC</t>
  </si>
  <si>
    <t>Rho GTPase-activating protein 15</t>
  </si>
  <si>
    <t>Isoform 2 of FAST kinase domain-containing protein 1</t>
  </si>
  <si>
    <t>BolA-like protein 3</t>
  </si>
  <si>
    <t>HCLS1-binding protein 3</t>
  </si>
  <si>
    <t>WD repeat-containing protein 81</t>
  </si>
  <si>
    <t>Isoform 2 of Shugoshin-like 2</t>
  </si>
  <si>
    <t>Spindlin-4</t>
  </si>
  <si>
    <t>N-acetyltransferase ESCO2</t>
  </si>
  <si>
    <t>Isoform 3 of PAB-dependent poly(A)-specific ribonuclease subunit 3</t>
  </si>
  <si>
    <t>Isoform 2 of Puratrophin-1</t>
  </si>
  <si>
    <t>Putative heat shock protein HSP 90-beta 2</t>
  </si>
  <si>
    <t>Putative heat shock protein HSP 90-alpha A4</t>
  </si>
  <si>
    <t>DDB1- and CUL4-associated factor 6</t>
  </si>
  <si>
    <t>Putative 60S ribosomal protein L39-like 5</t>
  </si>
  <si>
    <t>Oxidoreductase-like domain-containing protein 1</t>
  </si>
  <si>
    <t>UPF0692 protein C19orf54</t>
  </si>
  <si>
    <t>DBIRD complex subunit ZNF326</t>
  </si>
  <si>
    <t>Nucleolar MIF4G domain-containing protein 1</t>
  </si>
  <si>
    <t>Isoform 2 of DALR anticodon-binding domain-containing protein 3</t>
  </si>
  <si>
    <t>Filaggrin-2</t>
  </si>
  <si>
    <t>RILP-like protein 1</t>
  </si>
  <si>
    <t>PDZ domain-containing protein 11</t>
  </si>
  <si>
    <t>UMP-CMP kinase 2, mitochondrial</t>
  </si>
  <si>
    <t>DnaJ homolog subfamily C member 21</t>
  </si>
  <si>
    <t>Isoform 5 of Shugoshin-like 1</t>
  </si>
  <si>
    <t>Isoform 2 of DNA annealing helicase and endonuclease ZRANB3</t>
  </si>
  <si>
    <t>N-acetyltransferase ESCO1</t>
  </si>
  <si>
    <t>Isoform 2 of Probable E3 ubiquitin-protein ligase HERC4</t>
  </si>
  <si>
    <t>cAMP-dependent protein kinase inhibitor gamma</t>
  </si>
  <si>
    <t>Metalloproteinase inhibitor 1</t>
  </si>
  <si>
    <t>Isoform 2 of Uncharacterized protein KIAA2026</t>
  </si>
  <si>
    <t>Tubulin beta chain</t>
  </si>
  <si>
    <t>Isoform 2 of Nodal modulator 2</t>
  </si>
  <si>
    <t>Isoform 2 of Uncharacterized protein C3orf38</t>
  </si>
  <si>
    <t>Methyltransferase-like protein 10</t>
  </si>
  <si>
    <t>Rho-related GTP-binding protein RhoC (Fragment)</t>
  </si>
  <si>
    <t>Isoform 2 of Melanoma inhibitory activity protein 3</t>
  </si>
  <si>
    <t>Nucleoporin p58/p45 (Fragment)</t>
  </si>
  <si>
    <t>Putative G antigen family E member 3</t>
  </si>
  <si>
    <t>Presequence protease, mitochondrial</t>
  </si>
  <si>
    <t>Isoform 2 of NHL repeat-containing protein 3</t>
  </si>
  <si>
    <t>Proteasome assembly chaperone 4</t>
  </si>
  <si>
    <t>Transcription factor Dp-1 (Fragment)</t>
  </si>
  <si>
    <t>Isoform 2 of WD repeat-containing protein 44</t>
  </si>
  <si>
    <t>Dedicator of cytokinesis protein 11</t>
  </si>
  <si>
    <t>Protein PRRC2B</t>
  </si>
  <si>
    <t>Isoform 2 of Tight junction-associated protein 1</t>
  </si>
  <si>
    <t>RRP12-like protein</t>
  </si>
  <si>
    <t>Isoform 3 of Cytochrome c oxidase assembly factor 6 homolog</t>
  </si>
  <si>
    <t>Glucocorticoid modulatory element binding protein 2, isoform CRA_a</t>
  </si>
  <si>
    <t>Alanine--tRNA ligase, mitochondrial</t>
  </si>
  <si>
    <t>Folylpolyglutamate synthase, mitochondrial (Fragment)</t>
  </si>
  <si>
    <t>Isoform 3 of IQ motif and SEC7 domain-containing protein 2</t>
  </si>
  <si>
    <t>P antigen family member 5</t>
  </si>
  <si>
    <t>Testis-expressed sequence 30 protein</t>
  </si>
  <si>
    <t>Isoform 3 of PCI domain-containing protein 2</t>
  </si>
  <si>
    <t>Engulfment and cell motility protein 2</t>
  </si>
  <si>
    <t>Double-stranded RNA-binding protein Staufen homolog 1</t>
  </si>
  <si>
    <t>Glutathione S-transferase</t>
  </si>
  <si>
    <t>Migration and invasion-inhibitory protein</t>
  </si>
  <si>
    <t>Sterile alpha motif domain-containing protein 9</t>
  </si>
  <si>
    <t>Ubiquitin carboxyl-terminal hydrolase isozyme L5</t>
  </si>
  <si>
    <t>Isoform 4 of Cytospin-B</t>
  </si>
  <si>
    <t>Isoform 2 of Serine/threonine-protein phosphatase 4 regulatory subunit 3B</t>
  </si>
  <si>
    <t>WD repeat domain phosphoinositide-interacting protein 3</t>
  </si>
  <si>
    <t>DNA polymerase kappa</t>
  </si>
  <si>
    <t>Peroxisomal biogenesis factor 19 (Fragment)</t>
  </si>
  <si>
    <t>ATP synthase subunit b, mitochondrial</t>
  </si>
  <si>
    <t>Bcl-2-like protein 1 (Fragment)</t>
  </si>
  <si>
    <t>DDB1- and CUL4-associated factor 10</t>
  </si>
  <si>
    <t>RNA-binding protein Raly (Fragment)</t>
  </si>
  <si>
    <t>Proteasome inhibitor PI31 subunit</t>
  </si>
  <si>
    <t>Isoform 4 of Rab GTPase-activating protein 1-like</t>
  </si>
  <si>
    <t>Isoform 7 of Rab GTPase-activating protein 1-like</t>
  </si>
  <si>
    <t>Tetratricopeptide repeat protein 38</t>
  </si>
  <si>
    <t>Exosome complex component MTR3</t>
  </si>
  <si>
    <t>WASH complex subunit FAM21B</t>
  </si>
  <si>
    <t>Methylenetetrahydrofolate reductase</t>
  </si>
  <si>
    <t>Nucleoside diphosphate-linked moiety X motif 13</t>
  </si>
  <si>
    <t>Nucleoporin NUP188 homolog</t>
  </si>
  <si>
    <t>Pre-mRNA-processing factor 17</t>
  </si>
  <si>
    <t>Heterochromatin protein 1-binding protein 3</t>
  </si>
  <si>
    <t>Valine--tRNA ligase, mitochondrial</t>
  </si>
  <si>
    <t>Zinc finger MYM-type protein 1</t>
  </si>
  <si>
    <t>Centrosomal protein of 170 kDa</t>
  </si>
  <si>
    <t>Isoform 2 of Centrosomal protein of 170 kDa</t>
  </si>
  <si>
    <t>Low density lipoprotein receptor adapter protein 1</t>
  </si>
  <si>
    <t>Rab GDP dissociation inhibitor beta (Fragment)</t>
  </si>
  <si>
    <t>snRNA-activating protein complex subunit 4</t>
  </si>
  <si>
    <t>DNL-type zinc finger protein</t>
  </si>
  <si>
    <t>Polynucleotide 5-hydroxyl-kinase NOL9</t>
  </si>
  <si>
    <t>Zinc finger and BTB domain-containing protein 48 (Fragment)</t>
  </si>
  <si>
    <t>Isoform 3 of Protein SZT2</t>
  </si>
  <si>
    <t>Isoform 3 of Formin-binding protein 1-like</t>
  </si>
  <si>
    <t>SH3 domain-binding glutamic acid-rich-like protein 3</t>
  </si>
  <si>
    <t>Probable arginine--tRNA ligase, mitochondrial</t>
  </si>
  <si>
    <t>Pygopus homolog 2</t>
  </si>
  <si>
    <t>Acyl-coenzyme A thioesterase THEM4</t>
  </si>
  <si>
    <t>FK506-binding protein 15</t>
  </si>
  <si>
    <t>Isoform 2 of FK506-binding protein 15</t>
  </si>
  <si>
    <t>Probable ATP-dependent RNA helicase DDX59</t>
  </si>
  <si>
    <t>Zinc finger CCCH domain-containing protein 13</t>
  </si>
  <si>
    <t>3-keto-steroid reductase (Fragment)</t>
  </si>
  <si>
    <t>Uncharacterized protein C9orf114</t>
  </si>
  <si>
    <t>OTU domain-containing protein 3</t>
  </si>
  <si>
    <t>2-oxoisovalerate dehydrogenase subunit beta, mitochondrial</t>
  </si>
  <si>
    <t>Neurobeachin</t>
  </si>
  <si>
    <t>G patch domain-containing protein 4</t>
  </si>
  <si>
    <t>Ligand-dependent nuclear receptor-interacting factor 1</t>
  </si>
  <si>
    <t>Zinc finger protein 438</t>
  </si>
  <si>
    <t>Putative transferase CAF17, mitochondrial</t>
  </si>
  <si>
    <t>E3 ubiquitin-protein ligase HECTD3</t>
  </si>
  <si>
    <t>Isoform 3 of E3 ubiquitin-protein ligase UBR4</t>
  </si>
  <si>
    <t>Isoform 3 of Syntaxin-binding protein 5</t>
  </si>
  <si>
    <t>Rho GTPase-activating protein 21</t>
  </si>
  <si>
    <t>BEN domain-containing protein 3</t>
  </si>
  <si>
    <t>Calmodulin-regulated spectrin-associated protein 1</t>
  </si>
  <si>
    <t>Centrosomal protein CEP57L1</t>
  </si>
  <si>
    <t>Ataxin-7-like protein 2</t>
  </si>
  <si>
    <t>DDB1- and CUL4-associated factor 12</t>
  </si>
  <si>
    <t>Ubiquitin-associated protein 2</t>
  </si>
  <si>
    <t>UPF0553 protein C9orf64</t>
  </si>
  <si>
    <t>Keratinocyte proline-rich protein</t>
  </si>
  <si>
    <t>Chaperone activity of bc1 complex-like, mitochondrial</t>
  </si>
  <si>
    <t>RAB6-interacting golgin</t>
  </si>
  <si>
    <t>Protein phosphatase 1 regulatory subunit 26</t>
  </si>
  <si>
    <t>Protein FAM102B</t>
  </si>
  <si>
    <t>Isoform 3 of RNA-binding protein 26</t>
  </si>
  <si>
    <t>Isoform 2 of Coiled-coil domain-containing protein 18</t>
  </si>
  <si>
    <t>Protein dopey-1</t>
  </si>
  <si>
    <t>E3 ubiquitin-protein ligase RNF187</t>
  </si>
  <si>
    <t>Isoform 3 of Integrator complex subunit 11</t>
  </si>
  <si>
    <t>Glycolipid transfer protein domain-containing protein 1</t>
  </si>
  <si>
    <t>Protein argonaute-1</t>
  </si>
  <si>
    <t>U3 small nucleolar RNA-associated protein 14 homolog C</t>
  </si>
  <si>
    <t>Mitochondrial nucleoid factor 1</t>
  </si>
  <si>
    <t>Terminal uridylyltransferase 4</t>
  </si>
  <si>
    <t>Isoform 2 of Centrosomal protein of 162 kDa</t>
  </si>
  <si>
    <t>Ribonuclease H2 subunit B</t>
  </si>
  <si>
    <t>Protein LSM14 homolog B (Fragment)</t>
  </si>
  <si>
    <t>ATP synthase mitochondrial F1 complex assembly factor 1</t>
  </si>
  <si>
    <t>Zinc finger and BTB domain-containing protein 37</t>
  </si>
  <si>
    <t>Probable E3 ubiquitin-protein ligase Roquin</t>
  </si>
  <si>
    <t>Isoform 3 of Membrane-associated guanylate kinase, WW and PDZ domain-containing protein 3</t>
  </si>
  <si>
    <t>Tropomyosin beta chain</t>
  </si>
  <si>
    <t>Mitochondrial carrier homolog 1</t>
  </si>
  <si>
    <t>Protein DDI1 homolog 2</t>
  </si>
  <si>
    <t>Zinc finger protein 697</t>
  </si>
  <si>
    <t>Protein THEMIS2</t>
  </si>
  <si>
    <t>Isoform 2 of NADH dehydrogenase [ubiquinone] 1 alpha subcomplex assembly factor 5</t>
  </si>
  <si>
    <t>5-nucleotidase domain-containing protein 1</t>
  </si>
  <si>
    <t>AT-hook DNA-binding motif-containing protein 1</t>
  </si>
  <si>
    <t>PR domain zinc finger protein 2</t>
  </si>
  <si>
    <t>Isoform 2 of Vacuolar protein sorting-associated protein 13D</t>
  </si>
  <si>
    <t>Protein PRR14L</t>
  </si>
  <si>
    <t>Rootletin</t>
  </si>
  <si>
    <t>RNA-binding E3 ubiquitin-protein ligase MEX3C</t>
  </si>
  <si>
    <t>Complex III assembly factor LYRM7</t>
  </si>
  <si>
    <t>Activating transcription factor 7-interacting protein 2</t>
  </si>
  <si>
    <t>Isoform 2 of Telomere-associated protein RIF1</t>
  </si>
  <si>
    <t>Isoform 4 of Vacuolar protein sorting-associated protein 53 homolog</t>
  </si>
  <si>
    <t>Striatin-interacting protein 1</t>
  </si>
  <si>
    <t>Isoform 2 of G kinase-anchoring protein 1</t>
  </si>
  <si>
    <t>Centrosome-associated protein 350</t>
  </si>
  <si>
    <t>Isoform 4 of Serine/threonine-protein kinase MRCK alpha</t>
  </si>
  <si>
    <t>Regulation of nuclear pre-mRNA domain-containing protein 2</t>
  </si>
  <si>
    <t>Isoform 2 of Zinc finger protein Gfi-1b</t>
  </si>
  <si>
    <t>Pre-mRNA-splicing factor 38B</t>
  </si>
  <si>
    <t>E3 ubiquitin-protein ligase BRE1A</t>
  </si>
  <si>
    <t>Dynein light chain Tctex-type 1</t>
  </si>
  <si>
    <t>Isoform 3 of Myomegalin</t>
  </si>
  <si>
    <t>Tropomyosin 3, isoform CRA_b</t>
  </si>
  <si>
    <t>Zinc finger protein 318</t>
  </si>
  <si>
    <t>Rho guanine nucleotide exchange factor 16</t>
  </si>
  <si>
    <t>Threonylcarbamoyladenosine tRNA methylthiotransferase</t>
  </si>
  <si>
    <t>Isoform 2 of Zinc finger protein 691</t>
  </si>
  <si>
    <t>Isoform 2 of Peroxisome proliferator-activated receptor gamma coactivator-related protein 1</t>
  </si>
  <si>
    <t>Pleckstrin homology domain-containing family M member 2</t>
  </si>
  <si>
    <t>Histone H2A deubiquitinase MYSM1</t>
  </si>
  <si>
    <t>Lipoamide acyltransferase component of branched-chain alpha-keto acid dehydrogenase complex, mitochondrial</t>
  </si>
  <si>
    <t>Ubiquitin thioesterase OTU1</t>
  </si>
  <si>
    <t>DDB1- and CUL4-associated factor 12-like protein 2</t>
  </si>
  <si>
    <t>BRO1 domain-containing protein BROX</t>
  </si>
  <si>
    <t>Transcription initiation factor TFIID subunit 3</t>
  </si>
  <si>
    <t>Sorting nexin-30</t>
  </si>
  <si>
    <t>Protein FAM208B</t>
  </si>
  <si>
    <t>Protein FAM46C</t>
  </si>
  <si>
    <t>Round spermatid basic protein 1</t>
  </si>
  <si>
    <t>Lysophospholipase-like protein 1</t>
  </si>
  <si>
    <t>Ribosome production factor 2 homolog (Fragment)</t>
  </si>
  <si>
    <t>Proteasome-associated protein ECM29 homolog</t>
  </si>
  <si>
    <t>Isoform 6 of Terminal uridylyltransferase 7</t>
  </si>
  <si>
    <t>Protein SLX4IP</t>
  </si>
  <si>
    <t>N-alpha-acetyltransferase 35, NatC auxiliary subunit</t>
  </si>
  <si>
    <t>Leucine-rich repeat-containing protein 16A</t>
  </si>
  <si>
    <t>Isoform 4 of Zinc finger MYM-type protein 4</t>
  </si>
  <si>
    <t>RING finger protein 219</t>
  </si>
  <si>
    <t>Protein FAM160B1</t>
  </si>
  <si>
    <t>Isoform 2 of SPRY domain-containing protein 7</t>
  </si>
  <si>
    <t>6-phosphofructo-2-kinase/fructose-2, 6-biphosphatase 4 splice isoform 5</t>
  </si>
  <si>
    <t>E3 ubiquitin-protein ligase RNF123</t>
  </si>
  <si>
    <t>Isoform 3 of F-box/WD repeat-containing protein 9</t>
  </si>
  <si>
    <t>Kynurenine formamidase</t>
  </si>
  <si>
    <t>E3 ubiquitin-protein ligase RNF213</t>
  </si>
  <si>
    <t>AP-1 complex-associated regulatory protein</t>
  </si>
  <si>
    <t>Isoform 3 of KN motif and ankyrin repeat domain-containing protein 2</t>
  </si>
  <si>
    <t>Protein FAM91A1</t>
  </si>
  <si>
    <t>NMDA receptor-regulated protein 2</t>
  </si>
  <si>
    <t>La-related protein 1B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</si>
  <si>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</si>
  <si>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</si>
  <si>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</si>
  <si>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</si>
  <si>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ADP-ribosylation factor-like protein 6-interacting protein 4</t>
  </si>
  <si>
    <t>Isoform 2 of Autophagy-related protein 16-1</t>
  </si>
  <si>
    <t>AT-rich interactive domain-containing protein 2</t>
  </si>
  <si>
    <t>Digestive organ expansion factor homolog</t>
  </si>
  <si>
    <t>HAUS augmin-like complex subunit 3</t>
  </si>
  <si>
    <t>Protein SPT2 homolog</t>
  </si>
  <si>
    <t>Protein PMS2CL</t>
  </si>
  <si>
    <t>Isoform 2 of Zinc finger FYVE domain-containing protein 26</t>
  </si>
  <si>
    <t>Beta/gamma crystallin domain-containing protein 3</t>
  </si>
  <si>
    <t>F-box/WD repeat-containing protein 1A</t>
  </si>
  <si>
    <t>Isoform 2 of Integrator complex subunit 3</t>
  </si>
  <si>
    <t>Rho GTPase-activating protein 17</t>
  </si>
  <si>
    <t>CWF19-like protein 1</t>
  </si>
  <si>
    <t>Isoform 3 of Protein virilizer homolog</t>
  </si>
  <si>
    <t>Isoform 2 of Cytospin-A</t>
  </si>
  <si>
    <t>Zinc finger protein 518A</t>
  </si>
  <si>
    <t>HEAT repeat-containing protein 6</t>
  </si>
  <si>
    <t>Ankyrin repeat domain-containing protein 40</t>
  </si>
  <si>
    <t>GLTSCR1-like protein</t>
  </si>
  <si>
    <t>Isoform 3 of Protein WWC2</t>
  </si>
  <si>
    <t>NADH-cytochrome b5 reductase 2</t>
  </si>
  <si>
    <t>UHRF1-binding protein 1</t>
  </si>
  <si>
    <t>AMMECR1-like protein</t>
  </si>
  <si>
    <t>Zinc finger protein 787</t>
  </si>
  <si>
    <t>Isoform 3 of Adenosine deaminase-like protein</t>
  </si>
  <si>
    <t>60S ribosomal protein L7-like 1</t>
  </si>
  <si>
    <t>Nucleoredoxin</t>
  </si>
  <si>
    <t>Tetratricopeptide repeat protein 19, mitochondrial</t>
  </si>
  <si>
    <t>Isoform 2 of IQ motif and SEC7 domain-containing protein 1</t>
  </si>
  <si>
    <t>Serine/threonine-protein kinase MRCK gamma</t>
  </si>
  <si>
    <t>Isoform 5 of DNA-directed RNA polymerase II subunit GRINL1A, isoforms 4/5</t>
  </si>
  <si>
    <t>Vasorin</t>
  </si>
  <si>
    <t>Leucine-rich repeat-containing protein 16C</t>
  </si>
  <si>
    <t>Isoform 3 of 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</si>
  <si>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</si>
  <si>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</si>
  <si>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</si>
  <si>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</si>
  <si>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Ral GTPase-activating protein subunit alpha-1</t>
  </si>
  <si>
    <t>THO complex subunit 7 homolog</t>
  </si>
  <si>
    <t>Glutamine-dependent NAD(+) synthetase</t>
  </si>
  <si>
    <t>Isoform 3 of Elongator complex protein 2</t>
  </si>
  <si>
    <t>Ragulator complex protein LAMTOR1</t>
  </si>
  <si>
    <t>Twinfilin-2</t>
  </si>
  <si>
    <t>Condensin-2 complex subunit H2</t>
  </si>
  <si>
    <t>Desumoylating isopeptidase 1</t>
  </si>
  <si>
    <t>Isoform 3 of Transport and Golgi organization 2 homolog</t>
  </si>
  <si>
    <t>Isoform 2 of Protein Jade-1</t>
  </si>
  <si>
    <t>U11/U12 small nuclear ribonucleoprotein 48 kDa protein</t>
  </si>
  <si>
    <t>rRNA methyltransferase 1, mitochondrial</t>
  </si>
  <si>
    <t>Serine/threonine-protein phosphatase 4 regulatory subunit 3A</t>
  </si>
  <si>
    <t>LYR motif-containing protein 5</t>
  </si>
  <si>
    <t>tRNA wybutosine-synthesizing protein 3 homolog</t>
  </si>
  <si>
    <t>Ras-related protein Rab-12</t>
  </si>
  <si>
    <t>Isoform 2 of DENN domain-containing protein 5A</t>
  </si>
  <si>
    <t>Isoform 2 of Protein SDE2 homolog</t>
  </si>
  <si>
    <t>Isoform 2 of Tau-tubulin kinase 2</t>
  </si>
  <si>
    <t>CapZ-interacting protein</t>
  </si>
  <si>
    <t>Isoform 2 of Nipped-B-like protein</t>
  </si>
  <si>
    <t>Isoform 2 of 2,5-phosphodiesterase 12</t>
  </si>
  <si>
    <t>Protein lin-54 homolog</t>
  </si>
  <si>
    <t>Isoform 4 of Protein lin-54 homolog</t>
  </si>
  <si>
    <t>Isoform 2 of Methylcytosine dioxygenase TET2</t>
  </si>
  <si>
    <t>Isoform 2 of Zinc finger protein 280D</t>
  </si>
  <si>
    <t>2-oxoglutarate and iron-dependent oxygenase domain-containing protein 2</t>
  </si>
  <si>
    <t>N-alpha-acetyltransferase 16, NatA auxiliary subunit</t>
  </si>
  <si>
    <t>Alpha-ketoglutarate-dependent dioxygenase alkB homolog 2</t>
  </si>
  <si>
    <t>MKRN3 protein</t>
  </si>
  <si>
    <t>Cancer/testis antigen family 45 member A5</t>
  </si>
  <si>
    <t>Pleckstrin homology-like domain family B member 3</t>
  </si>
  <si>
    <t>Zinc finger and SCAN domain-containing protein 25</t>
  </si>
  <si>
    <t>Isoform 2 of Homeobox-containing protein 1</t>
  </si>
  <si>
    <t>UPF0544 protein C5orf45</t>
  </si>
  <si>
    <t>tRNA wybutosine-synthesizing protein 1 homolog B</t>
  </si>
  <si>
    <t>Isoform 2 of Transmembrane protein 214</t>
  </si>
  <si>
    <t>Inactive Ufm1-specific protease 1</t>
  </si>
  <si>
    <t>3-hydroxyisobutyryl-CoA hydrolase, mitochondrial</t>
  </si>
  <si>
    <t>Isoform 2 of Uncharacterized protein C3orf17</t>
  </si>
  <si>
    <t>Isoform 2 of Armadillo repeat-containing protein 6</t>
  </si>
  <si>
    <t>Ankyrin repeat domain-containing protein 54</t>
  </si>
  <si>
    <t>Phostensin</t>
  </si>
  <si>
    <t>Isoform 3 of Fanconi anemia-associated protein of 20 kDa</t>
  </si>
  <si>
    <t>Polymerase I and transcript release factor</t>
  </si>
  <si>
    <t>Zinc finger CCHC domain-containing protein 8</t>
  </si>
  <si>
    <t>MAN1A1 protein</t>
  </si>
  <si>
    <t>Isoform 2 of RNA pseudouridylate synthase domain-containing protein 3</t>
  </si>
  <si>
    <t>Mis18-binding protein 1</t>
  </si>
  <si>
    <t>Putative ATP-dependent RNA helicase DHX57</t>
  </si>
  <si>
    <t>39S ribosomal protein L54, mitochondrial</t>
  </si>
  <si>
    <t>Parafibromin</t>
  </si>
  <si>
    <t>Polyamine-modulated factor 1</t>
  </si>
  <si>
    <t>General transcription factor IIH subunit 2-like protein</t>
  </si>
  <si>
    <t>Protein FAM117B</t>
  </si>
  <si>
    <t>39S ribosomal protein L14, mitochondrial</t>
  </si>
  <si>
    <t>Armadillo repeat-containing X-linked protein 5</t>
  </si>
  <si>
    <t>Isoform 2 of Coiled-coil and C2 domain-containing protein 1A</t>
  </si>
  <si>
    <t>Putative deoxyribonuclease TATDN1</t>
  </si>
  <si>
    <t>Methyltransferase-like protein 2B</t>
  </si>
  <si>
    <t>tRNA-dihydrouridine(16/17) synthase [NAD(P)(+)]-like</t>
  </si>
  <si>
    <t>Transcription initiation factor TFIID subunit 2</t>
  </si>
  <si>
    <t>UPF0598 protein C8orf82</t>
  </si>
  <si>
    <t>Cohesin subunit SA-1</t>
  </si>
  <si>
    <t>Mediator of RNA polymerase II transcription subunit 27</t>
  </si>
  <si>
    <t>Isoform 2 of Zinc finger protein 1 homolog</t>
  </si>
  <si>
    <t>Enhancer of mRNA-decapping protein 4</t>
  </si>
  <si>
    <t>Isoform 2 of Centrosomal protein of 85 kDa</t>
  </si>
  <si>
    <t>Fumarylacetoacetate hydrolase domain-containing protein 2B</t>
  </si>
  <si>
    <t>Putative protein arginine N-methyltransferase 10</t>
  </si>
  <si>
    <t>Pre-mRNA-processing-splicing factor 8</t>
  </si>
  <si>
    <t>Isoform 5 of DENN domain-containing protein 1B</t>
  </si>
  <si>
    <t>F-box only protein 42</t>
  </si>
  <si>
    <t>SCY1-like protein 2</t>
  </si>
  <si>
    <t>Tetratricopeptide repeat protein 27</t>
  </si>
  <si>
    <t>Phospholipase B-like 1</t>
  </si>
  <si>
    <t>Adrenodoxin-like protein, mitochondrial</t>
  </si>
  <si>
    <t>WD repeat-containing protein 73</t>
  </si>
  <si>
    <t>Implantation-associated protein, isoform CRA_a</t>
  </si>
  <si>
    <t>Mitotic-spindle organizing protein 2A</t>
  </si>
  <si>
    <t>Acylpyruvase FAHD1, mitochondrial</t>
  </si>
  <si>
    <t>Serine/threonine-protein kinase N3</t>
  </si>
  <si>
    <t>Isoform 2 of Ankyrin repeat domain-containing protein 16</t>
  </si>
  <si>
    <t>RNA demethylase ALKBH5</t>
  </si>
  <si>
    <t>Integrator complex subunit 5</t>
  </si>
  <si>
    <t>Round spermatid basic protein 1-like protein</t>
  </si>
  <si>
    <t>Glucose 1,6-bisphosphate synthase</t>
  </si>
  <si>
    <t>Isoform 2 of F-box/LRR-repeat protein 19</t>
  </si>
  <si>
    <t>RNA polymerase-associated protein CTR9 homolog</t>
  </si>
  <si>
    <t>Alpha- and gamma-adaptin-binding protein p34</t>
  </si>
  <si>
    <t>Isoform 2 of Protein FAM199X</t>
  </si>
  <si>
    <t>Isoform 7 of Inositol hexakisphosphate and diphosphoinositol-pentakisphosphate kinase 1</t>
  </si>
  <si>
    <t>Isoform A of Proline/serine-rich coiled-coil protein 1</t>
  </si>
  <si>
    <t>Isoform 2 of UPF0547 protein C16orf87</t>
  </si>
  <si>
    <t>Isoform 3 of Serine/threonine-protein kinase ULK3</t>
  </si>
  <si>
    <t>Aspartate--tRNA ligase, mitochondrial</t>
  </si>
  <si>
    <t>Tetratricopeptide repeat protein 33</t>
  </si>
  <si>
    <t>Coiled-coil domain-containing protein 174</t>
  </si>
  <si>
    <t>Isoform 2 of Hydroxyacylglutathione hydrolase-like protein</t>
  </si>
  <si>
    <t>F-box only protein 38</t>
  </si>
  <si>
    <t>Isoform 2 of Fidgetin-like protein 1</t>
  </si>
  <si>
    <t>F-box only protein 46</t>
  </si>
  <si>
    <t>Tripartite motif-containing protein 65</t>
  </si>
  <si>
    <t>ELM2 and SANT domain-containing protein 1</t>
  </si>
  <si>
    <t>BRCA1-associated ATM activator 1</t>
  </si>
  <si>
    <t>WD repeat-containing protein 59</t>
  </si>
  <si>
    <t>DNA cross-link repair 1A protein</t>
  </si>
  <si>
    <t>Isoform 3 of Zinc finger CCCH domain-containing protein 14</t>
  </si>
  <si>
    <t>Isoform 5 of Zinc finger CCCH domain-containing protein 14</t>
  </si>
  <si>
    <t>Isoform 2 of Consortin</t>
  </si>
  <si>
    <t>Coiled-coil domain-containing protein 137</t>
  </si>
  <si>
    <t>Isoform 2 of Zinc finger protein 773</t>
  </si>
  <si>
    <t>La-related protein 1</t>
  </si>
  <si>
    <t>ATPase family AAA domain-containing protein 2</t>
  </si>
  <si>
    <t>Protein TMED8</t>
  </si>
  <si>
    <t>Biogenesis of lysosome-related organelles complex 1 subunit 3</t>
  </si>
  <si>
    <t>Biogenesis of lysosome-related organelles complex 1 subunit 2</t>
  </si>
  <si>
    <t>Rapamycin-insensitive companion of mTOR</t>
  </si>
  <si>
    <t>Isoform 5 of Bromodomain and WD repeat-containing protein 3</t>
  </si>
  <si>
    <t>Isoform 2 of Type-1 angiotensin II receptor-associated protein</t>
  </si>
  <si>
    <t>Atherin</t>
  </si>
  <si>
    <t>Isoform 2 of SWI/SNF-related matrix-associated actin-dependent regulator of chromatin subfamily D member 3</t>
  </si>
  <si>
    <t>Isoform 4 of Lipid phosphate phosphatase-related protein type 3</t>
  </si>
  <si>
    <t>Monofunctional C1-tetrahydrofolate synthase, mitochondrial</t>
  </si>
  <si>
    <t>Isoform 2 of Ankyrin repeat domain-containing protein 12</t>
  </si>
  <si>
    <t>Ankyrin repeat domain-containing protein 11</t>
  </si>
  <si>
    <t>Isoform 5 of Aftiphilin</t>
  </si>
  <si>
    <t>Pre-mRNA 3-end-processing factor FIP1</t>
  </si>
  <si>
    <t>Isoform 3 of Pre-mRNA 3-end-processing factor FIP1</t>
  </si>
  <si>
    <t>Isoform 3 of CREB-regulated transcription coactivator 3</t>
  </si>
  <si>
    <t>Isoform 3 of CREB-regulated transcription coactivator 1</t>
  </si>
  <si>
    <t>Spindle assembly abnormal protein 6 homolog</t>
  </si>
  <si>
    <t>KDEL motif-containing protein 1</t>
  </si>
  <si>
    <t>E3 ubiquitin-protein ligase LRSAM1</t>
  </si>
  <si>
    <t>Dehydrogenase/reductase SDR family member 11</t>
  </si>
  <si>
    <t>Suprabasin</t>
  </si>
  <si>
    <t>Peptidyl-prolyl cis-trans isomerase CWC27 homolog</t>
  </si>
  <si>
    <t>Isoform 4 of Cysteine-rich with EGF-like domain protein 2</t>
  </si>
  <si>
    <t>WD repeat-containing protein 82</t>
  </si>
  <si>
    <t>Apolipoprotein O-like</t>
  </si>
  <si>
    <t>ADAMTS-like protein 4</t>
  </si>
  <si>
    <t>Isoform 3 of Protocadherin Fat 4</t>
  </si>
  <si>
    <t>Phosphofurin acidic cluster sorting protein 1</t>
  </si>
  <si>
    <t>Isoform 4 of BCL-6 corepressor</t>
  </si>
  <si>
    <t>Myosin phosphatase Rho-interacting protein</t>
  </si>
  <si>
    <t>Rab11 family-interacting protein 1</t>
  </si>
  <si>
    <t>Immunoglobulin superfamily member 10</t>
  </si>
  <si>
    <t>Nicotinate phosphoribosyltransferase</t>
  </si>
  <si>
    <t>Isoform 2 of Dual serine/threonine and tyrosine protein kinase</t>
  </si>
  <si>
    <t>Dynamin-binding protein</t>
  </si>
  <si>
    <t>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</si>
  <si>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</si>
  <si>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</si>
  <si>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</si>
  <si>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Protein phosphatase 1 regulatory subunit 21</t>
  </si>
  <si>
    <t>Lysine-specific demethylase 7</t>
  </si>
  <si>
    <t>Isoform 3 of Nesprin-3</t>
  </si>
  <si>
    <t>RNA-binding protein MEX3B</t>
  </si>
  <si>
    <t>Zinc finger protein 813</t>
  </si>
  <si>
    <t>Protein lin-28 homolog B</t>
  </si>
  <si>
    <t>Metastasis-associated in colon cancer protein 1</t>
  </si>
  <si>
    <t>Isoform 6 of Differentially expressed in FDCP 8 homolog</t>
  </si>
  <si>
    <t>Zinc finger protein 574</t>
  </si>
  <si>
    <t>Zinc finger protein 600</t>
  </si>
  <si>
    <t>Isoform 2 of Neurobeachin-like protein 2</t>
  </si>
  <si>
    <t>GDP-D-glucose phosphorylase 1</t>
  </si>
  <si>
    <t>Solute carrier organic anion transporter family member 4C1</t>
  </si>
  <si>
    <t>Sulfhydryl oxidase 2</t>
  </si>
  <si>
    <t>Isoform 2 of Helicase SRCAP</t>
  </si>
  <si>
    <t>Ras and Rab interactor-like protein</t>
  </si>
  <si>
    <t>Isoform 2 of Protein FAM65A</t>
  </si>
  <si>
    <t>Uncharacterized protein C1orf122</t>
  </si>
  <si>
    <t>Isoform 2 of Rho guanine nucleotide exchange factor 18</t>
  </si>
  <si>
    <t>E3 ubiquitin-protein ligase UBR3</t>
  </si>
  <si>
    <t>SH3 domain-binding protein 1</t>
  </si>
  <si>
    <t>Ankyrin repeat domain-containing protein 13D</t>
  </si>
  <si>
    <t>Ubinuclein-2</t>
  </si>
  <si>
    <t>Isoform 2 of Rho GTPase-activating protein 27</t>
  </si>
  <si>
    <t>Isoform 3 of Uncharacterized protein C11orf57</t>
  </si>
  <si>
    <t>Isoform 2 of LanC-like protein 3</t>
  </si>
  <si>
    <t>8-oxo-dGDP phosphatase NUDT18</t>
  </si>
  <si>
    <t>TOM1-like protein 2</t>
  </si>
  <si>
    <t>Isoform 5 of PAX-interacting protein 1</t>
  </si>
  <si>
    <t>General transcription factor IIH subunit 5</t>
  </si>
  <si>
    <t>Isoform 3 of Vacuolar protein sorting-associated protein 13C</t>
  </si>
  <si>
    <t>Ubiquitin carboxyl-terminal hydrolase 34</t>
  </si>
  <si>
    <t>Inactive ubiquitin carboxyl-terminal hydrolase 53</t>
  </si>
  <si>
    <t>Ubiquitin carboxyl-terminal hydrolase 51</t>
  </si>
  <si>
    <t>Isoform 4 of Inactive ubiquitin carboxyl-terminal hydrolase 54</t>
  </si>
  <si>
    <t>MOB kinase activator 2</t>
  </si>
  <si>
    <t>Protein unc-13 homolog D</t>
  </si>
  <si>
    <t>Isoform 4 of Inhibitor of nuclear factor kappa-B kinase-interacting protein</t>
  </si>
  <si>
    <t>Protein FRA10AC1</t>
  </si>
  <si>
    <t>Uncharacterized protein C10orf71</t>
  </si>
  <si>
    <t>Ubiquitin-conjugating enzyme E2 R2</t>
  </si>
  <si>
    <t>Mediator of RNA polymerase II transcription subunit 13-like</t>
  </si>
  <si>
    <t>Isoform 3 of La-related protein 4</t>
  </si>
  <si>
    <t>Isoform 4 of Mediator of RNA polymerase II transcription subunit 25</t>
  </si>
  <si>
    <t>Isoform 2 of Tubulin alpha-1A chain</t>
  </si>
  <si>
    <t>Histone H2A.V</t>
  </si>
  <si>
    <t>E3 ubiquitin-protein ligase Hakai</t>
  </si>
  <si>
    <t>Isoform 2 of Integrator complex subunit 8</t>
  </si>
  <si>
    <t>MTSS1-like protein</t>
  </si>
  <si>
    <t>Isoform 4 of Nucleolar protein 8</t>
  </si>
  <si>
    <t>Protein phosphatase Slingshot homolog 2</t>
  </si>
  <si>
    <t>Isoform 2 of Centrosomal protein of 68 kDa</t>
  </si>
  <si>
    <t>Transcription elongation factor SPT6</t>
  </si>
  <si>
    <t>Isoform 2 of Transcription elongation factor SPT6</t>
  </si>
  <si>
    <t>Staphylococcal nuclease domain-containing protein 1</t>
  </si>
  <si>
    <t>Isoform 12 of Serine/threonine-protein kinase MARK2</t>
  </si>
  <si>
    <t>Isoform 14 of Serine/threonine-protein kinase MARK2</t>
  </si>
  <si>
    <t>DNA repair protein RAD51 homolog 3</t>
  </si>
  <si>
    <t>Probable ATP-dependent RNA helicase DDX46</t>
  </si>
  <si>
    <t>Isoform 2 of Protein RUFY3</t>
  </si>
  <si>
    <t>Isoform 4 of Protein RUFY3</t>
  </si>
  <si>
    <t>Mitochondrial ribonuclease P protein 1</t>
  </si>
  <si>
    <t>Basic leucine zipper and W2 domain-containing protein 1</t>
  </si>
  <si>
    <t>Cytochrome b5 reductase 4</t>
  </si>
  <si>
    <t>Vacuolar fusion protein MON1 homolog B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</si>
  <si>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</si>
  <si>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</si>
  <si>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</si>
  <si>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</si>
  <si>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Zinc finger protein 771</t>
  </si>
  <si>
    <t>Probable proline--tRNA ligase, mitochondrial</t>
  </si>
  <si>
    <t>Protein Bop</t>
  </si>
  <si>
    <t>Arginine/serine-rich coiled-coil protein 2</t>
  </si>
  <si>
    <t>Ras-related GTP-binding protein A</t>
  </si>
  <si>
    <t>Cytoplasmic FMR1-interacting protein 1</t>
  </si>
  <si>
    <t>Isoform 2 of Protein MCM10 homolog</t>
  </si>
  <si>
    <t>Golgi to ER traffic protein 4 homolog</t>
  </si>
  <si>
    <t>Mitochondrial enolase superfamily member 1</t>
  </si>
  <si>
    <t>DET1 homolog</t>
  </si>
  <si>
    <t>Macrophage erythroblast attacher</t>
  </si>
  <si>
    <t>EPM2A-interacting protein 1</t>
  </si>
  <si>
    <t>Serine/threonine-protein kinase TAO1</t>
  </si>
  <si>
    <t>SH3 domain-binding protein 5-like</t>
  </si>
  <si>
    <t>FAST kinase domain-containing protein 5</t>
  </si>
  <si>
    <t>Diphthine--ammonia ligase</t>
  </si>
  <si>
    <t>Zinc finger protein 627</t>
  </si>
  <si>
    <t>Lysine-specific demethylase 3B</t>
  </si>
  <si>
    <t>Charged multivesicular body protein 1b</t>
  </si>
  <si>
    <t>RAS guanyl-releasing protein 2</t>
  </si>
  <si>
    <t>Ribonucleoside-diphosphate reductase subunit M2 B</t>
  </si>
  <si>
    <t>Isoform 6 of STE20-related kinase adapter protein alpha</t>
  </si>
  <si>
    <t>Protein-methionine sulfoxide oxidase MICAL3</t>
  </si>
  <si>
    <t>Dymeclin</t>
  </si>
  <si>
    <t>PHD finger-like domain-containing protein 5A</t>
  </si>
  <si>
    <t>Isoform 3 of Aprataxin</t>
  </si>
  <si>
    <t>G protein-regulated inducer of neurite outgrowth 1</t>
  </si>
  <si>
    <t>TRMT1-like protein</t>
  </si>
  <si>
    <t>Zinc finger CCCH-type antiviral protein 1</t>
  </si>
  <si>
    <t>Elongation factor Tu GTP-binding domain-containing protein 1</t>
  </si>
  <si>
    <t>Protein FAM122B</t>
  </si>
  <si>
    <t>Isoform 3 of Probable helicase senataxin</t>
  </si>
  <si>
    <t>Trafficking protein particle complex subunit 11</t>
  </si>
  <si>
    <t>KAT8 regulatory NSL complex subunit 1</t>
  </si>
  <si>
    <t>LysM and putative peptidoglycan-binding domain-containing protein 3</t>
  </si>
  <si>
    <t>Uncharacterized protein C10orf118</t>
  </si>
  <si>
    <t>UPF0505 protein C16orf62</t>
  </si>
  <si>
    <t>Isoform 5 of Pogo transposable element with ZNF domain</t>
  </si>
  <si>
    <t>Isoform 4 of Mesoderm induction early response protein 3</t>
  </si>
  <si>
    <t>Zinc finger FYVE domain-containing protein 16</t>
  </si>
  <si>
    <t>Ubiquitin-protein ligase E3B</t>
  </si>
  <si>
    <t>Protein RD3</t>
  </si>
  <si>
    <t>C-myc promoter-binding protein</t>
  </si>
  <si>
    <t>Myosin-14</t>
  </si>
  <si>
    <t>Nuclear fragile X mental retardation-interacting protein 2</t>
  </si>
  <si>
    <t>Isoform 2 of SUZ domain-containing protein 1</t>
  </si>
  <si>
    <t>Mitochondrial antiviral-signaling protein</t>
  </si>
  <si>
    <t>CLIP-associating protein 1</t>
  </si>
  <si>
    <t>ATP-dependent RNA helicase DHX29</t>
  </si>
  <si>
    <t>Isoform 2 of Nephrocystin-3</t>
  </si>
  <si>
    <t>COMM domain-containing protein 6</t>
  </si>
  <si>
    <t>HD domain-containing protein 2</t>
  </si>
  <si>
    <t>HAUS augmin-like complex subunit 6</t>
  </si>
  <si>
    <t>KDEL motif-containing protein 2</t>
  </si>
  <si>
    <t>Isoform 4 of LIM and senescent cell antigen-like-containing domain protein 2</t>
  </si>
  <si>
    <t>HEAT repeat-containing protein 3</t>
  </si>
  <si>
    <t>Isoform 3 of Kinesin-like protein KIF21A</t>
  </si>
  <si>
    <t>Hepatoma-derived growth factor-related protein 2</t>
  </si>
  <si>
    <t>Isoform 2 of Hepatoma-derived growth factor-related protein 2</t>
  </si>
  <si>
    <t>L-xylulose reductase</t>
  </si>
  <si>
    <t>AT-hook-containing transcription factor</t>
  </si>
  <si>
    <t>Isoform 3 of Retinoic acid-induced protein 1</t>
  </si>
  <si>
    <t>Wings apart-like protein homolog</t>
  </si>
  <si>
    <t>Isoform 2 of R3H and coiled-coil domain-containing protein 1-like</t>
  </si>
  <si>
    <t>Isoform 2 of Interferon regulatory factor 2-binding protein 2</t>
  </si>
  <si>
    <t>Pre-miRNA 5-monophosphate methyltransferase</t>
  </si>
  <si>
    <t>BTB/POZ domain-containing protein KCTD20</t>
  </si>
  <si>
    <t>Calmodulin-lysine N-methyltransferase</t>
  </si>
  <si>
    <t>Isoform 2 of Coiled-coil domain-containing protein 91</t>
  </si>
  <si>
    <t>E3 ubiquitin-protein ligase RBBP6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</si>
  <si>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</si>
  <si>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</si>
  <si>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</si>
  <si>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</si>
  <si>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Allergin-1</t>
  </si>
  <si>
    <t>tRNA-specific adenosine deaminase 2</t>
  </si>
  <si>
    <t>Keratin, type II cytoskeletal 1b</t>
  </si>
  <si>
    <t>Isoform 5 of Centriolin</t>
  </si>
  <si>
    <t>Cytoplasmic tRNA 2-thiolation protein 1</t>
  </si>
  <si>
    <t>PX domain-containing protein kinase-like protein</t>
  </si>
  <si>
    <t>Transcription initiation factor TFIID subunit 8</t>
  </si>
  <si>
    <t>Ubiquitin-conjugating enzyme E2 Q1</t>
  </si>
  <si>
    <t>UPF0469 protein KIAA0907</t>
  </si>
  <si>
    <t>39S ribosomal protein L55, mitochondrial</t>
  </si>
  <si>
    <t>Isoform 2 of Vacuolar protein sorting-associated protein 13B</t>
  </si>
  <si>
    <t>COX assembly mitochondrial protein homolog</t>
  </si>
  <si>
    <t>Isoform 3 of Centromere protein V</t>
  </si>
  <si>
    <t>Polycomb group RING finger protein 5</t>
  </si>
  <si>
    <t>Serine/threonine-protein kinase Nek8</t>
  </si>
  <si>
    <t>Isoform 2 of G-protein coupled receptor 126</t>
  </si>
  <si>
    <t>Serologically defined colon cancer antigen 8</t>
  </si>
  <si>
    <t>Glutaredoxin-related protein 5, mitochondrial</t>
  </si>
  <si>
    <t>Trafficking protein particle complex subunit 6B</t>
  </si>
  <si>
    <t>Transcriptional regulator Kaiso</t>
  </si>
  <si>
    <t>Isoform 2 of Ubiquitin carboxyl-terminal hydrolase 37</t>
  </si>
  <si>
    <t>MOB kinase activator 3B</t>
  </si>
  <si>
    <t>Isoform 4 of Protein PAT1 homolog 1</t>
  </si>
  <si>
    <t>TBC1 domain family member 1</t>
  </si>
  <si>
    <t>Dipeptidyl peptidase 9</t>
  </si>
  <si>
    <t>Isoform 3 of Transcriptional adapter 2-beta</t>
  </si>
  <si>
    <t>Isoform 2 of tRNA 2-phosphotransferase 1</t>
  </si>
  <si>
    <t>Protein prune homolog</t>
  </si>
  <si>
    <t>Histone-lysine N-methyltransferase setd3</t>
  </si>
  <si>
    <t>Full-length cDNA clone CS0DI002YH20 of Placenta of Homo sapiens (human)</t>
  </si>
  <si>
    <t>Tetratricopeptide repeat protein 7B</t>
  </si>
  <si>
    <t>Iron-sulfur cluster assembly 2 homolog, mitochondrial</t>
  </si>
  <si>
    <t>N6-adenosine-methyltransferase 70 kDa subunit</t>
  </si>
  <si>
    <t>Isoform 2 of LIM domain-binding protein 1</t>
  </si>
  <si>
    <t>Isoform 8 of Protein polybromo-1</t>
  </si>
  <si>
    <t>YrdC domain-containing protein, mitochondrial</t>
  </si>
  <si>
    <t>Pre-mRNA-processing factor 39</t>
  </si>
  <si>
    <t>Protein LYRIC</t>
  </si>
  <si>
    <t>Isoform 2 of Serine/threonine-protein kinase tousled-like 2</t>
  </si>
  <si>
    <t>Isoform 3 of Zinc finger protein 598</t>
  </si>
  <si>
    <t>Kinectin</t>
  </si>
  <si>
    <t>Telomerase-binding protein EST1A</t>
  </si>
  <si>
    <t>Isoform 3 of B-cell CLL/lymphoma 9-like protein</t>
  </si>
  <si>
    <t>Isoform 2 of Pleckstrin homology-like domain family B member 1</t>
  </si>
  <si>
    <t>Ubiquitin carboxyl-terminal hydrolase 48</t>
  </si>
  <si>
    <t>Isoform 2 of NEDD4-binding protein 2</t>
  </si>
  <si>
    <t>ATP-binding cassette C5 splicing variant A</t>
  </si>
  <si>
    <t>Serine/threonine-protein kinase 32C</t>
  </si>
  <si>
    <t>TXNDC5 protein</t>
  </si>
  <si>
    <t>Protein FAM83A</t>
  </si>
  <si>
    <t>Isoform 2 of 5-nucleotidase domain-containing protein 3</t>
  </si>
  <si>
    <t>Acetoacetyl-CoA synthetase</t>
  </si>
  <si>
    <t>Leucine zipper protein 1</t>
  </si>
  <si>
    <t>PNMA-like protein 1</t>
  </si>
  <si>
    <t>Protein FAM160B2</t>
  </si>
  <si>
    <t>Uncharacterized protein C11orf74</t>
  </si>
  <si>
    <t>HCG1980662</t>
  </si>
  <si>
    <t>Zinc finger CCCH domain-containing protein 18</t>
  </si>
  <si>
    <t>Vacuolar protein-sorting-associated protein 36</t>
  </si>
  <si>
    <t>Isoform 2 of Tax1-binding protein 1</t>
  </si>
  <si>
    <t>Cullin-associated NEDD8-dissociated protein 1</t>
  </si>
  <si>
    <t>Glucocorticoid-induced transcript 1 protein</t>
  </si>
  <si>
    <t>Thioredoxin reductase 3</t>
  </si>
  <si>
    <t>Protein FAM134C</t>
  </si>
  <si>
    <t>Protein Hook homolog 3</t>
  </si>
  <si>
    <t>Isoform 3 of Rotatin</t>
  </si>
  <si>
    <t>Isoform 2 of COMM domain-containing protein 7</t>
  </si>
  <si>
    <t>Vacuolar fusion protein MON1 homolog A</t>
  </si>
  <si>
    <t>Testis-specific Y-encoded-like protein 5</t>
  </si>
  <si>
    <t>Archaemetzincin-2</t>
  </si>
  <si>
    <t>THO complex subunit 6 homolog</t>
  </si>
  <si>
    <t>Methyltransferase-like protein 16</t>
  </si>
  <si>
    <t>Isoform 2 of Poly(ADP-ribose) glycohydrolase</t>
  </si>
  <si>
    <t>Isoform 4 of Liprin-beta-1</t>
  </si>
  <si>
    <t>Isoform 2 of Valacyclovir hydrolase</t>
  </si>
  <si>
    <t>Ras association domain-containing protein 3</t>
  </si>
  <si>
    <t>Isoform 2 of Chromodomain-helicase-DNA-binding protein 1-like</t>
  </si>
  <si>
    <t>FCH and double SH3 domains protein 1</t>
  </si>
  <si>
    <t>Isoform 3 of Vasculin</t>
  </si>
  <si>
    <t>Nuclear receptor 2C2-associated protein</t>
  </si>
  <si>
    <t>Coiled-coil domain-containing protein 25</t>
  </si>
  <si>
    <t>Proline and serine-rich protein 2</t>
  </si>
  <si>
    <t>Isoform 2 of Probable D-lactate dehydrogenase, mitochondrial</t>
  </si>
  <si>
    <t>Active regulator of SIRT1</t>
  </si>
  <si>
    <t>Cerebellar degeneration-related protein 2-like</t>
  </si>
  <si>
    <t>Isoform 3 of Ral GTPase-activating protein subunit beta</t>
  </si>
  <si>
    <t>Ras-specific guanine nucleotide-releasing factor RalGPS2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</si>
  <si>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</si>
  <si>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</si>
  <si>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</si>
  <si>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</si>
  <si>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2 of Corepressor interacting with RBPJ 1</t>
  </si>
  <si>
    <t>Isoform 6 of F-box only protein 11</t>
  </si>
  <si>
    <t>Isoform 3 of Swi5-dependent recombination DNA repair protein 1 homolog</t>
  </si>
  <si>
    <t>RNA-binding protein MEX3D</t>
  </si>
  <si>
    <t>Isoform 2 of Diacylglycerol kinase eta</t>
  </si>
  <si>
    <t>ATP-dependent RNA helicase DDX42</t>
  </si>
  <si>
    <t>Isoform 5 of Serine/threonine-protein kinase VRK2</t>
  </si>
  <si>
    <t>E3 ubiquitin-protein ligase DZIP3</t>
  </si>
  <si>
    <t>Collagen alpha-1(XXIII) chain</t>
  </si>
  <si>
    <t>CDK2-associated and cullin domain-containing protein 1</t>
  </si>
  <si>
    <t>HEAT repeat-containing protein 2</t>
  </si>
  <si>
    <t>Probable peptidyl-tRNA hydrolase</t>
  </si>
  <si>
    <t>Syntaxin-12</t>
  </si>
  <si>
    <t>Isoform 2 of Kinesin-like protein KIF18B</t>
  </si>
  <si>
    <t>ERO1-like protein beta</t>
  </si>
  <si>
    <t>Zinc finger protein 280B</t>
  </si>
  <si>
    <t>Decaprenyl-diphosphate synthase subunit 2</t>
  </si>
  <si>
    <t>Homer protein homolog 1</t>
  </si>
  <si>
    <t>Transcriptional repressor p66-alpha</t>
  </si>
  <si>
    <t>Isoform 4 of G-protein-signaling modulator 1</t>
  </si>
  <si>
    <t>C2 domain-containing protein 5</t>
  </si>
  <si>
    <t>Tyrosine-protein kinase SgK223</t>
  </si>
  <si>
    <t>Hermansky-Pudlak syndrome 6 protein</t>
  </si>
  <si>
    <t>Hornerin</t>
  </si>
  <si>
    <t>Isoform 2 of m7GpppN-mRNA hydrolase</t>
  </si>
  <si>
    <t>Interferon regulatory factor 2-binding protein 1</t>
  </si>
  <si>
    <t>Rhophilin-2</t>
  </si>
  <si>
    <t>ELKS/Rab6-interacting/CAST family member 1</t>
  </si>
  <si>
    <t>Homeobox protein TGIF2LX</t>
  </si>
  <si>
    <t>Bifunctional lysine-specific demethylase and histidyl-hydroxylase MINA</t>
  </si>
  <si>
    <t>Unconventional myosin-XVIIIb</t>
  </si>
  <si>
    <t>Isoform 2 of RNA-binding protein 45</t>
  </si>
  <si>
    <t>Cytokine receptor-like factor 3</t>
  </si>
  <si>
    <t>E3 ubiquitin-protein ligase SIAH1</t>
  </si>
  <si>
    <t>Trafficking protein particle complex subunit 5</t>
  </si>
  <si>
    <t>DNA dC-&gt;dU-editing enzyme APOBEC-3F</t>
  </si>
  <si>
    <t>5-phosphohydroxy-L-lysine phospho-lyase</t>
  </si>
  <si>
    <t>Phospholipase D3</t>
  </si>
  <si>
    <t>Ankyrin repeat and MYND domain-containing protein 2</t>
  </si>
  <si>
    <t>3-5 exoribonuclease 1</t>
  </si>
  <si>
    <t>LysM and putative peptidoglycan-binding domain-containing protein 2</t>
  </si>
  <si>
    <t>Isoform 3 of Inactive serine/threonine-protein kinase VRK3</t>
  </si>
  <si>
    <t>NudC domain-containing protein 3</t>
  </si>
  <si>
    <t>Isoform 10 of Neuron navigator 2</t>
  </si>
  <si>
    <t>Coiled-coil domain-containing protein 50</t>
  </si>
  <si>
    <t>Isoform 2 of Coiled-coil domain-containing protein 50</t>
  </si>
  <si>
    <t>Malonyl-CoA-acyl carrier protein transacylase, mitochondrial</t>
  </si>
  <si>
    <t>Lipoxygenase homology domain-containing protein 1</t>
  </si>
  <si>
    <t>Isoform 4 of AT-rich interactive domain-containing protein 3B</t>
  </si>
  <si>
    <t>Isoform 2 of MAP kinase-activated protein kinase 5</t>
  </si>
  <si>
    <t>ATP-dependent (S)-NAD(P)H-hydrate dehydratase</t>
  </si>
  <si>
    <t>WD repeat and FYVE domain-containing protein 1</t>
  </si>
  <si>
    <t>Testis-expressed sequence 2 protein</t>
  </si>
  <si>
    <t>Isoform 2 of MAP7 domain-containing protein 3</t>
  </si>
  <si>
    <t>Coiled-coil domain-containing protein 117</t>
  </si>
  <si>
    <t>Protein DENND6A</t>
  </si>
  <si>
    <t>Isoform 2 of WD repeat-containing protein 63</t>
  </si>
  <si>
    <t>MAX gene-associated protein</t>
  </si>
  <si>
    <t>GRIP and coiled-coil domain-containing protein 2</t>
  </si>
  <si>
    <t>Iron-sulfur cluster co-chaperone protein HscB, mitochondrial</t>
  </si>
  <si>
    <t>Coiled-coil domain-containing protein 28A</t>
  </si>
  <si>
    <t>Zinc finger CCCH domain-containing protein 7A</t>
  </si>
  <si>
    <t>Protein archease</t>
  </si>
  <si>
    <t>Serine/threonine-protein kinase LMTK2</t>
  </si>
  <si>
    <t>E3 ubiquitin-protein ligase UBR1</t>
  </si>
  <si>
    <t>E3 ubiquitin-protein ligase UBR2</t>
  </si>
  <si>
    <t>Isoform 2 of Rho GTPase-activating protein 12</t>
  </si>
  <si>
    <t>Calcium homeostasis endoplasmic reticulum protein</t>
  </si>
  <si>
    <t>Isoform 4 of Zinc finger and SCAN domain-containing protein 29</t>
  </si>
  <si>
    <t>Isoform 1 of Codanin-1</t>
  </si>
  <si>
    <t>Isoform 6 of Ankyrin repeat and KH domain-containing protein 1</t>
  </si>
  <si>
    <t>SURP and G-patch domain-containing protein 1</t>
  </si>
  <si>
    <t>Isoform 4 of SURP and G-patch domain-containing protein 2</t>
  </si>
  <si>
    <t>Isoform 6 of Ubiquitin-conjugating enzyme E2 variant 3</t>
  </si>
  <si>
    <t>Zinc finger protein ZFPM1</t>
  </si>
  <si>
    <t>Isoform 2 of Cell division cycle and apoptosis regulator protein 1</t>
  </si>
  <si>
    <t>Homeobox and leucine zipper protein Homez</t>
  </si>
  <si>
    <t>Isoform 3 of Probable ATP-dependent RNA helicase DHX40</t>
  </si>
  <si>
    <t>Spindle and kinetochore-associated protein 3</t>
  </si>
  <si>
    <t>Isoform 2 of DnaJ homolog subfamily C member 10</t>
  </si>
  <si>
    <t>Isoform NELF-D of Negative elongation factor C/D</t>
  </si>
  <si>
    <t>Isoform 2 of NAD-dependent protein deacetylase sirtuin-2</t>
  </si>
  <si>
    <t>Putative Polycomb group protein ASXL1</t>
  </si>
  <si>
    <t>Isoform 2 of Polyhomeotic-like protein 2</t>
  </si>
  <si>
    <t>Polypeptide N-acetylgalactosaminyltransferase 12</t>
  </si>
  <si>
    <t>39S ribosomal protein L41, mitochondrial</t>
  </si>
  <si>
    <t>Uncharacterized protein C9orf40</t>
  </si>
  <si>
    <t>Uncharacterized protein KIAA1704</t>
  </si>
  <si>
    <t>Isoform 2 of Kelch-like protein 7</t>
  </si>
  <si>
    <t>Protein FAM126B</t>
  </si>
  <si>
    <t>Putative RNA polymerase II subunit B1 CTD phosphatase RPAP2</t>
  </si>
  <si>
    <t>Zinc finger CCCH domain-containing protein 3</t>
  </si>
  <si>
    <t>Structural maintenance of chromosomes protein 5</t>
  </si>
  <si>
    <t>C-Maf-inducing protein</t>
  </si>
  <si>
    <t>Intraflagellar transport protein 20 homolog</t>
  </si>
  <si>
    <t>MICAL-like protein 2</t>
  </si>
  <si>
    <t>Probable ATP-dependent RNA helicase DHX37</t>
  </si>
  <si>
    <t>Kelch repeat and BTB domain-containing protein 2</t>
  </si>
  <si>
    <t>Isoform 2 of Angiomotin-like protein 1</t>
  </si>
  <si>
    <t>Isoform 2 of Ribonucleoprotein PTB-binding 1</t>
  </si>
  <si>
    <t>pre-rRNA processing protein FTSJ3</t>
  </si>
  <si>
    <t>Structure-specific endonuclease subunit SLX4</t>
  </si>
  <si>
    <t>Cytoskeleton-associated protein 2-like</t>
  </si>
  <si>
    <t>Isoform 3 of Stromal membrane-associated protein 1</t>
  </si>
  <si>
    <t>DIS3-like exonuclease 2</t>
  </si>
  <si>
    <t>ATP-dependent RNA helicase SUPV3L1, mitochondrial</t>
  </si>
  <si>
    <t>Zinc finger protein 595</t>
  </si>
  <si>
    <t>Eukaryotic peptide chain release factor GTP-binding subunit ERF3B</t>
  </si>
  <si>
    <t>Coiled-coil domain-containing protein 146</t>
  </si>
  <si>
    <t>Isoform 4 of ZZ-type zinc finger-containing protein 3</t>
  </si>
  <si>
    <t>Exocyst complex component 8</t>
  </si>
  <si>
    <t>Procollagen galactosyltransferase 2</t>
  </si>
  <si>
    <t>UPF0688 protein C1orf174</t>
  </si>
  <si>
    <t>Transcription elongation factor A protein-like 8</t>
  </si>
  <si>
    <t>UBA-like domain-containing protein 2</t>
  </si>
  <si>
    <t>Focal adhesion kinase 1</t>
  </si>
  <si>
    <t>Threonine synthase-like 1</t>
  </si>
  <si>
    <t>FtsJ methyltransferase domain-containing protein 1</t>
  </si>
  <si>
    <t>E3 ubiquitin-protein ligase HACE1</t>
  </si>
  <si>
    <t>Calcium uptake protein 2, mitochondrial</t>
  </si>
  <si>
    <t>E3 ubiquitin-protein ligase RNF168</t>
  </si>
  <si>
    <t>Ankyrin repeat domain-containing protein 13A</t>
  </si>
  <si>
    <t>Transposon-derived Buster3 transposase-like protein</t>
  </si>
  <si>
    <t>Isoform 3 of Phosphatase and actin regulator 4</t>
  </si>
  <si>
    <t>tRNA (uracil-5-)-methyltransferase homolog A</t>
  </si>
  <si>
    <t>RNA pseudouridylate synthase domain-containing protein 2</t>
  </si>
  <si>
    <t>Aldehyde dehydrogenase family 16 member A1</t>
  </si>
  <si>
    <t>Isoform 6 of Histone-lysine N-methyltransferase MLL5</t>
  </si>
  <si>
    <t>Isoform 2 of Protein-associating with the carboxyl-terminal domain of ezrin</t>
  </si>
  <si>
    <t>Isoform 2 of 5-3 exoribonuclease 1</t>
  </si>
  <si>
    <t>Isoform 2 of Netrin receptor UNC5B</t>
  </si>
  <si>
    <t>Mastermind-like protein 2</t>
  </si>
  <si>
    <t>Proline-, glutamic acid- and leucine-rich protein 1</t>
  </si>
  <si>
    <t>Isoform 10 of Abl interactor 1</t>
  </si>
  <si>
    <t>Isoform 2 of WD repeat and FYVE domain-containing protein 3</t>
  </si>
  <si>
    <t>Isoform 2 of Abnormal spindle-like microcephaly-associated protein</t>
  </si>
  <si>
    <t>Retinol dehydrogenase 10</t>
  </si>
  <si>
    <t>Synaptonemal complex central element protein 1</t>
  </si>
  <si>
    <t>Uncharacterized protein C8orf59</t>
  </si>
  <si>
    <t>L-fucose kinase</t>
  </si>
  <si>
    <t>Spartin</t>
  </si>
  <si>
    <t>Isoform 2 of Zinc finger protein 444</t>
  </si>
  <si>
    <t>Spindle and centriole-associated protein 1</t>
  </si>
  <si>
    <t>Tetratricopeptide repeat protein 5</t>
  </si>
  <si>
    <t>Isoform 7 of Mesoderm induction early response protein 1</t>
  </si>
  <si>
    <t>Regulatory-associated protein of mTOR</t>
  </si>
  <si>
    <t>Protein canopy homolog 4</t>
  </si>
  <si>
    <t>Adenylosuccinate synthetase isozyme 1</t>
  </si>
  <si>
    <t>DBIRD complex subunit KIAA1967</t>
  </si>
  <si>
    <t>Mimitin, mitochondrial</t>
  </si>
  <si>
    <t>Homeobox protein SIX5</t>
  </si>
  <si>
    <t>UPF0462 protein C4orf33</t>
  </si>
  <si>
    <t>Vacuolar protein sorting-associated protein 52 homolog</t>
  </si>
  <si>
    <t>Nuclear pore complex protein Nup93</t>
  </si>
  <si>
    <t>Zinc finger protein 687</t>
  </si>
  <si>
    <t>RNA exonuclease 1 homolog</t>
  </si>
  <si>
    <t>Cap-specific mRNA (nucleoside-2-O-)-methyltransferase 1</t>
  </si>
  <si>
    <t>Leucine-rich repeat-containing protein 47</t>
  </si>
  <si>
    <t>Protein FAM115C</t>
  </si>
  <si>
    <t>Keratin, type II cytoskeletal 78</t>
  </si>
  <si>
    <t>Carbonic anhydrase 13</t>
  </si>
  <si>
    <t>Integrator complex subunit 1</t>
  </si>
  <si>
    <t>Isoform 3 of Armadillo repeat-containing protein 10</t>
  </si>
  <si>
    <t>Monoacylglycerol lipase ABHD12</t>
  </si>
  <si>
    <t>E3 SUMO-protein ligase PIAS4</t>
  </si>
  <si>
    <t>Coiled-coil domain-containing protein 23</t>
  </si>
  <si>
    <t>Angiogenic factor with G patch and FHA domains 1</t>
  </si>
  <si>
    <t>Glycerol-3-phosphate dehydrogenase 1-like protein</t>
  </si>
  <si>
    <t>Mesoderm induction early response protein 2</t>
  </si>
  <si>
    <t>Protein Dos</t>
  </si>
  <si>
    <t>Lysine-specific demethylase 8</t>
  </si>
  <si>
    <t>Rho GTPase-activating protein 18</t>
  </si>
  <si>
    <t>Activating signal cointegrator 1 complex subunit 3</t>
  </si>
  <si>
    <t>EH domain-binding protein 1-like protein 1</t>
  </si>
  <si>
    <t>MICAL-like protein 1</t>
  </si>
  <si>
    <t>Isoform 3 of Uncharacterized protein C17orf53</t>
  </si>
  <si>
    <t>Isoform 3 of Vacuolar protein sorting-associated protein 8 homolog</t>
  </si>
  <si>
    <t>MAGUK p55 subfamily member 5</t>
  </si>
  <si>
    <t>Formin-binding protein 4</t>
  </si>
  <si>
    <t>Isoform 3 of Ligand-dependent nuclear receptor corepressor-like protein</t>
  </si>
  <si>
    <t>Isoform 2 of F-box/WD repeat-containing protein 8</t>
  </si>
  <si>
    <t>Isoform 2 of D-2-hydroxyglutarate dehydrogenase, mitochondrial</t>
  </si>
  <si>
    <t>RING1 and YY1-binding protein</t>
  </si>
  <si>
    <t>Isoform 4 of Misshapen-like kinase 1</t>
  </si>
  <si>
    <t>Mitochondrial import receptor subunit TOM5 homolog</t>
  </si>
  <si>
    <t>UPF0586 protein C9orf41</t>
  </si>
  <si>
    <t>Isoform 2 of Kelch-like protein 36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</si>
  <si>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</si>
  <si>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</si>
  <si>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</si>
  <si>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Carbonyl reductase family member 4</t>
  </si>
  <si>
    <t>Actin filament-associated protein 1</t>
  </si>
  <si>
    <t>Zinc finger CCHC domain-containing protein 9</t>
  </si>
  <si>
    <t>Isoform 8 of Oxidation resistance protein 1</t>
  </si>
  <si>
    <t>Isoform 3 of Zinc finger CCCH-type with G patch domain-containing protein</t>
  </si>
  <si>
    <t>S1 RNA-binding domain-containing protein 1</t>
  </si>
  <si>
    <t>DTW domain-containing protein 1</t>
  </si>
  <si>
    <t>Isoform 2 of TGF-beta-activated kinase 1 and MAP3K7-binding protein 3</t>
  </si>
  <si>
    <t>Isoform 4 of WD and tetratricopeptide repeats protein 1</t>
  </si>
  <si>
    <t>NF-kappa-B-activating protein</t>
  </si>
  <si>
    <t>Macoilin</t>
  </si>
  <si>
    <t>Uncharacterized protein C12orf45</t>
  </si>
  <si>
    <t>CDGSH iron-sulfur domain-containing protein 2</t>
  </si>
  <si>
    <t>Ribonuclease P protein subunit p25-like protein</t>
  </si>
  <si>
    <t>ATP synthase mitochondrial F1 complex assembly factor 2</t>
  </si>
  <si>
    <t>39S ribosomal protein L50, mitochondrial</t>
  </si>
  <si>
    <t>Zinc finger CCCH domain-containing protein 8</t>
  </si>
  <si>
    <t>Calcium/calmodulin-dependent protein kinase kinase 1</t>
  </si>
  <si>
    <t>RING finger protein 10</t>
  </si>
  <si>
    <t>Isoform 2 of Eukaryotic translation initiation factor 4E type 3</t>
  </si>
  <si>
    <t>Isoform 4 of Male-specific lethal 3 homolog</t>
  </si>
  <si>
    <t>Isoform 3 of FTS and Hook-interacting protein</t>
  </si>
  <si>
    <t>Leucine-zipper-like transcriptional regulator 1</t>
  </si>
  <si>
    <t>Uncharacterized protein C10orf12</t>
  </si>
  <si>
    <t>COMM domain-containing protein 1</t>
  </si>
  <si>
    <t>Zinc finger and BTB domain-containing protein 2</t>
  </si>
  <si>
    <t>Cleavage and polyadenylation specificity factor subunit 7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</si>
  <si>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</si>
  <si>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</si>
  <si>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</si>
  <si>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</si>
  <si>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Isoform 2 of NAD-dependent protein deacetylase sirtuin-6</t>
  </si>
  <si>
    <t>Isoform 3 of Zinc finger protein 655</t>
  </si>
  <si>
    <t>Melanoma-associated antigen B6</t>
  </si>
  <si>
    <t>Putative E3 ubiquitin-protein ligase UBR7</t>
  </si>
  <si>
    <t>Isoform 2 of Probable protein phosphatase 1N</t>
  </si>
  <si>
    <t>ATP-dependent RNA helicase DDX51</t>
  </si>
  <si>
    <t>Prostaglandin reductase 2</t>
  </si>
  <si>
    <t>UPF0565 protein C2orf69</t>
  </si>
  <si>
    <t>ARL14 effector protein</t>
  </si>
  <si>
    <t>Isoform 2 of Protein enabled homolog</t>
  </si>
  <si>
    <t>G patch domain-containing protein 11</t>
  </si>
  <si>
    <t>Centrosomal protein of 120 kDa</t>
  </si>
  <si>
    <t>Coiled-coil domain-containing protein 89</t>
  </si>
  <si>
    <t>Uncharacterized protein C12orf29</t>
  </si>
  <si>
    <t>Isoform 2 of Junction-mediating and -regulatory protein</t>
  </si>
  <si>
    <t>N-acetylaspartate synthetase</t>
  </si>
  <si>
    <t>Isoform 4 of Zinc finger protein ZIC 4</t>
  </si>
  <si>
    <t>Uncharacterized protein C19orf47</t>
  </si>
  <si>
    <t>Transmembrane protein 102</t>
  </si>
  <si>
    <t>Isoform 7 of Protein BANP</t>
  </si>
  <si>
    <t>Leucine-rich repeat-containing protein 57</t>
  </si>
  <si>
    <t>Probable RNA-binding protein EIF1AD</t>
  </si>
  <si>
    <t>Protein SREK1IP1</t>
  </si>
  <si>
    <t>Protein SCAI</t>
  </si>
  <si>
    <t>WD repeat, SAM and U-box domain-containing protein 1</t>
  </si>
  <si>
    <t>Coiled-coil domain-containing protein 71L</t>
  </si>
  <si>
    <t>Zinc finger protein 579</t>
  </si>
  <si>
    <t>Zinc finger and BTB domain-containing protein 38</t>
  </si>
  <si>
    <t>Tudor domain-containing protein 5</t>
  </si>
  <si>
    <t>Pre-mRNA-splicing factor 38A</t>
  </si>
  <si>
    <t>Isoform 2 of Zinc finger protein 511</t>
  </si>
  <si>
    <t>Mixed lineage kinase domain-like protein</t>
  </si>
  <si>
    <t>Isoform 3 of Parkinson disease 7 domain-containing protein 1</t>
  </si>
  <si>
    <t>Isoform 2 of Zinc finger protein 527</t>
  </si>
  <si>
    <t>Serine/threonine-protein phosphatase 6 regulatory ankyrin repeat subunit C</t>
  </si>
  <si>
    <t>Lysine-specific histone demethylase 1B</t>
  </si>
  <si>
    <t>Spermatogenesis-associated protein 5</t>
  </si>
  <si>
    <t>DTW domain-containing protein 2</t>
  </si>
  <si>
    <t>NHL repeat-containing protein 2</t>
  </si>
  <si>
    <t>Isoform 2 of Late secretory pathway protein AVL9 homolog</t>
  </si>
  <si>
    <t>Procollagen galactosyltransferase 1</t>
  </si>
  <si>
    <t>Sulfatase-modifying factor 2</t>
  </si>
  <si>
    <t>Protein O-glucosyltransferase 1</t>
  </si>
  <si>
    <t>Isoform 4 of Ubiquitin-associated domain-containing protein 2</t>
  </si>
  <si>
    <t>Retinol dehydrogenase 13</t>
  </si>
  <si>
    <t>Saccharopine dehydrogenase-like oxidoreductase</t>
  </si>
  <si>
    <t>INO80 complex subunit E</t>
  </si>
  <si>
    <t>Isoform 2 of Plasminogen activator inhibitor 1 RNA-binding protein</t>
  </si>
  <si>
    <t>LEM domain-containing protein 2</t>
  </si>
  <si>
    <t>Nitric oxide-associated protein 1</t>
  </si>
  <si>
    <t>Caspase recruitment domain-containing protein 10</t>
  </si>
  <si>
    <t>Adaptin ear-binding coat-associated protein 1</t>
  </si>
  <si>
    <t>Isoform 2 of Protein FAM98A</t>
  </si>
  <si>
    <t>Group XV phospholipase A2</t>
  </si>
  <si>
    <t>Holliday junction recognition protein</t>
  </si>
  <si>
    <t>Isoform 4 of tRNA-splicing endonuclease subunit Sen2</t>
  </si>
  <si>
    <t>Isoform 2 of Myotubularin-related protein 14</t>
  </si>
  <si>
    <t>NFATC2-interacting protein</t>
  </si>
  <si>
    <t>Zinc finger and BTB domain-containing protein 34</t>
  </si>
  <si>
    <t>E3 ubiquitin-protein ligase RNF169</t>
  </si>
  <si>
    <t>Pyruvate dehydrogenase phosphatase regulatory subunit, mitochondrial</t>
  </si>
  <si>
    <t>Isoform 3 of Zinc finger and BTB domain-containing protein 44</t>
  </si>
  <si>
    <t>NAD(P)H-hydrate epimerase</t>
  </si>
  <si>
    <t>Myb/SANT-like DNA-binding domain-containing protein 4</t>
  </si>
  <si>
    <t>Protein SMG8</t>
  </si>
  <si>
    <t>RING finger protein 214</t>
  </si>
  <si>
    <t>Liprin-beta-2</t>
  </si>
  <si>
    <t>Isoform 2 of Protein LSM14 homolog A</t>
  </si>
  <si>
    <t>Isoform 3 of Cyclin-Y</t>
  </si>
  <si>
    <t>MAPK-interacting and spindle-stabilizing protein-like</t>
  </si>
  <si>
    <t>Isoform 3 of Uncharacterized protein C1orf131</t>
  </si>
  <si>
    <t>PAP-associated domain-containing protein 5</t>
  </si>
  <si>
    <t>Isoform 3 of EH domain-binding protein 1</t>
  </si>
  <si>
    <t>Isoform 2 of Trinucleotide repeat-containing gene 6A protein</t>
  </si>
  <si>
    <t>PH and SEC7 domain-containing protein 4</t>
  </si>
  <si>
    <t>Isoform 7 of Polyhomeotic-like protein 3</t>
  </si>
  <si>
    <t>Isoform 2 of Metal transporter CNNM3</t>
  </si>
  <si>
    <t>Isoform 2 of Cytoplasmic polyadenylation element-binding protein 3</t>
  </si>
  <si>
    <t>ATP-binding cassette sub-family F member 1</t>
  </si>
  <si>
    <t>Phosphatidylinositol 3-kinase catalytic subunit type 3</t>
  </si>
  <si>
    <t>Glutathione S-transferase C-terminal domain-containing protein</t>
  </si>
  <si>
    <t>Serum response factor-binding protein 1</t>
  </si>
  <si>
    <t>Isoform 2 of Neuroguidin</t>
  </si>
  <si>
    <t>SHC SH2 domain-binding protein 1</t>
  </si>
  <si>
    <t>PDZ domain-containing protein 8</t>
  </si>
  <si>
    <t>Isoform 2 of DCC-interacting protein 13-beta</t>
  </si>
  <si>
    <t>Isoform 2 of Neuron navigator 1</t>
  </si>
  <si>
    <t>Isoform 2 of Periphilin-1</t>
  </si>
  <si>
    <t>Isoform 3 of Periphilin-1</t>
  </si>
  <si>
    <t>Vacuolar protein sorting-associated protein 37A</t>
  </si>
  <si>
    <t>Histone-lysine N-methyltransferase MLL3</t>
  </si>
  <si>
    <t>F-box only protein 22</t>
  </si>
  <si>
    <t>Lysophosphatidylcholine acyltransferase 1</t>
  </si>
  <si>
    <t>Isoform 4 of Dedicator of cytokinesis protein 8</t>
  </si>
  <si>
    <t>Isoform 3 of Zinc finger MIZ domain-containing protein 2</t>
  </si>
  <si>
    <t>Zinc finger protein 397</t>
  </si>
  <si>
    <t>Ubiquitin carboxyl-terminal hydrolase 32</t>
  </si>
  <si>
    <t>Biorientation of chromosomes in cell division protein 1-like 1</t>
  </si>
  <si>
    <t>Isoform 3 of FAD synthase</t>
  </si>
  <si>
    <t>Folliculin</t>
  </si>
  <si>
    <t>Nucleoporin Nup43</t>
  </si>
  <si>
    <t>Nucleoporin Nup37</t>
  </si>
  <si>
    <t>Cytosolic endo-beta-N-acetylglucosaminidase</t>
  </si>
  <si>
    <t>Torsin-1A-interacting protein 2</t>
  </si>
  <si>
    <t>Alpha/beta hydrolase domain-containing protein 11</t>
  </si>
  <si>
    <t>N-acylneuraminate cytidylyltransferase</t>
  </si>
  <si>
    <t>Kelch repeat and BTB domain-containing protein 8</t>
  </si>
  <si>
    <t>F-box only protein 18</t>
  </si>
  <si>
    <t>DNA helicase B</t>
  </si>
  <si>
    <t>Isoform 2 of Protein CASC5</t>
  </si>
  <si>
    <t>Tubulin--tyrosine ligase</t>
  </si>
  <si>
    <t>Small VCP/p97-interacting protein</t>
  </si>
  <si>
    <t>E3 ubiquitin-protein ligase ZNRF2</t>
  </si>
  <si>
    <t>Putative trypsin-6</t>
  </si>
  <si>
    <t>Isoform 4 of Lysine-specific demethylase 2B</t>
  </si>
  <si>
    <t>Putative phospholipase B-like 2</t>
  </si>
  <si>
    <t>Isoform 2 of Ras association domain-containing protein 8</t>
  </si>
  <si>
    <t>Tudor domain-containing protein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</si>
  <si>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</si>
  <si>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</si>
  <si>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</si>
  <si>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</si>
  <si>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THO complex subunit 2</t>
  </si>
  <si>
    <t>WD repeat-containing protein 36</t>
  </si>
  <si>
    <t>Isoform 8 of Transcriptional repressor CTCFL</t>
  </si>
  <si>
    <t>Retinitis pigmentosa 9 protein</t>
  </si>
  <si>
    <t>Rieske domain-containing protein</t>
  </si>
  <si>
    <t>Smad nuclear-interacting protein 1</t>
  </si>
  <si>
    <t>Protein phosphatase 1 regulatory subunit 14C</t>
  </si>
  <si>
    <t>Growth arrest and DNA damage-inducible proteins-interacting protein 1</t>
  </si>
  <si>
    <t>WD repeat-containing protein 48</t>
  </si>
  <si>
    <t>Centrosomal protein of 76 kDa</t>
  </si>
  <si>
    <t>Protein phosphatase 1 regulatory subunit 35</t>
  </si>
  <si>
    <t>SWI/SNF complex subunit SMARCC2</t>
  </si>
  <si>
    <t>Isoform 2 of SWI/SNF complex subunit SMARCC2</t>
  </si>
  <si>
    <t>Nuclear protein localization protein 4 homolog</t>
  </si>
  <si>
    <t>Isoform 2 of Protein FAM76A</t>
  </si>
  <si>
    <t>Isoform 5 of Gasdermin-B</t>
  </si>
  <si>
    <t>Uncharacterized protein CXorf38</t>
  </si>
  <si>
    <t>Ras and Rab interactor 3</t>
  </si>
  <si>
    <t>F-box only protein 30</t>
  </si>
  <si>
    <t>TXNDC9 protein</t>
  </si>
  <si>
    <t>Isoform 3 of Pumilio homolog 2</t>
  </si>
  <si>
    <t>Isoform 2 of Golgin subfamily A member 5</t>
  </si>
  <si>
    <t>Isoform 3 of Kelch domain-containing protein 4</t>
  </si>
  <si>
    <t>NEDD8-activating enzyme E1 catalytic subunit</t>
  </si>
  <si>
    <t>Isoform 4 of Zinc finger and SCAN domain-containing protein 18</t>
  </si>
  <si>
    <t>Isoform 3 of Bromo adjacent homology domain-containing 1 protein</t>
  </si>
  <si>
    <t>N-acylneuraminate-9-phosphatase</t>
  </si>
  <si>
    <t>Isoform 4 of Prostamide/prostaglandin F synthase</t>
  </si>
  <si>
    <t>Zinc finger CCHC-type and RNA-binding motif-containing protein 1</t>
  </si>
  <si>
    <t>DnaJ homolog subfamily B member 14</t>
  </si>
  <si>
    <t>Guanine nucleotide exchange factor for Rab-3A</t>
  </si>
  <si>
    <t>Isoform 2 of Guanine nucleotide exchange factor for Rab-3A</t>
  </si>
  <si>
    <t>Phosphatidylinositol 5-phosphate 4-kinase type-2 gamma</t>
  </si>
  <si>
    <t>tRNA methyltransferase 10 homolog A</t>
  </si>
  <si>
    <t>Isoform 2 of TBC1 domain family member 15</t>
  </si>
  <si>
    <t>Isoform 2 of Retinol dehydrogenase 11</t>
  </si>
  <si>
    <t>Leucine-rich repeat-containing protein 20</t>
  </si>
  <si>
    <t>UPF0729 protein C18orf32</t>
  </si>
  <si>
    <t>5(3)-deoxyribonucleotidase, cytosolic type</t>
  </si>
  <si>
    <t>Isoform 2 of Protein FAM45A</t>
  </si>
  <si>
    <t>Protein CIP2A</t>
  </si>
  <si>
    <t>Zinc finger protein 507</t>
  </si>
  <si>
    <t>Polyribonucleotide nucleotidyltransferase 1, mitochondrial</t>
  </si>
  <si>
    <t>Isoform 3 of Alstrom syndrome protein 1</t>
  </si>
  <si>
    <t>Isoform 3 of Up-regulator of cell proliferation</t>
  </si>
  <si>
    <t>Isoform 2 of Mitogen-activated protein kinase 15</t>
  </si>
  <si>
    <t>Protein bicaudal D homolog 2</t>
  </si>
  <si>
    <t>Serine/threonine-protein kinase Nek9</t>
  </si>
  <si>
    <t>Chromodomain-helicase-DNA-binding protein 6</t>
  </si>
  <si>
    <t>Alanine aminotransferase 2</t>
  </si>
  <si>
    <t>Isoform 2 of Pleckstrin homology domain-containing family O member 2</t>
  </si>
  <si>
    <t>Dynein heavy chain 3, axonemal</t>
  </si>
  <si>
    <t>E3 ubiquitin-protein ligase DTX3L</t>
  </si>
  <si>
    <t>ATP-dependent RNA helicase DDX54</t>
  </si>
  <si>
    <t>Isoform 2 of ATP-dependent RNA helicase DDX54</t>
  </si>
  <si>
    <t>Biogenesis of lysosome-related organelles complex 1 subunit 5</t>
  </si>
  <si>
    <t>Chromodomain-helicase-DNA-binding protein 5</t>
  </si>
  <si>
    <t>DmX-like protein 2</t>
  </si>
  <si>
    <t>Disks large homolog 5</t>
  </si>
  <si>
    <t>Isoform 4 of CDK5 and ABL1 enzyme substrate 1</t>
  </si>
  <si>
    <t>Ribosome biogenesis protein BRX1 homolog</t>
  </si>
  <si>
    <t>Glucosamine-6-phosphate isomerase 2</t>
  </si>
  <si>
    <t>Isoform 4 of Glucosamine-6-phosphate isomerase 2</t>
  </si>
  <si>
    <t>Isoform 2 of TRAF3-interacting protein 1</t>
  </si>
  <si>
    <t>Serine/threonine-protein kinase Nek7</t>
  </si>
  <si>
    <t>Isoform 2 of RB1-inducible coiled-coil protein 1</t>
  </si>
  <si>
    <t>Protein-methionine sulfoxide oxidase MICAL1</t>
  </si>
  <si>
    <t>Pantothenate kinase 1</t>
  </si>
  <si>
    <t>Isoform 3 of MORC family CW-type zinc finger protein 4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</si>
  <si>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</si>
  <si>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</si>
  <si>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</si>
  <si>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</si>
  <si>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U3 small nucleolar RNA-associated protein 15 homolog</t>
  </si>
  <si>
    <t>DENN domain-containing protein 1A</t>
  </si>
  <si>
    <t>Isoform 1 of Histone-lysine N-methyltransferase, H3 lysine-79 specific</t>
  </si>
  <si>
    <t>Nuclear pore membrane glycoprotein 210</t>
  </si>
  <si>
    <t>Gem-associated protein 5</t>
  </si>
  <si>
    <t>Rho guanine nucleotide exchange factor 40</t>
  </si>
  <si>
    <t>Isoform 5 of Fas-binding factor 1</t>
  </si>
  <si>
    <t>Neutral alpha-glucosidase C</t>
  </si>
  <si>
    <t>Rap guanine nucleotide exchange factor 6</t>
  </si>
  <si>
    <t>Isoform 2 of Smith-Magenis syndrome chromosomal region candidate gene 8 protein</t>
  </si>
  <si>
    <t>Isoform 2 of Partitioning defective 3 homolog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</si>
  <si>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</si>
  <si>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</si>
  <si>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</si>
  <si>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</si>
  <si>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DIS3-like exonuclease 1</t>
  </si>
  <si>
    <t>Zinc finger protein 526</t>
  </si>
  <si>
    <t>F-box only protein 41</t>
  </si>
  <si>
    <t>PDZ domain-containing protein GIPC3</t>
  </si>
  <si>
    <t>WAS/WASL-interacting protein family member 2</t>
  </si>
  <si>
    <t>Isoform 2 of Serine/threonine-protein kinase haspin</t>
  </si>
  <si>
    <t>1-acylglycerol-3-phosphate O-acyltransferase ABHD5</t>
  </si>
  <si>
    <t>Histone-lysine N-methyltransferase SETD7</t>
  </si>
  <si>
    <t>Conserved oligomeric Golgi complex subunit 1</t>
  </si>
  <si>
    <t>Pyridine nucleotide-disulfide oxidoreductase domain-containing protein 1</t>
  </si>
  <si>
    <t>Isoform 3 of Marginal zone B- and B1-cell-specific protein</t>
  </si>
  <si>
    <t>Isoform 2 of Sec1 family domain-containing protein 2</t>
  </si>
  <si>
    <t>Stromal membrane-associated protein 2</t>
  </si>
  <si>
    <t>Zinc finger CCCH domain-containing protein 15</t>
  </si>
  <si>
    <t>Peptidyl-prolyl cis-trans isomerase-like 4</t>
  </si>
  <si>
    <t>General transcription factor 3C polypeptide 2</t>
  </si>
  <si>
    <t>Isoform 3 of PHD finger protein 10</t>
  </si>
  <si>
    <t>Ras-related protein Rab-2B</t>
  </si>
  <si>
    <t>Coiled-coil domain-containing protein 12</t>
  </si>
  <si>
    <t>Uncharacterized protein CXorf48</t>
  </si>
  <si>
    <t>RelA-associated inhibitor</t>
  </si>
  <si>
    <t>Protein FAM172A</t>
  </si>
  <si>
    <t>Protein Churchill</t>
  </si>
  <si>
    <t>Transforming growth factor-beta receptor-associated protein 1</t>
  </si>
  <si>
    <t>UPF0444 transmembrane protein C12orf23</t>
  </si>
  <si>
    <t>Isoform 3 of Histone deacetylase 7</t>
  </si>
  <si>
    <t>Serine/threonine/tyrosine-interacting protein</t>
  </si>
  <si>
    <t>Programmed cell death 6-interacting protein</t>
  </si>
  <si>
    <t>Ubiquitin domain-containing protein 2</t>
  </si>
  <si>
    <t>Cactin</t>
  </si>
  <si>
    <t>UPF0235 protein C15orf40</t>
  </si>
  <si>
    <t>GATA zinc finger domain-containing protein 1</t>
  </si>
  <si>
    <t>Protein BRICK1</t>
  </si>
  <si>
    <t>Cation transport regulator-like protein 2</t>
  </si>
  <si>
    <t>Charged multivesicular body protein 7</t>
  </si>
  <si>
    <t>B-cell CLL/lymphoma 7 protein family member C</t>
  </si>
  <si>
    <t>Non-structural maintenance of chromosomes element 1 homolog</t>
  </si>
  <si>
    <t>Sorting nexin-33</t>
  </si>
  <si>
    <t>MIT domain-containing protein 1</t>
  </si>
  <si>
    <t>Hexosaminidase D</t>
  </si>
  <si>
    <t>Chromosome transmission fidelity protein 18 homolog</t>
  </si>
  <si>
    <t>RNA polymerase-associated protein LEO1</t>
  </si>
  <si>
    <t>40S ribosomal protein S21</t>
  </si>
  <si>
    <t>E3 ubiquitin-protein ligase RNF138</t>
  </si>
  <si>
    <t>N(6)-adenine-specific DNA methyltransferase 2</t>
  </si>
  <si>
    <t>NudC domain-containing protein 2</t>
  </si>
  <si>
    <t>U4/U6.U5 small nuclear ribonucleoprotein 27 kDa protein</t>
  </si>
  <si>
    <t>Ankyrin repeat domain-containing protein 49</t>
  </si>
  <si>
    <t>Dimethyladenosine transferase 1, mitochondrial</t>
  </si>
  <si>
    <t>Sec1 family domain-containing protein 1</t>
  </si>
  <si>
    <t>Trafficking protein particle complex subunit 12</t>
  </si>
  <si>
    <t>Protein POF1B</t>
  </si>
  <si>
    <t>Isoform 4 of Heterogeneous nuclear ribonucleoprotein L-like</t>
  </si>
  <si>
    <t>Ubiquitin-like domain-containing CTD phosphatase 1</t>
  </si>
  <si>
    <t>tRNA-splicing endonuclease subunit Sen15</t>
  </si>
  <si>
    <t>PEST proteolytic signal-containing nuclear protein</t>
  </si>
  <si>
    <t>Gametocyte-specific factor 1</t>
  </si>
  <si>
    <t>SPRY domain-containing protein 4</t>
  </si>
  <si>
    <t>Probable tRNA pseudouridine synthase 1</t>
  </si>
  <si>
    <t>Isoform 3 of Choline transporter-like protein 1</t>
  </si>
  <si>
    <t>Isoform 4 of Protein spire homolog 2</t>
  </si>
  <si>
    <t>PH-interacting protein</t>
  </si>
  <si>
    <t>Reticulon-4-interacting protein 1, mitochondrial</t>
  </si>
  <si>
    <t>Isoform 2 of Ras association domain-containing protein 5</t>
  </si>
  <si>
    <t>Selenoprotein M</t>
  </si>
  <si>
    <t>U4/U6 small nuclear ribonucleoprotein Prp31</t>
  </si>
  <si>
    <t>Isoform B of Ectodysplasin-A receptor-associated adapter protein</t>
  </si>
  <si>
    <t>Negative elongation factor B</t>
  </si>
  <si>
    <t>Isoform 2 of Splicing regulatory glutamine/lysine-rich protein 1</t>
  </si>
  <si>
    <t>Protein-lysine methyltransferase METTL21A</t>
  </si>
  <si>
    <t>Gem-associated protein 6</t>
  </si>
  <si>
    <t>Isoform 2 of Caskin-2</t>
  </si>
  <si>
    <t>Isoform 4 of ATR-interacting protein</t>
  </si>
  <si>
    <t>Stonin-2</t>
  </si>
  <si>
    <t>Paraspeckle component 1</t>
  </si>
  <si>
    <t>Isoform 8 of MAP kinase-activating death domain protein</t>
  </si>
  <si>
    <t>Isoform 2 of Acyl-coenzyme A thioesterase 11</t>
  </si>
  <si>
    <t>Transcriptional repressor p66-beta</t>
  </si>
  <si>
    <t>Isoform 4 of Myosin-IIIb</t>
  </si>
  <si>
    <t>Progesterone-induced-blocking factor 1</t>
  </si>
  <si>
    <t>Isoform 2 of Progesterone-induced-blocking factor 1</t>
  </si>
  <si>
    <t>DnaJ homolog subfamily C member 9</t>
  </si>
  <si>
    <t>THAP domain-containing protein 4</t>
  </si>
  <si>
    <t>Beta-catenin-like protein 1</t>
  </si>
  <si>
    <t>Isoform 3 of Histone acetyltransferase KAT6B</t>
  </si>
  <si>
    <t>Isoform 4 of Protein phosphatase Slingshot homolog 1</t>
  </si>
  <si>
    <t>Cysteine protease ATG4A</t>
  </si>
  <si>
    <t>Protein ELYS</t>
  </si>
  <si>
    <t>Isoform 3 of Microprocessor complex subunit DGCR8</t>
  </si>
  <si>
    <t>BTB/POZ domain-containing adapter for CUL3-mediated RhoA degradation protein 1</t>
  </si>
  <si>
    <t>Isoform 12 of Titin</t>
  </si>
  <si>
    <t>Isoform 5 of Titin</t>
  </si>
  <si>
    <t>Arf-GAP with Rho-GAP domain, ANK repeat and PH domain-containing protein 2</t>
  </si>
  <si>
    <t>Ovarian cancer-associated gene 2 protein</t>
  </si>
  <si>
    <t>Protein LZIC</t>
  </si>
  <si>
    <t>Immunity-related GTPase family Q protein</t>
  </si>
  <si>
    <t>DNA damage-binding protein 2</t>
  </si>
  <si>
    <t>Transcription factor AP-2-beta</t>
  </si>
  <si>
    <t>ATP-dependent RNA helicase DDX1</t>
  </si>
  <si>
    <t>Estradiol 17-beta-dehydrogenase 8</t>
  </si>
  <si>
    <t>Histone H1x</t>
  </si>
  <si>
    <t>T-complex protein 1 subunit zeta-2</t>
  </si>
  <si>
    <t>Golgi-specific brefeldin A-resistance guanine nucleotide exchange factor 1</t>
  </si>
  <si>
    <t>RNA polymerase-associated protein RTF1 homolog</t>
  </si>
  <si>
    <t>Transmembrane 9 superfamily member 4</t>
  </si>
  <si>
    <t>Retrograde Golgi transport protein RGP1 homolog</t>
  </si>
  <si>
    <t>DNA topoisomerase 2-binding protein 1</t>
  </si>
  <si>
    <t>Inositol hexakisphosphate kinase 1</t>
  </si>
  <si>
    <t>28S ribosomal protein S27, mitochondrial</t>
  </si>
  <si>
    <t>Wiskott-Aldrich syndrome protein family member 1</t>
  </si>
  <si>
    <t>Ubiquitin carboxyl-terminal hydrolase BAP1</t>
  </si>
  <si>
    <t>Polyphosphoinositide phosphatase</t>
  </si>
  <si>
    <t>Isoform 2 of Protein FAM168A</t>
  </si>
  <si>
    <t>AP-3 complex subunit sigma-1</t>
  </si>
  <si>
    <t>Isoform 2 of Hamartin</t>
  </si>
  <si>
    <t>UBX domain-containing protein 4</t>
  </si>
  <si>
    <t>Isoform 2 of PHD finger protein 3</t>
  </si>
  <si>
    <t>Isoform 3 of Sodium/hydrogen exchanger 6</t>
  </si>
  <si>
    <t>Mastermind-like protein 1</t>
  </si>
  <si>
    <t>Isoform Beta of Heat shock protein 105 kDa</t>
  </si>
  <si>
    <t>Isoform 2 of Septin-8</t>
  </si>
  <si>
    <t>Cell differentiation protein RCD1 homolog</t>
  </si>
  <si>
    <t>Dedicator of cytokinesis protein 2</t>
  </si>
  <si>
    <t>TBC1 domain family member 5</t>
  </si>
  <si>
    <t>Zinc finger protein 592</t>
  </si>
  <si>
    <t>Protein Jade-3</t>
  </si>
  <si>
    <t>Isoform 4 of Unconventional myosin-XVIIIa</t>
  </si>
  <si>
    <t>La-related protein 4B</t>
  </si>
  <si>
    <t>Translational activator GCN1</t>
  </si>
  <si>
    <t>Zinc finger protein 516</t>
  </si>
  <si>
    <t>Minor histocompatibility protein HA-1</t>
  </si>
  <si>
    <t>Nuclear pore complex protein Nup205</t>
  </si>
  <si>
    <t>Ankyrin repeat and SAM domain-containing protein 1A</t>
  </si>
  <si>
    <t>Protein FAN</t>
  </si>
  <si>
    <t>Isoform 2 of Transcription factor IIIA</t>
  </si>
  <si>
    <t>28S ribosomal protein S31, mitochondrial</t>
  </si>
  <si>
    <t>A-kinase anchor protein 1, mitochondrial</t>
  </si>
  <si>
    <t>Neurogranin</t>
  </si>
  <si>
    <t>Isoform 2 of Acidic leucine-rich nuclear phosphoprotein 32 family member B</t>
  </si>
  <si>
    <t>Poliovirus receptor-related protein 2</t>
  </si>
  <si>
    <t>Geranylgeranyl transferase type-2 subunit alpha</t>
  </si>
  <si>
    <t>Isoform 2 of Protein TFG</t>
  </si>
  <si>
    <t>Actin-related protein 2/3 complex subunit 1A</t>
  </si>
  <si>
    <t>Transcription initiation factor TFIID subunit 4B</t>
  </si>
  <si>
    <t>General transcription factor IIH subunit 4</t>
  </si>
  <si>
    <t>Ras-responsive element-binding protein 1</t>
  </si>
  <si>
    <t>Histone deacetylase 2</t>
  </si>
  <si>
    <t>Isoform 2 of Signal transducing adapter molecule 1</t>
  </si>
  <si>
    <t>Zinc finger protein DPF3</t>
  </si>
  <si>
    <t>Zinc finger protein ubi-d4</t>
  </si>
  <si>
    <t>CREB-binding protein</t>
  </si>
  <si>
    <t>Histone acetyltransferase KAT6A</t>
  </si>
  <si>
    <t>Isoform 3 of Disks large homolog 3</t>
  </si>
  <si>
    <t>Symplekin</t>
  </si>
  <si>
    <t>Isoform Short of TATA-binding protein-associated factor 2N</t>
  </si>
  <si>
    <t>Golgin subfamily A member 1</t>
  </si>
  <si>
    <t>Gamma-glutamyl hydrolase</t>
  </si>
  <si>
    <t>Coronin-2A</t>
  </si>
  <si>
    <t>Histone acetyltransferase KAT2A</t>
  </si>
  <si>
    <t>X-linked retinitis pigmentosa GTPase regulator</t>
  </si>
  <si>
    <t>Probable ATP-dependent RNA helicase DDX17</t>
  </si>
  <si>
    <t>Isoform 3 of Bcl-2-like protein 2</t>
  </si>
  <si>
    <t>TRAF family member-associated NF-kappa-B activator</t>
  </si>
  <si>
    <t>Isoform 4 of Kinesin-associated protein 3</t>
  </si>
  <si>
    <t>Isoform 6 of Caspase-10</t>
  </si>
  <si>
    <t>Semaphorin-4D</t>
  </si>
  <si>
    <t>DNA repair protein RAD50</t>
  </si>
  <si>
    <t>Isoform 2 of CUGBP Elav-like family member 1</t>
  </si>
  <si>
    <t>Osteoclast-stimulating factor 1</t>
  </si>
  <si>
    <t>Isoform 3 of Rho guanine nucleotide exchange factor 1</t>
  </si>
  <si>
    <t>DNA repair endonuclease XPF</t>
  </si>
  <si>
    <t>Ubiquitin fusion degradation protein 1 homolog</t>
  </si>
  <si>
    <t>Golgi apparatus protein 1</t>
  </si>
  <si>
    <t>Regulator of nonsense transcripts 1</t>
  </si>
  <si>
    <t>Isoform II of Hermansky-Pudlak syndrome 1 protein</t>
  </si>
  <si>
    <t>COP9 signalosome complex subunit 5</t>
  </si>
  <si>
    <t>G patch domain and KOW motifs-containing protein</t>
  </si>
  <si>
    <t>SWI/SNF complex subunit SMARCC1</t>
  </si>
  <si>
    <t>SWI/SNF-related matrix-associated actin-dependent regulator of chromatin subfamily D member 2</t>
  </si>
  <si>
    <t>Far upstream element-binding protein 2</t>
  </si>
  <si>
    <t>Isoform Short of Glutaryl-CoA dehydrogenase, mitochondrial</t>
  </si>
  <si>
    <t>Isoform 2 of Transportin-1</t>
  </si>
  <si>
    <t>Isoform 3 of Rho guanine nucleotide exchange factor 2</t>
  </si>
  <si>
    <t>Ribosomal RNA small subunit methyltransferase NEP1</t>
  </si>
  <si>
    <t>Polyribonucleotide 5-hydroxyl-kinase Clp1</t>
  </si>
  <si>
    <t>Glomulin</t>
  </si>
  <si>
    <t>Histone acetyltransferase KAT5</t>
  </si>
  <si>
    <t>Isoform 5 of Transcription factor IIIB 90 kDa subunit</t>
  </si>
  <si>
    <t>Isoform 2 of Ubiquitin carboxyl-terminal hydrolase 13</t>
  </si>
  <si>
    <t>Probable ubiquitin carboxyl-terminal hydrolase FAF-X</t>
  </si>
  <si>
    <t>Isoform 2 of N-acetyltransferase 6</t>
  </si>
  <si>
    <t>Cullin-5</t>
  </si>
  <si>
    <t>Isoform 2 of Selenocysteine insertion sequence-binding protein 2-like</t>
  </si>
  <si>
    <t>Isoform 3 of Mediator of RNA polymerase II transcription subunit 12</t>
  </si>
  <si>
    <t>Putative deoxyribonuclease TATDN2</t>
  </si>
  <si>
    <t>Histone H2A type 1-C</t>
  </si>
  <si>
    <t>Protein tyrosine phosphatase type IVA 1</t>
  </si>
  <si>
    <t>Isoform 4 of Phosphorylase b kinase regulatory subunit beta</t>
  </si>
  <si>
    <t>Pre-rRNA-processing protein TSR2 homolog</t>
  </si>
  <si>
    <t>General transcription factor 3C polypeptide 6</t>
  </si>
  <si>
    <t>Hermansky-Pudlak syndrome 3 protein</t>
  </si>
  <si>
    <t>Isoform 2 of SWI/SNF-related matrix-associated actin-dependent regulator of chromatin subfamily E member 1</t>
  </si>
  <si>
    <t>Riboflavin kinase</t>
  </si>
  <si>
    <t>F-box/WD repeat-containing protein 7</t>
  </si>
  <si>
    <t>Isoform 2 of Ribonuclease P/MRP protein subunit POP5</t>
  </si>
  <si>
    <t>UPF0556 protein C19orf10</t>
  </si>
  <si>
    <t>Zinc finger protein with KRAB and SCAN domains 4</t>
  </si>
  <si>
    <t>Loss of heterozygosity 12 chromosomal region 1 protein</t>
  </si>
  <si>
    <t>E3 ubiquitin-protein ligase RNF34</t>
  </si>
  <si>
    <t>U7 snRNA-associated Sm-like protein LSm10</t>
  </si>
  <si>
    <t>Protein YIPF5</t>
  </si>
  <si>
    <t>Lethal(3)malignant brain tumor-like protein 2</t>
  </si>
  <si>
    <t>Zinc finger protein 622</t>
  </si>
  <si>
    <t>Isoform 2 of Ribosome-releasing factor 2, mitochondrial</t>
  </si>
  <si>
    <t>Isoform 2 of 7-methylguanosine phosphate-specific 5-nucleotidase</t>
  </si>
  <si>
    <t>F-box/WD repeat-containing protein 5</t>
  </si>
  <si>
    <t>Cirhin</t>
  </si>
  <si>
    <t>Isoform 3 of tRNA modification GTPase GTPBP3, mitochondrial</t>
  </si>
  <si>
    <t>Protein TBRG4</t>
  </si>
  <si>
    <t>Isoform 2 of Protein phosphatase 1 regulatory subunit 14A</t>
  </si>
  <si>
    <t>Coiled-coil domain-containing protein 47</t>
  </si>
  <si>
    <t>Isoform 2 of RING finger protein 166</t>
  </si>
  <si>
    <t>Synapse-associated protein 1</t>
  </si>
  <si>
    <t>Exocyst complex component 4</t>
  </si>
  <si>
    <t>Isochorismatase domain-containing protein 2, mitochondrial</t>
  </si>
  <si>
    <t>Protein N-terminal asparagine amidohydrolase</t>
  </si>
  <si>
    <t>Fermitin family homolog 2</t>
  </si>
  <si>
    <t>Patatin-like phospholipase domain-containing protein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</si>
  <si>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</si>
  <si>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</si>
  <si>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</si>
  <si>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</si>
  <si>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Uncharacterized protein KIAA1143</t>
  </si>
  <si>
    <t>Ribulose-phosphate 3-epimerase</t>
  </si>
  <si>
    <t>Vacuolar protein sorting-associated protein 33A</t>
  </si>
  <si>
    <t>Crossover junction endonuclease EME1</t>
  </si>
  <si>
    <t>Tetratricopeptide repeat protein 28</t>
  </si>
  <si>
    <t>Ubiquitin-conjugating enzyme E2 W</t>
  </si>
  <si>
    <t>Isoform 2 of Uncharacterized protein C18orf25</t>
  </si>
  <si>
    <t>Exosome complex component RRP43</t>
  </si>
  <si>
    <t>Proline-rich AKT1 substrate 1</t>
  </si>
  <si>
    <t>UPF0693 protein C10orf32</t>
  </si>
  <si>
    <t>Zinc finger protein 428</t>
  </si>
  <si>
    <t>SH3 domain-containing kinase-binding protein 1</t>
  </si>
  <si>
    <t>Isoform 2 of PHD finger protein 21A</t>
  </si>
  <si>
    <t>Isoform 2 of Spindle and kinetochore-associated protein 1</t>
  </si>
  <si>
    <t>Nucleus accumbens-associated protein 2</t>
  </si>
  <si>
    <t>E3 ubiquitin-protein ligase RNF25</t>
  </si>
  <si>
    <t>PIN2/TERF1-interacting telomerase inhibitor 1</t>
  </si>
  <si>
    <t>Transcriptional adapter 1</t>
  </si>
  <si>
    <t>Protein FAM105B</t>
  </si>
  <si>
    <t>Peptidylprolyl isomerase domain and WD repeat-containing protein 1</t>
  </si>
  <si>
    <t>Sel1 repeat-containing protein 1</t>
  </si>
  <si>
    <t>Isoform 2 of Zinc finger protein 669</t>
  </si>
  <si>
    <t>Calcineurin B homologous protein 3</t>
  </si>
  <si>
    <t>Alkylated DNA repair protein alkB homolog 8</t>
  </si>
  <si>
    <t>Isoform 2 of Phosphotriesterase-related protein</t>
  </si>
  <si>
    <t>MOB kinase activator 3A</t>
  </si>
  <si>
    <t>Autophagy-related protein 2 homolog B</t>
  </si>
  <si>
    <t>Leukocyte receptor cluster member 1</t>
  </si>
  <si>
    <t>TBC1 domain family member 20</t>
  </si>
  <si>
    <t>Zinc finger and BTB domain-containing protein 9</t>
  </si>
  <si>
    <t>Protein FAM136A</t>
  </si>
  <si>
    <t>EF-hand domain-containing protein D2</t>
  </si>
  <si>
    <t>Aldose 1-epimerase</t>
  </si>
  <si>
    <t>Synaptotagmin-like protein 4</t>
  </si>
  <si>
    <t>Pyrroline-5-carboxylate reductase 2</t>
  </si>
  <si>
    <t>m7GpppX diphosphatase</t>
  </si>
  <si>
    <t>Protein phosphatase 1 regulatory subunit 14B</t>
  </si>
  <si>
    <t>Isoform 2 of Serologically defined colon cancer antigen 3</t>
  </si>
  <si>
    <t>Integrator complex subunit 12</t>
  </si>
  <si>
    <t>Isoform 4 of 5-methylcytosine rRNA methyltransferase NSUN4</t>
  </si>
  <si>
    <t>F-box/LRR-repeat protein 8</t>
  </si>
  <si>
    <t>Phosphopantothenoylcysteine decarboxylase</t>
  </si>
  <si>
    <t>Charged multivesicular body protein 4c</t>
  </si>
  <si>
    <t>EVI5-like protein</t>
  </si>
  <si>
    <t>Isochorismatase domain-containing protein 1</t>
  </si>
  <si>
    <t>GRIP and coiled-coil domain-containing protein 1</t>
  </si>
  <si>
    <t>FLYWCH family member 2</t>
  </si>
  <si>
    <t>HAUS augmin-like complex subunit 1</t>
  </si>
  <si>
    <t>FAS-associated factor 2</t>
  </si>
  <si>
    <t>Coiled-coil domain-containing protein 124</t>
  </si>
  <si>
    <t>Isoform 3 of FAD-dependent oxidoreductase domain-containing protein 1</t>
  </si>
  <si>
    <t>Isoform 2 of Optineurin</t>
  </si>
  <si>
    <t>Isoform 2 of AP-2 complex subunit mu</t>
  </si>
  <si>
    <t>Gamma-tubulin complex component 3</t>
  </si>
  <si>
    <t>Probable RNA polymerase II nuclear localization protein SLC7A6OS</t>
  </si>
  <si>
    <t>60S ribosomal export protein NMD3</t>
  </si>
  <si>
    <t>Isoform 3 of RalBP1-associated Eps domain-containing protein 1</t>
  </si>
  <si>
    <t>Isoform 2 of Mitochondrial import inner membrane translocase subunit TIM14</t>
  </si>
  <si>
    <t>Regulator of microtubule dynamics protein 1</t>
  </si>
  <si>
    <t>Transmembrane and coiled-coil domain-containing protein 6</t>
  </si>
  <si>
    <t>Enoyl-CoA hydratase domain-containing protein 3, mitochondrial</t>
  </si>
  <si>
    <t>U8 snoRNA-decapping enzyme</t>
  </si>
  <si>
    <t>Anaphase-promoting complex subunit 16</t>
  </si>
  <si>
    <t>Protein DGCR14</t>
  </si>
  <si>
    <t>Carboxymethylenebutenolidase homolog</t>
  </si>
  <si>
    <t>Isoform 2 of RNA-binding protein Musashi homolog 2</t>
  </si>
  <si>
    <t>U5 small nuclear ribonucleoprotein 40 kDa protein</t>
  </si>
  <si>
    <t>Methyl-CpG-binding domain protein 6</t>
  </si>
  <si>
    <t>Isoform C of Galectin-12</t>
  </si>
  <si>
    <t>Dynein heavy chain 11, axonemal</t>
  </si>
  <si>
    <t>Cysteine protease ATG4C</t>
  </si>
  <si>
    <t>Zinc finger and BTB domain-containing protein 10</t>
  </si>
  <si>
    <t>Inositol-trisphosphate 3-kinase C</t>
  </si>
  <si>
    <t>RING finger and SPRY domain-containing protein 1</t>
  </si>
  <si>
    <t>Tripartite motif-containing protein 44</t>
  </si>
  <si>
    <t>Isoform 2 of Endoplasmic reticulum lectin 1</t>
  </si>
  <si>
    <t>Protein FAM122A</t>
  </si>
  <si>
    <t>Isoform 8 of Ribosome-recycling factor, mitochondrial</t>
  </si>
  <si>
    <t>RecQ-mediated genome instability protein 2</t>
  </si>
  <si>
    <t>RNA binding motif protein, X-linked-like-1</t>
  </si>
  <si>
    <t>Protein Spindly</t>
  </si>
  <si>
    <t>NAD-dependent protein deacetylase sirtuin-1</t>
  </si>
  <si>
    <t>Isoform 2 of Protein Hook homolog 2</t>
  </si>
  <si>
    <t>Nucleoporin SEH1</t>
  </si>
  <si>
    <t>Mitochondrial assembly of ribosomal large subunit protein 1</t>
  </si>
  <si>
    <t>THAP domain-containing protein 11</t>
  </si>
  <si>
    <t>KIF1-binding protein</t>
  </si>
  <si>
    <t>Glucosamine 6-phosphate N-acetyltransferase</t>
  </si>
  <si>
    <t>Protein KTI12 homolog</t>
  </si>
  <si>
    <t>39S ribosomal protein L53, mitochondrial</t>
  </si>
  <si>
    <t>Trans-L-3-hydroxyproline dehydratase</t>
  </si>
  <si>
    <t>Molybdenum cofactor sulfurase</t>
  </si>
  <si>
    <t>E3 ubiquitin-protein ligase RNF31</t>
  </si>
  <si>
    <t>Isoform 2 of E3 ubiquitin-protein ligase CHFR</t>
  </si>
  <si>
    <t>DAZ-associated protein 1</t>
  </si>
  <si>
    <t>Small glutamine-rich tetratricopeptide repeat-containing protein beta</t>
  </si>
  <si>
    <t>SAGA-associated factor 29 homolog</t>
  </si>
  <si>
    <t>Isoform 2 of Ribosomal RNA processing protein 36 homolog</t>
  </si>
  <si>
    <t>RNA-binding protein 33</t>
  </si>
  <si>
    <t>Dysbindin</t>
  </si>
  <si>
    <t>HSPB1-associated protein 1</t>
  </si>
  <si>
    <t>Isoform 2 of DnaJ homolog subfamily A member 3, mitochondrial</t>
  </si>
  <si>
    <t>Translation machinery-associated protein 16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</si>
  <si>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</si>
  <si>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</si>
  <si>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</si>
  <si>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</si>
  <si>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Isoform 3 of Microspherule protein 1</t>
  </si>
  <si>
    <t>Isoform 2 of Nuclear receptor-binding factor 2</t>
  </si>
  <si>
    <t>Isoform 3 of E3 ubiquitin-protein ligase TRIM11</t>
  </si>
  <si>
    <t>Coiled-coil domain-containing protein 97</t>
  </si>
  <si>
    <t>Enhancer of mRNA-decapping protein 3</t>
  </si>
  <si>
    <t>Isoform 4 of Probable ATP-dependent RNA helicase DDX11</t>
  </si>
  <si>
    <t>Sororin</t>
  </si>
  <si>
    <t>Dynein light chain 2, cytoplasmic</t>
  </si>
  <si>
    <t>WD repeat-containing protein 89</t>
  </si>
  <si>
    <t>Copine-2</t>
  </si>
  <si>
    <t>Probable D-tyrosyl-tRNA(Tyr) deacylase 2</t>
  </si>
  <si>
    <t>Signal-induced proliferation-associated protein 1</t>
  </si>
  <si>
    <t>Intraflagellar transport protein 43 homolog</t>
  </si>
  <si>
    <t>Isoform 2 of Secernin-2</t>
  </si>
  <si>
    <t>THO complex subunit 1</t>
  </si>
  <si>
    <t>DPH3 homolog</t>
  </si>
  <si>
    <t>tRNA (adenine(58)-N(1))-methyltransferase catalytic subunit TRMT61A</t>
  </si>
  <si>
    <t>Phosphoglucomutase-2</t>
  </si>
  <si>
    <t>Mediator of RNA polymerase II transcription subunit 8</t>
  </si>
  <si>
    <t>Coiled-coil domain-containing protein 104</t>
  </si>
  <si>
    <t>tRNA-dihydrouridine(47) synthase [NAD(P)(+)]-like</t>
  </si>
  <si>
    <t>Isoform 3 of OTU domain-containing protein 5</t>
  </si>
  <si>
    <t>Protein LTV1 homolog</t>
  </si>
  <si>
    <t>Serine dehydratase-like</t>
  </si>
  <si>
    <t>Centrosomal protein of 95 kDa</t>
  </si>
  <si>
    <t>DCN1-like protein 1</t>
  </si>
  <si>
    <t>Isoform 3 of tRNA (uracil(54)-C(5))-methyltransferase homolog</t>
  </si>
  <si>
    <t>Fumarylacetoacetate hydrolase domain-containing protein 2A</t>
  </si>
  <si>
    <t>SWI/SNF-related matrix-associated actin-dependent regulator of chromatin subfamily D member 1</t>
  </si>
  <si>
    <t>Target of EGR1 protein 1</t>
  </si>
  <si>
    <t>Probable ATP-dependent RNA helicase DDX27</t>
  </si>
  <si>
    <t>Uncharacterized protein C17orf59</t>
  </si>
  <si>
    <t>UNC119-binding protein C5orf30</t>
  </si>
  <si>
    <t>Methionine--tRNA ligase, mitochondrial</t>
  </si>
  <si>
    <t>Putative ataxin-7-like protein 3B</t>
  </si>
  <si>
    <t>Isoform 2 of Serine/threonine-protein kinase greatwall</t>
  </si>
  <si>
    <t>Methylthioribulose-1-phosphate dehydratase</t>
  </si>
  <si>
    <t>Zinc finger C2HC domain-containing protein 1A</t>
  </si>
  <si>
    <t>Protein lin-37 homolog</t>
  </si>
  <si>
    <t>Vacuolar-sorting protein SNF8</t>
  </si>
  <si>
    <t>Probable RNA-binding protein 18</t>
  </si>
  <si>
    <t>Zinc finger CCCH-type antiviral protein 1-like</t>
  </si>
  <si>
    <t>Isoform 2 of Tonsoku-like protein</t>
  </si>
  <si>
    <t>Isoform 2 of Coiled-coil domain-containing protein 120</t>
  </si>
  <si>
    <t>PDZ and LIM domain protein 5</t>
  </si>
  <si>
    <t>ERO1-like protein alpha</t>
  </si>
  <si>
    <t>UPF0562 protein C7orf55</t>
  </si>
  <si>
    <t>Isoform 2 of Putative adenosylhomocysteinase 3</t>
  </si>
  <si>
    <t>Dedicator of cytokinesis protein 6</t>
  </si>
  <si>
    <t>Oxidoreductase NAD-binding domain-containing protein 1</t>
  </si>
  <si>
    <t>CDKN2AIP N-terminal-like protein</t>
  </si>
  <si>
    <t>Isoform 2 of H/ACA ribonucleoprotein complex non-core subunit NAF1</t>
  </si>
  <si>
    <t>Serine/threonine-protein phosphatase PGAM5, mitochondrial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</si>
  <si>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</si>
  <si>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</si>
  <si>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</si>
  <si>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</si>
  <si>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Protein preY, mitochondrial</t>
  </si>
  <si>
    <t>Far upstream element-binding protein 3</t>
  </si>
  <si>
    <t>Splicing factor 45</t>
  </si>
  <si>
    <t>Williams-Beuren syndrome chromosomal region 16 protein</t>
  </si>
  <si>
    <t>Probable asparagine--tRNA ligase, mitochondrial</t>
  </si>
  <si>
    <t>Succinyl-CoA ligase [GDP-forming] subunit beta, mitochondrial</t>
  </si>
  <si>
    <t>Leucine-rich repeat and calponin homology domain-containing protein 3</t>
  </si>
  <si>
    <t>Mannose-1-phosphate guanyltransferase alpha</t>
  </si>
  <si>
    <t>Biorientation of chromosomes in cell division protein 1</t>
  </si>
  <si>
    <t>Zinc finger protein 414</t>
  </si>
  <si>
    <t>Zinc finger protein 845</t>
  </si>
  <si>
    <t>Alpha/beta hydrolase domain-containing protein 14B</t>
  </si>
  <si>
    <t>Isoform 2 of Peptide-N(4)-(N-acetyl-beta-glucosaminyl)asparagine amidase</t>
  </si>
  <si>
    <t>Kinetochore-associated protein NSL1 homolog</t>
  </si>
  <si>
    <t>PRKC apoptosis WT1 regulator protein</t>
  </si>
  <si>
    <t>Isoform 2 of RNA-binding protein 41</t>
  </si>
  <si>
    <t>Isoform 2 of Serine/Arginine-related protein 53</t>
  </si>
  <si>
    <t>THO complex subunit 3</t>
  </si>
  <si>
    <t>Isoform 2 of E3 ubiquitin-protein ligase Itchy homolog</t>
  </si>
  <si>
    <t>Serine/threonine-protein kinase WNK4</t>
  </si>
  <si>
    <t>Conserved oligomeric Golgi complex subunit 3</t>
  </si>
  <si>
    <t>Isoform 2 of Hypermethylated in cancer 2 protein</t>
  </si>
  <si>
    <t>CDK5 regulatory subunit-associated protein 3</t>
  </si>
  <si>
    <t>Isoform 2 of Vam6/Vps39-like protein</t>
  </si>
  <si>
    <t>ELL-associated factor 1</t>
  </si>
  <si>
    <t>Coiled-coil domain-containing protein 132</t>
  </si>
  <si>
    <t>Deubiquitinating protein VCIP135</t>
  </si>
  <si>
    <t>Isoform 2 of Spatacsin</t>
  </si>
  <si>
    <t>Isoform 2 of DDB1- and CUL4-associated factor 5</t>
  </si>
  <si>
    <t>Mastermind-like protein 3</t>
  </si>
  <si>
    <t>Chromosome alignment-maintaining phosphoprotein 1</t>
  </si>
  <si>
    <t>Isoform 2 of Lethal(3)malignant brain tumor-like protein 3</t>
  </si>
  <si>
    <t>Isoform 2 of Coiled-coil domain-containing protein 136</t>
  </si>
  <si>
    <t>E3 ubiquitin-protein ligase ZFP91</t>
  </si>
  <si>
    <t>PiggyBac transposable element-derived protein 1</t>
  </si>
  <si>
    <t>Transcription factor BTF3 homolog 4</t>
  </si>
  <si>
    <t>Uncharacterized protein C8orf76</t>
  </si>
  <si>
    <t>Zinc finger protein 668</t>
  </si>
  <si>
    <t>Zinc finger protein 521</t>
  </si>
  <si>
    <t>Lymphokine-activated killer T-cell-originated protein kinase</t>
  </si>
  <si>
    <t>ADP-ribosylation factor-like protein 5B</t>
  </si>
  <si>
    <t>DnaJ homolog subfamily C member 1</t>
  </si>
  <si>
    <t>Isoform 3 of N-terminal kinase-like protein</t>
  </si>
  <si>
    <t>Zinc finger protein 512B</t>
  </si>
  <si>
    <t>Exocyst complex component 2</t>
  </si>
  <si>
    <t>Cytosolic non-specific dipeptidase</t>
  </si>
  <si>
    <t>Zinc finger RNA-binding protein</t>
  </si>
  <si>
    <t>Isoform 3 of E1A-binding protein p400</t>
  </si>
  <si>
    <t>Sorting nexin-27</t>
  </si>
  <si>
    <t>Isoform 5 of Kinesin-like protein KIF16B</t>
  </si>
  <si>
    <t>Protein arginine N-methyltransferase 6</t>
  </si>
  <si>
    <t>Intraflagellar transport protein 74 homolog</t>
  </si>
  <si>
    <t>Sentrin-specific protease 8</t>
  </si>
  <si>
    <t>Isoform 2 of CCR4-NOT transcription complex subunit 6-like</t>
  </si>
  <si>
    <t>UBX domain-containing protein 10</t>
  </si>
  <si>
    <t>Ubiquitin-conjugating enzyme E2 E2</t>
  </si>
  <si>
    <t>Protein C9orf72</t>
  </si>
  <si>
    <t>Regulator of microtubule dynamics protein 2</t>
  </si>
  <si>
    <t>Protein PRRC1</t>
  </si>
  <si>
    <t>Isoform 4 of F-box/LRR-repeat protein 18</t>
  </si>
  <si>
    <t>Isoform 2 of Zinc finger protein 512</t>
  </si>
  <si>
    <t>Melanoma-associated antigen G1</t>
  </si>
  <si>
    <t>Protein HEXIM2</t>
  </si>
  <si>
    <t>Putative uncharacterized protein FLJ31958</t>
  </si>
  <si>
    <t>YTH domain-containing protein 1</t>
  </si>
  <si>
    <t>Coiled-coil domain-containing protein 43</t>
  </si>
  <si>
    <t>Conserved oligomeric Golgi complex subunit 8</t>
  </si>
  <si>
    <t>Zinc finger protein 48</t>
  </si>
  <si>
    <t>WD repeat-containing protein 92</t>
  </si>
  <si>
    <t>Uncharacterized protein C20orf112</t>
  </si>
  <si>
    <t>Uncharacterized protein C16orf55</t>
  </si>
  <si>
    <t>Isoform 2 of Uncharacterized protein C7orf26</t>
  </si>
  <si>
    <t>Isoform 2 of AP-4 complex accessory subunit tepsin</t>
  </si>
  <si>
    <t>Isoform 2 of Lysophospholipid acyltransferase 7</t>
  </si>
  <si>
    <t>Isoform 4 of Dedicator of cytokinesis protein 7</t>
  </si>
  <si>
    <t>Rab-interacting lysosomal protein</t>
  </si>
  <si>
    <t>LisH domain-containing protein FOPNL</t>
  </si>
  <si>
    <t>Zinc finger protein 830</t>
  </si>
  <si>
    <t>Zinc finger matrin-type protein 2</t>
  </si>
  <si>
    <t>Protein C8orf37</t>
  </si>
  <si>
    <t>Nucleosome assembly protein 1-like 5</t>
  </si>
  <si>
    <t>Isoform 2 of Putative methyltransferase NSUN5</t>
  </si>
  <si>
    <t>Regulation of nuclear pre-mRNA domain-containing protein 1A</t>
  </si>
  <si>
    <t>Arf-GAP with GTPase, ANK repeat and PH domain-containing protein 3</t>
  </si>
  <si>
    <t>Arf-GAP with Rho-GAP domain, ANK repeat and PH domain-containing protein 1</t>
  </si>
  <si>
    <t>Importin-9</t>
  </si>
  <si>
    <t>Isoform 3 of AP-1 complex subunit sigma-3</t>
  </si>
  <si>
    <t>RNA-binding protein 14</t>
  </si>
  <si>
    <t>RING finger and CHY zinc finger domain-containing protein 1</t>
  </si>
  <si>
    <t>Zinc finger protein 385A</t>
  </si>
  <si>
    <t>Isoform 4 of Zinc finger protein 317</t>
  </si>
  <si>
    <t>Isoform 6 of E3 ubiquitin-protein ligase NEDD4-like</t>
  </si>
  <si>
    <t>Isoform 6 of Protein quaking</t>
  </si>
  <si>
    <t>Isoform 2 of Leukocyte receptor cluster member 8</t>
  </si>
  <si>
    <t>Formin-like protein 2</t>
  </si>
  <si>
    <t>Isoform 2 of Serine/threonine-protein kinase Nek1</t>
  </si>
  <si>
    <t>Pseudouridylate synthase 7 homolog</t>
  </si>
  <si>
    <t>Isoform 3 of Trafficking protein particle complex subunit 9</t>
  </si>
  <si>
    <t>Isoform 2 of CCA tRNA nucleotidyltransferase 1, mitochondrial</t>
  </si>
  <si>
    <t>Serine/threonine-protein kinase SMG1</t>
  </si>
  <si>
    <t>Alsin</t>
  </si>
  <si>
    <t>Isoform 2 of Transmembrane protein 237</t>
  </si>
  <si>
    <t>Isoform 4 of Kinesin-like protein KIF20B</t>
  </si>
  <si>
    <t>Serine/threonine-protein phosphatase 1 regulatory subunit 10</t>
  </si>
  <si>
    <t>UAP56-interacting factor</t>
  </si>
  <si>
    <t>Isoform 2 of ATPase family AAA domain-containing protein 5</t>
  </si>
  <si>
    <t>Isoform 1 of Rab-3A-interacting protein</t>
  </si>
  <si>
    <t>Vacuolar protein sorting-associated protein 35</t>
  </si>
  <si>
    <t>Transcriptional activator protein Pur-beta</t>
  </si>
  <si>
    <t>Isoform 4 of PHD finger protein 12</t>
  </si>
  <si>
    <t>1-aminocyclopropane-1-carboxylate synthase-like protein 1</t>
  </si>
  <si>
    <t>Exportin-6</t>
  </si>
  <si>
    <t>Isoform 7 of Membrane-associated guanylate kinase, WW and PDZ domain-containing protein 1</t>
  </si>
  <si>
    <t>Sperm-associated antigen 5</t>
  </si>
  <si>
    <t>Nucleus accumbens-associated protein 1</t>
  </si>
  <si>
    <t>Isoform 3 of Sorting nexin-18</t>
  </si>
  <si>
    <t>PAS domain-containing serine/threonine-protein kinase</t>
  </si>
  <si>
    <t>BRCA1-A complex subunit RAP80</t>
  </si>
  <si>
    <t>Isoform 4 of Vacuolar protein sorting-associated protein 13A</t>
  </si>
  <si>
    <t>Mediator of RNA polymerase II transcription subunit 15</t>
  </si>
  <si>
    <t>Elongation factor G, mitochondrial</t>
  </si>
  <si>
    <t>Methylcrotonoyl-CoA carboxylase subunit alpha, mitochondrial</t>
  </si>
  <si>
    <t>Isoform 6 of Calcium/calmodulin-dependent protein kinase kinase 2</t>
  </si>
  <si>
    <t>Trimethylguanosine synthase</t>
  </si>
  <si>
    <t>NudC domain-containing protein 1</t>
  </si>
  <si>
    <t>Isoform 9 of Protein LAP2</t>
  </si>
  <si>
    <t>Isoform 2 of Ubiquitin carboxyl-terminal hydrolase 28</t>
  </si>
  <si>
    <t>Isoform 2 of Formin-binding protein 1</t>
  </si>
  <si>
    <t>Intraflagellar transport protein 140 homolog</t>
  </si>
  <si>
    <t>Isoform 2 of WD repeat-containing protein 24</t>
  </si>
  <si>
    <t>UPF0585 protein C16orf13</t>
  </si>
  <si>
    <t>Ribosomal protein S6 kinase delta-1</t>
  </si>
  <si>
    <t>TP53-regulating kinase</t>
  </si>
  <si>
    <t>Isoform 2 of GPI transamidase component PIG-S</t>
  </si>
  <si>
    <t>Isoform 2 of ATPase WRNIP1</t>
  </si>
  <si>
    <t>Ran-binding protein 9</t>
  </si>
  <si>
    <t>Isoform 4 of Chloride channel CLIC-like protein 1</t>
  </si>
  <si>
    <t>Ubiquitin-like protein 7</t>
  </si>
  <si>
    <t>LysM and putative peptidoglycan-binding domain-containing protein 1</t>
  </si>
  <si>
    <t>Cyclin-L2</t>
  </si>
  <si>
    <t>Pleckstrin homology domain-containing family F member 1</t>
  </si>
  <si>
    <t>Neurabin-2</t>
  </si>
  <si>
    <t>Structural maintenance of chromosomes protein 6</t>
  </si>
  <si>
    <t>BTB/POZ domain-containing protein KCTD15</t>
  </si>
  <si>
    <t>Spermatid perinuclear RNA-binding protein</t>
  </si>
  <si>
    <t>Isoform 2 of Transmembrane protein 209</t>
  </si>
  <si>
    <t>Isoform 4 of CDK5 regulatory subunit-associated protein 2</t>
  </si>
  <si>
    <t>Protein IWS1 homolog</t>
  </si>
  <si>
    <t>Paired amphipathic helix protein Sin3a</t>
  </si>
  <si>
    <t>Isoform 7 of Oxysterol-binding protein-related protein 9</t>
  </si>
  <si>
    <t>Isoform 2 of Protein cereblon</t>
  </si>
  <si>
    <t>Isoform 4 of von Willebrand factor A domain-containing protein 9</t>
  </si>
  <si>
    <t>2-aminoethanethiol dioxygenase</t>
  </si>
  <si>
    <t>Selenocysteine insertion sequence-binding protein 2</t>
  </si>
  <si>
    <t>Isoform 2 of Remodeling and spacing factor 1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</si>
  <si>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</si>
  <si>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</si>
  <si>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</si>
  <si>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</si>
  <si>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MMS19 nucleotide excision repair protein homolog</t>
  </si>
  <si>
    <t>E3 ubiquitin-protein ligase UHRF1</t>
  </si>
  <si>
    <t>Isoform 2 of Niban-like protein 1</t>
  </si>
  <si>
    <t>Regulator of microtubule dynamics protein 3</t>
  </si>
  <si>
    <t>Transcription factor 12</t>
  </si>
  <si>
    <t>C-Myc-binding protein</t>
  </si>
  <si>
    <t>Tubulin-folding cofactor B</t>
  </si>
  <si>
    <t>Proteasome subunit beta type-7</t>
  </si>
  <si>
    <t>Ethanolamine-phosphate cytidylyltransferase</t>
  </si>
  <si>
    <t>Keratin, type I cytoskeletal 12</t>
  </si>
  <si>
    <t>Cell division cycle 5-like protein</t>
  </si>
  <si>
    <t>26S proteasome non-ATPase regulatory subunit 1</t>
  </si>
  <si>
    <t>Prefoldin subunit 5</t>
  </si>
  <si>
    <t>Platelet-activating factor acetylhydrolase 2, cytoplasmic</t>
  </si>
  <si>
    <t>Protein DJ-1</t>
  </si>
  <si>
    <t>GAS2-like protein 1</t>
  </si>
  <si>
    <t>Sialidase-1</t>
  </si>
  <si>
    <t>Sortilin</t>
  </si>
  <si>
    <t>Synaptic vesicle membrane protein VAT-1 homolog</t>
  </si>
  <si>
    <t>Perilipin-2</t>
  </si>
  <si>
    <t>DnaJ homolog subfamily C member 2</t>
  </si>
  <si>
    <t>Isoform 2 of DnaJ homolog subfamily C member 2</t>
  </si>
  <si>
    <t>M-phase phosphoprotein 8</t>
  </si>
  <si>
    <t>Nuclear pore complex protein Nup88</t>
  </si>
  <si>
    <t>Phosphoinositide 3-kinase regulatory subunit 4</t>
  </si>
  <si>
    <t>Ribonucleases P/MRP protein subunit POP1</t>
  </si>
  <si>
    <t>Isoform 2 of TSC22 domain family protein 3</t>
  </si>
  <si>
    <t>Max-binding protein MNT</t>
  </si>
  <si>
    <t>Protein S100-A13</t>
  </si>
  <si>
    <t>Isoform 2 of Protein SCAF11</t>
  </si>
  <si>
    <t>Translin-associated protein X</t>
  </si>
  <si>
    <t>ETS-related transcription factor Elf-4</t>
  </si>
  <si>
    <t>Selenide, water dikinase 2</t>
  </si>
  <si>
    <t>Tetratricopeptide repeat protein 1</t>
  </si>
  <si>
    <t>DnaJ homolog subfamily C member 7</t>
  </si>
  <si>
    <t>Protein C10</t>
  </si>
  <si>
    <t>Pre-mRNA-splicing factor 18</t>
  </si>
  <si>
    <t>Cell cycle checkpoint control protein RAD9A</t>
  </si>
  <si>
    <t>Isoform 4 of Membrane-associated tyrosine- and threonine-specific cdc2-inhibitory kinase</t>
  </si>
  <si>
    <t>Calcineurin B homologous protein 1</t>
  </si>
  <si>
    <t>Kinesin-like protein KIF2C</t>
  </si>
  <si>
    <t>Isoform 4 of Ataxin-2</t>
  </si>
  <si>
    <t>Docking protein 1</t>
  </si>
  <si>
    <t>Methionine synthase</t>
  </si>
  <si>
    <t>DNA endonuclease RBBP8</t>
  </si>
  <si>
    <t>3-hydroxyacyl-CoA dehydrogenase type-2</t>
  </si>
  <si>
    <t>BRCA1-associated RING domain protein 1</t>
  </si>
  <si>
    <t>Nucleosome assembly protein 1-like 4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</si>
  <si>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</si>
  <si>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</si>
  <si>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</si>
  <si>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</si>
  <si>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</si>
  <si>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Aconitate hydratase, mitochondrial</t>
  </si>
  <si>
    <t>T-complex protein 1 subunit eta</t>
  </si>
  <si>
    <t>Myeloid differentiation primary response protein MyD88</t>
  </si>
  <si>
    <t>Probable rRNA-processing protein EBP2</t>
  </si>
  <si>
    <t>AT-rich interactive domain-containing protein 3A</t>
  </si>
  <si>
    <t>Isoform 3 of HAUS augmin-like complex subunit 7</t>
  </si>
  <si>
    <t>Histone H2A type 1-J</t>
  </si>
  <si>
    <t>Histone H2B type 1-M</t>
  </si>
  <si>
    <t>Isoform 4 of BAG family molecular chaperone regulator 1</t>
  </si>
  <si>
    <t>Isoform 1 of Cyclic AMP-dependent transcription factor ATF-6 beta</t>
  </si>
  <si>
    <t>E3 ubiquitin-protein ligase RNF5</t>
  </si>
  <si>
    <t>Tyrosine-protein phosphatase non-receptor type 18</t>
  </si>
  <si>
    <t>Dual specificity protein phosphatase 9</t>
  </si>
  <si>
    <t>Endophilin-A2</t>
  </si>
  <si>
    <t>Isoform 4 of Endophilin-A3</t>
  </si>
  <si>
    <t>Serine/threonine-protein kinase VRK1</t>
  </si>
  <si>
    <t>Isoform 2 of A-kinase anchor protein 9</t>
  </si>
  <si>
    <t>Protein NipSnap homolog 1</t>
  </si>
  <si>
    <t>Condensin complex subunit 3</t>
  </si>
  <si>
    <t>Actin-related protein 2/3 complex subunit 5-like protein</t>
  </si>
  <si>
    <t>Isoform 2 of Calcium uptake protein 1, mitochondrial</t>
  </si>
  <si>
    <t>UPF0415 protein C7orf25</t>
  </si>
  <si>
    <t>Polyadenylate-binding protein-interacting protein 2</t>
  </si>
  <si>
    <t>Isoform 3 of Target of rapamycin complex 2 subunit MAPKAP1</t>
  </si>
  <si>
    <t>ATP-dependent RNA helicase DDX50</t>
  </si>
  <si>
    <t>Zinc phosphodiesterase ELAC protein 2</t>
  </si>
  <si>
    <t>Glutamate-rich WD repeat-containing protein 1</t>
  </si>
  <si>
    <t>O-acetyl-ADP-ribose deacetylase MACROD1</t>
  </si>
  <si>
    <t>Transcription factor 25</t>
  </si>
  <si>
    <t>Kelch domain-containing protein 3</t>
  </si>
  <si>
    <t>Methylosome protein 50</t>
  </si>
  <si>
    <t>Isoform 3 of Vitamin K epoxide reductase complex subunit 1</t>
  </si>
  <si>
    <t>Diphthamide biosynthesis protein 2</t>
  </si>
  <si>
    <t>Tubulin alpha-1C chain</t>
  </si>
  <si>
    <t>Apolipoprotein L2</t>
  </si>
  <si>
    <t>Isoform 4 of B-cell CLL/lymphoma 7 protein family member B</t>
  </si>
  <si>
    <t>Isoform 4 of Sentrin-specific protease 7</t>
  </si>
  <si>
    <t>Myb-binding protein 1A</t>
  </si>
  <si>
    <t>Peroxisomal NADH pyrophosphatase NUDT12</t>
  </si>
  <si>
    <t>Isoform 3 of Allograft inflammatory factor 1-like</t>
  </si>
  <si>
    <t>Mitochondrial genome maintenance exonuclease 1</t>
  </si>
  <si>
    <t>Isoform 3 of Golgi reassembly-stacking protein 1</t>
  </si>
  <si>
    <t>FYVE and coiled-coil domain-containing protein 1</t>
  </si>
  <si>
    <t>Rhox homeobox family member 2</t>
  </si>
  <si>
    <t>Acyl-CoA-binding domain-containing protein 6</t>
  </si>
  <si>
    <t>Coronin-1B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</si>
  <si>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</si>
  <si>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</si>
  <si>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</si>
  <si>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</si>
  <si>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45 kDa calcium-binding protein</t>
  </si>
  <si>
    <t>Programmed cell death protein 2-like</t>
  </si>
  <si>
    <t>Proteasomal ATPase-associated factor 1</t>
  </si>
  <si>
    <t>Isoform 2 of Partner of Y14 and mago</t>
  </si>
  <si>
    <t>Zinc finger protein with KRAB and SCAN domains 3</t>
  </si>
  <si>
    <t>Isoform 2 of ADP-dependent glucokinase</t>
  </si>
  <si>
    <t>G patch domain-containing protein 1</t>
  </si>
  <si>
    <t>Isoform 4 of Rho GTPase-activating protein 9</t>
  </si>
  <si>
    <t>Serine/threonine-protein kinase RIO1</t>
  </si>
  <si>
    <t>Migration and invasion enhancer 1</t>
  </si>
  <si>
    <t>DNA replication complex GINS protein SLD5</t>
  </si>
  <si>
    <t>Suppressor of IKBKE 1</t>
  </si>
  <si>
    <t>Protein pelota homolog</t>
  </si>
  <si>
    <t>DNA replication complex GINS protein PSF3</t>
  </si>
  <si>
    <t>WD repeat domain-containing protein 83</t>
  </si>
  <si>
    <t>E3 ubiquitin-protein ligase TRIM56</t>
  </si>
  <si>
    <t>Endoplasmic reticulum resident protein 44</t>
  </si>
  <si>
    <t>Autophagy-related protein 101</t>
  </si>
  <si>
    <t>Nucleolar protein 10</t>
  </si>
  <si>
    <t>Cancer-related nucleoside-triphosphatase</t>
  </si>
  <si>
    <t>Transmembrane protein 79</t>
  </si>
  <si>
    <t>Homocysteine-responsive endoplasmic reticulum-resident ubiquitin-like domain member 2 protein</t>
  </si>
  <si>
    <t>Small membrane A-kinase anchor protein</t>
  </si>
  <si>
    <t>Translational activator of cytochrome c oxidase 1</t>
  </si>
  <si>
    <t>Haloacid dehalogenase-like hydrolase domain-containing protein 3</t>
  </si>
  <si>
    <t>Isoform 2 of TERF1-interacting nuclear factor 2</t>
  </si>
  <si>
    <t>Gamma-tubulin complex component 2</t>
  </si>
  <si>
    <t>Isoform 3 of Uncharacterized protein C17orf80</t>
  </si>
  <si>
    <t>Extended synaptotagmin-1</t>
  </si>
  <si>
    <t>Ubiquitin-associated domain-containing protein 1</t>
  </si>
  <si>
    <t>Isoform 2 of Polycomb group RING finger protein 1</t>
  </si>
  <si>
    <t>Malcavernin</t>
  </si>
  <si>
    <t>Protein YIPF4</t>
  </si>
  <si>
    <t>Isoform 3 of Rhotekin</t>
  </si>
  <si>
    <t>UPF0183 protein C16orf70</t>
  </si>
  <si>
    <t>N-alpha-acetyltransferase 11</t>
  </si>
  <si>
    <t>tRNA-splicing endonuclease subunit Sen34</t>
  </si>
  <si>
    <t>Isoform 2 of EF-hand calcium-binding domain-containing protein 4B</t>
  </si>
  <si>
    <t>Coiled-coil-helix-coiled-coil-helix domain-containing protein 5</t>
  </si>
  <si>
    <t>Protein canopy homolog 3</t>
  </si>
  <si>
    <t>Isoform 2 of HAUS augmin-like complex subunit 8</t>
  </si>
  <si>
    <t>Alpha-ketoglutarate-dependent dioxygenase alkB homolog 7</t>
  </si>
  <si>
    <t>Proteasome assembly chaperone 3</t>
  </si>
  <si>
    <t>COP9 signalosome complex subunit 4</t>
  </si>
  <si>
    <t>Trichoplein keratin filament-binding protein</t>
  </si>
  <si>
    <t>Isoform 2 of WW domain-containing adapter protein with coiled-coil</t>
  </si>
  <si>
    <t>Death-inducer obliterator 1</t>
  </si>
  <si>
    <t>Isoform 4 of RNA-binding protein 42</t>
  </si>
  <si>
    <t>Isoform 2 of Dynactin subunit 5</t>
  </si>
  <si>
    <t>Isoform 2 of Mini-chromosome maintenance complex-binding protein</t>
  </si>
  <si>
    <t>Alanyl-tRNA editing protein Aarsd1</t>
  </si>
  <si>
    <t>Isoform 3 of Alanyl-tRNA editing protein Aarsd1</t>
  </si>
  <si>
    <t>DCN1-like protein 5</t>
  </si>
  <si>
    <t>THUMP domain-containing protein 2</t>
  </si>
  <si>
    <t>PAXIP1-associated glutamate-rich protein 1</t>
  </si>
  <si>
    <t>RNMT-activating mini protein</t>
  </si>
  <si>
    <t>Ubiquitin-related modifier 1 homolog</t>
  </si>
  <si>
    <t>Acidic leucine-rich nuclear phosphoprotein 32 family member E</t>
  </si>
  <si>
    <t>Mediator of RNA polymerase II transcription subunit 10</t>
  </si>
  <si>
    <t>WD repeat-containing protein 85</t>
  </si>
  <si>
    <t>Tubulin-specific chaperone D</t>
  </si>
  <si>
    <t>Alpha-tocopherol transfer protein-like</t>
  </si>
  <si>
    <t>Plasma alpha-L-fucosidase</t>
  </si>
  <si>
    <t>Protein FAM203A</t>
  </si>
  <si>
    <t>Thiamine-triphosphatase</t>
  </si>
  <si>
    <t>Centromere protein O</t>
  </si>
  <si>
    <t>Multiple myeloma tumor-associated protein 2</t>
  </si>
  <si>
    <t>Deoxyhypusine hydroxylase</t>
  </si>
  <si>
    <t>Uncharacterized protein C11orf84</t>
  </si>
  <si>
    <t>tRNA-specific adenosine deaminase 1</t>
  </si>
  <si>
    <t>Isoform 2 of MAP kinase-interacting serine/threonine-protein kinase 1</t>
  </si>
  <si>
    <t>Mediator of RNA polymerase II transcription subunit 18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</si>
  <si>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</si>
  <si>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</si>
  <si>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</si>
  <si>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</si>
  <si>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2 of Protein misato homolog 1</t>
  </si>
  <si>
    <t>Ribonuclease P protein subunit p25</t>
  </si>
  <si>
    <t>Coiled-coil domain-containing protein 28B</t>
  </si>
  <si>
    <t>EF-hand domain-containing protein D1</t>
  </si>
  <si>
    <t>Probable ATP-dependent RNA helicase DDX23</t>
  </si>
  <si>
    <t>Telomerase Cajal body protein 1</t>
  </si>
  <si>
    <t>3-hydroxybutyrate dehydrogenase type 2</t>
  </si>
  <si>
    <t>Protein FAM195A</t>
  </si>
  <si>
    <t>UPF0184 protein C9orf16</t>
  </si>
  <si>
    <t>Uncharacterized protein C1orf50</t>
  </si>
  <si>
    <t>Methylthioribose-1-phosphate isomerase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</si>
  <si>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</si>
  <si>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</si>
  <si>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</si>
  <si>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</si>
  <si>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</si>
  <si>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Centrosome-associated protein CEP250</t>
  </si>
  <si>
    <t>Trans-2-enoyl-CoA reductase, mitochondrial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</si>
  <si>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</si>
  <si>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</si>
  <si>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</si>
  <si>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</si>
  <si>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Transmembrane protein 109</t>
  </si>
  <si>
    <t>Protein PBDC1</t>
  </si>
  <si>
    <t>PHD finger protein 20</t>
  </si>
  <si>
    <t>Nucleolar complex protein 4 homolog</t>
  </si>
  <si>
    <t>U3 small nucleolar RNA-associated protein 14 homolog A</t>
  </si>
  <si>
    <t>Dual specificity protein phosphatase 23</t>
  </si>
  <si>
    <t>Transmembrane emp24 domain-containing protein 9</t>
  </si>
  <si>
    <t>Selenoprotein O</t>
  </si>
  <si>
    <t>Protein DPCD</t>
  </si>
  <si>
    <t>Gamma-glutamylaminecyclotransferase</t>
  </si>
  <si>
    <t>Isoform 2 of Guanine nucleotide-binding protein-like 3</t>
  </si>
  <si>
    <t>Spermatogenesis-associated protein 5-like protein 1</t>
  </si>
  <si>
    <t>Gamma-tubulin complex component 4</t>
  </si>
  <si>
    <t>Serine/threonine-protein kinase RIO2</t>
  </si>
  <si>
    <t>Specifically androgen-regulated gene protein</t>
  </si>
  <si>
    <t>Kinesin-like protein KIFC1</t>
  </si>
  <si>
    <t>Nuclear pore complex protein Nup85</t>
  </si>
  <si>
    <t>DET1- and DDB1-associated protein 1</t>
  </si>
  <si>
    <t>Katanin p60 ATPase-containing subunit A-like 1</t>
  </si>
  <si>
    <t>Cyclin-dependent kinase 2-interacting protein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</si>
  <si>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</si>
  <si>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</si>
  <si>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</si>
  <si>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</si>
  <si>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</si>
  <si>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</si>
  <si>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</si>
  <si>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</si>
  <si>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RNA polymerase II-associated protein 1</t>
  </si>
  <si>
    <t>Splicing factor 3B subunit 5</t>
  </si>
  <si>
    <t>Proline-rich protein 14</t>
  </si>
  <si>
    <t>Isoform 3 of Chitinase domain-containing protein 1</t>
  </si>
  <si>
    <t>Poly(A) polymerase gamma</t>
  </si>
  <si>
    <t>Kanadaptin</t>
  </si>
  <si>
    <t>Isoform 2 of Single-stranded DNA-binding protein 3</t>
  </si>
  <si>
    <t>Single stranded DNA binding protein-4</t>
  </si>
  <si>
    <t>Apolipoprotein L6</t>
  </si>
  <si>
    <t>Isoform 2 of GTP-binding protein 2</t>
  </si>
  <si>
    <t>Protein LSM14 homolog B</t>
  </si>
  <si>
    <t>Fanconi anemia group J protein</t>
  </si>
  <si>
    <t>Isoform 6 of Sorbin and SH3 domain-containing protein 1</t>
  </si>
  <si>
    <t>Isoform 9 of Sorbin and SH3 domain-containing protein 1</t>
  </si>
  <si>
    <t>Histidine triad nucleotide-binding protein 2, mitochondrial</t>
  </si>
  <si>
    <t>Oxysterol-binding protein-related protein 11</t>
  </si>
  <si>
    <t>N-acetylneuraminate lyase</t>
  </si>
  <si>
    <t>Rab11 family-interacting protein 5</t>
  </si>
  <si>
    <t>Bcl-2-binding component 3</t>
  </si>
  <si>
    <t>TBC1 domain family member 10A</t>
  </si>
  <si>
    <t>N-alpha-acetyltransferase 15, NatA auxiliary subunit</t>
  </si>
  <si>
    <t>Krueppel-like factor 16</t>
  </si>
  <si>
    <t>Bcl-2-like protein 13</t>
  </si>
  <si>
    <t>Hemogen</t>
  </si>
  <si>
    <t>Caspase recruitment domain-containing protein 11</t>
  </si>
  <si>
    <t>Isoform 4 of Serrate RNA effector molecule homolog</t>
  </si>
  <si>
    <t>Queuine tRNA-ribosyltransferase</t>
  </si>
  <si>
    <t>AP-1 complex subunit mu-1</t>
  </si>
  <si>
    <t>Isoform 2 of Nucleolar and spindle-associated protein 1</t>
  </si>
  <si>
    <t>Isoform 4 of Nucleolar and spindle-associated protein 1</t>
  </si>
  <si>
    <t>Uncharacterized protein C14orf142</t>
  </si>
  <si>
    <t>Isoform 1 of Cat eye syndrome critical region protein 5</t>
  </si>
  <si>
    <t>Isoform 2 of Fanconi anemia group D2 protein</t>
  </si>
  <si>
    <t>Protein MAK16 homolog</t>
  </si>
  <si>
    <t>Isoform 2 of S phase cyclin A-associated protein in the endoplasmic reticulum</t>
  </si>
  <si>
    <t>Inosine triphosphate pyrophosphatase</t>
  </si>
  <si>
    <t>Protein RTF2 homolog</t>
  </si>
  <si>
    <t>Charged multivesicular body protein 4a</t>
  </si>
  <si>
    <t>Eukaryotic translation initiation factor 2A</t>
  </si>
  <si>
    <t>Polymerase delta-interacting protein 3</t>
  </si>
  <si>
    <t>Guanine nucleotide-binding protein subunit beta-like protein 1</t>
  </si>
  <si>
    <t>39S ribosomal protein L32, mitochondrial</t>
  </si>
  <si>
    <t>39S ribosomal protein L1, mitochondrial</t>
  </si>
  <si>
    <t>Polycomb group RING finger protein 6</t>
  </si>
  <si>
    <t>MKI67 FHA domain-interacting nucleolar phosphoprotein</t>
  </si>
  <si>
    <t>Partitioning defective 6 homolog beta</t>
  </si>
  <si>
    <t>Hyccin</t>
  </si>
  <si>
    <t>RanBP-type and C3HC4-type zinc finger-containing protein 1</t>
  </si>
  <si>
    <t>Sulfiredoxin-1</t>
  </si>
  <si>
    <t>Neurolysin, mitochondrial</t>
  </si>
  <si>
    <t>Centrosomal protein of 41 kDa</t>
  </si>
  <si>
    <t>Transcription regulator protein BACH2</t>
  </si>
  <si>
    <t>Histone-lysine N-methyltransferase SETD2</t>
  </si>
  <si>
    <t>Isoform 2 of Interferon-induced helicase C domain-containing protein 1</t>
  </si>
  <si>
    <t>Isoform 3 of Dedicator of cytokinesis protein 9</t>
  </si>
  <si>
    <t>Isoform 4 of Histone-lysine N-methyltransferase NSD3</t>
  </si>
  <si>
    <t>Kinetochore protein Nuf2</t>
  </si>
  <si>
    <t>tRNA pseudouridine(38/39) synthase</t>
  </si>
  <si>
    <t>Tether containing UBX domain for GLUT4</t>
  </si>
  <si>
    <t>Isoform 3 of Oxysterol-binding protein-related protein 8</t>
  </si>
  <si>
    <t>Oxysterol-binding protein-related protein 7</t>
  </si>
  <si>
    <t>Isoform 2 of Oxysterol-binding protein-related protein 6</t>
  </si>
  <si>
    <t>WD repeat-containing protein 11</t>
  </si>
  <si>
    <t>Isoform 2 of Regulator of nonsense transcripts 3B</t>
  </si>
  <si>
    <t>Isoform 2 of Crooked neck-like protein 1</t>
  </si>
  <si>
    <t>F-box-like/WD repeat-containing protein TBL1XR1</t>
  </si>
  <si>
    <t>Ubiquitin-like protein 5</t>
  </si>
  <si>
    <t>Protein phosphatase 1 regulatory subunit 12C</t>
  </si>
  <si>
    <t>Serine/threonine-protein kinase D2</t>
  </si>
  <si>
    <t>Group XIIA secretory phospholipase A2</t>
  </si>
  <si>
    <t>Protein Niban</t>
  </si>
  <si>
    <t>UBX domain-containing protein 6</t>
  </si>
  <si>
    <t>Uridine-cytidine kinase 2</t>
  </si>
  <si>
    <t>Isoform 2 of Apoptosis inhibitor 5</t>
  </si>
  <si>
    <t>Isoform C of Protein sprouty homolog 4</t>
  </si>
  <si>
    <t>Protein dpy-30 homolog</t>
  </si>
  <si>
    <t>cAMP-dependent protein kinase inhibitor beta</t>
  </si>
  <si>
    <t>Tripartite motif-containing protein 2</t>
  </si>
  <si>
    <t>Protein FAM117A</t>
  </si>
  <si>
    <t>Isoform 2 of Leucine-rich repeat and coiled-coil domain-containing protein 1</t>
  </si>
  <si>
    <t>RING finger protein unkempt homolog</t>
  </si>
  <si>
    <t>Alpha-ketoglutarate-dependent dioxygenase FTO</t>
  </si>
  <si>
    <t>Isoform 3 of Uncharacterized protein KIAA1751</t>
  </si>
  <si>
    <t>Isoform 2 of Palmitoyltransferase ZDHHC5</t>
  </si>
  <si>
    <t>Transport and Golgi organization 6 homolog</t>
  </si>
  <si>
    <t>182 kDa tankyrase-1-binding protein</t>
  </si>
  <si>
    <t>Semaphorin-4C</t>
  </si>
  <si>
    <t>Isoform 4 of Activating molecule in BECN1-regulated autophagy protein 1</t>
  </si>
  <si>
    <t>Ubiquitin-conjugating enzyme E2 O</t>
  </si>
  <si>
    <t>Centrosomal protein KIAA1731</t>
  </si>
  <si>
    <t>Protein zyg-11 homolog B</t>
  </si>
  <si>
    <t>Protein TANC1</t>
  </si>
  <si>
    <t>Centrosomal protein of 44 kDa</t>
  </si>
  <si>
    <t>Zinc finger protein 407</t>
  </si>
  <si>
    <t>Myotubularin-related protein 12</t>
  </si>
  <si>
    <t>pre-mRNA 3 end processing protein WDR33</t>
  </si>
  <si>
    <t>Isoform 2 of STE20-related kinase adapter protein beta</t>
  </si>
  <si>
    <t>Ribosome biogenesis protein WDR12</t>
  </si>
  <si>
    <t>Homeobox protein TGIF2</t>
  </si>
  <si>
    <t>UPF0687 protein C20orf27</t>
  </si>
  <si>
    <t>PITH domain-containing protein 1</t>
  </si>
  <si>
    <t>COMM domain-containing protein 5</t>
  </si>
  <si>
    <t>Isoform 2 of Sentrin-specific protease 6</t>
  </si>
  <si>
    <t>RNA exonuclease 4</t>
  </si>
  <si>
    <t>Isoform 2 of DNA-directed RNA polymerase I subunit RPA49</t>
  </si>
  <si>
    <t>WD repeat-containing protein 61</t>
  </si>
  <si>
    <t>Isoform 2 of SRA stem-loop-interacting RNA-binding protein, mitochondrial</t>
  </si>
  <si>
    <t>Serine racemase</t>
  </si>
  <si>
    <t>Isoform 2 of NIF3-like protein 1</t>
  </si>
  <si>
    <t>Egl nine homolog 1</t>
  </si>
  <si>
    <t>Protein FAM192A</t>
  </si>
  <si>
    <t>Twisted gastrulation protein homolog 1</t>
  </si>
  <si>
    <t>Isoform 2 of Mitochondrial fission factor</t>
  </si>
  <si>
    <t>Ubiquitin-like modifier-activating enzyme 5</t>
  </si>
  <si>
    <t>Phospholysine phosphohistidine inorganic pyrophosphate phosphatase</t>
  </si>
  <si>
    <t>Polyadenylate-binding protein-interacting protein 1</t>
  </si>
  <si>
    <t>Isoform 2 of Polyadenylate-binding protein-interacting protein 1</t>
  </si>
  <si>
    <t>KATNB1-like protein 1</t>
  </si>
  <si>
    <t>Protein MIS12 homolog</t>
  </si>
  <si>
    <t>Ras-related protein Rab-33B</t>
  </si>
  <si>
    <t>Isoform 2 of Neuroblastoma breakpoint family member 3</t>
  </si>
  <si>
    <t>Protein FAM107B</t>
  </si>
  <si>
    <t>N-acetyltransferase 10</t>
  </si>
  <si>
    <t>COMM domain-containing protein 4</t>
  </si>
  <si>
    <t>Kinesin light chain 2</t>
  </si>
  <si>
    <t>Integrin-linked kinase-associated serine/threonine phosphatase 2C</t>
  </si>
  <si>
    <t>5-3 exoribonuclease 2</t>
  </si>
  <si>
    <t>Toll-interacting protein</t>
  </si>
  <si>
    <t>Isoform 2 of Bromodomain-containing protein 8</t>
  </si>
  <si>
    <t>Sharpin</t>
  </si>
  <si>
    <t>ADP-ribosylation factor-like protein 6</t>
  </si>
  <si>
    <t>Nuclear speckle splicing regulatory protein 1</t>
  </si>
  <si>
    <t>Rac GTPase-activating protein 1</t>
  </si>
  <si>
    <t>Isoform 2 of Enkurin domain-containing protein 1</t>
  </si>
  <si>
    <t>Poly [ADP-ribose] polymerase 12</t>
  </si>
  <si>
    <t>Serine/threonine-protein kinase SIK2</t>
  </si>
  <si>
    <t>Pseudouridylate synthase 7 homolog-like protein</t>
  </si>
  <si>
    <t>Cleavage stimulation factor subunit 2 tau variant</t>
  </si>
  <si>
    <t>Isoform 4 of Cytosolic 5-nucleotidase 3A</t>
  </si>
  <si>
    <t>AP-5 complex subunit mu-1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</si>
  <si>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</si>
  <si>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</si>
  <si>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</si>
  <si>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Ras-related protein Rab-1B</t>
  </si>
  <si>
    <t>Testis-specific Y-encoded-like protein 1</t>
  </si>
  <si>
    <t>Coiled-coil domain-containing protein 8</t>
  </si>
  <si>
    <t>Isoform 2 of Protein SMG9</t>
  </si>
  <si>
    <t>Ester hydrolase C11orf54</t>
  </si>
  <si>
    <t>GDNF-inducible zinc finger protein 1</t>
  </si>
  <si>
    <t>Nucleotide exchange factor SIL1</t>
  </si>
  <si>
    <t>Cysteine/serine-rich nuclear protein 2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</si>
  <si>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</si>
  <si>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</si>
  <si>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</si>
  <si>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</si>
  <si>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Activating signal cointegrator 1 complex subunit 2</t>
  </si>
  <si>
    <t>Isoform 2 of Regulator of nonsense transcripts 3A</t>
  </si>
  <si>
    <t>Iron-sulfur cluster assembly enzyme ISCU, mitochondrial</t>
  </si>
  <si>
    <t>Mesoderm development candidate 1</t>
  </si>
  <si>
    <t>Isoform 2 of Oxysterol-binding protein-related protein 2</t>
  </si>
  <si>
    <t>Autophagy protein 5</t>
  </si>
  <si>
    <t>WD repeat-containing protein 13</t>
  </si>
  <si>
    <t>Mediator of RNA polymerase II transcription subunit 28</t>
  </si>
  <si>
    <t>DNA replication factor Cdt1</t>
  </si>
  <si>
    <t>EH domain-containing protein 4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</si>
  <si>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</si>
  <si>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</si>
  <si>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</si>
  <si>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</si>
  <si>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Isoform 1 of TRIO and F-actin-binding protein</t>
  </si>
  <si>
    <t>Isoform 2 of Enhancer of polycomb homolog 1</t>
  </si>
  <si>
    <t>Isoform 2 of STE20-like serine/threonine-protein kinase</t>
  </si>
  <si>
    <t>Peptidyl-prolyl cis-trans isomerase-like 3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</si>
  <si>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</si>
  <si>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</si>
  <si>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</si>
  <si>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</si>
  <si>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</si>
  <si>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Diphthine synthase</t>
  </si>
  <si>
    <t>Isoform 3 of Probable ATP-dependent RNA helicase DHX36</t>
  </si>
  <si>
    <t>Inorganic pyrophosphatase 2, mitochondrial</t>
  </si>
  <si>
    <t>39S ribosomal protein L46, mitochondrial</t>
  </si>
  <si>
    <t>Zinc finger protein 106</t>
  </si>
  <si>
    <t>Pinin</t>
  </si>
  <si>
    <t>Gametogenetin-binding protein 2</t>
  </si>
  <si>
    <t>BTB/POZ domain-containing adapter for CUL3-mediated RhoA degradation protein 3</t>
  </si>
  <si>
    <t>Probable serine carboxypeptidase CPVL</t>
  </si>
  <si>
    <t>Isoform 4 of tRNA dimethylallyltransferase, mitochondrial</t>
  </si>
  <si>
    <t>Isoform 2 of UPF0696 protein C11orf68</t>
  </si>
  <si>
    <t>BolA-like protein 2</t>
  </si>
  <si>
    <t>Methylmalonic aciduria and homocystinuria type D protein, mitochondrial</t>
  </si>
  <si>
    <t>Thioredoxin-related transmembrane protein 1</t>
  </si>
  <si>
    <t>Negative elongation factor A</t>
  </si>
  <si>
    <t>Golgi resident protein GCP60</t>
  </si>
  <si>
    <t>Cdc42 effector protein 4</t>
  </si>
  <si>
    <t>Protein unc-45 homolog A</t>
  </si>
  <si>
    <t>Pancreatic progenitor cell differentiation and proliferation factor</t>
  </si>
  <si>
    <t>Kinetochore-associated protein DSN1 homolog</t>
  </si>
  <si>
    <t>Isoform 3 of Uncharacterized protein C1orf198</t>
  </si>
  <si>
    <t>Charged multivesicular body protein 4b</t>
  </si>
  <si>
    <t>F-box/LRR-repeat protein 15</t>
  </si>
  <si>
    <t>Fructosamine-3-kinase</t>
  </si>
  <si>
    <t>GDP-fucose protein O-fucosyltransferase 1</t>
  </si>
  <si>
    <t>15 kDa interferon-responsive protein</t>
  </si>
  <si>
    <t>Aminopeptidase B</t>
  </si>
  <si>
    <t>Golgi phosphoprotein 3-like</t>
  </si>
  <si>
    <t>Golgi phosphoprotein 3</t>
  </si>
  <si>
    <t>Differentially expressed in FDCP 6 homolog</t>
  </si>
  <si>
    <t>Isoform 2 of Band 4.1-like protein 1</t>
  </si>
  <si>
    <t>Isoform 2 of Protein FAM83D</t>
  </si>
  <si>
    <t>Zinc fingers and homeoboxes protein 3</t>
  </si>
  <si>
    <t>Oxysterol-binding protein-related protein 3</t>
  </si>
  <si>
    <t>SWI/SNF-related matrix-associated actin-dependent regulator of chromatin subfamily A containing DEAD/H box 1</t>
  </si>
  <si>
    <t>Isoform 2 of F-box only protein 44</t>
  </si>
  <si>
    <t>Isoform 2 of Pleckstrin homology domain-containing family A member 4</t>
  </si>
  <si>
    <t>EH domain-containing protein 1</t>
  </si>
  <si>
    <t>Isoform 2 of E3 ubiquitin-protein ligase NRDP1</t>
  </si>
  <si>
    <t>Isoform 2 of Zinc finger protein 335</t>
  </si>
  <si>
    <t>Phosphorylated CTD-interacting factor 1</t>
  </si>
  <si>
    <t>ESF1 homolog</t>
  </si>
  <si>
    <t>Actin-like protein 8</t>
  </si>
  <si>
    <t>Isoform 2 of Zinc finger protein 644</t>
  </si>
  <si>
    <t>HEAT repeat-containing protein 1</t>
  </si>
  <si>
    <t>Zinc finger protein 768</t>
  </si>
  <si>
    <t>Zinc finger and BTB domain-containing protein 3</t>
  </si>
  <si>
    <t>TATA box-binding protein-associated factor RNA polymerase I subunit D</t>
  </si>
  <si>
    <t>Rab GTPase-binding effector protein 2</t>
  </si>
  <si>
    <t>Dimethyladenosine transferase 2, mitochondrial</t>
  </si>
  <si>
    <t>Zinc finger protein Pegasus</t>
  </si>
  <si>
    <t>Isoform 2 of UPF0428 protein CXorf56</t>
  </si>
  <si>
    <t>MIP18 family protein FAM96A</t>
  </si>
  <si>
    <t>Isoform 2 of Probable ATP-dependent RNA helicase DHX35</t>
  </si>
  <si>
    <t>Isoform 3 of Ribonuclease P protein subunit p21</t>
  </si>
  <si>
    <t>Isoform 2 of Pecanex-like protein 3</t>
  </si>
  <si>
    <t>HAUS augmin-like complex subunit 4</t>
  </si>
  <si>
    <t>Coiled-coil domain-containing protein 134</t>
  </si>
  <si>
    <t>Speckle targeted PIP5K1A-regulated poly(A) polymerase</t>
  </si>
  <si>
    <t>Coiled-coil domain-containing protein 86</t>
  </si>
  <si>
    <t>Receptor expression-enhancing protein 4</t>
  </si>
  <si>
    <t>Uncharacterized protein C6orf106</t>
  </si>
  <si>
    <t>Armadillo repeat-containing protein 7</t>
  </si>
  <si>
    <t>Cytosolic Fe-S cluster assembly factor NARFL</t>
  </si>
  <si>
    <t>Isoform 4 of Nucleolar protein 6</t>
  </si>
  <si>
    <t>WD repeat-containing protein C2orf44</t>
  </si>
  <si>
    <t>Probable ATP-dependent RNA helicase YTHDC2</t>
  </si>
  <si>
    <t>5-azacytidine-induced protein 2</t>
  </si>
  <si>
    <t>Isoform 2 of Epidermal growth factor receptor kinase substrate 8-like protein 2</t>
  </si>
  <si>
    <t>Isoform 2 of RNA polymerase II-associated protein 3</t>
  </si>
  <si>
    <t>Isoform 1 of Breast carcinoma-amplified sequence 3</t>
  </si>
  <si>
    <t>Bifunctional lysine-specific demethylase and histidyl-hydroxylase NO66</t>
  </si>
  <si>
    <t>WD repeat-containing protein 55</t>
  </si>
  <si>
    <t>Ran-binding protein 3</t>
  </si>
  <si>
    <t>Isoform 2 of Ran-binding protein 3</t>
  </si>
  <si>
    <t>dCTP pyrophosphatase 1</t>
  </si>
  <si>
    <t>Zinc phosphodiesterase ELAC protein 1</t>
  </si>
  <si>
    <t>Histone-lysine N-methyltransferase SMYD3</t>
  </si>
  <si>
    <t>Mth938 domain-containing protein</t>
  </si>
  <si>
    <t>Isoform 2 of WD repeat-containing protein 26</t>
  </si>
  <si>
    <t>Isoform 3 of Tudor domain-containing protein 3</t>
  </si>
  <si>
    <t>UPF0488 protein C8orf33</t>
  </si>
  <si>
    <t>Sin3 histone deacetylase corepressor complex component SDS3</t>
  </si>
  <si>
    <t>Splicing factor, arginine/serine-rich 19</t>
  </si>
  <si>
    <t>Pleckstrin homology domain-containing family G member 2</t>
  </si>
  <si>
    <t>Zinc finger protein 696</t>
  </si>
  <si>
    <t>Histone acetyltransferase KAT8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</si>
  <si>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</si>
  <si>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</si>
  <si>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</si>
  <si>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</si>
  <si>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</si>
  <si>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5 of Protein-lysine methyltransferase METTL21D</t>
  </si>
  <si>
    <t>Isoform 5 of YY1-associated protein 1</t>
  </si>
  <si>
    <t>Protein RMD5 homolog A</t>
  </si>
  <si>
    <t>PRKR-interacting protein 1</t>
  </si>
  <si>
    <t>Cysteine-rich protein 2-binding protein</t>
  </si>
  <si>
    <t>Caspase activity and apoptosis inhibitor 1</t>
  </si>
  <si>
    <t>Nucleolar protein 11</t>
  </si>
  <si>
    <t>Uncharacterized protein C10orf88</t>
  </si>
  <si>
    <t>Bromodomain-containing protein 9</t>
  </si>
  <si>
    <t>Protein FAM188A</t>
  </si>
  <si>
    <t>MOB kinase activator 1A</t>
  </si>
  <si>
    <t>AN1-type zinc finger protein 3</t>
  </si>
  <si>
    <t>Protein ECT2</t>
  </si>
  <si>
    <t>Pleckstrin homology domain-containing family F member 2</t>
  </si>
  <si>
    <t>Ankyrin repeat and zinc finger domain-containing protein 1</t>
  </si>
  <si>
    <t>Golgi reassembly-stacking protein 2</t>
  </si>
  <si>
    <t>Protein zwilch homolog</t>
  </si>
  <si>
    <t>Isoform 2 of Hematological and neurological expressed 1-like protein</t>
  </si>
  <si>
    <t>Proline-serine-threonine phosphatase-interacting protein 2</t>
  </si>
  <si>
    <t>Mediator of RNA polymerase II transcription subunit 20</t>
  </si>
  <si>
    <t>WD repeat-containing protein 76</t>
  </si>
  <si>
    <t>Queuine tRNA-ribosyltransferase subunit QTRTD1</t>
  </si>
  <si>
    <t>UPF0364 protein C6orf211</t>
  </si>
  <si>
    <t>Pantothenate kinase 3</t>
  </si>
  <si>
    <t>Isoform 2 of CCR4-NOT transcription complex subunit 10</t>
  </si>
  <si>
    <t>Leucine-rich repeat-containing protein 40</t>
  </si>
  <si>
    <t>RecQ-mediated genome instability protein 1</t>
  </si>
  <si>
    <t>Histone-lysine N-methyltransferase EHMT1</t>
  </si>
  <si>
    <t>Sideroflexin-1</t>
  </si>
  <si>
    <t>Isoform 2 of Spermatogenesis-defective protein 39 homolog</t>
  </si>
  <si>
    <t>Conserved oligomeric Golgi complex subunit 4</t>
  </si>
  <si>
    <t>Actin-related protein 5</t>
  </si>
  <si>
    <t>Protein argonaute-3</t>
  </si>
  <si>
    <t>Vacuolar protein sorting-associated protein 37B</t>
  </si>
  <si>
    <t>39S ribosomal protein L44, mitochondrial</t>
  </si>
  <si>
    <t>Interferon-stimulated 20 kDa exonuclease-like 2</t>
  </si>
  <si>
    <t>Non-homologous end-joining factor 1</t>
  </si>
  <si>
    <t>Calcium-binding protein 39-like</t>
  </si>
  <si>
    <t>Isoform 2 of Elongator complex protein 3</t>
  </si>
  <si>
    <t>Isoform 2 of JmjC domain-containing protein 4</t>
  </si>
  <si>
    <t>GPN-loop GTPase 2</t>
  </si>
  <si>
    <t>Isoform 2 of DNA-directed RNA polymerase I subunit RPA2</t>
  </si>
  <si>
    <t>Isoform 2 of Zinc finger matrin-type protein 3</t>
  </si>
  <si>
    <t>Isoform 3 of Uridine-cytidine kinase 1</t>
  </si>
  <si>
    <t>Ketosamine-3-kinase</t>
  </si>
  <si>
    <t>Isoform 2 of TBC1 domain family member 17</t>
  </si>
  <si>
    <t>Probable cysteine--tRNA ligase, mitochondrial</t>
  </si>
  <si>
    <t>Phosphopantothenate--cysteine ligase</t>
  </si>
  <si>
    <t>Isoform 2 of Chromatin modification-related protein MEAF6</t>
  </si>
  <si>
    <t>Histone deacetylase complex subunit SAP30L</t>
  </si>
  <si>
    <t>Nicotinamide mononucleotide adenylyltransferase 1</t>
  </si>
  <si>
    <t>Isoform 3 of Latrophilin-3</t>
  </si>
  <si>
    <t>Sialate O-acetylesterase</t>
  </si>
  <si>
    <t>E3 ubiquitin-protein ligase pellino homolog 2</t>
  </si>
  <si>
    <t>Pleckstrin homology domain-containing family A member 5</t>
  </si>
  <si>
    <t>E3 ubiquitin-protein ligase SMURF2</t>
  </si>
  <si>
    <t>Regulator of nonsense transcripts 2</t>
  </si>
  <si>
    <t>Arginyl aminopeptidase-like 1</t>
  </si>
  <si>
    <t>Exportin-5</t>
  </si>
  <si>
    <t>GrpE protein homolog 1, mitochondrial</t>
  </si>
  <si>
    <t>Isoform 2 of Claspin</t>
  </si>
  <si>
    <t>Pleckstrin homology domain-containing family A member 2</t>
  </si>
  <si>
    <t>Pleckstrin homology domain-containing family A member 1</t>
  </si>
  <si>
    <t>Retinoid-inducible serine carboxypeptidase</t>
  </si>
  <si>
    <t>Isoform 6 of Sp110 nuclear body protein</t>
  </si>
  <si>
    <t>Calcyclin-binding protein</t>
  </si>
  <si>
    <t>Ras-related GTP-binding protein C</t>
  </si>
  <si>
    <t>Fanconi anemia group E protein</t>
  </si>
  <si>
    <t>Isoform 4 of POZ-, AT hook-, and zinc finger-containing protein 1</t>
  </si>
  <si>
    <t>Isoform 2 of Interleukin-21</t>
  </si>
  <si>
    <t>Beta-parvin</t>
  </si>
  <si>
    <t>NmrA-like family domain-containing protein 1</t>
  </si>
  <si>
    <t>Kinetochore protein Spc25</t>
  </si>
  <si>
    <t>Transcription initiation factor TFIID subunit 9B</t>
  </si>
  <si>
    <t>1-acyl-sn-glycerol-3-phosphate acyltransferase alpha</t>
  </si>
  <si>
    <t>DNA polymerase lambda</t>
  </si>
  <si>
    <t>Putative sodium-coupled neutral amino acid transporter 10</t>
  </si>
  <si>
    <t>Ethanolamine kinase 1</t>
  </si>
  <si>
    <t>Echinoderm microtubule-associated protein-like 4</t>
  </si>
  <si>
    <t>Isoform 2 of Glyoxalase domain-containing protein 4</t>
  </si>
  <si>
    <t>Vasculin-like protein 1</t>
  </si>
  <si>
    <t>Chromobox protein homolog 8</t>
  </si>
  <si>
    <t>Centromere protein J</t>
  </si>
  <si>
    <t>Methylcrotonoyl-CoA carboxylase beta chain, mitochondrial</t>
  </si>
  <si>
    <t>Isoform 2 of Lateral signaling target protein 2 homolog</t>
  </si>
  <si>
    <t>Isoform 5 of Lateral signaling target protein 2 homolog</t>
  </si>
  <si>
    <t>Nuclear receptor coactivator 5</t>
  </si>
  <si>
    <t>Isoform 2 of Ectopic P granules protein 5 homolog</t>
  </si>
  <si>
    <t>Putative helicase MOV-10</t>
  </si>
  <si>
    <t>Methyltransferase-like protein 14</t>
  </si>
  <si>
    <t>Isoform 3 of Nck-associated protein 5-like</t>
  </si>
  <si>
    <t>E3 ubiquitin-protein ligase MSL2</t>
  </si>
  <si>
    <t>Trinucleotide repeat-containing gene 6C protein</t>
  </si>
  <si>
    <t>Isoform 2 of Ribonucleoprotein PTB-binding 2</t>
  </si>
  <si>
    <t>Chromodomain-helicase-DNA-binding protein 8</t>
  </si>
  <si>
    <t>Isoform 4 of Band 4.1-like protein 5</t>
  </si>
  <si>
    <t>Isoform 2 of GPN-loop GTPase 1</t>
  </si>
  <si>
    <t>Stromal cell-derived factor 2-like protein 1</t>
  </si>
  <si>
    <t>DNA polymerase delta subunit 4</t>
  </si>
  <si>
    <t>Steroid receptor RNA activator 1</t>
  </si>
  <si>
    <t>Isoform B of Probable cation-transporting ATPase 13A1</t>
  </si>
  <si>
    <t>Golgi-associated PDZ and coiled-coil motif-containing protein</t>
  </si>
  <si>
    <t>O-phosphoseryl-tRNA(Sec) selenium transferase</t>
  </si>
  <si>
    <t>Transmembrane 9 superfamily member 3</t>
  </si>
  <si>
    <t>Isoform 2 of Ran guanine nucleotide release factor</t>
  </si>
  <si>
    <t>Junctophilin-1</t>
  </si>
  <si>
    <t>Isoform 2 of Adipocyte plasma membrane-associated protein</t>
  </si>
  <si>
    <t>WD repeat-containing protein 6</t>
  </si>
  <si>
    <t>Isoform 3 of Tuftelin</t>
  </si>
  <si>
    <t>Protein FAM60A</t>
  </si>
  <si>
    <t>High mobility group protein 20A</t>
  </si>
  <si>
    <t>Ras-related protein Rab-18</t>
  </si>
  <si>
    <t>UDP-N-acetylglucosamine transferase subunit ALG13 homolog</t>
  </si>
  <si>
    <t>Palmdelphin</t>
  </si>
  <si>
    <t>RNA polymerase II subunit A C-terminal domain phosphatase SSU72</t>
  </si>
  <si>
    <t>Vacuolar protein sorting-associated protein VTA1 homolog</t>
  </si>
  <si>
    <t>Dynein light chain roadblock-type 1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</si>
  <si>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</si>
  <si>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</si>
  <si>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</si>
  <si>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</si>
  <si>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</si>
  <si>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H/ACA ribonucleoprotein complex subunit 3</t>
  </si>
  <si>
    <t>Probable tRNA threonylcarbamoyladenosine biosynthesis protein OSGEP</t>
  </si>
  <si>
    <t>DNA methyltransferase 1-associated protein 1</t>
  </si>
  <si>
    <t>Isoform 2 of Ubinuclein-1</t>
  </si>
  <si>
    <t>Isoform 4 of Interleukin-1 receptor accessory protein</t>
  </si>
  <si>
    <t>Bromodomain-containing protein 7</t>
  </si>
  <si>
    <t>mRNA-decapping enzyme 1A</t>
  </si>
  <si>
    <t>Fanconi anemia group F protein</t>
  </si>
  <si>
    <t>Acyl-coenzyme A thioesterase 13</t>
  </si>
  <si>
    <t>Mediator of RNA polymerase II transcription subunit 4</t>
  </si>
  <si>
    <t>NTF2-related export protein 2</t>
  </si>
  <si>
    <t>Synembryn-A</t>
  </si>
  <si>
    <t>Putative RNA-binding protein Luc7-like 1</t>
  </si>
  <si>
    <t>Isoform 2 of Suppressor of SWI4 1 homolog</t>
  </si>
  <si>
    <t>Fructose-2,6-bisphosphatase TIGAR</t>
  </si>
  <si>
    <t>Uncharacterized protein C12orf4</t>
  </si>
  <si>
    <t>Coordinator of PRMT5 and differentiation stimulator</t>
  </si>
  <si>
    <t>WAS protein family homolog 6</t>
  </si>
  <si>
    <t>Histidine triad nucleotide-binding protein 3</t>
  </si>
  <si>
    <t>Regulation of nuclear pre-mRNA domain-containing protein 1B</t>
  </si>
  <si>
    <t>Mitochondrial dynamic protein MID51</t>
  </si>
  <si>
    <t>Isoform 2 of Probable Xaa-Pro aminopeptidase 3</t>
  </si>
  <si>
    <t>Ras-related GTP-binding protein D</t>
  </si>
  <si>
    <t>Prefoldin subunit 4</t>
  </si>
  <si>
    <t>Isoform 2 of N-lysine methyltransferase SETD8</t>
  </si>
  <si>
    <t>Omega-amidase NIT2</t>
  </si>
  <si>
    <t>Cell death regulator Aven</t>
  </si>
  <si>
    <t>Isoform 2 of Inner centromere protein</t>
  </si>
  <si>
    <t>Exosome complex component RRP46</t>
  </si>
  <si>
    <t>Exosome complex component RRP40</t>
  </si>
  <si>
    <t>Kinesin-like protein KIF13B</t>
  </si>
  <si>
    <t>Isoform 2 of PR domain zinc finger protein 10</t>
  </si>
  <si>
    <t>Actin-binding protein anillin</t>
  </si>
  <si>
    <t>Isoform 3 of Xaa-Pro aminopeptidase 1</t>
  </si>
  <si>
    <t>Gephyrin</t>
  </si>
  <si>
    <t>Bridging integrator 3</t>
  </si>
  <si>
    <t>Something about silencing protein 10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</si>
  <si>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</si>
  <si>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</si>
  <si>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</si>
  <si>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</si>
  <si>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</si>
  <si>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</si>
  <si>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</si>
  <si>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</si>
  <si>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</si>
  <si>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Endophilin-B2</t>
  </si>
  <si>
    <t>Translation initiation factor eIF-2B subunit gamma</t>
  </si>
  <si>
    <t>Isoform 4 of Potassium voltage-gated channel subfamily KQT member 5</t>
  </si>
  <si>
    <t>F-box only protein 6</t>
  </si>
  <si>
    <t>PRKCA-binding protein</t>
  </si>
  <si>
    <t>Isoform 3 of SH2B adapter protein 1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</si>
  <si>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</si>
  <si>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</si>
  <si>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</si>
  <si>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</si>
  <si>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</si>
  <si>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Yae1 domain-containing protein 1</t>
  </si>
  <si>
    <t>SNF-related serine/threonine-protein kinase</t>
  </si>
  <si>
    <t>Isoform 2 of Bromodomain adjacent to zinc finger domain protein 1A</t>
  </si>
  <si>
    <t>Striatin-4</t>
  </si>
  <si>
    <t>L-aminoadipate-semialdehyde dehydrogenase-phosphopantetheinyl transferase</t>
  </si>
  <si>
    <t>Methyltransferase-like protein 5</t>
  </si>
  <si>
    <t>Isoform 2 of Ribonuclease 3</t>
  </si>
  <si>
    <t>Ubiquilin-4</t>
  </si>
  <si>
    <t>Sorting nexin-15</t>
  </si>
  <si>
    <t>Heme-binding protein 1</t>
  </si>
  <si>
    <t>Ras-related protein Rab-6B</t>
  </si>
  <si>
    <t>Dual specificity protein phosphatase 22</t>
  </si>
  <si>
    <t>Vacuolar protein sorting-associated protein 45</t>
  </si>
  <si>
    <t>14 kDa phosphohistidine phosphatase</t>
  </si>
  <si>
    <t>SOSS complex subunit C</t>
  </si>
  <si>
    <t>Rho GTPase-activating protein 35</t>
  </si>
  <si>
    <t>Protein FAM114A2</t>
  </si>
  <si>
    <t>Isoform 6 of Lymphoid-specific helicase</t>
  </si>
  <si>
    <t>Glutaredoxin-2, mitochondrial</t>
  </si>
  <si>
    <t>E3 ubiquitin-protein ligase Topors</t>
  </si>
  <si>
    <t>Isoform 2 of MAP3K12-binding inhibitory protein 1</t>
  </si>
  <si>
    <t>LanC-like protein 2</t>
  </si>
  <si>
    <t>Isoform 2 of Kinesin-like protein KIF15</t>
  </si>
  <si>
    <t>E3 ubiquitin-protein ligase RAD18</t>
  </si>
  <si>
    <t>Beta-catenin-interacting protein 1</t>
  </si>
  <si>
    <t>Isoform 5 of Homer protein homolog 3</t>
  </si>
  <si>
    <t>Phenylalanine--tRNA ligase beta subunit</t>
  </si>
  <si>
    <t>Cytokine-inducible SH2-containing protein</t>
  </si>
  <si>
    <t>Isoleucine--tRNA ligase, mitochondrial</t>
  </si>
  <si>
    <t>Uncharacterized protein C1orf112</t>
  </si>
  <si>
    <t>Isoform B of Protein FAM207A</t>
  </si>
  <si>
    <t>Isoform C of Bromodomain and WD repeat-containing protein 1</t>
  </si>
  <si>
    <t>SAM domain-containing protein SAMSN-1</t>
  </si>
  <si>
    <t>Kinesin light chain 4</t>
  </si>
  <si>
    <t>Nuclear receptor-binding protein 2</t>
  </si>
  <si>
    <t>BMP-2-inducible protein kinase</t>
  </si>
  <si>
    <t>Ubiquitin-like-conjugating enzyme ATG3</t>
  </si>
  <si>
    <t>Leucine-rich repeat-containing protein 4B</t>
  </si>
  <si>
    <t>NAD-dependent protein deacetylase sirtuin-3, mitochondrial</t>
  </si>
  <si>
    <t>Isoform 2 of Sister chromatid cohesion protein PDS5 homolog B</t>
  </si>
  <si>
    <t>Structural maintenance of chromosomes protein 4</t>
  </si>
  <si>
    <t>Isoform 3 of Alpha-mannosidase 2C1</t>
  </si>
  <si>
    <t>Obg-like ATPase 1</t>
  </si>
  <si>
    <t>Isoform 2 of Obg-like ATPase 1</t>
  </si>
  <si>
    <t>Copper homeostasis protein cutC homolog</t>
  </si>
  <si>
    <t>Isoform 5 of Zinc finger protein 64 homolog, isoforms 3 and 4</t>
  </si>
  <si>
    <t>Isoform 2 of Ethylmalonyl-CoA decarboxylase</t>
  </si>
  <si>
    <t>RNA-binding protein 12</t>
  </si>
  <si>
    <t>TBC1 domain family member 22B</t>
  </si>
  <si>
    <t>Midasin</t>
  </si>
  <si>
    <t>LYR motif-containing protein 2</t>
  </si>
  <si>
    <t>Isoform 3 of Acetyl-coenzyme A synthetase 2-like, mitochondrial</t>
  </si>
  <si>
    <t>Zinc finger CCHC domain-containing protein 3</t>
  </si>
  <si>
    <t>p53 and DNA damage-regulated protein 1</t>
  </si>
  <si>
    <t>Mycophenolic acid acyl-glucuronide esterase, mitochondrial</t>
  </si>
  <si>
    <t>T-complex protein 11-like protein 1</t>
  </si>
  <si>
    <t>Transmembrane protein 106B</t>
  </si>
  <si>
    <t>Biogenesis of lysosome-related organelles complex 1 subunit 4</t>
  </si>
  <si>
    <t>tRNA:m(4)X modification enzyme TRM13 homolog</t>
  </si>
  <si>
    <t>Gamma-taxilin</t>
  </si>
  <si>
    <t>Isoform 2 of SPATS2-like protein</t>
  </si>
  <si>
    <t>Isoform 2 of ATP-binding cassette sub-family F member 3</t>
  </si>
  <si>
    <t>Protein FAM49B</t>
  </si>
  <si>
    <t>AP-5 complex subunit sigma-1</t>
  </si>
  <si>
    <t>ATP-dependent RNA helicase DDX19A</t>
  </si>
  <si>
    <t>Tyrosyl-DNA phosphodiesterase 1</t>
  </si>
  <si>
    <t>Isoform 2 of Protection of telomeres protein 1</t>
  </si>
  <si>
    <t>Isoform 2 of TBC1 domain family member 23</t>
  </si>
  <si>
    <t>DDB1- and CUL4-associated factor 13</t>
  </si>
  <si>
    <t>U3 small nucleolar ribonucleoprotein protein IMP3</t>
  </si>
  <si>
    <t>Probable 8-oxo-dGTP diphosphatase NUDT15</t>
  </si>
  <si>
    <t>MRG/MORF4L-binding protein</t>
  </si>
  <si>
    <t>Isoform 2 of Exocyst complex component 1</t>
  </si>
  <si>
    <t>Isoform 3 of Integrator complex subunit 9</t>
  </si>
  <si>
    <t>Isoform 3 of Cell cycle control protein 50A</t>
  </si>
  <si>
    <t>Transmembrane protein 184C</t>
  </si>
  <si>
    <t>Mediator of RNA polymerase II transcription subunit 17</t>
  </si>
  <si>
    <t>Ubiquitin carboxyl-terminal hydrolase 40</t>
  </si>
  <si>
    <t>Pantothenate kinase 4</t>
  </si>
  <si>
    <t>F-box only protein 28</t>
  </si>
  <si>
    <t>TBC1 domain family member 13</t>
  </si>
  <si>
    <t>Isoform 2 of Exonuclease 3-5 domain-containing protein 2</t>
  </si>
  <si>
    <t>Isoform 3 of Integrator complex subunit 7</t>
  </si>
  <si>
    <t>Trimethyllysine dioxygenase, mitochondrial</t>
  </si>
  <si>
    <t>Fanconi anemia group I protein</t>
  </si>
  <si>
    <t>Isoform 2 of ATPase family AAA domain-containing protein 3A</t>
  </si>
  <si>
    <t>ADP-ribosylation factor-like protein 8B</t>
  </si>
  <si>
    <t>Isoform 3 of Protein arginine N-methyltransferase 7</t>
  </si>
  <si>
    <t>DnaJ homolog subfamily C member 17</t>
  </si>
  <si>
    <t>Protein asunder homolog</t>
  </si>
  <si>
    <t>Isoform 3 of Synembryn-B</t>
  </si>
  <si>
    <t>Guanine nucleotide-binding protein-like 3-like protein</t>
  </si>
  <si>
    <t>ATP-dependent RNA helicase DDX18</t>
  </si>
  <si>
    <t>Histone chaperone ASF1B</t>
  </si>
  <si>
    <t>Kelch-like protein 11</t>
  </si>
  <si>
    <t>Integrator complex subunit 10</t>
  </si>
  <si>
    <t>Protein kintoun</t>
  </si>
  <si>
    <t>Armadillo repeat-containing protein 1</t>
  </si>
  <si>
    <t>Isoform 5 of DNA-directed RNA polymerase III subunit RPC5</t>
  </si>
  <si>
    <t>Isoform 2 of Protein SDA1 homolog</t>
  </si>
  <si>
    <t>E3 ubiquitin-protein ligase RLIM</t>
  </si>
  <si>
    <t>HAUS augmin-like complex subunit 2</t>
  </si>
  <si>
    <t>Notchless protein homolog 1</t>
  </si>
  <si>
    <t>Adaptin ear-binding coat-associated protein 2</t>
  </si>
  <si>
    <t>Isoform 2 of DNA-directed RNA polymerase III subunit RPC2</t>
  </si>
  <si>
    <t>RNA-binding protein 28</t>
  </si>
  <si>
    <t>Pre-mRNA-splicing factor RBM22</t>
  </si>
  <si>
    <t>Isoform 4 of BSD domain-containing protein 1</t>
  </si>
  <si>
    <t>Isoform 2 of G patch domain-containing protein 2</t>
  </si>
  <si>
    <t>WD repeat-containing protein 70</t>
  </si>
  <si>
    <t>Transmembrane protein 51</t>
  </si>
  <si>
    <t>Mediator of RNA polymerase II transcription subunit 9</t>
  </si>
  <si>
    <t>Arginine and glutamate-rich protein 1</t>
  </si>
  <si>
    <t>Intraflagellar transport protein 57 homolog</t>
  </si>
  <si>
    <t>Protein BEX4</t>
  </si>
  <si>
    <t>SAFB-like transcription modulator</t>
  </si>
  <si>
    <t>Box C/D snoRNA protein 1</t>
  </si>
  <si>
    <t>CUE domain-containing protein 1</t>
  </si>
  <si>
    <t>Peptidyl-prolyl cis-trans isomerase FKBP14</t>
  </si>
  <si>
    <t>Uncharacterized protein C14orf119</t>
  </si>
  <si>
    <t>PIH1 domain-containing protein 1</t>
  </si>
  <si>
    <t>Protein FAM118A</t>
  </si>
  <si>
    <t>p21-activated protein kinase-interacting protein 1</t>
  </si>
  <si>
    <t>Hypoxia-inducible factor 1-alpha inhibitor</t>
  </si>
  <si>
    <t>Aurora kinase A-interacting protein</t>
  </si>
  <si>
    <t>3-oxoacyl-[acyl-carrier-protein] synthase, mitochondrial</t>
  </si>
  <si>
    <t>Glucose-induced degradation protein 8 homolog</t>
  </si>
  <si>
    <t>UPF0587 protein C1orf123</t>
  </si>
  <si>
    <t>Uncharacterized protein C2orf42</t>
  </si>
  <si>
    <t>Probable tRNA(His) guanylyltransferase</t>
  </si>
  <si>
    <t>UPF0609 protein C4orf27</t>
  </si>
  <si>
    <t>Interleukin-1 receptor-associated kinase 4</t>
  </si>
  <si>
    <t>Isoform 3 of Uridine-cytidine kinase-like 1</t>
  </si>
  <si>
    <t>Gem-associated protein 8</t>
  </si>
  <si>
    <t>Thioredoxin-like protein 4B</t>
  </si>
  <si>
    <t>Isoform 5 of NACHT, LRR and PYD domains-containing protein 2</t>
  </si>
  <si>
    <t>tRNA selenocysteine 1-associated protein 1</t>
  </si>
  <si>
    <t>COMM domain-containing protein 8</t>
  </si>
  <si>
    <t>DNA damage-inducible transcript 4 protein</t>
  </si>
  <si>
    <t>H/ACA ribonucleoprotein complex subunit 2</t>
  </si>
  <si>
    <t>Protein FAM206A</t>
  </si>
  <si>
    <t>Poly(ADP-ribose) glycohydrolase ARH3</t>
  </si>
  <si>
    <t>Huntingtin-interacting protein K</t>
  </si>
  <si>
    <t>Cell growth-regulating nucleolar protein</t>
  </si>
  <si>
    <t>Coiled-coil-helix-coiled-coil-helix domain-containing protein 3, mitochondrial</t>
  </si>
  <si>
    <t>Mediator of RNA polymerase II transcription subunit 29</t>
  </si>
  <si>
    <t>tRNA-dihydrouridine(20) synthase [NAD(P)+]-like</t>
  </si>
  <si>
    <t>NAD-dependent protein deacylase sirtuin-5, mitochondrial</t>
  </si>
  <si>
    <t>WD repeat-containing protein mio</t>
  </si>
  <si>
    <t>Pre-mRNA-splicing factor CWC25 homolog</t>
  </si>
  <si>
    <t>DDB1- and CUL4-associated factor 16</t>
  </si>
  <si>
    <t>THUMP domain-containing protein 1</t>
  </si>
  <si>
    <t>tRNA (guanine(26)-N(2))-dimethyltransferase</t>
  </si>
  <si>
    <t>Pyroglutamyl-peptidase 1</t>
  </si>
  <si>
    <t>F-box/LRR-repeat protein 12</t>
  </si>
  <si>
    <t>Isoform 2 of Ganglioside-induced differentiation-associated protein 2</t>
  </si>
  <si>
    <t>Isoform 2 of Nuclear distribution protein nudE homolog 1</t>
  </si>
  <si>
    <t>BRCA1-A complex subunit BRE</t>
  </si>
  <si>
    <t>ADP-ribosylation factor-like protein 15</t>
  </si>
  <si>
    <t>BTB/POZ domain-containing protein KCTD5</t>
  </si>
  <si>
    <t>CDKN2A-interacting protein</t>
  </si>
  <si>
    <t>DnaJ homolog subfamily B member 12</t>
  </si>
  <si>
    <t>Alpha-ketoglutarate-dependent dioxygenase alkB homolog 4</t>
  </si>
  <si>
    <t>Non-structural maintenance of chromosomes element 4 homolog A</t>
  </si>
  <si>
    <t>Sarcoma antigen 1</t>
  </si>
  <si>
    <t>Isoform 2 of H/ACA ribonucleoprotein complex subunit 1</t>
  </si>
  <si>
    <t>Serine/threonine-protein phosphatase 4 regulatory subunit 2</t>
  </si>
  <si>
    <t>Dipeptidyl peptidase 3</t>
  </si>
  <si>
    <t>Protein AATF</t>
  </si>
  <si>
    <t>Probable ATP-dependent RNA helicase DDX56</t>
  </si>
  <si>
    <t>Telomeric repeat-binding factor 2-interacting protein 1</t>
  </si>
  <si>
    <t>Isoform 2 of Bcl-2-associated transcription factor 1</t>
  </si>
  <si>
    <t>U3 small nucleolar RNA-associated protein 6 homolog</t>
  </si>
  <si>
    <t>Cytochrome c oxidase assembly factor 4 homolog, mitochondrial</t>
  </si>
  <si>
    <t>TGF-beta-activated kinase 1 and MAP3K7-binding protein 2</t>
  </si>
  <si>
    <t>Isoform 3 of Protein EURL homolog</t>
  </si>
  <si>
    <t>Mitogen-activated protein kinase kinase kinase MLT</t>
  </si>
  <si>
    <t>Isoform 2 of Mitogen-activated protein kinase kinase kinase MLT</t>
  </si>
  <si>
    <t>Tropomodulin-3</t>
  </si>
  <si>
    <t>Protein Mis18-alpha</t>
  </si>
  <si>
    <t>Isoform 2 of UDP-glucose:glycoprotein glucosyltransferase 1</t>
  </si>
  <si>
    <t>Isoform 2 of Cyclin-dependent kinase 12</t>
  </si>
  <si>
    <t>Isoform 2 of FAST kinase domain-containing protein 2</t>
  </si>
  <si>
    <t>G2 and S phase-expressed protein 1</t>
  </si>
  <si>
    <t>Endoplasmic reticulum aminopeptidase 1</t>
  </si>
  <si>
    <t>Isoform 2 of Ubiquitin-associated protein 1</t>
  </si>
  <si>
    <t>Actin-related protein 10</t>
  </si>
  <si>
    <t>ADP-ribosylation factor-binding protein GGA3</t>
  </si>
  <si>
    <t>Podocalyxin-like protein 2</t>
  </si>
  <si>
    <t>Uncharacterized protein C9orf78</t>
  </si>
  <si>
    <t>Isoform 3 of Chloride intracellular channel protein 5</t>
  </si>
  <si>
    <t>Constitutive coactivator of PPAR-gamma-like protein 1</t>
  </si>
  <si>
    <t>SWI/SNF-related matrix-associated actin-dependent regulator of chromatin subfamily A-like protein 1</t>
  </si>
  <si>
    <t>Glycolipid transfer protein</t>
  </si>
  <si>
    <t>Alpha-hemoglobin-stabilizing protein</t>
  </si>
  <si>
    <t>Isoform 2 of Upstream-binding protein 1</t>
  </si>
  <si>
    <t>Insulin-like growth factor 2 mRNA-binding protein 1</t>
  </si>
  <si>
    <t>Hexaprenyldihydroxybenzoate methyltransferase, mitochondrial</t>
  </si>
  <si>
    <t>Diphosphoinositol polyphosphate phosphohydrolase 2</t>
  </si>
  <si>
    <t>Isoform 2 of Diphosphoinositol polyphosphate phosphohydrolase 2</t>
  </si>
  <si>
    <t>Methionine adenosyltransferase 2 subunit beta</t>
  </si>
  <si>
    <t>Isoform 2 of Intersectin-2</t>
  </si>
  <si>
    <t>Isoform 2 of Glioma tumor suppressor candidate region gene 1 protein</t>
  </si>
  <si>
    <t>Glioma tumor suppressor candidate region gene 2 protein</t>
  </si>
  <si>
    <t>EH domain-containing protein 2</t>
  </si>
  <si>
    <t>Isoform 2 of Rho guanine nucleotide exchange factor 12</t>
  </si>
  <si>
    <t>Isoform 3 of NCK-interacting protein with SH3 domain</t>
  </si>
  <si>
    <t>Low-density lipoprotein receptor-related protein 1B</t>
  </si>
  <si>
    <t>Isoform 2 of Opioid growth factor receptor</t>
  </si>
  <si>
    <t>Methionine-R-sulfoxide reductase B1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</si>
  <si>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</si>
  <si>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</si>
  <si>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</si>
  <si>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</si>
  <si>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</si>
  <si>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Thyroid transcription factor 1-associated protein 26</t>
  </si>
  <si>
    <t>NADH dehydrogenase [ubiquinone] 1 alpha subcomplex assembly factor 4</t>
  </si>
  <si>
    <t>Very-long-chain (3R)-3-hydroxyacyl-[acyl-carrier protein] dehydratase 3</t>
  </si>
  <si>
    <t>E3 ubiquitin-protein ligase KCMF1</t>
  </si>
  <si>
    <t>Isoform 3 of Ankycorbin</t>
  </si>
  <si>
    <t>Vesicle-associated membrane protein-associated protein A</t>
  </si>
  <si>
    <t>Isoform 3 of TBC1 domain family member 7</t>
  </si>
  <si>
    <t>Uncharacterized protein C6orf203</t>
  </si>
  <si>
    <t>GSK3-beta interaction protein</t>
  </si>
  <si>
    <t>CpG-binding protein</t>
  </si>
  <si>
    <t>SWI/SNF-related matrix-associated actin-dependent regulator of chromatin subfamily E member 1-related</t>
  </si>
  <si>
    <t>GEM-interacting protein</t>
  </si>
  <si>
    <t>Costars family protein ABRACL</t>
  </si>
  <si>
    <t>Isoform 3 of Vacuolar protein sorting-associated protein 54</t>
  </si>
  <si>
    <t>DNA-directed RNA polymerase I subunit RPA12</t>
  </si>
  <si>
    <t>Actin-related protein 3B</t>
  </si>
  <si>
    <t>Isoform 2 of Calcium-binding and coiled-coil domain-containing protein 1</t>
  </si>
  <si>
    <t>Isoform 2 of Uncharacterized protein KIAA1522</t>
  </si>
  <si>
    <t>Centrosomal protein of 72 kDa</t>
  </si>
  <si>
    <t>Pogo transposable element with KRAB domain</t>
  </si>
  <si>
    <t>Protein Daple</t>
  </si>
  <si>
    <t>Leucine-rich repeat and fibronectin type III domain-containing protein 1</t>
  </si>
  <si>
    <t>Stromal interaction molecule 2</t>
  </si>
  <si>
    <t>Vacuolar protein sorting-associated protein 18 homolog</t>
  </si>
  <si>
    <t>Protein RCC2</t>
  </si>
  <si>
    <t>LisH domain and HEAT repeat-containing protein KIAA1468</t>
  </si>
  <si>
    <t>Isoform 2 of LisH domain and HEAT repeat-containing protein KIAA1468</t>
  </si>
  <si>
    <t>Disco-interacting protein 2 homolog B</t>
  </si>
  <si>
    <t>SLAIN motif-containing protein 2</t>
  </si>
  <si>
    <t>Ubiquitin carboxyl-terminal hydrolase 36</t>
  </si>
  <si>
    <t>BRCA2 and CDKN1A-interacting protein</t>
  </si>
  <si>
    <t>Isoform 2 of BRCA2 and CDKN1A-interacting protein</t>
  </si>
  <si>
    <t>Serine/threonine-protein kinase MST4</t>
  </si>
  <si>
    <t>CTTNBP2 N-terminal-like protein</t>
  </si>
  <si>
    <t>Isoform 2 of UPF0501 protein KIAA1430</t>
  </si>
  <si>
    <t>Chromodomain-helicase-DNA-binding protein 7</t>
  </si>
  <si>
    <t>HEAT repeat-containing protein 5B</t>
  </si>
  <si>
    <t>Isoform 3 of Protein FAM135A</t>
  </si>
  <si>
    <t>NFX1-type zinc finger-containing protein 1</t>
  </si>
  <si>
    <t>Ribosome-binding protein 1</t>
  </si>
  <si>
    <t>Ankyrin repeat and IBR domain-containing protein 1</t>
  </si>
  <si>
    <t>Cleavage and polyadenylation specificity factor subunit 2</t>
  </si>
  <si>
    <t>Leucine--tRNA ligase, cytoplasmic</t>
  </si>
  <si>
    <t>REST corepressor 3</t>
  </si>
  <si>
    <t>Isoform 2 of Myelin expression factor 2</t>
  </si>
  <si>
    <t>Kelch-like protein 42</t>
  </si>
  <si>
    <t>Isoform 2 of Eukaryotic translation initiation factor 2-alpha kinase 4</t>
  </si>
  <si>
    <t>TBC1 domain family member 14</t>
  </si>
  <si>
    <t>Isoform 3 of Rho GTPase-activating protein 28</t>
  </si>
  <si>
    <t>RNA-binding protein 27</t>
  </si>
  <si>
    <t>Isoform 3 of KAT8 regulatory NSL complex subunit 3</t>
  </si>
  <si>
    <t>Protein NYNRIN</t>
  </si>
  <si>
    <t>Isoform 2 of E3 ubiquitin-protein ligase HECW2</t>
  </si>
  <si>
    <t>Ankyrin repeat and FYVE domain-containing protein 1</t>
  </si>
  <si>
    <t>Arginine-glutamic acid dipeptide repeats protein</t>
  </si>
  <si>
    <t>WD repeat-containing protein WRAP73</t>
  </si>
  <si>
    <t>Homologous-pairing protein 2 homolog</t>
  </si>
  <si>
    <t>Dolichol-phosphate mannosyltransferase subunit 3</t>
  </si>
  <si>
    <t>Protein IMPACT</t>
  </si>
  <si>
    <t>UV radiation resistance-associated gene protein</t>
  </si>
  <si>
    <t>Ataxin-10</t>
  </si>
  <si>
    <t>Methyl-CpG-binding domain protein 2</t>
  </si>
  <si>
    <t>Neurochondrin</t>
  </si>
  <si>
    <t>Tuftelin-interacting protein 11</t>
  </si>
  <si>
    <t>Isoform 2 of Epidermal growth factor receptor substrate 15-like 1</t>
  </si>
  <si>
    <t>Isoform 6 of DNA (cytosine-5)-methyltransferase 3B</t>
  </si>
  <si>
    <t>Origin recognition complex subunit 3</t>
  </si>
  <si>
    <t>SUMO-activating enzyme subunit 1</t>
  </si>
  <si>
    <t>Melanoma-associated antigen C2</t>
  </si>
  <si>
    <t>Coatomer subunit gamma-2</t>
  </si>
  <si>
    <t>Isoform 2 of Phosphatidylinositol 4-kinase beta</t>
  </si>
  <si>
    <t>C-type mannose receptor 2</t>
  </si>
  <si>
    <t>COMM domain-containing protein 3</t>
  </si>
  <si>
    <t>Headcase protein homolog</t>
  </si>
  <si>
    <t>Isoform B of Methionine synthase reductase</t>
  </si>
  <si>
    <t>Protein UXT</t>
  </si>
  <si>
    <t>Isoform 3 of Set1/Ash2 histone methyltransferase complex subunit ASH2</t>
  </si>
  <si>
    <t>Isoform 2 of Copine-7</t>
  </si>
  <si>
    <t>Isoform 3 of Spastin</t>
  </si>
  <si>
    <t>tRNA (guanine-N(7)-)-methyltransferase</t>
  </si>
  <si>
    <t>Vacuolar protein sorting-associated protein 29</t>
  </si>
  <si>
    <t>Glyoxylate reductase/hydroxypyruvate reductase</t>
  </si>
  <si>
    <t>Cathepsin Z</t>
  </si>
  <si>
    <t>Ribosomal protein S6 kinase beta-2</t>
  </si>
  <si>
    <t>DnaJ homolog subfamily B member 11</t>
  </si>
  <si>
    <t>E3 ubiquitin-protein ligase RNF14</t>
  </si>
  <si>
    <t>SUMO-activating enzyme subunit 2</t>
  </si>
  <si>
    <t>Isoform 3 of Alpha-catulin</t>
  </si>
  <si>
    <t>Protein FAM8A1</t>
  </si>
  <si>
    <t>Protein DBF4 homolog A</t>
  </si>
  <si>
    <t>Isoform 2 of Mortality factor 4-like protein 1</t>
  </si>
  <si>
    <t>Nuclear RNA export factor 1</t>
  </si>
  <si>
    <t>Peflin</t>
  </si>
  <si>
    <t>Zinc finger MYM-type protein 2</t>
  </si>
  <si>
    <t>COP9 signalosome complex subunit 7a</t>
  </si>
  <si>
    <t>Isoform 2 of CAP-Gly domain-containing linker protein 2</t>
  </si>
  <si>
    <t>Zinc finger protein 282</t>
  </si>
  <si>
    <t>Tight junction protein ZO-2</t>
  </si>
  <si>
    <t>DnaJ homolog subfamily B member 4</t>
  </si>
  <si>
    <t>Mucosa-associated lymphoid tissue lymphoma translocation protein 1</t>
  </si>
  <si>
    <t>Craniofacial development protein 1</t>
  </si>
  <si>
    <t>Zinc finger protein 629</t>
  </si>
  <si>
    <t>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</si>
  <si>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</si>
  <si>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</si>
  <si>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</si>
  <si>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</si>
  <si>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Leucine-rich repeat and WD repeat-containing protein 1</t>
  </si>
  <si>
    <t>UPF0449 protein C19orf25</t>
  </si>
  <si>
    <t>Protein NipSnap homolog 3A</t>
  </si>
  <si>
    <t>CGG triplet repeat-binding protein 1</t>
  </si>
  <si>
    <t>Intraflagellar transport protein 172 homolog</t>
  </si>
  <si>
    <t>ATP-binding cassette sub-family F member 2</t>
  </si>
  <si>
    <t>Testin</t>
  </si>
  <si>
    <t>Isoform 2 of Testin</t>
  </si>
  <si>
    <t>Secretion-regulating guanine nucleotide exchange factor</t>
  </si>
  <si>
    <t>Lysine-specific demethylase 5B</t>
  </si>
  <si>
    <t>LIM domain-containing protein 1</t>
  </si>
  <si>
    <t>Translocation protein SEC63 homolog</t>
  </si>
  <si>
    <t>Isoform 2 of Zinc finger CCCH domain-containing protein 7B</t>
  </si>
  <si>
    <t>Isoform 2 of Transcription factor 20</t>
  </si>
  <si>
    <t>HMG domain-containing protein 4</t>
  </si>
  <si>
    <t>Protein NDRG3</t>
  </si>
  <si>
    <t>Nucleolar protein 12</t>
  </si>
  <si>
    <t>Armadillo repeat-containing X-linked protein 3</t>
  </si>
  <si>
    <t>Switch-associated protein 70</t>
  </si>
  <si>
    <t>F-box only protein 40</t>
  </si>
  <si>
    <t>Isoform Alpha of Max-like protein X</t>
  </si>
  <si>
    <t>Probable ribosome biogenesis protein RLP24</t>
  </si>
  <si>
    <t>Ragulator complex protein LAMTOR3</t>
  </si>
  <si>
    <t>LIM domain and actin-binding protein 1</t>
  </si>
  <si>
    <t>Isoform 4 of LIM domain and actin-binding protein 1</t>
  </si>
  <si>
    <t>AF4/FMR2 family member 4</t>
  </si>
  <si>
    <t>Signal recognition particle subunit SRP68</t>
  </si>
  <si>
    <t>Cysteine and histidine-rich domain-containing protein 1</t>
  </si>
  <si>
    <t>Serine/threonine-protein kinase TBK1</t>
  </si>
  <si>
    <t>Isoform 7 of Septin-9</t>
  </si>
  <si>
    <t>Ubiquilin-2</t>
  </si>
  <si>
    <t>Epidermal growth factor-like protein 7</t>
  </si>
  <si>
    <t>Probable ATP-dependent RNA helicase DDX20</t>
  </si>
  <si>
    <t>Isoform 2 of Scm-like with four MBT domains protein 1</t>
  </si>
  <si>
    <t>Sedoheptulokinase</t>
  </si>
  <si>
    <t>Nuclear fragile X mental retardation-interacting protein 1</t>
  </si>
  <si>
    <t>Dipeptidyl peptidase 2</t>
  </si>
  <si>
    <t>DNA polymerase subunit gamma-2, mitochondrial</t>
  </si>
  <si>
    <t>Isoform 2 of Transmembrane protein 2</t>
  </si>
  <si>
    <t>Ubiquitin carboxyl-terminal hydrolase 25</t>
  </si>
  <si>
    <t>Isoform 4 of Nuclear prelamin A recognition factor</t>
  </si>
  <si>
    <t>Brain-specific angiogenesis inhibitor 1-associated protein 2-like protein 1</t>
  </si>
  <si>
    <t>SAP30-binding protein</t>
  </si>
  <si>
    <t>Zinc finger HIT domain-containing protein 2</t>
  </si>
  <si>
    <t>Mediator of RNA polymerase II transcription subunit 13</t>
  </si>
  <si>
    <t>Prefoldin subunit 2</t>
  </si>
  <si>
    <t>GPN-loop GTPase 3</t>
  </si>
  <si>
    <t>Isoform 2 of Poly(U)-binding-splicing factor PUF60</t>
  </si>
  <si>
    <t>Nuclear receptor-binding protein</t>
  </si>
  <si>
    <t>Enolase-phosphatase E1</t>
  </si>
  <si>
    <t>Ena/VASP-like protein</t>
  </si>
  <si>
    <t>Translation initiation factor eIF-2B subunit delta</t>
  </si>
  <si>
    <t>Isoform 3 of Translation initiation factor eIF-2B subunit delta</t>
  </si>
  <si>
    <t>V-type proton ATPase subunit H</t>
  </si>
  <si>
    <t>Importin-11</t>
  </si>
  <si>
    <t>tRNA methyltransferase 112 homolog</t>
  </si>
  <si>
    <t>Mitotic spindle assembly checkpoint protein MAD2B</t>
  </si>
  <si>
    <t>Leucine carboxyl methyltransferase 1</t>
  </si>
  <si>
    <t>Vacuolar protein sorting-associated protein 51 homolog</t>
  </si>
  <si>
    <t>Isoform 2 of Tyrosine-protein kinase BAZ1B</t>
  </si>
  <si>
    <t>ATPase inhibitor, mitochondrial</t>
  </si>
  <si>
    <t>Isoform 3 of Short coiled-coil protein</t>
  </si>
  <si>
    <t>FK506-binding protein-like</t>
  </si>
  <si>
    <t>Isoform 3 of Leucyl-cystinyl aminopeptidase</t>
  </si>
  <si>
    <t>Homeobox protein SIX4</t>
  </si>
  <si>
    <t>CCR4-NOT transcription complex subunit 7</t>
  </si>
  <si>
    <t>Isoform 2 of Rab5 GDP/GTP exchange factor</t>
  </si>
  <si>
    <t>Isoform 2 of Mitochondrial peptide methionine sulfoxide reductase</t>
  </si>
  <si>
    <t>N-acetyl-D-glucosamine kinase</t>
  </si>
  <si>
    <t>Isoform 2 of Zinc finger MYM-type protein 5</t>
  </si>
  <si>
    <t>tRNA (adenine(58)-N(1))-methyltransferase non-catalytic subunit TRM6</t>
  </si>
  <si>
    <t>SH3 domain-binding glutamic acid-rich-like protein 2</t>
  </si>
  <si>
    <t>Zinc finger protein 280C (Fragment)</t>
  </si>
  <si>
    <t>Ribosome biogenesis protein TSR3 homolog</t>
  </si>
  <si>
    <t>ERBB receptor feedback inhibitor 1</t>
  </si>
  <si>
    <t>Zinc finger protein 391</t>
  </si>
  <si>
    <t>Tubulin epsilon chain</t>
  </si>
  <si>
    <t>Isoform 2 of Testis-specific serine kinase substrate</t>
  </si>
  <si>
    <t>Drebrin-like protein</t>
  </si>
  <si>
    <t>Isoform 2 of Drebrin-like protein</t>
  </si>
  <si>
    <t>Probable ATP-dependent RNA helicase DDX41</t>
  </si>
  <si>
    <t>Dynactin subunit 4</t>
  </si>
  <si>
    <t>Isoform 3 of Cell division cycle protein 23 homolog</t>
  </si>
  <si>
    <t>Isoform 2 of Anaphase-promoting complex subunit 7</t>
  </si>
  <si>
    <t>Anaphase-promoting complex subunit 2</t>
  </si>
  <si>
    <t>ADP-ribosylation factor-binding protein GGA2</t>
  </si>
  <si>
    <t>Isoform 4 of ADP-ribosylation factor-binding protein GGA1</t>
  </si>
  <si>
    <t>Vacuolar protein sorting-associated protein 28 homolog</t>
  </si>
  <si>
    <t>U6 snRNA-associated Sm-like protein LSm7</t>
  </si>
  <si>
    <t>Isoform 3 of Inhibitor of growth protein 1</t>
  </si>
  <si>
    <t>Lariat debranching enzyme</t>
  </si>
  <si>
    <t>Isoform 3 of Protein FAM208A</t>
  </si>
  <si>
    <t>Protein fem-1 homolog B</t>
  </si>
  <si>
    <t>Isoform 3 of F-box only protein 9</t>
  </si>
  <si>
    <t>Isoform 2 of F-box only protein 3</t>
  </si>
  <si>
    <t>A-kinase anchor protein 11</t>
  </si>
  <si>
    <t>Polypyrimidine tract-binding protein 2</t>
  </si>
  <si>
    <t>Isoform A of F-box/WD repeat-containing protein 11</t>
  </si>
  <si>
    <t>DnaJ homolog subfamily C member 12</t>
  </si>
  <si>
    <t>mRNA turnover protein 4 homolog</t>
  </si>
  <si>
    <t>TRAF2 and NCK-interacting protein kinase</t>
  </si>
  <si>
    <t>Isoform 3 of TRAF2 and NCK-interacting protein kinase</t>
  </si>
  <si>
    <t>Isoform 4 of TRAF2 and NCK-interacting protein kinase</t>
  </si>
  <si>
    <t>Cleavage and polyadenylation specificity factor subunit 3</t>
  </si>
  <si>
    <t>DCC-interacting protein 13-alpha</t>
  </si>
  <si>
    <t>Serine/threonine-protein kinase tousled-like 1</t>
  </si>
  <si>
    <t>G patch domain-containing protein 8</t>
  </si>
  <si>
    <t>Poly [ADP-ribose] polymerase 4</t>
  </si>
  <si>
    <t>REST corepressor 1</t>
  </si>
  <si>
    <t>CASP8-associated protein 2</t>
  </si>
  <si>
    <t>Phosphatidylcholine transfer protein</t>
  </si>
  <si>
    <t>General transcription factor 3C polypeptide 4</t>
  </si>
  <si>
    <t>Protein kinase C and casein kinase substrate in neurons protein 3</t>
  </si>
  <si>
    <t>Isoform 2 of F-box only protein 5</t>
  </si>
  <si>
    <t>F-box only protein 4</t>
  </si>
  <si>
    <t>Isoform 7 of Zinc finger protein Aiolos</t>
  </si>
  <si>
    <t>Isobutyryl-CoA dehydrogenase, mitochondrial</t>
  </si>
  <si>
    <t>Apoptotic chromatin condensation inducer in the nucleus</t>
  </si>
  <si>
    <t>Isoform 4 of Apoptotic chromatin condensation inducer in the nucleus</t>
  </si>
  <si>
    <t>Protein argonaute-2</t>
  </si>
  <si>
    <t>Nuclear pore complex protein Nup50</t>
  </si>
  <si>
    <t>Zinc fingers and homeoboxes protein 1</t>
  </si>
  <si>
    <t>CCR4-NOT transcription complex subunit 11</t>
  </si>
  <si>
    <t>BAG family molecular chaperone regulator 5</t>
  </si>
  <si>
    <t>Ras-related protein Rab-21</t>
  </si>
  <si>
    <t>Ras-related protein Rab-22A</t>
  </si>
  <si>
    <t>Isoform 2 of Trafficking protein particle complex subunit 2-like protein</t>
  </si>
  <si>
    <t>Proteasome activator complex subunit 2</t>
  </si>
  <si>
    <t>Isoform 2 of Serine/threonine-protein kinase TAO2</t>
  </si>
  <si>
    <t>Muskelin</t>
  </si>
  <si>
    <t>Aspartyl aminopeptidase</t>
  </si>
  <si>
    <t>Ras-related protein Rab-23</t>
  </si>
  <si>
    <t>Malignant T-cell-amplified sequence 1</t>
  </si>
  <si>
    <t>Isoform 4 of Microtubule-associated tumor suppressor 1</t>
  </si>
  <si>
    <t>Zinc finger protein 777</t>
  </si>
  <si>
    <t>Zinc finger protein 608</t>
  </si>
  <si>
    <t>Protein WWC3</t>
  </si>
  <si>
    <t>Paladin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</si>
  <si>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</si>
  <si>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</si>
  <si>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</si>
  <si>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</si>
  <si>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</si>
  <si>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</si>
  <si>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Ataxin-7-like protein 1</t>
  </si>
  <si>
    <t>Isoform 4 of Mediator of RNA polymerase II transcription subunit 23</t>
  </si>
  <si>
    <t>Isoform 3 of Proline-rich protein 12</t>
  </si>
  <si>
    <t>YEATS domain-containing protein 2</t>
  </si>
  <si>
    <t>CCR4-NOT transcription complex subunit 6</t>
  </si>
  <si>
    <t>Isoform 2 of TBC1 domain family member 24</t>
  </si>
  <si>
    <t>Pre-mRNA-splicing factor ISY1 homolog</t>
  </si>
  <si>
    <t>Protein phosphatase 1H</t>
  </si>
  <si>
    <t>E3 ubiquitin-protein ligase HECTD1</t>
  </si>
  <si>
    <t>Isoform 12 of Protein kinase C-binding protein 1</t>
  </si>
  <si>
    <t>Isoform 5 of Cip1-interacting zinc finger protein</t>
  </si>
  <si>
    <t>Coronin-1C</t>
  </si>
  <si>
    <t>Targeting protein for Xklp2</t>
  </si>
  <si>
    <t>Activator of basal transcription 1</t>
  </si>
  <si>
    <t>RNA-binding protein NOB1</t>
  </si>
  <si>
    <t>A-kinase anchor protein 8-like</t>
  </si>
  <si>
    <t>Signal-transducing adaptor protein 1</t>
  </si>
  <si>
    <t>Apoptosis-associated speck-like protein containing a CARD</t>
  </si>
  <si>
    <t>Isoform 2 of Apoptosis-associated speck-like protein containing a CARD</t>
  </si>
  <si>
    <t>Anaphase-promoting complex subunit 10</t>
  </si>
  <si>
    <t>Isoform 6 of Unconventional myosin-VI</t>
  </si>
  <si>
    <t>Intercellular adhesion molecule 5</t>
  </si>
  <si>
    <t>Histone-lysine N-methyltransferase MLL4</t>
  </si>
  <si>
    <t>ATP-dependent RNA helicase DDX19B</t>
  </si>
  <si>
    <t>Isoform 3 of NFU1 iron-sulfur cluster scaffold homolog, mitochondrial</t>
  </si>
  <si>
    <t>Pre-mRNA-processing factor 19</t>
  </si>
  <si>
    <t>Ubiquilin-1</t>
  </si>
  <si>
    <t>Neudesin</t>
  </si>
  <si>
    <t>Nucleolar protein 7</t>
  </si>
  <si>
    <t>Isoform 2 of Sorting nexin-12</t>
  </si>
  <si>
    <t>Isoform 4 of Synergin gamma</t>
  </si>
  <si>
    <t>Isoform 2 of Protein NDRG2</t>
  </si>
  <si>
    <t>Vacuolar protein sorting-associated protein 4A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</si>
  <si>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</si>
  <si>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</si>
  <si>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</si>
  <si>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</si>
  <si>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Isoform 3 of Dual specificity protein phosphatase CDC14A</t>
  </si>
  <si>
    <t>Sorting nexin-6</t>
  </si>
  <si>
    <t>Isoform 8 of Inhibitor of growth protein 4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</si>
  <si>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</si>
  <si>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</si>
  <si>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</si>
  <si>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</si>
  <si>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</si>
  <si>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</si>
  <si>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</si>
  <si>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Multiple inositol polyphosphate phosphatase 1</t>
  </si>
  <si>
    <t>WD repeat-containing protein 3</t>
  </si>
  <si>
    <t>Isoform 2 of Transcription termination factor 2</t>
  </si>
  <si>
    <t>NSFL1 cofactor p47</t>
  </si>
  <si>
    <t>Leydig cell tumor 10 kDa protein homolog</t>
  </si>
  <si>
    <t>Conserved oligomeric Golgi complex subunit 5</t>
  </si>
  <si>
    <t>Protein bassoon</t>
  </si>
  <si>
    <t>AP-4 complex subunit epsilon-1</t>
  </si>
  <si>
    <t>Isoform 3 of 5-azacytidine-induced protein 1</t>
  </si>
  <si>
    <t>Protein SCAF8</t>
  </si>
  <si>
    <t>Serine/threonine-protein phosphatase 6 regulatory subunit 1</t>
  </si>
  <si>
    <t>E3 ubiquitin-protein ligase TRIM33</t>
  </si>
  <si>
    <t>Isoform 2 of Uncharacterized protein KIAA1107</t>
  </si>
  <si>
    <t>Isoform 2 of Arf-GAP with GTPase, ANK repeat and PH domain-containing protein 1</t>
  </si>
  <si>
    <t>Isoform 2 of Trinucleotide repeat-containing gene 6B protein</t>
  </si>
  <si>
    <t>Inactive phospholipase C-like protein 2</t>
  </si>
  <si>
    <t>Protein SMG5</t>
  </si>
  <si>
    <t>Histone-lysine N-methyltransferase SETD1B</t>
  </si>
  <si>
    <t>Isoform 2 of Exocyst complex component 7</t>
  </si>
  <si>
    <t>Zinc finger CCCH domain-containing protein 4</t>
  </si>
  <si>
    <t>Ubiquitin carboxyl-terminal hydrolase 22</t>
  </si>
  <si>
    <t>Ubiquitin carboxyl-terminal hydrolase 24</t>
  </si>
  <si>
    <t>TBC1 domain family member 2B</t>
  </si>
  <si>
    <t>Isoform 2 of Centrosomal protein of 164 kDa</t>
  </si>
  <si>
    <t>Cytosolic carboxypeptidase 1</t>
  </si>
  <si>
    <t>Endoribonuclease Dicer</t>
  </si>
  <si>
    <t>Isoform 2 of Microtubule-associated protein RP/EB family member 3</t>
  </si>
  <si>
    <t>Isoform 2 of Hermansky-Pudlak syndrome 5 protein</t>
  </si>
  <si>
    <t>Isoform 2 of Leucine-rich repeat protein SHOC-2</t>
  </si>
  <si>
    <t>Serine/arginine repetitive matrix protein 2</t>
  </si>
  <si>
    <t>Proliferation-associated protein 2G4</t>
  </si>
  <si>
    <t>Isoform 2 of Exonuclease 1</t>
  </si>
  <si>
    <t>Isoform 3 of Brain-specific angiogenesis inhibitor 1-associated protein 2</t>
  </si>
  <si>
    <t>Isoform 2 of GRB2-associated-binding protein 2</t>
  </si>
  <si>
    <t>Structural maintenance of chromosomes protein 3</t>
  </si>
  <si>
    <t>Histone deacetylase 5</t>
  </si>
  <si>
    <t>SH2B adapter protein 3</t>
  </si>
  <si>
    <t>Sex comb on midleg-like protein 2</t>
  </si>
  <si>
    <t>Zinc finger protein 148</t>
  </si>
  <si>
    <t>Myotubularin-related protein 6</t>
  </si>
  <si>
    <t>Protein jagged-2</t>
  </si>
  <si>
    <t>Isoform 2 of 60S ribosome subunit biogenesis protein NIP7 homolog</t>
  </si>
  <si>
    <t>Isoform 5 of Cyclin-D-binding Myb-like transcription factor 1</t>
  </si>
  <si>
    <t>Bifunctional UDP-N-acetylglucosamine 2-epimerase/N-acetylmannosamine kinase</t>
  </si>
  <si>
    <t>UPF0568 protein C14orf166</t>
  </si>
  <si>
    <t>RuvB-like 2</t>
  </si>
  <si>
    <t>Isoform 2 of Chromodomain Y-like protein</t>
  </si>
  <si>
    <t>Isoform 3 of Chromodomain Y-like protein</t>
  </si>
  <si>
    <t>Peptidyl-prolyl cis-trans isomerase NIMA-interacting 4</t>
  </si>
  <si>
    <t>Proteasome maturation protein</t>
  </si>
  <si>
    <t>DNA replication complex GINS protein PSF2</t>
  </si>
  <si>
    <t>Choline/ethanolamine kinase</t>
  </si>
  <si>
    <t>Eukaryotic translation initiation factor 3 subunit L</t>
  </si>
  <si>
    <t>Phospholipase A-2-activating protein</t>
  </si>
  <si>
    <t>RuvB-like 1</t>
  </si>
  <si>
    <t>Nuclear migration protein nudC</t>
  </si>
  <si>
    <t>Voltage-dependent anion-selective channel protein 3</t>
  </si>
  <si>
    <t>Isoform 3 of Cofilin-2</t>
  </si>
  <si>
    <t>Phenylalanine--tRNA ligase alpha subunit</t>
  </si>
  <si>
    <t>Sodium-dependent multivitamin transporter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</si>
  <si>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</si>
  <si>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</si>
  <si>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</si>
  <si>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</si>
  <si>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</si>
  <si>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Isoform 2 of Exocyst complex component 6B</t>
  </si>
  <si>
    <t>Uncharacterized protein KIAA0947</t>
  </si>
  <si>
    <t>Isoform 4 of Caspase recruitment domain-containing protein 8</t>
  </si>
  <si>
    <t>Isoform 3 of Disks large-associated protein 4</t>
  </si>
  <si>
    <t>Serine/threonine-protein kinase 38-like</t>
  </si>
  <si>
    <t>Phosphatidylinositide phosphatase SAC2</t>
  </si>
  <si>
    <t>Pleckstrin homology domain-containing family A member 6</t>
  </si>
  <si>
    <t>Nischarin</t>
  </si>
  <si>
    <t>1-phosphatidylinositol 3-phosphate 5-kinase</t>
  </si>
  <si>
    <t>WD repeat-containing protein 37</t>
  </si>
  <si>
    <t>Isoform B of Band 4.1-like protein 3</t>
  </si>
  <si>
    <t>Serine/threonine-protein kinase SIK3</t>
  </si>
  <si>
    <t>Lysine-specific demethylase 2A</t>
  </si>
  <si>
    <t>Exosome complex exonuclease RRP44</t>
  </si>
  <si>
    <t>Isoform 2 of Leucine-rich repeat and calponin homology domain-containing protein 1</t>
  </si>
  <si>
    <t>RNA 3-terminal phosphate cyclase-like protein</t>
  </si>
  <si>
    <t>Glutathione S-transferase kappa 1</t>
  </si>
  <si>
    <t>Ragulator complex protein LAMTOR2</t>
  </si>
  <si>
    <t>Probable ATP-dependent RNA helicase DDX52</t>
  </si>
  <si>
    <t>DNA-directed RNA polymerases I and III subunit RPAC2</t>
  </si>
  <si>
    <t>Isoform 2 of Lambda-crystallin homolog</t>
  </si>
  <si>
    <t>Translation machinery-associated protein 7</t>
  </si>
  <si>
    <t>Polymerase delta-interacting protein 2</t>
  </si>
  <si>
    <t>AP-3 complex subunit mu-1</t>
  </si>
  <si>
    <t>Y-box-binding protein 2</t>
  </si>
  <si>
    <t>Mitogen-activated protein kinase kinase kinase 2</t>
  </si>
  <si>
    <t>Inner nuclear membrane protein Man1</t>
  </si>
  <si>
    <t>Isoform 2 of Uncharacterized protein C15orf41</t>
  </si>
  <si>
    <t>Calcium-regulated heat stable protein 1</t>
  </si>
  <si>
    <t>Conserved oligomeric Golgi complex subunit 6</t>
  </si>
  <si>
    <t>Thyroid hormone receptor-associated protein 3</t>
  </si>
  <si>
    <t>Isoform 2 of Mediator of RNA polymerase II transcription subunit 16</t>
  </si>
  <si>
    <t>Nucleolar protein 58</t>
  </si>
  <si>
    <t>ARF GTPase-activating protein GIT1</t>
  </si>
  <si>
    <t>Suppressor of G2 allele of SKP1 homolog</t>
  </si>
  <si>
    <t>Isoform 2 of Suppressor of G2 allele of SKP1 homolog</t>
  </si>
  <si>
    <t>Isoform 6 of Protein MTO1 homolog, mitochondrial</t>
  </si>
  <si>
    <t>Tyrosine--tRNA ligase, mitochondrial</t>
  </si>
  <si>
    <t>Putative N-acetylglucosamine-6-phosphate deacetylase</t>
  </si>
  <si>
    <t>Isoform 2 of Putative N-acetylglucosamine-6-phosphate deacetylase</t>
  </si>
  <si>
    <t>Isoform 3 of Acyl-coenzyme A thioesterase 9, mitochondrial</t>
  </si>
  <si>
    <t>Protein AAR2 homolog</t>
  </si>
  <si>
    <t>Nitric oxide synthase-interacting protein</t>
  </si>
  <si>
    <t>Putative deoxyribose-phosphate aldolase</t>
  </si>
  <si>
    <t>Protein MEMO1</t>
  </si>
  <si>
    <t>Zinc finger and BTB domain-containing protein 12</t>
  </si>
  <si>
    <t>U6 snRNA-associated Sm-like protein LSm2</t>
  </si>
  <si>
    <t>Isoform 2 of Sorting nexin-24</t>
  </si>
  <si>
    <t>Endophilin-B1</t>
  </si>
  <si>
    <t>Calcium-binding protein 39</t>
  </si>
  <si>
    <t>Putative RNA-binding protein Luc7-like 2</t>
  </si>
  <si>
    <t>Ubiquitin-conjugating enzyme E2 J1</t>
  </si>
  <si>
    <t>RNA-binding motif protein, X-linked 2</t>
  </si>
  <si>
    <t>Probable U3 small nucleolar RNA-associated protein 11</t>
  </si>
  <si>
    <t>Isoform 2 of MOB-like protein phocein</t>
  </si>
  <si>
    <t>Ribosome maturation protein SBDS</t>
  </si>
  <si>
    <t>Exosome complex component CSL4</t>
  </si>
  <si>
    <t>Isoform 2 of Transmembrane emp24 domain-containing protein 7</t>
  </si>
  <si>
    <t>Pre-mRNA branch site protein p14</t>
  </si>
  <si>
    <t>RRP15-like protein</t>
  </si>
  <si>
    <t>Nucleolar protein 16</t>
  </si>
  <si>
    <t>Isoform 2 of TP53RK-binding protein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</si>
  <si>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</si>
  <si>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</si>
  <si>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</si>
  <si>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</si>
  <si>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</si>
  <si>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</si>
  <si>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28S ribosomal protein S23, mitochondrial</t>
  </si>
  <si>
    <t>Hepatoma-derived growth factor-related protein 3</t>
  </si>
  <si>
    <t>BolA-like protein 1</t>
  </si>
  <si>
    <t>Peptidyl-tRNA hydrolase 2, mitochondrial</t>
  </si>
  <si>
    <t>Charged multivesicular body protein 3</t>
  </si>
  <si>
    <t>Serine-threonine kinase receptor-associated protein</t>
  </si>
  <si>
    <t>tRNA-splicing ligase RtcB homolog</t>
  </si>
  <si>
    <t>F-box only protein 7</t>
  </si>
  <si>
    <t>Rab GTPase-activating protein 1</t>
  </si>
  <si>
    <t>Isoform 2 of Rab GTPase-activating protein 1</t>
  </si>
  <si>
    <t>TSC22 domain family protein 4</t>
  </si>
  <si>
    <t>Isoform 2 of Protein dopey-2</t>
  </si>
  <si>
    <t>Zinc finger protein 330</t>
  </si>
  <si>
    <t>R3H and coiled-coil domain-containing protein 1</t>
  </si>
  <si>
    <t>Nucleolar complex protein 2 homolog</t>
  </si>
  <si>
    <t>60S ribosomal protein L36</t>
  </si>
  <si>
    <t>Coiled-coil domain-containing protein 9</t>
  </si>
  <si>
    <t>Isoform 3 of Chromatin target of PRMT1 protein</t>
  </si>
  <si>
    <t>Isoform 4 of Deoxynucleoside triphosphate triphosphohydrolase SAMHD1</t>
  </si>
  <si>
    <t>Isoform 2 of C2 domain-containing protein 2</t>
  </si>
  <si>
    <t>Plakophilin-3</t>
  </si>
  <si>
    <t>Small kinetochore-associated protein</t>
  </si>
  <si>
    <t>HBS1-like protein</t>
  </si>
  <si>
    <t>Isoform 2 of HBS1-like protein</t>
  </si>
  <si>
    <t>5-AMP-activated protein kinase subunit beta-1</t>
  </si>
  <si>
    <t>Isoform 3 of Metal-response element-binding transcription factor 2</t>
  </si>
  <si>
    <t>DmX-like protein 1</t>
  </si>
  <si>
    <t>Talin-1</t>
  </si>
  <si>
    <t>Kinesin-like protein KIF3A</t>
  </si>
  <si>
    <t>Isoform 2 of Transformation/transcription domain-associated protein</t>
  </si>
  <si>
    <t>Helicase ARIP4</t>
  </si>
  <si>
    <t>Protein VPRBP</t>
  </si>
  <si>
    <t>Lysine-specific demethylase 3A</t>
  </si>
  <si>
    <t>Isoform 2 of Protein FAM115A</t>
  </si>
  <si>
    <t>Isoform 2 of Zinc finger protein 451</t>
  </si>
  <si>
    <t>Isoform 3 of Zinc finger protein 451</t>
  </si>
  <si>
    <t>Ubiquitin carboxyl-terminal hydrolase 15</t>
  </si>
  <si>
    <t>Isoform 2 of Meiosis arrest female protein 1</t>
  </si>
  <si>
    <t>Talin-2</t>
  </si>
  <si>
    <t>Rap guanine nucleotide exchange factor 2</t>
  </si>
  <si>
    <t>Insulin receptor substrate 2</t>
  </si>
  <si>
    <t>Isoform 2 of Unconventional myosin-Va</t>
  </si>
  <si>
    <t>Tesmin</t>
  </si>
  <si>
    <t>Absent in melanoma 1 protein</t>
  </si>
  <si>
    <t>TNF receptor-associated factor 6</t>
  </si>
  <si>
    <t>Mitogen-activated protein kinase kinase kinase kinase 5</t>
  </si>
  <si>
    <t>Hypoxia up-regulated protein 1</t>
  </si>
  <si>
    <t>Isoform 6 of Cysteine protease ATG4B</t>
  </si>
  <si>
    <t>Isoform 3 of WD repeat domain phosphoinositide-interacting protein 2</t>
  </si>
  <si>
    <t>Telomere length regulation protein TEL2 homolog</t>
  </si>
  <si>
    <t>Methylmalonic aciduria and homocystinuria type C protein</t>
  </si>
  <si>
    <t>Isoform 2 of Ribosomal biogenesis protein LAS1L</t>
  </si>
  <si>
    <t>AMME syndrome candidate gene 1 protein</t>
  </si>
  <si>
    <t>E3 ubiquitin-protein ligase ARIH1</t>
  </si>
  <si>
    <t>U6 snRNA-associated Sm-like protein LSm4</t>
  </si>
  <si>
    <t>RING finger protein 114</t>
  </si>
  <si>
    <t>Isoform 4 of Protein PRRC2C</t>
  </si>
  <si>
    <t>DNA-directed RNA polymerase III subunit RPC8</t>
  </si>
  <si>
    <t>Leucine-rich repeat-containing protein 42</t>
  </si>
  <si>
    <t>Heat shock protein beta-11</t>
  </si>
  <si>
    <t>Protein phosphatase methylesterase 1</t>
  </si>
  <si>
    <t>RNA-binding protein 7</t>
  </si>
  <si>
    <t>Isoform 2 of Centrosomal protein of 83 kDa</t>
  </si>
  <si>
    <t>Isoform 2 of BTB/POZ domain-containing protein KCTD3</t>
  </si>
  <si>
    <t>Zinc finger and SCAN domain-containing protein 21</t>
  </si>
  <si>
    <t>Isoform 2 of NEDD8 ultimate buster 1</t>
  </si>
  <si>
    <t>YTH domain family protein 2</t>
  </si>
  <si>
    <t>RNA polymerase II subunit A C-terminal domain phosphatase</t>
  </si>
  <si>
    <t>PAX3- and PAX7-binding protein 1</t>
  </si>
  <si>
    <t>Nucleoside diphosphate kinase 7</t>
  </si>
  <si>
    <t>FACT complex subunit SPT16</t>
  </si>
  <si>
    <t>U3 small nucleolar RNA-associated protein 18 homolog</t>
  </si>
  <si>
    <t>Mitochondrial import inner membrane translocase subunit Tim10 B</t>
  </si>
  <si>
    <t>Mitochondrial import inner membrane translocase subunit Tim9</t>
  </si>
  <si>
    <t>Mitochondrial import inner membrane translocase subunit Tim8 B</t>
  </si>
  <si>
    <t>Isoform 2 of Ubiquitin carboxyl-terminal hydrolase isozyme L5</t>
  </si>
  <si>
    <t>CD2-associated protein</t>
  </si>
  <si>
    <t>V-type proton ATPase subunit D</t>
  </si>
  <si>
    <t>Mitochondrial import inner membrane translocase subunit Tim13</t>
  </si>
  <si>
    <t>Signal recognition particle receptor subunit beta</t>
  </si>
  <si>
    <t>HemK methyltransferase family member 2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</si>
  <si>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</si>
  <si>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</si>
  <si>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</si>
  <si>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</si>
  <si>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</si>
  <si>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</si>
  <si>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</si>
  <si>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</si>
  <si>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Isoform 2 of Protein TSSC4</t>
  </si>
  <si>
    <t>Sorting nexin-9</t>
  </si>
  <si>
    <t>Sorting nexin-8</t>
  </si>
  <si>
    <t>Sorting nexin-5</t>
  </si>
  <si>
    <t>Cytosolic Fe-S cluster assembly factor NUBP2</t>
  </si>
  <si>
    <t>Heme-binding protein 2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</si>
  <si>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</si>
  <si>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</si>
  <si>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</si>
  <si>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</si>
  <si>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Carboxypeptidase Q</t>
  </si>
  <si>
    <t>Spindlin-1</t>
  </si>
  <si>
    <t>Isoform 2 of Solute carrier family 12 member 7</t>
  </si>
  <si>
    <t>Coatomer subunit gamma-1</t>
  </si>
  <si>
    <t>Ancient ubiquitous protein 1</t>
  </si>
  <si>
    <t>Isoform 3 of Peptidyl-prolyl cis-trans isomerase FKBP7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</si>
  <si>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</si>
  <si>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</si>
  <si>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</si>
  <si>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</si>
  <si>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</si>
  <si>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</si>
  <si>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AP-4 complex subunit beta-1</t>
  </si>
  <si>
    <t>EMILIN-1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</si>
  <si>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</si>
  <si>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</si>
  <si>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</si>
  <si>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</si>
  <si>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</si>
  <si>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COMM domain-containing protein 10</t>
  </si>
  <si>
    <t>Cytoplasmic dynein 1 light intermediate chain 1</t>
  </si>
  <si>
    <t>Coiled-coil-helix-coiled-coil-helix domain-containing protein 2, mitochondrial</t>
  </si>
  <si>
    <t>Epsin-1</t>
  </si>
  <si>
    <t>Ubiquitin carboxyl-terminal hydrolase 3</t>
  </si>
  <si>
    <t>Testis-expressed sequence 264 protein</t>
  </si>
  <si>
    <t>TAF6-like RNA polymerase II p300/CBP-associated factor-associated factor 65 kDa subunit 6L</t>
  </si>
  <si>
    <t>DNA (cytosine-5)-methyltransferase 3A</t>
  </si>
  <si>
    <t>NF-kappa-B essential modulator</t>
  </si>
  <si>
    <t>Isoform 2 of Insulin-like growth factor 2 mRNA-binding protein 2</t>
  </si>
  <si>
    <t>Zinc transporter 1</t>
  </si>
  <si>
    <t>Isoform 6 of Sodium bicarbonate cotransporter 3</t>
  </si>
  <si>
    <t>Isoform T1 of Sestrin-1</t>
  </si>
  <si>
    <t>Stonin-1</t>
  </si>
  <si>
    <t>Isoform 5 of Nuclear receptor coactivator 3</t>
  </si>
  <si>
    <t>Numb-like protein</t>
  </si>
  <si>
    <t>Isoform 2 of Protein piccolo</t>
  </si>
  <si>
    <t>Probable ATP-dependent RNA helicase DDX49</t>
  </si>
  <si>
    <t>Calpain-7</t>
  </si>
  <si>
    <t>Wiskott-Aldrich syndrome protein family member 2</t>
  </si>
  <si>
    <t>Zinc fingers and homeoboxes protein 2</t>
  </si>
  <si>
    <t>MORC family CW-type zinc finger protein 2</t>
  </si>
  <si>
    <t>Motile sperm domain-containing protein 2</t>
  </si>
  <si>
    <t>26S proteasome non-ATPase regulatory subunit 8</t>
  </si>
  <si>
    <t>Polycomb complex protein BMI-1</t>
  </si>
  <si>
    <t>YTH domain family protein 3</t>
  </si>
  <si>
    <t>Acyl-CoA synthetase family member 4</t>
  </si>
  <si>
    <t>DENN domain-containing protein 4C</t>
  </si>
  <si>
    <t>Ubiquitin-conjugating enzyme E2 E3</t>
  </si>
  <si>
    <t>F-box only protein 2 (Fragment)</t>
  </si>
  <si>
    <t>26S protease regulatory subunit 6A</t>
  </si>
  <si>
    <t>Adrenocortical dysplasia protein homolog (Fragment)</t>
  </si>
  <si>
    <t>E2F8</t>
  </si>
  <si>
    <t>UBA6</t>
  </si>
  <si>
    <t>MED19</t>
  </si>
  <si>
    <t>UHRF1BP1L</t>
  </si>
  <si>
    <t>KIAA1598</t>
  </si>
  <si>
    <t>TRIM26</t>
  </si>
  <si>
    <t>NBAS</t>
  </si>
  <si>
    <t>TYW5</t>
  </si>
  <si>
    <t>FUOM</t>
  </si>
  <si>
    <t>KIAA0922</t>
  </si>
  <si>
    <t>VWA8</t>
  </si>
  <si>
    <t>SBNO1</t>
  </si>
  <si>
    <t>ISPD</t>
  </si>
  <si>
    <t>MBLAC1</t>
  </si>
  <si>
    <t>KRBA1</t>
  </si>
  <si>
    <t>TRAPPC13</t>
  </si>
  <si>
    <t>CNOT1</t>
  </si>
  <si>
    <t>BDP1</t>
  </si>
  <si>
    <t>PGP</t>
  </si>
  <si>
    <t>C5orf51</t>
  </si>
  <si>
    <t>ZNF275</t>
  </si>
  <si>
    <t>RCCD1</t>
  </si>
  <si>
    <t>OFD1</t>
  </si>
  <si>
    <t>ZNF281</t>
  </si>
  <si>
    <t>ZNF316</t>
  </si>
  <si>
    <t>NUDT5</t>
  </si>
  <si>
    <t>SDHAF1</t>
  </si>
  <si>
    <t>CHMP1A</t>
  </si>
  <si>
    <t>PRCC</t>
  </si>
  <si>
    <t>WIPF3</t>
  </si>
  <si>
    <t>CCDC160</t>
  </si>
  <si>
    <t>HN1L</t>
  </si>
  <si>
    <t>OBSCN</t>
  </si>
  <si>
    <t>GGT3P</t>
  </si>
  <si>
    <t>BTD</t>
  </si>
  <si>
    <t>TUBAL3</t>
  </si>
  <si>
    <t>SMCHD1</t>
  </si>
  <si>
    <t>GATSL2</t>
  </si>
  <si>
    <t>UNC119B</t>
  </si>
  <si>
    <t>CHCHD1</t>
  </si>
  <si>
    <t>NOC3L</t>
  </si>
  <si>
    <t>CCDC85C</t>
  </si>
  <si>
    <t>DIAPH2</t>
  </si>
  <si>
    <t>ANXA6</t>
  </si>
  <si>
    <t>USP27X</t>
  </si>
  <si>
    <t>ANKRD36</t>
  </si>
  <si>
    <t>FAM127A</t>
  </si>
  <si>
    <t>TBKBP1</t>
  </si>
  <si>
    <t>POM121C</t>
  </si>
  <si>
    <t>ITSN1</t>
  </si>
  <si>
    <t>EOGT</t>
  </si>
  <si>
    <t>SFI1</t>
  </si>
  <si>
    <t>YDJC</t>
  </si>
  <si>
    <t>ZNF850</t>
  </si>
  <si>
    <t>FMR1</t>
  </si>
  <si>
    <t>GRM5</t>
  </si>
  <si>
    <t>GSK3A</t>
  </si>
  <si>
    <t>DSCR3</t>
  </si>
  <si>
    <t>S100PBP</t>
  </si>
  <si>
    <t>HOOK1</t>
  </si>
  <si>
    <t>TUBA4A</t>
  </si>
  <si>
    <t>ARHGEF33</t>
  </si>
  <si>
    <t>BICD1</t>
  </si>
  <si>
    <t>ERCC2</t>
  </si>
  <si>
    <t>RCN2</t>
  </si>
  <si>
    <t>MATR3</t>
  </si>
  <si>
    <t>NUDT19</t>
  </si>
  <si>
    <t>POP4</t>
  </si>
  <si>
    <t>SRRM1</t>
  </si>
  <si>
    <t>PFKFB2</t>
  </si>
  <si>
    <t>DNAL4</t>
  </si>
  <si>
    <t>NCF4</t>
  </si>
  <si>
    <t>KIAA0930</t>
  </si>
  <si>
    <t>TBC1D22A</t>
  </si>
  <si>
    <t>BAG6</t>
  </si>
  <si>
    <t>EHMT2</t>
  </si>
  <si>
    <t>GRAP2</t>
  </si>
  <si>
    <t>PDXP</t>
  </si>
  <si>
    <t>TPST2</t>
  </si>
  <si>
    <t>CENPM</t>
  </si>
  <si>
    <t>PSMD10</t>
  </si>
  <si>
    <t>FHAD1</t>
  </si>
  <si>
    <t>HMGCL</t>
  </si>
  <si>
    <t>PIGK</t>
  </si>
  <si>
    <t>CAPZB</t>
  </si>
  <si>
    <t>CROCC</t>
  </si>
  <si>
    <t>EIF4ENIF1</t>
  </si>
  <si>
    <t>NFIA</t>
  </si>
  <si>
    <t>CDC37L1</t>
  </si>
  <si>
    <t>PRSS3</t>
  </si>
  <si>
    <t>GUK1</t>
  </si>
  <si>
    <t>SOAT1</t>
  </si>
  <si>
    <t>ROR2</t>
  </si>
  <si>
    <t>FGF13</t>
  </si>
  <si>
    <t>TXNRD1</t>
  </si>
  <si>
    <t>BRMS1L</t>
  </si>
  <si>
    <t>ZCCHC2</t>
  </si>
  <si>
    <t>JMJD6</t>
  </si>
  <si>
    <t>GLE1</t>
  </si>
  <si>
    <t>CCDC92</t>
  </si>
  <si>
    <t>TRIM16</t>
  </si>
  <si>
    <t>FDFT1</t>
  </si>
  <si>
    <t>STAMBPL1</t>
  </si>
  <si>
    <t>RNF2</t>
  </si>
  <si>
    <t>LZTFL1</t>
  </si>
  <si>
    <t>DCLRE1C</t>
  </si>
  <si>
    <t>SLC30A6</t>
  </si>
  <si>
    <t>SOD2</t>
  </si>
  <si>
    <t>PHF23</t>
  </si>
  <si>
    <t>CENPH</t>
  </si>
  <si>
    <t>DDX58</t>
  </si>
  <si>
    <t>RXRA</t>
  </si>
  <si>
    <t>CNN2</t>
  </si>
  <si>
    <t>ANXA4</t>
  </si>
  <si>
    <t>NDUFV1</t>
  </si>
  <si>
    <t>NSF</t>
  </si>
  <si>
    <t>DEK</t>
  </si>
  <si>
    <t>MRPS18B</t>
  </si>
  <si>
    <t>IDH2</t>
  </si>
  <si>
    <t>CTNNB1</t>
  </si>
  <si>
    <t>EIF2B1</t>
  </si>
  <si>
    <t>PIP4K2A</t>
  </si>
  <si>
    <t>MAP1S</t>
  </si>
  <si>
    <t>NEGR1</t>
  </si>
  <si>
    <t>EIF2AK1</t>
  </si>
  <si>
    <t>RWDD2A</t>
  </si>
  <si>
    <t>TDRKH</t>
  </si>
  <si>
    <t>RAB5A</t>
  </si>
  <si>
    <t>SNRPD3</t>
  </si>
  <si>
    <t>CS</t>
  </si>
  <si>
    <t>TOP3A</t>
  </si>
  <si>
    <t>ZNF286A</t>
  </si>
  <si>
    <t>COMP</t>
  </si>
  <si>
    <t>LSR</t>
  </si>
  <si>
    <t>EPS8L1</t>
  </si>
  <si>
    <t>ATP5C1</t>
  </si>
  <si>
    <t>CHURC1-FNTB</t>
  </si>
  <si>
    <t>KIF20A</t>
  </si>
  <si>
    <t>CRYBG3</t>
  </si>
  <si>
    <t>NQO1</t>
  </si>
  <si>
    <t>RPS6KB1</t>
  </si>
  <si>
    <t>RNF220</t>
  </si>
  <si>
    <t>ZNF460</t>
  </si>
  <si>
    <t>EYA3</t>
  </si>
  <si>
    <t>PTGES3</t>
  </si>
  <si>
    <t>MKRN2</t>
  </si>
  <si>
    <t>TOX4</t>
  </si>
  <si>
    <t>ACADSB</t>
  </si>
  <si>
    <t>HDAC8</t>
  </si>
  <si>
    <t>RANBP10</t>
  </si>
  <si>
    <t>TRA2A</t>
  </si>
  <si>
    <t>PGD</t>
  </si>
  <si>
    <t>MTMR8</t>
  </si>
  <si>
    <t>SNX4</t>
  </si>
  <si>
    <t>NAA40</t>
  </si>
  <si>
    <t>DCP1B</t>
  </si>
  <si>
    <t>CHM</t>
  </si>
  <si>
    <t>SIMC1</t>
  </si>
  <si>
    <t>SH2D3A</t>
  </si>
  <si>
    <t>SRPK1</t>
  </si>
  <si>
    <t>MAP3K11</t>
  </si>
  <si>
    <t>KIAA0513</t>
  </si>
  <si>
    <t>PTPN23</t>
  </si>
  <si>
    <t>WDR41</t>
  </si>
  <si>
    <t>ANXA7</t>
  </si>
  <si>
    <t>LIG1</t>
  </si>
  <si>
    <t>SLC9A1</t>
  </si>
  <si>
    <t>CLYBL</t>
  </si>
  <si>
    <t>EIF3J</t>
  </si>
  <si>
    <t>KLHL20</t>
  </si>
  <si>
    <t>USP16</t>
  </si>
  <si>
    <t>RBKS</t>
  </si>
  <si>
    <t>ANXA11</t>
  </si>
  <si>
    <t>EIF3D</t>
  </si>
  <si>
    <t>NUBPL</t>
  </si>
  <si>
    <t>ARL1</t>
  </si>
  <si>
    <t>CLPB</t>
  </si>
  <si>
    <t>FXR1</t>
  </si>
  <si>
    <t>SENP5</t>
  </si>
  <si>
    <t>NUP35</t>
  </si>
  <si>
    <t>TMEM48</t>
  </si>
  <si>
    <t>HDAC6</t>
  </si>
  <si>
    <t>TK2</t>
  </si>
  <si>
    <t>PHF6</t>
  </si>
  <si>
    <t>PNPO</t>
  </si>
  <si>
    <t>STOML2</t>
  </si>
  <si>
    <t>MSANTD2</t>
  </si>
  <si>
    <t>RIOK3</t>
  </si>
  <si>
    <t>SFRS3</t>
  </si>
  <si>
    <t>LAMP2</t>
  </si>
  <si>
    <t>HADHB</t>
  </si>
  <si>
    <t>METTL13</t>
  </si>
  <si>
    <t>IGFBP4</t>
  </si>
  <si>
    <t>DVL3</t>
  </si>
  <si>
    <t>RRN3</t>
  </si>
  <si>
    <t>ELP4</t>
  </si>
  <si>
    <t>JMJD7</t>
  </si>
  <si>
    <t>LIMK2</t>
  </si>
  <si>
    <t>PES1</t>
  </si>
  <si>
    <t>TEAD3</t>
  </si>
  <si>
    <t>R3HDM2</t>
  </si>
  <si>
    <t>ERCC6L</t>
  </si>
  <si>
    <t>CWC22</t>
  </si>
  <si>
    <t>CECR2</t>
  </si>
  <si>
    <t>E2F6</t>
  </si>
  <si>
    <t>PIGT</t>
  </si>
  <si>
    <t>PDIA6</t>
  </si>
  <si>
    <t>KLHL22</t>
  </si>
  <si>
    <t>TTC26</t>
  </si>
  <si>
    <t>ENO2</t>
  </si>
  <si>
    <t>UQCC</t>
  </si>
  <si>
    <t>PDE1A</t>
  </si>
  <si>
    <t>GAB1</t>
  </si>
  <si>
    <t>ALAD</t>
  </si>
  <si>
    <t>PCYOX1</t>
  </si>
  <si>
    <t>DNASE2</t>
  </si>
  <si>
    <t>ERF</t>
  </si>
  <si>
    <t>TNFRSF10B</t>
  </si>
  <si>
    <t>ETV4</t>
  </si>
  <si>
    <t>STMN3</t>
  </si>
  <si>
    <t>WARS2</t>
  </si>
  <si>
    <t>ARMC8</t>
  </si>
  <si>
    <t>DECR1</t>
  </si>
  <si>
    <t>DGKZ</t>
  </si>
  <si>
    <t>CNN1</t>
  </si>
  <si>
    <t>PDK1</t>
  </si>
  <si>
    <t>USP7</t>
  </si>
  <si>
    <t>SLC2A14</t>
  </si>
  <si>
    <t>B3GAT3</t>
  </si>
  <si>
    <t>GALK2</t>
  </si>
  <si>
    <t>PPP2R5E</t>
  </si>
  <si>
    <t>UBXN2A</t>
  </si>
  <si>
    <t>SOS2</t>
  </si>
  <si>
    <t>CPEB4</t>
  </si>
  <si>
    <t>WIZ</t>
  </si>
  <si>
    <t>CCDC115</t>
  </si>
  <si>
    <t>EIF4E2</t>
  </si>
  <si>
    <t>RPL31</t>
  </si>
  <si>
    <t>PTMA</t>
  </si>
  <si>
    <t>ATF2</t>
  </si>
  <si>
    <t>TCEB2</t>
  </si>
  <si>
    <t>C7orf41</t>
  </si>
  <si>
    <t>USP39</t>
  </si>
  <si>
    <t>COA5</t>
  </si>
  <si>
    <t>PLCB2</t>
  </si>
  <si>
    <t>RBM12B</t>
  </si>
  <si>
    <t>DNPEP</t>
  </si>
  <si>
    <t>WASH3P</t>
  </si>
  <si>
    <t>MAZ</t>
  </si>
  <si>
    <t>MED30S</t>
  </si>
  <si>
    <t>ASNSD1</t>
  </si>
  <si>
    <t>PSMD6</t>
  </si>
  <si>
    <t>ARHGAP19</t>
  </si>
  <si>
    <t>CHMP2B</t>
  </si>
  <si>
    <t>ZC3HC1</t>
  </si>
  <si>
    <t>SRI</t>
  </si>
  <si>
    <t>RNF181</t>
  </si>
  <si>
    <t>ADCY1</t>
  </si>
  <si>
    <t>WDR91</t>
  </si>
  <si>
    <t>UBE2F</t>
  </si>
  <si>
    <t>UBE2E1</t>
  </si>
  <si>
    <t>IKBKG</t>
  </si>
  <si>
    <t>POLR2B</t>
  </si>
  <si>
    <t>CMSS1</t>
  </si>
  <si>
    <t>SSR1</t>
  </si>
  <si>
    <t>RCC1</t>
  </si>
  <si>
    <t>ZNF639</t>
  </si>
  <si>
    <t>TMEM98</t>
  </si>
  <si>
    <t>C2orf49</t>
  </si>
  <si>
    <t>CREB1</t>
  </si>
  <si>
    <t>ING2</t>
  </si>
  <si>
    <t>PDCD10</t>
  </si>
  <si>
    <t>LIN9</t>
  </si>
  <si>
    <t>TAGLN3</t>
  </si>
  <si>
    <t>FANCB</t>
  </si>
  <si>
    <t>UFD1L</t>
  </si>
  <si>
    <t>TNPO3</t>
  </si>
  <si>
    <t>NRCAM</t>
  </si>
  <si>
    <t>HDAC10</t>
  </si>
  <si>
    <t>CDCA7L</t>
  </si>
  <si>
    <t>GTPBP10</t>
  </si>
  <si>
    <t>RPSA</t>
  </si>
  <si>
    <t>SSR3</t>
  </si>
  <si>
    <t>BBX</t>
  </si>
  <si>
    <t>ZNF467</t>
  </si>
  <si>
    <t>BSDC1</t>
  </si>
  <si>
    <t>FOSL2</t>
  </si>
  <si>
    <t>SETD6</t>
  </si>
  <si>
    <t>DIAPH3</t>
  </si>
  <si>
    <t>TMUB1</t>
  </si>
  <si>
    <t>NCOR2</t>
  </si>
  <si>
    <t>GPS1</t>
  </si>
  <si>
    <t>BAG3</t>
  </si>
  <si>
    <t>STX4</t>
  </si>
  <si>
    <t>CYCS</t>
  </si>
  <si>
    <t>ATAD2B</t>
  </si>
  <si>
    <t>AAMP</t>
  </si>
  <si>
    <t>ZSCAN31</t>
  </si>
  <si>
    <t>EP400NL</t>
  </si>
  <si>
    <t>PBLD</t>
  </si>
  <si>
    <t>GNB2</t>
  </si>
  <si>
    <t>HACL1</t>
  </si>
  <si>
    <t>MYADM</t>
  </si>
  <si>
    <t>POLR2H</t>
  </si>
  <si>
    <t>APAF1</t>
  </si>
  <si>
    <t>AP4M1</t>
  </si>
  <si>
    <t>OARD1</t>
  </si>
  <si>
    <t>HSPBP1</t>
  </si>
  <si>
    <t>MBNL1</t>
  </si>
  <si>
    <t>USP42</t>
  </si>
  <si>
    <t>CCNL1</t>
  </si>
  <si>
    <t>NKIRAS2</t>
  </si>
  <si>
    <t>CCDC58</t>
  </si>
  <si>
    <t>NME6</t>
  </si>
  <si>
    <t>C7orf50</t>
  </si>
  <si>
    <t>STK11IP</t>
  </si>
  <si>
    <t>SATB2</t>
  </si>
  <si>
    <t>NDUFAF7</t>
  </si>
  <si>
    <t>NABP2</t>
  </si>
  <si>
    <t>IKZF2</t>
  </si>
  <si>
    <t>HARS2</t>
  </si>
  <si>
    <t>SACM1L</t>
  </si>
  <si>
    <t>FOXJ3</t>
  </si>
  <si>
    <t>ARHGAP23</t>
  </si>
  <si>
    <t>TRIM22</t>
  </si>
  <si>
    <t>RPL24</t>
  </si>
  <si>
    <t>DNAJB2</t>
  </si>
  <si>
    <t>ZBED1</t>
  </si>
  <si>
    <t>PCGF3</t>
  </si>
  <si>
    <t>FILIP1L</t>
  </si>
  <si>
    <t>POP7</t>
  </si>
  <si>
    <t>CPA5</t>
  </si>
  <si>
    <t>ARFGAP3</t>
  </si>
  <si>
    <t>PCBP4</t>
  </si>
  <si>
    <t>RPL32</t>
  </si>
  <si>
    <t>KRI1</t>
  </si>
  <si>
    <t>PHF20L1</t>
  </si>
  <si>
    <t>NDOR1</t>
  </si>
  <si>
    <t>RELB</t>
  </si>
  <si>
    <t>MND1</t>
  </si>
  <si>
    <t>MEF2C</t>
  </si>
  <si>
    <t>HNRNPAB</t>
  </si>
  <si>
    <t>MLF1IP</t>
  </si>
  <si>
    <t>POLR3G</t>
  </si>
  <si>
    <t>CDV3</t>
  </si>
  <si>
    <t>MAP1B</t>
  </si>
  <si>
    <t>CPLX1</t>
  </si>
  <si>
    <t>SH3RF1</t>
  </si>
  <si>
    <t>DOK3</t>
  </si>
  <si>
    <t>RPL9</t>
  </si>
  <si>
    <t>NEIL3</t>
  </si>
  <si>
    <t>CXXC5</t>
  </si>
  <si>
    <t>OCIAD1</t>
  </si>
  <si>
    <t>STX18</t>
  </si>
  <si>
    <t>HSD17B11</t>
  </si>
  <si>
    <t>UBE3D</t>
  </si>
  <si>
    <t>RPS23</t>
  </si>
  <si>
    <t>ATG10</t>
  </si>
  <si>
    <t>IDUA</t>
  </si>
  <si>
    <t>FAM175A</t>
  </si>
  <si>
    <t>PRELID1</t>
  </si>
  <si>
    <t>ZNF652</t>
  </si>
  <si>
    <t>CYB5B</t>
  </si>
  <si>
    <t>SEPT11</t>
  </si>
  <si>
    <t>UFSP2</t>
  </si>
  <si>
    <t>ANKHD1</t>
  </si>
  <si>
    <t>CENPK</t>
  </si>
  <si>
    <t>RNASET2</t>
  </si>
  <si>
    <t>TAF9</t>
  </si>
  <si>
    <t>MFSD10</t>
  </si>
  <si>
    <t>SNX14</t>
  </si>
  <si>
    <t>TRPC4AP</t>
  </si>
  <si>
    <t>MMS22L</t>
  </si>
  <si>
    <t>GMNN</t>
  </si>
  <si>
    <t>MRPL13</t>
  </si>
  <si>
    <t>NSMCE2</t>
  </si>
  <si>
    <t>TMEM232</t>
  </si>
  <si>
    <t>RWDD1</t>
  </si>
  <si>
    <t>STMN2</t>
  </si>
  <si>
    <t>ZNF354B</t>
  </si>
  <si>
    <t>TCEB1</t>
  </si>
  <si>
    <t>SORBS3</t>
  </si>
  <si>
    <t>RAD54B</t>
  </si>
  <si>
    <t>ERLIN2</t>
  </si>
  <si>
    <t>RPL30</t>
  </si>
  <si>
    <t>TTI2</t>
  </si>
  <si>
    <t>CHCHD7</t>
  </si>
  <si>
    <t>AP3B1</t>
  </si>
  <si>
    <t>TRPS1</t>
  </si>
  <si>
    <t>ZFAND1</t>
  </si>
  <si>
    <t>SKP1</t>
  </si>
  <si>
    <t>SGK3</t>
  </si>
  <si>
    <t>CETN3</t>
  </si>
  <si>
    <t>COPS6</t>
  </si>
  <si>
    <t>AKAP10</t>
  </si>
  <si>
    <t>ASAH1</t>
  </si>
  <si>
    <t>C3orf37</t>
  </si>
  <si>
    <t>UBR5</t>
  </si>
  <si>
    <t>NCSTN</t>
  </si>
  <si>
    <t>C12orf43</t>
  </si>
  <si>
    <t>CALCOCO2</t>
  </si>
  <si>
    <t>SYNE1</t>
  </si>
  <si>
    <t>CBLB</t>
  </si>
  <si>
    <t>DNAH9</t>
  </si>
  <si>
    <t>RPL14</t>
  </si>
  <si>
    <t>TOM1</t>
  </si>
  <si>
    <t>IBTK</t>
  </si>
  <si>
    <t>PDXDC1</t>
  </si>
  <si>
    <t>STXBP4</t>
  </si>
  <si>
    <t>NAA50</t>
  </si>
  <si>
    <t>EIF4A2</t>
  </si>
  <si>
    <t>TUBGCP6</t>
  </si>
  <si>
    <t>MKL1</t>
  </si>
  <si>
    <t>MAST2</t>
  </si>
  <si>
    <t>HMGB3</t>
  </si>
  <si>
    <t>HEPH</t>
  </si>
  <si>
    <t>XPO7</t>
  </si>
  <si>
    <t>ANKRD26</t>
  </si>
  <si>
    <t>NDRG1</t>
  </si>
  <si>
    <t>ING3</t>
  </si>
  <si>
    <t>U2SURP</t>
  </si>
  <si>
    <t>TNIP1</t>
  </si>
  <si>
    <t>PCM1</t>
  </si>
  <si>
    <t>RBMS1</t>
  </si>
  <si>
    <t>PLOD2</t>
  </si>
  <si>
    <t>BZW2</t>
  </si>
  <si>
    <t>CBFA2T3</t>
  </si>
  <si>
    <t>CSNK2A1</t>
  </si>
  <si>
    <t>NCAPG2</t>
  </si>
  <si>
    <t>G6PD</t>
  </si>
  <si>
    <t>NUP54</t>
  </si>
  <si>
    <t>MTA3</t>
  </si>
  <si>
    <t>ARFGAP1</t>
  </si>
  <si>
    <t>DEPTOR</t>
  </si>
  <si>
    <t>MAP4</t>
  </si>
  <si>
    <t>CYFIP2</t>
  </si>
  <si>
    <t>POR</t>
  </si>
  <si>
    <t>PCYOX1L</t>
  </si>
  <si>
    <t>SALL2</t>
  </si>
  <si>
    <t>SEPT10</t>
  </si>
  <si>
    <t>EXOC6</t>
  </si>
  <si>
    <t>ASXL2</t>
  </si>
  <si>
    <t>NEK4</t>
  </si>
  <si>
    <t>RPL15</t>
  </si>
  <si>
    <t>EIF4G1</t>
  </si>
  <si>
    <t>RAVER1</t>
  </si>
  <si>
    <t>PDHX</t>
  </si>
  <si>
    <t>ALYREF</t>
  </si>
  <si>
    <t>TRIM36</t>
  </si>
  <si>
    <t>MLLT10</t>
  </si>
  <si>
    <t>BUB1</t>
  </si>
  <si>
    <t>CELF2</t>
  </si>
  <si>
    <t>EIF2B5</t>
  </si>
  <si>
    <t>SMG7</t>
  </si>
  <si>
    <t>ANAPC4</t>
  </si>
  <si>
    <t>GUSB</t>
  </si>
  <si>
    <t>GOSR1</t>
  </si>
  <si>
    <t>SMC4</t>
  </si>
  <si>
    <t>CKAP2</t>
  </si>
  <si>
    <t>ARVCF</t>
  </si>
  <si>
    <t>CAST</t>
  </si>
  <si>
    <t>IFT122</t>
  </si>
  <si>
    <t>UNKL</t>
  </si>
  <si>
    <t>ICA1</t>
  </si>
  <si>
    <t>BPTF</t>
  </si>
  <si>
    <t>DST</t>
  </si>
  <si>
    <t>CDCA2</t>
  </si>
  <si>
    <t>PDPK1</t>
  </si>
  <si>
    <t>DIAPH1</t>
  </si>
  <si>
    <t>FAM193B</t>
  </si>
  <si>
    <t>NUP155</t>
  </si>
  <si>
    <t>ACSF2</t>
  </si>
  <si>
    <t>TBL2</t>
  </si>
  <si>
    <t>CEP192</t>
  </si>
  <si>
    <t>NOP14</t>
  </si>
  <si>
    <t>PPP2R5D</t>
  </si>
  <si>
    <t>CEP97</t>
  </si>
  <si>
    <t>TSN</t>
  </si>
  <si>
    <t>COPS8</t>
  </si>
  <si>
    <t>MED22</t>
  </si>
  <si>
    <t>PRDX3</t>
  </si>
  <si>
    <t>TTLL4</t>
  </si>
  <si>
    <t>STAU2</t>
  </si>
  <si>
    <t>CLEC3B</t>
  </si>
  <si>
    <t>LARS2</t>
  </si>
  <si>
    <t>SSFA2</t>
  </si>
  <si>
    <t>MERTK</t>
  </si>
  <si>
    <t>EPB41L2</t>
  </si>
  <si>
    <t>TBRG1</t>
  </si>
  <si>
    <t>GPSM3</t>
  </si>
  <si>
    <t>SF3B2</t>
  </si>
  <si>
    <t>C10orf137</t>
  </si>
  <si>
    <t>PHRF1</t>
  </si>
  <si>
    <t>UBXN1</t>
  </si>
  <si>
    <t>CYHR1</t>
  </si>
  <si>
    <t>BRMS1</t>
  </si>
  <si>
    <t>CD81</t>
  </si>
  <si>
    <t>C2CD2L</t>
  </si>
  <si>
    <t>TEAD1</t>
  </si>
  <si>
    <t>SNX19</t>
  </si>
  <si>
    <t>PRMT1</t>
  </si>
  <si>
    <t>TTC9C</t>
  </si>
  <si>
    <t>RPL8</t>
  </si>
  <si>
    <t>SPCS2</t>
  </si>
  <si>
    <t>NEDD8-MDP1</t>
  </si>
  <si>
    <t>GPAA1</t>
  </si>
  <si>
    <t>NPEPPS</t>
  </si>
  <si>
    <t>RPL27A</t>
  </si>
  <si>
    <t>RNF141</t>
  </si>
  <si>
    <t>MACF1</t>
  </si>
  <si>
    <t>USP47</t>
  </si>
  <si>
    <t>C11orf58</t>
  </si>
  <si>
    <t>C11orf30</t>
  </si>
  <si>
    <t>USF1</t>
  </si>
  <si>
    <t>BIRC2</t>
  </si>
  <si>
    <t>CLNS1A</t>
  </si>
  <si>
    <t>FAM118B</t>
  </si>
  <si>
    <t>KCTD21</t>
  </si>
  <si>
    <t>LMO7</t>
  </si>
  <si>
    <t>ATP5L</t>
  </si>
  <si>
    <t>EBAG9</t>
  </si>
  <si>
    <t>CD59</t>
  </si>
  <si>
    <t>ZC3H12C</t>
  </si>
  <si>
    <t>EXPH5</t>
  </si>
  <si>
    <t>RRP8</t>
  </si>
  <si>
    <t>KBTBD4</t>
  </si>
  <si>
    <t>ZFPL1</t>
  </si>
  <si>
    <t>GAS2</t>
  </si>
  <si>
    <t>PHF1</t>
  </si>
  <si>
    <t>ACP2</t>
  </si>
  <si>
    <t>MAF1</t>
  </si>
  <si>
    <t>RPS6KA1</t>
  </si>
  <si>
    <t>WDR74</t>
  </si>
  <si>
    <t>ALKBH3</t>
  </si>
  <si>
    <t>STIL</t>
  </si>
  <si>
    <t>FAM120B</t>
  </si>
  <si>
    <t>IQGAP3</t>
  </si>
  <si>
    <t>TRMT11</t>
  </si>
  <si>
    <t>CPNE1</t>
  </si>
  <si>
    <t>FGGY</t>
  </si>
  <si>
    <t>XPO4</t>
  </si>
  <si>
    <t>FAM204A</t>
  </si>
  <si>
    <t>GTF2H3</t>
  </si>
  <si>
    <t>CCDC53</t>
  </si>
  <si>
    <t>PIK3C2B</t>
  </si>
  <si>
    <t>JUP</t>
  </si>
  <si>
    <t>WNK1</t>
  </si>
  <si>
    <t>SMAD5</t>
  </si>
  <si>
    <t>FAM76B</t>
  </si>
  <si>
    <t>SLC25A13</t>
  </si>
  <si>
    <t>CDCA3</t>
  </si>
  <si>
    <t>DNMT1</t>
  </si>
  <si>
    <t>FRYL</t>
  </si>
  <si>
    <t>SUCLA2</t>
  </si>
  <si>
    <t>AKAP7</t>
  </si>
  <si>
    <t>ATE1</t>
  </si>
  <si>
    <t>STARD10</t>
  </si>
  <si>
    <t>PHB2</t>
  </si>
  <si>
    <t>FCGR2A</t>
  </si>
  <si>
    <t>UNG</t>
  </si>
  <si>
    <t>RPS6KA3</t>
  </si>
  <si>
    <t>OTUB1</t>
  </si>
  <si>
    <t>MROH2B</t>
  </si>
  <si>
    <t>PXN</t>
  </si>
  <si>
    <t>FARP2</t>
  </si>
  <si>
    <t>DTL</t>
  </si>
  <si>
    <t>TPK1</t>
  </si>
  <si>
    <t>PPFIBP1</t>
  </si>
  <si>
    <t>LDHA</t>
  </si>
  <si>
    <t>ARHGAP4</t>
  </si>
  <si>
    <t>APLP2</t>
  </si>
  <si>
    <t>TRIM21</t>
  </si>
  <si>
    <t>ESRRA</t>
  </si>
  <si>
    <t>ANAPC5</t>
  </si>
  <si>
    <t>KSR1</t>
  </si>
  <si>
    <t>SEC23IP</t>
  </si>
  <si>
    <t>CLASRP</t>
  </si>
  <si>
    <t>ZNF384</t>
  </si>
  <si>
    <t>GNA13</t>
  </si>
  <si>
    <t>TXNRD2</t>
  </si>
  <si>
    <t>KIAA1211</t>
  </si>
  <si>
    <t>MLEC</t>
  </si>
  <si>
    <t>LRBA</t>
  </si>
  <si>
    <t>RAD51AP1</t>
  </si>
  <si>
    <t>GBA</t>
  </si>
  <si>
    <t>ZNF7</t>
  </si>
  <si>
    <t>SYT10</t>
  </si>
  <si>
    <t>ANKLE2</t>
  </si>
  <si>
    <t>KIAA1715</t>
  </si>
  <si>
    <t>XAB2</t>
  </si>
  <si>
    <t>SEC23A</t>
  </si>
  <si>
    <t>PTPRB</t>
  </si>
  <si>
    <t>RPAIN</t>
  </si>
  <si>
    <t>TSG101</t>
  </si>
  <si>
    <t>ANGEL2</t>
  </si>
  <si>
    <t>PRAME</t>
  </si>
  <si>
    <t>KPNA6</t>
  </si>
  <si>
    <t>PEX14</t>
  </si>
  <si>
    <t>VPS37C</t>
  </si>
  <si>
    <t>TJP3</t>
  </si>
  <si>
    <t>ACSBG1</t>
  </si>
  <si>
    <t>PDCD2</t>
  </si>
  <si>
    <t>ZFPM2</t>
  </si>
  <si>
    <t>JARID2</t>
  </si>
  <si>
    <t>TRMT10B</t>
  </si>
  <si>
    <t>MAP4K3</t>
  </si>
  <si>
    <t>NUP133</t>
  </si>
  <si>
    <t>IFNGR1</t>
  </si>
  <si>
    <t>DDX55</t>
  </si>
  <si>
    <t>CLASP2</t>
  </si>
  <si>
    <t>ATL3</t>
  </si>
  <si>
    <t>BRD1</t>
  </si>
  <si>
    <t>INSIG1</t>
  </si>
  <si>
    <t>CDK17</t>
  </si>
  <si>
    <t>AIDA</t>
  </si>
  <si>
    <t>WBP11</t>
  </si>
  <si>
    <t>CCDC82</t>
  </si>
  <si>
    <t>MGST1</t>
  </si>
  <si>
    <t>GABPB1</t>
  </si>
  <si>
    <t>NDUFA8</t>
  </si>
  <si>
    <t>OGDH</t>
  </si>
  <si>
    <t>RBL2</t>
  </si>
  <si>
    <t>INPP4A</t>
  </si>
  <si>
    <t>TRAP1</t>
  </si>
  <si>
    <t>MVK</t>
  </si>
  <si>
    <t>EPN2</t>
  </si>
  <si>
    <t>NUP153</t>
  </si>
  <si>
    <t>SMARCA1</t>
  </si>
  <si>
    <t>PPP3R1</t>
  </si>
  <si>
    <t>LGALS8</t>
  </si>
  <si>
    <t>TPD52L1</t>
  </si>
  <si>
    <t>NME2</t>
  </si>
  <si>
    <t>ITFG2</t>
  </si>
  <si>
    <t>C14orf80</t>
  </si>
  <si>
    <t>COQ5</t>
  </si>
  <si>
    <t>EIF4B</t>
  </si>
  <si>
    <t>CAD</t>
  </si>
  <si>
    <t>IKZF4</t>
  </si>
  <si>
    <t>METTL7A</t>
  </si>
  <si>
    <t>SPATS2</t>
  </si>
  <si>
    <t>NEK3</t>
  </si>
  <si>
    <t>NFYB</t>
  </si>
  <si>
    <t>PLXNA1</t>
  </si>
  <si>
    <t>DAZAP2</t>
  </si>
  <si>
    <t>SART3</t>
  </si>
  <si>
    <t>CNOT2</t>
  </si>
  <si>
    <t>NAP1L1</t>
  </si>
  <si>
    <t>MON2</t>
  </si>
  <si>
    <t>DMD</t>
  </si>
  <si>
    <t>NACA</t>
  </si>
  <si>
    <t>ATXN2</t>
  </si>
  <si>
    <t>C17orf49</t>
  </si>
  <si>
    <t>BTG1</t>
  </si>
  <si>
    <t>AK2</t>
  </si>
  <si>
    <t>ACAD10</t>
  </si>
  <si>
    <t>NFE2</t>
  </si>
  <si>
    <t>TGFBR1</t>
  </si>
  <si>
    <t>RNF216</t>
  </si>
  <si>
    <t>TLE4</t>
  </si>
  <si>
    <t>ADIPOR1</t>
  </si>
  <si>
    <t>GOLIM4</t>
  </si>
  <si>
    <t>RPL10</t>
  </si>
  <si>
    <t>YTHDF1</t>
  </si>
  <si>
    <t>VEZT</t>
  </si>
  <si>
    <t>RAB24</t>
  </si>
  <si>
    <t>TIA1</t>
  </si>
  <si>
    <t>PPP1R12B</t>
  </si>
  <si>
    <t>TLE3</t>
  </si>
  <si>
    <t>WNK2</t>
  </si>
  <si>
    <t>MED24</t>
  </si>
  <si>
    <t>GRK6</t>
  </si>
  <si>
    <t>CCDC93</t>
  </si>
  <si>
    <t>MYCBP2</t>
  </si>
  <si>
    <t>CNN3</t>
  </si>
  <si>
    <t>DDX31</t>
  </si>
  <si>
    <t>STAG2</t>
  </si>
  <si>
    <t>RTN4</t>
  </si>
  <si>
    <t>NDUFA5</t>
  </si>
  <si>
    <t>PNO1</t>
  </si>
  <si>
    <t>MRPL40</t>
  </si>
  <si>
    <t>RPL35A</t>
  </si>
  <si>
    <t>SAC3D1</t>
  </si>
  <si>
    <t>RNF149</t>
  </si>
  <si>
    <t>ATL2</t>
  </si>
  <si>
    <t>SKIV2L</t>
  </si>
  <si>
    <t>ZFAND2B</t>
  </si>
  <si>
    <t>CBWD2</t>
  </si>
  <si>
    <t>SEC62</t>
  </si>
  <si>
    <t>CPSF6</t>
  </si>
  <si>
    <t>SREBF2</t>
  </si>
  <si>
    <t>LIN7C</t>
  </si>
  <si>
    <t>ZEB1</t>
  </si>
  <si>
    <t>ISYNA1</t>
  </si>
  <si>
    <t>GALNT2</t>
  </si>
  <si>
    <t>ATF7IP</t>
  </si>
  <si>
    <t>ACTR6</t>
  </si>
  <si>
    <t>RPL18</t>
  </si>
  <si>
    <t>MTHFD1</t>
  </si>
  <si>
    <t>ACYP1</t>
  </si>
  <si>
    <t>WARS</t>
  </si>
  <si>
    <t>ZNF410</t>
  </si>
  <si>
    <t>DCAF8</t>
  </si>
  <si>
    <t>ATXN3</t>
  </si>
  <si>
    <t>HNRNPC</t>
  </si>
  <si>
    <t>FNTB</t>
  </si>
  <si>
    <t>DGKA</t>
  </si>
  <si>
    <t>AP4S1</t>
  </si>
  <si>
    <t>DDX24</t>
  </si>
  <si>
    <t>PAX6</t>
  </si>
  <si>
    <t>CTAGE5</t>
  </si>
  <si>
    <t>GSTZ1</t>
  </si>
  <si>
    <t>NEMF</t>
  </si>
  <si>
    <t>METAP2</t>
  </si>
  <si>
    <t>ARID1B</t>
  </si>
  <si>
    <t>MAP4K4</t>
  </si>
  <si>
    <t>SEPT5</t>
  </si>
  <si>
    <t>FAM133B</t>
  </si>
  <si>
    <t>SLC12A2</t>
  </si>
  <si>
    <t>MTMR3</t>
  </si>
  <si>
    <t>USP11</t>
  </si>
  <si>
    <t>TFPT</t>
  </si>
  <si>
    <t>SOS1</t>
  </si>
  <si>
    <t>CABIN1</t>
  </si>
  <si>
    <t>PROS1</t>
  </si>
  <si>
    <t>ZNF277</t>
  </si>
  <si>
    <t>MRPS22</t>
  </si>
  <si>
    <t>FNDC3A</t>
  </si>
  <si>
    <t>CLPTM1L</t>
  </si>
  <si>
    <t>C4orf21</t>
  </si>
  <si>
    <t>PWWP2A</t>
  </si>
  <si>
    <t>PDIA3</t>
  </si>
  <si>
    <t>COBLL1</t>
  </si>
  <si>
    <t>MAU2</t>
  </si>
  <si>
    <t>TDG</t>
  </si>
  <si>
    <t>PUS1</t>
  </si>
  <si>
    <t>TIPIN</t>
  </si>
  <si>
    <t>CDC25B</t>
  </si>
  <si>
    <t>WDR45</t>
  </si>
  <si>
    <t>USE1</t>
  </si>
  <si>
    <t>PACS2</t>
  </si>
  <si>
    <t>PPT2</t>
  </si>
  <si>
    <t>MPRIP</t>
  </si>
  <si>
    <t>RPL35</t>
  </si>
  <si>
    <t>ABLIM1</t>
  </si>
  <si>
    <t>PHF8</t>
  </si>
  <si>
    <t>EIF4G2</t>
  </si>
  <si>
    <t>SETD5</t>
  </si>
  <si>
    <t>C7orf43</t>
  </si>
  <si>
    <t>NCOR1</t>
  </si>
  <si>
    <t>IMPDH2</t>
  </si>
  <si>
    <t>LARP4B</t>
  </si>
  <si>
    <t>ATP11A</t>
  </si>
  <si>
    <t>CIZ1</t>
  </si>
  <si>
    <t>PYCRL</t>
  </si>
  <si>
    <t>IMP4</t>
  </si>
  <si>
    <t>HERC3</t>
  </si>
  <si>
    <t>DNPH1</t>
  </si>
  <si>
    <t>RAPGEF2</t>
  </si>
  <si>
    <t>ABCE1</t>
  </si>
  <si>
    <t>TROVE2</t>
  </si>
  <si>
    <t>PPIP5K2</t>
  </si>
  <si>
    <t>PCBD2</t>
  </si>
  <si>
    <t>RBM24</t>
  </si>
  <si>
    <t>MAN2B2</t>
  </si>
  <si>
    <t>UBE2B</t>
  </si>
  <si>
    <t>SPATA24</t>
  </si>
  <si>
    <t>C5orf24</t>
  </si>
  <si>
    <t>APBB2</t>
  </si>
  <si>
    <t>C14orf159</t>
  </si>
  <si>
    <t>HYI</t>
  </si>
  <si>
    <t>CCNC</t>
  </si>
  <si>
    <t>MRPL43</t>
  </si>
  <si>
    <t>MTFR1</t>
  </si>
  <si>
    <t>TAGLN</t>
  </si>
  <si>
    <t>PLEKHA7</t>
  </si>
  <si>
    <t>SCRIB</t>
  </si>
  <si>
    <t>HOOK3</t>
  </si>
  <si>
    <t>MRPL49</t>
  </si>
  <si>
    <t>TRMT44</t>
  </si>
  <si>
    <t>PPP5C</t>
  </si>
  <si>
    <t>C11orf80</t>
  </si>
  <si>
    <t>C11orf31</t>
  </si>
  <si>
    <t>ASCC1</t>
  </si>
  <si>
    <t>SSSCA1</t>
  </si>
  <si>
    <t>RNPC3</t>
  </si>
  <si>
    <t>RNASEH2C</t>
  </si>
  <si>
    <t>GEMIN2</t>
  </si>
  <si>
    <t>TAF2</t>
  </si>
  <si>
    <t>NUMA1</t>
  </si>
  <si>
    <t>REXO2</t>
  </si>
  <si>
    <t>FBXO21</t>
  </si>
  <si>
    <t>KANSL2</t>
  </si>
  <si>
    <t>C14orf142</t>
  </si>
  <si>
    <t>CEP128</t>
  </si>
  <si>
    <t>KIAA0101</t>
  </si>
  <si>
    <t>PRC1</t>
  </si>
  <si>
    <t>POU2F1</t>
  </si>
  <si>
    <t>B2M</t>
  </si>
  <si>
    <t>TRPM7</t>
  </si>
  <si>
    <t>EID1</t>
  </si>
  <si>
    <t>RFX7</t>
  </si>
  <si>
    <t>ANKRD17</t>
  </si>
  <si>
    <t>GMPR2</t>
  </si>
  <si>
    <t>GATM</t>
  </si>
  <si>
    <t>C15orf57</t>
  </si>
  <si>
    <t>RAB8B</t>
  </si>
  <si>
    <t>SEC11A</t>
  </si>
  <si>
    <t>UACA</t>
  </si>
  <si>
    <t>BLM</t>
  </si>
  <si>
    <t>CD55</t>
  </si>
  <si>
    <t>NOL3</t>
  </si>
  <si>
    <t>AKTIP</t>
  </si>
  <si>
    <t>C15orf39</t>
  </si>
  <si>
    <t>MPHOSPH6</t>
  </si>
  <si>
    <t>MPI</t>
  </si>
  <si>
    <t>ZNF276</t>
  </si>
  <si>
    <t>HAGH</t>
  </si>
  <si>
    <t>ALDOA</t>
  </si>
  <si>
    <t>SNAPC5</t>
  </si>
  <si>
    <t>hCG_2044799</t>
  </si>
  <si>
    <t>ZFYVE19</t>
  </si>
  <si>
    <t>UBFD1</t>
  </si>
  <si>
    <t>SPG21</t>
  </si>
  <si>
    <t>GPR97</t>
  </si>
  <si>
    <t>EIF3C</t>
  </si>
  <si>
    <t>CYLD</t>
  </si>
  <si>
    <t>RAB11A</t>
  </si>
  <si>
    <t>COQ9</t>
  </si>
  <si>
    <t>UQCRC2</t>
  </si>
  <si>
    <t>BLOC1S6</t>
  </si>
  <si>
    <t>MLST8</t>
  </si>
  <si>
    <t>CDK10</t>
  </si>
  <si>
    <t>EARS2</t>
  </si>
  <si>
    <t>MAP1LC3B</t>
  </si>
  <si>
    <t>HERPUD1</t>
  </si>
  <si>
    <t>ARL2BP</t>
  </si>
  <si>
    <t>NPTN</t>
  </si>
  <si>
    <t>ATXN2L</t>
  </si>
  <si>
    <t>E4F1</t>
  </si>
  <si>
    <t>OGFOD1</t>
  </si>
  <si>
    <t>NDUFB10</t>
  </si>
  <si>
    <t>RNPS1</t>
  </si>
  <si>
    <t>GABARAP</t>
  </si>
  <si>
    <t>GCA</t>
  </si>
  <si>
    <t>SAP130</t>
  </si>
  <si>
    <t>NPRL3</t>
  </si>
  <si>
    <t>PPP6R3</t>
  </si>
  <si>
    <t>ESYT2</t>
  </si>
  <si>
    <t>ERCC6L2</t>
  </si>
  <si>
    <t>FGFR2</t>
  </si>
  <si>
    <t>COL18A1</t>
  </si>
  <si>
    <t>KALRN</t>
  </si>
  <si>
    <t>NCL</t>
  </si>
  <si>
    <t>EWSR1</t>
  </si>
  <si>
    <t>STAG3</t>
  </si>
  <si>
    <t>KIF23</t>
  </si>
  <si>
    <t>TPM1</t>
  </si>
  <si>
    <t>DNAJB14</t>
  </si>
  <si>
    <t>MCEE</t>
  </si>
  <si>
    <t>CHD3</t>
  </si>
  <si>
    <t>RANBP1</t>
  </si>
  <si>
    <t>ACTN4</t>
  </si>
  <si>
    <t>DONSON</t>
  </si>
  <si>
    <t>FANCL</t>
  </si>
  <si>
    <t>DNTTIP1</t>
  </si>
  <si>
    <t>COBL</t>
  </si>
  <si>
    <t>CC2D1B</t>
  </si>
  <si>
    <t>IDH3G</t>
  </si>
  <si>
    <t>MFSD6</t>
  </si>
  <si>
    <t>ART4</t>
  </si>
  <si>
    <t>ATP6AP2</t>
  </si>
  <si>
    <t>GNS</t>
  </si>
  <si>
    <t>IMMT</t>
  </si>
  <si>
    <t>STK19</t>
  </si>
  <si>
    <t>HBP1</t>
  </si>
  <si>
    <t>PARP14</t>
  </si>
  <si>
    <t>FXN</t>
  </si>
  <si>
    <t>LRCH4</t>
  </si>
  <si>
    <t>SUPT20H</t>
  </si>
  <si>
    <t>PLSCR1</t>
  </si>
  <si>
    <t>RNF217</t>
  </si>
  <si>
    <t>PWWP2B</t>
  </si>
  <si>
    <t>TNRC18</t>
  </si>
  <si>
    <t>MRPS17</t>
  </si>
  <si>
    <t>ZNF263</t>
  </si>
  <si>
    <t>DPH1</t>
  </si>
  <si>
    <t>MYL4</t>
  </si>
  <si>
    <t>ELP5</t>
  </si>
  <si>
    <t>ZNF213</t>
  </si>
  <si>
    <t>B3GNTL1</t>
  </si>
  <si>
    <t>CLUH</t>
  </si>
  <si>
    <t>GEMIN4</t>
  </si>
  <si>
    <t>CIC</t>
  </si>
  <si>
    <t>FAM195B</t>
  </si>
  <si>
    <t>DVL2</t>
  </si>
  <si>
    <t>CHMP6</t>
  </si>
  <si>
    <t>METTL22</t>
  </si>
  <si>
    <t>RPS15A</t>
  </si>
  <si>
    <t>TRAPPC1</t>
  </si>
  <si>
    <t>CCNE1</t>
  </si>
  <si>
    <t>SMYD4</t>
  </si>
  <si>
    <t>HMOX2</t>
  </si>
  <si>
    <t>SPAG7</t>
  </si>
  <si>
    <t>NFKBIB</t>
  </si>
  <si>
    <t>GPS2</t>
  </si>
  <si>
    <t>NDUFAB1</t>
  </si>
  <si>
    <t>TOM1L1</t>
  </si>
  <si>
    <t>ANK2</t>
  </si>
  <si>
    <t>NPC2</t>
  </si>
  <si>
    <t>INTS2</t>
  </si>
  <si>
    <t>MLLT4</t>
  </si>
  <si>
    <t>GALC</t>
  </si>
  <si>
    <t>FBRSL1</t>
  </si>
  <si>
    <t>PSMD9</t>
  </si>
  <si>
    <t>CNTLN</t>
  </si>
  <si>
    <t>TOR1AIP1</t>
  </si>
  <si>
    <t>VGLL4</t>
  </si>
  <si>
    <t>ANKRD44</t>
  </si>
  <si>
    <t>MAP3K4</t>
  </si>
  <si>
    <t>SAAL1</t>
  </si>
  <si>
    <t>CCS</t>
  </si>
  <si>
    <t>FNIP1</t>
  </si>
  <si>
    <t>SENP3</t>
  </si>
  <si>
    <t>BRSK1</t>
  </si>
  <si>
    <t>SEC16A</t>
  </si>
  <si>
    <t>ZFYVE1</t>
  </si>
  <si>
    <t>YAF2</t>
  </si>
  <si>
    <t>BRAP</t>
  </si>
  <si>
    <t>ALDH6A1</t>
  </si>
  <si>
    <t>ZNF292</t>
  </si>
  <si>
    <t>MUM1</t>
  </si>
  <si>
    <t>FBRS</t>
  </si>
  <si>
    <t>SIPA1L1</t>
  </si>
  <si>
    <t>PTPRA</t>
  </si>
  <si>
    <t>DNTTIP2</t>
  </si>
  <si>
    <t>FAM21C</t>
  </si>
  <si>
    <t>PROX1</t>
  </si>
  <si>
    <t>SYNJ1</t>
  </si>
  <si>
    <t>FAM83H</t>
  </si>
  <si>
    <t>DPP8</t>
  </si>
  <si>
    <t>MPST</t>
  </si>
  <si>
    <t>COPS7B</t>
  </si>
  <si>
    <t>SENP2</t>
  </si>
  <si>
    <t>CDC7</t>
  </si>
  <si>
    <t>BABAM1</t>
  </si>
  <si>
    <t>CRAMP1L</t>
  </si>
  <si>
    <t>ZNF525</t>
  </si>
  <si>
    <t>ONECUT2</t>
  </si>
  <si>
    <t>MAP3K3</t>
  </si>
  <si>
    <t>SS18</t>
  </si>
  <si>
    <t>MIF4GD</t>
  </si>
  <si>
    <t>MICAL3</t>
  </si>
  <si>
    <t>POLI</t>
  </si>
  <si>
    <t>HN1</t>
  </si>
  <si>
    <t>ARHGDIA</t>
  </si>
  <si>
    <t>BAZ2A</t>
  </si>
  <si>
    <t>ATP6V0D1</t>
  </si>
  <si>
    <t>SCO1</t>
  </si>
  <si>
    <t>FLOT2</t>
  </si>
  <si>
    <t>AURKB</t>
  </si>
  <si>
    <t>ZFHX4</t>
  </si>
  <si>
    <t>TRAPPC8</t>
  </si>
  <si>
    <t>RPL17</t>
  </si>
  <si>
    <t>SUZ12</t>
  </si>
  <si>
    <t>FDXR</t>
  </si>
  <si>
    <t>MSL1</t>
  </si>
  <si>
    <t>RPL19</t>
  </si>
  <si>
    <t>MTMR4</t>
  </si>
  <si>
    <t>MYO1D</t>
  </si>
  <si>
    <t>VAMP2</t>
  </si>
  <si>
    <t>VEZF1</t>
  </si>
  <si>
    <t>BUB3</t>
  </si>
  <si>
    <t>NDEL1</t>
  </si>
  <si>
    <t>MAST4</t>
  </si>
  <si>
    <t>TMEM173</t>
  </si>
  <si>
    <t>CHCHD6</t>
  </si>
  <si>
    <t>DNAH12</t>
  </si>
  <si>
    <t>RGPD2</t>
  </si>
  <si>
    <t>C17orf75</t>
  </si>
  <si>
    <t>RWDD4</t>
  </si>
  <si>
    <t>WBP2</t>
  </si>
  <si>
    <t>NUDT16L1</t>
  </si>
  <si>
    <t>ACP5</t>
  </si>
  <si>
    <t>SMAD4</t>
  </si>
  <si>
    <t>SEC14L1</t>
  </si>
  <si>
    <t>SPHK1</t>
  </si>
  <si>
    <t>SEC11C</t>
  </si>
  <si>
    <t>SPINT2</t>
  </si>
  <si>
    <t>H3F3B</t>
  </si>
  <si>
    <t>STAT5A</t>
  </si>
  <si>
    <t>LONP1</t>
  </si>
  <si>
    <t>ATXN7L3</t>
  </si>
  <si>
    <t>PPL</t>
  </si>
  <si>
    <t>ZNF235</t>
  </si>
  <si>
    <t>ICAM1</t>
  </si>
  <si>
    <t>DOCK6</t>
  </si>
  <si>
    <t>CDC37</t>
  </si>
  <si>
    <t>KLC3</t>
  </si>
  <si>
    <t>PPP1R12C</t>
  </si>
  <si>
    <t>RPS15</t>
  </si>
  <si>
    <t>PTBP1</t>
  </si>
  <si>
    <t>WIPI1</t>
  </si>
  <si>
    <t>KATNAL2</t>
  </si>
  <si>
    <t>TMEM205</t>
  </si>
  <si>
    <t>UBALD1</t>
  </si>
  <si>
    <t>C19orf66</t>
  </si>
  <si>
    <t>NCLN</t>
  </si>
  <si>
    <t>SPC24</t>
  </si>
  <si>
    <t>C19orf57</t>
  </si>
  <si>
    <t>ELOF1</t>
  </si>
  <si>
    <t>MBD1</t>
  </si>
  <si>
    <t>hCG_2039718</t>
  </si>
  <si>
    <t>NARS</t>
  </si>
  <si>
    <t>C18orf8</t>
  </si>
  <si>
    <t>ELK1</t>
  </si>
  <si>
    <t>PSMG2</t>
  </si>
  <si>
    <t>MEF2BNB</t>
  </si>
  <si>
    <t>C19orf55</t>
  </si>
  <si>
    <t>C19orf12</t>
  </si>
  <si>
    <t>NFIX</t>
  </si>
  <si>
    <t>SAFB2</t>
  </si>
  <si>
    <t>ZNF700</t>
  </si>
  <si>
    <t>TPM4</t>
  </si>
  <si>
    <t>MXRA7</t>
  </si>
  <si>
    <t>EIF3K</t>
  </si>
  <si>
    <t>C19orf43</t>
  </si>
  <si>
    <t>UBE2O</t>
  </si>
  <si>
    <t>FAM86A</t>
  </si>
  <si>
    <t>APITD1</t>
  </si>
  <si>
    <t>RAD23A</t>
  </si>
  <si>
    <t>DNM2</t>
  </si>
  <si>
    <t>C18orf21</t>
  </si>
  <si>
    <t>SARS2</t>
  </si>
  <si>
    <t>PAF1</t>
  </si>
  <si>
    <t>KPTN</t>
  </si>
  <si>
    <t>EPS15L1</t>
  </si>
  <si>
    <t>USF2</t>
  </si>
  <si>
    <t>SMG9</t>
  </si>
  <si>
    <t>SAMD4B</t>
  </si>
  <si>
    <t>DTNA</t>
  </si>
  <si>
    <t>HRC</t>
  </si>
  <si>
    <t>ZBTB45</t>
  </si>
  <si>
    <t>RCN3</t>
  </si>
  <si>
    <t>HNRNPM</t>
  </si>
  <si>
    <t>ARHGEF1</t>
  </si>
  <si>
    <t>CCDC155</t>
  </si>
  <si>
    <t>MPND</t>
  </si>
  <si>
    <t>KXD1</t>
  </si>
  <si>
    <t>RPS5</t>
  </si>
  <si>
    <t>ZNF414</t>
  </si>
  <si>
    <t>FBL</t>
  </si>
  <si>
    <t>ZNF552</t>
  </si>
  <si>
    <t>CCDC94</t>
  </si>
  <si>
    <t>MYO9B</t>
  </si>
  <si>
    <t>RABAC1</t>
  </si>
  <si>
    <t>AGPS</t>
  </si>
  <si>
    <t>UBXN8</t>
  </si>
  <si>
    <t>KIF2A</t>
  </si>
  <si>
    <t>DDX39A</t>
  </si>
  <si>
    <t>PDLIM1</t>
  </si>
  <si>
    <t>ACOT7</t>
  </si>
  <si>
    <t>MYO1C</t>
  </si>
  <si>
    <t>MYO1F</t>
  </si>
  <si>
    <t>SNAP23</t>
  </si>
  <si>
    <t>AIP</t>
  </si>
  <si>
    <t>GTPBP1</t>
  </si>
  <si>
    <t>STXBP3</t>
  </si>
  <si>
    <t>APBB1</t>
  </si>
  <si>
    <t>TNFRSF10A</t>
  </si>
  <si>
    <t>NFKBIE</t>
  </si>
  <si>
    <t>PSMD11</t>
  </si>
  <si>
    <t>PSMD12</t>
  </si>
  <si>
    <t>ATOX1</t>
  </si>
  <si>
    <t>MEN1</t>
  </si>
  <si>
    <t>CBX4</t>
  </si>
  <si>
    <t>PGRMC1</t>
  </si>
  <si>
    <t>TAF4</t>
  </si>
  <si>
    <t>DFFA</t>
  </si>
  <si>
    <t>RFXAP</t>
  </si>
  <si>
    <t>HIP1</t>
  </si>
  <si>
    <t>CLIC1</t>
  </si>
  <si>
    <t>EIF3F</t>
  </si>
  <si>
    <t>WWP2</t>
  </si>
  <si>
    <t>PIK3CD</t>
  </si>
  <si>
    <t>DCTN6</t>
  </si>
  <si>
    <t>WASL</t>
  </si>
  <si>
    <t>FOXN3</t>
  </si>
  <si>
    <t>IPO5</t>
  </si>
  <si>
    <t>POLRMT</t>
  </si>
  <si>
    <t>EEF2K</t>
  </si>
  <si>
    <t>SAP18</t>
  </si>
  <si>
    <t>IGF2BP3</t>
  </si>
  <si>
    <t>DNM1L</t>
  </si>
  <si>
    <t>RTCA</t>
  </si>
  <si>
    <t>PIK3C2A</t>
  </si>
  <si>
    <t>PIK3R2</t>
  </si>
  <si>
    <t>MANBA</t>
  </si>
  <si>
    <t>AGRN</t>
  </si>
  <si>
    <t>EXOC5</t>
  </si>
  <si>
    <t>HMGN4</t>
  </si>
  <si>
    <t>PSMD14</t>
  </si>
  <si>
    <t>ZNF593</t>
  </si>
  <si>
    <t>BIN1</t>
  </si>
  <si>
    <t>KPNA3</t>
  </si>
  <si>
    <t>STK25</t>
  </si>
  <si>
    <t>BCL9</t>
  </si>
  <si>
    <t>KRIT1</t>
  </si>
  <si>
    <t>VWA5A</t>
  </si>
  <si>
    <t>SDCBP</t>
  </si>
  <si>
    <t>MPHOSPH10</t>
  </si>
  <si>
    <t>NOP56</t>
  </si>
  <si>
    <t>SOX1</t>
  </si>
  <si>
    <t>DDX3X</t>
  </si>
  <si>
    <t>PIR</t>
  </si>
  <si>
    <t>KPNA4</t>
  </si>
  <si>
    <t>TRIM38</t>
  </si>
  <si>
    <t>E2F3</t>
  </si>
  <si>
    <t>PPP6C</t>
  </si>
  <si>
    <t>CES2</t>
  </si>
  <si>
    <t>MAN2B1</t>
  </si>
  <si>
    <t>PDXK</t>
  </si>
  <si>
    <t>ARID1A</t>
  </si>
  <si>
    <t>BHLHE40</t>
  </si>
  <si>
    <t>SOCS2</t>
  </si>
  <si>
    <t>CDK2AP1</t>
  </si>
  <si>
    <t>FCHO1</t>
  </si>
  <si>
    <t>TRAFD1</t>
  </si>
  <si>
    <t>CIT</t>
  </si>
  <si>
    <t>COPE</t>
  </si>
  <si>
    <t>AP3D1</t>
  </si>
  <si>
    <t>CHD1</t>
  </si>
  <si>
    <t>CHD2</t>
  </si>
  <si>
    <t>KCNK3</t>
  </si>
  <si>
    <t>GOSR2</t>
  </si>
  <si>
    <t>IRS4</t>
  </si>
  <si>
    <t>TOR1A</t>
  </si>
  <si>
    <t>TOR1B</t>
  </si>
  <si>
    <t>ADAM10</t>
  </si>
  <si>
    <t>MLL2</t>
  </si>
  <si>
    <t>MAP2K7</t>
  </si>
  <si>
    <t>PDCD5</t>
  </si>
  <si>
    <t>PRMT5</t>
  </si>
  <si>
    <t>SLC9A3R1</t>
  </si>
  <si>
    <t>CHEK1</t>
  </si>
  <si>
    <t>MEIS2</t>
  </si>
  <si>
    <t>FPGT</t>
  </si>
  <si>
    <t>TPP1</t>
  </si>
  <si>
    <t>TCERG1</t>
  </si>
  <si>
    <t>NDC80</t>
  </si>
  <si>
    <t>TNPO2</t>
  </si>
  <si>
    <t>UNC13B</t>
  </si>
  <si>
    <t>POLR3A</t>
  </si>
  <si>
    <t>PSMA7</t>
  </si>
  <si>
    <t>SCAMP3</t>
  </si>
  <si>
    <t>OPLAH</t>
  </si>
  <si>
    <t>BACH1</t>
  </si>
  <si>
    <t>TAX1BP3</t>
  </si>
  <si>
    <t>GIPC1</t>
  </si>
  <si>
    <t>IKBKB</t>
  </si>
  <si>
    <t>RGS12</t>
  </si>
  <si>
    <t>HAT1</t>
  </si>
  <si>
    <t>UBE2L6</t>
  </si>
  <si>
    <t>HGS</t>
  </si>
  <si>
    <t>AURKA</t>
  </si>
  <si>
    <t>PPP1R12A</t>
  </si>
  <si>
    <t>GAK</t>
  </si>
  <si>
    <t>HNRPDL</t>
  </si>
  <si>
    <t>XPO1</t>
  </si>
  <si>
    <t>BTAF1</t>
  </si>
  <si>
    <t>ARHGEF10</t>
  </si>
  <si>
    <t>ZNF609</t>
  </si>
  <si>
    <t>ZNF646</t>
  </si>
  <si>
    <t>SPTBN2</t>
  </si>
  <si>
    <t>KHNYN</t>
  </si>
  <si>
    <t>TECPR2</t>
  </si>
  <si>
    <t>SETD1A</t>
  </si>
  <si>
    <t>TRANK1</t>
  </si>
  <si>
    <t>KDM6B</t>
  </si>
  <si>
    <t>SYNJ2</t>
  </si>
  <si>
    <t>ZBTB39</t>
  </si>
  <si>
    <t>ZBTB5</t>
  </si>
  <si>
    <t>KIAA0355</t>
  </si>
  <si>
    <t>KIF3B</t>
  </si>
  <si>
    <t>PFAS</t>
  </si>
  <si>
    <t>CEP290</t>
  </si>
  <si>
    <t>ANKRD28</t>
  </si>
  <si>
    <t>ARHGEF11</t>
  </si>
  <si>
    <t>CHUK</t>
  </si>
  <si>
    <t>LSM1</t>
  </si>
  <si>
    <t>FYB</t>
  </si>
  <si>
    <t>NPC1</t>
  </si>
  <si>
    <t>KPNA5</t>
  </si>
  <si>
    <t>ARPC1B</t>
  </si>
  <si>
    <t>ARPC2</t>
  </si>
  <si>
    <t>ARPC3</t>
  </si>
  <si>
    <t>ZBTB7B</t>
  </si>
  <si>
    <t>POLR1C</t>
  </si>
  <si>
    <t>TRIM24</t>
  </si>
  <si>
    <t>AXIN1</t>
  </si>
  <si>
    <t>PGRMC2</t>
  </si>
  <si>
    <t>RGL2</t>
  </si>
  <si>
    <t>PFDN6</t>
  </si>
  <si>
    <t>WDR46</t>
  </si>
  <si>
    <t>NKRF</t>
  </si>
  <si>
    <t>CASC3</t>
  </si>
  <si>
    <t>VGF</t>
  </si>
  <si>
    <t>CLIC2</t>
  </si>
  <si>
    <t>SURF4</t>
  </si>
  <si>
    <t>ATXN7</t>
  </si>
  <si>
    <t>SPTLC1</t>
  </si>
  <si>
    <t>OGT</t>
  </si>
  <si>
    <t>PMM2</t>
  </si>
  <si>
    <t>RAD51B</t>
  </si>
  <si>
    <t>MID1</t>
  </si>
  <si>
    <t>PPM1G</t>
  </si>
  <si>
    <t>INPPL1</t>
  </si>
  <si>
    <t>EIF3H</t>
  </si>
  <si>
    <t>HDAC3</t>
  </si>
  <si>
    <t>NVL</t>
  </si>
  <si>
    <t>BCAT2</t>
  </si>
  <si>
    <t>BIRC5</t>
  </si>
  <si>
    <t>IPO8</t>
  </si>
  <si>
    <t>STX7</t>
  </si>
  <si>
    <t>CD3EAP</t>
  </si>
  <si>
    <t>MAGEB2</t>
  </si>
  <si>
    <t>GYG2</t>
  </si>
  <si>
    <t>YKT6</t>
  </si>
  <si>
    <t>NUPL2</t>
  </si>
  <si>
    <t>ARPC5</t>
  </si>
  <si>
    <t>POLR2D</t>
  </si>
  <si>
    <t>SOCS1</t>
  </si>
  <si>
    <t>RNF113A</t>
  </si>
  <si>
    <t>KDM6A</t>
  </si>
  <si>
    <t>DHX15</t>
  </si>
  <si>
    <t>RNMT</t>
  </si>
  <si>
    <t>ZZEF1</t>
  </si>
  <si>
    <t>TTI1</t>
  </si>
  <si>
    <t>PJA2</t>
  </si>
  <si>
    <t>ZBTB24</t>
  </si>
  <si>
    <t>PRPF4</t>
  </si>
  <si>
    <t>PHGDH</t>
  </si>
  <si>
    <t>ARHGAP6</t>
  </si>
  <si>
    <t>DYNC1LI2</t>
  </si>
  <si>
    <t>PSMD3</t>
  </si>
  <si>
    <t>RBFOX2</t>
  </si>
  <si>
    <t>PAPSS1</t>
  </si>
  <si>
    <t>ZW10</t>
  </si>
  <si>
    <t>SART1</t>
  </si>
  <si>
    <t>ZBTB43</t>
  </si>
  <si>
    <t>AP5Z1</t>
  </si>
  <si>
    <t>CCP110</t>
  </si>
  <si>
    <t>CTIF</t>
  </si>
  <si>
    <t>MAP3K7</t>
  </si>
  <si>
    <t>EEF1E1</t>
  </si>
  <si>
    <t>LYRM1</t>
  </si>
  <si>
    <t>RIPK2</t>
  </si>
  <si>
    <t>WDR62</t>
  </si>
  <si>
    <t>HNRNPR</t>
  </si>
  <si>
    <t>PRPF3</t>
  </si>
  <si>
    <t>TXNL1</t>
  </si>
  <si>
    <t>TPD52L2</t>
  </si>
  <si>
    <t>EMC8</t>
  </si>
  <si>
    <t>ERI3</t>
  </si>
  <si>
    <t>PRKRIR</t>
  </si>
  <si>
    <t>FIBP</t>
  </si>
  <si>
    <t>EIF4G3</t>
  </si>
  <si>
    <t>TBX1</t>
  </si>
  <si>
    <t>PPIH</t>
  </si>
  <si>
    <t>HTRA2</t>
  </si>
  <si>
    <t>OIP5</t>
  </si>
  <si>
    <t>AKR7A2</t>
  </si>
  <si>
    <t>TGOLN2</t>
  </si>
  <si>
    <t>LAMTOR5</t>
  </si>
  <si>
    <t>MED7</t>
  </si>
  <si>
    <t>WIPF1</t>
  </si>
  <si>
    <t>BCL2L11</t>
  </si>
  <si>
    <t>XRCC3</t>
  </si>
  <si>
    <t>RGS14</t>
  </si>
  <si>
    <t>DENR</t>
  </si>
  <si>
    <t>XPOT</t>
  </si>
  <si>
    <t>TIMM44</t>
  </si>
  <si>
    <t>TRAPPC3</t>
  </si>
  <si>
    <t>CHMP2A</t>
  </si>
  <si>
    <t>NCK2</t>
  </si>
  <si>
    <t>PLRG1</t>
  </si>
  <si>
    <t>RGS10</t>
  </si>
  <si>
    <t>ZNF207</t>
  </si>
  <si>
    <t>NDUFA2</t>
  </si>
  <si>
    <t>ASNA1</t>
  </si>
  <si>
    <t>WBSCR22</t>
  </si>
  <si>
    <t>TRIAP1</t>
  </si>
  <si>
    <t>GATC</t>
  </si>
  <si>
    <t>HTATSF1</t>
  </si>
  <si>
    <t>CYTH3</t>
  </si>
  <si>
    <t>AP1G1</t>
  </si>
  <si>
    <t>STX6</t>
  </si>
  <si>
    <t>SGTA</t>
  </si>
  <si>
    <t>LIAS</t>
  </si>
  <si>
    <t>ENSA</t>
  </si>
  <si>
    <t>SPOP</t>
  </si>
  <si>
    <t>SSNA1</t>
  </si>
  <si>
    <t>NUDT21</t>
  </si>
  <si>
    <t>LANCL1</t>
  </si>
  <si>
    <t>STRN</t>
  </si>
  <si>
    <t>RRP9</t>
  </si>
  <si>
    <t>C21orf2</t>
  </si>
  <si>
    <t>AKAP8</t>
  </si>
  <si>
    <t>ZBTB14</t>
  </si>
  <si>
    <t>IDH3B</t>
  </si>
  <si>
    <t>NRD1</t>
  </si>
  <si>
    <t>CALU</t>
  </si>
  <si>
    <t>AHCYL1</t>
  </si>
  <si>
    <t>KIF1C</t>
  </si>
  <si>
    <t>ORC5</t>
  </si>
  <si>
    <t>PDE6D</t>
  </si>
  <si>
    <t>ORC4</t>
  </si>
  <si>
    <t>PRKY</t>
  </si>
  <si>
    <t>PEX1</t>
  </si>
  <si>
    <t>RAD21</t>
  </si>
  <si>
    <t>TIMM8A</t>
  </si>
  <si>
    <t>DHX16</t>
  </si>
  <si>
    <t>GMFG</t>
  </si>
  <si>
    <t>MED14</t>
  </si>
  <si>
    <t>PRPSAP2</t>
  </si>
  <si>
    <t>SMARCA5</t>
  </si>
  <si>
    <t>SPAG9</t>
  </si>
  <si>
    <t>SIPA1L3</t>
  </si>
  <si>
    <t>ZFC3H1</t>
  </si>
  <si>
    <t>LCMT2</t>
  </si>
  <si>
    <t>TRAK2</t>
  </si>
  <si>
    <t>AQR</t>
  </si>
  <si>
    <t>CEP104</t>
  </si>
  <si>
    <t>OPA1</t>
  </si>
  <si>
    <t>ZEB2</t>
  </si>
  <si>
    <t>MCM3AP</t>
  </si>
  <si>
    <t>KIF1B</t>
  </si>
  <si>
    <t>KDM1A</t>
  </si>
  <si>
    <t>TBC1D4</t>
  </si>
  <si>
    <t>ECE2</t>
  </si>
  <si>
    <t>PHLPP1</t>
  </si>
  <si>
    <t>TBC1D12</t>
  </si>
  <si>
    <t>FZD6</t>
  </si>
  <si>
    <t>NME2P1</t>
  </si>
  <si>
    <t>DFNA5</t>
  </si>
  <si>
    <t>EVI5</t>
  </si>
  <si>
    <t>SNX3</t>
  </si>
  <si>
    <t>MGEA5</t>
  </si>
  <si>
    <t>SYNCRIP</t>
  </si>
  <si>
    <t>GMDS</t>
  </si>
  <si>
    <t>NMT2</t>
  </si>
  <si>
    <t>CCNT1</t>
  </si>
  <si>
    <t>BUB1B</t>
  </si>
  <si>
    <t>PLOD3</t>
  </si>
  <si>
    <t>CCNT2</t>
  </si>
  <si>
    <t>SEP15</t>
  </si>
  <si>
    <t>EXOC3</t>
  </si>
  <si>
    <t>PLIN3</t>
  </si>
  <si>
    <t>RAD1</t>
  </si>
  <si>
    <t>PRMT3</t>
  </si>
  <si>
    <t>UGDH</t>
  </si>
  <si>
    <t>CTNND1</t>
  </si>
  <si>
    <t>MAGEC1</t>
  </si>
  <si>
    <t>SNX2</t>
  </si>
  <si>
    <t>DPM1</t>
  </si>
  <si>
    <t>USO1</t>
  </si>
  <si>
    <t>CCDC22</t>
  </si>
  <si>
    <t>PQBP1</t>
  </si>
  <si>
    <t>PAGE4</t>
  </si>
  <si>
    <t>DKC1</t>
  </si>
  <si>
    <t>EIF5B</t>
  </si>
  <si>
    <t>TRIM13</t>
  </si>
  <si>
    <t>EDF1</t>
  </si>
  <si>
    <t>KIN</t>
  </si>
  <si>
    <t>DNAJA2</t>
  </si>
  <si>
    <t>BRD4</t>
  </si>
  <si>
    <t>CUTA</t>
  </si>
  <si>
    <t>OPHN1</t>
  </si>
  <si>
    <t>TBL1X</t>
  </si>
  <si>
    <t>HUS1</t>
  </si>
  <si>
    <t>PFDN1</t>
  </si>
  <si>
    <t>PPP1R11</t>
  </si>
  <si>
    <t>NBN</t>
  </si>
  <si>
    <t>RNGTT</t>
  </si>
  <si>
    <t>MITF</t>
  </si>
  <si>
    <t>KIF21B</t>
  </si>
  <si>
    <t>SRGAP2</t>
  </si>
  <si>
    <t>DNAJC6</t>
  </si>
  <si>
    <t>FAM20B</t>
  </si>
  <si>
    <t>DENND4B</t>
  </si>
  <si>
    <t>WDR1</t>
  </si>
  <si>
    <t>N4BP1</t>
  </si>
  <si>
    <t>ROCK2</t>
  </si>
  <si>
    <t>CPNE3</t>
  </si>
  <si>
    <t>ZBED4</t>
  </si>
  <si>
    <t>ATG13</t>
  </si>
  <si>
    <t>ICOSLG</t>
  </si>
  <si>
    <t>PPFIA3</t>
  </si>
  <si>
    <t>HIP1R</t>
  </si>
  <si>
    <t>OBSL1</t>
  </si>
  <si>
    <t>RNF40</t>
  </si>
  <si>
    <t>PHF2</t>
  </si>
  <si>
    <t>ZC3H11A</t>
  </si>
  <si>
    <t>RAB11FIP3</t>
  </si>
  <si>
    <t>CAND2</t>
  </si>
  <si>
    <t>TSC22D2</t>
  </si>
  <si>
    <t>KDM4A</t>
  </si>
  <si>
    <t>DNAJC13</t>
  </si>
  <si>
    <t>PHACTR2</t>
  </si>
  <si>
    <t>PPP6R2</t>
  </si>
  <si>
    <t>CNOT3</t>
  </si>
  <si>
    <t>SS18L1</t>
  </si>
  <si>
    <t>SIN3B</t>
  </si>
  <si>
    <t>DNAJB6</t>
  </si>
  <si>
    <t>XYLB</t>
  </si>
  <si>
    <t>GGCT</t>
  </si>
  <si>
    <t>NDUFS2</t>
  </si>
  <si>
    <t>ZNF259</t>
  </si>
  <si>
    <t>DUSP11</t>
  </si>
  <si>
    <t>GBAS</t>
  </si>
  <si>
    <t>HMMR</t>
  </si>
  <si>
    <t>PDCD6</t>
  </si>
  <si>
    <t>TBCA</t>
  </si>
  <si>
    <t>ATP6V1G1</t>
  </si>
  <si>
    <t>VPS4B</t>
  </si>
  <si>
    <t>ENTPD5</t>
  </si>
  <si>
    <t>ZNF217</t>
  </si>
  <si>
    <t>H2AFY</t>
  </si>
  <si>
    <t>SH3BGRL</t>
  </si>
  <si>
    <t>FLNB</t>
  </si>
  <si>
    <t>NDUFS6</t>
  </si>
  <si>
    <t>TRIM3</t>
  </si>
  <si>
    <t>ULK1</t>
  </si>
  <si>
    <t>SEC22B</t>
  </si>
  <si>
    <t>DEAF1</t>
  </si>
  <si>
    <t>PRPF40A</t>
  </si>
  <si>
    <t>TACC1</t>
  </si>
  <si>
    <t>CDC45</t>
  </si>
  <si>
    <t>GIGYF1</t>
  </si>
  <si>
    <t>VPS26A</t>
  </si>
  <si>
    <t>PMPCB</t>
  </si>
  <si>
    <t>SAP30</t>
  </si>
  <si>
    <t>KATNA1</t>
  </si>
  <si>
    <t>PAGE1</t>
  </si>
  <si>
    <t>ERN1</t>
  </si>
  <si>
    <t>PSIP1</t>
  </si>
  <si>
    <t>NDUFS3</t>
  </si>
  <si>
    <t>CLN5</t>
  </si>
  <si>
    <t>HSBP1</t>
  </si>
  <si>
    <t>ECI2</t>
  </si>
  <si>
    <t>TADA3</t>
  </si>
  <si>
    <t>TAF5L</t>
  </si>
  <si>
    <t>EED</t>
  </si>
  <si>
    <t>BANF1</t>
  </si>
  <si>
    <t>SF3B1</t>
  </si>
  <si>
    <t>CSDE1</t>
  </si>
  <si>
    <t>WBP4</t>
  </si>
  <si>
    <t>CRCP</t>
  </si>
  <si>
    <t>MED6</t>
  </si>
  <si>
    <t>GCAT</t>
  </si>
  <si>
    <t>NPM3</t>
  </si>
  <si>
    <t>LYPLA1</t>
  </si>
  <si>
    <t>ERAL1</t>
  </si>
  <si>
    <t>CREG1</t>
  </si>
  <si>
    <t>SERPINB7</t>
  </si>
  <si>
    <t>SNRNP200</t>
  </si>
  <si>
    <t>TRMU</t>
  </si>
  <si>
    <t>TIPRL</t>
  </si>
  <si>
    <t>SURF6</t>
  </si>
  <si>
    <t>PPM1B</t>
  </si>
  <si>
    <t>RP2</t>
  </si>
  <si>
    <t>WDHD1</t>
  </si>
  <si>
    <t>RAD51D</t>
  </si>
  <si>
    <t>PALM</t>
  </si>
  <si>
    <t>RNASEH2A</t>
  </si>
  <si>
    <t>CDC123</t>
  </si>
  <si>
    <t>SOLH</t>
  </si>
  <si>
    <t>RPP40</t>
  </si>
  <si>
    <t>EIF3G</t>
  </si>
  <si>
    <t>CBR3</t>
  </si>
  <si>
    <t>AP1G2</t>
  </si>
  <si>
    <t>ZMPSTE24</t>
  </si>
  <si>
    <t>PPP1R37</t>
  </si>
  <si>
    <t>TRAPPC6A</t>
  </si>
  <si>
    <t>IDH1</t>
  </si>
  <si>
    <t>RBBP9</t>
  </si>
  <si>
    <t>STAM2</t>
  </si>
  <si>
    <t>CCNK</t>
  </si>
  <si>
    <t>ARL6IP5</t>
  </si>
  <si>
    <t>PIAS1</t>
  </si>
  <si>
    <t>PIAS2</t>
  </si>
  <si>
    <t>BCAS2</t>
  </si>
  <si>
    <t>DCTN3</t>
  </si>
  <si>
    <t>DNAJC8</t>
  </si>
  <si>
    <t>SMNDC1</t>
  </si>
  <si>
    <t>RAD17</t>
  </si>
  <si>
    <t>ATP5H</t>
  </si>
  <si>
    <t>FLOT1</t>
  </si>
  <si>
    <t>TRIO</t>
  </si>
  <si>
    <t>SASH3</t>
  </si>
  <si>
    <t>GLRX3</t>
  </si>
  <si>
    <t>KRT34</t>
  </si>
  <si>
    <t>RSL1D1</t>
  </si>
  <si>
    <t>CLPX</t>
  </si>
  <si>
    <t>SCGN</t>
  </si>
  <si>
    <t>NEBL</t>
  </si>
  <si>
    <t>RNF8</t>
  </si>
  <si>
    <t>SNCG</t>
  </si>
  <si>
    <t>CIAO1</t>
  </si>
  <si>
    <t>DFFB</t>
  </si>
  <si>
    <t>ZFAND5</t>
  </si>
  <si>
    <t>SRP72</t>
  </si>
  <si>
    <t>DOM3Z</t>
  </si>
  <si>
    <t>RECQL4</t>
  </si>
  <si>
    <t>RECQL5</t>
  </si>
  <si>
    <t>URI1</t>
  </si>
  <si>
    <t>MTA2</t>
  </si>
  <si>
    <t>USP1</t>
  </si>
  <si>
    <t>ALDH1A2</t>
  </si>
  <si>
    <t>STK10</t>
  </si>
  <si>
    <t>PRKD3</t>
  </si>
  <si>
    <t>GFPT2</t>
  </si>
  <si>
    <t>ATG12</t>
  </si>
  <si>
    <t>KBTBD11</t>
  </si>
  <si>
    <t>LTN1</t>
  </si>
  <si>
    <t>TOMM70A</t>
  </si>
  <si>
    <t>IPO13</t>
  </si>
  <si>
    <t>DDHD2</t>
  </si>
  <si>
    <t>MICAL2</t>
  </si>
  <si>
    <t>KIAA0754</t>
  </si>
  <si>
    <t>SEC24D</t>
  </si>
  <si>
    <t>SUPT7L</t>
  </si>
  <si>
    <t>UFL1</t>
  </si>
  <si>
    <t>TMCC1</t>
  </si>
  <si>
    <t>PHF14</t>
  </si>
  <si>
    <t>UBXN7</t>
  </si>
  <si>
    <t>KLHL18</t>
  </si>
  <si>
    <t>LRIG2</t>
  </si>
  <si>
    <t>PROSC</t>
  </si>
  <si>
    <t>PRPF6</t>
  </si>
  <si>
    <t>PCF11</t>
  </si>
  <si>
    <t>GLS</t>
  </si>
  <si>
    <t>HAUS5</t>
  </si>
  <si>
    <t>UBOX5</t>
  </si>
  <si>
    <t>KDM4B</t>
  </si>
  <si>
    <t>SOGA1</t>
  </si>
  <si>
    <t>USP19</t>
  </si>
  <si>
    <t>WDR47</t>
  </si>
  <si>
    <t>AP2A2</t>
  </si>
  <si>
    <t>SEC31A</t>
  </si>
  <si>
    <t>FAM13A</t>
  </si>
  <si>
    <t>HEXIM1</t>
  </si>
  <si>
    <t>RPP14</t>
  </si>
  <si>
    <t>CCNB2</t>
  </si>
  <si>
    <t>AGFG2</t>
  </si>
  <si>
    <t>SCAF4</t>
  </si>
  <si>
    <t>SNUPN</t>
  </si>
  <si>
    <t>UBE4B</t>
  </si>
  <si>
    <t>IKBKAP</t>
  </si>
  <si>
    <t>RTN3</t>
  </si>
  <si>
    <t>LETM1</t>
  </si>
  <si>
    <t>MBLL</t>
  </si>
  <si>
    <t>ZRANB2</t>
  </si>
  <si>
    <t>ZWINT</t>
  </si>
  <si>
    <t>VENTX</t>
  </si>
  <si>
    <t>LUC7L3</t>
  </si>
  <si>
    <t>KIF4A</t>
  </si>
  <si>
    <t>MBD4</t>
  </si>
  <si>
    <t>SBF1</t>
  </si>
  <si>
    <t>KAT7</t>
  </si>
  <si>
    <t>CCNDBP1</t>
  </si>
  <si>
    <t>VAPB</t>
  </si>
  <si>
    <t>SNAPIN</t>
  </si>
  <si>
    <t>MPZL1</t>
  </si>
  <si>
    <t>FKBP9</t>
  </si>
  <si>
    <t>PGLS</t>
  </si>
  <si>
    <t>SMC2</t>
  </si>
  <si>
    <t>ATG7</t>
  </si>
  <si>
    <t>ZBTB7A</t>
  </si>
  <si>
    <t>LYPLA2</t>
  </si>
  <si>
    <t>IPO7</t>
  </si>
  <si>
    <t>ARIH2</t>
  </si>
  <si>
    <t>TNFAIP8</t>
  </si>
  <si>
    <t>SLU7</t>
  </si>
  <si>
    <t>PGM3</t>
  </si>
  <si>
    <t>MOCS3</t>
  </si>
  <si>
    <t>PLEKHA8P1</t>
  </si>
  <si>
    <t>UTS2</t>
  </si>
  <si>
    <t>CD2BP2</t>
  </si>
  <si>
    <t>MED26</t>
  </si>
  <si>
    <t>ZFYVE9</t>
  </si>
  <si>
    <t>BAG4</t>
  </si>
  <si>
    <t>AHSA1</t>
  </si>
  <si>
    <t>PARN</t>
  </si>
  <si>
    <t>PSMG1</t>
  </si>
  <si>
    <t>FMNL1</t>
  </si>
  <si>
    <t>NSA2</t>
  </si>
  <si>
    <t>H6PD</t>
  </si>
  <si>
    <t>SEC24A</t>
  </si>
  <si>
    <t>SEC24B</t>
  </si>
  <si>
    <t>NADK</t>
  </si>
  <si>
    <t>TDP2</t>
  </si>
  <si>
    <t>METTL18</t>
  </si>
  <si>
    <t>ETHE1</t>
  </si>
  <si>
    <t>ACSL3</t>
  </si>
  <si>
    <t>POLR1A</t>
  </si>
  <si>
    <t>PCNT</t>
  </si>
  <si>
    <t>YEATS4</t>
  </si>
  <si>
    <t>DUS4L</t>
  </si>
  <si>
    <t>ZBTB11</t>
  </si>
  <si>
    <t>CNOT4</t>
  </si>
  <si>
    <t>STAMBP</t>
  </si>
  <si>
    <t>CPSF4</t>
  </si>
  <si>
    <t>NFATC1</t>
  </si>
  <si>
    <t>ASMTL</t>
  </si>
  <si>
    <t>FGFR1OP</t>
  </si>
  <si>
    <t>SNAP29</t>
  </si>
  <si>
    <t>OXSR1</t>
  </si>
  <si>
    <t>GGPS1</t>
  </si>
  <si>
    <t>HSPA4L</t>
  </si>
  <si>
    <t>PTBP3</t>
  </si>
  <si>
    <t>NAA38</t>
  </si>
  <si>
    <t>AP2A1</t>
  </si>
  <si>
    <t>TTC4</t>
  </si>
  <si>
    <t>BAG2</t>
  </si>
  <si>
    <t>MLYCD</t>
  </si>
  <si>
    <t>CRYZL1</t>
  </si>
  <si>
    <t>AIFM1</t>
  </si>
  <si>
    <t>EML2</t>
  </si>
  <si>
    <t>LATS1</t>
  </si>
  <si>
    <t>BPNT1</t>
  </si>
  <si>
    <t>DDAH2</t>
  </si>
  <si>
    <t>TXNDC12</t>
  </si>
  <si>
    <t>ECD</t>
  </si>
  <si>
    <t>SYF2</t>
  </si>
  <si>
    <t>MBD3</t>
  </si>
  <si>
    <t>TOP3B</t>
  </si>
  <si>
    <t>NUDT3</t>
  </si>
  <si>
    <t>BCL10</t>
  </si>
  <si>
    <t>MOCS2</t>
  </si>
  <si>
    <t>TOMM40</t>
  </si>
  <si>
    <t>PAK4</t>
  </si>
  <si>
    <t>CHEK2</t>
  </si>
  <si>
    <t>APBA3</t>
  </si>
  <si>
    <t>ACTL6A</t>
  </si>
  <si>
    <t>WHSC1</t>
  </si>
  <si>
    <t>ALDH1A1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</si>
  <si>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</si>
  <si>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</si>
  <si>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</si>
  <si>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</si>
  <si>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</si>
  <si>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</si>
  <si>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</si>
  <si>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</si>
  <si>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</si>
  <si>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ABL1</t>
  </si>
  <si>
    <t>PGK1</t>
  </si>
  <si>
    <t>AK1</t>
  </si>
  <si>
    <t>ADA</t>
  </si>
  <si>
    <t>CA2</t>
  </si>
  <si>
    <t>ASS1</t>
  </si>
  <si>
    <t>CST3</t>
  </si>
  <si>
    <t>NRAS</t>
  </si>
  <si>
    <t>KRAS</t>
  </si>
  <si>
    <t>TGFB1</t>
  </si>
  <si>
    <t>HBZ</t>
  </si>
  <si>
    <t>HBD</t>
  </si>
  <si>
    <t>HBE1</t>
  </si>
  <si>
    <t>KRT14</t>
  </si>
  <si>
    <t>KRT6A</t>
  </si>
  <si>
    <t>LMNA</t>
  </si>
  <si>
    <t>SPTA1</t>
  </si>
  <si>
    <t>APOE</t>
  </si>
  <si>
    <t>LRG1</t>
  </si>
  <si>
    <t>ALB</t>
  </si>
  <si>
    <t>TFRC</t>
  </si>
  <si>
    <t>FTL</t>
  </si>
  <si>
    <t>FTH1</t>
  </si>
  <si>
    <t>CAT</t>
  </si>
  <si>
    <t>FUCA1</t>
  </si>
  <si>
    <t>CSTB</t>
  </si>
  <si>
    <t>ANXA1</t>
  </si>
  <si>
    <t>NR3C1</t>
  </si>
  <si>
    <t>OAT</t>
  </si>
  <si>
    <t>TK1</t>
  </si>
  <si>
    <t>KRT1</t>
  </si>
  <si>
    <t>TUBB4A</t>
  </si>
  <si>
    <t>GAPDH</t>
  </si>
  <si>
    <t>ASL</t>
  </si>
  <si>
    <t>NTRK1</t>
  </si>
  <si>
    <t>CAPNS1</t>
  </si>
  <si>
    <t>HSPB1</t>
  </si>
  <si>
    <t>TYMS</t>
  </si>
  <si>
    <t>RPN1</t>
  </si>
  <si>
    <t>RPN2</t>
  </si>
  <si>
    <t>GNAI2</t>
  </si>
  <si>
    <t>SLC4A2</t>
  </si>
  <si>
    <t>ATP1A1</t>
  </si>
  <si>
    <t>ALDH2</t>
  </si>
  <si>
    <t>HMGN1</t>
  </si>
  <si>
    <t>SLC25A5</t>
  </si>
  <si>
    <t>ISG15</t>
  </si>
  <si>
    <t>PCCA</t>
  </si>
  <si>
    <t>PCCB</t>
  </si>
  <si>
    <t>EIF2S1</t>
  </si>
  <si>
    <t>HMGN2</t>
  </si>
  <si>
    <t>RPLP2</t>
  </si>
  <si>
    <t>RPLP0</t>
  </si>
  <si>
    <t>POLR3D</t>
  </si>
  <si>
    <t>SSB</t>
  </si>
  <si>
    <t>ITGB1</t>
  </si>
  <si>
    <t>PRKCB</t>
  </si>
  <si>
    <t>KRT18</t>
  </si>
  <si>
    <t>KRT8</t>
  </si>
  <si>
    <t>CALB1</t>
  </si>
  <si>
    <t>UROD</t>
  </si>
  <si>
    <t>GLA</t>
  </si>
  <si>
    <t>GSN</t>
  </si>
  <si>
    <t>RB1</t>
  </si>
  <si>
    <t>CDK1</t>
  </si>
  <si>
    <t>ATP5B</t>
  </si>
  <si>
    <t>EIF4E</t>
  </si>
  <si>
    <t>ENO1</t>
  </si>
  <si>
    <t>PYGL</t>
  </si>
  <si>
    <t>GPI</t>
  </si>
  <si>
    <t>POLB</t>
  </si>
  <si>
    <t>NPM1</t>
  </si>
  <si>
    <t>TPM3</t>
  </si>
  <si>
    <t>HEXA</t>
  </si>
  <si>
    <t>DBI</t>
  </si>
  <si>
    <t>LDHB</t>
  </si>
  <si>
    <t>PGK2</t>
  </si>
  <si>
    <t>P4HB</t>
  </si>
  <si>
    <t>CTSD</t>
  </si>
  <si>
    <t>ANXA2</t>
  </si>
  <si>
    <t>CAPN1</t>
  </si>
  <si>
    <t>PSAP</t>
  </si>
  <si>
    <t>HEXB</t>
  </si>
  <si>
    <t>CTSL1</t>
  </si>
  <si>
    <t>PFN1</t>
  </si>
  <si>
    <t>BPGM</t>
  </si>
  <si>
    <t>APRT</t>
  </si>
  <si>
    <t>CTSB</t>
  </si>
  <si>
    <t>HSP90AA1</t>
  </si>
  <si>
    <t>GALT</t>
  </si>
  <si>
    <t>UQCRH</t>
  </si>
  <si>
    <t>LAMB1</t>
  </si>
  <si>
    <t>YES1</t>
  </si>
  <si>
    <t>LYN</t>
  </si>
  <si>
    <t>FH</t>
  </si>
  <si>
    <t>ERCC1</t>
  </si>
  <si>
    <t>THBS1</t>
  </si>
  <si>
    <t>SP1</t>
  </si>
  <si>
    <t>HSPA1A</t>
  </si>
  <si>
    <t>SLC3A2</t>
  </si>
  <si>
    <t>PFKM</t>
  </si>
  <si>
    <t>HSP90AB1</t>
  </si>
  <si>
    <t>SRPR</t>
  </si>
  <si>
    <t>ASNS</t>
  </si>
  <si>
    <t>HMBS</t>
  </si>
  <si>
    <t>PDHA1</t>
  </si>
  <si>
    <t>PTPRC</t>
  </si>
  <si>
    <t>SNRPB2</t>
  </si>
  <si>
    <t>MYL3</t>
  </si>
  <si>
    <t>SNRNP70</t>
  </si>
  <si>
    <t>NFIC</t>
  </si>
  <si>
    <t>VIM</t>
  </si>
  <si>
    <t>KRT19</t>
  </si>
  <si>
    <t>GNAI3</t>
  </si>
  <si>
    <t>ANXA5</t>
  </si>
  <si>
    <t>KRT16</t>
  </si>
  <si>
    <t>SNRPA</t>
  </si>
  <si>
    <t>FGF2</t>
  </si>
  <si>
    <t>HBQ1</t>
  </si>
  <si>
    <t>ACAA1</t>
  </si>
  <si>
    <t>SRP19</t>
  </si>
  <si>
    <t>GSTP1</t>
  </si>
  <si>
    <t>SNRPC</t>
  </si>
  <si>
    <t>VIL1</t>
  </si>
  <si>
    <t>LGALS1</t>
  </si>
  <si>
    <t>QDPR</t>
  </si>
  <si>
    <t>HMGB1</t>
  </si>
  <si>
    <t>CLTA</t>
  </si>
  <si>
    <t>CLTB</t>
  </si>
  <si>
    <t>CNP</t>
  </si>
  <si>
    <t>DLD</t>
  </si>
  <si>
    <t>HNRNPA1</t>
  </si>
  <si>
    <t>SNRPA1</t>
  </si>
  <si>
    <t>CTSH</t>
  </si>
  <si>
    <t>PARP1</t>
  </si>
  <si>
    <t>POLA1</t>
  </si>
  <si>
    <t>ALOX5</t>
  </si>
  <si>
    <t>LTA4H</t>
  </si>
  <si>
    <t>ALDOC</t>
  </si>
  <si>
    <t>ATXN1L</t>
  </si>
  <si>
    <t>POLR2M</t>
  </si>
  <si>
    <t>CHTF8</t>
  </si>
  <si>
    <t>ZNF888</t>
  </si>
  <si>
    <t>GAGE12I</t>
  </si>
  <si>
    <t>RPS17L</t>
  </si>
  <si>
    <t>TRAPPC2P1</t>
  </si>
  <si>
    <t>FDX1</t>
  </si>
  <si>
    <t>MYB</t>
  </si>
  <si>
    <t>MYBL2</t>
  </si>
  <si>
    <t>GAA</t>
  </si>
  <si>
    <t>ARAF</t>
  </si>
  <si>
    <t>DLAT</t>
  </si>
  <si>
    <t>PTPRF</t>
  </si>
  <si>
    <t>NR2F6</t>
  </si>
  <si>
    <t>TXN</t>
  </si>
  <si>
    <t>COX5B</t>
  </si>
  <si>
    <t>CTSA</t>
  </si>
  <si>
    <t>MAPT</t>
  </si>
  <si>
    <t>PRKAR1A</t>
  </si>
  <si>
    <t>TFPI</t>
  </si>
  <si>
    <t>UROS</t>
  </si>
  <si>
    <t>ESD</t>
  </si>
  <si>
    <t>HSPD1</t>
  </si>
  <si>
    <t>HSPA5</t>
  </si>
  <si>
    <t>PNMT</t>
  </si>
  <si>
    <t>MAP2</t>
  </si>
  <si>
    <t>HSPA8</t>
  </si>
  <si>
    <t>EPB41</t>
  </si>
  <si>
    <t>UMPS</t>
  </si>
  <si>
    <t>PDHB</t>
  </si>
  <si>
    <t>PYGB</t>
  </si>
  <si>
    <t>RALA</t>
  </si>
  <si>
    <t>RALB</t>
  </si>
  <si>
    <t>BCR</t>
  </si>
  <si>
    <t>SPTB</t>
  </si>
  <si>
    <t>LAMP1</t>
  </si>
  <si>
    <t>PIM1</t>
  </si>
  <si>
    <t>ACADM</t>
  </si>
  <si>
    <t>TOP1</t>
  </si>
  <si>
    <t>TOP2A</t>
  </si>
  <si>
    <t>UBL4A</t>
  </si>
  <si>
    <t>PC</t>
  </si>
  <si>
    <t>IGF2R</t>
  </si>
  <si>
    <t>ADH5</t>
  </si>
  <si>
    <t>CDK4</t>
  </si>
  <si>
    <t>SRF</t>
  </si>
  <si>
    <t>PRPS2</t>
  </si>
  <si>
    <t>PABPC1</t>
  </si>
  <si>
    <t>PCNA</t>
  </si>
  <si>
    <t>NEFH</t>
  </si>
  <si>
    <t>HARS</t>
  </si>
  <si>
    <t>SLC25A6</t>
  </si>
  <si>
    <t>TPR</t>
  </si>
  <si>
    <t>CKB</t>
  </si>
  <si>
    <t>ANXA3</t>
  </si>
  <si>
    <t>CKMT1A</t>
  </si>
  <si>
    <t>BCKDHA</t>
  </si>
  <si>
    <t>SKIL</t>
  </si>
  <si>
    <t>ACTN1</t>
  </si>
  <si>
    <t>ACE</t>
  </si>
  <si>
    <t>MYH1</t>
  </si>
  <si>
    <t>PEPD</t>
  </si>
  <si>
    <t>XRCC6</t>
  </si>
  <si>
    <t>LYL1</t>
  </si>
  <si>
    <t>XRCC5</t>
  </si>
  <si>
    <t>NR2C1</t>
  </si>
  <si>
    <t>COX4I1</t>
  </si>
  <si>
    <t>IFI30</t>
  </si>
  <si>
    <t>RNH1</t>
  </si>
  <si>
    <t>CYBA</t>
  </si>
  <si>
    <t>EEF2</t>
  </si>
  <si>
    <t>KRT10</t>
  </si>
  <si>
    <t>KRT5</t>
  </si>
  <si>
    <t>PDIA4</t>
  </si>
  <si>
    <t>P4HA1</t>
  </si>
  <si>
    <t>ZNF35</t>
  </si>
  <si>
    <t>TPT1</t>
  </si>
  <si>
    <t>LCP1</t>
  </si>
  <si>
    <t>PLS3</t>
  </si>
  <si>
    <t>APEH</t>
  </si>
  <si>
    <t>ETFA</t>
  </si>
  <si>
    <t>PRKAR2A</t>
  </si>
  <si>
    <t>ENO3</t>
  </si>
  <si>
    <t>GTF2F2</t>
  </si>
  <si>
    <t>MTHFD2</t>
  </si>
  <si>
    <t>MIF</t>
  </si>
  <si>
    <t>CD99</t>
  </si>
  <si>
    <t>PRKCSH</t>
  </si>
  <si>
    <t>HCLS1</t>
  </si>
  <si>
    <t>FDPS</t>
  </si>
  <si>
    <t>AKR1A1</t>
  </si>
  <si>
    <t>PKM</t>
  </si>
  <si>
    <t>ACYP2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</si>
  <si>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</si>
  <si>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</si>
  <si>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</si>
  <si>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</si>
  <si>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</si>
  <si>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</si>
  <si>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</si>
  <si>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</si>
  <si>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UQCRB</t>
  </si>
  <si>
    <t>BRAF</t>
  </si>
  <si>
    <t>CPA3</t>
  </si>
  <si>
    <t>GLUL</t>
  </si>
  <si>
    <t>PVR</t>
  </si>
  <si>
    <t>RAC2</t>
  </si>
  <si>
    <t>GSPT1</t>
  </si>
  <si>
    <t>ARSA</t>
  </si>
  <si>
    <t>EZR</t>
  </si>
  <si>
    <t>UCHL3</t>
  </si>
  <si>
    <t>VAV1</t>
  </si>
  <si>
    <t>CD46</t>
  </si>
  <si>
    <t>NME1</t>
  </si>
  <si>
    <t>PHKG2</t>
  </si>
  <si>
    <t>HIVEP1</t>
  </si>
  <si>
    <t>ARSB</t>
  </si>
  <si>
    <t>RPS2</t>
  </si>
  <si>
    <t>TCF4</t>
  </si>
  <si>
    <t>TCF3</t>
  </si>
  <si>
    <t>DSP</t>
  </si>
  <si>
    <t>RPA2</t>
  </si>
  <si>
    <t>GATA1</t>
  </si>
  <si>
    <t>NQO2</t>
  </si>
  <si>
    <t>SPN</t>
  </si>
  <si>
    <t>CBR1</t>
  </si>
  <si>
    <t>ANK1</t>
  </si>
  <si>
    <t>ACADS</t>
  </si>
  <si>
    <t>GLB1</t>
  </si>
  <si>
    <t>PPP3CB</t>
  </si>
  <si>
    <t>NCK1</t>
  </si>
  <si>
    <t>GCFC2</t>
  </si>
  <si>
    <t>HIST1H1B</t>
  </si>
  <si>
    <t>HIST1H1C</t>
  </si>
  <si>
    <t>FER</t>
  </si>
  <si>
    <t>ATP2A2</t>
  </si>
  <si>
    <t>PLCG2</t>
  </si>
  <si>
    <t>FAH</t>
  </si>
  <si>
    <t>STMN1</t>
  </si>
  <si>
    <t>YBX3</t>
  </si>
  <si>
    <t>ZNF22</t>
  </si>
  <si>
    <t>ZNF24</t>
  </si>
  <si>
    <t>ZKSCAN1</t>
  </si>
  <si>
    <t>NAGA</t>
  </si>
  <si>
    <t>HSPA6</t>
  </si>
  <si>
    <t>HMGA1</t>
  </si>
  <si>
    <t>ZNF8</t>
  </si>
  <si>
    <t>GOT1</t>
  </si>
  <si>
    <t>PRKCA</t>
  </si>
  <si>
    <t>JUNB</t>
  </si>
  <si>
    <t>UBTF</t>
  </si>
  <si>
    <t>HOXB9</t>
  </si>
  <si>
    <t>HOXB4</t>
  </si>
  <si>
    <t>JUND</t>
  </si>
  <si>
    <t>TAL1</t>
  </si>
  <si>
    <t>ATF7</t>
  </si>
  <si>
    <t>PRKACA</t>
  </si>
  <si>
    <t>CAPN2</t>
  </si>
  <si>
    <t>DES</t>
  </si>
  <si>
    <t>CEBPB</t>
  </si>
  <si>
    <t>PTPN2</t>
  </si>
  <si>
    <t>AMD1</t>
  </si>
  <si>
    <t>CTPS1</t>
  </si>
  <si>
    <t>DDX5</t>
  </si>
  <si>
    <t>PFKL</t>
  </si>
  <si>
    <t>XBP1</t>
  </si>
  <si>
    <t>GM2A</t>
  </si>
  <si>
    <t>LGALS3</t>
  </si>
  <si>
    <t>TCP1</t>
  </si>
  <si>
    <t>PTPN1</t>
  </si>
  <si>
    <t>IGFBP2</t>
  </si>
  <si>
    <t>ARF4</t>
  </si>
  <si>
    <t>RPL7</t>
  </si>
  <si>
    <t>VCL</t>
  </si>
  <si>
    <t>SON</t>
  </si>
  <si>
    <t>NELFE</t>
  </si>
  <si>
    <t>PGAM1</t>
  </si>
  <si>
    <t>ATF1</t>
  </si>
  <si>
    <t>ATF3</t>
  </si>
  <si>
    <t>ATF6</t>
  </si>
  <si>
    <t>ATP5J</t>
  </si>
  <si>
    <t>XRCC1</t>
  </si>
  <si>
    <t>MYL12A</t>
  </si>
  <si>
    <t>PLCG1</t>
  </si>
  <si>
    <t>HK1</t>
  </si>
  <si>
    <t>POLR2C</t>
  </si>
  <si>
    <t>POLR2E</t>
  </si>
  <si>
    <t>NDUFV2</t>
  </si>
  <si>
    <t>ERCC3</t>
  </si>
  <si>
    <t>EIF2AK2</t>
  </si>
  <si>
    <t>TFE3</t>
  </si>
  <si>
    <t>WT1</t>
  </si>
  <si>
    <t>SRM</t>
  </si>
  <si>
    <t>CSNK2A2</t>
  </si>
  <si>
    <t>NFKB1</t>
  </si>
  <si>
    <t>EIF2S2</t>
  </si>
  <si>
    <t>CD33</t>
  </si>
  <si>
    <t>CCNA2</t>
  </si>
  <si>
    <t>BTF3</t>
  </si>
  <si>
    <t>TNFRSF1B</t>
  </si>
  <si>
    <t>RAB3B</t>
  </si>
  <si>
    <t>RAB4A</t>
  </si>
  <si>
    <t>RAB6A</t>
  </si>
  <si>
    <t>MSH3</t>
  </si>
  <si>
    <t>PSMB1</t>
  </si>
  <si>
    <t>COX5A</t>
  </si>
  <si>
    <t>LMNB1</t>
  </si>
  <si>
    <t>BCL3</t>
  </si>
  <si>
    <t>IMPDH1</t>
  </si>
  <si>
    <t>AGA</t>
  </si>
  <si>
    <t>RASA1</t>
  </si>
  <si>
    <t>PTMS</t>
  </si>
  <si>
    <t>CDK11B</t>
  </si>
  <si>
    <t>GSTM3</t>
  </si>
  <si>
    <t>ATP6V1B2</t>
  </si>
  <si>
    <t>ATP6V1C1</t>
  </si>
  <si>
    <t>CSRP1</t>
  </si>
  <si>
    <t>FLNA</t>
  </si>
  <si>
    <t>NF1</t>
  </si>
  <si>
    <t>ACO1</t>
  </si>
  <si>
    <t>TNFAIP3</t>
  </si>
  <si>
    <t>TAF1</t>
  </si>
  <si>
    <t>GPD1</t>
  </si>
  <si>
    <t>VDAC1</t>
  </si>
  <si>
    <t>SDHB</t>
  </si>
  <si>
    <t>COMT</t>
  </si>
  <si>
    <t>TGM2</t>
  </si>
  <si>
    <t>MUT</t>
  </si>
  <si>
    <t>OSBP</t>
  </si>
  <si>
    <t>PCMT1</t>
  </si>
  <si>
    <t>GART</t>
  </si>
  <si>
    <t>PAICS</t>
  </si>
  <si>
    <t>SCP2</t>
  </si>
  <si>
    <t>UBA1</t>
  </si>
  <si>
    <t>SPRR2D</t>
  </si>
  <si>
    <t>HNRNPA2B1</t>
  </si>
  <si>
    <t>RFX1</t>
  </si>
  <si>
    <t>CBL</t>
  </si>
  <si>
    <t>PRKACB</t>
  </si>
  <si>
    <t>FECH</t>
  </si>
  <si>
    <t>XPA</t>
  </si>
  <si>
    <t>FBLN1</t>
  </si>
  <si>
    <t>TCEA1</t>
  </si>
  <si>
    <t>SFPQ</t>
  </si>
  <si>
    <t>TUBG1</t>
  </si>
  <si>
    <t>PPIB</t>
  </si>
  <si>
    <t>S100A1</t>
  </si>
  <si>
    <t>ME2</t>
  </si>
  <si>
    <t>RPS3</t>
  </si>
  <si>
    <t>MYF6</t>
  </si>
  <si>
    <t>GCSH</t>
  </si>
  <si>
    <t>PTPRG</t>
  </si>
  <si>
    <t>SP100</t>
  </si>
  <si>
    <t>NFYA</t>
  </si>
  <si>
    <t>AHCY</t>
  </si>
  <si>
    <t>CFL1</t>
  </si>
  <si>
    <t>F8A1</t>
  </si>
  <si>
    <t>ATP2B4</t>
  </si>
  <si>
    <t>ITPKA</t>
  </si>
  <si>
    <t>GATA2</t>
  </si>
  <si>
    <t>CPT2</t>
  </si>
  <si>
    <t>DTYMK</t>
  </si>
  <si>
    <t>RRM1</t>
  </si>
  <si>
    <t>EEF1B2</t>
  </si>
  <si>
    <t>ACP1</t>
  </si>
  <si>
    <t>ACAT1</t>
  </si>
  <si>
    <t>POLR2A</t>
  </si>
  <si>
    <t>CDK2</t>
  </si>
  <si>
    <t>APC</t>
  </si>
  <si>
    <t>ADRBK1</t>
  </si>
  <si>
    <t>MCM3</t>
  </si>
  <si>
    <t>RPS12</t>
  </si>
  <si>
    <t>BRD2</t>
  </si>
  <si>
    <t>DNAJB1</t>
  </si>
  <si>
    <t>ATP5A1</t>
  </si>
  <si>
    <t>CTSS</t>
  </si>
  <si>
    <t>PSMA1</t>
  </si>
  <si>
    <t>PSMA2</t>
  </si>
  <si>
    <t>PSMA3</t>
  </si>
  <si>
    <t>PSMA4</t>
  </si>
  <si>
    <t>S100P</t>
  </si>
  <si>
    <t>MSN</t>
  </si>
  <si>
    <t>DDX6</t>
  </si>
  <si>
    <t>CTNNA2</t>
  </si>
  <si>
    <t>U2AF2</t>
  </si>
  <si>
    <t>RPL13</t>
  </si>
  <si>
    <t>CHML</t>
  </si>
  <si>
    <t>S100A4</t>
  </si>
  <si>
    <t>HMGB2</t>
  </si>
  <si>
    <t>TARS</t>
  </si>
  <si>
    <t>VARS</t>
  </si>
  <si>
    <t>EEF1G</t>
  </si>
  <si>
    <t>FKBP2</t>
  </si>
  <si>
    <t>AK4</t>
  </si>
  <si>
    <t>YWHAQ</t>
  </si>
  <si>
    <t>MAPK3</t>
  </si>
  <si>
    <t>MARK3</t>
  </si>
  <si>
    <t>ARNT</t>
  </si>
  <si>
    <t>RPA1</t>
  </si>
  <si>
    <t>APEX1</t>
  </si>
  <si>
    <t>DCK</t>
  </si>
  <si>
    <t>CALR</t>
  </si>
  <si>
    <t>PDE4A</t>
  </si>
  <si>
    <t>CANX</t>
  </si>
  <si>
    <t>PIK3R1</t>
  </si>
  <si>
    <t>PSMB8</t>
  </si>
  <si>
    <t>PSMA5</t>
  </si>
  <si>
    <t>PSMB4</t>
  </si>
  <si>
    <t>PSMB6</t>
  </si>
  <si>
    <t>PSMB5</t>
  </si>
  <si>
    <t>GSTM2</t>
  </si>
  <si>
    <t>TMOD1</t>
  </si>
  <si>
    <t>NDUFS1</t>
  </si>
  <si>
    <t>POLD1</t>
  </si>
  <si>
    <t>MAPK1</t>
  </si>
  <si>
    <t>ERCC5</t>
  </si>
  <si>
    <t>RBL1</t>
  </si>
  <si>
    <t>GRN</t>
  </si>
  <si>
    <t>LAP3</t>
  </si>
  <si>
    <t>TNFRSF8</t>
  </si>
  <si>
    <t>GTF2E1</t>
  </si>
  <si>
    <t>GTF2E2</t>
  </si>
  <si>
    <t>TPP2</t>
  </si>
  <si>
    <t>IMPA1</t>
  </si>
  <si>
    <t>PTPN6</t>
  </si>
  <si>
    <t>SHC1</t>
  </si>
  <si>
    <t>MPG</t>
  </si>
  <si>
    <t>CRABP2</t>
  </si>
  <si>
    <t>ARID4A</t>
  </si>
  <si>
    <t>KDM5A</t>
  </si>
  <si>
    <t>TKT</t>
  </si>
  <si>
    <t>PML</t>
  </si>
  <si>
    <t>EEF1D</t>
  </si>
  <si>
    <t>MARCKS</t>
  </si>
  <si>
    <t>ALDH4A1</t>
  </si>
  <si>
    <t>ERP29</t>
  </si>
  <si>
    <t>PRDX6</t>
  </si>
  <si>
    <t>C21orf33</t>
  </si>
  <si>
    <t>BLVRB</t>
  </si>
  <si>
    <t>PRDX5</t>
  </si>
  <si>
    <t>DDT</t>
  </si>
  <si>
    <t>GCHFR</t>
  </si>
  <si>
    <t>ATP5D</t>
  </si>
  <si>
    <t>RPL12</t>
  </si>
  <si>
    <t>ECHS1</t>
  </si>
  <si>
    <t>CMPK1</t>
  </si>
  <si>
    <t>PEBP1</t>
  </si>
  <si>
    <t>PPP2R1A</t>
  </si>
  <si>
    <t>PPP2R1B</t>
  </si>
  <si>
    <t>CDC27</t>
  </si>
  <si>
    <t>CCND2</t>
  </si>
  <si>
    <t>CCND3</t>
  </si>
  <si>
    <t>WEE1</t>
  </si>
  <si>
    <t>CDC25C</t>
  </si>
  <si>
    <t>PPIF</t>
  </si>
  <si>
    <t>NKTR</t>
  </si>
  <si>
    <t>NMT1</t>
  </si>
  <si>
    <t>ADSS</t>
  </si>
  <si>
    <t>LRPAP1</t>
  </si>
  <si>
    <t>ADSL</t>
  </si>
  <si>
    <t>PKLR</t>
  </si>
  <si>
    <t>CLIP1</t>
  </si>
  <si>
    <t>GSTT1</t>
  </si>
  <si>
    <t>SERPINB1</t>
  </si>
  <si>
    <t>ALDH1B1</t>
  </si>
  <si>
    <t>SDHA</t>
  </si>
  <si>
    <t>CORO1A</t>
  </si>
  <si>
    <t>GDI1</t>
  </si>
  <si>
    <t>MAT2A</t>
  </si>
  <si>
    <t>PRKAR1B</t>
  </si>
  <si>
    <t>PRKAR2B</t>
  </si>
  <si>
    <t>CPS1</t>
  </si>
  <si>
    <t>RRM2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</si>
  <si>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</si>
  <si>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</si>
  <si>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</si>
  <si>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</si>
  <si>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</si>
  <si>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</si>
  <si>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</si>
  <si>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</si>
  <si>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YWHAB</t>
  </si>
  <si>
    <t>SFN</t>
  </si>
  <si>
    <t>STIP1</t>
  </si>
  <si>
    <t>S100A11</t>
  </si>
  <si>
    <t>INPP5B</t>
  </si>
  <si>
    <t>PRDX2</t>
  </si>
  <si>
    <t>ARRB2</t>
  </si>
  <si>
    <t>FOXN2</t>
  </si>
  <si>
    <t>DCTD</t>
  </si>
  <si>
    <t>PYCR1</t>
  </si>
  <si>
    <t>GBP2</t>
  </si>
  <si>
    <t>ELF1</t>
  </si>
  <si>
    <t>GTF2H1</t>
  </si>
  <si>
    <t>CTH</t>
  </si>
  <si>
    <t>ACSL1</t>
  </si>
  <si>
    <t>KIF5B</t>
  </si>
  <si>
    <t>CSTF2</t>
  </si>
  <si>
    <t>DUT</t>
  </si>
  <si>
    <t>CKS2</t>
  </si>
  <si>
    <t>TTK</t>
  </si>
  <si>
    <t>MCM4</t>
  </si>
  <si>
    <t>MCM5</t>
  </si>
  <si>
    <t>MCM7</t>
  </si>
  <si>
    <t>GALNS</t>
  </si>
  <si>
    <t>SHMT1</t>
  </si>
  <si>
    <t>SHMT2</t>
  </si>
  <si>
    <t>EPHX2</t>
  </si>
  <si>
    <t>HSPA4</t>
  </si>
  <si>
    <t>CA8</t>
  </si>
  <si>
    <t>CTNNA1</t>
  </si>
  <si>
    <t>PCGF2</t>
  </si>
  <si>
    <t>PHB</t>
  </si>
  <si>
    <t>PTPN7</t>
  </si>
  <si>
    <t>SERPINB6</t>
  </si>
  <si>
    <t>RDX</t>
  </si>
  <si>
    <t>RPA3</t>
  </si>
  <si>
    <t>RFC4</t>
  </si>
  <si>
    <t>RFC2</t>
  </si>
  <si>
    <t>RFC1</t>
  </si>
  <si>
    <t>RPL22</t>
  </si>
  <si>
    <t>GTF2F1</t>
  </si>
  <si>
    <t>SPR</t>
  </si>
  <si>
    <t>CBS</t>
  </si>
  <si>
    <t>KRT9</t>
  </si>
  <si>
    <t>IRS1</t>
  </si>
  <si>
    <t>MYH9</t>
  </si>
  <si>
    <t>MYH10</t>
  </si>
  <si>
    <t>COPB2</t>
  </si>
  <si>
    <t>ADD1</t>
  </si>
  <si>
    <t>ADD2</t>
  </si>
  <si>
    <t>BSG</t>
  </si>
  <si>
    <t>FUS</t>
  </si>
  <si>
    <t>DDIT3</t>
  </si>
  <si>
    <t>NUP214</t>
  </si>
  <si>
    <t>SOX6</t>
  </si>
  <si>
    <t>MYH11</t>
  </si>
  <si>
    <t>GLRX</t>
  </si>
  <si>
    <t>CHKA</t>
  </si>
  <si>
    <t>PPM1A</t>
  </si>
  <si>
    <t>AHR</t>
  </si>
  <si>
    <t>KRT2</t>
  </si>
  <si>
    <t>PSMC2</t>
  </si>
  <si>
    <t>ARL2</t>
  </si>
  <si>
    <t>ARL3</t>
  </si>
  <si>
    <t>MAP2K2</t>
  </si>
  <si>
    <t>ATP6V1E1</t>
  </si>
  <si>
    <t>CPOX</t>
  </si>
  <si>
    <t>RPL4</t>
  </si>
  <si>
    <t>NUDT1</t>
  </si>
  <si>
    <t>PPP1CC</t>
  </si>
  <si>
    <t>GNL1</t>
  </si>
  <si>
    <t>POLR2I</t>
  </si>
  <si>
    <t>SERPINF1</t>
  </si>
  <si>
    <t>DLST</t>
  </si>
  <si>
    <t>GMPR</t>
  </si>
  <si>
    <t>GPX4</t>
  </si>
  <si>
    <t>SRP14</t>
  </si>
  <si>
    <t>NUP62</t>
  </si>
  <si>
    <t>HPCAL1</t>
  </si>
  <si>
    <t>TAGLN2</t>
  </si>
  <si>
    <t>TALDO1</t>
  </si>
  <si>
    <t>SNCA</t>
  </si>
  <si>
    <t>ETFB</t>
  </si>
  <si>
    <t>RBMX</t>
  </si>
  <si>
    <t>BRCA1</t>
  </si>
  <si>
    <t>COIL</t>
  </si>
  <si>
    <t>ATP6V1A</t>
  </si>
  <si>
    <t>HSPA9</t>
  </si>
  <si>
    <t>EIF4A3</t>
  </si>
  <si>
    <t>IGHMBP2</t>
  </si>
  <si>
    <t>RPS19</t>
  </si>
  <si>
    <t>RPL3</t>
  </si>
  <si>
    <t>COL15A1</t>
  </si>
  <si>
    <t>DDOST</t>
  </si>
  <si>
    <t>ANP32A</t>
  </si>
  <si>
    <t>FEN1</t>
  </si>
  <si>
    <t>CUX1</t>
  </si>
  <si>
    <t>CAPG</t>
  </si>
  <si>
    <t>IL6ST</t>
  </si>
  <si>
    <t>TXLNA</t>
  </si>
  <si>
    <t>CCT6A</t>
  </si>
  <si>
    <t>PSMB10</t>
  </si>
  <si>
    <t>VHL</t>
  </si>
  <si>
    <t>PBX2</t>
  </si>
  <si>
    <t>RPL13A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</si>
  <si>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</si>
  <si>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</si>
  <si>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</si>
  <si>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</si>
  <si>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</si>
  <si>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</si>
  <si>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</si>
  <si>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</si>
  <si>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</si>
  <si>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ETV3</t>
  </si>
  <si>
    <t>CETN2</t>
  </si>
  <si>
    <t>ETV6</t>
  </si>
  <si>
    <t>EIF2D</t>
  </si>
  <si>
    <t>BUD31</t>
  </si>
  <si>
    <t>NAA10</t>
  </si>
  <si>
    <t>KDM5C</t>
  </si>
  <si>
    <t>PPP1R2</t>
  </si>
  <si>
    <t>CSK</t>
  </si>
  <si>
    <t>GARS</t>
  </si>
  <si>
    <t>IARS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</si>
  <si>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</si>
  <si>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</si>
  <si>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</si>
  <si>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</si>
  <si>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</si>
  <si>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</si>
  <si>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</si>
  <si>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</si>
  <si>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</si>
  <si>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ARHGAP25</t>
  </si>
  <si>
    <t>PIK3CA</t>
  </si>
  <si>
    <t>PIK3CB</t>
  </si>
  <si>
    <t>MTOR</t>
  </si>
  <si>
    <t>PI4KA</t>
  </si>
  <si>
    <t>EPS15</t>
  </si>
  <si>
    <t>CASP3</t>
  </si>
  <si>
    <t>CASP2</t>
  </si>
  <si>
    <t>RPS27</t>
  </si>
  <si>
    <t>MATK</t>
  </si>
  <si>
    <t>TEC</t>
  </si>
  <si>
    <t>ABL2</t>
  </si>
  <si>
    <t>HELZ</t>
  </si>
  <si>
    <t>NCAPD3</t>
  </si>
  <si>
    <t>RBM34</t>
  </si>
  <si>
    <t>LRPPRC</t>
  </si>
  <si>
    <t>ACAA2</t>
  </si>
  <si>
    <t>WAS</t>
  </si>
  <si>
    <t>CDKN2C</t>
  </si>
  <si>
    <t>PRCP</t>
  </si>
  <si>
    <t>HTT</t>
  </si>
  <si>
    <t>PAFAH1B1</t>
  </si>
  <si>
    <t>MCAM</t>
  </si>
  <si>
    <t>CRAT</t>
  </si>
  <si>
    <t>MSH2</t>
  </si>
  <si>
    <t>MAGEA1</t>
  </si>
  <si>
    <t>MAGEA2</t>
  </si>
  <si>
    <t>MAGEA4</t>
  </si>
  <si>
    <t>SYK</t>
  </si>
  <si>
    <t>NAMPT</t>
  </si>
  <si>
    <t>PSMC4</t>
  </si>
  <si>
    <t>TSFM</t>
  </si>
  <si>
    <t>VDAC2</t>
  </si>
  <si>
    <t>CBX5</t>
  </si>
  <si>
    <t>USP5</t>
  </si>
  <si>
    <t>MAPK8</t>
  </si>
  <si>
    <t>MAPK9</t>
  </si>
  <si>
    <t>MAP2K4</t>
  </si>
  <si>
    <t>MKI67</t>
  </si>
  <si>
    <t>PHKA2</t>
  </si>
  <si>
    <t>PHKA1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</si>
  <si>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</si>
  <si>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</si>
  <si>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</si>
  <si>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</si>
  <si>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</si>
  <si>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</si>
  <si>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</si>
  <si>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</si>
  <si>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</si>
  <si>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MAP2K3</t>
  </si>
  <si>
    <t>BRCC3</t>
  </si>
  <si>
    <t>RPL5</t>
  </si>
  <si>
    <t>RPL28</t>
  </si>
  <si>
    <t>RPS9</t>
  </si>
  <si>
    <t>RPS10</t>
  </si>
  <si>
    <t>GNPDA1</t>
  </si>
  <si>
    <t>NEDD4</t>
  </si>
  <si>
    <t>UTRN</t>
  </si>
  <si>
    <t>IQGAP1</t>
  </si>
  <si>
    <t>GYG1</t>
  </si>
  <si>
    <t>STT3A</t>
  </si>
  <si>
    <t>RABIF</t>
  </si>
  <si>
    <t>PLA2G4A</t>
  </si>
  <si>
    <t>RAP1GAP</t>
  </si>
  <si>
    <t>CAPZA2</t>
  </si>
  <si>
    <t>EIF1AX</t>
  </si>
  <si>
    <t>QARS</t>
  </si>
  <si>
    <t>RPL29</t>
  </si>
  <si>
    <t>ZFP36L2</t>
  </si>
  <si>
    <t>UQCRFS1</t>
  </si>
  <si>
    <t>ATP5O</t>
  </si>
  <si>
    <t>LIMS1</t>
  </si>
  <si>
    <t>PREP</t>
  </si>
  <si>
    <t>ME1</t>
  </si>
  <si>
    <t>IREB2</t>
  </si>
  <si>
    <t>RFX2</t>
  </si>
  <si>
    <t>RFX3</t>
  </si>
  <si>
    <t>RFX5</t>
  </si>
  <si>
    <t>ARCN1</t>
  </si>
  <si>
    <t>LSS</t>
  </si>
  <si>
    <t>PPP3CC</t>
  </si>
  <si>
    <t>GCLC</t>
  </si>
  <si>
    <t>GCLM</t>
  </si>
  <si>
    <t>TRAPPC10</t>
  </si>
  <si>
    <t>PRRC2A</t>
  </si>
  <si>
    <t>GSS</t>
  </si>
  <si>
    <t>CCT5</t>
  </si>
  <si>
    <t>PTDSS1</t>
  </si>
  <si>
    <t>NES</t>
  </si>
  <si>
    <t>CSNK1A1</t>
  </si>
  <si>
    <t>CSNK1D</t>
  </si>
  <si>
    <t>PIK3CG</t>
  </si>
  <si>
    <t>PITPNB</t>
  </si>
  <si>
    <t>POLD2</t>
  </si>
  <si>
    <t>MARCKSL1</t>
  </si>
  <si>
    <t>NR2C2</t>
  </si>
  <si>
    <t>MAPKAPK2</t>
  </si>
  <si>
    <t>ALDH9A1</t>
  </si>
  <si>
    <t>RPL34</t>
  </si>
  <si>
    <t>RPIA</t>
  </si>
  <si>
    <t>LMAN1</t>
  </si>
  <si>
    <t>NASP</t>
  </si>
  <si>
    <t>FASN</t>
  </si>
  <si>
    <t>CDK8</t>
  </si>
  <si>
    <t>FNTA</t>
  </si>
  <si>
    <t>DHPS</t>
  </si>
  <si>
    <t>CCT3</t>
  </si>
  <si>
    <t>ARRB1</t>
  </si>
  <si>
    <t>TUFM</t>
  </si>
  <si>
    <t>CDC34</t>
  </si>
  <si>
    <t>INPP1</t>
  </si>
  <si>
    <t>GLUD2</t>
  </si>
  <si>
    <t>CENPF</t>
  </si>
  <si>
    <t>SRP9</t>
  </si>
  <si>
    <t>UBE2A</t>
  </si>
  <si>
    <t>PCYT1A</t>
  </si>
  <si>
    <t>AARS</t>
  </si>
  <si>
    <t>CARS</t>
  </si>
  <si>
    <t>SARS</t>
  </si>
  <si>
    <t>PPM1F</t>
  </si>
  <si>
    <t>PRIM1</t>
  </si>
  <si>
    <t>PRIM2</t>
  </si>
  <si>
    <t>CASP4</t>
  </si>
  <si>
    <t>CSNK1E</t>
  </si>
  <si>
    <t>CTCF</t>
  </si>
  <si>
    <t>CEBPD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</si>
  <si>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</si>
  <si>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</si>
  <si>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</si>
  <si>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</si>
  <si>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</si>
  <si>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</si>
  <si>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</si>
  <si>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</si>
  <si>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</si>
  <si>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</si>
  <si>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FHIT</t>
  </si>
  <si>
    <t>RANBP2</t>
  </si>
  <si>
    <t>RGS3</t>
  </si>
  <si>
    <t>GSK3B</t>
  </si>
  <si>
    <t>TAF6</t>
  </si>
  <si>
    <t>NT5C2</t>
  </si>
  <si>
    <t>SEPHS1</t>
  </si>
  <si>
    <t>MTHFS</t>
  </si>
  <si>
    <t>GMPS</t>
  </si>
  <si>
    <t>LIG3</t>
  </si>
  <si>
    <t>CDKN1C</t>
  </si>
  <si>
    <t>MRE11A</t>
  </si>
  <si>
    <t>KHK</t>
  </si>
  <si>
    <t>HNMT</t>
  </si>
  <si>
    <t>IDH3A</t>
  </si>
  <si>
    <t>MNX1</t>
  </si>
  <si>
    <t>SULT1A1</t>
  </si>
  <si>
    <t>CRIP1</t>
  </si>
  <si>
    <t>GDI2</t>
  </si>
  <si>
    <t>EMD</t>
  </si>
  <si>
    <t>SERPINB9</t>
  </si>
  <si>
    <t>SERPINH1</t>
  </si>
  <si>
    <t>PDLIM4</t>
  </si>
  <si>
    <t>ST13</t>
  </si>
  <si>
    <t>PEX5</t>
  </si>
  <si>
    <t>VASP</t>
  </si>
  <si>
    <t>NUDT2</t>
  </si>
  <si>
    <t>CDK7</t>
  </si>
  <si>
    <t>HLCS</t>
  </si>
  <si>
    <t>KNTC1</t>
  </si>
  <si>
    <t>RASSF2</t>
  </si>
  <si>
    <t>CDK9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</si>
  <si>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</si>
  <si>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</si>
  <si>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</si>
  <si>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</si>
  <si>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</si>
  <si>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</si>
  <si>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</si>
  <si>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</si>
  <si>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RAB28</t>
  </si>
  <si>
    <t>RAB27A</t>
  </si>
  <si>
    <t>FABP6</t>
  </si>
  <si>
    <t>PLCD1</t>
  </si>
  <si>
    <t>DAP3</t>
  </si>
  <si>
    <t>DUSP3</t>
  </si>
  <si>
    <t>MMP15</t>
  </si>
  <si>
    <t>SMARCA2</t>
  </si>
  <si>
    <t>SMARCA4</t>
  </si>
  <si>
    <t>GALK1</t>
  </si>
  <si>
    <t>SSR4</t>
  </si>
  <si>
    <t>BCAP31</t>
  </si>
  <si>
    <t>TPMT</t>
  </si>
  <si>
    <t>BRCA2</t>
  </si>
  <si>
    <t>RENBP</t>
  </si>
  <si>
    <t>MECP2</t>
  </si>
  <si>
    <t>HCFC1</t>
  </si>
  <si>
    <t>IRAK1</t>
  </si>
  <si>
    <t>ALDH5A1</t>
  </si>
  <si>
    <t>HSD17B4</t>
  </si>
  <si>
    <t>PSMD7</t>
  </si>
  <si>
    <t>UBE2D1</t>
  </si>
  <si>
    <t>SUOX</t>
  </si>
  <si>
    <t>SGSH</t>
  </si>
  <si>
    <t>STAT5B</t>
  </si>
  <si>
    <t>DYNLT3</t>
  </si>
  <si>
    <t>VAMP7</t>
  </si>
  <si>
    <t>AFF1</t>
  </si>
  <si>
    <t>AKR1D1</t>
  </si>
  <si>
    <t>HDGF</t>
  </si>
  <si>
    <t>CCNH</t>
  </si>
  <si>
    <t>MNAT1</t>
  </si>
  <si>
    <t>HNRNPA3</t>
  </si>
  <si>
    <t>KPNA2</t>
  </si>
  <si>
    <t>KPNA1</t>
  </si>
  <si>
    <t>NCBP2</t>
  </si>
  <si>
    <t>RAP1GDS1</t>
  </si>
  <si>
    <t>ARHGDIB</t>
  </si>
  <si>
    <t>AGFG1</t>
  </si>
  <si>
    <t>HNRNPF</t>
  </si>
  <si>
    <t>STAT2</t>
  </si>
  <si>
    <t>GTF2A1</t>
  </si>
  <si>
    <t>GTF2A2</t>
  </si>
  <si>
    <t>MSH6</t>
  </si>
  <si>
    <t>KIF11</t>
  </si>
  <si>
    <t>VAV2</t>
  </si>
  <si>
    <t>ZNF131</t>
  </si>
  <si>
    <t>ZNF143</t>
  </si>
  <si>
    <t>RBM5</t>
  </si>
  <si>
    <t>HRSP12</t>
  </si>
  <si>
    <t>SMS</t>
  </si>
  <si>
    <t>HK2</t>
  </si>
  <si>
    <t>MRPL12</t>
  </si>
  <si>
    <t>DGKQ</t>
  </si>
  <si>
    <t>THOP1</t>
  </si>
  <si>
    <t>CAPZA1</t>
  </si>
  <si>
    <t>NUP98</t>
  </si>
  <si>
    <t>BLVRA</t>
  </si>
  <si>
    <t>PLK1</t>
  </si>
  <si>
    <t>ARFIP2</t>
  </si>
  <si>
    <t>ARFIP1</t>
  </si>
  <si>
    <t>NUDT6</t>
  </si>
  <si>
    <t>NUBP1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</si>
  <si>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</si>
  <si>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</si>
  <si>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</si>
  <si>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</si>
  <si>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</si>
  <si>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</si>
  <si>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</si>
  <si>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</si>
  <si>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LIMK1</t>
  </si>
  <si>
    <t>CLTCL1</t>
  </si>
  <si>
    <t>AP3M2</t>
  </si>
  <si>
    <t>AP2S1</t>
  </si>
  <si>
    <t>HCCS</t>
  </si>
  <si>
    <t>MAPK12</t>
  </si>
  <si>
    <t>SLC5A3</t>
  </si>
  <si>
    <t>POLR2K</t>
  </si>
  <si>
    <t>RCAN1</t>
  </si>
  <si>
    <t>SMTN</t>
  </si>
  <si>
    <t>SLC16A1</t>
  </si>
  <si>
    <t>IST1</t>
  </si>
  <si>
    <t>SEC24C</t>
  </si>
  <si>
    <t>SUB1</t>
  </si>
  <si>
    <t>RARS</t>
  </si>
  <si>
    <t>HIRA</t>
  </si>
  <si>
    <t>ATN1</t>
  </si>
  <si>
    <t>TERF1</t>
  </si>
  <si>
    <t>PMS1</t>
  </si>
  <si>
    <t>PMS2</t>
  </si>
  <si>
    <t>YARS</t>
  </si>
  <si>
    <t>USP14</t>
  </si>
  <si>
    <t>PRKAG1</t>
  </si>
  <si>
    <t>BCAT1</t>
  </si>
  <si>
    <t>ATP1B3</t>
  </si>
  <si>
    <t>RAD23B</t>
  </si>
  <si>
    <t>NAGLU</t>
  </si>
  <si>
    <t>ALDH18A1</t>
  </si>
  <si>
    <t>NAPA</t>
  </si>
  <si>
    <t>ADPRH</t>
  </si>
  <si>
    <t>AIF1</t>
  </si>
  <si>
    <t>EIF5</t>
  </si>
  <si>
    <t>PSMD4</t>
  </si>
  <si>
    <t>DRG2</t>
  </si>
  <si>
    <t>PLTP</t>
  </si>
  <si>
    <t>CSE1L</t>
  </si>
  <si>
    <t>VCP</t>
  </si>
  <si>
    <t>MFAP1</t>
  </si>
  <si>
    <t>MANF</t>
  </si>
  <si>
    <t>NCKAP1L</t>
  </si>
  <si>
    <t>MLLT6</t>
  </si>
  <si>
    <t>ELL</t>
  </si>
  <si>
    <t>CASP9</t>
  </si>
  <si>
    <t>CASP6</t>
  </si>
  <si>
    <t>ADK</t>
  </si>
  <si>
    <t>ADAR</t>
  </si>
  <si>
    <t>CDKN2D</t>
  </si>
  <si>
    <t>TPD52</t>
  </si>
  <si>
    <t>PKNOX1</t>
  </si>
  <si>
    <t>SEC13</t>
  </si>
  <si>
    <t>NHP2L1</t>
  </si>
  <si>
    <t>PAX9</t>
  </si>
  <si>
    <t>GFER</t>
  </si>
  <si>
    <t>HNRNPH2</t>
  </si>
  <si>
    <t>SUMO3</t>
  </si>
  <si>
    <t>EIF3B</t>
  </si>
  <si>
    <t>BID</t>
  </si>
  <si>
    <t>NDUFV3</t>
  </si>
  <si>
    <t>RRP1</t>
  </si>
  <si>
    <t>MARS</t>
  </si>
  <si>
    <t>ARPP19</t>
  </si>
  <si>
    <t>CMC4</t>
  </si>
  <si>
    <t>POLE2</t>
  </si>
  <si>
    <t>AP1S2</t>
  </si>
  <si>
    <t>ATP5I</t>
  </si>
  <si>
    <t>HDAC4</t>
  </si>
  <si>
    <t>EIF6</t>
  </si>
  <si>
    <t>NME5</t>
  </si>
  <si>
    <t>PER3</t>
  </si>
  <si>
    <t>BCAR1</t>
  </si>
  <si>
    <t>STX17</t>
  </si>
  <si>
    <t>RWDD2B</t>
  </si>
  <si>
    <t>C21orf59</t>
  </si>
  <si>
    <t>WDR4</t>
  </si>
  <si>
    <t>TMEM33</t>
  </si>
  <si>
    <t>SYNJ2BP</t>
  </si>
  <si>
    <t>KLF3</t>
  </si>
  <si>
    <t>CORO7</t>
  </si>
  <si>
    <t>NUP107</t>
  </si>
  <si>
    <t>GSDMD</t>
  </si>
  <si>
    <t>SNX16</t>
  </si>
  <si>
    <t>EEFSEC</t>
  </si>
  <si>
    <t>SESN2</t>
  </si>
  <si>
    <t>EPPK1</t>
  </si>
  <si>
    <t>ANTXR2</t>
  </si>
  <si>
    <t>MTPN</t>
  </si>
  <si>
    <t>AP3S2</t>
  </si>
  <si>
    <t>ZNF280A</t>
  </si>
  <si>
    <t>ZNF445</t>
  </si>
  <si>
    <t>ARPC4</t>
  </si>
  <si>
    <t>TPI1</t>
  </si>
  <si>
    <t>EIF3E</t>
  </si>
  <si>
    <t>SEC61B</t>
  </si>
  <si>
    <t>PPP4C</t>
  </si>
  <si>
    <t>GABARAPL2</t>
  </si>
  <si>
    <t>UBE2G2</t>
  </si>
  <si>
    <t>MYL6</t>
  </si>
  <si>
    <t>RAC3</t>
  </si>
  <si>
    <t>EIF4A1</t>
  </si>
  <si>
    <t>RPS20</t>
  </si>
  <si>
    <t>PRPS1</t>
  </si>
  <si>
    <t>PSMA6</t>
  </si>
  <si>
    <t>CDC42</t>
  </si>
  <si>
    <t>DSTN</t>
  </si>
  <si>
    <t>GMFB</t>
  </si>
  <si>
    <t>RAB8A</t>
  </si>
  <si>
    <t>SPCS3</t>
  </si>
  <si>
    <t>SRP54</t>
  </si>
  <si>
    <t>RAB4B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</si>
  <si>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</si>
  <si>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</si>
  <si>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</si>
  <si>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</si>
  <si>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</si>
  <si>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</si>
  <si>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</si>
  <si>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</si>
  <si>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</si>
  <si>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</si>
  <si>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</si>
  <si>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</si>
  <si>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ACTR1A</t>
  </si>
  <si>
    <t>COPS2</t>
  </si>
  <si>
    <t>POLR2F</t>
  </si>
  <si>
    <t>RAP1B</t>
  </si>
  <si>
    <t>RAP2B</t>
  </si>
  <si>
    <t>MAX</t>
  </si>
  <si>
    <t>RPS3A</t>
  </si>
  <si>
    <t>RPL26</t>
  </si>
  <si>
    <t>PSME3</t>
  </si>
  <si>
    <t>MAGOH</t>
  </si>
  <si>
    <t>RPL27</t>
  </si>
  <si>
    <t>PCBD1</t>
  </si>
  <si>
    <t>RHOA</t>
  </si>
  <si>
    <t>NAA20</t>
  </si>
  <si>
    <t>NCALD</t>
  </si>
  <si>
    <t>HSPE1</t>
  </si>
  <si>
    <t>SEC61A1</t>
  </si>
  <si>
    <t>VBP1</t>
  </si>
  <si>
    <t>STXBP1</t>
  </si>
  <si>
    <t>COPZ1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</si>
  <si>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</si>
  <si>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</si>
  <si>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</si>
  <si>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</si>
  <si>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</si>
  <si>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</si>
  <si>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</si>
  <si>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</si>
  <si>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</si>
  <si>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</si>
  <si>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</si>
  <si>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</si>
  <si>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</si>
  <si>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CALM1</t>
  </si>
  <si>
    <t>NCS1</t>
  </si>
  <si>
    <t>PSMC1</t>
  </si>
  <si>
    <t>PSMC5</t>
  </si>
  <si>
    <t>RPS8</t>
  </si>
  <si>
    <t>RPS16</t>
  </si>
  <si>
    <t>UBE2G1</t>
  </si>
  <si>
    <t>UBE2H</t>
  </si>
  <si>
    <t>YWHAE</t>
  </si>
  <si>
    <t>RPS14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</si>
  <si>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</si>
  <si>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</si>
  <si>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</si>
  <si>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</si>
  <si>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</si>
  <si>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</si>
  <si>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</si>
  <si>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</si>
  <si>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</si>
  <si>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</si>
  <si>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</si>
  <si>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</si>
  <si>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</si>
  <si>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</si>
  <si>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</si>
  <si>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</si>
  <si>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</si>
  <si>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</si>
  <si>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</si>
  <si>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YPEL5</t>
  </si>
  <si>
    <t>RPS4X</t>
  </si>
  <si>
    <t>PPP2CB</t>
  </si>
  <si>
    <t>RPL23A</t>
  </si>
  <si>
    <t>RPS6</t>
  </si>
  <si>
    <t>HIST1H4A</t>
  </si>
  <si>
    <t>RAB1A</t>
  </si>
  <si>
    <t>RAN</t>
  </si>
  <si>
    <t>RPL23</t>
  </si>
  <si>
    <t>RAP1A</t>
  </si>
  <si>
    <t>UBE2D2</t>
  </si>
  <si>
    <t>RPS24</t>
  </si>
  <si>
    <t>RPS25</t>
  </si>
  <si>
    <t>RPS26</t>
  </si>
  <si>
    <t>RPS28</t>
  </si>
  <si>
    <t>FAU</t>
  </si>
  <si>
    <t>GNB1</t>
  </si>
  <si>
    <t>RBX1</t>
  </si>
  <si>
    <t>RPL10A</t>
  </si>
  <si>
    <t>RPL11</t>
  </si>
  <si>
    <t>PPIA</t>
  </si>
  <si>
    <t>FKBP1A</t>
  </si>
  <si>
    <t>RPS27A</t>
  </si>
  <si>
    <t>GRB2</t>
  </si>
  <si>
    <t>TRA2B</t>
  </si>
  <si>
    <t>RAC1</t>
  </si>
  <si>
    <t>AP2B1</t>
  </si>
  <si>
    <t>GNAS</t>
  </si>
  <si>
    <t>YWHAZ</t>
  </si>
  <si>
    <t>PPP2R2A</t>
  </si>
  <si>
    <t>SUMO1</t>
  </si>
  <si>
    <t>DYNLL1</t>
  </si>
  <si>
    <t>EIF5A</t>
  </si>
  <si>
    <t>GNB2L1</t>
  </si>
  <si>
    <t>ACTG1</t>
  </si>
  <si>
    <t>SUPT4H1</t>
  </si>
  <si>
    <t>UBE2I</t>
  </si>
  <si>
    <t>SEPW1</t>
  </si>
  <si>
    <t>TMSB10</t>
  </si>
  <si>
    <t>PPP2CA</t>
  </si>
  <si>
    <t>YBX1</t>
  </si>
  <si>
    <t>CSNK2B</t>
  </si>
  <si>
    <t>ACTC1</t>
  </si>
  <si>
    <t>UBE2L3</t>
  </si>
  <si>
    <t>EEF1A1</t>
  </si>
  <si>
    <t>ACTA1</t>
  </si>
  <si>
    <t>TUBA1B</t>
  </si>
  <si>
    <t>TUBB4B</t>
  </si>
  <si>
    <t>PAFAH1B2</t>
  </si>
  <si>
    <t>HBG1</t>
  </si>
  <si>
    <t>HBG2</t>
  </si>
  <si>
    <t>HBA1</t>
  </si>
  <si>
    <t>FAM193A</t>
  </si>
  <si>
    <t>SH3BP2</t>
  </si>
  <si>
    <t>IGBP1</t>
  </si>
  <si>
    <t>PSPH</t>
  </si>
  <si>
    <t>RBM6</t>
  </si>
  <si>
    <t>PITX1</t>
  </si>
  <si>
    <t>RPP38</t>
  </si>
  <si>
    <t>RPP30</t>
  </si>
  <si>
    <t>GTF2I</t>
  </si>
  <si>
    <t>PIP4K2B</t>
  </si>
  <si>
    <t>PHC1</t>
  </si>
  <si>
    <t>CCT2</t>
  </si>
  <si>
    <t>RAE1</t>
  </si>
  <si>
    <t>GSTO1</t>
  </si>
  <si>
    <t>PRKDC</t>
  </si>
  <si>
    <t>BLOC1S1</t>
  </si>
  <si>
    <t>NTHL1</t>
  </si>
  <si>
    <t>MAP1A</t>
  </si>
  <si>
    <t>CRADD</t>
  </si>
  <si>
    <t>IFI35</t>
  </si>
  <si>
    <t>MT1X</t>
  </si>
  <si>
    <t>NUCB2</t>
  </si>
  <si>
    <t>DCD</t>
  </si>
  <si>
    <t>SSBP2</t>
  </si>
  <si>
    <t>TMF1</t>
  </si>
  <si>
    <t>MRPS10</t>
  </si>
  <si>
    <t>MRPS35</t>
  </si>
  <si>
    <t>MRPS36</t>
  </si>
  <si>
    <t>MRPS11</t>
  </si>
  <si>
    <t>MRPS34</t>
  </si>
  <si>
    <t>MRPS9</t>
  </si>
  <si>
    <t>HMGN5</t>
  </si>
  <si>
    <t>SARNP</t>
  </si>
  <si>
    <t>RBP5</t>
  </si>
  <si>
    <t>LSM11</t>
  </si>
  <si>
    <t>COG7</t>
  </si>
  <si>
    <t>RPL36A</t>
  </si>
  <si>
    <t>CBX1</t>
  </si>
  <si>
    <t>SMAD3</t>
  </si>
  <si>
    <t>ARF1</t>
  </si>
  <si>
    <t>ARF5</t>
  </si>
  <si>
    <t>ERH</t>
  </si>
  <si>
    <t>RHOG</t>
  </si>
  <si>
    <t>SERF2</t>
  </si>
  <si>
    <t>FOXK1</t>
  </si>
  <si>
    <t>PRR5</t>
  </si>
  <si>
    <t>CCZ1</t>
  </si>
  <si>
    <t>DAB2</t>
  </si>
  <si>
    <t>XIAP</t>
  </si>
  <si>
    <t>RBM10</t>
  </si>
  <si>
    <t>RBM3</t>
  </si>
  <si>
    <t>MPP1</t>
  </si>
  <si>
    <t>TFAM</t>
  </si>
  <si>
    <t>PITPNA</t>
  </si>
  <si>
    <t>SLC25A3</t>
  </si>
  <si>
    <t>HDLBP</t>
  </si>
  <si>
    <t>GTF2B</t>
  </si>
  <si>
    <t>CDK3</t>
  </si>
  <si>
    <t>CDKL1</t>
  </si>
  <si>
    <t>CDK6</t>
  </si>
  <si>
    <t>CDK5</t>
  </si>
  <si>
    <t>CDK16</t>
  </si>
  <si>
    <t>PURA</t>
  </si>
  <si>
    <t>CDC42EP1</t>
  </si>
  <si>
    <t>CLTC</t>
  </si>
  <si>
    <t>HSF1</t>
  </si>
  <si>
    <t>NFKB2</t>
  </si>
  <si>
    <t>FKBP3</t>
  </si>
  <si>
    <t>SORD</t>
  </si>
  <si>
    <t>HNRNPU</t>
  </si>
  <si>
    <t>IRF9</t>
  </si>
  <si>
    <t>U2AF1</t>
  </si>
  <si>
    <t>SPTBN1</t>
  </si>
  <si>
    <t>TIAL1</t>
  </si>
  <si>
    <t>SET</t>
  </si>
  <si>
    <t>SRSF2</t>
  </si>
  <si>
    <t>FOXK2</t>
  </si>
  <si>
    <t>RUNX1</t>
  </si>
  <si>
    <t>AMPD3</t>
  </si>
  <si>
    <t>AMPD2</t>
  </si>
  <si>
    <t>CTBS</t>
  </si>
  <si>
    <t>FABP5</t>
  </si>
  <si>
    <t>CAP1</t>
  </si>
  <si>
    <t>HMGCS1</t>
  </si>
  <si>
    <t>SLC7A5</t>
  </si>
  <si>
    <t>DR1</t>
  </si>
  <si>
    <t>TFAP4</t>
  </si>
  <si>
    <t>EXOSC10</t>
  </si>
  <si>
    <t>OTUD4</t>
  </si>
  <si>
    <t>PFKP</t>
  </si>
  <si>
    <t>XPC</t>
  </si>
  <si>
    <t>CDR2</t>
  </si>
  <si>
    <t>OCRL</t>
  </si>
  <si>
    <t>PLCB3</t>
  </si>
  <si>
    <t>AKAP17A</t>
  </si>
  <si>
    <t>MEF2A</t>
  </si>
  <si>
    <t>NAAA</t>
  </si>
  <si>
    <t>SP2</t>
  </si>
  <si>
    <t>PRKCE</t>
  </si>
  <si>
    <t>CENPE</t>
  </si>
  <si>
    <t>SP4</t>
  </si>
  <si>
    <t>SP3</t>
  </si>
  <si>
    <t>DSC2</t>
  </si>
  <si>
    <t>RPL18A</t>
  </si>
  <si>
    <t>MAP2K1</t>
  </si>
  <si>
    <t>FKBP4</t>
  </si>
  <si>
    <t>PLOD1</t>
  </si>
  <si>
    <t>NUCB1</t>
  </si>
  <si>
    <t>RASSF7</t>
  </si>
  <si>
    <t>RPL6</t>
  </si>
  <si>
    <t>TOP2B</t>
  </si>
  <si>
    <t>AKAP12</t>
  </si>
  <si>
    <t>HHEX</t>
  </si>
  <si>
    <t>CREM</t>
  </si>
  <si>
    <t>MLLT1</t>
  </si>
  <si>
    <t>ACY1</t>
  </si>
  <si>
    <t>MLL</t>
  </si>
  <si>
    <t>TNFAIP2</t>
  </si>
  <si>
    <t>CENPC1</t>
  </si>
  <si>
    <t>LMNB2</t>
  </si>
  <si>
    <t>ERCC6</t>
  </si>
  <si>
    <t>CEBPZ</t>
  </si>
  <si>
    <t>GBE1</t>
  </si>
  <si>
    <t>ATP7A</t>
  </si>
  <si>
    <t>TLE2</t>
  </si>
  <si>
    <t>PRKCQ</t>
  </si>
  <si>
    <t>GLO1</t>
  </si>
  <si>
    <t>AKR1C1</t>
  </si>
  <si>
    <t>SSBP1</t>
  </si>
  <si>
    <t>YWHAH</t>
  </si>
  <si>
    <t>CSTF1</t>
  </si>
  <si>
    <t>UBE3A</t>
  </si>
  <si>
    <t>DNM1</t>
  </si>
  <si>
    <t>PTPN12</t>
  </si>
  <si>
    <t>PRKCZ</t>
  </si>
  <si>
    <t>SRSF11</t>
  </si>
  <si>
    <t>EEF1A2</t>
  </si>
  <si>
    <t>PRKCD</t>
  </si>
  <si>
    <t>CALD1</t>
  </si>
  <si>
    <t>RNASEL</t>
  </si>
  <si>
    <t>MBTD1</t>
  </si>
  <si>
    <t>CTDSPL2</t>
  </si>
  <si>
    <t>ZNF394</t>
  </si>
  <si>
    <t>PTPN11</t>
  </si>
  <si>
    <t>BTK</t>
  </si>
  <si>
    <t>PPAT</t>
  </si>
  <si>
    <t>GFPT1</t>
  </si>
  <si>
    <t>EXOSC9</t>
  </si>
  <si>
    <t>PSME1</t>
  </si>
  <si>
    <t>RBPJ</t>
  </si>
  <si>
    <t>GABPA</t>
  </si>
  <si>
    <t>RING1</t>
  </si>
  <si>
    <t>RAD51</t>
  </si>
  <si>
    <t>PRDX1</t>
  </si>
  <si>
    <t>C1QBP</t>
  </si>
  <si>
    <t>TJP1</t>
  </si>
  <si>
    <t>TCHH</t>
  </si>
  <si>
    <t>KHDRBS1</t>
  </si>
  <si>
    <t>BAX</t>
  </si>
  <si>
    <t>POLE</t>
  </si>
  <si>
    <t>KLC1</t>
  </si>
  <si>
    <t>TNK2</t>
  </si>
  <si>
    <t>SRSF1</t>
  </si>
  <si>
    <t>ARHGAP1</t>
  </si>
  <si>
    <t>AES</t>
  </si>
  <si>
    <t>SRSF4</t>
  </si>
  <si>
    <t>PPP3CA</t>
  </si>
  <si>
    <t>DHX9</t>
  </si>
  <si>
    <t>CRYZ</t>
  </si>
  <si>
    <t>DDR1</t>
  </si>
  <si>
    <t>GOLGA3</t>
  </si>
  <si>
    <t>GOLGA2</t>
  </si>
  <si>
    <t>LGALS3BP</t>
  </si>
  <si>
    <t>EPB49</t>
  </si>
  <si>
    <t>HDHD1</t>
  </si>
  <si>
    <t>PPID</t>
  </si>
  <si>
    <t>SSRP1</t>
  </si>
  <si>
    <t>CAMSAP2</t>
  </si>
  <si>
    <t>SPIRE1</t>
  </si>
  <si>
    <t>GOLGA8F</t>
  </si>
  <si>
    <t>MZT1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</si>
  <si>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</si>
  <si>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</si>
  <si>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</si>
  <si>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</si>
  <si>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</si>
  <si>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</si>
  <si>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</si>
  <si>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</si>
  <si>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APOBR</t>
  </si>
  <si>
    <t>HSPA14</t>
  </si>
  <si>
    <t>SCRN3</t>
  </si>
  <si>
    <t>FAAP100</t>
  </si>
  <si>
    <t>LAMTOR4</t>
  </si>
  <si>
    <t>AP1B1</t>
  </si>
  <si>
    <t>CPSF1</t>
  </si>
  <si>
    <t>PMPCA</t>
  </si>
  <si>
    <t>KIF1A</t>
  </si>
  <si>
    <t>HMGXB3</t>
  </si>
  <si>
    <t>KIAA0196</t>
  </si>
  <si>
    <t>NUP160</t>
  </si>
  <si>
    <t>TBL3</t>
  </si>
  <si>
    <t>GTF3C1</t>
  </si>
  <si>
    <t>TWF1</t>
  </si>
  <si>
    <t>ASPH</t>
  </si>
  <si>
    <t>TFCP2</t>
  </si>
  <si>
    <t>AKAP13</t>
  </si>
  <si>
    <t>SMARCB1</t>
  </si>
  <si>
    <t>CDC20</t>
  </si>
  <si>
    <t>KIF5A</t>
  </si>
  <si>
    <t>GRSF1</t>
  </si>
  <si>
    <t>SFSWAP</t>
  </si>
  <si>
    <t>SF3A3</t>
  </si>
  <si>
    <t>TP53BP1</t>
  </si>
  <si>
    <t>AIMP1</t>
  </si>
  <si>
    <t>ILF2</t>
  </si>
  <si>
    <t>ILF3</t>
  </si>
  <si>
    <t>LMAN2</t>
  </si>
  <si>
    <t>LRMP</t>
  </si>
  <si>
    <t>TRAF2</t>
  </si>
  <si>
    <t>FOXC1</t>
  </si>
  <si>
    <t>ANK3</t>
  </si>
  <si>
    <t>DLG1</t>
  </si>
  <si>
    <t>TAF10</t>
  </si>
  <si>
    <t>NFATC3</t>
  </si>
  <si>
    <t>PPP1R8</t>
  </si>
  <si>
    <t>PTP4A2</t>
  </si>
  <si>
    <t>ABR</t>
  </si>
  <si>
    <t>BNIP1</t>
  </si>
  <si>
    <t>BNIP2</t>
  </si>
  <si>
    <t>NFX1</t>
  </si>
  <si>
    <t>CSTF3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</si>
  <si>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</si>
  <si>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</si>
  <si>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</si>
  <si>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</si>
  <si>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</si>
  <si>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</si>
  <si>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</si>
  <si>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</si>
  <si>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ACACA</t>
  </si>
  <si>
    <t>LCP2</t>
  </si>
  <si>
    <t>ZBTB17</t>
  </si>
  <si>
    <t>USP4</t>
  </si>
  <si>
    <t>CHAF1A</t>
  </si>
  <si>
    <t>CHAF1B</t>
  </si>
  <si>
    <t>IK</t>
  </si>
  <si>
    <t>REST</t>
  </si>
  <si>
    <t>RLF</t>
  </si>
  <si>
    <t>PRKAA1</t>
  </si>
  <si>
    <t>PPFIA1</t>
  </si>
  <si>
    <t>TARDBP</t>
  </si>
  <si>
    <t>HNRNPA0</t>
  </si>
  <si>
    <t>PAK1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</si>
  <si>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</si>
  <si>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</si>
  <si>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</si>
  <si>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</si>
  <si>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</si>
  <si>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</si>
  <si>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</si>
  <si>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</si>
  <si>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</si>
  <si>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PSMD2</t>
  </si>
  <si>
    <t>DDX10</t>
  </si>
  <si>
    <t>ERCC8</t>
  </si>
  <si>
    <t>DNAJC3</t>
  </si>
  <si>
    <t>SELENBP1</t>
  </si>
  <si>
    <t>NME3</t>
  </si>
  <si>
    <t>MAP3K1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</si>
  <si>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</si>
  <si>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</si>
  <si>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</si>
  <si>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</si>
  <si>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</si>
  <si>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</si>
  <si>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</si>
  <si>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</si>
  <si>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KCNAB2</t>
  </si>
  <si>
    <t>PTK7</t>
  </si>
  <si>
    <t>SKP2</t>
  </si>
  <si>
    <t>PABPC4</t>
  </si>
  <si>
    <t>ATM</t>
  </si>
  <si>
    <t>GRB10</t>
  </si>
  <si>
    <t>MTA1</t>
  </si>
  <si>
    <t>PTPRS</t>
  </si>
  <si>
    <t>EIF3I</t>
  </si>
  <si>
    <t>KLF1</t>
  </si>
  <si>
    <t>PPIL2</t>
  </si>
  <si>
    <t>PPP2R5C</t>
  </si>
  <si>
    <t>CTBP1</t>
  </si>
  <si>
    <t>PDCL</t>
  </si>
  <si>
    <t>TARBP1</t>
  </si>
  <si>
    <t>UBE2V1</t>
  </si>
  <si>
    <t>DYNC1I2</t>
  </si>
  <si>
    <t>ORC1</t>
  </si>
  <si>
    <t>ORC2</t>
  </si>
  <si>
    <t>ILK</t>
  </si>
  <si>
    <t>IKZF1</t>
  </si>
  <si>
    <t>NNT</t>
  </si>
  <si>
    <t>SNTA1</t>
  </si>
  <si>
    <t>SNTB2</t>
  </si>
  <si>
    <t>XRCC4</t>
  </si>
  <si>
    <t>PPIG</t>
  </si>
  <si>
    <t>TCOF1</t>
  </si>
  <si>
    <t>UNC119</t>
  </si>
  <si>
    <t>GOLGA4</t>
  </si>
  <si>
    <t>PDAP1</t>
  </si>
  <si>
    <t>FKBP5</t>
  </si>
  <si>
    <t>ROCK1</t>
  </si>
  <si>
    <t>NFATC2</t>
  </si>
  <si>
    <t>PICALM</t>
  </si>
  <si>
    <t>MTM1</t>
  </si>
  <si>
    <t>SQSTM1</t>
  </si>
  <si>
    <t>MED21</t>
  </si>
  <si>
    <t>MTX1</t>
  </si>
  <si>
    <t>NAB1</t>
  </si>
  <si>
    <t>PRPF4B</t>
  </si>
  <si>
    <t>PIN1</t>
  </si>
  <si>
    <t>EIF4EBP1</t>
  </si>
  <si>
    <t>EIF4EBP2</t>
  </si>
  <si>
    <t>RIPK1</t>
  </si>
  <si>
    <t>HDAC1</t>
  </si>
  <si>
    <t>CAMK2G</t>
  </si>
  <si>
    <t>CAMK2D</t>
  </si>
  <si>
    <t>DCTN2</t>
  </si>
  <si>
    <t>NAE1</t>
  </si>
  <si>
    <t>ITPK1</t>
  </si>
  <si>
    <t>SNW1</t>
  </si>
  <si>
    <t>IQGAP2</t>
  </si>
  <si>
    <t>STIM1</t>
  </si>
  <si>
    <t>SNX1</t>
  </si>
  <si>
    <t>KRR1</t>
  </si>
  <si>
    <t>PWP1</t>
  </si>
  <si>
    <t>MTMR1</t>
  </si>
  <si>
    <t>MTMR2</t>
  </si>
  <si>
    <t>CUL1</t>
  </si>
  <si>
    <t>CUL2</t>
  </si>
  <si>
    <t>CUL3</t>
  </si>
  <si>
    <t>CUL4A</t>
  </si>
  <si>
    <t>CUL4B</t>
  </si>
  <si>
    <t>TP53BP2</t>
  </si>
  <si>
    <t>DYRK1A</t>
  </si>
  <si>
    <t>TSTA3</t>
  </si>
  <si>
    <t>RAB31</t>
  </si>
  <si>
    <t>RAB32</t>
  </si>
  <si>
    <t>FHL3</t>
  </si>
  <si>
    <t>PMS2P11</t>
  </si>
  <si>
    <t>MOGS</t>
  </si>
  <si>
    <t>TUBA3C</t>
  </si>
  <si>
    <t>THOC5</t>
  </si>
  <si>
    <t>SPTAN1</t>
  </si>
  <si>
    <t>GNL2</t>
  </si>
  <si>
    <t>AUH</t>
  </si>
  <si>
    <t>DDX39B</t>
  </si>
  <si>
    <t>BLMH</t>
  </si>
  <si>
    <t>EXOSC2</t>
  </si>
  <si>
    <t>BMPR2</t>
  </si>
  <si>
    <t>TUBB2A</t>
  </si>
  <si>
    <t>KLF9</t>
  </si>
  <si>
    <t>BYSL</t>
  </si>
  <si>
    <t>C1D</t>
  </si>
  <si>
    <t>RAPGEF1</t>
  </si>
  <si>
    <t>IDI1</t>
  </si>
  <si>
    <t>CBFB</t>
  </si>
  <si>
    <t>NFYC</t>
  </si>
  <si>
    <t>CDK13</t>
  </si>
  <si>
    <t>CKAP5</t>
  </si>
  <si>
    <t>CIRBP</t>
  </si>
  <si>
    <t>CAMK1</t>
  </si>
  <si>
    <t>COTL1</t>
  </si>
  <si>
    <t>COX17</t>
  </si>
  <si>
    <t>HNRNPD</t>
  </si>
  <si>
    <t>DAG1</t>
  </si>
  <si>
    <t>DSG2</t>
  </si>
  <si>
    <t>BOP1</t>
  </si>
  <si>
    <t>UBE4A</t>
  </si>
  <si>
    <t>SEPT6</t>
  </si>
  <si>
    <t>KEAP1</t>
  </si>
  <si>
    <t>DHX34</t>
  </si>
  <si>
    <t>MORC3</t>
  </si>
  <si>
    <t>EIF3A</t>
  </si>
  <si>
    <t>FAM53B</t>
  </si>
  <si>
    <t>ARHGEF7</t>
  </si>
  <si>
    <t>UBAP2L</t>
  </si>
  <si>
    <t>GIT2</t>
  </si>
  <si>
    <t>TTLL12</t>
  </si>
  <si>
    <t>POLA2</t>
  </si>
  <si>
    <t>WRN</t>
  </si>
  <si>
    <t>FHL2</t>
  </si>
  <si>
    <t>ZMYM3</t>
  </si>
  <si>
    <t>DCTN1</t>
  </si>
  <si>
    <t>DYNC1H1</t>
  </si>
  <si>
    <t>NPAT</t>
  </si>
  <si>
    <t>TCEB3</t>
  </si>
  <si>
    <t>MAP7</t>
  </si>
  <si>
    <t>CTTN</t>
  </si>
  <si>
    <t>ENDOG</t>
  </si>
  <si>
    <t>TRIM25</t>
  </si>
  <si>
    <t>PTK2B</t>
  </si>
  <si>
    <t>FLNC</t>
  </si>
  <si>
    <t>FKBP8</t>
  </si>
  <si>
    <t>FAM50A</t>
  </si>
  <si>
    <t>FRG1</t>
  </si>
  <si>
    <t>GAMT</t>
  </si>
  <si>
    <t>GALE</t>
  </si>
  <si>
    <t>CAPRIN1</t>
  </si>
  <si>
    <t>BECN1</t>
  </si>
  <si>
    <t>SLBP</t>
  </si>
  <si>
    <t>RBM39</t>
  </si>
  <si>
    <t>HABP2</t>
  </si>
  <si>
    <t>HLTF</t>
  </si>
  <si>
    <t>PDIA5</t>
  </si>
  <si>
    <t>PRPSAP1</t>
  </si>
  <si>
    <t>DHX8</t>
  </si>
  <si>
    <t>MCM6</t>
  </si>
  <si>
    <t>NBR1</t>
  </si>
  <si>
    <t>PLS1</t>
  </si>
  <si>
    <t>IRF3</t>
  </si>
  <si>
    <t>LAGE3</t>
  </si>
  <si>
    <t>TRIP12</t>
  </si>
  <si>
    <t>PUM1</t>
  </si>
  <si>
    <t>ESPL1</t>
  </si>
  <si>
    <t>MDC1</t>
  </si>
  <si>
    <t>CLINT1</t>
  </si>
  <si>
    <t>KCTD2</t>
  </si>
  <si>
    <t>SMC1A</t>
  </si>
  <si>
    <t>RRP1B</t>
  </si>
  <si>
    <t>NCOA6</t>
  </si>
  <si>
    <t>GSE1</t>
  </si>
  <si>
    <t>DIP2A</t>
  </si>
  <si>
    <t>PDCD11</t>
  </si>
  <si>
    <t>GINS1</t>
  </si>
  <si>
    <t>BMS1</t>
  </si>
  <si>
    <t>LPIN1</t>
  </si>
  <si>
    <t>USP10</t>
  </si>
  <si>
    <t>MESDC2</t>
  </si>
  <si>
    <t>GANAB</t>
  </si>
  <si>
    <t>LBR</t>
  </si>
  <si>
    <t>COG2</t>
  </si>
  <si>
    <t>CBX2</t>
  </si>
  <si>
    <t>GOLGB1</t>
  </si>
  <si>
    <t>CASP8</t>
  </si>
  <si>
    <t>NAA30</t>
  </si>
  <si>
    <t>KIF22</t>
  </si>
  <si>
    <t>MEF2D</t>
  </si>
  <si>
    <t>CHD4</t>
  </si>
  <si>
    <t>LASP1</t>
  </si>
  <si>
    <t>PTGR1</t>
  </si>
  <si>
    <t>DRAP1</t>
  </si>
  <si>
    <t>NFATC4</t>
  </si>
  <si>
    <t>RAB39A</t>
  </si>
  <si>
    <t>ZNF638</t>
  </si>
  <si>
    <t>KPNB1</t>
  </si>
  <si>
    <t>NOLC1</t>
  </si>
  <si>
    <t>PSME4</t>
  </si>
  <si>
    <t>SLMAP</t>
  </si>
  <si>
    <t>GAPVD1</t>
  </si>
  <si>
    <t>FRMPD4</t>
  </si>
  <si>
    <t>UBXN2B</t>
  </si>
  <si>
    <t>NAA25</t>
  </si>
  <si>
    <t>NCAPH</t>
  </si>
  <si>
    <t>WTAP</t>
  </si>
  <si>
    <t>MAD2L1BP</t>
  </si>
  <si>
    <t>MORF4L2</t>
  </si>
  <si>
    <t>FAM175B</t>
  </si>
  <si>
    <t>SEPT2</t>
  </si>
  <si>
    <t>NCAPD2</t>
  </si>
  <si>
    <t>EXOSC7</t>
  </si>
  <si>
    <t>EFTUD2</t>
  </si>
  <si>
    <t>R3HDM1</t>
  </si>
  <si>
    <t>SNX17</t>
  </si>
  <si>
    <t>RAB3GAP1</t>
  </si>
  <si>
    <t>KARS</t>
  </si>
  <si>
    <t>SETDB1</t>
  </si>
  <si>
    <t>LRRC14</t>
  </si>
  <si>
    <t>RRS1</t>
  </si>
  <si>
    <t>IQCB1</t>
  </si>
  <si>
    <t>ARHGEF6</t>
  </si>
  <si>
    <t>EIF4H</t>
  </si>
  <si>
    <t>ACAP2</t>
  </si>
  <si>
    <t>KIF14</t>
  </si>
  <si>
    <t>BRD3</t>
  </si>
  <si>
    <t>WDR43</t>
  </si>
  <si>
    <t>ACOX1</t>
  </si>
  <si>
    <t>ZNF146</t>
  </si>
  <si>
    <t>EEA1</t>
  </si>
  <si>
    <t>PAFAH1B3</t>
  </si>
  <si>
    <t>PLCL1</t>
  </si>
  <si>
    <t>PEA15</t>
  </si>
  <si>
    <t>PMVK</t>
  </si>
  <si>
    <t>PLCB4</t>
  </si>
  <si>
    <t>PLEC</t>
  </si>
  <si>
    <t>TCEAL1</t>
  </si>
  <si>
    <t>PPP2R5A</t>
  </si>
  <si>
    <t>PPP2R5B</t>
  </si>
  <si>
    <t>PPA1</t>
  </si>
  <si>
    <t>STK38</t>
  </si>
  <si>
    <t>NONO</t>
  </si>
  <si>
    <t>PPP2R4</t>
  </si>
  <si>
    <t>PTPRK</t>
  </si>
  <si>
    <t>PWP2</t>
  </si>
  <si>
    <t>QPRT</t>
  </si>
  <si>
    <t>RABEP1</t>
  </si>
  <si>
    <t>RASA2</t>
  </si>
  <si>
    <t>RAB35</t>
  </si>
  <si>
    <t>RBBP5</t>
  </si>
  <si>
    <t>RCN1</t>
  </si>
  <si>
    <t>RALBP1</t>
  </si>
  <si>
    <t>LLGL1</t>
  </si>
  <si>
    <t>LRRC41</t>
  </si>
  <si>
    <t>TTF1</t>
  </si>
  <si>
    <t>TMED2</t>
  </si>
  <si>
    <t>PCBP1</t>
  </si>
  <si>
    <t>PCBP2</t>
  </si>
  <si>
    <t>RHEB</t>
  </si>
  <si>
    <t>UBE3C</t>
  </si>
  <si>
    <t>SF3B3</t>
  </si>
  <si>
    <t>DLGAP5</t>
  </si>
  <si>
    <t>RSU1</t>
  </si>
  <si>
    <t>SAFB</t>
  </si>
  <si>
    <t>SF3B4</t>
  </si>
  <si>
    <t>SF3A2</t>
  </si>
  <si>
    <t>PPP1R7</t>
  </si>
  <si>
    <t>SEC23B</t>
  </si>
  <si>
    <t>CYTH1</t>
  </si>
  <si>
    <t>SPA17</t>
  </si>
  <si>
    <t>SURF1</t>
  </si>
  <si>
    <t>SURF2</t>
  </si>
  <si>
    <t>TAF5</t>
  </si>
  <si>
    <t>TAF13</t>
  </si>
  <si>
    <t>TAF11</t>
  </si>
  <si>
    <t>TAF7</t>
  </si>
  <si>
    <t>TERF2</t>
  </si>
  <si>
    <t>MAPRE2</t>
  </si>
  <si>
    <t>TCEA2</t>
  </si>
  <si>
    <t>TEAD4</t>
  </si>
  <si>
    <t>NCOA2</t>
  </si>
  <si>
    <t>SLC9A3R2</t>
  </si>
  <si>
    <t>TRADD</t>
  </si>
  <si>
    <t>TARBP2</t>
  </si>
  <si>
    <t>SF1</t>
  </si>
  <si>
    <t>TRIP10</t>
  </si>
  <si>
    <t>TRIP11</t>
  </si>
  <si>
    <t>TRIP13</t>
  </si>
  <si>
    <t>MED1</t>
  </si>
  <si>
    <t>ZNHIT3</t>
  </si>
  <si>
    <t>TRIP4</t>
  </si>
  <si>
    <t>HMGN3</t>
  </si>
  <si>
    <t>JMJD1C</t>
  </si>
  <si>
    <t>TRIP6</t>
  </si>
  <si>
    <t>MAPRE1</t>
  </si>
  <si>
    <t>ZNF174</t>
  </si>
  <si>
    <t>TSC22D1</t>
  </si>
  <si>
    <t>ELAVL1</t>
  </si>
  <si>
    <t>ELF2</t>
  </si>
  <si>
    <t>NSDHL</t>
  </si>
  <si>
    <t>NAB2</t>
  </si>
  <si>
    <t>MYLK</t>
  </si>
  <si>
    <t>TAB1</t>
  </si>
  <si>
    <t>HERC1</t>
  </si>
  <si>
    <t>SLC1A5</t>
  </si>
  <si>
    <t>MAPK11</t>
  </si>
  <si>
    <t>MLF2</t>
  </si>
  <si>
    <t>ZKSCAN8</t>
  </si>
  <si>
    <t>TOMM34</t>
  </si>
  <si>
    <t>NCOA1</t>
  </si>
  <si>
    <t>SMAD2</t>
  </si>
  <si>
    <t>SMAD1</t>
  </si>
  <si>
    <t>TBCE</t>
  </si>
  <si>
    <t>TBCC</t>
  </si>
  <si>
    <t>UBE2V2</t>
  </si>
  <si>
    <t>STK11</t>
  </si>
  <si>
    <t>STXBP2</t>
  </si>
  <si>
    <t>VAMP3</t>
  </si>
  <si>
    <t>ATP6AP1</t>
  </si>
  <si>
    <t>VPS72</t>
  </si>
  <si>
    <t>RAB11B</t>
  </si>
  <si>
    <t>EZH2</t>
  </si>
  <si>
    <t>ZNF77</t>
  </si>
  <si>
    <t>ZYX</t>
  </si>
  <si>
    <t>SEPT7</t>
  </si>
  <si>
    <t>ADRM1</t>
  </si>
  <si>
    <t>CCDC6</t>
  </si>
  <si>
    <t>UAP1</t>
  </si>
  <si>
    <t>E2F4</t>
  </si>
  <si>
    <t>INA</t>
  </si>
  <si>
    <t>PSMD5</t>
  </si>
  <si>
    <t>PKN1</t>
  </si>
  <si>
    <t>PKN2</t>
  </si>
  <si>
    <t>TAF12</t>
  </si>
  <si>
    <t>DDB1</t>
  </si>
  <si>
    <t>MAPK14</t>
  </si>
  <si>
    <t>DPYSL2</t>
  </si>
  <si>
    <t>RBBP7</t>
  </si>
  <si>
    <t>ZNF239</t>
  </si>
  <si>
    <t>ECM1</t>
  </si>
  <si>
    <t>CTF1</t>
  </si>
  <si>
    <t>MEA1</t>
  </si>
  <si>
    <t>SRSF7</t>
  </si>
  <si>
    <t>SMN1</t>
  </si>
  <si>
    <t>DBN1</t>
  </si>
  <si>
    <t>MAPKAPK3</t>
  </si>
  <si>
    <t>NRF1</t>
  </si>
  <si>
    <t>FSCN1</t>
  </si>
  <si>
    <t>MAPK6</t>
  </si>
  <si>
    <t>IFI16</t>
  </si>
  <si>
    <t>ZSCAN26</t>
  </si>
  <si>
    <t>KYNU</t>
  </si>
  <si>
    <t>CLPP</t>
  </si>
  <si>
    <t>TST</t>
  </si>
  <si>
    <t>UBE2S</t>
  </si>
  <si>
    <t>CCBL1</t>
  </si>
  <si>
    <t>HIST2H2BE</t>
  </si>
  <si>
    <t>MEP1A</t>
  </si>
  <si>
    <t>PCK2</t>
  </si>
  <si>
    <t>UPP1</t>
  </si>
  <si>
    <t>HADH</t>
  </si>
  <si>
    <t>UGP2</t>
  </si>
  <si>
    <t>DGUOK</t>
  </si>
  <si>
    <t>ATP6V1F</t>
  </si>
  <si>
    <t>PFKFB3</t>
  </si>
  <si>
    <t>TATDN3</t>
  </si>
  <si>
    <t>FAM98C</t>
  </si>
  <si>
    <t>REL</t>
  </si>
  <si>
    <t>ZSWIM7</t>
  </si>
  <si>
    <t>KNOP1</t>
  </si>
  <si>
    <t>CSPP1</t>
  </si>
  <si>
    <t>INF2</t>
  </si>
  <si>
    <t>PDS5A</t>
  </si>
  <si>
    <t>QSER1</t>
  </si>
  <si>
    <t>CLEC16A</t>
  </si>
  <si>
    <t>KIF7</t>
  </si>
  <si>
    <t>MTHFSD</t>
  </si>
  <si>
    <t>AAK1</t>
  </si>
  <si>
    <t>PLK1S1</t>
  </si>
  <si>
    <t>KIAA1033</t>
  </si>
  <si>
    <t>SHROOM1</t>
  </si>
  <si>
    <t>C2orf68</t>
  </si>
  <si>
    <t>TSR1</t>
  </si>
  <si>
    <t>VMAC</t>
  </si>
  <si>
    <t>RALGAPA2</t>
  </si>
  <si>
    <t>CCDC57</t>
  </si>
  <si>
    <t>QRICH1</t>
  </si>
  <si>
    <t>RELA</t>
  </si>
  <si>
    <t>SMU1</t>
  </si>
  <si>
    <t>ATG2A</t>
  </si>
  <si>
    <t>ZNF800</t>
  </si>
  <si>
    <t>CWF19L2</t>
  </si>
  <si>
    <t>CTU2</t>
  </si>
  <si>
    <t>UVSSA</t>
  </si>
  <si>
    <t>ATHL1</t>
  </si>
  <si>
    <t>MYLK3</t>
  </si>
  <si>
    <t>LRRFIP1</t>
  </si>
  <si>
    <t>POLD3</t>
  </si>
  <si>
    <t>LEPRE1</t>
  </si>
  <si>
    <t>TRMT5</t>
  </si>
  <si>
    <t>EML3</t>
  </si>
  <si>
    <t>TWISTNB</t>
  </si>
  <si>
    <t>MAP7D1</t>
  </si>
  <si>
    <t>ZNF792</t>
  </si>
  <si>
    <t>CHD9</t>
  </si>
  <si>
    <t>DAK</t>
  </si>
  <si>
    <t>LSM12</t>
  </si>
  <si>
    <t>TBC1D25</t>
  </si>
  <si>
    <t>PUS10</t>
  </si>
  <si>
    <t>HSDL1</t>
  </si>
  <si>
    <t>ZNF718</t>
  </si>
  <si>
    <t>ALDH1L2</t>
  </si>
  <si>
    <t>GON4L</t>
  </si>
  <si>
    <t>CCDC88A</t>
  </si>
  <si>
    <t>RABL6</t>
  </si>
  <si>
    <t>TUBB8</t>
  </si>
  <si>
    <t>USP38</t>
  </si>
  <si>
    <t>ZNF672</t>
  </si>
  <si>
    <t>GLYR1</t>
  </si>
  <si>
    <t>CRY2</t>
  </si>
  <si>
    <t>C5orf22</t>
  </si>
  <si>
    <t>COX19</t>
  </si>
  <si>
    <t>FAM188B</t>
  </si>
  <si>
    <t>VPS26B</t>
  </si>
  <si>
    <t>LARP7</t>
  </si>
  <si>
    <t>NADKD1</t>
  </si>
  <si>
    <t>COL14A1</t>
  </si>
  <si>
    <t>ACSF3</t>
  </si>
  <si>
    <t>PREPL</t>
  </si>
  <si>
    <t>TBC1D10B</t>
  </si>
  <si>
    <t>PLCH1</t>
  </si>
  <si>
    <t>ARID4B</t>
  </si>
  <si>
    <t>GRIPAP1</t>
  </si>
  <si>
    <t>BCL7A</t>
  </si>
  <si>
    <t>FLYWCH1</t>
  </si>
  <si>
    <t>ZNF298</t>
  </si>
  <si>
    <t>PAN2</t>
  </si>
  <si>
    <t>EGFR</t>
  </si>
  <si>
    <t>FAM98B</t>
  </si>
  <si>
    <t>EPC2</t>
  </si>
  <si>
    <t>PDCD4</t>
  </si>
  <si>
    <t>CRTC2</t>
  </si>
  <si>
    <t>CEP55</t>
  </si>
  <si>
    <t>C17orf85</t>
  </si>
  <si>
    <t>TP53I3</t>
  </si>
  <si>
    <t>C11orf73</t>
  </si>
  <si>
    <t>ACSM3</t>
  </si>
  <si>
    <t>SETMAR</t>
  </si>
  <si>
    <t>TRMT12</t>
  </si>
  <si>
    <t>LACTB2</t>
  </si>
  <si>
    <t>KLHL26</t>
  </si>
  <si>
    <t>TSSC1</t>
  </si>
  <si>
    <t>CDCA8</t>
  </si>
  <si>
    <t>SMUG1</t>
  </si>
  <si>
    <t>SOWAHC</t>
  </si>
  <si>
    <t>ARHGAP15</t>
  </si>
  <si>
    <t>FASTKD1</t>
  </si>
  <si>
    <t>BOLA3</t>
  </si>
  <si>
    <t>HS1BP3</t>
  </si>
  <si>
    <t>WDR81</t>
  </si>
  <si>
    <t>SGOL2</t>
  </si>
  <si>
    <t>SPIN4</t>
  </si>
  <si>
    <t>ESCO2</t>
  </si>
  <si>
    <t>PAN3</t>
  </si>
  <si>
    <t>PLEKHG4</t>
  </si>
  <si>
    <t>HSP90AB2P</t>
  </si>
  <si>
    <t>HSP90AA4P</t>
  </si>
  <si>
    <t>DCAF6</t>
  </si>
  <si>
    <t>RPL39P5</t>
  </si>
  <si>
    <t>OXLD1</t>
  </si>
  <si>
    <t>C19orf54</t>
  </si>
  <si>
    <t>ZNF326</t>
  </si>
  <si>
    <t>NOM1</t>
  </si>
  <si>
    <t>DALRD3</t>
  </si>
  <si>
    <t>FLG2</t>
  </si>
  <si>
    <t>RILPL1</t>
  </si>
  <si>
    <t>PDZD11</t>
  </si>
  <si>
    <t>CMPK2</t>
  </si>
  <si>
    <t>DNAJC21</t>
  </si>
  <si>
    <t>SGOL1</t>
  </si>
  <si>
    <t>ZRANB3</t>
  </si>
  <si>
    <t>ESCO1</t>
  </si>
  <si>
    <t>HERC4</t>
  </si>
  <si>
    <t>PKIG</t>
  </si>
  <si>
    <t>TIMP1</t>
  </si>
  <si>
    <t>KIAA2026</t>
  </si>
  <si>
    <t>TUBB</t>
  </si>
  <si>
    <t>NOMO2</t>
  </si>
  <si>
    <t>C3orf38</t>
  </si>
  <si>
    <t>METTL10</t>
  </si>
  <si>
    <t>RHOC</t>
  </si>
  <si>
    <t>MIA3</t>
  </si>
  <si>
    <t>NUPL1</t>
  </si>
  <si>
    <t>PAGE2B</t>
  </si>
  <si>
    <t>PITRM1</t>
  </si>
  <si>
    <t>NHLRC3</t>
  </si>
  <si>
    <t>PSMG4</t>
  </si>
  <si>
    <t>TFDP1</t>
  </si>
  <si>
    <t>WDR44</t>
  </si>
  <si>
    <t>DOCK11</t>
  </si>
  <si>
    <t>PRRC2B</t>
  </si>
  <si>
    <t>TJAP1</t>
  </si>
  <si>
    <t>RRP12</t>
  </si>
  <si>
    <t>COA6</t>
  </si>
  <si>
    <t>GMEB2</t>
  </si>
  <si>
    <t>AARS2</t>
  </si>
  <si>
    <t>FPGS</t>
  </si>
  <si>
    <t>IQSEC2</t>
  </si>
  <si>
    <t>PAGE5</t>
  </si>
  <si>
    <t>TEX30</t>
  </si>
  <si>
    <t>PCID2</t>
  </si>
  <si>
    <t>ELMO2</t>
  </si>
  <si>
    <t>STAU1</t>
  </si>
  <si>
    <t>GSTA3</t>
  </si>
  <si>
    <t>MIIP</t>
  </si>
  <si>
    <t>SAMD9</t>
  </si>
  <si>
    <t>UCHL5</t>
  </si>
  <si>
    <t>SPECC1</t>
  </si>
  <si>
    <t>SMEK2</t>
  </si>
  <si>
    <t>WDR45B</t>
  </si>
  <si>
    <t>POLK</t>
  </si>
  <si>
    <t>PEX19</t>
  </si>
  <si>
    <t>ATP5F1</t>
  </si>
  <si>
    <t>BCL2L1</t>
  </si>
  <si>
    <t>DCAF10</t>
  </si>
  <si>
    <t>RALY</t>
  </si>
  <si>
    <t>PSMF1</t>
  </si>
  <si>
    <t>RABGAP1L</t>
  </si>
  <si>
    <t>TTC38</t>
  </si>
  <si>
    <t>EXOSC6</t>
  </si>
  <si>
    <t>FAM21B</t>
  </si>
  <si>
    <t>MTHFR</t>
  </si>
  <si>
    <t>NUDT13</t>
  </si>
  <si>
    <t>NUP188</t>
  </si>
  <si>
    <t>CDC40</t>
  </si>
  <si>
    <t>HP1BP3</t>
  </si>
  <si>
    <t>VARS2</t>
  </si>
  <si>
    <t>ZMYM1</t>
  </si>
  <si>
    <t>CEP170</t>
  </si>
  <si>
    <t>LDLRAP1</t>
  </si>
  <si>
    <t>SNAPC4</t>
  </si>
  <si>
    <t>DNLZ</t>
  </si>
  <si>
    <t>NOL9</t>
  </si>
  <si>
    <t>ZBTB48</t>
  </si>
  <si>
    <t>SZT2</t>
  </si>
  <si>
    <t>FNBP1L</t>
  </si>
  <si>
    <t>SH3BGRL3</t>
  </si>
  <si>
    <t>RARS2</t>
  </si>
  <si>
    <t>PYGO2</t>
  </si>
  <si>
    <t>THEM4</t>
  </si>
  <si>
    <t>FKBP15</t>
  </si>
  <si>
    <t>DDX59</t>
  </si>
  <si>
    <t>ZC3H13</t>
  </si>
  <si>
    <t>HSD17B7</t>
  </si>
  <si>
    <t>C9orf114</t>
  </si>
  <si>
    <t>OTUD3</t>
  </si>
  <si>
    <t>BCKDHB</t>
  </si>
  <si>
    <t>NBEA</t>
  </si>
  <si>
    <t>GPATCH4</t>
  </si>
  <si>
    <t>LRIF1</t>
  </si>
  <si>
    <t>ZNF438</t>
  </si>
  <si>
    <t>IBA57</t>
  </si>
  <si>
    <t>HECTD3</t>
  </si>
  <si>
    <t>UBR4</t>
  </si>
  <si>
    <t>STXBP5</t>
  </si>
  <si>
    <t>ARHGAP21</t>
  </si>
  <si>
    <t>BEND3</t>
  </si>
  <si>
    <t>CAMSAP1</t>
  </si>
  <si>
    <t>CEP57L1</t>
  </si>
  <si>
    <t>ATXN7L2</t>
  </si>
  <si>
    <t>DCAF12</t>
  </si>
  <si>
    <t>UBAP2</t>
  </si>
  <si>
    <t>C9orf64</t>
  </si>
  <si>
    <t>KPRP</t>
  </si>
  <si>
    <t>ADCK3</t>
  </si>
  <si>
    <t>GORAB</t>
  </si>
  <si>
    <t>PPP1R26</t>
  </si>
  <si>
    <t>FAM102B</t>
  </si>
  <si>
    <t>RBM26</t>
  </si>
  <si>
    <t>CCDC18</t>
  </si>
  <si>
    <t>DOPEY1</t>
  </si>
  <si>
    <t>RNF187</t>
  </si>
  <si>
    <t>CPSF3L</t>
  </si>
  <si>
    <t>GLTPD1</t>
  </si>
  <si>
    <t>AGO1</t>
  </si>
  <si>
    <t>UTP14C</t>
  </si>
  <si>
    <t>MNF1</t>
  </si>
  <si>
    <t>ZCCHC11</t>
  </si>
  <si>
    <t>KIAA1009</t>
  </si>
  <si>
    <t>RNASEH2B</t>
  </si>
  <si>
    <t>LSM14B</t>
  </si>
  <si>
    <t>ATPAF1</t>
  </si>
  <si>
    <t>ZBTB37</t>
  </si>
  <si>
    <t>RC3H1</t>
  </si>
  <si>
    <t>MAGI3</t>
  </si>
  <si>
    <t>TPM2</t>
  </si>
  <si>
    <t>MTCH1</t>
  </si>
  <si>
    <t>DDI2</t>
  </si>
  <si>
    <t>ZNF697</t>
  </si>
  <si>
    <t>THEMIS2</t>
  </si>
  <si>
    <t>NDUFAF5</t>
  </si>
  <si>
    <t>NT5DC1</t>
  </si>
  <si>
    <t>AHDC1</t>
  </si>
  <si>
    <t>PRDM2</t>
  </si>
  <si>
    <t>VPS13D</t>
  </si>
  <si>
    <t>PRR14L</t>
  </si>
  <si>
    <t>MEX3C</t>
  </si>
  <si>
    <t>LYRM7</t>
  </si>
  <si>
    <t>ATF7IP2</t>
  </si>
  <si>
    <t>RIF1</t>
  </si>
  <si>
    <t>VPS53</t>
  </si>
  <si>
    <t>STRIP1</t>
  </si>
  <si>
    <t>GKAP1</t>
  </si>
  <si>
    <t>CEP350</t>
  </si>
  <si>
    <t>CDC42BPA</t>
  </si>
  <si>
    <t>RPRD2</t>
  </si>
  <si>
    <t>GFI1B</t>
  </si>
  <si>
    <t>PRPF38B</t>
  </si>
  <si>
    <t>RNF20</t>
  </si>
  <si>
    <t>DYNLT1</t>
  </si>
  <si>
    <t>PDE4DIP</t>
  </si>
  <si>
    <t>ZNF318</t>
  </si>
  <si>
    <t>ARHGEF16</t>
  </si>
  <si>
    <t>CDKAL1</t>
  </si>
  <si>
    <t>ZNF691</t>
  </si>
  <si>
    <t>PPRC1</t>
  </si>
  <si>
    <t>PLEKHM2</t>
  </si>
  <si>
    <t>MYSM1</t>
  </si>
  <si>
    <t>DBT</t>
  </si>
  <si>
    <t>YOD1</t>
  </si>
  <si>
    <t>DCAF12L2</t>
  </si>
  <si>
    <t>BROX</t>
  </si>
  <si>
    <t>TAF3</t>
  </si>
  <si>
    <t>SNX30</t>
  </si>
  <si>
    <t>FAM208B</t>
  </si>
  <si>
    <t>FAM46C</t>
  </si>
  <si>
    <t>RSBN1</t>
  </si>
  <si>
    <t>LYPLAL1</t>
  </si>
  <si>
    <t>RPF2</t>
  </si>
  <si>
    <t>ECM29</t>
  </si>
  <si>
    <t>ZCCHC6</t>
  </si>
  <si>
    <t>SLX4IP</t>
  </si>
  <si>
    <t>NAA35</t>
  </si>
  <si>
    <t>LRRC16A</t>
  </si>
  <si>
    <t>ZMYM4</t>
  </si>
  <si>
    <t>RNF219</t>
  </si>
  <si>
    <t>FAM160B1</t>
  </si>
  <si>
    <t>SPRYD7</t>
  </si>
  <si>
    <t>PFKFB4</t>
  </si>
  <si>
    <t>RNF123</t>
  </si>
  <si>
    <t>FBXW9</t>
  </si>
  <si>
    <t>AFMID</t>
  </si>
  <si>
    <t>RNF213</t>
  </si>
  <si>
    <t>AP1AR</t>
  </si>
  <si>
    <t>KANK2</t>
  </si>
  <si>
    <t>FAM91A1</t>
  </si>
  <si>
    <t>NARG2</t>
  </si>
  <si>
    <t>LARP1B</t>
  </si>
  <si>
    <t>CEP135</t>
  </si>
  <si>
    <t>TBC1D9B</t>
  </si>
  <si>
    <t>DCAF15</t>
  </si>
  <si>
    <t>PPP2R2D</t>
  </si>
  <si>
    <t>ARL6IP4</t>
  </si>
  <si>
    <t>ATG16L1</t>
  </si>
  <si>
    <t>ARID2</t>
  </si>
  <si>
    <t>DIEXF</t>
  </si>
  <si>
    <t>HAUS3</t>
  </si>
  <si>
    <t>SPTY2D1</t>
  </si>
  <si>
    <t>PMS2CL</t>
  </si>
  <si>
    <t>ZFYVE26</t>
  </si>
  <si>
    <t>DKFZp781N011</t>
  </si>
  <si>
    <t>INTS3</t>
  </si>
  <si>
    <t>ARHGAP17</t>
  </si>
  <si>
    <t>CWF19L1</t>
  </si>
  <si>
    <t>KIAA1429</t>
  </si>
  <si>
    <t>SPECC1L</t>
  </si>
  <si>
    <t>ZNF518A</t>
  </si>
  <si>
    <t>HEATR6</t>
  </si>
  <si>
    <t>ANKRD40</t>
  </si>
  <si>
    <t>GLTSCR1L</t>
  </si>
  <si>
    <t>WWC2</t>
  </si>
  <si>
    <t>CYB5R2</t>
  </si>
  <si>
    <t>UHRF1BP1</t>
  </si>
  <si>
    <t>AMMECR1L</t>
  </si>
  <si>
    <t>ZNF787</t>
  </si>
  <si>
    <t>ADAL</t>
  </si>
  <si>
    <t>RPL7L1</t>
  </si>
  <si>
    <t>NXN</t>
  </si>
  <si>
    <t>TTC19</t>
  </si>
  <si>
    <t>IQSEC1</t>
  </si>
  <si>
    <t>CDC42BPG</t>
  </si>
  <si>
    <t>VASN</t>
  </si>
  <si>
    <t>RLTPR</t>
  </si>
  <si>
    <t>CIAPIN1</t>
  </si>
  <si>
    <t>ZFAND6</t>
  </si>
  <si>
    <t>SMYD5</t>
  </si>
  <si>
    <t>PTRHD1</t>
  </si>
  <si>
    <t>OTUD7B</t>
  </si>
  <si>
    <t>RALGAPA1</t>
  </si>
  <si>
    <t>THOC7</t>
  </si>
  <si>
    <t>NADSYN1</t>
  </si>
  <si>
    <t>ELP2</t>
  </si>
  <si>
    <t>LAMTOR1</t>
  </si>
  <si>
    <t>TWF2</t>
  </si>
  <si>
    <t>NCAPH2</t>
  </si>
  <si>
    <t>DESI1</t>
  </si>
  <si>
    <t>TANGO2</t>
  </si>
  <si>
    <t>PHF17</t>
  </si>
  <si>
    <t>SNRNP48</t>
  </si>
  <si>
    <t>MRM1</t>
  </si>
  <si>
    <t>SMEK1</t>
  </si>
  <si>
    <t>LYRM5</t>
  </si>
  <si>
    <t>TYW3</t>
  </si>
  <si>
    <t>RAB12</t>
  </si>
  <si>
    <t>DENND5A</t>
  </si>
  <si>
    <t>SDE2</t>
  </si>
  <si>
    <t>TTBK2</t>
  </si>
  <si>
    <t>RCSD1</t>
  </si>
  <si>
    <t>NIPBL</t>
  </si>
  <si>
    <t>PDE12</t>
  </si>
  <si>
    <t>LIN54</t>
  </si>
  <si>
    <t>TET2</t>
  </si>
  <si>
    <t>ZNF280D</t>
  </si>
  <si>
    <t>OGFOD2</t>
  </si>
  <si>
    <t>NAA16</t>
  </si>
  <si>
    <t>ALKBH2</t>
  </si>
  <si>
    <t>MKRN3</t>
  </si>
  <si>
    <t>CT45A5</t>
  </si>
  <si>
    <t>PHLDB3</t>
  </si>
  <si>
    <t>ZSCAN25</t>
  </si>
  <si>
    <t>HMBOX1</t>
  </si>
  <si>
    <t>C5orf45</t>
  </si>
  <si>
    <t>TYW1B</t>
  </si>
  <si>
    <t>TMEM214</t>
  </si>
  <si>
    <t>UFSP1</t>
  </si>
  <si>
    <t>HIBCH</t>
  </si>
  <si>
    <t>C3orf17</t>
  </si>
  <si>
    <t>ARMC6</t>
  </si>
  <si>
    <t>ANKRD54</t>
  </si>
  <si>
    <t>PPP1R18</t>
  </si>
  <si>
    <t>FAAP20</t>
  </si>
  <si>
    <t>PTRF</t>
  </si>
  <si>
    <t>ZCCHC8</t>
  </si>
  <si>
    <t>MAN1A1</t>
  </si>
  <si>
    <t>RPUSD3</t>
  </si>
  <si>
    <t>MIS18BP1</t>
  </si>
  <si>
    <t>DHX57</t>
  </si>
  <si>
    <t>MRPL54</t>
  </si>
  <si>
    <t>CDC73</t>
  </si>
  <si>
    <t>PMF1</t>
  </si>
  <si>
    <t>GTF2H2C</t>
  </si>
  <si>
    <t>FAM117B</t>
  </si>
  <si>
    <t>MRPL14</t>
  </si>
  <si>
    <t>ARMCX5</t>
  </si>
  <si>
    <t>CC2D1A</t>
  </si>
  <si>
    <t>TATDN1</t>
  </si>
  <si>
    <t>METTL2B</t>
  </si>
  <si>
    <t>DUS1L</t>
  </si>
  <si>
    <t>C8orf82</t>
  </si>
  <si>
    <t>STAG1</t>
  </si>
  <si>
    <t>MED27</t>
  </si>
  <si>
    <t>ZFP1</t>
  </si>
  <si>
    <t>EDC4</t>
  </si>
  <si>
    <t>CEP85</t>
  </si>
  <si>
    <t>FAHD2B</t>
  </si>
  <si>
    <t>PRMT10</t>
  </si>
  <si>
    <t>PRPF8</t>
  </si>
  <si>
    <t>DENND1B</t>
  </si>
  <si>
    <t>FBXO42</t>
  </si>
  <si>
    <t>SCYL2</t>
  </si>
  <si>
    <t>TTC27</t>
  </si>
  <si>
    <t>PLBD1</t>
  </si>
  <si>
    <t>FDX1L</t>
  </si>
  <si>
    <t>WDR73</t>
  </si>
  <si>
    <t>MAGT1</t>
  </si>
  <si>
    <t>MZT2A</t>
  </si>
  <si>
    <t>FAHD1</t>
  </si>
  <si>
    <t>PKN3</t>
  </si>
  <si>
    <t>ANKRD16</t>
  </si>
  <si>
    <t>ALKBH5</t>
  </si>
  <si>
    <t>INTS5</t>
  </si>
  <si>
    <t>RSBN1L</t>
  </si>
  <si>
    <t>PGM2L1</t>
  </si>
  <si>
    <t>FBXL19</t>
  </si>
  <si>
    <t>CTR9</t>
  </si>
  <si>
    <t>AAGAB</t>
  </si>
  <si>
    <t>FAM199X</t>
  </si>
  <si>
    <t>PPIP5K1</t>
  </si>
  <si>
    <t>PSRC1</t>
  </si>
  <si>
    <t>C16orf87</t>
  </si>
  <si>
    <t>ULK3</t>
  </si>
  <si>
    <t>DARS2</t>
  </si>
  <si>
    <t>TTC33</t>
  </si>
  <si>
    <t>CCDC174</t>
  </si>
  <si>
    <t>HAGHL</t>
  </si>
  <si>
    <t>FBXO38</t>
  </si>
  <si>
    <t>FIGNL1</t>
  </si>
  <si>
    <t>FBXO46</t>
  </si>
  <si>
    <t>TRIM65</t>
  </si>
  <si>
    <t>ELMSAN1</t>
  </si>
  <si>
    <t>BRAT1</t>
  </si>
  <si>
    <t>WDR59</t>
  </si>
  <si>
    <t>DCLRE1A</t>
  </si>
  <si>
    <t>ZC3H14</t>
  </si>
  <si>
    <t>CNST</t>
  </si>
  <si>
    <t>CCDC137</t>
  </si>
  <si>
    <t>ZNF773</t>
  </si>
  <si>
    <t>LARP1</t>
  </si>
  <si>
    <t>ATAD2</t>
  </si>
  <si>
    <t>TMED8</t>
  </si>
  <si>
    <t>BLOC1S3</t>
  </si>
  <si>
    <t>BLOC1S2</t>
  </si>
  <si>
    <t>RICTOR</t>
  </si>
  <si>
    <t>BRWD3</t>
  </si>
  <si>
    <t>AGTRAP</t>
  </si>
  <si>
    <t>SAMD1</t>
  </si>
  <si>
    <t>SMARCD3</t>
  </si>
  <si>
    <t>LPPR3</t>
  </si>
  <si>
    <t>MTHFD1L</t>
  </si>
  <si>
    <t>ANKRD12</t>
  </si>
  <si>
    <t>ANKRD11</t>
  </si>
  <si>
    <t>AFTPH</t>
  </si>
  <si>
    <t>FIP1L1</t>
  </si>
  <si>
    <t>CRTC3</t>
  </si>
  <si>
    <t>CRTC1</t>
  </si>
  <si>
    <t>SASS6</t>
  </si>
  <si>
    <t>KDELC1</t>
  </si>
  <si>
    <t>LRSAM1</t>
  </si>
  <si>
    <t>DHRS11</t>
  </si>
  <si>
    <t>SBSN</t>
  </si>
  <si>
    <t>CWC27</t>
  </si>
  <si>
    <t>CRELD2</t>
  </si>
  <si>
    <t>WDR82</t>
  </si>
  <si>
    <t>APOOL</t>
  </si>
  <si>
    <t>ADAMTSL4</t>
  </si>
  <si>
    <t>FAT4</t>
  </si>
  <si>
    <t>PACS1</t>
  </si>
  <si>
    <t>BCOR</t>
  </si>
  <si>
    <t>RAB11FIP1</t>
  </si>
  <si>
    <t>IGSF10</t>
  </si>
  <si>
    <t>NAPRT1</t>
  </si>
  <si>
    <t>DSTYK</t>
  </si>
  <si>
    <t>DNMBP</t>
  </si>
  <si>
    <t>GIGYF2</t>
  </si>
  <si>
    <t>THADA</t>
  </si>
  <si>
    <t>HSDL2</t>
  </si>
  <si>
    <t>CCBL2</t>
  </si>
  <si>
    <t>PPP1R21</t>
  </si>
  <si>
    <t>JHDM1D</t>
  </si>
  <si>
    <t>SYNE3</t>
  </si>
  <si>
    <t>MEX3B</t>
  </si>
  <si>
    <t>ZNF813</t>
  </si>
  <si>
    <t>LIN28B</t>
  </si>
  <si>
    <t>MACC1</t>
  </si>
  <si>
    <t>DEF8</t>
  </si>
  <si>
    <t>ZNF574</t>
  </si>
  <si>
    <t>ZNF600</t>
  </si>
  <si>
    <t>NBEAL2</t>
  </si>
  <si>
    <t>GDPGP1</t>
  </si>
  <si>
    <t>SLCO4C1</t>
  </si>
  <si>
    <t>QSOX2</t>
  </si>
  <si>
    <t>SRCAP</t>
  </si>
  <si>
    <t>RINL</t>
  </si>
  <si>
    <t>FAM65A</t>
  </si>
  <si>
    <t>C1orf122</t>
  </si>
  <si>
    <t>ARHGEF18</t>
  </si>
  <si>
    <t>UBR3</t>
  </si>
  <si>
    <t>SH3BP1</t>
  </si>
  <si>
    <t>ANKRD13D</t>
  </si>
  <si>
    <t>UBN2</t>
  </si>
  <si>
    <t>ARHGAP27</t>
  </si>
  <si>
    <t>C11orf57</t>
  </si>
  <si>
    <t>LANCL3</t>
  </si>
  <si>
    <t>NUDT18</t>
  </si>
  <si>
    <t>TOM1L2</t>
  </si>
  <si>
    <t>PAXIP1</t>
  </si>
  <si>
    <t>GTF2H5</t>
  </si>
  <si>
    <t>VPS13C</t>
  </si>
  <si>
    <t>USP34</t>
  </si>
  <si>
    <t>USP53</t>
  </si>
  <si>
    <t>USP51</t>
  </si>
  <si>
    <t>USP54</t>
  </si>
  <si>
    <t>MOB2</t>
  </si>
  <si>
    <t>UNC13D</t>
  </si>
  <si>
    <t>IKBIP</t>
  </si>
  <si>
    <t>FRA10AC1</t>
  </si>
  <si>
    <t>C10orf71</t>
  </si>
  <si>
    <t>UBE2R2</t>
  </si>
  <si>
    <t>MED13L</t>
  </si>
  <si>
    <t>LARP4</t>
  </si>
  <si>
    <t>MED25</t>
  </si>
  <si>
    <t>TUBA1A</t>
  </si>
  <si>
    <t>H2AFV</t>
  </si>
  <si>
    <t>CBLL1</t>
  </si>
  <si>
    <t>INTS8</t>
  </si>
  <si>
    <t>MTSS1L</t>
  </si>
  <si>
    <t>NOL8</t>
  </si>
  <si>
    <t>SSH2</t>
  </si>
  <si>
    <t>CEP68</t>
  </si>
  <si>
    <t>SUPT6H</t>
  </si>
  <si>
    <t>SND1</t>
  </si>
  <si>
    <t>MARK2</t>
  </si>
  <si>
    <t>RAD51C</t>
  </si>
  <si>
    <t>DDX46</t>
  </si>
  <si>
    <t>RUFY3</t>
  </si>
  <si>
    <t>TRMT10C</t>
  </si>
  <si>
    <t>BZW1</t>
  </si>
  <si>
    <t>CYB5R4</t>
  </si>
  <si>
    <t>MON1B</t>
  </si>
  <si>
    <t>ASRGL1</t>
  </si>
  <si>
    <t>KCTD9</t>
  </si>
  <si>
    <t>EIF3M</t>
  </si>
  <si>
    <t>MEPCE</t>
  </si>
  <si>
    <t>ZNF771</t>
  </si>
  <si>
    <t>PARS2</t>
  </si>
  <si>
    <t>BOP</t>
  </si>
  <si>
    <t>RSRC2</t>
  </si>
  <si>
    <t>RRAGA</t>
  </si>
  <si>
    <t>CYFIP1</t>
  </si>
  <si>
    <t>MCM10</t>
  </si>
  <si>
    <t>GET4</t>
  </si>
  <si>
    <t>ENOSF1</t>
  </si>
  <si>
    <t>DET1</t>
  </si>
  <si>
    <t>MAEA</t>
  </si>
  <si>
    <t>EPM2AIP1</t>
  </si>
  <si>
    <t>TAOK1</t>
  </si>
  <si>
    <t>SH3BP5L</t>
  </si>
  <si>
    <t>FASTKD5</t>
  </si>
  <si>
    <t>ATPBD4</t>
  </si>
  <si>
    <t>ZNF627</t>
  </si>
  <si>
    <t>KDM3B</t>
  </si>
  <si>
    <t>CHMP1B</t>
  </si>
  <si>
    <t>RASGRP2</t>
  </si>
  <si>
    <t>RRM2B</t>
  </si>
  <si>
    <t>STRADA</t>
  </si>
  <si>
    <t>DYM</t>
  </si>
  <si>
    <t>PHF5A</t>
  </si>
  <si>
    <t>APTX</t>
  </si>
  <si>
    <t>GPRIN1</t>
  </si>
  <si>
    <t>TRMT1L</t>
  </si>
  <si>
    <t>ZC3HAV1</t>
  </si>
  <si>
    <t>EFTUD1</t>
  </si>
  <si>
    <t>FAM122B</t>
  </si>
  <si>
    <t>SETX</t>
  </si>
  <si>
    <t>TRAPPC11</t>
  </si>
  <si>
    <t>KANSL1</t>
  </si>
  <si>
    <t>LYSMD3</t>
  </si>
  <si>
    <t>C10orf118</t>
  </si>
  <si>
    <t>C16orf62</t>
  </si>
  <si>
    <t>POGZ</t>
  </si>
  <si>
    <t>MIER3</t>
  </si>
  <si>
    <t>ZFYVE16</t>
  </si>
  <si>
    <t>UBE3B</t>
  </si>
  <si>
    <t>RD3</t>
  </si>
  <si>
    <t>DENND4A</t>
  </si>
  <si>
    <t>MYH14</t>
  </si>
  <si>
    <t>NUFIP2</t>
  </si>
  <si>
    <t>SZRD1</t>
  </si>
  <si>
    <t>MAVS</t>
  </si>
  <si>
    <t>CLASP1</t>
  </si>
  <si>
    <t>DHX29</t>
  </si>
  <si>
    <t>NPHP3</t>
  </si>
  <si>
    <t>COMMD6</t>
  </si>
  <si>
    <t>HDDC2</t>
  </si>
  <si>
    <t>HAUS6</t>
  </si>
  <si>
    <t>KDELC2</t>
  </si>
  <si>
    <t>LIMS2</t>
  </si>
  <si>
    <t>HEATR3</t>
  </si>
  <si>
    <t>KIF21A</t>
  </si>
  <si>
    <t>HDGFRP2</t>
  </si>
  <si>
    <t>DCXR</t>
  </si>
  <si>
    <t>AKNA</t>
  </si>
  <si>
    <t>RAI1</t>
  </si>
  <si>
    <t>WAPAL</t>
  </si>
  <si>
    <t>R3HCC1L</t>
  </si>
  <si>
    <t>IRF2BP2</t>
  </si>
  <si>
    <t>BCDIN3D</t>
  </si>
  <si>
    <t>KCTD20</t>
  </si>
  <si>
    <t>CAMKMT</t>
  </si>
  <si>
    <t>CCDC91</t>
  </si>
  <si>
    <t>RBBP6</t>
  </si>
  <si>
    <t>TSEN54</t>
  </si>
  <si>
    <t>PTAR1</t>
  </si>
  <si>
    <t>TECPR1</t>
  </si>
  <si>
    <t>RABEPK</t>
  </si>
  <si>
    <t>MILR1</t>
  </si>
  <si>
    <t>ADAT2</t>
  </si>
  <si>
    <t>KRT77</t>
  </si>
  <si>
    <t>CNTRL</t>
  </si>
  <si>
    <t>CTU1</t>
  </si>
  <si>
    <t>PXK</t>
  </si>
  <si>
    <t>TAF8</t>
  </si>
  <si>
    <t>UBE2Q1</t>
  </si>
  <si>
    <t>KIAA0907</t>
  </si>
  <si>
    <t>MRPL55</t>
  </si>
  <si>
    <t>VPS13B</t>
  </si>
  <si>
    <t>CMC1</t>
  </si>
  <si>
    <t>CENPV</t>
  </si>
  <si>
    <t>PCGF5</t>
  </si>
  <si>
    <t>NEK8</t>
  </si>
  <si>
    <t>GPR126</t>
  </si>
  <si>
    <t>SDCCAG8</t>
  </si>
  <si>
    <t>GLRX5</t>
  </si>
  <si>
    <t>TRAPPC6B</t>
  </si>
  <si>
    <t>ZBTB33</t>
  </si>
  <si>
    <t>USP37</t>
  </si>
  <si>
    <t>MOB3B</t>
  </si>
  <si>
    <t>PATL1</t>
  </si>
  <si>
    <t>TBC1D1</t>
  </si>
  <si>
    <t>DPP9</t>
  </si>
  <si>
    <t>TADA2B</t>
  </si>
  <si>
    <t>TRPT1</t>
  </si>
  <si>
    <t>PRUNE</t>
  </si>
  <si>
    <t>SETD3</t>
  </si>
  <si>
    <t>LGMN</t>
  </si>
  <si>
    <t>TTC7B</t>
  </si>
  <si>
    <t>ISCA2</t>
  </si>
  <si>
    <t>METTL3</t>
  </si>
  <si>
    <t>LDB1</t>
  </si>
  <si>
    <t>PBRM1</t>
  </si>
  <si>
    <t>YRDC</t>
  </si>
  <si>
    <t>PRPF39</t>
  </si>
  <si>
    <t>MTDH</t>
  </si>
  <si>
    <t>TLK2</t>
  </si>
  <si>
    <t>ZNF598</t>
  </si>
  <si>
    <t>KTN1</t>
  </si>
  <si>
    <t>SMG6</t>
  </si>
  <si>
    <t>BCL9L</t>
  </si>
  <si>
    <t>PHLDB1</t>
  </si>
  <si>
    <t>USP48</t>
  </si>
  <si>
    <t>N4BP2</t>
  </si>
  <si>
    <t>ABCC5</t>
  </si>
  <si>
    <t>STK32C</t>
  </si>
  <si>
    <t>TXNDC5</t>
  </si>
  <si>
    <t>FAM83A</t>
  </si>
  <si>
    <t>NT5DC3</t>
  </si>
  <si>
    <t>AACS</t>
  </si>
  <si>
    <t>LUZP1</t>
  </si>
  <si>
    <t>PNMAL1</t>
  </si>
  <si>
    <t>FAM160B2</t>
  </si>
  <si>
    <t>C11orf74</t>
  </si>
  <si>
    <t>hCG_1980662</t>
  </si>
  <si>
    <t>ZC3H18</t>
  </si>
  <si>
    <t>VPS36</t>
  </si>
  <si>
    <t>TAX1BP1</t>
  </si>
  <si>
    <t>CAND1</t>
  </si>
  <si>
    <t>GLCCI1</t>
  </si>
  <si>
    <t>TXNRD3</t>
  </si>
  <si>
    <t>FAM134C</t>
  </si>
  <si>
    <t>MAP4K2</t>
  </si>
  <si>
    <t>RTTN</t>
  </si>
  <si>
    <t>COMMD7</t>
  </si>
  <si>
    <t>MON1A</t>
  </si>
  <si>
    <t>TSPYL5</t>
  </si>
  <si>
    <t>AMZ2</t>
  </si>
  <si>
    <t>THOC6</t>
  </si>
  <si>
    <t>METTL16</t>
  </si>
  <si>
    <t>PARG</t>
  </si>
  <si>
    <t>BPHL</t>
  </si>
  <si>
    <t>RASSF3</t>
  </si>
  <si>
    <t>CHD1L</t>
  </si>
  <si>
    <t>FCHSD1</t>
  </si>
  <si>
    <t>GPBP1</t>
  </si>
  <si>
    <t>NR2C2AP</t>
  </si>
  <si>
    <t>CCDC25</t>
  </si>
  <si>
    <t>PROSER2</t>
  </si>
  <si>
    <t>LDHD</t>
  </si>
  <si>
    <t>RPS19BP1</t>
  </si>
  <si>
    <t>CDR2L</t>
  </si>
  <si>
    <t>RALGAPB</t>
  </si>
  <si>
    <t>RALGPS2</t>
  </si>
  <si>
    <t>ERICH1</t>
  </si>
  <si>
    <t>CARM1</t>
  </si>
  <si>
    <t>NIT1</t>
  </si>
  <si>
    <t>COMMD2</t>
  </si>
  <si>
    <t>CIR1</t>
  </si>
  <si>
    <t>FBXO11</t>
  </si>
  <si>
    <t>SFR1</t>
  </si>
  <si>
    <t>MEX3D</t>
  </si>
  <si>
    <t>DGKH</t>
  </si>
  <si>
    <t>DDX42</t>
  </si>
  <si>
    <t>VRK2</t>
  </si>
  <si>
    <t>DZIP3</t>
  </si>
  <si>
    <t>COL23A1</t>
  </si>
  <si>
    <t>CACUL1</t>
  </si>
  <si>
    <t>HEATR2</t>
  </si>
  <si>
    <t>PTRH1</t>
  </si>
  <si>
    <t>STX12</t>
  </si>
  <si>
    <t>KIF18B</t>
  </si>
  <si>
    <t>ERO1LB</t>
  </si>
  <si>
    <t>ZNF280B</t>
  </si>
  <si>
    <t>PDSS2</t>
  </si>
  <si>
    <t>HOMER1</t>
  </si>
  <si>
    <t>GATAD2A</t>
  </si>
  <si>
    <t>GPSM1</t>
  </si>
  <si>
    <t>C2CD5</t>
  </si>
  <si>
    <t>SGK223</t>
  </si>
  <si>
    <t>HPS6</t>
  </si>
  <si>
    <t>HRNR</t>
  </si>
  <si>
    <t>DCP2</t>
  </si>
  <si>
    <t>IRF2BP1</t>
  </si>
  <si>
    <t>RHPN2</t>
  </si>
  <si>
    <t>ERC1</t>
  </si>
  <si>
    <t>TGIF2LX</t>
  </si>
  <si>
    <t>MINA</t>
  </si>
  <si>
    <t>MYO18B</t>
  </si>
  <si>
    <t>RBM45</t>
  </si>
  <si>
    <t>CRLF3</t>
  </si>
  <si>
    <t>SIAH1</t>
  </si>
  <si>
    <t>TRAPPC5</t>
  </si>
  <si>
    <t>APOBEC3F</t>
  </si>
  <si>
    <t>AGXT2L2</t>
  </si>
  <si>
    <t>PLD3</t>
  </si>
  <si>
    <t>ANKMY2</t>
  </si>
  <si>
    <t>ERI1</t>
  </si>
  <si>
    <t>LYSMD2</t>
  </si>
  <si>
    <t>VRK3</t>
  </si>
  <si>
    <t>NUDCD3</t>
  </si>
  <si>
    <t>NAV2</t>
  </si>
  <si>
    <t>CCDC50</t>
  </si>
  <si>
    <t>MCAT</t>
  </si>
  <si>
    <t>LOXHD1</t>
  </si>
  <si>
    <t>ARID3B</t>
  </si>
  <si>
    <t>MAPKAPK5</t>
  </si>
  <si>
    <t>CARKD</t>
  </si>
  <si>
    <t>WDFY1</t>
  </si>
  <si>
    <t>TEX2</t>
  </si>
  <si>
    <t>MAP7D3</t>
  </si>
  <si>
    <t>CCDC117</t>
  </si>
  <si>
    <t>DENND6A</t>
  </si>
  <si>
    <t>WDR63</t>
  </si>
  <si>
    <t>MGA</t>
  </si>
  <si>
    <t>GCC2</t>
  </si>
  <si>
    <t>HSCB</t>
  </si>
  <si>
    <t>CCDC28A</t>
  </si>
  <si>
    <t>ZC3H7A</t>
  </si>
  <si>
    <t>ZBTB8OS</t>
  </si>
  <si>
    <t>LMTK2</t>
  </si>
  <si>
    <t>UBR1</t>
  </si>
  <si>
    <t>UBR2</t>
  </si>
  <si>
    <t>ARHGAP12</t>
  </si>
  <si>
    <t>CHERP</t>
  </si>
  <si>
    <t>ZSCAN29</t>
  </si>
  <si>
    <t>CDAN1</t>
  </si>
  <si>
    <t>SUGP1</t>
  </si>
  <si>
    <t>SUGP2</t>
  </si>
  <si>
    <t>UEVLD</t>
  </si>
  <si>
    <t>ZFPM1</t>
  </si>
  <si>
    <t>CCAR1</t>
  </si>
  <si>
    <t>HOMEZ</t>
  </si>
  <si>
    <t>DHX40</t>
  </si>
  <si>
    <t>SKA3</t>
  </si>
  <si>
    <t>DNAJC10</t>
  </si>
  <si>
    <t>NELFCD</t>
  </si>
  <si>
    <t>SIRT2</t>
  </si>
  <si>
    <t>ASXL1</t>
  </si>
  <si>
    <t>PHC2</t>
  </si>
  <si>
    <t>GALNT12</t>
  </si>
  <si>
    <t>MRPL41</t>
  </si>
  <si>
    <t>C9orf40</t>
  </si>
  <si>
    <t>KIAA1704</t>
  </si>
  <si>
    <t>KLHL7</t>
  </si>
  <si>
    <t>FAM126B</t>
  </si>
  <si>
    <t>RPAP2</t>
  </si>
  <si>
    <t>ZC3H3</t>
  </si>
  <si>
    <t>SMC5</t>
  </si>
  <si>
    <t>CMIP</t>
  </si>
  <si>
    <t>IFT20</t>
  </si>
  <si>
    <t>MICALL2</t>
  </si>
  <si>
    <t>DHX37</t>
  </si>
  <si>
    <t>KBTBD2</t>
  </si>
  <si>
    <t>AMOTL1</t>
  </si>
  <si>
    <t>FTSJ3</t>
  </si>
  <si>
    <t>SLX4</t>
  </si>
  <si>
    <t>CKAP2L</t>
  </si>
  <si>
    <t>SMAP1</t>
  </si>
  <si>
    <t>DIS3L2</t>
  </si>
  <si>
    <t>SUPV3L1</t>
  </si>
  <si>
    <t>ZNF595</t>
  </si>
  <si>
    <t>GSPT2</t>
  </si>
  <si>
    <t>CCDC146</t>
  </si>
  <si>
    <t>ZZZ3</t>
  </si>
  <si>
    <t>EXOC8</t>
  </si>
  <si>
    <t>COLGALT2</t>
  </si>
  <si>
    <t>C1orf174</t>
  </si>
  <si>
    <t>TCEAL8</t>
  </si>
  <si>
    <t>UBALD2</t>
  </si>
  <si>
    <t>PTK2</t>
  </si>
  <si>
    <t>THNSL1</t>
  </si>
  <si>
    <t>FTSJD1</t>
  </si>
  <si>
    <t>HACE1</t>
  </si>
  <si>
    <t>MICU2</t>
  </si>
  <si>
    <t>RNF168</t>
  </si>
  <si>
    <t>ANKRD13A</t>
  </si>
  <si>
    <t>C5orf54</t>
  </si>
  <si>
    <t>PHACTR4</t>
  </si>
  <si>
    <t>TRMT2A</t>
  </si>
  <si>
    <t>RPUSD2</t>
  </si>
  <si>
    <t>ALDH16A1</t>
  </si>
  <si>
    <t>MLL5</t>
  </si>
  <si>
    <t>SCYL3</t>
  </si>
  <si>
    <t>XRN1</t>
  </si>
  <si>
    <t>UNC5B</t>
  </si>
  <si>
    <t>MAML2</t>
  </si>
  <si>
    <t>PELP1</t>
  </si>
  <si>
    <t>ABI1</t>
  </si>
  <si>
    <t>WDFY3</t>
  </si>
  <si>
    <t>ASPM</t>
  </si>
  <si>
    <t>RDH10</t>
  </si>
  <si>
    <t>SYCE1</t>
  </si>
  <si>
    <t>C8orf59</t>
  </si>
  <si>
    <t>FUK</t>
  </si>
  <si>
    <t>SPG20</t>
  </si>
  <si>
    <t>ZNF444</t>
  </si>
  <si>
    <t>SPICE1</t>
  </si>
  <si>
    <t>TTC5</t>
  </si>
  <si>
    <t>MIER1</t>
  </si>
  <si>
    <t>RPTOR</t>
  </si>
  <si>
    <t>CNPY4</t>
  </si>
  <si>
    <t>ADSSL1</t>
  </si>
  <si>
    <t>KIAA1967</t>
  </si>
  <si>
    <t>NDUFAF2</t>
  </si>
  <si>
    <t>SIX5</t>
  </si>
  <si>
    <t>C4orf33</t>
  </si>
  <si>
    <t>VPS52</t>
  </si>
  <si>
    <t>NUP93</t>
  </si>
  <si>
    <t>ZNF687</t>
  </si>
  <si>
    <t>REXO1</t>
  </si>
  <si>
    <t>FTSJD2</t>
  </si>
  <si>
    <t>LRRC47</t>
  </si>
  <si>
    <t>FAM115C</t>
  </si>
  <si>
    <t>KRT78</t>
  </si>
  <si>
    <t>CA13</t>
  </si>
  <si>
    <t>INTS1</t>
  </si>
  <si>
    <t>ARMC10</t>
  </si>
  <si>
    <t>ABHD12</t>
  </si>
  <si>
    <t>PIAS4</t>
  </si>
  <si>
    <t>CCDC23</t>
  </si>
  <si>
    <t>AGGF1</t>
  </si>
  <si>
    <t>GPD1L</t>
  </si>
  <si>
    <t>MIER2</t>
  </si>
  <si>
    <t>DOS</t>
  </si>
  <si>
    <t>KDM8</t>
  </si>
  <si>
    <t>ARHGAP18</t>
  </si>
  <si>
    <t>ASCC3</t>
  </si>
  <si>
    <t>EHBP1L1</t>
  </si>
  <si>
    <t>MICALL1</t>
  </si>
  <si>
    <t>C17orf53</t>
  </si>
  <si>
    <t>VPS8</t>
  </si>
  <si>
    <t>MPP5</t>
  </si>
  <si>
    <t>FNBP4</t>
  </si>
  <si>
    <t>LCORL</t>
  </si>
  <si>
    <t>FBXW8</t>
  </si>
  <si>
    <t>D2HGDH</t>
  </si>
  <si>
    <t>RYBP</t>
  </si>
  <si>
    <t>MINK1</t>
  </si>
  <si>
    <t>TOMM5</t>
  </si>
  <si>
    <t>C9orf41</t>
  </si>
  <si>
    <t>KLHL36</t>
  </si>
  <si>
    <t>HDDC3</t>
  </si>
  <si>
    <t>ZADH2</t>
  </si>
  <si>
    <t>CHCHD4</t>
  </si>
  <si>
    <t>CBR4</t>
  </si>
  <si>
    <t>AFAP1</t>
  </si>
  <si>
    <t>ZCCHC9</t>
  </si>
  <si>
    <t>OXR1</t>
  </si>
  <si>
    <t>ZGPAT</t>
  </si>
  <si>
    <t>SRBD1</t>
  </si>
  <si>
    <t>DTWD1</t>
  </si>
  <si>
    <t>TAB3</t>
  </si>
  <si>
    <t>WDTC1</t>
  </si>
  <si>
    <t>NKAP</t>
  </si>
  <si>
    <t>TMEM57</t>
  </si>
  <si>
    <t>C12orf45</t>
  </si>
  <si>
    <t>CISD2</t>
  </si>
  <si>
    <t>RPP25L</t>
  </si>
  <si>
    <t>ATPAF2</t>
  </si>
  <si>
    <t>MRPL50</t>
  </si>
  <si>
    <t>ZC3H8</t>
  </si>
  <si>
    <t>CAMKK1</t>
  </si>
  <si>
    <t>RNF10</t>
  </si>
  <si>
    <t>EIF4E3</t>
  </si>
  <si>
    <t>MSL3</t>
  </si>
  <si>
    <t>FAM160A2</t>
  </si>
  <si>
    <t>LZTR1</t>
  </si>
  <si>
    <t>C10orf12</t>
  </si>
  <si>
    <t>COMMD1</t>
  </si>
  <si>
    <t>ZBTB2</t>
  </si>
  <si>
    <t>CPSF7</t>
  </si>
  <si>
    <t>ARFGAP2</t>
  </si>
  <si>
    <t>OTUD6B</t>
  </si>
  <si>
    <t>C1orf52</t>
  </si>
  <si>
    <t>ACBD7</t>
  </si>
  <si>
    <t>SIRT6</t>
  </si>
  <si>
    <t>ZNF655</t>
  </si>
  <si>
    <t>MAGEB6</t>
  </si>
  <si>
    <t>UBR7</t>
  </si>
  <si>
    <t>PPM1N</t>
  </si>
  <si>
    <t>DDX51</t>
  </si>
  <si>
    <t>PTGR2</t>
  </si>
  <si>
    <t>C2orf69</t>
  </si>
  <si>
    <t>ARL14EP</t>
  </si>
  <si>
    <t>ENAH</t>
  </si>
  <si>
    <t>GPATCH11</t>
  </si>
  <si>
    <t>CEP120</t>
  </si>
  <si>
    <t>CCDC89</t>
  </si>
  <si>
    <t>C12orf29</t>
  </si>
  <si>
    <t>JMY</t>
  </si>
  <si>
    <t>NAT8L</t>
  </si>
  <si>
    <t>ZIC4</t>
  </si>
  <si>
    <t>C19orf47</t>
  </si>
  <si>
    <t>TMEM102</t>
  </si>
  <si>
    <t>BANP</t>
  </si>
  <si>
    <t>LRRC57</t>
  </si>
  <si>
    <t>EIF1AD</t>
  </si>
  <si>
    <t>SREK1IP1</t>
  </si>
  <si>
    <t>SCAI</t>
  </si>
  <si>
    <t>WDSUB1</t>
  </si>
  <si>
    <t>CCDC71L</t>
  </si>
  <si>
    <t>ZNF579</t>
  </si>
  <si>
    <t>ZBTB38</t>
  </si>
  <si>
    <t>TDRD5</t>
  </si>
  <si>
    <t>PRPF38A</t>
  </si>
  <si>
    <t>ZNF511</t>
  </si>
  <si>
    <t>MLKL</t>
  </si>
  <si>
    <t>PDDC1</t>
  </si>
  <si>
    <t>ZNF527</t>
  </si>
  <si>
    <t>ANKRD52</t>
  </si>
  <si>
    <t>KDM1B</t>
  </si>
  <si>
    <t>SPATA5</t>
  </si>
  <si>
    <t>DTWD2</t>
  </si>
  <si>
    <t>NHLRC2</t>
  </si>
  <si>
    <t>AVL9</t>
  </si>
  <si>
    <t>COLGALT1</t>
  </si>
  <si>
    <t>SUMF2</t>
  </si>
  <si>
    <t>POGLUT1</t>
  </si>
  <si>
    <t>UBAC2</t>
  </si>
  <si>
    <t>RDH13</t>
  </si>
  <si>
    <t>SCCPDH</t>
  </si>
  <si>
    <t>INO80E</t>
  </si>
  <si>
    <t>SERBP1</t>
  </si>
  <si>
    <t>LEMD2</t>
  </si>
  <si>
    <t>NOA1</t>
  </si>
  <si>
    <t>CARD10</t>
  </si>
  <si>
    <t>NECAP1</t>
  </si>
  <si>
    <t>FAM98A</t>
  </si>
  <si>
    <t>PLA2G15</t>
  </si>
  <si>
    <t>HJURP</t>
  </si>
  <si>
    <t>TSEN2</t>
  </si>
  <si>
    <t>MTMR14</t>
  </si>
  <si>
    <t>NFATC2IP</t>
  </si>
  <si>
    <t>ZBTB34</t>
  </si>
  <si>
    <t>RNF169</t>
  </si>
  <si>
    <t>PDPR</t>
  </si>
  <si>
    <t>ZBTB44</t>
  </si>
  <si>
    <t>APOA1BP</t>
  </si>
  <si>
    <t>MSANTD4</t>
  </si>
  <si>
    <t>SMG8</t>
  </si>
  <si>
    <t>RNF214</t>
  </si>
  <si>
    <t>PPFIBP2</t>
  </si>
  <si>
    <t>LSM14A</t>
  </si>
  <si>
    <t>CCNY</t>
  </si>
  <si>
    <t>MAPK1IP1L</t>
  </si>
  <si>
    <t>C1orf131</t>
  </si>
  <si>
    <t>PAPD5</t>
  </si>
  <si>
    <t>EHBP1</t>
  </si>
  <si>
    <t>TNRC6A</t>
  </si>
  <si>
    <t>PSD4</t>
  </si>
  <si>
    <t>PHC3</t>
  </si>
  <si>
    <t>CNNM3</t>
  </si>
  <si>
    <t>CPEB3</t>
  </si>
  <si>
    <t>ABCF1</t>
  </si>
  <si>
    <t>PIK3C3</t>
  </si>
  <si>
    <t>GSTCD</t>
  </si>
  <si>
    <t>SRFBP1</t>
  </si>
  <si>
    <t>NGDN</t>
  </si>
  <si>
    <t>SHCBP1</t>
  </si>
  <si>
    <t>PDZD8</t>
  </si>
  <si>
    <t>APPL2</t>
  </si>
  <si>
    <t>NAV1</t>
  </si>
  <si>
    <t>PPHLN1</t>
  </si>
  <si>
    <t>VPS37A</t>
  </si>
  <si>
    <t>MLL3</t>
  </si>
  <si>
    <t>FBXO22</t>
  </si>
  <si>
    <t>LPCAT1</t>
  </si>
  <si>
    <t>DOCK8</t>
  </si>
  <si>
    <t>ZMIZ2</t>
  </si>
  <si>
    <t>ZNF397</t>
  </si>
  <si>
    <t>USP32</t>
  </si>
  <si>
    <t>BOD1L1</t>
  </si>
  <si>
    <t>FLAD1</t>
  </si>
  <si>
    <t>FLCN</t>
  </si>
  <si>
    <t>NUP43</t>
  </si>
  <si>
    <t>NUP37</t>
  </si>
  <si>
    <t>ENGASE</t>
  </si>
  <si>
    <t>TOR1AIP2</t>
  </si>
  <si>
    <t>ABHD11</t>
  </si>
  <si>
    <t>CMAS</t>
  </si>
  <si>
    <t>KBTBD8</t>
  </si>
  <si>
    <t>FBXO18</t>
  </si>
  <si>
    <t>HELB</t>
  </si>
  <si>
    <t>CASC5</t>
  </si>
  <si>
    <t>TTL</t>
  </si>
  <si>
    <t>SVIP</t>
  </si>
  <si>
    <t>ZNRF2</t>
  </si>
  <si>
    <t>TRY6</t>
  </si>
  <si>
    <t>KDM2B</t>
  </si>
  <si>
    <t>PLBD2</t>
  </si>
  <si>
    <t>RASSF8</t>
  </si>
  <si>
    <t>TDRD7</t>
  </si>
  <si>
    <t>NEDD1</t>
  </si>
  <si>
    <t>CDC26</t>
  </si>
  <si>
    <t>NCOA7</t>
  </si>
  <si>
    <t>MCFD2</t>
  </si>
  <si>
    <t>THOC2</t>
  </si>
  <si>
    <t>WDR36</t>
  </si>
  <si>
    <t>CTCFL</t>
  </si>
  <si>
    <t>RP9</t>
  </si>
  <si>
    <t>RFESD</t>
  </si>
  <si>
    <t>SNIP1</t>
  </si>
  <si>
    <t>PPP1R14C</t>
  </si>
  <si>
    <t>GADD45GIP1</t>
  </si>
  <si>
    <t>WDR48</t>
  </si>
  <si>
    <t>CEP76</t>
  </si>
  <si>
    <t>PPP1R35</t>
  </si>
  <si>
    <t>SMARCC2</t>
  </si>
  <si>
    <t>NPLOC4</t>
  </si>
  <si>
    <t>FAM76A</t>
  </si>
  <si>
    <t>GSDMB</t>
  </si>
  <si>
    <t>CXorf38</t>
  </si>
  <si>
    <t>RIN3</t>
  </si>
  <si>
    <t>FBXO30</t>
  </si>
  <si>
    <t>TXNDC9</t>
  </si>
  <si>
    <t>PUM2</t>
  </si>
  <si>
    <t>GOLGA5</t>
  </si>
  <si>
    <t>KLHDC4</t>
  </si>
  <si>
    <t>UBA3</t>
  </si>
  <si>
    <t>ZSCAN18</t>
  </si>
  <si>
    <t>BAHD1</t>
  </si>
  <si>
    <t>NANP</t>
  </si>
  <si>
    <t>FAM213B</t>
  </si>
  <si>
    <t>ZCRB1</t>
  </si>
  <si>
    <t>RAB3IL1</t>
  </si>
  <si>
    <t>PIP4K2C</t>
  </si>
  <si>
    <t>TRMT10A</t>
  </si>
  <si>
    <t>TBC1D15</t>
  </si>
  <si>
    <t>RDH11</t>
  </si>
  <si>
    <t>LRRC20</t>
  </si>
  <si>
    <t>C18orf32</t>
  </si>
  <si>
    <t>NT5C</t>
  </si>
  <si>
    <t>FAM45A</t>
  </si>
  <si>
    <t>KIAA1524</t>
  </si>
  <si>
    <t>ZNF507</t>
  </si>
  <si>
    <t>PNPT1</t>
  </si>
  <si>
    <t>ALMS1</t>
  </si>
  <si>
    <t>URGCP</t>
  </si>
  <si>
    <t>MAPK15</t>
  </si>
  <si>
    <t>BICD2</t>
  </si>
  <si>
    <t>NEK9</t>
  </si>
  <si>
    <t>CHD6</t>
  </si>
  <si>
    <t>GPT2</t>
  </si>
  <si>
    <t>PLEKHO2</t>
  </si>
  <si>
    <t>DNAH3</t>
  </si>
  <si>
    <t>DTX3L</t>
  </si>
  <si>
    <t>DDX54</t>
  </si>
  <si>
    <t>BLOC1S5</t>
  </si>
  <si>
    <t>CHD5</t>
  </si>
  <si>
    <t>DMXL2</t>
  </si>
  <si>
    <t>DLG5</t>
  </si>
  <si>
    <t>CABLES1</t>
  </si>
  <si>
    <t>BRIX1</t>
  </si>
  <si>
    <t>GNPDA2</t>
  </si>
  <si>
    <t>TRAF3IP1</t>
  </si>
  <si>
    <t>NEK7</t>
  </si>
  <si>
    <t>RB1CC1</t>
  </si>
  <si>
    <t>MICAL1</t>
  </si>
  <si>
    <t>PANK1</t>
  </si>
  <si>
    <t>MORC4</t>
  </si>
  <si>
    <t>NSUN6</t>
  </si>
  <si>
    <t>TBCK</t>
  </si>
  <si>
    <t>DTD1</t>
  </si>
  <si>
    <t>DCAF11</t>
  </si>
  <si>
    <t>UTP15</t>
  </si>
  <si>
    <t>DENND1A</t>
  </si>
  <si>
    <t>DOT1L</t>
  </si>
  <si>
    <t>NUP210</t>
  </si>
  <si>
    <t>GEMIN5</t>
  </si>
  <si>
    <t>ARHGEF40</t>
  </si>
  <si>
    <t>FBF1</t>
  </si>
  <si>
    <t>GANC</t>
  </si>
  <si>
    <t>RAPGEF6</t>
  </si>
  <si>
    <t>SMCR8</t>
  </si>
  <si>
    <t>PARD3</t>
  </si>
  <si>
    <t>IPO4</t>
  </si>
  <si>
    <t>PNISR</t>
  </si>
  <si>
    <t>PPP4R1</t>
  </si>
  <si>
    <t>UBASH3B</t>
  </si>
  <si>
    <t>DIS3L</t>
  </si>
  <si>
    <t>ZNF526</t>
  </si>
  <si>
    <t>FBXO41</t>
  </si>
  <si>
    <t>GIPC3</t>
  </si>
  <si>
    <t>WIPF2</t>
  </si>
  <si>
    <t>GSG2</t>
  </si>
  <si>
    <t>ABHD5</t>
  </si>
  <si>
    <t>SETD7</t>
  </si>
  <si>
    <t>COG1</t>
  </si>
  <si>
    <t>PYROXD1</t>
  </si>
  <si>
    <t>MZB1</t>
  </si>
  <si>
    <t>SCFD2</t>
  </si>
  <si>
    <t>SMAP2</t>
  </si>
  <si>
    <t>ZC3H15</t>
  </si>
  <si>
    <t>PPIL4</t>
  </si>
  <si>
    <t>GTF3C2</t>
  </si>
  <si>
    <t>PHF10</t>
  </si>
  <si>
    <t>RAB2B</t>
  </si>
  <si>
    <t>CCDC12</t>
  </si>
  <si>
    <t>CXorf48</t>
  </si>
  <si>
    <t>PPP1R13L</t>
  </si>
  <si>
    <t>FAM172A</t>
  </si>
  <si>
    <t>CHURC1</t>
  </si>
  <si>
    <t>TGFBRAP1</t>
  </si>
  <si>
    <t>C12orf23</t>
  </si>
  <si>
    <t>HDAC7</t>
  </si>
  <si>
    <t>STYX</t>
  </si>
  <si>
    <t>PDCD6IP</t>
  </si>
  <si>
    <t>UBTD2</t>
  </si>
  <si>
    <t>CACTIN</t>
  </si>
  <si>
    <t>C15orf40</t>
  </si>
  <si>
    <t>GATAD1</t>
  </si>
  <si>
    <t>BRK1</t>
  </si>
  <si>
    <t>CHAC2</t>
  </si>
  <si>
    <t>CHMP7</t>
  </si>
  <si>
    <t>BCL7C</t>
  </si>
  <si>
    <t>NSMCE1</t>
  </si>
  <si>
    <t>SNX33</t>
  </si>
  <si>
    <t>MITD1</t>
  </si>
  <si>
    <t>HEXDC</t>
  </si>
  <si>
    <t>CHTF18</t>
  </si>
  <si>
    <t>LEO1</t>
  </si>
  <si>
    <t>RPS21</t>
  </si>
  <si>
    <t>RNF138</t>
  </si>
  <si>
    <t>N6AMT2</t>
  </si>
  <si>
    <t>NUDCD2</t>
  </si>
  <si>
    <t>SNRNP27</t>
  </si>
  <si>
    <t>ANKRD49</t>
  </si>
  <si>
    <t>TFB1M</t>
  </si>
  <si>
    <t>SCFD1</t>
  </si>
  <si>
    <t>TRAPPC12</t>
  </si>
  <si>
    <t>POF1B</t>
  </si>
  <si>
    <t>HNRPLL</t>
  </si>
  <si>
    <t>UBLCP1</t>
  </si>
  <si>
    <t>TSEN15</t>
  </si>
  <si>
    <t>PCNP</t>
  </si>
  <si>
    <t>GTSF1</t>
  </si>
  <si>
    <t>SPRYD4</t>
  </si>
  <si>
    <t>TRUB1</t>
  </si>
  <si>
    <t>SLC44A1</t>
  </si>
  <si>
    <t>SPIRE2</t>
  </si>
  <si>
    <t>PHIP</t>
  </si>
  <si>
    <t>RTN4IP1</t>
  </si>
  <si>
    <t>RASSF5</t>
  </si>
  <si>
    <t>SELM</t>
  </si>
  <si>
    <t>PRPF31</t>
  </si>
  <si>
    <t>EDARADD</t>
  </si>
  <si>
    <t>NELFB</t>
  </si>
  <si>
    <t>SREK1</t>
  </si>
  <si>
    <t>METTL21A</t>
  </si>
  <si>
    <t>GEMIN6</t>
  </si>
  <si>
    <t>CASKIN2</t>
  </si>
  <si>
    <t>ATRIP</t>
  </si>
  <si>
    <t>STON2</t>
  </si>
  <si>
    <t>PSPC1</t>
  </si>
  <si>
    <t>MADD</t>
  </si>
  <si>
    <t>ACOT11</t>
  </si>
  <si>
    <t>GATAD2B</t>
  </si>
  <si>
    <t>MYO3B</t>
  </si>
  <si>
    <t>PIBF1</t>
  </si>
  <si>
    <t>DNAJC9</t>
  </si>
  <si>
    <t>THAP4</t>
  </si>
  <si>
    <t>CTNNBL1</t>
  </si>
  <si>
    <t>KAT6B</t>
  </si>
  <si>
    <t>SSH1</t>
  </si>
  <si>
    <t>ATG4A</t>
  </si>
  <si>
    <t>AHCTF1</t>
  </si>
  <si>
    <t>DGCR8</t>
  </si>
  <si>
    <t>KCTD13</t>
  </si>
  <si>
    <t>TTN</t>
  </si>
  <si>
    <t>ARAP2</t>
  </si>
  <si>
    <t>OVCA2</t>
  </si>
  <si>
    <t>LZIC</t>
  </si>
  <si>
    <t>IRGQ</t>
  </si>
  <si>
    <t>DDB2</t>
  </si>
  <si>
    <t>TFAP2B</t>
  </si>
  <si>
    <t>DDX1</t>
  </si>
  <si>
    <t>HSD17B8</t>
  </si>
  <si>
    <t>H1FX</t>
  </si>
  <si>
    <t>CCT6B</t>
  </si>
  <si>
    <t>GBF1</t>
  </si>
  <si>
    <t>RTF1</t>
  </si>
  <si>
    <t>TM9SF4</t>
  </si>
  <si>
    <t>RGP1</t>
  </si>
  <si>
    <t>TOPBP1</t>
  </si>
  <si>
    <t>IP6K1</t>
  </si>
  <si>
    <t>MRPS27</t>
  </si>
  <si>
    <t>WASF1</t>
  </si>
  <si>
    <t>BAP1</t>
  </si>
  <si>
    <t>FIG4</t>
  </si>
  <si>
    <t>FAM168A</t>
  </si>
  <si>
    <t>AP3S1</t>
  </si>
  <si>
    <t>TSC1</t>
  </si>
  <si>
    <t>UBXN4</t>
  </si>
  <si>
    <t>PHF3</t>
  </si>
  <si>
    <t>SLC9A6</t>
  </si>
  <si>
    <t>MAML1</t>
  </si>
  <si>
    <t>HSPH1</t>
  </si>
  <si>
    <t>SEPT8</t>
  </si>
  <si>
    <t>RQCD1</t>
  </si>
  <si>
    <t>DOCK2</t>
  </si>
  <si>
    <t>TBC1D5</t>
  </si>
  <si>
    <t>ZNF592</t>
  </si>
  <si>
    <t>PHF16</t>
  </si>
  <si>
    <t>MYO18A</t>
  </si>
  <si>
    <t>GCN1L1</t>
  </si>
  <si>
    <t>ZNF516</t>
  </si>
  <si>
    <t>HMHA1</t>
  </si>
  <si>
    <t>NUP205</t>
  </si>
  <si>
    <t>ANKS1A</t>
  </si>
  <si>
    <t>NSMAF</t>
  </si>
  <si>
    <t>GTF3A</t>
  </si>
  <si>
    <t>MRPS31</t>
  </si>
  <si>
    <t>AKAP1</t>
  </si>
  <si>
    <t>NRGN</t>
  </si>
  <si>
    <t>ANP32B</t>
  </si>
  <si>
    <t>PVRL2</t>
  </si>
  <si>
    <t>RABGGTA</t>
  </si>
  <si>
    <t>TFG</t>
  </si>
  <si>
    <t>ARPC1A</t>
  </si>
  <si>
    <t>TAF4B</t>
  </si>
  <si>
    <t>GTF2H4</t>
  </si>
  <si>
    <t>RREB1</t>
  </si>
  <si>
    <t>HDAC2</t>
  </si>
  <si>
    <t>STAM</t>
  </si>
  <si>
    <t>DPF3</t>
  </si>
  <si>
    <t>DPF2</t>
  </si>
  <si>
    <t>CREBBP</t>
  </si>
  <si>
    <t>KAT6A</t>
  </si>
  <si>
    <t>DLG3</t>
  </si>
  <si>
    <t>SYMPK</t>
  </si>
  <si>
    <t>TAF15</t>
  </si>
  <si>
    <t>GOLGA1</t>
  </si>
  <si>
    <t>GGH</t>
  </si>
  <si>
    <t>CORO2A</t>
  </si>
  <si>
    <t>KAT2A</t>
  </si>
  <si>
    <t>RPGR</t>
  </si>
  <si>
    <t>DDX17</t>
  </si>
  <si>
    <t>BCL2L2</t>
  </si>
  <si>
    <t>TANK</t>
  </si>
  <si>
    <t>KIFAP3</t>
  </si>
  <si>
    <t>CASP10</t>
  </si>
  <si>
    <t>SEMA4D</t>
  </si>
  <si>
    <t>RAD50</t>
  </si>
  <si>
    <t>CELF1</t>
  </si>
  <si>
    <t>OSTF1</t>
  </si>
  <si>
    <t>ERCC4</t>
  </si>
  <si>
    <t>GLG1</t>
  </si>
  <si>
    <t>UPF1</t>
  </si>
  <si>
    <t>HPS1</t>
  </si>
  <si>
    <t>COPS5</t>
  </si>
  <si>
    <t>GPKOW</t>
  </si>
  <si>
    <t>SMARCC1</t>
  </si>
  <si>
    <t>SMARCD2</t>
  </si>
  <si>
    <t>KHSRP</t>
  </si>
  <si>
    <t>GCDH</t>
  </si>
  <si>
    <t>TNPO1</t>
  </si>
  <si>
    <t>ARHGEF2</t>
  </si>
  <si>
    <t>EMG1</t>
  </si>
  <si>
    <t>CLP1</t>
  </si>
  <si>
    <t>GLMN</t>
  </si>
  <si>
    <t>KAT5</t>
  </si>
  <si>
    <t>BRF1</t>
  </si>
  <si>
    <t>USP13</t>
  </si>
  <si>
    <t>USP9X</t>
  </si>
  <si>
    <t>NAT6</t>
  </si>
  <si>
    <t>CUL5</t>
  </si>
  <si>
    <t>SECISBP2L</t>
  </si>
  <si>
    <t>MED12</t>
  </si>
  <si>
    <t>TATDN2</t>
  </si>
  <si>
    <t>HIST1H2AC</t>
  </si>
  <si>
    <t>PTP4A1</t>
  </si>
  <si>
    <t>PHKB</t>
  </si>
  <si>
    <t>TSR2</t>
  </si>
  <si>
    <t>GTF3C6</t>
  </si>
  <si>
    <t>HPS3</t>
  </si>
  <si>
    <t>SMARCE1</t>
  </si>
  <si>
    <t>RFK</t>
  </si>
  <si>
    <t>FBXW7</t>
  </si>
  <si>
    <t>POP5</t>
  </si>
  <si>
    <t>C19orf10</t>
  </si>
  <si>
    <t>ZKSCAN4</t>
  </si>
  <si>
    <t>LOH12CR1</t>
  </si>
  <si>
    <t>RNF34</t>
  </si>
  <si>
    <t>LSM10</t>
  </si>
  <si>
    <t>YIPF5</t>
  </si>
  <si>
    <t>L3MBTL2</t>
  </si>
  <si>
    <t>ZNF622</t>
  </si>
  <si>
    <t>GFM2</t>
  </si>
  <si>
    <t>NT5C3B</t>
  </si>
  <si>
    <t>FBXW5</t>
  </si>
  <si>
    <t>CIRH1A</t>
  </si>
  <si>
    <t>GTPBP3</t>
  </si>
  <si>
    <t>TBRG4</t>
  </si>
  <si>
    <t>PPP1R14A</t>
  </si>
  <si>
    <t>CCDC47</t>
  </si>
  <si>
    <t>RNF166</t>
  </si>
  <si>
    <t>SYAP1</t>
  </si>
  <si>
    <t>EXOC4</t>
  </si>
  <si>
    <t>ISOC2</t>
  </si>
  <si>
    <t>NTAN1</t>
  </si>
  <si>
    <t>FERMT2</t>
  </si>
  <si>
    <t>PNPLA2</t>
  </si>
  <si>
    <t>FUBP1</t>
  </si>
  <si>
    <t>LRRC59</t>
  </si>
  <si>
    <t>VTI1A</t>
  </si>
  <si>
    <t>KIAA1143</t>
  </si>
  <si>
    <t>RPE</t>
  </si>
  <si>
    <t>VPS33A</t>
  </si>
  <si>
    <t>EME1</t>
  </si>
  <si>
    <t>TTC28</t>
  </si>
  <si>
    <t>UBE2W</t>
  </si>
  <si>
    <t>C18orf25</t>
  </si>
  <si>
    <t>EXOSC8</t>
  </si>
  <si>
    <t>AKT1S1</t>
  </si>
  <si>
    <t>C10orf32</t>
  </si>
  <si>
    <t>ZNF428</t>
  </si>
  <si>
    <t>SH3KBP1</t>
  </si>
  <si>
    <t>PHF21A</t>
  </si>
  <si>
    <t>SKA1</t>
  </si>
  <si>
    <t>NACC2</t>
  </si>
  <si>
    <t>RNF25</t>
  </si>
  <si>
    <t>PINX1</t>
  </si>
  <si>
    <t>TADA1</t>
  </si>
  <si>
    <t>FAM105B</t>
  </si>
  <si>
    <t>PPWD1</t>
  </si>
  <si>
    <t>SELRC1</t>
  </si>
  <si>
    <t>ZNF669</t>
  </si>
  <si>
    <t>TESC</t>
  </si>
  <si>
    <t>ALKBH8</t>
  </si>
  <si>
    <t>PTER</t>
  </si>
  <si>
    <t>MOB3A</t>
  </si>
  <si>
    <t>ATG2B</t>
  </si>
  <si>
    <t>LENG1</t>
  </si>
  <si>
    <t>TBC1D20</t>
  </si>
  <si>
    <t>ZBTB9</t>
  </si>
  <si>
    <t>FAM136A</t>
  </si>
  <si>
    <t>EFHD2</t>
  </si>
  <si>
    <t>GALM</t>
  </si>
  <si>
    <t>SYTL4</t>
  </si>
  <si>
    <t>PYCR2</t>
  </si>
  <si>
    <t>DCPS</t>
  </si>
  <si>
    <t>PPP1R14B</t>
  </si>
  <si>
    <t>SDCCAG3</t>
  </si>
  <si>
    <t>INTS12</t>
  </si>
  <si>
    <t>NSUN4</t>
  </si>
  <si>
    <t>FBXL8</t>
  </si>
  <si>
    <t>PPCDC</t>
  </si>
  <si>
    <t>CHMP4C</t>
  </si>
  <si>
    <t>EVI5L</t>
  </si>
  <si>
    <t>ISOC1</t>
  </si>
  <si>
    <t>GCC1</t>
  </si>
  <si>
    <t>FLYWCH2</t>
  </si>
  <si>
    <t>HAUS1</t>
  </si>
  <si>
    <t>FAF2</t>
  </si>
  <si>
    <t>CCDC124</t>
  </si>
  <si>
    <t>FOXRED1</t>
  </si>
  <si>
    <t>OPTN</t>
  </si>
  <si>
    <t>AP2M1</t>
  </si>
  <si>
    <t>TUBGCP3</t>
  </si>
  <si>
    <t>SLC7A6OS</t>
  </si>
  <si>
    <t>NMD3</t>
  </si>
  <si>
    <t>REPS1</t>
  </si>
  <si>
    <t>DNAJC19</t>
  </si>
  <si>
    <t>RMDN1</t>
  </si>
  <si>
    <t>TMCO6</t>
  </si>
  <si>
    <t>ECHDC3</t>
  </si>
  <si>
    <t>NUDT16</t>
  </si>
  <si>
    <t>ANAPC16</t>
  </si>
  <si>
    <t>DGCR14</t>
  </si>
  <si>
    <t>CMBL</t>
  </si>
  <si>
    <t>MSI2</t>
  </si>
  <si>
    <t>SNRNP40</t>
  </si>
  <si>
    <t>MBD6</t>
  </si>
  <si>
    <t>LGALS12</t>
  </si>
  <si>
    <t>DNAH11</t>
  </si>
  <si>
    <t>ATG4C</t>
  </si>
  <si>
    <t>ZBTB10</t>
  </si>
  <si>
    <t>ITPKC</t>
  </si>
  <si>
    <t>RSPRY1</t>
  </si>
  <si>
    <t>TRIM44</t>
  </si>
  <si>
    <t>ERLEC1</t>
  </si>
  <si>
    <t>FAM122A</t>
  </si>
  <si>
    <t>MRRF</t>
  </si>
  <si>
    <t>RMI2</t>
  </si>
  <si>
    <t>RBMXL1</t>
  </si>
  <si>
    <t>SPDL1</t>
  </si>
  <si>
    <t>SIRT1</t>
  </si>
  <si>
    <t>HOOK2</t>
  </si>
  <si>
    <t>SEH1L</t>
  </si>
  <si>
    <t>MALSU1</t>
  </si>
  <si>
    <t>THAP11</t>
  </si>
  <si>
    <t>KIAA1279</t>
  </si>
  <si>
    <t>GNPNAT1</t>
  </si>
  <si>
    <t>KTI12</t>
  </si>
  <si>
    <t>MRPL53</t>
  </si>
  <si>
    <t>L3HYPDH</t>
  </si>
  <si>
    <t>MOCOS</t>
  </si>
  <si>
    <t>RNF31</t>
  </si>
  <si>
    <t>CHFR</t>
  </si>
  <si>
    <t>DAZAP1</t>
  </si>
  <si>
    <t>SGTB</t>
  </si>
  <si>
    <t>CCDC101</t>
  </si>
  <si>
    <t>RRP36</t>
  </si>
  <si>
    <t>RBM33</t>
  </si>
  <si>
    <t>DTNBP1</t>
  </si>
  <si>
    <t>HSPBAP1</t>
  </si>
  <si>
    <t>DNAJA3</t>
  </si>
  <si>
    <t>TMA16</t>
  </si>
  <si>
    <t>MVB12A</t>
  </si>
  <si>
    <t>PTCD3</t>
  </si>
  <si>
    <t>MMAB</t>
  </si>
  <si>
    <t>ADAT3</t>
  </si>
  <si>
    <t>MCRS1</t>
  </si>
  <si>
    <t>NRBF2</t>
  </si>
  <si>
    <t>TRIM11</t>
  </si>
  <si>
    <t>CCDC97</t>
  </si>
  <si>
    <t>EDC3</t>
  </si>
  <si>
    <t>DDX11</t>
  </si>
  <si>
    <t>CDCA5</t>
  </si>
  <si>
    <t>DYNLL2</t>
  </si>
  <si>
    <t>WDR89</t>
  </si>
  <si>
    <t>CPNE2</t>
  </si>
  <si>
    <t>DTD2</t>
  </si>
  <si>
    <t>SIPA1</t>
  </si>
  <si>
    <t>IFT43</t>
  </si>
  <si>
    <t>SCRN2</t>
  </si>
  <si>
    <t>THOC1</t>
  </si>
  <si>
    <t>DPH3</t>
  </si>
  <si>
    <t>TRMT61A</t>
  </si>
  <si>
    <t>PGM2</t>
  </si>
  <si>
    <t>MED8</t>
  </si>
  <si>
    <t>CCDC104</t>
  </si>
  <si>
    <t>DUS3L</t>
  </si>
  <si>
    <t>OTUD5</t>
  </si>
  <si>
    <t>LTV1</t>
  </si>
  <si>
    <t>SDSL</t>
  </si>
  <si>
    <t>CEP95</t>
  </si>
  <si>
    <t>DCUN1D1</t>
  </si>
  <si>
    <t>TRMT2B</t>
  </si>
  <si>
    <t>FAHD2A</t>
  </si>
  <si>
    <t>SMARCD1</t>
  </si>
  <si>
    <t>TOE1</t>
  </si>
  <si>
    <t>DDX27</t>
  </si>
  <si>
    <t>C17orf59</t>
  </si>
  <si>
    <t>C5orf30</t>
  </si>
  <si>
    <t>MARS2</t>
  </si>
  <si>
    <t>ATXN7L3B</t>
  </si>
  <si>
    <t>MASTL</t>
  </si>
  <si>
    <t>APIP</t>
  </si>
  <si>
    <t>ZC2HC1A</t>
  </si>
  <si>
    <t>LIN37</t>
  </si>
  <si>
    <t>SNF8</t>
  </si>
  <si>
    <t>RBM18</t>
  </si>
  <si>
    <t>ZC3HAV1L</t>
  </si>
  <si>
    <t>TONSL</t>
  </si>
  <si>
    <t>CCDC120</t>
  </si>
  <si>
    <t>PDLIM5</t>
  </si>
  <si>
    <t>ERO1L</t>
  </si>
  <si>
    <t>C7orf55</t>
  </si>
  <si>
    <t>AHCYL2</t>
  </si>
  <si>
    <t>OXNAD1</t>
  </si>
  <si>
    <t>CDKN2AIPNL</t>
  </si>
  <si>
    <t>NAF1</t>
  </si>
  <si>
    <t>PGAM5</t>
  </si>
  <si>
    <t>INTS4</t>
  </si>
  <si>
    <t>DDRGK1</t>
  </si>
  <si>
    <t>DHTKD1</t>
  </si>
  <si>
    <t>SCLY</t>
  </si>
  <si>
    <t>PYURF</t>
  </si>
  <si>
    <t>FUBP3</t>
  </si>
  <si>
    <t>RBM17</t>
  </si>
  <si>
    <t>WBSCR16</t>
  </si>
  <si>
    <t>NARS2</t>
  </si>
  <si>
    <t>SUCLG2</t>
  </si>
  <si>
    <t>LRCH3</t>
  </si>
  <si>
    <t>GMPPA</t>
  </si>
  <si>
    <t>BOD1</t>
  </si>
  <si>
    <t>ZNF845</t>
  </si>
  <si>
    <t>ABHD14B</t>
  </si>
  <si>
    <t>NGLY1</t>
  </si>
  <si>
    <t>NSL1</t>
  </si>
  <si>
    <t>PAWR</t>
  </si>
  <si>
    <t>RBM41</t>
  </si>
  <si>
    <t>RSRC1</t>
  </si>
  <si>
    <t>THOC3</t>
  </si>
  <si>
    <t>ITCH</t>
  </si>
  <si>
    <t>WNK4</t>
  </si>
  <si>
    <t>COG3</t>
  </si>
  <si>
    <t>HIC2</t>
  </si>
  <si>
    <t>CDK5RAP3</t>
  </si>
  <si>
    <t>VPS39</t>
  </si>
  <si>
    <t>EAF1</t>
  </si>
  <si>
    <t>CCDC132</t>
  </si>
  <si>
    <t>VCPIP1</t>
  </si>
  <si>
    <t>SPG11</t>
  </si>
  <si>
    <t>DCAF5</t>
  </si>
  <si>
    <t>MAML3</t>
  </si>
  <si>
    <t>CHAMP1</t>
  </si>
  <si>
    <t>L3MBTL3</t>
  </si>
  <si>
    <t>CCDC136</t>
  </si>
  <si>
    <t>ZFP91</t>
  </si>
  <si>
    <t>PGBD1</t>
  </si>
  <si>
    <t>BTF3L4</t>
  </si>
  <si>
    <t>C8orf76</t>
  </si>
  <si>
    <t>ZNF668</t>
  </si>
  <si>
    <t>ZNF521</t>
  </si>
  <si>
    <t>PBK</t>
  </si>
  <si>
    <t>ARL5B</t>
  </si>
  <si>
    <t>DNAJC1</t>
  </si>
  <si>
    <t>SCYL1</t>
  </si>
  <si>
    <t>ZNF512B</t>
  </si>
  <si>
    <t>EXOC2</t>
  </si>
  <si>
    <t>CNDP2</t>
  </si>
  <si>
    <t>ZFR</t>
  </si>
  <si>
    <t>EP400</t>
  </si>
  <si>
    <t>SNX27</t>
  </si>
  <si>
    <t>KIF16B</t>
  </si>
  <si>
    <t>PRMT6</t>
  </si>
  <si>
    <t>IFT74</t>
  </si>
  <si>
    <t>SENP8</t>
  </si>
  <si>
    <t>CNOT6L</t>
  </si>
  <si>
    <t>UBXN10</t>
  </si>
  <si>
    <t>UBE2E2</t>
  </si>
  <si>
    <t>C9orf72</t>
  </si>
  <si>
    <t>RMDN2</t>
  </si>
  <si>
    <t>PRRC1</t>
  </si>
  <si>
    <t>FBXL18</t>
  </si>
  <si>
    <t>ZNF512</t>
  </si>
  <si>
    <t>NDNL2</t>
  </si>
  <si>
    <t>HEXIM2</t>
  </si>
  <si>
    <t>YTHDC1</t>
  </si>
  <si>
    <t>CCDC43</t>
  </si>
  <si>
    <t>COG8</t>
  </si>
  <si>
    <t>ZNF48</t>
  </si>
  <si>
    <t>WDR92</t>
  </si>
  <si>
    <t>C20orf112</t>
  </si>
  <si>
    <t>C16orf55</t>
  </si>
  <si>
    <t>C7orf26</t>
  </si>
  <si>
    <t>ENTHD2</t>
  </si>
  <si>
    <t>MBOAT7</t>
  </si>
  <si>
    <t>DOCK7</t>
  </si>
  <si>
    <t>RILP</t>
  </si>
  <si>
    <t>FOPNL</t>
  </si>
  <si>
    <t>ZNF830</t>
  </si>
  <si>
    <t>ZMAT2</t>
  </si>
  <si>
    <t>C8orf37</t>
  </si>
  <si>
    <t>NAP1L5</t>
  </si>
  <si>
    <t>NSUN5</t>
  </si>
  <si>
    <t>RPRD1A</t>
  </si>
  <si>
    <t>AGAP3</t>
  </si>
  <si>
    <t>ARAP1</t>
  </si>
  <si>
    <t>IPO9</t>
  </si>
  <si>
    <t>AP1S3</t>
  </si>
  <si>
    <t>RBM14</t>
  </si>
  <si>
    <t>RCHY1</t>
  </si>
  <si>
    <t>ZNF385A</t>
  </si>
  <si>
    <t>ZNF317</t>
  </si>
  <si>
    <t>NEDD4L</t>
  </si>
  <si>
    <t>QKI</t>
  </si>
  <si>
    <t>LENG8</t>
  </si>
  <si>
    <t>FMNL2</t>
  </si>
  <si>
    <t>NEK1</t>
  </si>
  <si>
    <t>PUS7</t>
  </si>
  <si>
    <t>TRAPPC9</t>
  </si>
  <si>
    <t>TRNT1</t>
  </si>
  <si>
    <t>SMG1</t>
  </si>
  <si>
    <t>ALS2</t>
  </si>
  <si>
    <t>TMEM237</t>
  </si>
  <si>
    <t>KIF20B</t>
  </si>
  <si>
    <t>PPP1R10</t>
  </si>
  <si>
    <t>FYTTD1</t>
  </si>
  <si>
    <t>ATAD5</t>
  </si>
  <si>
    <t>RAB3IP</t>
  </si>
  <si>
    <t>MTMR9</t>
  </si>
  <si>
    <t>VPS35</t>
  </si>
  <si>
    <t>PURB</t>
  </si>
  <si>
    <t>PHF12</t>
  </si>
  <si>
    <t>ACCS</t>
  </si>
  <si>
    <t>XPO6</t>
  </si>
  <si>
    <t>MAGI1</t>
  </si>
  <si>
    <t>SPAG5</t>
  </si>
  <si>
    <t>NACC1</t>
  </si>
  <si>
    <t>SNX18</t>
  </si>
  <si>
    <t>PASK</t>
  </si>
  <si>
    <t>UIMC1</t>
  </si>
  <si>
    <t>VPS13A</t>
  </si>
  <si>
    <t>MED15</t>
  </si>
  <si>
    <t>GFM1</t>
  </si>
  <si>
    <t>MCCC1</t>
  </si>
  <si>
    <t>CAMKK2</t>
  </si>
  <si>
    <t>TGS1</t>
  </si>
  <si>
    <t>NUDCD1</t>
  </si>
  <si>
    <t>ERBB2IP</t>
  </si>
  <si>
    <t>USP28</t>
  </si>
  <si>
    <t>FNBP1</t>
  </si>
  <si>
    <t>IFT140</t>
  </si>
  <si>
    <t>WDR24</t>
  </si>
  <si>
    <t>C16orf13</t>
  </si>
  <si>
    <t>RPS6KC1</t>
  </si>
  <si>
    <t>TP53RK</t>
  </si>
  <si>
    <t>PIGS</t>
  </si>
  <si>
    <t>WRNIP1</t>
  </si>
  <si>
    <t>RANBP9</t>
  </si>
  <si>
    <t>CLCC1</t>
  </si>
  <si>
    <t>UBL7</t>
  </si>
  <si>
    <t>LYSMD1</t>
  </si>
  <si>
    <t>CCNL2</t>
  </si>
  <si>
    <t>PLEKHF1</t>
  </si>
  <si>
    <t>PPP1R9B</t>
  </si>
  <si>
    <t>SMC6</t>
  </si>
  <si>
    <t>KCTD15</t>
  </si>
  <si>
    <t>STRBP</t>
  </si>
  <si>
    <t>TMEM209</t>
  </si>
  <si>
    <t>CDK5RAP2</t>
  </si>
  <si>
    <t>IWS1</t>
  </si>
  <si>
    <t>SIN3A</t>
  </si>
  <si>
    <t>OSBPL9</t>
  </si>
  <si>
    <t>CRBN</t>
  </si>
  <si>
    <t>VWA9</t>
  </si>
  <si>
    <t>ADO</t>
  </si>
  <si>
    <t>SECISBP2</t>
  </si>
  <si>
    <t>RSF1</t>
  </si>
  <si>
    <t>RBM15</t>
  </si>
  <si>
    <t>RUFY1</t>
  </si>
  <si>
    <t>SPEN</t>
  </si>
  <si>
    <t>PNKP</t>
  </si>
  <si>
    <t>MMS19</t>
  </si>
  <si>
    <t>UHRF1</t>
  </si>
  <si>
    <t>FAM129B</t>
  </si>
  <si>
    <t>RMDN3</t>
  </si>
  <si>
    <t>TCF12</t>
  </si>
  <si>
    <t>MYCBP</t>
  </si>
  <si>
    <t>TBCB</t>
  </si>
  <si>
    <t>PSMB7</t>
  </si>
  <si>
    <t>PCYT2</t>
  </si>
  <si>
    <t>KRT12</t>
  </si>
  <si>
    <t>CDC5L</t>
  </si>
  <si>
    <t>PSMD1</t>
  </si>
  <si>
    <t>PFDN5</t>
  </si>
  <si>
    <t>PAFAH2</t>
  </si>
  <si>
    <t>PARK7</t>
  </si>
  <si>
    <t>GAS2L1</t>
  </si>
  <si>
    <t>NEU1</t>
  </si>
  <si>
    <t>SORT1</t>
  </si>
  <si>
    <t>VAT1</t>
  </si>
  <si>
    <t>PLIN2</t>
  </si>
  <si>
    <t>DNAJC2</t>
  </si>
  <si>
    <t>MPHOSPH8</t>
  </si>
  <si>
    <t>NUP88</t>
  </si>
  <si>
    <t>PIK3R4</t>
  </si>
  <si>
    <t>POP1</t>
  </si>
  <si>
    <t>TSC22D3</t>
  </si>
  <si>
    <t>MNT</t>
  </si>
  <si>
    <t>S100A13</t>
  </si>
  <si>
    <t>SCAF11</t>
  </si>
  <si>
    <t>TSNAX</t>
  </si>
  <si>
    <t>ELF4</t>
  </si>
  <si>
    <t>SEPHS2</t>
  </si>
  <si>
    <t>TTC1</t>
  </si>
  <si>
    <t>DNAJC7</t>
  </si>
  <si>
    <t>C12orf57</t>
  </si>
  <si>
    <t>PRPF18</t>
  </si>
  <si>
    <t>RAD9A</t>
  </si>
  <si>
    <t>PKMYT1</t>
  </si>
  <si>
    <t>CHP1</t>
  </si>
  <si>
    <t>KIF2C</t>
  </si>
  <si>
    <t>DOK1</t>
  </si>
  <si>
    <t>MTR</t>
  </si>
  <si>
    <t>RBBP8</t>
  </si>
  <si>
    <t>HSD17B10</t>
  </si>
  <si>
    <t>BARD1</t>
  </si>
  <si>
    <t>NAP1L4</t>
  </si>
  <si>
    <t>NAPG</t>
  </si>
  <si>
    <t>TXN2</t>
  </si>
  <si>
    <t>ATP5S</t>
  </si>
  <si>
    <t>APBA2</t>
  </si>
  <si>
    <t>MIPEP</t>
  </si>
  <si>
    <t>ACO2</t>
  </si>
  <si>
    <t>CCT7</t>
  </si>
  <si>
    <t>MYD88</t>
  </si>
  <si>
    <t>EBNA1BP2</t>
  </si>
  <si>
    <t>ARID3A</t>
  </si>
  <si>
    <t>HAUS7</t>
  </si>
  <si>
    <t>HIST1H2AJ</t>
  </si>
  <si>
    <t>HIST1H2BM</t>
  </si>
  <si>
    <t>BAG1</t>
  </si>
  <si>
    <t>ATF6B</t>
  </si>
  <si>
    <t>RNF5</t>
  </si>
  <si>
    <t>PTPN18</t>
  </si>
  <si>
    <t>DUSP9</t>
  </si>
  <si>
    <t>SH3GL1</t>
  </si>
  <si>
    <t>SH3GL3</t>
  </si>
  <si>
    <t>VRK1</t>
  </si>
  <si>
    <t>AKAP9</t>
  </si>
  <si>
    <t>NIPSNAP1</t>
  </si>
  <si>
    <t>NCAPG</t>
  </si>
  <si>
    <t>ARPC5L</t>
  </si>
  <si>
    <t>MICU1</t>
  </si>
  <si>
    <t>C7orf25</t>
  </si>
  <si>
    <t>PAIP2</t>
  </si>
  <si>
    <t>MAPKAP1</t>
  </si>
  <si>
    <t>DDX50</t>
  </si>
  <si>
    <t>ELAC2</t>
  </si>
  <si>
    <t>GRWD1</t>
  </si>
  <si>
    <t>MACROD1</t>
  </si>
  <si>
    <t>TCF25</t>
  </si>
  <si>
    <t>KLHDC3</t>
  </si>
  <si>
    <t>WDR77</t>
  </si>
  <si>
    <t>VKORC1</t>
  </si>
  <si>
    <t>DPH2</t>
  </si>
  <si>
    <t>TUBA1C</t>
  </si>
  <si>
    <t>APOL2</t>
  </si>
  <si>
    <t>BCL7B</t>
  </si>
  <si>
    <t>SENP7</t>
  </si>
  <si>
    <t>MYBBP1A</t>
  </si>
  <si>
    <t>NUDT12</t>
  </si>
  <si>
    <t>AIF1L</t>
  </si>
  <si>
    <t>MGME1</t>
  </si>
  <si>
    <t>GORASP1</t>
  </si>
  <si>
    <t>FYCO1</t>
  </si>
  <si>
    <t>RHOXF2</t>
  </si>
  <si>
    <t>ACBD6</t>
  </si>
  <si>
    <t>CORO1B</t>
  </si>
  <si>
    <t>TXNDC17</t>
  </si>
  <si>
    <t>BUD13</t>
  </si>
  <si>
    <t>CPPED1</t>
  </si>
  <si>
    <t>VPS25</t>
  </si>
  <si>
    <t>SDF4</t>
  </si>
  <si>
    <t>PDCD2L</t>
  </si>
  <si>
    <t>PAAF1</t>
  </si>
  <si>
    <t>WIBG</t>
  </si>
  <si>
    <t>ZKSCAN3</t>
  </si>
  <si>
    <t>ADPGK</t>
  </si>
  <si>
    <t>GPATCH1</t>
  </si>
  <si>
    <t>ARHGAP9</t>
  </si>
  <si>
    <t>RIOK1</t>
  </si>
  <si>
    <t>MIEN1</t>
  </si>
  <si>
    <t>GINS4</t>
  </si>
  <si>
    <t>SIKE1</t>
  </si>
  <si>
    <t>PELO</t>
  </si>
  <si>
    <t>GINS3</t>
  </si>
  <si>
    <t>WDR83</t>
  </si>
  <si>
    <t>TRIM56</t>
  </si>
  <si>
    <t>ERP44</t>
  </si>
  <si>
    <t>ATG101</t>
  </si>
  <si>
    <t>NOL10</t>
  </si>
  <si>
    <t>NTPCR</t>
  </si>
  <si>
    <t>TMEM79</t>
  </si>
  <si>
    <t>HERPUD2</t>
  </si>
  <si>
    <t>C2orf88</t>
  </si>
  <si>
    <t>TACO1</t>
  </si>
  <si>
    <t>HDHD3</t>
  </si>
  <si>
    <t>TINF2</t>
  </si>
  <si>
    <t>TUBGCP2</t>
  </si>
  <si>
    <t>C17orf80</t>
  </si>
  <si>
    <t>ESYT1</t>
  </si>
  <si>
    <t>UBAC1</t>
  </si>
  <si>
    <t>PCGF1</t>
  </si>
  <si>
    <t>CCM2</t>
  </si>
  <si>
    <t>YIPF4</t>
  </si>
  <si>
    <t>RTKN</t>
  </si>
  <si>
    <t>C16orf70</t>
  </si>
  <si>
    <t>NAA11</t>
  </si>
  <si>
    <t>TSEN34</t>
  </si>
  <si>
    <t>EFCAB4B</t>
  </si>
  <si>
    <t>CHCHD5</t>
  </si>
  <si>
    <t>CNPY3</t>
  </si>
  <si>
    <t>HAUS8</t>
  </si>
  <si>
    <t>ALKBH7</t>
  </si>
  <si>
    <t>PSMG3</t>
  </si>
  <si>
    <t>COPS4</t>
  </si>
  <si>
    <t>TCHP</t>
  </si>
  <si>
    <t>WAC</t>
  </si>
  <si>
    <t>DIDO1</t>
  </si>
  <si>
    <t>RBM42</t>
  </si>
  <si>
    <t>DCTN5</t>
  </si>
  <si>
    <t>MCMBP</t>
  </si>
  <si>
    <t>AARSD1</t>
  </si>
  <si>
    <t>DCUN1D5</t>
  </si>
  <si>
    <t>THUMPD2</t>
  </si>
  <si>
    <t>PAGR1</t>
  </si>
  <si>
    <t>FAM103A1</t>
  </si>
  <si>
    <t>URM1</t>
  </si>
  <si>
    <t>ANP32E</t>
  </si>
  <si>
    <t>MED10</t>
  </si>
  <si>
    <t>WDR85</t>
  </si>
  <si>
    <t>TBCD</t>
  </si>
  <si>
    <t>TTPAL</t>
  </si>
  <si>
    <t>FUCA2</t>
  </si>
  <si>
    <t>FAM203A</t>
  </si>
  <si>
    <t>THTPA</t>
  </si>
  <si>
    <t>CENPO</t>
  </si>
  <si>
    <t>MMTAG2</t>
  </si>
  <si>
    <t>DOHH</t>
  </si>
  <si>
    <t>C11orf84</t>
  </si>
  <si>
    <t>ADAT1</t>
  </si>
  <si>
    <t>MKNK1</t>
  </si>
  <si>
    <t>MED18</t>
  </si>
  <si>
    <t>TUBB6</t>
  </si>
  <si>
    <t>C9orf142</t>
  </si>
  <si>
    <t>POLR3C</t>
  </si>
  <si>
    <t>HNRNPUL1</t>
  </si>
  <si>
    <t>MSTO1</t>
  </si>
  <si>
    <t>RPP25</t>
  </si>
  <si>
    <t>CCDC28B</t>
  </si>
  <si>
    <t>EFHD1</t>
  </si>
  <si>
    <t>DDX23</t>
  </si>
  <si>
    <t>WRAP53</t>
  </si>
  <si>
    <t>BDH2</t>
  </si>
  <si>
    <t>FAM195A</t>
  </si>
  <si>
    <t>C9orf16</t>
  </si>
  <si>
    <t>C1orf50</t>
  </si>
  <si>
    <t>MRI1</t>
  </si>
  <si>
    <t>WDR18</t>
  </si>
  <si>
    <t>VAMP8</t>
  </si>
  <si>
    <t>THUMPD3</t>
  </si>
  <si>
    <t>ADI1</t>
  </si>
  <si>
    <t>RNF126</t>
  </si>
  <si>
    <t>CEP250</t>
  </si>
  <si>
    <t>MECR</t>
  </si>
  <si>
    <t>NTMT1</t>
  </si>
  <si>
    <t>KATNB1</t>
  </si>
  <si>
    <t>TUBB2B</t>
  </si>
  <si>
    <t>DSCC1</t>
  </si>
  <si>
    <t>TMEM109</t>
  </si>
  <si>
    <t>PBDC1</t>
  </si>
  <si>
    <t>PHF20</t>
  </si>
  <si>
    <t>NOC4L</t>
  </si>
  <si>
    <t>UTP14A</t>
  </si>
  <si>
    <t>DUSP23</t>
  </si>
  <si>
    <t>TMED9</t>
  </si>
  <si>
    <t>SELO</t>
  </si>
  <si>
    <t>DPCD</t>
  </si>
  <si>
    <t>GGACT</t>
  </si>
  <si>
    <t>GNL3</t>
  </si>
  <si>
    <t>SPATA5L1</t>
  </si>
  <si>
    <t>TUBGCP4</t>
  </si>
  <si>
    <t>RIOK2</t>
  </si>
  <si>
    <t>SARG</t>
  </si>
  <si>
    <t>KIFC1</t>
  </si>
  <si>
    <t>NUP85</t>
  </si>
  <si>
    <t>DDA1</t>
  </si>
  <si>
    <t>KATNAL1</t>
  </si>
  <si>
    <t>CINP</t>
  </si>
  <si>
    <t>HIRIP3</t>
  </si>
  <si>
    <t>IFT27</t>
  </si>
  <si>
    <t>NUDT9</t>
  </si>
  <si>
    <t>TARS2</t>
  </si>
  <si>
    <t>ACAT2</t>
  </si>
  <si>
    <t>REPIN1</t>
  </si>
  <si>
    <t>RBM4</t>
  </si>
  <si>
    <t>RPAP1</t>
  </si>
  <si>
    <t>SF3B5</t>
  </si>
  <si>
    <t>PRR14</t>
  </si>
  <si>
    <t>CHID1</t>
  </si>
  <si>
    <t>PAPOLG</t>
  </si>
  <si>
    <t>SLC4A1AP</t>
  </si>
  <si>
    <t>SSBP3</t>
  </si>
  <si>
    <t>SSDP4</t>
  </si>
  <si>
    <t>APOL6</t>
  </si>
  <si>
    <t>GTPBP2</t>
  </si>
  <si>
    <t>BRIP1</t>
  </si>
  <si>
    <t>SORBS1</t>
  </si>
  <si>
    <t>HINT2</t>
  </si>
  <si>
    <t>OSBPL11</t>
  </si>
  <si>
    <t>NPL</t>
  </si>
  <si>
    <t>RAB11FIP5</t>
  </si>
  <si>
    <t>BBC3</t>
  </si>
  <si>
    <t>TBC1D10A</t>
  </si>
  <si>
    <t>NAA15</t>
  </si>
  <si>
    <t>KLF16</t>
  </si>
  <si>
    <t>BCL2L13</t>
  </si>
  <si>
    <t>HEMGN</t>
  </si>
  <si>
    <t>CARD11</t>
  </si>
  <si>
    <t>SRRT</t>
  </si>
  <si>
    <t>QTRT1</t>
  </si>
  <si>
    <t>AP1M1</t>
  </si>
  <si>
    <t>NUSAP1</t>
  </si>
  <si>
    <t>CECR5</t>
  </si>
  <si>
    <t>FANCD2</t>
  </si>
  <si>
    <t>MAK16</t>
  </si>
  <si>
    <t>SCAPER</t>
  </si>
  <si>
    <t>ITPA</t>
  </si>
  <si>
    <t>RTFDC1</t>
  </si>
  <si>
    <t>CHMP4A</t>
  </si>
  <si>
    <t>EIF2A</t>
  </si>
  <si>
    <t>POLDIP3</t>
  </si>
  <si>
    <t>GNB1L</t>
  </si>
  <si>
    <t>MRPL32</t>
  </si>
  <si>
    <t>MRPL1</t>
  </si>
  <si>
    <t>PCGF6</t>
  </si>
  <si>
    <t>MKI67IP</t>
  </si>
  <si>
    <t>PARD6B</t>
  </si>
  <si>
    <t>FAM126A</t>
  </si>
  <si>
    <t>RBCK1</t>
  </si>
  <si>
    <t>SRXN1</t>
  </si>
  <si>
    <t>NLN</t>
  </si>
  <si>
    <t>CEP41</t>
  </si>
  <si>
    <t>BACH2</t>
  </si>
  <si>
    <t>SETD2</t>
  </si>
  <si>
    <t>IFIH1</t>
  </si>
  <si>
    <t>DOCK9</t>
  </si>
  <si>
    <t>WHSC1L1</t>
  </si>
  <si>
    <t>NUF2</t>
  </si>
  <si>
    <t>PUS3</t>
  </si>
  <si>
    <t>ASPSCR1</t>
  </si>
  <si>
    <t>OSBPL8</t>
  </si>
  <si>
    <t>OSBPL7</t>
  </si>
  <si>
    <t>OSBPL6</t>
  </si>
  <si>
    <t>WDR11</t>
  </si>
  <si>
    <t>UPF3B</t>
  </si>
  <si>
    <t>CRNKL1</t>
  </si>
  <si>
    <t>TBL1XR1</t>
  </si>
  <si>
    <t>UBL5</t>
  </si>
  <si>
    <t>PRKD2</t>
  </si>
  <si>
    <t>PLA2G12A</t>
  </si>
  <si>
    <t>FAM129A</t>
  </si>
  <si>
    <t>UBXN6</t>
  </si>
  <si>
    <t>UCK2</t>
  </si>
  <si>
    <t>API5</t>
  </si>
  <si>
    <t>SPRY4</t>
  </si>
  <si>
    <t>DPY30</t>
  </si>
  <si>
    <t>PKIB</t>
  </si>
  <si>
    <t>TRIM2</t>
  </si>
  <si>
    <t>FAM117A</t>
  </si>
  <si>
    <t>LRRCC1</t>
  </si>
  <si>
    <t>UNK</t>
  </si>
  <si>
    <t>FTO</t>
  </si>
  <si>
    <t>KIAA1751</t>
  </si>
  <si>
    <t>ZDHHC5</t>
  </si>
  <si>
    <t>TANGO6</t>
  </si>
  <si>
    <t>TNKS1BP1</t>
  </si>
  <si>
    <t>SEMA4C</t>
  </si>
  <si>
    <t>AMBRA1</t>
  </si>
  <si>
    <t>KIAA1731</t>
  </si>
  <si>
    <t>ZYG11B</t>
  </si>
  <si>
    <t>TANC1</t>
  </si>
  <si>
    <t>CEP44</t>
  </si>
  <si>
    <t>ZNF407</t>
  </si>
  <si>
    <t>MTMR12</t>
  </si>
  <si>
    <t>WDR33</t>
  </si>
  <si>
    <t>STRADB</t>
  </si>
  <si>
    <t>WDR12</t>
  </si>
  <si>
    <t>TGIF2</t>
  </si>
  <si>
    <t>C20orf27</t>
  </si>
  <si>
    <t>PITHD1</t>
  </si>
  <si>
    <t>COMMD5</t>
  </si>
  <si>
    <t>SENP6</t>
  </si>
  <si>
    <t>REXO4</t>
  </si>
  <si>
    <t>POLR1E</t>
  </si>
  <si>
    <t>WDR61</t>
  </si>
  <si>
    <t>SLIRP</t>
  </si>
  <si>
    <t>SRR</t>
  </si>
  <si>
    <t>NIF3L1</t>
  </si>
  <si>
    <t>EGLN1</t>
  </si>
  <si>
    <t>FAM192A</t>
  </si>
  <si>
    <t>TWSG1</t>
  </si>
  <si>
    <t>MFF</t>
  </si>
  <si>
    <t>UBA5</t>
  </si>
  <si>
    <t>LHPP</t>
  </si>
  <si>
    <t>PAIP1</t>
  </si>
  <si>
    <t>KATNBL1</t>
  </si>
  <si>
    <t>MIS12</t>
  </si>
  <si>
    <t>RAB33B</t>
  </si>
  <si>
    <t>NBPF3</t>
  </si>
  <si>
    <t>FAM107B</t>
  </si>
  <si>
    <t>NAT10</t>
  </si>
  <si>
    <t>COMMD4</t>
  </si>
  <si>
    <t>KLC2</t>
  </si>
  <si>
    <t>ILKAP</t>
  </si>
  <si>
    <t>XRN2</t>
  </si>
  <si>
    <t>TOLLIP</t>
  </si>
  <si>
    <t>BRD8</t>
  </si>
  <si>
    <t>SHARPIN</t>
  </si>
  <si>
    <t>ARL6</t>
  </si>
  <si>
    <t>NSRP1</t>
  </si>
  <si>
    <t>RACGAP1</t>
  </si>
  <si>
    <t>ENKD1</t>
  </si>
  <si>
    <t>PARP12</t>
  </si>
  <si>
    <t>SIK2</t>
  </si>
  <si>
    <t>PUS7L</t>
  </si>
  <si>
    <t>CSTF2T</t>
  </si>
  <si>
    <t>NT5C3A</t>
  </si>
  <si>
    <t>AP5M1</t>
  </si>
  <si>
    <t>HDHD2</t>
  </si>
  <si>
    <t>QRSL1</t>
  </si>
  <si>
    <t>DDX47</t>
  </si>
  <si>
    <t>RAB1B</t>
  </si>
  <si>
    <t>TSPYL1</t>
  </si>
  <si>
    <t>CCDC8</t>
  </si>
  <si>
    <t>C11orf54</t>
  </si>
  <si>
    <t>GZF1</t>
  </si>
  <si>
    <t>SIL1</t>
  </si>
  <si>
    <t>CSRNP2</t>
  </si>
  <si>
    <t>ANAPC1</t>
  </si>
  <si>
    <t>IRF2BPL</t>
  </si>
  <si>
    <t>POLR3F</t>
  </si>
  <si>
    <t>NUCKS1</t>
  </si>
  <si>
    <t>ASCC2</t>
  </si>
  <si>
    <t>UPF3A</t>
  </si>
  <si>
    <t>ISCU</t>
  </si>
  <si>
    <t>MESDC1</t>
  </si>
  <si>
    <t>OSBPL2</t>
  </si>
  <si>
    <t>ATG5</t>
  </si>
  <si>
    <t>WDR13</t>
  </si>
  <si>
    <t>MED28</t>
  </si>
  <si>
    <t>CDT1</t>
  </si>
  <si>
    <t>EHD4</t>
  </si>
  <si>
    <t>VPS33B</t>
  </si>
  <si>
    <t>VPS16</t>
  </si>
  <si>
    <t>VPS11</t>
  </si>
  <si>
    <t>GAN</t>
  </si>
  <si>
    <t>TRIOBP</t>
  </si>
  <si>
    <t>EPC1</t>
  </si>
  <si>
    <t>SLK</t>
  </si>
  <si>
    <t>PPIL3</t>
  </si>
  <si>
    <t>PDCL3</t>
  </si>
  <si>
    <t>MTIF3</t>
  </si>
  <si>
    <t>TAOK3</t>
  </si>
  <si>
    <t>RAB3GAP2</t>
  </si>
  <si>
    <t>ADNP</t>
  </si>
  <si>
    <t>DPH5</t>
  </si>
  <si>
    <t>DHX36</t>
  </si>
  <si>
    <t>PPA2</t>
  </si>
  <si>
    <t>MRPL46</t>
  </si>
  <si>
    <t>ZNF106</t>
  </si>
  <si>
    <t>PNN</t>
  </si>
  <si>
    <t>GGNBP2</t>
  </si>
  <si>
    <t>KCTD10</t>
  </si>
  <si>
    <t>CPVL</t>
  </si>
  <si>
    <t>TRIT1</t>
  </si>
  <si>
    <t>C11orf68</t>
  </si>
  <si>
    <t>BOLA2</t>
  </si>
  <si>
    <t>MMADHC</t>
  </si>
  <si>
    <t>TMX1</t>
  </si>
  <si>
    <t>NELFA</t>
  </si>
  <si>
    <t>ACBD3</t>
  </si>
  <si>
    <t>CDC42EP4</t>
  </si>
  <si>
    <t>UNC45A</t>
  </si>
  <si>
    <t>PPDPF</t>
  </si>
  <si>
    <t>DSN1</t>
  </si>
  <si>
    <t>C1orf198</t>
  </si>
  <si>
    <t>CHMP4B</t>
  </si>
  <si>
    <t>FBXL15</t>
  </si>
  <si>
    <t>FN3K</t>
  </si>
  <si>
    <t>POFUT1</t>
  </si>
  <si>
    <t>IFRG15</t>
  </si>
  <si>
    <t>RNPEP</t>
  </si>
  <si>
    <t>GOLPH3L</t>
  </si>
  <si>
    <t>GOLPH3</t>
  </si>
  <si>
    <t>DEF6</t>
  </si>
  <si>
    <t>EPB41L1</t>
  </si>
  <si>
    <t>FAM83D</t>
  </si>
  <si>
    <t>ZHX3</t>
  </si>
  <si>
    <t>OSBPL3</t>
  </si>
  <si>
    <t>SMARCAD1</t>
  </si>
  <si>
    <t>FBXO44</t>
  </si>
  <si>
    <t>PLEKHA4</t>
  </si>
  <si>
    <t>EHD1</t>
  </si>
  <si>
    <t>RNF41</t>
  </si>
  <si>
    <t>ZNF335</t>
  </si>
  <si>
    <t>PCIF1</t>
  </si>
  <si>
    <t>ESF1</t>
  </si>
  <si>
    <t>ACTL8</t>
  </si>
  <si>
    <t>ZNF644</t>
  </si>
  <si>
    <t>HEATR1</t>
  </si>
  <si>
    <t>ZNF768</t>
  </si>
  <si>
    <t>ZBTB3</t>
  </si>
  <si>
    <t>TAF1D</t>
  </si>
  <si>
    <t>RABEP2</t>
  </si>
  <si>
    <t>TFB2M</t>
  </si>
  <si>
    <t>IKZF5</t>
  </si>
  <si>
    <t>CXorf56</t>
  </si>
  <si>
    <t>FAM96A</t>
  </si>
  <si>
    <t>DHX35</t>
  </si>
  <si>
    <t>RPP21</t>
  </si>
  <si>
    <t>PCNXL3</t>
  </si>
  <si>
    <t>HAUS4</t>
  </si>
  <si>
    <t>CCDC134</t>
  </si>
  <si>
    <t>TUT1</t>
  </si>
  <si>
    <t>CCDC86</t>
  </si>
  <si>
    <t>REEP4</t>
  </si>
  <si>
    <t>C6orf106</t>
  </si>
  <si>
    <t>ARMC7</t>
  </si>
  <si>
    <t>NARFL</t>
  </si>
  <si>
    <t>NOL6</t>
  </si>
  <si>
    <t>C2orf44</t>
  </si>
  <si>
    <t>YTHDC2</t>
  </si>
  <si>
    <t>AZI2</t>
  </si>
  <si>
    <t>EPS8L2</t>
  </si>
  <si>
    <t>RPAP3</t>
  </si>
  <si>
    <t>BCAS3</t>
  </si>
  <si>
    <t>NO66</t>
  </si>
  <si>
    <t>WDR55</t>
  </si>
  <si>
    <t>RANBP3</t>
  </si>
  <si>
    <t>DCTPP1</t>
  </si>
  <si>
    <t>ELAC1</t>
  </si>
  <si>
    <t>SMYD3</t>
  </si>
  <si>
    <t>AAMDC</t>
  </si>
  <si>
    <t>WDR26</t>
  </si>
  <si>
    <t>TDRD3</t>
  </si>
  <si>
    <t>C8orf33</t>
  </si>
  <si>
    <t>SUDS3</t>
  </si>
  <si>
    <t>SCAF1</t>
  </si>
  <si>
    <t>PLEKHG2</t>
  </si>
  <si>
    <t>ZNF696</t>
  </si>
  <si>
    <t>KAT8</t>
  </si>
  <si>
    <t>PTGES2</t>
  </si>
  <si>
    <t>PHAX</t>
  </si>
  <si>
    <t>UBE2Z</t>
  </si>
  <si>
    <t>GEMIN7</t>
  </si>
  <si>
    <t>ACAD9</t>
  </si>
  <si>
    <t>METTL21D</t>
  </si>
  <si>
    <t>YY1AP1</t>
  </si>
  <si>
    <t>RMND5A</t>
  </si>
  <si>
    <t>PRKRIP1</t>
  </si>
  <si>
    <t>CSRP2BP</t>
  </si>
  <si>
    <t>CAAP1</t>
  </si>
  <si>
    <t>NOL11</t>
  </si>
  <si>
    <t>C10orf88</t>
  </si>
  <si>
    <t>BRD9</t>
  </si>
  <si>
    <t>FAM188A</t>
  </si>
  <si>
    <t>MOB1A</t>
  </si>
  <si>
    <t>ZFAND3</t>
  </si>
  <si>
    <t>ECT2</t>
  </si>
  <si>
    <t>PLEKHF2</t>
  </si>
  <si>
    <t>ANKZF1</t>
  </si>
  <si>
    <t>GORASP2</t>
  </si>
  <si>
    <t>ZWILCH</t>
  </si>
  <si>
    <t>PSTPIP2</t>
  </si>
  <si>
    <t>MED20</t>
  </si>
  <si>
    <t>WDR76</t>
  </si>
  <si>
    <t>QTRTD1</t>
  </si>
  <si>
    <t>C6orf211</t>
  </si>
  <si>
    <t>PANK3</t>
  </si>
  <si>
    <t>CNOT10</t>
  </si>
  <si>
    <t>LRRC40</t>
  </si>
  <si>
    <t>RMI1</t>
  </si>
  <si>
    <t>EHMT1</t>
  </si>
  <si>
    <t>SFXN1</t>
  </si>
  <si>
    <t>VIPAS39</t>
  </si>
  <si>
    <t>COG4</t>
  </si>
  <si>
    <t>ACTR5</t>
  </si>
  <si>
    <t>AGO3</t>
  </si>
  <si>
    <t>VPS37B</t>
  </si>
  <si>
    <t>MRPL44</t>
  </si>
  <si>
    <t>ISG20L2</t>
  </si>
  <si>
    <t>NHEJ1</t>
  </si>
  <si>
    <t>CAB39L</t>
  </si>
  <si>
    <t>ELP3</t>
  </si>
  <si>
    <t>JMJD4</t>
  </si>
  <si>
    <t>GPN2</t>
  </si>
  <si>
    <t>POLR1B</t>
  </si>
  <si>
    <t>ZMAT3</t>
  </si>
  <si>
    <t>UCK1</t>
  </si>
  <si>
    <t>FN3KRP</t>
  </si>
  <si>
    <t>TBC1D17</t>
  </si>
  <si>
    <t>CARS2</t>
  </si>
  <si>
    <t>PPCS</t>
  </si>
  <si>
    <t>MEAF6</t>
  </si>
  <si>
    <t>SAP30L</t>
  </si>
  <si>
    <t>NMNAT1</t>
  </si>
  <si>
    <t>LPHN3</t>
  </si>
  <si>
    <t>SIAE</t>
  </si>
  <si>
    <t>PELI2</t>
  </si>
  <si>
    <t>PLEKHA5</t>
  </si>
  <si>
    <t>SMURF2</t>
  </si>
  <si>
    <t>UPF2</t>
  </si>
  <si>
    <t>RNPEPL1</t>
  </si>
  <si>
    <t>XPO5</t>
  </si>
  <si>
    <t>GRPEL1</t>
  </si>
  <si>
    <t>CLSPN</t>
  </si>
  <si>
    <t>PLEKHA2</t>
  </si>
  <si>
    <t>PLEKHA1</t>
  </si>
  <si>
    <t>SCPEP1</t>
  </si>
  <si>
    <t>SP110</t>
  </si>
  <si>
    <t>CACYBP</t>
  </si>
  <si>
    <t>RRAGC</t>
  </si>
  <si>
    <t>FANCE</t>
  </si>
  <si>
    <t>PATZ1</t>
  </si>
  <si>
    <t>IL21</t>
  </si>
  <si>
    <t>PARVB</t>
  </si>
  <si>
    <t>NMRAL1</t>
  </si>
  <si>
    <t>SPC25</t>
  </si>
  <si>
    <t>TAF9B</t>
  </si>
  <si>
    <t>AGPAT1</t>
  </si>
  <si>
    <t>POLL</t>
  </si>
  <si>
    <t>SLC38A10</t>
  </si>
  <si>
    <t>ETNK1</t>
  </si>
  <si>
    <t>EML4</t>
  </si>
  <si>
    <t>GLOD4</t>
  </si>
  <si>
    <t>GPBP1L1</t>
  </si>
  <si>
    <t>CBX8</t>
  </si>
  <si>
    <t>CENPJ</t>
  </si>
  <si>
    <t>MCCC2</t>
  </si>
  <si>
    <t>ZFYVE28</t>
  </si>
  <si>
    <t>NCOA5</t>
  </si>
  <si>
    <t>EPG5</t>
  </si>
  <si>
    <t>MOV10</t>
  </si>
  <si>
    <t>METTL14</t>
  </si>
  <si>
    <t>NCKAP5L</t>
  </si>
  <si>
    <t>MSL2</t>
  </si>
  <si>
    <t>TNRC6C</t>
  </si>
  <si>
    <t>RAVER2</t>
  </si>
  <si>
    <t>CHD8</t>
  </si>
  <si>
    <t>EPB41L5</t>
  </si>
  <si>
    <t>GPN1</t>
  </si>
  <si>
    <t>SDF2L1</t>
  </si>
  <si>
    <t>POLD4</t>
  </si>
  <si>
    <t>SRA1</t>
  </si>
  <si>
    <t>ATP13A1</t>
  </si>
  <si>
    <t>GOPC</t>
  </si>
  <si>
    <t>SEPSECS</t>
  </si>
  <si>
    <t>TM9SF3</t>
  </si>
  <si>
    <t>RANGRF</t>
  </si>
  <si>
    <t>JPH1</t>
  </si>
  <si>
    <t>APMAP</t>
  </si>
  <si>
    <t>WDR6</t>
  </si>
  <si>
    <t>TUFT1</t>
  </si>
  <si>
    <t>FAM60A</t>
  </si>
  <si>
    <t>HMG20A</t>
  </si>
  <si>
    <t>RAB18</t>
  </si>
  <si>
    <t>ALG13</t>
  </si>
  <si>
    <t>PALMD</t>
  </si>
  <si>
    <t>SSU72</t>
  </si>
  <si>
    <t>VTA1</t>
  </si>
  <si>
    <t>DYNLRB1</t>
  </si>
  <si>
    <t>MID1IP1</t>
  </si>
  <si>
    <t>ENY2</t>
  </si>
  <si>
    <t>GPCPD1</t>
  </si>
  <si>
    <t>EXOSC4</t>
  </si>
  <si>
    <t>UBE2T</t>
  </si>
  <si>
    <t>NOP10</t>
  </si>
  <si>
    <t>OSGEP</t>
  </si>
  <si>
    <t>DMAP1</t>
  </si>
  <si>
    <t>UBN1</t>
  </si>
  <si>
    <t>IL1RAP</t>
  </si>
  <si>
    <t>BRD7</t>
  </si>
  <si>
    <t>DCP1A</t>
  </si>
  <si>
    <t>FANCF</t>
  </si>
  <si>
    <t>ACOT13</t>
  </si>
  <si>
    <t>MED4</t>
  </si>
  <si>
    <t>NXT2</t>
  </si>
  <si>
    <t>RIC8A</t>
  </si>
  <si>
    <t>LUC7L</t>
  </si>
  <si>
    <t>PPAN</t>
  </si>
  <si>
    <t>TIGAR</t>
  </si>
  <si>
    <t>C12orf4</t>
  </si>
  <si>
    <t>COPRS</t>
  </si>
  <si>
    <t>WASH6P</t>
  </si>
  <si>
    <t>HINT3</t>
  </si>
  <si>
    <t>RPRD1B</t>
  </si>
  <si>
    <t>SMCR7L</t>
  </si>
  <si>
    <t>XPNPEP3</t>
  </si>
  <si>
    <t>RRAGD</t>
  </si>
  <si>
    <t>PFDN4</t>
  </si>
  <si>
    <t>SETD8</t>
  </si>
  <si>
    <t>NIT2</t>
  </si>
  <si>
    <t>AVEN</t>
  </si>
  <si>
    <t>INCENP</t>
  </si>
  <si>
    <t>EXOSC5</t>
  </si>
  <si>
    <t>EXOSC3</t>
  </si>
  <si>
    <t>KIF13B</t>
  </si>
  <si>
    <t>PRDM10</t>
  </si>
  <si>
    <t>ANLN</t>
  </si>
  <si>
    <t>XPNPEP1</t>
  </si>
  <si>
    <t>GPHN</t>
  </si>
  <si>
    <t>BIN3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</si>
  <si>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</si>
  <si>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</si>
  <si>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</si>
  <si>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</si>
  <si>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</si>
  <si>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</si>
  <si>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</si>
  <si>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</si>
  <si>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</si>
  <si>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</si>
  <si>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SH3GLB2</t>
  </si>
  <si>
    <t>EIF2B3</t>
  </si>
  <si>
    <t>KCNQ5</t>
  </si>
  <si>
    <t>FBXO6</t>
  </si>
  <si>
    <t>PICK1</t>
  </si>
  <si>
    <t>SH2B1</t>
  </si>
  <si>
    <t>CTPS2</t>
  </si>
  <si>
    <t>POLE3</t>
  </si>
  <si>
    <t>CHRAC1</t>
  </si>
  <si>
    <t>PRTFDC1</t>
  </si>
  <si>
    <t>SMYD2</t>
  </si>
  <si>
    <t>YAE1D1</t>
  </si>
  <si>
    <t>SNRK</t>
  </si>
  <si>
    <t>BAZ1A</t>
  </si>
  <si>
    <t>STRN4</t>
  </si>
  <si>
    <t>AASDHPPT</t>
  </si>
  <si>
    <t>METTL5</t>
  </si>
  <si>
    <t>DROSHA</t>
  </si>
  <si>
    <t>UBQLN4</t>
  </si>
  <si>
    <t>SNX15</t>
  </si>
  <si>
    <t>HEBP1</t>
  </si>
  <si>
    <t>RAB6B</t>
  </si>
  <si>
    <t>DUSP22</t>
  </si>
  <si>
    <t>VPS45</t>
  </si>
  <si>
    <t>PHPT1</t>
  </si>
  <si>
    <t>INIP</t>
  </si>
  <si>
    <t>ARHGAP35</t>
  </si>
  <si>
    <t>FAM114A2</t>
  </si>
  <si>
    <t>HELLS</t>
  </si>
  <si>
    <t>GLRX2</t>
  </si>
  <si>
    <t>TOPORS</t>
  </si>
  <si>
    <t>MBIP</t>
  </si>
  <si>
    <t>LANCL2</t>
  </si>
  <si>
    <t>KIF15</t>
  </si>
  <si>
    <t>RAD18</t>
  </si>
  <si>
    <t>CTNNBIP1</t>
  </si>
  <si>
    <t>HOMER3</t>
  </si>
  <si>
    <t>FARSB</t>
  </si>
  <si>
    <t>CISH</t>
  </si>
  <si>
    <t>IARS2</t>
  </si>
  <si>
    <t>C1orf112</t>
  </si>
  <si>
    <t>FAM207A</t>
  </si>
  <si>
    <t>BRWD1</t>
  </si>
  <si>
    <t>SAMSN1</t>
  </si>
  <si>
    <t>KLC4</t>
  </si>
  <si>
    <t>NRBP2</t>
  </si>
  <si>
    <t>BMP2K</t>
  </si>
  <si>
    <t>ATG3</t>
  </si>
  <si>
    <t>LRRC4B</t>
  </si>
  <si>
    <t>SIRT3</t>
  </si>
  <si>
    <t>PDS5B</t>
  </si>
  <si>
    <t>MAN2C1</t>
  </si>
  <si>
    <t>OLA1</t>
  </si>
  <si>
    <t>CUTC</t>
  </si>
  <si>
    <t>ZFP64</t>
  </si>
  <si>
    <t>ECHDC1</t>
  </si>
  <si>
    <t>RBM12</t>
  </si>
  <si>
    <t>TBC1D22B</t>
  </si>
  <si>
    <t>MDN1</t>
  </si>
  <si>
    <t>LYRM2</t>
  </si>
  <si>
    <t>ACSS1</t>
  </si>
  <si>
    <t>ZCCHC3</t>
  </si>
  <si>
    <t>PDRG1</t>
  </si>
  <si>
    <t>ABHD10</t>
  </si>
  <si>
    <t>TCP11L1</t>
  </si>
  <si>
    <t>TMEM106B</t>
  </si>
  <si>
    <t>BLOC1S4</t>
  </si>
  <si>
    <t>TRMT13</t>
  </si>
  <si>
    <t>TXLNG</t>
  </si>
  <si>
    <t>SPATS2L</t>
  </si>
  <si>
    <t>ABCF3</t>
  </si>
  <si>
    <t>FAM49B</t>
  </si>
  <si>
    <t>AP5S1</t>
  </si>
  <si>
    <t>DDX19A</t>
  </si>
  <si>
    <t>TDP1</t>
  </si>
  <si>
    <t>POT1</t>
  </si>
  <si>
    <t>TBC1D23</t>
  </si>
  <si>
    <t>DCAF13</t>
  </si>
  <si>
    <t>IMP3</t>
  </si>
  <si>
    <t>NUDT15</t>
  </si>
  <si>
    <t>MRGBP</t>
  </si>
  <si>
    <t>EXOC1</t>
  </si>
  <si>
    <t>INTS9</t>
  </si>
  <si>
    <t>TMEM30A</t>
  </si>
  <si>
    <t>TMEM184C</t>
  </si>
  <si>
    <t>MED17</t>
  </si>
  <si>
    <t>USP40</t>
  </si>
  <si>
    <t>PANK4</t>
  </si>
  <si>
    <t>FBXO28</t>
  </si>
  <si>
    <t>TBC1D13</t>
  </si>
  <si>
    <t>EXD2</t>
  </si>
  <si>
    <t>INTS7</t>
  </si>
  <si>
    <t>TMLHE</t>
  </si>
  <si>
    <t>FANCI</t>
  </si>
  <si>
    <t>ATAD3A</t>
  </si>
  <si>
    <t>ARL8B</t>
  </si>
  <si>
    <t>PRMT7</t>
  </si>
  <si>
    <t>DNAJC17</t>
  </si>
  <si>
    <t>ASUN</t>
  </si>
  <si>
    <t>RIC8B</t>
  </si>
  <si>
    <t>GNL3L</t>
  </si>
  <si>
    <t>DDX18</t>
  </si>
  <si>
    <t>ASF1B</t>
  </si>
  <si>
    <t>KLHL11</t>
  </si>
  <si>
    <t>INTS10</t>
  </si>
  <si>
    <t>DNAAF2</t>
  </si>
  <si>
    <t>ARMC1</t>
  </si>
  <si>
    <t>POLR3E</t>
  </si>
  <si>
    <t>SDAD1</t>
  </si>
  <si>
    <t>RLIM</t>
  </si>
  <si>
    <t>HAUS2</t>
  </si>
  <si>
    <t>NLE1</t>
  </si>
  <si>
    <t>NECAP2</t>
  </si>
  <si>
    <t>POLR3B</t>
  </si>
  <si>
    <t>RBM28</t>
  </si>
  <si>
    <t>RBM22</t>
  </si>
  <si>
    <t>GPATCH2</t>
  </si>
  <si>
    <t>WDR70</t>
  </si>
  <si>
    <t>TMEM51</t>
  </si>
  <si>
    <t>MED9</t>
  </si>
  <si>
    <t>ARGLU1</t>
  </si>
  <si>
    <t>IFT57</t>
  </si>
  <si>
    <t>BEX4</t>
  </si>
  <si>
    <t>SLTM</t>
  </si>
  <si>
    <t>ZNHIT6</t>
  </si>
  <si>
    <t>CUEDC1</t>
  </si>
  <si>
    <t>FKBP14</t>
  </si>
  <si>
    <t>C14orf119</t>
  </si>
  <si>
    <t>PIH1D1</t>
  </si>
  <si>
    <t>FAM118A</t>
  </si>
  <si>
    <t>PAK1IP1</t>
  </si>
  <si>
    <t>HIF1AN</t>
  </si>
  <si>
    <t>AURKAIP1</t>
  </si>
  <si>
    <t>OXSM</t>
  </si>
  <si>
    <t>GID8</t>
  </si>
  <si>
    <t>C1orf123</t>
  </si>
  <si>
    <t>C2orf42</t>
  </si>
  <si>
    <t>THG1L</t>
  </si>
  <si>
    <t>C4orf27</t>
  </si>
  <si>
    <t>IRAK4</t>
  </si>
  <si>
    <t>UCKL1</t>
  </si>
  <si>
    <t>GEMIN8</t>
  </si>
  <si>
    <t>TXNL4B</t>
  </si>
  <si>
    <t>NLRP2</t>
  </si>
  <si>
    <t>TRNAU1AP</t>
  </si>
  <si>
    <t>COMMD8</t>
  </si>
  <si>
    <t>DDIT4</t>
  </si>
  <si>
    <t>NHP2</t>
  </si>
  <si>
    <t>FAM206A</t>
  </si>
  <si>
    <t>ADPRHL2</t>
  </si>
  <si>
    <t>HYPK</t>
  </si>
  <si>
    <t>LYAR</t>
  </si>
  <si>
    <t>CHCHD3</t>
  </si>
  <si>
    <t>MED29</t>
  </si>
  <si>
    <t>DUS2L</t>
  </si>
  <si>
    <t>SIRT5</t>
  </si>
  <si>
    <t>MIOS</t>
  </si>
  <si>
    <t>CWC25</t>
  </si>
  <si>
    <t>DCAF16</t>
  </si>
  <si>
    <t>THUMPD1</t>
  </si>
  <si>
    <t>TRMT1</t>
  </si>
  <si>
    <t>PGPEP1</t>
  </si>
  <si>
    <t>FBXL12</t>
  </si>
  <si>
    <t>GDAP2</t>
  </si>
  <si>
    <t>NDE1</t>
  </si>
  <si>
    <t>BRE</t>
  </si>
  <si>
    <t>ARL15</t>
  </si>
  <si>
    <t>KCTD5</t>
  </si>
  <si>
    <t>CDKN2AIP</t>
  </si>
  <si>
    <t>DNAJB12</t>
  </si>
  <si>
    <t>ALKBH4</t>
  </si>
  <si>
    <t>NSMCE4A</t>
  </si>
  <si>
    <t>SAGE1</t>
  </si>
  <si>
    <t>GAR1</t>
  </si>
  <si>
    <t>PPP4R2</t>
  </si>
  <si>
    <t>DPP3</t>
  </si>
  <si>
    <t>AATF</t>
  </si>
  <si>
    <t>DDX56</t>
  </si>
  <si>
    <t>TERF2IP</t>
  </si>
  <si>
    <t>BCLAF1</t>
  </si>
  <si>
    <t>UTP6</t>
  </si>
  <si>
    <t>COA4</t>
  </si>
  <si>
    <t>TAB2</t>
  </si>
  <si>
    <t>EURL</t>
  </si>
  <si>
    <t>MLTK</t>
  </si>
  <si>
    <t>TMOD3</t>
  </si>
  <si>
    <t>MIS18A</t>
  </si>
  <si>
    <t>UGGT1</t>
  </si>
  <si>
    <t>CDK12</t>
  </si>
  <si>
    <t>FASTKD2</t>
  </si>
  <si>
    <t>GTSE1</t>
  </si>
  <si>
    <t>ERAP1</t>
  </si>
  <si>
    <t>UBAP1</t>
  </si>
  <si>
    <t>ACTR10</t>
  </si>
  <si>
    <t>GGA3</t>
  </si>
  <si>
    <t>PODXL2</t>
  </si>
  <si>
    <t>C9orf78</t>
  </si>
  <si>
    <t>CLIC5</t>
  </si>
  <si>
    <t>FAM120A</t>
  </si>
  <si>
    <t>SMARCAL1</t>
  </si>
  <si>
    <t>GLTP</t>
  </si>
  <si>
    <t>AHSP</t>
  </si>
  <si>
    <t>UBP1</t>
  </si>
  <si>
    <t>IGF2BP1</t>
  </si>
  <si>
    <t>COQ3</t>
  </si>
  <si>
    <t>NUDT4</t>
  </si>
  <si>
    <t>MAT2B</t>
  </si>
  <si>
    <t>ITSN2</t>
  </si>
  <si>
    <t>GLTSCR1</t>
  </si>
  <si>
    <t>GLTSCR2</t>
  </si>
  <si>
    <t>EHD2</t>
  </si>
  <si>
    <t>ARHGEF12</t>
  </si>
  <si>
    <t>NCKIPSD</t>
  </si>
  <si>
    <t>LRP1B</t>
  </si>
  <si>
    <t>OGFR</t>
  </si>
  <si>
    <t>MSRB1</t>
  </si>
  <si>
    <t>MPP6</t>
  </si>
  <si>
    <t>CHMP5</t>
  </si>
  <si>
    <t>COMMD9</t>
  </si>
  <si>
    <t>CWC15</t>
  </si>
  <si>
    <t>THYN1</t>
  </si>
  <si>
    <t>CCDC59</t>
  </si>
  <si>
    <t>NDUFAF4</t>
  </si>
  <si>
    <t>PTPLAD1</t>
  </si>
  <si>
    <t>KCMF1</t>
  </si>
  <si>
    <t>RAI14</t>
  </si>
  <si>
    <t>VAPA</t>
  </si>
  <si>
    <t>TBC1D7</t>
  </si>
  <si>
    <t>C6orf203</t>
  </si>
  <si>
    <t>GSKIP</t>
  </si>
  <si>
    <t>CXXC1</t>
  </si>
  <si>
    <t>HMG20B</t>
  </si>
  <si>
    <t>GMIP</t>
  </si>
  <si>
    <t>ABRACL</t>
  </si>
  <si>
    <t>VPS54</t>
  </si>
  <si>
    <t>ZNRD1</t>
  </si>
  <si>
    <t>ACTR3B</t>
  </si>
  <si>
    <t>CALCOCO1</t>
  </si>
  <si>
    <t>KIAA1522</t>
  </si>
  <si>
    <t>CEP72</t>
  </si>
  <si>
    <t>POGK</t>
  </si>
  <si>
    <t>CCDC88C</t>
  </si>
  <si>
    <t>LRFN1</t>
  </si>
  <si>
    <t>STIM2</t>
  </si>
  <si>
    <t>VPS18</t>
  </si>
  <si>
    <t>RCC2</t>
  </si>
  <si>
    <t>KIAA1468</t>
  </si>
  <si>
    <t>DIP2B</t>
  </si>
  <si>
    <t>SLAIN2</t>
  </si>
  <si>
    <t>USP36</t>
  </si>
  <si>
    <t>BCCIP</t>
  </si>
  <si>
    <t>MST4</t>
  </si>
  <si>
    <t>CTTNBP2NL</t>
  </si>
  <si>
    <t>KIAA1430</t>
  </si>
  <si>
    <t>CHD7</t>
  </si>
  <si>
    <t>HEATR5B</t>
  </si>
  <si>
    <t>FAM135A</t>
  </si>
  <si>
    <t>ZNFX1</t>
  </si>
  <si>
    <t>RRBP1</t>
  </si>
  <si>
    <t>ANKIB1</t>
  </si>
  <si>
    <t>CPSF2</t>
  </si>
  <si>
    <t>LARS</t>
  </si>
  <si>
    <t>RCOR3</t>
  </si>
  <si>
    <t>MYEF2</t>
  </si>
  <si>
    <t>KLHL42</t>
  </si>
  <si>
    <t>EIF2AK4</t>
  </si>
  <si>
    <t>TBC1D14</t>
  </si>
  <si>
    <t>ARHGAP28</t>
  </si>
  <si>
    <t>RBM27</t>
  </si>
  <si>
    <t>KANSL3</t>
  </si>
  <si>
    <t>NYNRIN</t>
  </si>
  <si>
    <t>HECW2</t>
  </si>
  <si>
    <t>ANKFY1</t>
  </si>
  <si>
    <t>RERE</t>
  </si>
  <si>
    <t>WRAP73</t>
  </si>
  <si>
    <t>PSMC3IP</t>
  </si>
  <si>
    <t>DPM3</t>
  </si>
  <si>
    <t>IMPACT</t>
  </si>
  <si>
    <t>UVRAG</t>
  </si>
  <si>
    <t>ATXN10</t>
  </si>
  <si>
    <t>MBD2</t>
  </si>
  <si>
    <t>NCDN</t>
  </si>
  <si>
    <t>TFIP11</t>
  </si>
  <si>
    <t>DNMT3B</t>
  </si>
  <si>
    <t>ORC3</t>
  </si>
  <si>
    <t>SAE1</t>
  </si>
  <si>
    <t>MAGEC2</t>
  </si>
  <si>
    <t>COPG2</t>
  </si>
  <si>
    <t>PI4KB</t>
  </si>
  <si>
    <t>MRC2</t>
  </si>
  <si>
    <t>COMMD3</t>
  </si>
  <si>
    <t>HECA</t>
  </si>
  <si>
    <t>MTRR</t>
  </si>
  <si>
    <t>UXT</t>
  </si>
  <si>
    <t>ASH2L</t>
  </si>
  <si>
    <t>CPNE7</t>
  </si>
  <si>
    <t>SPAST</t>
  </si>
  <si>
    <t>METTL1</t>
  </si>
  <si>
    <t>VPS29</t>
  </si>
  <si>
    <t>GRHPR</t>
  </si>
  <si>
    <t>CTSZ</t>
  </si>
  <si>
    <t>RPS6KB2</t>
  </si>
  <si>
    <t>DNAJB11</t>
  </si>
  <si>
    <t>RNF14</t>
  </si>
  <si>
    <t>UBA2</t>
  </si>
  <si>
    <t>CTNNAL1</t>
  </si>
  <si>
    <t>FAM8A1</t>
  </si>
  <si>
    <t>DBF4</t>
  </si>
  <si>
    <t>MORF4L1</t>
  </si>
  <si>
    <t>NXF1</t>
  </si>
  <si>
    <t>PEF1</t>
  </si>
  <si>
    <t>ZMYM2</t>
  </si>
  <si>
    <t>COPS7A</t>
  </si>
  <si>
    <t>CLIP2</t>
  </si>
  <si>
    <t>ZNF282</t>
  </si>
  <si>
    <t>TJP2</t>
  </si>
  <si>
    <t>DNAJB4</t>
  </si>
  <si>
    <t>MALT1</t>
  </si>
  <si>
    <t>CFDP1</t>
  </si>
  <si>
    <t>ZNF629</t>
  </si>
  <si>
    <t>DAXX</t>
  </si>
  <si>
    <t>FTSJ1</t>
  </si>
  <si>
    <t>VTI1B</t>
  </si>
  <si>
    <t>STK39</t>
  </si>
  <si>
    <t>ADD3</t>
  </si>
  <si>
    <t>LRWD1</t>
  </si>
  <si>
    <t>C19orf25</t>
  </si>
  <si>
    <t>NIPSNAP3A</t>
  </si>
  <si>
    <t>CGGBP1</t>
  </si>
  <si>
    <t>IFT172</t>
  </si>
  <si>
    <t>ABCF2</t>
  </si>
  <si>
    <t>TES</t>
  </si>
  <si>
    <t>SERGEF</t>
  </si>
  <si>
    <t>KDM5B</t>
  </si>
  <si>
    <t>LIMD1</t>
  </si>
  <si>
    <t>SEC63</t>
  </si>
  <si>
    <t>ZC3H7B</t>
  </si>
  <si>
    <t>TCF20</t>
  </si>
  <si>
    <t>HMGXB4</t>
  </si>
  <si>
    <t>NDRG3</t>
  </si>
  <si>
    <t>NOL12</t>
  </si>
  <si>
    <t>ARMCX3</t>
  </si>
  <si>
    <t>SWAP70</t>
  </si>
  <si>
    <t>FBXO40</t>
  </si>
  <si>
    <t>MLX</t>
  </si>
  <si>
    <t>RSL24D1</t>
  </si>
  <si>
    <t>LAMTOR3</t>
  </si>
  <si>
    <t>LIMA1</t>
  </si>
  <si>
    <t>AFF4</t>
  </si>
  <si>
    <t>SRP68</t>
  </si>
  <si>
    <t>CHORDC1</t>
  </si>
  <si>
    <t>TBK1</t>
  </si>
  <si>
    <t>SEPT9</t>
  </si>
  <si>
    <t>UBQLN2</t>
  </si>
  <si>
    <t>EGFL7</t>
  </si>
  <si>
    <t>DDX20</t>
  </si>
  <si>
    <t>SFMBT1</t>
  </si>
  <si>
    <t>SHPK</t>
  </si>
  <si>
    <t>NUFIP1</t>
  </si>
  <si>
    <t>DPP7</t>
  </si>
  <si>
    <t>POLG2</t>
  </si>
  <si>
    <t>TMEM2</t>
  </si>
  <si>
    <t>USP25</t>
  </si>
  <si>
    <t>NARF</t>
  </si>
  <si>
    <t>BAIAP2L1</t>
  </si>
  <si>
    <t>SAP30BP</t>
  </si>
  <si>
    <t>ZNHIT2</t>
  </si>
  <si>
    <t>MED13</t>
  </si>
  <si>
    <t>PFDN2</t>
  </si>
  <si>
    <t>GPN3</t>
  </si>
  <si>
    <t>PUF60</t>
  </si>
  <si>
    <t>NRBP1</t>
  </si>
  <si>
    <t>ENOPH1</t>
  </si>
  <si>
    <t>EVL</t>
  </si>
  <si>
    <t>EIF2B4</t>
  </si>
  <si>
    <t>ATP6V1H</t>
  </si>
  <si>
    <t>IPO11</t>
  </si>
  <si>
    <t>TRMT112</t>
  </si>
  <si>
    <t>MAD2L2</t>
  </si>
  <si>
    <t>LCMT1</t>
  </si>
  <si>
    <t>VPS51</t>
  </si>
  <si>
    <t>BAZ1B</t>
  </si>
  <si>
    <t>ATPIF1</t>
  </si>
  <si>
    <t>SCOC</t>
  </si>
  <si>
    <t>FKBPL</t>
  </si>
  <si>
    <t>LNPEP</t>
  </si>
  <si>
    <t>SIX4</t>
  </si>
  <si>
    <t>CNOT7</t>
  </si>
  <si>
    <t>RABGEF1</t>
  </si>
  <si>
    <t>MSRA</t>
  </si>
  <si>
    <t>NAGK</t>
  </si>
  <si>
    <t>ZMYM5</t>
  </si>
  <si>
    <t>TRMT6</t>
  </si>
  <si>
    <t>SH3BGRL2</t>
  </si>
  <si>
    <t>ZNF280C</t>
  </si>
  <si>
    <t>TSR3</t>
  </si>
  <si>
    <t>ERRFI1</t>
  </si>
  <si>
    <t>ZNF391</t>
  </si>
  <si>
    <t>TUBE1</t>
  </si>
  <si>
    <t>TSKS</t>
  </si>
  <si>
    <t>DBNL</t>
  </si>
  <si>
    <t>DDX41</t>
  </si>
  <si>
    <t>DCTN4</t>
  </si>
  <si>
    <t>CDC23</t>
  </si>
  <si>
    <t>ANAPC7</t>
  </si>
  <si>
    <t>ANAPC2</t>
  </si>
  <si>
    <t>GGA2</t>
  </si>
  <si>
    <t>GGA1</t>
  </si>
  <si>
    <t>VPS28</t>
  </si>
  <si>
    <t>LSM7</t>
  </si>
  <si>
    <t>ING1</t>
  </si>
  <si>
    <t>DBR1</t>
  </si>
  <si>
    <t>FAM208A</t>
  </si>
  <si>
    <t>FEM1B</t>
  </si>
  <si>
    <t>FBXO9</t>
  </si>
  <si>
    <t>FBXO3</t>
  </si>
  <si>
    <t>AKAP11</t>
  </si>
  <si>
    <t>PTBP2</t>
  </si>
  <si>
    <t>FBXW11</t>
  </si>
  <si>
    <t>DNAJC12</t>
  </si>
  <si>
    <t>MRTO4</t>
  </si>
  <si>
    <t>TNIK</t>
  </si>
  <si>
    <t>CPSF3</t>
  </si>
  <si>
    <t>APPL1</t>
  </si>
  <si>
    <t>TLK1</t>
  </si>
  <si>
    <t>GPATCH8</t>
  </si>
  <si>
    <t>PARP4</t>
  </si>
  <si>
    <t>RCOR1</t>
  </si>
  <si>
    <t>CASP8AP2</t>
  </si>
  <si>
    <t>PCTP</t>
  </si>
  <si>
    <t>GTF3C4</t>
  </si>
  <si>
    <t>PACSIN3</t>
  </si>
  <si>
    <t>FBXO5</t>
  </si>
  <si>
    <t>FBXO4</t>
  </si>
  <si>
    <t>IKZF3</t>
  </si>
  <si>
    <t>ACAD8</t>
  </si>
  <si>
    <t>ACIN1</t>
  </si>
  <si>
    <t>AGO2</t>
  </si>
  <si>
    <t>NUP50</t>
  </si>
  <si>
    <t>ZHX1</t>
  </si>
  <si>
    <t>CNOT11</t>
  </si>
  <si>
    <t>BAG5</t>
  </si>
  <si>
    <t>RAB21</t>
  </si>
  <si>
    <t>RAB22A</t>
  </si>
  <si>
    <t>TRAPPC2L</t>
  </si>
  <si>
    <t>PSME2</t>
  </si>
  <si>
    <t>TAOK2</t>
  </si>
  <si>
    <t>MKLN1</t>
  </si>
  <si>
    <t>RAB23</t>
  </si>
  <si>
    <t>MCTS1</t>
  </si>
  <si>
    <t>MTUS1</t>
  </si>
  <si>
    <t>ZNF777</t>
  </si>
  <si>
    <t>ZNF608</t>
  </si>
  <si>
    <t>WWC3</t>
  </si>
  <si>
    <t>PALD1</t>
  </si>
  <si>
    <t>SLC39A10</t>
  </si>
  <si>
    <t>KIDINS220</t>
  </si>
  <si>
    <t>ASAP1</t>
  </si>
  <si>
    <t>MKL2</t>
  </si>
  <si>
    <t>ZBTB21</t>
  </si>
  <si>
    <t>ZMIZ1</t>
  </si>
  <si>
    <t>ATXN7L1</t>
  </si>
  <si>
    <t>MED23</t>
  </si>
  <si>
    <t>PRR12</t>
  </si>
  <si>
    <t>YEATS2</t>
  </si>
  <si>
    <t>CNOT6</t>
  </si>
  <si>
    <t>TBC1D24</t>
  </si>
  <si>
    <t>ISY1</t>
  </si>
  <si>
    <t>PPM1H</t>
  </si>
  <si>
    <t>HECTD1</t>
  </si>
  <si>
    <t>ZMYND8</t>
  </si>
  <si>
    <t>CORO1C</t>
  </si>
  <si>
    <t>TPX2</t>
  </si>
  <si>
    <t>ABT1</t>
  </si>
  <si>
    <t>NOB1</t>
  </si>
  <si>
    <t>AKAP8L</t>
  </si>
  <si>
    <t>STAP1</t>
  </si>
  <si>
    <t>PYCARD</t>
  </si>
  <si>
    <t>ANAPC10</t>
  </si>
  <si>
    <t>MYO6</t>
  </si>
  <si>
    <t>ICAM5</t>
  </si>
  <si>
    <t>WBP7</t>
  </si>
  <si>
    <t>DDX19B</t>
  </si>
  <si>
    <t>NFU1</t>
  </si>
  <si>
    <t>PRPF19</t>
  </si>
  <si>
    <t>UBQLN1</t>
  </si>
  <si>
    <t>NENF</t>
  </si>
  <si>
    <t>NOL7</t>
  </si>
  <si>
    <t>SNX12</t>
  </si>
  <si>
    <t>SYNRG</t>
  </si>
  <si>
    <t>NDRG2</t>
  </si>
  <si>
    <t>VPS4A</t>
  </si>
  <si>
    <t>G3BP2</t>
  </si>
  <si>
    <t>STUB1</t>
  </si>
  <si>
    <t>PACSIN2</t>
  </si>
  <si>
    <t>MAGED2</t>
  </si>
  <si>
    <t>CDC14A</t>
  </si>
  <si>
    <t>SNX6</t>
  </si>
  <si>
    <t>ING4</t>
  </si>
  <si>
    <t>PSMD13</t>
  </si>
  <si>
    <t>FAF1</t>
  </si>
  <si>
    <t>PROCR</t>
  </si>
  <si>
    <t>PPIE</t>
  </si>
  <si>
    <t>DIMT1</t>
  </si>
  <si>
    <t>TIMELESS</t>
  </si>
  <si>
    <t>COPS3</t>
  </si>
  <si>
    <t>MINPP1</t>
  </si>
  <si>
    <t>WDR3</t>
  </si>
  <si>
    <t>TTF2</t>
  </si>
  <si>
    <t>NSFL1C</t>
  </si>
  <si>
    <t>C19orf53</t>
  </si>
  <si>
    <t>COG5</t>
  </si>
  <si>
    <t>BSN</t>
  </si>
  <si>
    <t>AP4E1</t>
  </si>
  <si>
    <t>AZI1</t>
  </si>
  <si>
    <t>SCAF8</t>
  </si>
  <si>
    <t>PPP6R1</t>
  </si>
  <si>
    <t>TRIM33</t>
  </si>
  <si>
    <t>KIAA1107</t>
  </si>
  <si>
    <t>AGAP1</t>
  </si>
  <si>
    <t>TNRC6B</t>
  </si>
  <si>
    <t>PLCL2</t>
  </si>
  <si>
    <t>SMG5</t>
  </si>
  <si>
    <t>SETD1B</t>
  </si>
  <si>
    <t>EXOC7</t>
  </si>
  <si>
    <t>ZC3H4</t>
  </si>
  <si>
    <t>USP22</t>
  </si>
  <si>
    <t>USP24</t>
  </si>
  <si>
    <t>TBC1D2B</t>
  </si>
  <si>
    <t>CEP164</t>
  </si>
  <si>
    <t>AGTPBP1</t>
  </si>
  <si>
    <t>DICER1</t>
  </si>
  <si>
    <t>MAPRE3</t>
  </si>
  <si>
    <t>HPS5</t>
  </si>
  <si>
    <t>SHOC2</t>
  </si>
  <si>
    <t>SRRM2</t>
  </si>
  <si>
    <t>PA2G4</t>
  </si>
  <si>
    <t>EXO1</t>
  </si>
  <si>
    <t>BAIAP2</t>
  </si>
  <si>
    <t>GAB2</t>
  </si>
  <si>
    <t>SMC3</t>
  </si>
  <si>
    <t>HDAC5</t>
  </si>
  <si>
    <t>SH2B3</t>
  </si>
  <si>
    <t>SCML2</t>
  </si>
  <si>
    <t>ZNF148</t>
  </si>
  <si>
    <t>MTMR6</t>
  </si>
  <si>
    <t>JAG2</t>
  </si>
  <si>
    <t>NIP7</t>
  </si>
  <si>
    <t>DMTF1</t>
  </si>
  <si>
    <t>GNE</t>
  </si>
  <si>
    <t>C14orf166</t>
  </si>
  <si>
    <t>RUVBL2</t>
  </si>
  <si>
    <t>CDYL</t>
  </si>
  <si>
    <t>PIN4</t>
  </si>
  <si>
    <t>POMP</t>
  </si>
  <si>
    <t>GINS2</t>
  </si>
  <si>
    <t>CHKB</t>
  </si>
  <si>
    <t>EIF3L</t>
  </si>
  <si>
    <t>PLAA</t>
  </si>
  <si>
    <t>RUVBL1</t>
  </si>
  <si>
    <t>NUDC</t>
  </si>
  <si>
    <t>VDAC3</t>
  </si>
  <si>
    <t>CFL2</t>
  </si>
  <si>
    <t>FARSA</t>
  </si>
  <si>
    <t>SLC5A6</t>
  </si>
  <si>
    <t>ASF1A</t>
  </si>
  <si>
    <t>DRG1</t>
  </si>
  <si>
    <t>TRAPPC4</t>
  </si>
  <si>
    <t>NCKAP1</t>
  </si>
  <si>
    <t>CNPY2</t>
  </si>
  <si>
    <t>EXOC6B</t>
  </si>
  <si>
    <t>KIAA0947</t>
  </si>
  <si>
    <t>CARD8</t>
  </si>
  <si>
    <t>DLGAP4</t>
  </si>
  <si>
    <t>STK38L</t>
  </si>
  <si>
    <t>INPP5F</t>
  </si>
  <si>
    <t>PLEKHA6</t>
  </si>
  <si>
    <t>NISCH</t>
  </si>
  <si>
    <t>PIKFYVE</t>
  </si>
  <si>
    <t>WDR37</t>
  </si>
  <si>
    <t>EPB41L3</t>
  </si>
  <si>
    <t>SIK3</t>
  </si>
  <si>
    <t>KDM2A</t>
  </si>
  <si>
    <t>DIS3</t>
  </si>
  <si>
    <t>LRCH1</t>
  </si>
  <si>
    <t>RCL1</t>
  </si>
  <si>
    <t>GSTK1</t>
  </si>
  <si>
    <t>LAMTOR2</t>
  </si>
  <si>
    <t>DDX52</t>
  </si>
  <si>
    <t>POLR1D</t>
  </si>
  <si>
    <t>CRYL1</t>
  </si>
  <si>
    <t>TMA7</t>
  </si>
  <si>
    <t>POLDIP2</t>
  </si>
  <si>
    <t>AP3M1</t>
  </si>
  <si>
    <t>YBX2</t>
  </si>
  <si>
    <t>MAP3K2</t>
  </si>
  <si>
    <t>LEMD3</t>
  </si>
  <si>
    <t>C15orf41</t>
  </si>
  <si>
    <t>CARHSP1</t>
  </si>
  <si>
    <t>COG6</t>
  </si>
  <si>
    <t>THRAP3</t>
  </si>
  <si>
    <t>MED16</t>
  </si>
  <si>
    <t>NOP58</t>
  </si>
  <si>
    <t>GIT1</t>
  </si>
  <si>
    <t>SUGT1</t>
  </si>
  <si>
    <t>MTO1</t>
  </si>
  <si>
    <t>YARS2</t>
  </si>
  <si>
    <t>AMDHD2</t>
  </si>
  <si>
    <t>ACOT9</t>
  </si>
  <si>
    <t>AAR2</t>
  </si>
  <si>
    <t>NOSIP</t>
  </si>
  <si>
    <t>DERA</t>
  </si>
  <si>
    <t>MEMO1</t>
  </si>
  <si>
    <t>ZBTB12</t>
  </si>
  <si>
    <t>LSM2</t>
  </si>
  <si>
    <t>SNX24</t>
  </si>
  <si>
    <t>SH3GLB1</t>
  </si>
  <si>
    <t>CAB39</t>
  </si>
  <si>
    <t>LUC7L2</t>
  </si>
  <si>
    <t>UBE2J1</t>
  </si>
  <si>
    <t>RBMX2</t>
  </si>
  <si>
    <t>UTP11L</t>
  </si>
  <si>
    <t>MOB4</t>
  </si>
  <si>
    <t>SBDS</t>
  </si>
  <si>
    <t>EXOSC1</t>
  </si>
  <si>
    <t>TMED7</t>
  </si>
  <si>
    <t>SF3B14</t>
  </si>
  <si>
    <t>RRP15</t>
  </si>
  <si>
    <t>NOP16</t>
  </si>
  <si>
    <t>TPRKB</t>
  </si>
  <si>
    <t>PPIL1</t>
  </si>
  <si>
    <t>UFC1</t>
  </si>
  <si>
    <t>FAM96B</t>
  </si>
  <si>
    <t>MSRB2</t>
  </si>
  <si>
    <t>FIS1</t>
  </si>
  <si>
    <t>MRPS23</t>
  </si>
  <si>
    <t>HDGFRP3</t>
  </si>
  <si>
    <t>BOLA1</t>
  </si>
  <si>
    <t>PTRH2</t>
  </si>
  <si>
    <t>CHMP3</t>
  </si>
  <si>
    <t>STRAP</t>
  </si>
  <si>
    <t>C22orf28</t>
  </si>
  <si>
    <t>FBXO7</t>
  </si>
  <si>
    <t>RABGAP1</t>
  </si>
  <si>
    <t>TSC22D4</t>
  </si>
  <si>
    <t>DOPEY2</t>
  </si>
  <si>
    <t>ZNF330</t>
  </si>
  <si>
    <t>R3HCC1</t>
  </si>
  <si>
    <t>NOC2L</t>
  </si>
  <si>
    <t>RPL36</t>
  </si>
  <si>
    <t>CCDC9</t>
  </si>
  <si>
    <t>CHTOP</t>
  </si>
  <si>
    <t>SAMHD1</t>
  </si>
  <si>
    <t>C2CD2</t>
  </si>
  <si>
    <t>PKP3</t>
  </si>
  <si>
    <t>KNSTRN</t>
  </si>
  <si>
    <t>HBS1L</t>
  </si>
  <si>
    <t>PRKAB1</t>
  </si>
  <si>
    <t>MTF2</t>
  </si>
  <si>
    <t>DMXL1</t>
  </si>
  <si>
    <t>TLN1</t>
  </si>
  <si>
    <t>KIF3A</t>
  </si>
  <si>
    <t>TRRAP</t>
  </si>
  <si>
    <t>RAD54L2</t>
  </si>
  <si>
    <t>VPRBP</t>
  </si>
  <si>
    <t>KDM3A</t>
  </si>
  <si>
    <t>FAM115A</t>
  </si>
  <si>
    <t>ZNF451</t>
  </si>
  <si>
    <t>USP15</t>
  </si>
  <si>
    <t>KIAA0430</t>
  </si>
  <si>
    <t>TLN2</t>
  </si>
  <si>
    <t>IRS2</t>
  </si>
  <si>
    <t>MYO5A</t>
  </si>
  <si>
    <t>MTL5</t>
  </si>
  <si>
    <t>AIM1</t>
  </si>
  <si>
    <t>TRAF6</t>
  </si>
  <si>
    <t>MAP4K5</t>
  </si>
  <si>
    <t>HYOU1</t>
  </si>
  <si>
    <t>ATG4B</t>
  </si>
  <si>
    <t>WIPI2</t>
  </si>
  <si>
    <t>TELO2</t>
  </si>
  <si>
    <t>MMACHC</t>
  </si>
  <si>
    <t>LAS1L</t>
  </si>
  <si>
    <t>AMMECR1</t>
  </si>
  <si>
    <t>ARIH1</t>
  </si>
  <si>
    <t>LSM4</t>
  </si>
  <si>
    <t>RNF114</t>
  </si>
  <si>
    <t>PRRC2C</t>
  </si>
  <si>
    <t>POLR3H</t>
  </si>
  <si>
    <t>LRRC42</t>
  </si>
  <si>
    <t>HSPB11</t>
  </si>
  <si>
    <t>PPME1</t>
  </si>
  <si>
    <t>RBM7</t>
  </si>
  <si>
    <t>CCDC41</t>
  </si>
  <si>
    <t>KCTD3</t>
  </si>
  <si>
    <t>ZSCAN21</t>
  </si>
  <si>
    <t>NUB1</t>
  </si>
  <si>
    <t>YTHDF2</t>
  </si>
  <si>
    <t>CTDP1</t>
  </si>
  <si>
    <t>PAXBP1</t>
  </si>
  <si>
    <t>NME7</t>
  </si>
  <si>
    <t>SUPT16H</t>
  </si>
  <si>
    <t>UTP18</t>
  </si>
  <si>
    <t>TIMM10B</t>
  </si>
  <si>
    <t>TIMM9</t>
  </si>
  <si>
    <t>TIMM8B</t>
  </si>
  <si>
    <t>CD2AP</t>
  </si>
  <si>
    <t>ATP6V1D</t>
  </si>
  <si>
    <t>TIMM13</t>
  </si>
  <si>
    <t>SRPRB</t>
  </si>
  <si>
    <t>N6AMT1</t>
  </si>
  <si>
    <t>COL4A3BP</t>
  </si>
  <si>
    <t>GMPPB</t>
  </si>
  <si>
    <t>GTF3C5</t>
  </si>
  <si>
    <t>GTF3C3</t>
  </si>
  <si>
    <t>TRPV2</t>
  </si>
  <si>
    <t>CDC42BPB</t>
  </si>
  <si>
    <t>RBM8A</t>
  </si>
  <si>
    <t>TSSC4</t>
  </si>
  <si>
    <t>SNX9</t>
  </si>
  <si>
    <t>SNX8</t>
  </si>
  <si>
    <t>SNX5</t>
  </si>
  <si>
    <t>NUBP2</t>
  </si>
  <si>
    <t>HEBP2</t>
  </si>
  <si>
    <t>MRFAP1</t>
  </si>
  <si>
    <t>LRRFIP2</t>
  </si>
  <si>
    <t>FHOD1</t>
  </si>
  <si>
    <t>PSAT1</t>
  </si>
  <si>
    <t>CPQ</t>
  </si>
  <si>
    <t>SPIN1</t>
  </si>
  <si>
    <t>SLC12A7</t>
  </si>
  <si>
    <t>COPG1</t>
  </si>
  <si>
    <t>AUP1</t>
  </si>
  <si>
    <t>FKBP7</t>
  </si>
  <si>
    <t>GMEB1</t>
  </si>
  <si>
    <t>CLIC4</t>
  </si>
  <si>
    <t>NFS1</t>
  </si>
  <si>
    <t>C16orf80</t>
  </si>
  <si>
    <t>TACC3</t>
  </si>
  <si>
    <t>SAR1B</t>
  </si>
  <si>
    <t>AP4B1</t>
  </si>
  <si>
    <t>EMILIN1</t>
  </si>
  <si>
    <t>MTCH2</t>
  </si>
  <si>
    <t>ARFGEF2</t>
  </si>
  <si>
    <t>ARFGEF1</t>
  </si>
  <si>
    <t>MAD1L1</t>
  </si>
  <si>
    <t>STK24</t>
  </si>
  <si>
    <t>COMMD10</t>
  </si>
  <si>
    <t>DYNC1LI1</t>
  </si>
  <si>
    <t>CHCHD2</t>
  </si>
  <si>
    <t>EPN1</t>
  </si>
  <si>
    <t>USP3</t>
  </si>
  <si>
    <t>TEX264</t>
  </si>
  <si>
    <t>TAF6L</t>
  </si>
  <si>
    <t>DNMT3A</t>
  </si>
  <si>
    <t>IGF2BP2</t>
  </si>
  <si>
    <t>SLC30A1</t>
  </si>
  <si>
    <t>SLC4A7</t>
  </si>
  <si>
    <t>SESN1</t>
  </si>
  <si>
    <t>STON1</t>
  </si>
  <si>
    <t>NCOA3</t>
  </si>
  <si>
    <t>NUMBL</t>
  </si>
  <si>
    <t>PCLO</t>
  </si>
  <si>
    <t>DDX49</t>
  </si>
  <si>
    <t>CAPN7</t>
  </si>
  <si>
    <t>WASF2</t>
  </si>
  <si>
    <t>ZHX2</t>
  </si>
  <si>
    <t>MORC2</t>
  </si>
  <si>
    <t>MOSPD2</t>
  </si>
  <si>
    <t>PSMD8</t>
  </si>
  <si>
    <t>BMI1</t>
  </si>
  <si>
    <t>YTHDF3</t>
  </si>
  <si>
    <t>AASDH</t>
  </si>
  <si>
    <t>DENND4C</t>
  </si>
  <si>
    <t>UBE2E3</t>
  </si>
  <si>
    <t>FBXO2</t>
  </si>
  <si>
    <t>PSMC3</t>
  </si>
  <si>
    <t>ACD</t>
  </si>
  <si>
    <t>A0AVK6</t>
  </si>
  <si>
    <t>A0AVT1</t>
  </si>
  <si>
    <t>A0JLT2-2</t>
  </si>
  <si>
    <t>A0JNW5</t>
  </si>
  <si>
    <t>A0MZ66</t>
  </si>
  <si>
    <t>A2AE50</t>
  </si>
  <si>
    <t>A2RRP1</t>
  </si>
  <si>
    <t>A2RUC4</t>
  </si>
  <si>
    <t>A2VDF0-2</t>
  </si>
  <si>
    <t>A2VDJ0-2</t>
  </si>
  <si>
    <t>A3KMH1-2</t>
  </si>
  <si>
    <t>A3KN83-2</t>
  </si>
  <si>
    <t>A4D126-2</t>
  </si>
  <si>
    <t>A4D2B0</t>
  </si>
  <si>
    <t>A5PL33-3</t>
  </si>
  <si>
    <t>A5PLN9-2</t>
  </si>
  <si>
    <t>A5YKK6-2</t>
  </si>
  <si>
    <t>A6H8Y1-7</t>
  </si>
  <si>
    <t>A6NDG6</t>
  </si>
  <si>
    <t>A6NDU8</t>
  </si>
  <si>
    <t>A6NE92</t>
  </si>
  <si>
    <t>A6NED2</t>
  </si>
  <si>
    <t>A6NF31</t>
  </si>
  <si>
    <t>A6NF48</t>
  </si>
  <si>
    <t>A6NFI3</t>
  </si>
  <si>
    <t>A6NFX8</t>
  </si>
  <si>
    <t>A6NFY7</t>
  </si>
  <si>
    <t>A6NG32</t>
  </si>
  <si>
    <t>A6NG79</t>
  </si>
  <si>
    <t>A6NGB9</t>
  </si>
  <si>
    <t>A6NGH7</t>
  </si>
  <si>
    <t>A6NGP5</t>
  </si>
  <si>
    <t>A6NGQ3</t>
  </si>
  <si>
    <t>A6NGU5</t>
  </si>
  <si>
    <t>A6NHF2</t>
  </si>
  <si>
    <t>A6NHL2-2</t>
  </si>
  <si>
    <t>A6NHR9</t>
  </si>
  <si>
    <t>A6NHX0</t>
  </si>
  <si>
    <t>A6NIH7</t>
  </si>
  <si>
    <t>A6NJX6</t>
  </si>
  <si>
    <t>A6NJZ9</t>
  </si>
  <si>
    <t>A6NKD9</t>
  </si>
  <si>
    <t>A6NML8</t>
  </si>
  <si>
    <t>A6NN80</t>
  </si>
  <si>
    <t>A6NNY8</t>
  </si>
  <si>
    <t>A6QL64</t>
  </si>
  <si>
    <t>A6ZKI3</t>
  </si>
  <si>
    <t>A7MCY6</t>
  </si>
  <si>
    <t>A8CG34-2</t>
  </si>
  <si>
    <t>A8CTY3</t>
  </si>
  <si>
    <t>A8K2U1</t>
  </si>
  <si>
    <t>A8K8P3-5</t>
  </si>
  <si>
    <t>A8MPS7</t>
  </si>
  <si>
    <t>A8MPV3</t>
  </si>
  <si>
    <t>A8MQ14</t>
  </si>
  <si>
    <t>A8MQB8</t>
  </si>
  <si>
    <t>A8MT20</t>
  </si>
  <si>
    <t>A8MT37</t>
  </si>
  <si>
    <t>A8MTY9</t>
  </si>
  <si>
    <t>A8MTZ6</t>
  </si>
  <si>
    <t>A8MU44</t>
  </si>
  <si>
    <t>A8MUB1</t>
  </si>
  <si>
    <t>A8MUN2</t>
  </si>
  <si>
    <t>A8MVX0</t>
  </si>
  <si>
    <t>A8MVZ6</t>
  </si>
  <si>
    <t>A8MX75</t>
  </si>
  <si>
    <t>A8MXP8</t>
  </si>
  <si>
    <t>A8MXP9</t>
  </si>
  <si>
    <t>A8MXV4</t>
  </si>
  <si>
    <t>A8MYC1</t>
  </si>
  <si>
    <t>A9Z1X7</t>
  </si>
  <si>
    <t>B0FLL2</t>
  </si>
  <si>
    <t>B0QXZ5</t>
  </si>
  <si>
    <t>B0QY04</t>
  </si>
  <si>
    <t>B0QY16</t>
  </si>
  <si>
    <t>B0QYI3</t>
  </si>
  <si>
    <t>B0UX83</t>
  </si>
  <si>
    <t>B0UZY3</t>
  </si>
  <si>
    <t>B1AH86</t>
  </si>
  <si>
    <t>B1AHD3</t>
  </si>
  <si>
    <t>B1AHJ7</t>
  </si>
  <si>
    <t>B1AHQ6</t>
  </si>
  <si>
    <t>B1AJY7</t>
  </si>
  <si>
    <t>B1AJZ9-4</t>
  </si>
  <si>
    <t>B1AK13</t>
  </si>
  <si>
    <t>B1AK81</t>
  </si>
  <si>
    <t>B1AK87</t>
  </si>
  <si>
    <t>B1AKD8</t>
  </si>
  <si>
    <t>B1AKL4</t>
  </si>
  <si>
    <t>B1AKN7</t>
  </si>
  <si>
    <t>B1AL69</t>
  </si>
  <si>
    <t>B1AN99</t>
  </si>
  <si>
    <t>B1ANH0</t>
  </si>
  <si>
    <t>B1APM4</t>
  </si>
  <si>
    <t>B1APY4</t>
  </si>
  <si>
    <t>B1B1H9</t>
  </si>
  <si>
    <t>B2R5P6</t>
  </si>
  <si>
    <t>B2RD65</t>
  </si>
  <si>
    <t>B2RPG6</t>
  </si>
  <si>
    <t>B2WTI3</t>
  </si>
  <si>
    <t>B3KMG0</t>
  </si>
  <si>
    <t>B3KNQ0</t>
  </si>
  <si>
    <t>B3KP96</t>
  </si>
  <si>
    <t>B3KQ95</t>
  </si>
  <si>
    <t>B3KR00</t>
  </si>
  <si>
    <t>B3KRH1</t>
  </si>
  <si>
    <t>B3KSI9</t>
  </si>
  <si>
    <t>B3KSJ7</t>
  </si>
  <si>
    <t>B3KU87</t>
  </si>
  <si>
    <t>B3KUK2</t>
  </si>
  <si>
    <t>B3KVH8</t>
  </si>
  <si>
    <t>B3KVZ3</t>
  </si>
  <si>
    <t>B3KWW1</t>
  </si>
  <si>
    <t>B3KY83</t>
  </si>
  <si>
    <t>B4DDF4</t>
  </si>
  <si>
    <t>B4DDF9</t>
  </si>
  <si>
    <t>B4DE93</t>
  </si>
  <si>
    <t>B4DFA2</t>
  </si>
  <si>
    <t>B4DFG0</t>
  </si>
  <si>
    <t>B4DFG6</t>
  </si>
  <si>
    <t>B4DFL2</t>
  </si>
  <si>
    <t>B4DGU4</t>
  </si>
  <si>
    <t>B4DGX0</t>
  </si>
  <si>
    <t>B4DGX2</t>
  </si>
  <si>
    <t>B4DH53</t>
  </si>
  <si>
    <t>B4DI94</t>
  </si>
  <si>
    <t>B4DIP4</t>
  </si>
  <si>
    <t>B4DIQ3</t>
  </si>
  <si>
    <t>B4DJ68</t>
  </si>
  <si>
    <t>B4DJA5</t>
  </si>
  <si>
    <t>B4DJP7</t>
  </si>
  <si>
    <t>B4DJV2</t>
  </si>
  <si>
    <t>B4DK80</t>
  </si>
  <si>
    <t>B4DKF9</t>
  </si>
  <si>
    <t>B4DKJ3</t>
  </si>
  <si>
    <t>B4DKL4</t>
  </si>
  <si>
    <t>B4DKV7</t>
  </si>
  <si>
    <t>B4DL14</t>
  </si>
  <si>
    <t>B4DL54</t>
  </si>
  <si>
    <t>B4DL79</t>
  </si>
  <si>
    <t>B4DLE8</t>
  </si>
  <si>
    <t>B4DLR8</t>
  </si>
  <si>
    <t>B4DLT4</t>
  </si>
  <si>
    <t>B4DLZ9</t>
  </si>
  <si>
    <t>B4DNX9</t>
  </si>
  <si>
    <t>B4DNZ7</t>
  </si>
  <si>
    <t>B4DP21</t>
  </si>
  <si>
    <t>B4DP62</t>
  </si>
  <si>
    <t>B4DPR4</t>
  </si>
  <si>
    <t>B4DPY8</t>
  </si>
  <si>
    <t>B4DQ51</t>
  </si>
  <si>
    <t>B4DQE7</t>
  </si>
  <si>
    <t>B4DQH9</t>
  </si>
  <si>
    <t>B4DQI6</t>
  </si>
  <si>
    <t>B4DQJ8</t>
  </si>
  <si>
    <t>B4DQL0</t>
  </si>
  <si>
    <t>B4DQV4</t>
  </si>
  <si>
    <t>B4DR03</t>
  </si>
  <si>
    <t>B4DRD1</t>
  </si>
  <si>
    <t>B4DRL9</t>
  </si>
  <si>
    <t>B4DRM7</t>
  </si>
  <si>
    <t>B4DRS7</t>
  </si>
  <si>
    <t>B4DS61</t>
  </si>
  <si>
    <t>B4DS76</t>
  </si>
  <si>
    <t>B4DSS5</t>
  </si>
  <si>
    <t>B4DST5</t>
  </si>
  <si>
    <t>B4DT55</t>
  </si>
  <si>
    <t>B4DT77</t>
  </si>
  <si>
    <t>B4DTU4</t>
  </si>
  <si>
    <t>B4DTZ6</t>
  </si>
  <si>
    <t>B4DU60</t>
  </si>
  <si>
    <t>B4DUI3</t>
  </si>
  <si>
    <t>B4DUR0</t>
  </si>
  <si>
    <t>B4DUS4</t>
  </si>
  <si>
    <t>B4DV96</t>
  </si>
  <si>
    <t>B4DVE7</t>
  </si>
  <si>
    <t>B4DVY1</t>
  </si>
  <si>
    <t>B4DWB0</t>
  </si>
  <si>
    <t>B4DWW1</t>
  </si>
  <si>
    <t>B4DXW4</t>
  </si>
  <si>
    <t>B4DXZ6</t>
  </si>
  <si>
    <t>B4DY82</t>
  </si>
  <si>
    <t>B4DYB4</t>
  </si>
  <si>
    <t>B4DZG6</t>
  </si>
  <si>
    <t>B4DZH6</t>
  </si>
  <si>
    <t>B4DZK7</t>
  </si>
  <si>
    <t>B4E0G4</t>
  </si>
  <si>
    <t>B4E1D7</t>
  </si>
  <si>
    <t>B4E1K7</t>
  </si>
  <si>
    <t>B4E1M0</t>
  </si>
  <si>
    <t>B4E1Q4</t>
  </si>
  <si>
    <t>B4E241</t>
  </si>
  <si>
    <t>B4E2S7</t>
  </si>
  <si>
    <t>B4E2W0</t>
  </si>
  <si>
    <t>B4E2X3</t>
  </si>
  <si>
    <t>B4E351</t>
  </si>
  <si>
    <t>B4E3E5</t>
  </si>
  <si>
    <t>B4E3T2</t>
  </si>
  <si>
    <t>B4E3W0</t>
  </si>
  <si>
    <t>B5MC20</t>
  </si>
  <si>
    <t>B5MC51</t>
  </si>
  <si>
    <t>B5MCF9</t>
  </si>
  <si>
    <t>B5MCM0</t>
  </si>
  <si>
    <t>B5MCU0</t>
  </si>
  <si>
    <t>B5MDQ0</t>
  </si>
  <si>
    <t>B7WP27</t>
  </si>
  <si>
    <t>B7WPH3</t>
  </si>
  <si>
    <t>B7Z1I8</t>
  </si>
  <si>
    <t>B7Z1N3</t>
  </si>
  <si>
    <t>B7Z254</t>
  </si>
  <si>
    <t>B7Z2G1</t>
  </si>
  <si>
    <t>B7Z2T3</t>
  </si>
  <si>
    <t>B7Z2X9</t>
  </si>
  <si>
    <t>B7Z314</t>
  </si>
  <si>
    <t>B7Z3A7</t>
  </si>
  <si>
    <t>B7Z3B9</t>
  </si>
  <si>
    <t>B7Z3I9</t>
  </si>
  <si>
    <t>B7Z3Y2</t>
  </si>
  <si>
    <t>B7Z4K6</t>
  </si>
  <si>
    <t>B7Z4R0</t>
  </si>
  <si>
    <t>B7Z588</t>
  </si>
  <si>
    <t>B7Z5F4</t>
  </si>
  <si>
    <t>B7Z5G4</t>
  </si>
  <si>
    <t>B7Z5X7</t>
  </si>
  <si>
    <t>B7Z637</t>
  </si>
  <si>
    <t>B7Z6B8</t>
  </si>
  <si>
    <t>B7Z6M3</t>
  </si>
  <si>
    <t>B7Z7E1</t>
  </si>
  <si>
    <t>B7Z7N6</t>
  </si>
  <si>
    <t>B7Z815</t>
  </si>
  <si>
    <t>B7Z844</t>
  </si>
  <si>
    <t>B7Z8R6</t>
  </si>
  <si>
    <t>B7ZAB3</t>
  </si>
  <si>
    <t>B7ZAX5</t>
  </si>
  <si>
    <t>B7ZKK9</t>
  </si>
  <si>
    <t>B7ZKP8</t>
  </si>
  <si>
    <t>B7ZKT6</t>
  </si>
  <si>
    <t>B7ZLQ8</t>
  </si>
  <si>
    <t>B7ZM82</t>
  </si>
  <si>
    <t>B8ZZ99</t>
  </si>
  <si>
    <t>B8ZZJ9</t>
  </si>
  <si>
    <t>B8ZZK4</t>
  </si>
  <si>
    <t>B8ZZQ6</t>
  </si>
  <si>
    <t>B8ZZU6</t>
  </si>
  <si>
    <t>B8ZZU8</t>
  </si>
  <si>
    <t>B8ZZW9</t>
  </si>
  <si>
    <t>B9A018</t>
  </si>
  <si>
    <t>B9A057</t>
  </si>
  <si>
    <t>B9EGH5</t>
  </si>
  <si>
    <t>B9ZVT1</t>
  </si>
  <si>
    <t>B9ZVU2</t>
  </si>
  <si>
    <t>C4AMC7</t>
  </si>
  <si>
    <t>C6G496</t>
  </si>
  <si>
    <t>C6GKU9</t>
  </si>
  <si>
    <t>C9IYZ1</t>
  </si>
  <si>
    <t>C9IZE4</t>
  </si>
  <si>
    <t>C9IZI4</t>
  </si>
  <si>
    <t>C9J0A7</t>
  </si>
  <si>
    <t>C9J0I9</t>
  </si>
  <si>
    <t>C9J0K6</t>
  </si>
  <si>
    <t>C9J1C6</t>
  </si>
  <si>
    <t>C9J1J0</t>
  </si>
  <si>
    <t>C9J1X0</t>
  </si>
  <si>
    <t>C9J212</t>
  </si>
  <si>
    <t>C9J2P0</t>
  </si>
  <si>
    <t>C9J2V2</t>
  </si>
  <si>
    <t>C9J2Y9</t>
  </si>
  <si>
    <t>C9J384</t>
  </si>
  <si>
    <t>C9J3L8</t>
  </si>
  <si>
    <t>C9J3R0</t>
  </si>
  <si>
    <t>C9J3R1</t>
  </si>
  <si>
    <t>C9J3Y0</t>
  </si>
  <si>
    <t>C9J4K0</t>
  </si>
  <si>
    <t>C9J4L5</t>
  </si>
  <si>
    <t>C9J4X5</t>
  </si>
  <si>
    <t>C9J5C3</t>
  </si>
  <si>
    <t>C9J5J4</t>
  </si>
  <si>
    <t>C9J5W6</t>
  </si>
  <si>
    <t>C9J5X9</t>
  </si>
  <si>
    <t>C9J6N9</t>
  </si>
  <si>
    <t>C9J7E5</t>
  </si>
  <si>
    <t>C9J7I0</t>
  </si>
  <si>
    <t>C9J8B6</t>
  </si>
  <si>
    <t>C9J8B8</t>
  </si>
  <si>
    <t>C9J8L0</t>
  </si>
  <si>
    <t>C9J8R7</t>
  </si>
  <si>
    <t>C9J9K3</t>
  </si>
  <si>
    <t>C9JA28</t>
  </si>
  <si>
    <t>C9JA69</t>
  </si>
  <si>
    <t>C9JAX3</t>
  </si>
  <si>
    <t>C9JB13</t>
  </si>
  <si>
    <t>C9JCN8</t>
  </si>
  <si>
    <t>C9JCR1</t>
  </si>
  <si>
    <t>C9JDG0</t>
  </si>
  <si>
    <t>C9JE12</t>
  </si>
  <si>
    <t>C9JE98</t>
  </si>
  <si>
    <t>C9JFE4</t>
  </si>
  <si>
    <t>C9JFK9</t>
  </si>
  <si>
    <t>C9JFM5</t>
  </si>
  <si>
    <t>C9JFR7</t>
  </si>
  <si>
    <t>C9JG15</t>
  </si>
  <si>
    <t>C9JG97</t>
  </si>
  <si>
    <t>C9JHB1</t>
  </si>
  <si>
    <t>C9JIE5</t>
  </si>
  <si>
    <t>C9JIM0</t>
  </si>
  <si>
    <t>C9JIS1</t>
  </si>
  <si>
    <t>C9JJM7</t>
  </si>
  <si>
    <t>C9JJV6</t>
  </si>
  <si>
    <t>C9JLU1</t>
  </si>
  <si>
    <t>C9JLV4</t>
  </si>
  <si>
    <t>C9JMG3</t>
  </si>
  <si>
    <t>C9JNE2</t>
  </si>
  <si>
    <t>C9JNI7</t>
  </si>
  <si>
    <t>C9JP00</t>
  </si>
  <si>
    <t>C9JPC9</t>
  </si>
  <si>
    <t>C9JPL0</t>
  </si>
  <si>
    <t>C9JPP2</t>
  </si>
  <si>
    <t>C9JQ41</t>
  </si>
  <si>
    <t>C9JQB1</t>
  </si>
  <si>
    <t>C9JQV0</t>
  </si>
  <si>
    <t>C9JQV3</t>
  </si>
  <si>
    <t>C9JR56</t>
  </si>
  <si>
    <t>C9JS27</t>
  </si>
  <si>
    <t>C9JT95</t>
  </si>
  <si>
    <t>C9JTM9</t>
  </si>
  <si>
    <t>C9JV49</t>
  </si>
  <si>
    <t>C9JV50</t>
  </si>
  <si>
    <t>C9JVP0</t>
  </si>
  <si>
    <t>C9JVU9</t>
  </si>
  <si>
    <t>C9JWC5</t>
  </si>
  <si>
    <t>C9JXB8</t>
  </si>
  <si>
    <t>C9JXB9</t>
  </si>
  <si>
    <t>C9JXP4</t>
  </si>
  <si>
    <t>C9JYD0</t>
  </si>
  <si>
    <t>C9JYJ6</t>
  </si>
  <si>
    <t>C9JYM0</t>
  </si>
  <si>
    <t>C9JZE9</t>
  </si>
  <si>
    <t>C9JZR4</t>
  </si>
  <si>
    <t>C9JZY3</t>
  </si>
  <si>
    <t>D3YTB1</t>
  </si>
  <si>
    <t>D3YTE0</t>
  </si>
  <si>
    <t>D3YTE1</t>
  </si>
  <si>
    <t>D3YTG6</t>
  </si>
  <si>
    <t>D6R992</t>
  </si>
  <si>
    <t>D6R9E3</t>
  </si>
  <si>
    <t>D6R9J8</t>
  </si>
  <si>
    <t>D6R9P3</t>
  </si>
  <si>
    <t>D6R9S4</t>
  </si>
  <si>
    <t>D6R9U7</t>
  </si>
  <si>
    <t>D6R9V8</t>
  </si>
  <si>
    <t>D6RA32</t>
  </si>
  <si>
    <t>D6RAG3</t>
  </si>
  <si>
    <t>D6RAL3</t>
  </si>
  <si>
    <t>D6RAM3</t>
  </si>
  <si>
    <t>D6RAN4</t>
  </si>
  <si>
    <t>D6RAV1</t>
  </si>
  <si>
    <t>D6RBE0</t>
  </si>
  <si>
    <t>D6RBN5</t>
  </si>
  <si>
    <t>D6RC71</t>
  </si>
  <si>
    <t>D6RCD0</t>
  </si>
  <si>
    <t>D6RD24</t>
  </si>
  <si>
    <t>D6RD47</t>
  </si>
  <si>
    <t>D6RDX3</t>
  </si>
  <si>
    <t>D6REB5</t>
  </si>
  <si>
    <t>D6REL5</t>
  </si>
  <si>
    <t>D6REW1</t>
  </si>
  <si>
    <t>D6RF85</t>
  </si>
  <si>
    <t>D6RFH4</t>
  </si>
  <si>
    <t>D6RGI3</t>
  </si>
  <si>
    <t>D6RGX2</t>
  </si>
  <si>
    <t>D6RHC4</t>
  </si>
  <si>
    <t>D6RHD3</t>
  </si>
  <si>
    <t>D6RHI9</t>
  </si>
  <si>
    <t>D6RIY1</t>
  </si>
  <si>
    <t>D6RIZ4</t>
  </si>
  <si>
    <t>D6RJG9</t>
  </si>
  <si>
    <t>E1P5Q0</t>
  </si>
  <si>
    <t>E2QRD4</t>
  </si>
  <si>
    <t>E2QRF9</t>
  </si>
  <si>
    <t>E5RFI2</t>
  </si>
  <si>
    <t>E5RFJ1</t>
  </si>
  <si>
    <t>E5RG73</t>
  </si>
  <si>
    <t>E5RGQ3</t>
  </si>
  <si>
    <t>E5RGX5</t>
  </si>
  <si>
    <t>E5RH89</t>
  </si>
  <si>
    <t>E5RHG8</t>
  </si>
  <si>
    <t>E5RHI2</t>
  </si>
  <si>
    <t>E5RHN9</t>
  </si>
  <si>
    <t>E5RHW4</t>
  </si>
  <si>
    <t>E5RI99</t>
  </si>
  <si>
    <t>E5RIH5</t>
  </si>
  <si>
    <t>E5RJ08</t>
  </si>
  <si>
    <t>E5RJ68</t>
  </si>
  <si>
    <t>E5RJ97</t>
  </si>
  <si>
    <t>E5RJ99</t>
  </si>
  <si>
    <t>E5RJR5</t>
  </si>
  <si>
    <t>E5RK28</t>
  </si>
  <si>
    <t>E5RK82</t>
  </si>
  <si>
    <t>E7EM64</t>
  </si>
  <si>
    <t>E7EMD6</t>
  </si>
  <si>
    <t>E7EMM4</t>
  </si>
  <si>
    <t>E7EMP6</t>
  </si>
  <si>
    <t>E7EMW7</t>
  </si>
  <si>
    <t>E7ENA9</t>
  </si>
  <si>
    <t>E7ENF1</t>
  </si>
  <si>
    <t>E7ENK0</t>
  </si>
  <si>
    <t>E7ENN3</t>
  </si>
  <si>
    <t>E7ENW2</t>
  </si>
  <si>
    <t>E7EP17</t>
  </si>
  <si>
    <t>E7EPB3</t>
  </si>
  <si>
    <t>E7EPD0</t>
  </si>
  <si>
    <t>E7EPI0</t>
  </si>
  <si>
    <t>E7EPL4</t>
  </si>
  <si>
    <t>E7EPP7</t>
  </si>
  <si>
    <t>E7EQ69</t>
  </si>
  <si>
    <t>E7EQG2</t>
  </si>
  <si>
    <t>E7EQL8</t>
  </si>
  <si>
    <t>E7ER32</t>
  </si>
  <si>
    <t>E7ERL6</t>
  </si>
  <si>
    <t>E7ES08</t>
  </si>
  <si>
    <t>E7ES21</t>
  </si>
  <si>
    <t>E7ESC6</t>
  </si>
  <si>
    <t>E7ESJ3</t>
  </si>
  <si>
    <t>E7ESM1</t>
  </si>
  <si>
    <t>E7ET07</t>
  </si>
  <si>
    <t>E7ET15</t>
  </si>
  <si>
    <t>E7ET33</t>
  </si>
  <si>
    <t>E7ET96</t>
  </si>
  <si>
    <t>E7ETA6</t>
  </si>
  <si>
    <t>E7ETU5</t>
  </si>
  <si>
    <t>E7ETU9</t>
  </si>
  <si>
    <t>E7ETZ4</t>
  </si>
  <si>
    <t>E7EU24</t>
  </si>
  <si>
    <t>E7EU96</t>
  </si>
  <si>
    <t>E7EUH9</t>
  </si>
  <si>
    <t>E7EUI8</t>
  </si>
  <si>
    <t>E7EUM5</t>
  </si>
  <si>
    <t>E7EV10</t>
  </si>
  <si>
    <t>E7EV62</t>
  </si>
  <si>
    <t>E7EV87</t>
  </si>
  <si>
    <t>E7EV93</t>
  </si>
  <si>
    <t>E7EVA0</t>
  </si>
  <si>
    <t>E7EVJ5</t>
  </si>
  <si>
    <t>E7EVY7</t>
  </si>
  <si>
    <t>E7EVZ5</t>
  </si>
  <si>
    <t>E7EW59</t>
  </si>
  <si>
    <t>E7EW69</t>
  </si>
  <si>
    <t>E7EW84</t>
  </si>
  <si>
    <t>E7EWD6</t>
  </si>
  <si>
    <t>E7EX48</t>
  </si>
  <si>
    <t>E7EX53</t>
  </si>
  <si>
    <t>E7EX73</t>
  </si>
  <si>
    <t>E9PAU2</t>
  </si>
  <si>
    <t>E9PB14</t>
  </si>
  <si>
    <t>E9PB61</t>
  </si>
  <si>
    <t>E9PBG3</t>
  </si>
  <si>
    <t>E9PBP4</t>
  </si>
  <si>
    <t>E9PC26</t>
  </si>
  <si>
    <t>E9PC62</t>
  </si>
  <si>
    <t>E9PC74</t>
  </si>
  <si>
    <t>E9PCE5</t>
  </si>
  <si>
    <t>E9PCR4</t>
  </si>
  <si>
    <t>E9PCV0</t>
  </si>
  <si>
    <t>E9PCW1</t>
  </si>
  <si>
    <t>E9PD53</t>
  </si>
  <si>
    <t>E9PD90</t>
  </si>
  <si>
    <t>E9PDC3</t>
  </si>
  <si>
    <t>E9PDE4</t>
  </si>
  <si>
    <t>E9PDG2</t>
  </si>
  <si>
    <t>E9PDK2</t>
  </si>
  <si>
    <t>E9PDL4</t>
  </si>
  <si>
    <t>E9PE19</t>
  </si>
  <si>
    <t>E9PEB9</t>
  </si>
  <si>
    <t>E9PEI0</t>
  </si>
  <si>
    <t>E9PER6</t>
  </si>
  <si>
    <t>E9PEZ3</t>
  </si>
  <si>
    <t>E9PEZ8</t>
  </si>
  <si>
    <t>E9PF10</t>
  </si>
  <si>
    <t>E9PF16</t>
  </si>
  <si>
    <t>E9PF19</t>
  </si>
  <si>
    <t>E9PF99</t>
  </si>
  <si>
    <t>E9PFK5</t>
  </si>
  <si>
    <t>E9PFR3</t>
  </si>
  <si>
    <t>E9PG22</t>
  </si>
  <si>
    <t>E9PGT1</t>
  </si>
  <si>
    <t>E9PGT6</t>
  </si>
  <si>
    <t>E9PGW7</t>
  </si>
  <si>
    <t>E9PH29</t>
  </si>
  <si>
    <t>E9PH58</t>
  </si>
  <si>
    <t>E9PH62</t>
  </si>
  <si>
    <t>E9PHK0</t>
  </si>
  <si>
    <t>E9PHM2</t>
  </si>
  <si>
    <t>E9PHV5</t>
  </si>
  <si>
    <t>E9PHX8</t>
  </si>
  <si>
    <t>E9PHY5</t>
  </si>
  <si>
    <t>E9PI10</t>
  </si>
  <si>
    <t>E9PIP3</t>
  </si>
  <si>
    <t>E9PJ04</t>
  </si>
  <si>
    <t>E9PJ07</t>
  </si>
  <si>
    <t>E9PJ24</t>
  </si>
  <si>
    <t>E9PJ81</t>
  </si>
  <si>
    <t>E9PJD7</t>
  </si>
  <si>
    <t>E9PJF5</t>
  </si>
  <si>
    <t>E9PJK1</t>
  </si>
  <si>
    <t>E9PK05</t>
  </si>
  <si>
    <t>E9PKB7</t>
  </si>
  <si>
    <t>E9PKB9</t>
  </si>
  <si>
    <t>E9PKG1</t>
  </si>
  <si>
    <t>E9PKV8</t>
  </si>
  <si>
    <t>E9PKZ0</t>
  </si>
  <si>
    <t>E9PL01</t>
  </si>
  <si>
    <t>E9PL57</t>
  </si>
  <si>
    <t>E9PLD3</t>
  </si>
  <si>
    <t>E9PLG8</t>
  </si>
  <si>
    <t>E9PLK3</t>
  </si>
  <si>
    <t>E9PLL6</t>
  </si>
  <si>
    <t>E9PLX2</t>
  </si>
  <si>
    <t>E9PLY5</t>
  </si>
  <si>
    <t>E9PM46</t>
  </si>
  <si>
    <t>E9PM92</t>
  </si>
  <si>
    <t>E9PMC9</t>
  </si>
  <si>
    <t>E9PME6</t>
  </si>
  <si>
    <t>E9PMH5</t>
  </si>
  <si>
    <t>E9PMI6</t>
  </si>
  <si>
    <t>E9PMJ2</t>
  </si>
  <si>
    <t>E9PMS5</t>
  </si>
  <si>
    <t>E9PMS6</t>
  </si>
  <si>
    <t>E9PN17</t>
  </si>
  <si>
    <t>E9PND3</t>
  </si>
  <si>
    <t>E9PNW4</t>
  </si>
  <si>
    <t>E9PP00</t>
  </si>
  <si>
    <t>E9PPH6</t>
  </si>
  <si>
    <t>E9PPY3</t>
  </si>
  <si>
    <t>E9PQ38</t>
  </si>
  <si>
    <t>E9PQ47</t>
  </si>
  <si>
    <t>E9PQ74</t>
  </si>
  <si>
    <t>E9PQT8</t>
  </si>
  <si>
    <t>E9PQY3</t>
  </si>
  <si>
    <t>E9PR76</t>
  </si>
  <si>
    <t>E9PRI4</t>
  </si>
  <si>
    <t>E9PS41</t>
  </si>
  <si>
    <t>E9PSA5</t>
  </si>
  <si>
    <t>E9PSF2</t>
  </si>
  <si>
    <t>F2Z2E1</t>
  </si>
  <si>
    <t>F2Z2E2</t>
  </si>
  <si>
    <t>F2Z2Q4</t>
  </si>
  <si>
    <t>F2Z2V0</t>
  </si>
  <si>
    <t>F2Z2V1</t>
  </si>
  <si>
    <t>F2Z2X4</t>
  </si>
  <si>
    <t>F2Z2Y3</t>
  </si>
  <si>
    <t>F5GWD3</t>
  </si>
  <si>
    <t>F5GWI9</t>
  </si>
  <si>
    <t>F5GWN5</t>
  </si>
  <si>
    <t>F5GWP8</t>
  </si>
  <si>
    <t>F5GWT4</t>
  </si>
  <si>
    <t>F5GWU7</t>
  </si>
  <si>
    <t>F5GX09</t>
  </si>
  <si>
    <t>F5GX33</t>
  </si>
  <si>
    <t>F5GX58</t>
  </si>
  <si>
    <t>F5GX68</t>
  </si>
  <si>
    <t>F5GX82</t>
  </si>
  <si>
    <t>F5GXC8</t>
  </si>
  <si>
    <t>F5GXD1</t>
  </si>
  <si>
    <t>F5GXE4</t>
  </si>
  <si>
    <t>F5GXQ1</t>
  </si>
  <si>
    <t>F5GY11</t>
  </si>
  <si>
    <t>F5GY37</t>
  </si>
  <si>
    <t>F5GY95</t>
  </si>
  <si>
    <t>F5GYA2</t>
  </si>
  <si>
    <t>F5GYC4</t>
  </si>
  <si>
    <t>F5GYJ5</t>
  </si>
  <si>
    <t>F5GYN4</t>
  </si>
  <si>
    <t>F5GZ06</t>
  </si>
  <si>
    <t>F5GZ78</t>
  </si>
  <si>
    <t>F5GZ84</t>
  </si>
  <si>
    <t>F5GZ90</t>
  </si>
  <si>
    <t>F5GZG6</t>
  </si>
  <si>
    <t>F5GZP6</t>
  </si>
  <si>
    <t>F5GZQ4</t>
  </si>
  <si>
    <t>F5GZW3</t>
  </si>
  <si>
    <t>F5GZY0</t>
  </si>
  <si>
    <t>F5H012</t>
  </si>
  <si>
    <t>F5H0E9</t>
  </si>
  <si>
    <t>F5H0F9</t>
  </si>
  <si>
    <t>F5H0K8</t>
  </si>
  <si>
    <t>F5H0L8</t>
  </si>
  <si>
    <t>F5H0Q6</t>
  </si>
  <si>
    <t>F5H105</t>
  </si>
  <si>
    <t>F5H1G8</t>
  </si>
  <si>
    <t>F5H1L4</t>
  </si>
  <si>
    <t>F5H1N7</t>
  </si>
  <si>
    <t>F5H1S8</t>
  </si>
  <si>
    <t>F5H1X8</t>
  </si>
  <si>
    <t>F5H1Y0</t>
  </si>
  <si>
    <t>F5H241</t>
  </si>
  <si>
    <t>F5H290</t>
  </si>
  <si>
    <t>F5H2A8</t>
  </si>
  <si>
    <t>F5H2H5</t>
  </si>
  <si>
    <t>F5H2Q7</t>
  </si>
  <si>
    <t>F5H315</t>
  </si>
  <si>
    <t>F5H365</t>
  </si>
  <si>
    <t>F5H3G6</t>
  </si>
  <si>
    <t>F5H3Q7</t>
  </si>
  <si>
    <t>F5H442</t>
  </si>
  <si>
    <t>F5H476</t>
  </si>
  <si>
    <t>F5H4B1</t>
  </si>
  <si>
    <t>F5H4G7</t>
  </si>
  <si>
    <t>F5H4J2</t>
  </si>
  <si>
    <t>F5H4Q5</t>
  </si>
  <si>
    <t>F5H4S9</t>
  </si>
  <si>
    <t>F5H4U6</t>
  </si>
  <si>
    <t>F5H4V9</t>
  </si>
  <si>
    <t>F5H542</t>
  </si>
  <si>
    <t>F5H590</t>
  </si>
  <si>
    <t>F5H598</t>
  </si>
  <si>
    <t>F5H5A3</t>
  </si>
  <si>
    <t>F5H5C2</t>
  </si>
  <si>
    <t>F5H5M7</t>
  </si>
  <si>
    <t>F5H5U2</t>
  </si>
  <si>
    <t>F5H604</t>
  </si>
  <si>
    <t>F5H6I7</t>
  </si>
  <si>
    <t>F5H6M9</t>
  </si>
  <si>
    <t>F5H6P3</t>
  </si>
  <si>
    <t>F5H6Z0</t>
  </si>
  <si>
    <t>F5H715</t>
  </si>
  <si>
    <t>F5H721</t>
  </si>
  <si>
    <t>F5H777</t>
  </si>
  <si>
    <t>F5H7F6</t>
  </si>
  <si>
    <t>F5H7I4</t>
  </si>
  <si>
    <t>F5H7V7</t>
  </si>
  <si>
    <t>F5H801</t>
  </si>
  <si>
    <t>F5H837</t>
  </si>
  <si>
    <t>F5H860</t>
  </si>
  <si>
    <t>F5H897</t>
  </si>
  <si>
    <t>F5H8H2</t>
  </si>
  <si>
    <t>F6PQP6</t>
  </si>
  <si>
    <t>F6QR24</t>
  </si>
  <si>
    <t>F6TQG2</t>
  </si>
  <si>
    <t>F6U1F2</t>
  </si>
  <si>
    <t>F6U1T9</t>
  </si>
  <si>
    <t>F6V2D4</t>
  </si>
  <si>
    <t>F6V707</t>
  </si>
  <si>
    <t>F6XY72</t>
  </si>
  <si>
    <t>F6YA60</t>
  </si>
  <si>
    <t>F8VP51</t>
  </si>
  <si>
    <t>F8VP53</t>
  </si>
  <si>
    <t>F8VP89</t>
  </si>
  <si>
    <t>F8VPD4</t>
  </si>
  <si>
    <t>F8VPL6</t>
  </si>
  <si>
    <t>F8VQX6</t>
  </si>
  <si>
    <t>F8VS10</t>
  </si>
  <si>
    <t>F8VS47</t>
  </si>
  <si>
    <t>F8VSL3</t>
  </si>
  <si>
    <t>F8VSZ4</t>
  </si>
  <si>
    <t>F8VUW5</t>
  </si>
  <si>
    <t>F8VV04</t>
  </si>
  <si>
    <t>F8VV52</t>
  </si>
  <si>
    <t>F8VV59</t>
  </si>
  <si>
    <t>F8VWA6</t>
  </si>
  <si>
    <t>F8VX32</t>
  </si>
  <si>
    <t>F8VY35</t>
  </si>
  <si>
    <t>F8VZJ2</t>
  </si>
  <si>
    <t>F8VZQ7</t>
  </si>
  <si>
    <t>F8W038</t>
  </si>
  <si>
    <t>F8W0U7</t>
  </si>
  <si>
    <t>F8W1A4</t>
  </si>
  <si>
    <t>F8W1I9</t>
  </si>
  <si>
    <t>F8W1N9</t>
  </si>
  <si>
    <t>F8W1R9</t>
  </si>
  <si>
    <t>F8W6D1</t>
  </si>
  <si>
    <t>F8W6T6</t>
  </si>
  <si>
    <t>F8W782</t>
  </si>
  <si>
    <t>F8W785</t>
  </si>
  <si>
    <t>F8W7C6</t>
  </si>
  <si>
    <t>F8W840</t>
  </si>
  <si>
    <t>F8W8C2</t>
  </si>
  <si>
    <t>F8W8H5</t>
  </si>
  <si>
    <t>F8W8I6</t>
  </si>
  <si>
    <t>F8W8M3</t>
  </si>
  <si>
    <t>F8W964</t>
  </si>
  <si>
    <t>F8W9F9</t>
  </si>
  <si>
    <t>F8W9R9</t>
  </si>
  <si>
    <t>F8W9W2</t>
  </si>
  <si>
    <t>F8W9X7</t>
  </si>
  <si>
    <t>F8WA13</t>
  </si>
  <si>
    <t>F8WA86</t>
  </si>
  <si>
    <t>F8WAJ0</t>
  </si>
  <si>
    <t>F8WAK8</t>
  </si>
  <si>
    <t>F8WAM4</t>
  </si>
  <si>
    <t>F8WAS3</t>
  </si>
  <si>
    <t>F8WB05</t>
  </si>
  <si>
    <t>F8WB06</t>
  </si>
  <si>
    <t>F8WBJ6</t>
  </si>
  <si>
    <t>F8WBK5</t>
  </si>
  <si>
    <t>F8WBS5</t>
  </si>
  <si>
    <t>F8WBU4</t>
  </si>
  <si>
    <t>F8WC89</t>
  </si>
  <si>
    <t>F8WCD0</t>
  </si>
  <si>
    <t>F8WD17</t>
  </si>
  <si>
    <t>F8WDE8</t>
  </si>
  <si>
    <t>F8WEE4</t>
  </si>
  <si>
    <t>F8WEG4</t>
  </si>
  <si>
    <t>F8WF48</t>
  </si>
  <si>
    <t>F8WJN3</t>
  </si>
  <si>
    <t>G3V0I8</t>
  </si>
  <si>
    <t>G3V1D4</t>
  </si>
  <si>
    <t>G3V1R3</t>
  </si>
  <si>
    <t>G3V1R9</t>
  </si>
  <si>
    <t>G3V1S6</t>
  </si>
  <si>
    <t>G3V1U0</t>
  </si>
  <si>
    <t>G3V1Y1</t>
  </si>
  <si>
    <t>G3V203</t>
  </si>
  <si>
    <t>G3V2B8</t>
  </si>
  <si>
    <t>G3V2U7</t>
  </si>
  <si>
    <t>G3V339</t>
  </si>
  <si>
    <t>G3V398</t>
  </si>
  <si>
    <t>G3V3G9</t>
  </si>
  <si>
    <t>G3V3R7</t>
  </si>
  <si>
    <t>G3V4C1</t>
  </si>
  <si>
    <t>G3V4C9</t>
  </si>
  <si>
    <t>G3V4E1</t>
  </si>
  <si>
    <t>G3V4P7</t>
  </si>
  <si>
    <t>G3V4W0</t>
  </si>
  <si>
    <t>G3V529</t>
  </si>
  <si>
    <t>G3V567</t>
  </si>
  <si>
    <t>G3V599</t>
  </si>
  <si>
    <t>G3V5T0</t>
  </si>
  <si>
    <t>G3V5V3</t>
  </si>
  <si>
    <t>G3V5V7</t>
  </si>
  <si>
    <t>G3XA91</t>
  </si>
  <si>
    <t>G3XAA0</t>
  </si>
  <si>
    <t>G3XAA2</t>
  </si>
  <si>
    <t>G3XAH0</t>
  </si>
  <si>
    <t>G3XAI9</t>
  </si>
  <si>
    <t>G3XAL9</t>
  </si>
  <si>
    <t>G5E948</t>
  </si>
  <si>
    <t>G5E953</t>
  </si>
  <si>
    <t>G5E9A6</t>
  </si>
  <si>
    <t>G5E9B5</t>
  </si>
  <si>
    <t>G5E9C8</t>
  </si>
  <si>
    <t>G5E9F3</t>
  </si>
  <si>
    <t>G5E9F8</t>
  </si>
  <si>
    <t>G5E9M4</t>
  </si>
  <si>
    <t>G5E9W7</t>
  </si>
  <si>
    <t>G5E9X3</t>
  </si>
  <si>
    <t>G5E9Z2</t>
  </si>
  <si>
    <t>G5EA02</t>
  </si>
  <si>
    <t>G5EA07</t>
  </si>
  <si>
    <t>G5EA52</t>
  </si>
  <si>
    <t>G8JL86</t>
  </si>
  <si>
    <t>G8JL95</t>
  </si>
  <si>
    <t>G8JL98</t>
  </si>
  <si>
    <t>G8JLB3</t>
  </si>
  <si>
    <t>G8JLE5</t>
  </si>
  <si>
    <t>G8JLH2</t>
  </si>
  <si>
    <t>G8JLI5</t>
  </si>
  <si>
    <t>G8JLK1</t>
  </si>
  <si>
    <t>G8JLK3</t>
  </si>
  <si>
    <t>G8JLL2</t>
  </si>
  <si>
    <t>H0Y2S9</t>
  </si>
  <si>
    <t>H0Y390</t>
  </si>
  <si>
    <t>H0Y3A0</t>
  </si>
  <si>
    <t>H0Y3K7</t>
  </si>
  <si>
    <t>H0Y3N9</t>
  </si>
  <si>
    <t>H0Y3P2</t>
  </si>
  <si>
    <t>H0Y3R4</t>
  </si>
  <si>
    <t>H0Y452</t>
  </si>
  <si>
    <t>H0Y459</t>
  </si>
  <si>
    <t>H0Y4R1</t>
  </si>
  <si>
    <t>H0Y4V9</t>
  </si>
  <si>
    <t>H0Y547</t>
  </si>
  <si>
    <t>H0Y5C2</t>
  </si>
  <si>
    <t>H0Y5D5</t>
  </si>
  <si>
    <t>H0Y6C3</t>
  </si>
  <si>
    <t>H0Y714</t>
  </si>
  <si>
    <t>H0Y7H8</t>
  </si>
  <si>
    <t>H0Y7J9</t>
  </si>
  <si>
    <t>H0Y858</t>
  </si>
  <si>
    <t>H0Y8G9</t>
  </si>
  <si>
    <t>H0Y8X4</t>
  </si>
  <si>
    <t>H0Y905</t>
  </si>
  <si>
    <t>H0Y990</t>
  </si>
  <si>
    <t>H0Y9N5</t>
  </si>
  <si>
    <t>H0Y9S9</t>
  </si>
  <si>
    <t>H0YA52</t>
  </si>
  <si>
    <t>H0YA61</t>
  </si>
  <si>
    <t>H0YA68</t>
  </si>
  <si>
    <t>H0YA80</t>
  </si>
  <si>
    <t>H0YAD3</t>
  </si>
  <si>
    <t>H0YAE0</t>
  </si>
  <si>
    <t>H0YAJ5</t>
  </si>
  <si>
    <t>H0YB11</t>
  </si>
  <si>
    <t>H0YB18</t>
  </si>
  <si>
    <t>H0YBQ5</t>
  </si>
  <si>
    <t>H0YBU8</t>
  </si>
  <si>
    <t>H0YBZ4</t>
  </si>
  <si>
    <t>H0YCG1</t>
  </si>
  <si>
    <t>H0YCU9</t>
  </si>
  <si>
    <t>H0YD69</t>
  </si>
  <si>
    <t>H0YDE2</t>
  </si>
  <si>
    <t>H0YDF9</t>
  </si>
  <si>
    <t>H0YDM4</t>
  </si>
  <si>
    <t>H0YDP7</t>
  </si>
  <si>
    <t>H0YDS2</t>
  </si>
  <si>
    <t>H0YDU8</t>
  </si>
  <si>
    <t>H0YE21</t>
  </si>
  <si>
    <t>H0YE28</t>
  </si>
  <si>
    <t>H0YE76</t>
  </si>
  <si>
    <t>H0YEB6</t>
  </si>
  <si>
    <t>H0YEB8</t>
  </si>
  <si>
    <t>H0YEF3</t>
  </si>
  <si>
    <t>H0YEL0</t>
  </si>
  <si>
    <t>H0YEX2</t>
  </si>
  <si>
    <t>H0YFY6</t>
  </si>
  <si>
    <t>H0YGR4</t>
  </si>
  <si>
    <t>H0YHC3</t>
  </si>
  <si>
    <t>H0YIE9</t>
  </si>
  <si>
    <t>H0YIQ8</t>
  </si>
  <si>
    <t>H0YJA8</t>
  </si>
  <si>
    <t>H0YJH2</t>
  </si>
  <si>
    <t>H0YKX3</t>
  </si>
  <si>
    <t>H0YLA0</t>
  </si>
  <si>
    <t>H0YLB5</t>
  </si>
  <si>
    <t>H0YLF3</t>
  </si>
  <si>
    <t>H0YLN8</t>
  </si>
  <si>
    <t>H0YLQ9</t>
  </si>
  <si>
    <t>H0YLX2</t>
  </si>
  <si>
    <t>H0YM23</t>
  </si>
  <si>
    <t>H0YMB3</t>
  </si>
  <si>
    <t>H0YMX4</t>
  </si>
  <si>
    <t>H0YN78</t>
  </si>
  <si>
    <t>H0YNE9</t>
  </si>
  <si>
    <t>H0YNG3</t>
  </si>
  <si>
    <t>H0YNH8</t>
  </si>
  <si>
    <t>H0YNU5</t>
  </si>
  <si>
    <t>H3BLV0</t>
  </si>
  <si>
    <t>H3BM67</t>
  </si>
  <si>
    <t>H3BM79</t>
  </si>
  <si>
    <t>H3BMJ2</t>
  </si>
  <si>
    <t>H3BNT4</t>
  </si>
  <si>
    <t>H3BPB8</t>
  </si>
  <si>
    <t>H3BPE1</t>
  </si>
  <si>
    <t>H3BPJ6</t>
  </si>
  <si>
    <t>H3BPK3</t>
  </si>
  <si>
    <t>H3BPS8</t>
  </si>
  <si>
    <t>H3BQA0</t>
  </si>
  <si>
    <t>H3BQZ7</t>
  </si>
  <si>
    <t>H3BRF9</t>
  </si>
  <si>
    <t>H3BRL3</t>
  </si>
  <si>
    <t>H3BRR0</t>
  </si>
  <si>
    <t>H3BRU4</t>
  </si>
  <si>
    <t>H3BRV0</t>
  </si>
  <si>
    <t>H3BS09</t>
  </si>
  <si>
    <t>H3BSC1</t>
  </si>
  <si>
    <t>H3BSJ5</t>
  </si>
  <si>
    <t>H3BSJ9</t>
  </si>
  <si>
    <t>H3BST1</t>
  </si>
  <si>
    <t>H3BSZ4</t>
  </si>
  <si>
    <t>H3BT74</t>
  </si>
  <si>
    <t>H3BTB7</t>
  </si>
  <si>
    <t>H3BTL1</t>
  </si>
  <si>
    <t>H3BTT7</t>
  </si>
  <si>
    <t>H3BU49</t>
  </si>
  <si>
    <t>H3BU51</t>
  </si>
  <si>
    <t>H3BUF6</t>
  </si>
  <si>
    <t>H3BUJ7</t>
  </si>
  <si>
    <t>H3BUQ2</t>
  </si>
  <si>
    <t>H3BV16</t>
  </si>
  <si>
    <t>H3BV80</t>
  </si>
  <si>
    <t>H6UMI1</t>
  </si>
  <si>
    <t>H7BXD5</t>
  </si>
  <si>
    <t>H7BXF5</t>
  </si>
  <si>
    <t>H7BXG2</t>
  </si>
  <si>
    <t>H7BXH2</t>
  </si>
  <si>
    <t>H7BXI1</t>
  </si>
  <si>
    <t>H7BXQ9</t>
  </si>
  <si>
    <t>H7BXU9</t>
  </si>
  <si>
    <t>H7BXV5</t>
  </si>
  <si>
    <t>H7BXZ5</t>
  </si>
  <si>
    <t>H7BY16</t>
  </si>
  <si>
    <t>H7BY31</t>
  </si>
  <si>
    <t>H7BY36</t>
  </si>
  <si>
    <t>H7BYK9</t>
  </si>
  <si>
    <t>H7BYN4</t>
  </si>
  <si>
    <t>H7BYY1</t>
  </si>
  <si>
    <t>H7BZJ3</t>
  </si>
  <si>
    <t>H7BZK3</t>
  </si>
  <si>
    <t>H7BZS7</t>
  </si>
  <si>
    <t>H7C0J3</t>
  </si>
  <si>
    <t>H7C0S8</t>
  </si>
  <si>
    <t>H7C137</t>
  </si>
  <si>
    <t>H7C144</t>
  </si>
  <si>
    <t>H7C1C1</t>
  </si>
  <si>
    <t>H7C1M0</t>
  </si>
  <si>
    <t>H7C1M5</t>
  </si>
  <si>
    <t>H7C1N2</t>
  </si>
  <si>
    <t>H7C1U3</t>
  </si>
  <si>
    <t>H7C1W2</t>
  </si>
  <si>
    <t>H7C284</t>
  </si>
  <si>
    <t>H7C2G2</t>
  </si>
  <si>
    <t>H7C3E1</t>
  </si>
  <si>
    <t>H7C3P4</t>
  </si>
  <si>
    <t>H7C463</t>
  </si>
  <si>
    <t>H7C4K1</t>
  </si>
  <si>
    <t>H7C4S2</t>
  </si>
  <si>
    <t>H7C4S4</t>
  </si>
  <si>
    <t>H7C4Y3</t>
  </si>
  <si>
    <t>H7C585</t>
  </si>
  <si>
    <t>H7C5D9</t>
  </si>
  <si>
    <t>H7C5E8</t>
  </si>
  <si>
    <t>H7C5F9</t>
  </si>
  <si>
    <t>H7C5I5</t>
  </si>
  <si>
    <t>H7C5V4</t>
  </si>
  <si>
    <t>H9KV61</t>
  </si>
  <si>
    <t>H9KVB4</t>
  </si>
  <si>
    <t>I3L097</t>
  </si>
  <si>
    <t>I3L0E3</t>
  </si>
  <si>
    <t>I3L0N0</t>
  </si>
  <si>
    <t>I3L1H5</t>
  </si>
  <si>
    <t>I3L1K6</t>
  </si>
  <si>
    <t>I3L1Q3</t>
  </si>
  <si>
    <t>I3L1Z4</t>
  </si>
  <si>
    <t>I3L232</t>
  </si>
  <si>
    <t>I3L2B0</t>
  </si>
  <si>
    <t>I3L2C7</t>
  </si>
  <si>
    <t>I3L2J0</t>
  </si>
  <si>
    <t>I3L2L5</t>
  </si>
  <si>
    <t>I3L2N2</t>
  </si>
  <si>
    <t>I3L3E4</t>
  </si>
  <si>
    <t>I3L3I8</t>
  </si>
  <si>
    <t>I3L3P7</t>
  </si>
  <si>
    <t>I3L3S0</t>
  </si>
  <si>
    <t>I3L413</t>
  </si>
  <si>
    <t>I3L428</t>
  </si>
  <si>
    <t>I3L430</t>
  </si>
  <si>
    <t>I3L4C3</t>
  </si>
  <si>
    <t>I3L4X3</t>
  </si>
  <si>
    <t>I3L4X7</t>
  </si>
  <si>
    <t>I3L505</t>
  </si>
  <si>
    <t>I3NI44</t>
  </si>
  <si>
    <t>I6L894</t>
  </si>
  <si>
    <t>J3KMY5</t>
  </si>
  <si>
    <t>J3KMZ7</t>
  </si>
  <si>
    <t>J3KN01</t>
  </si>
  <si>
    <t>J3KN25</t>
  </si>
  <si>
    <t>J3KN27</t>
  </si>
  <si>
    <t>J3KN29</t>
  </si>
  <si>
    <t>J3KN33</t>
  </si>
  <si>
    <t>J3KN66</t>
  </si>
  <si>
    <t>J3KN68</t>
  </si>
  <si>
    <t>J3KN93</t>
  </si>
  <si>
    <t>J3KNB8</t>
  </si>
  <si>
    <t>J3KND1</t>
  </si>
  <si>
    <t>J3KNF4</t>
  </si>
  <si>
    <t>J3KNG8</t>
  </si>
  <si>
    <t>J3KNH7</t>
  </si>
  <si>
    <t>J3KNK0</t>
  </si>
  <si>
    <t>J3KNL6</t>
  </si>
  <si>
    <t>J3KNL9</t>
  </si>
  <si>
    <t>J3KNM5</t>
  </si>
  <si>
    <t>J3KNN7</t>
  </si>
  <si>
    <t>J3KNU8</t>
  </si>
  <si>
    <t>J3KNV1</t>
  </si>
  <si>
    <t>J3KNX4</t>
  </si>
  <si>
    <t>J3KNZ9</t>
  </si>
  <si>
    <t>J3KP19</t>
  </si>
  <si>
    <t>J3KP22</t>
  </si>
  <si>
    <t>J3KP30</t>
  </si>
  <si>
    <t>J3KP36</t>
  </si>
  <si>
    <t>J3KP66</t>
  </si>
  <si>
    <t>J3KPK1</t>
  </si>
  <si>
    <t>J3KPS2</t>
  </si>
  <si>
    <t>J3KPT0</t>
  </si>
  <si>
    <t>J3KPV7</t>
  </si>
  <si>
    <t>J3KQ34</t>
  </si>
  <si>
    <t>J3KQD2</t>
  </si>
  <si>
    <t>J3KQS2</t>
  </si>
  <si>
    <t>J3KQS6</t>
  </si>
  <si>
    <t>J3KR07</t>
  </si>
  <si>
    <t>J3KR62</t>
  </si>
  <si>
    <t>J3KR63</t>
  </si>
  <si>
    <t>J3KRN4</t>
  </si>
  <si>
    <t>J3KRP6</t>
  </si>
  <si>
    <t>J3KSB8</t>
  </si>
  <si>
    <t>J3KSK6</t>
  </si>
  <si>
    <t>J3KSW2</t>
  </si>
  <si>
    <t>J3KT51</t>
  </si>
  <si>
    <t>J3KTF8</t>
  </si>
  <si>
    <t>J3QK86</t>
  </si>
  <si>
    <t>J3QL14</t>
  </si>
  <si>
    <t>J3QL56</t>
  </si>
  <si>
    <t>J3QLD9</t>
  </si>
  <si>
    <t>J3QLM9</t>
  </si>
  <si>
    <t>J3QLN8</t>
  </si>
  <si>
    <t>J3QQ66</t>
  </si>
  <si>
    <t>J3QQJ5</t>
  </si>
  <si>
    <t>J3QQT2</t>
  </si>
  <si>
    <t>J3QQW9</t>
  </si>
  <si>
    <t>J3QQX3</t>
  </si>
  <si>
    <t>J3QQY0</t>
  </si>
  <si>
    <t>J3QR09</t>
  </si>
  <si>
    <t>J3QR65</t>
  </si>
  <si>
    <t>J3QRN6</t>
  </si>
  <si>
    <t>J3QRU4</t>
  </si>
  <si>
    <t>J3QSH4</t>
  </si>
  <si>
    <t>J3QT28</t>
  </si>
  <si>
    <t>J3QT32</t>
  </si>
  <si>
    <t>J3QT34</t>
  </si>
  <si>
    <t>J3QTB1</t>
  </si>
  <si>
    <t>J3QTB2</t>
  </si>
  <si>
    <t>J3QTM1</t>
  </si>
  <si>
    <t>J3QTV4</t>
  </si>
  <si>
    <t>J9JIC5</t>
  </si>
  <si>
    <t>K4DI92</t>
  </si>
  <si>
    <t>K7EIG1</t>
  </si>
  <si>
    <t>K7EIJ0</t>
  </si>
  <si>
    <t>K7EIN2</t>
  </si>
  <si>
    <t>K7EIP0</t>
  </si>
  <si>
    <t>K7EIU8</t>
  </si>
  <si>
    <t>K7EJ08</t>
  </si>
  <si>
    <t>K7EJ32</t>
  </si>
  <si>
    <t>K7EJH8</t>
  </si>
  <si>
    <t>K7EJQ7</t>
  </si>
  <si>
    <t>K7EJS4</t>
  </si>
  <si>
    <t>K7EK07</t>
  </si>
  <si>
    <t>K7EK35</t>
  </si>
  <si>
    <t>K7EKE6</t>
  </si>
  <si>
    <t>K7EKG9</t>
  </si>
  <si>
    <t>K7EKI8</t>
  </si>
  <si>
    <t>K7EKI9</t>
  </si>
  <si>
    <t>K7EKL8</t>
  </si>
  <si>
    <t>K7EKT0</t>
  </si>
  <si>
    <t>K7EL68</t>
  </si>
  <si>
    <t>K7EL76</t>
  </si>
  <si>
    <t>K7EL81</t>
  </si>
  <si>
    <t>K7ELC2</t>
  </si>
  <si>
    <t>K7ELW5</t>
  </si>
  <si>
    <t>K7ELY0</t>
  </si>
  <si>
    <t>K7EM02</t>
  </si>
  <si>
    <t>K7EM09</t>
  </si>
  <si>
    <t>K7EM88</t>
  </si>
  <si>
    <t>K7EML3</t>
  </si>
  <si>
    <t>K7EMW4</t>
  </si>
  <si>
    <t>K7EMX1</t>
  </si>
  <si>
    <t>K7EMZ7</t>
  </si>
  <si>
    <t>K7EN05</t>
  </si>
  <si>
    <t>K7EN65</t>
  </si>
  <si>
    <t>K7EN88</t>
  </si>
  <si>
    <t>K7ENF0</t>
  </si>
  <si>
    <t>K7ENL9</t>
  </si>
  <si>
    <t>K7ENR1</t>
  </si>
  <si>
    <t>K7ENR6</t>
  </si>
  <si>
    <t>K7ENY0</t>
  </si>
  <si>
    <t>K7EP81</t>
  </si>
  <si>
    <t>K7EPK2</t>
  </si>
  <si>
    <t>K7EPS8</t>
  </si>
  <si>
    <t>K7EPU2</t>
  </si>
  <si>
    <t>K7EQU4</t>
  </si>
  <si>
    <t>K7EQV7</t>
  </si>
  <si>
    <t>K7EQW8</t>
  </si>
  <si>
    <t>K7EQX8</t>
  </si>
  <si>
    <t>K7ERF1</t>
  </si>
  <si>
    <t>K7ERQ8</t>
  </si>
  <si>
    <t>K7ERU7</t>
  </si>
  <si>
    <t>K7ES11</t>
  </si>
  <si>
    <t>K7ES84</t>
  </si>
  <si>
    <t>K7ESB0</t>
  </si>
  <si>
    <t>K7ESE3</t>
  </si>
  <si>
    <t>K7ESI9</t>
  </si>
  <si>
    <t>L7N2F3</t>
  </si>
  <si>
    <t>M0QWZ7</t>
  </si>
  <si>
    <t>M0QX35</t>
  </si>
  <si>
    <t>M0QXX4</t>
  </si>
  <si>
    <t>M0QY01</t>
  </si>
  <si>
    <t>M0QY46</t>
  </si>
  <si>
    <t>M0QYR7</t>
  </si>
  <si>
    <t>M0QZ22</t>
  </si>
  <si>
    <t>M0QZ28</t>
  </si>
  <si>
    <t>M0QZ43</t>
  </si>
  <si>
    <t>M0QZ57</t>
  </si>
  <si>
    <t>M0QZH0</t>
  </si>
  <si>
    <t>M0QZM1</t>
  </si>
  <si>
    <t>M0QZR4</t>
  </si>
  <si>
    <t>M0QZW6</t>
  </si>
  <si>
    <t>M0R009</t>
  </si>
  <si>
    <t>M0R044</t>
  </si>
  <si>
    <t>M0R0B4</t>
  </si>
  <si>
    <t>M0R0F0</t>
  </si>
  <si>
    <t>M0R0Q5</t>
  </si>
  <si>
    <t>M0R299</t>
  </si>
  <si>
    <t>M0R2C3</t>
  </si>
  <si>
    <t>M0R2S3</t>
  </si>
  <si>
    <t>M0R300</t>
  </si>
  <si>
    <t>M0R3D4</t>
  </si>
  <si>
    <t>O00116</t>
  </si>
  <si>
    <t>O00124-2</t>
  </si>
  <si>
    <t>O00139-1</t>
  </si>
  <si>
    <t>O00139-2</t>
  </si>
  <si>
    <t>O00148</t>
  </si>
  <si>
    <t>O00151</t>
  </si>
  <si>
    <t>O00154-6</t>
  </si>
  <si>
    <t>O00159</t>
  </si>
  <si>
    <t>O00160</t>
  </si>
  <si>
    <t>O00161</t>
  </si>
  <si>
    <t>O00170</t>
  </si>
  <si>
    <t>O00178</t>
  </si>
  <si>
    <t>O00186</t>
  </si>
  <si>
    <t>O00213-3</t>
  </si>
  <si>
    <t>O00220</t>
  </si>
  <si>
    <t>O00221</t>
  </si>
  <si>
    <t>O00231</t>
  </si>
  <si>
    <t>O00232</t>
  </si>
  <si>
    <t>O00244</t>
  </si>
  <si>
    <t>O00255-2</t>
  </si>
  <si>
    <t>O00257</t>
  </si>
  <si>
    <t>O00264</t>
  </si>
  <si>
    <t>O00268</t>
  </si>
  <si>
    <t>O00273</t>
  </si>
  <si>
    <t>O00273-2</t>
  </si>
  <si>
    <t>O00287</t>
  </si>
  <si>
    <t>O00291-3</t>
  </si>
  <si>
    <t>O00299</t>
  </si>
  <si>
    <t>O00303</t>
  </si>
  <si>
    <t>O00308</t>
  </si>
  <si>
    <t>O00329</t>
  </si>
  <si>
    <t>O00399</t>
  </si>
  <si>
    <t>O00401</t>
  </si>
  <si>
    <t>O00409-2</t>
  </si>
  <si>
    <t>O00410</t>
  </si>
  <si>
    <t>O00410-2</t>
  </si>
  <si>
    <t>O00411</t>
  </si>
  <si>
    <t>O00418</t>
  </si>
  <si>
    <t>O00422</t>
  </si>
  <si>
    <t>O00425</t>
  </si>
  <si>
    <t>O00429-3</t>
  </si>
  <si>
    <t>O00429-4</t>
  </si>
  <si>
    <t>O00442</t>
  </si>
  <si>
    <t>O00443</t>
  </si>
  <si>
    <t>O00459</t>
  </si>
  <si>
    <t>O00462</t>
  </si>
  <si>
    <t>O00468-2</t>
  </si>
  <si>
    <t>O00471</t>
  </si>
  <si>
    <t>O00479</t>
  </si>
  <si>
    <t>O00487</t>
  </si>
  <si>
    <t>O00488</t>
  </si>
  <si>
    <t>O00499-6</t>
  </si>
  <si>
    <t>O00505</t>
  </si>
  <si>
    <t>O00506</t>
  </si>
  <si>
    <t>O00512</t>
  </si>
  <si>
    <t>O00522-3</t>
  </si>
  <si>
    <t>O00534</t>
  </si>
  <si>
    <t>O00560-3</t>
  </si>
  <si>
    <t>O00566</t>
  </si>
  <si>
    <t>O00567</t>
  </si>
  <si>
    <t>O00570</t>
  </si>
  <si>
    <t>O00571</t>
  </si>
  <si>
    <t>O00625</t>
  </si>
  <si>
    <t>O00629</t>
  </si>
  <si>
    <t>O00635</t>
  </si>
  <si>
    <t>O00716-2</t>
  </si>
  <si>
    <t>O00743</t>
  </si>
  <si>
    <t>O00748</t>
  </si>
  <si>
    <t>O00754-2</t>
  </si>
  <si>
    <t>O00764</t>
  </si>
  <si>
    <t>O14497</t>
  </si>
  <si>
    <t>O14503</t>
  </si>
  <si>
    <t>O14508</t>
  </si>
  <si>
    <t>O14519-2</t>
  </si>
  <si>
    <t>O14526-2</t>
  </si>
  <si>
    <t>O14545</t>
  </si>
  <si>
    <t>O14561</t>
  </si>
  <si>
    <t>O14578-4</t>
  </si>
  <si>
    <t>O14579</t>
  </si>
  <si>
    <t>O14617</t>
  </si>
  <si>
    <t>O14646-2</t>
  </si>
  <si>
    <t>O14647</t>
  </si>
  <si>
    <t>O14649</t>
  </si>
  <si>
    <t>O14653-3</t>
  </si>
  <si>
    <t>O14654</t>
  </si>
  <si>
    <t>O14656</t>
  </si>
  <si>
    <t>O14657</t>
  </si>
  <si>
    <t>O14672</t>
  </si>
  <si>
    <t>O14686</t>
  </si>
  <si>
    <t>O14733</t>
  </si>
  <si>
    <t>O14737</t>
  </si>
  <si>
    <t>O14744</t>
  </si>
  <si>
    <t>O14745</t>
  </si>
  <si>
    <t>O14757</t>
  </si>
  <si>
    <t>O14770-6</t>
  </si>
  <si>
    <t>O14772</t>
  </si>
  <si>
    <t>O14773-2</t>
  </si>
  <si>
    <t>O14776-2</t>
  </si>
  <si>
    <t>O14777</t>
  </si>
  <si>
    <t>O14787-2</t>
  </si>
  <si>
    <t>O14795</t>
  </si>
  <si>
    <t>O14802</t>
  </si>
  <si>
    <t>O14818</t>
  </si>
  <si>
    <t>O14828</t>
  </si>
  <si>
    <t>O14841</t>
  </si>
  <si>
    <t>O14867</t>
  </si>
  <si>
    <t>O14907</t>
  </si>
  <si>
    <t>O14908</t>
  </si>
  <si>
    <t>O14920</t>
  </si>
  <si>
    <t>O14924-2</t>
  </si>
  <si>
    <t>O14929</t>
  </si>
  <si>
    <t>O14933</t>
  </si>
  <si>
    <t>O14964</t>
  </si>
  <si>
    <t>O14965</t>
  </si>
  <si>
    <t>O14974</t>
  </si>
  <si>
    <t>O14976</t>
  </si>
  <si>
    <t>O14979-3</t>
  </si>
  <si>
    <t>O14980</t>
  </si>
  <si>
    <t>O14981</t>
  </si>
  <si>
    <t>O15013-7</t>
  </si>
  <si>
    <t>O15014</t>
  </si>
  <si>
    <t>O15015</t>
  </si>
  <si>
    <t>O15020</t>
  </si>
  <si>
    <t>O15020-2</t>
  </si>
  <si>
    <t>O15037</t>
  </si>
  <si>
    <t>O15040-2</t>
  </si>
  <si>
    <t>O15047</t>
  </si>
  <si>
    <t>O15050</t>
  </si>
  <si>
    <t>O15054</t>
  </si>
  <si>
    <t>O15056</t>
  </si>
  <si>
    <t>O15060</t>
  </si>
  <si>
    <t>O15062</t>
  </si>
  <si>
    <t>O15063</t>
  </si>
  <si>
    <t>O15066</t>
  </si>
  <si>
    <t>O15067</t>
  </si>
  <si>
    <t>O15078</t>
  </si>
  <si>
    <t>O15084</t>
  </si>
  <si>
    <t>O15085-2</t>
  </si>
  <si>
    <t>O15111</t>
  </si>
  <si>
    <t>O15116</t>
  </si>
  <si>
    <t>O15117</t>
  </si>
  <si>
    <t>O15118</t>
  </si>
  <si>
    <t>O15131</t>
  </si>
  <si>
    <t>O15143</t>
  </si>
  <si>
    <t>O15144</t>
  </si>
  <si>
    <t>O15145</t>
  </si>
  <si>
    <t>O15156</t>
  </si>
  <si>
    <t>O15160-2</t>
  </si>
  <si>
    <t>O15164</t>
  </si>
  <si>
    <t>O15169-2</t>
  </si>
  <si>
    <t>O15173</t>
  </si>
  <si>
    <t>O15211</t>
  </si>
  <si>
    <t>O15212</t>
  </si>
  <si>
    <t>O15213</t>
  </si>
  <si>
    <t>O15226</t>
  </si>
  <si>
    <t>O15234</t>
  </si>
  <si>
    <t>O15240</t>
  </si>
  <si>
    <t>O15247</t>
  </si>
  <si>
    <t>O15260-2</t>
  </si>
  <si>
    <t>O15265</t>
  </si>
  <si>
    <t>O15269</t>
  </si>
  <si>
    <t>O15294</t>
  </si>
  <si>
    <t>O15305</t>
  </si>
  <si>
    <t>O15315-5</t>
  </si>
  <si>
    <t>O15344</t>
  </si>
  <si>
    <t>O15355</t>
  </si>
  <si>
    <t>O15357</t>
  </si>
  <si>
    <t>O15372</t>
  </si>
  <si>
    <t>O15379</t>
  </si>
  <si>
    <t>O15381</t>
  </si>
  <si>
    <t>O15382</t>
  </si>
  <si>
    <t>O15392-5</t>
  </si>
  <si>
    <t>O15397</t>
  </si>
  <si>
    <t>O15400-2</t>
  </si>
  <si>
    <t>O15446</t>
  </si>
  <si>
    <t>O15479</t>
  </si>
  <si>
    <t>O15488-4</t>
  </si>
  <si>
    <t>O15498</t>
  </si>
  <si>
    <t>O15504</t>
  </si>
  <si>
    <t>O15511</t>
  </si>
  <si>
    <t>O15514</t>
  </si>
  <si>
    <t>O15524</t>
  </si>
  <si>
    <t>O15541</t>
  </si>
  <si>
    <t>O15550</t>
  </si>
  <si>
    <t>O43143</t>
  </si>
  <si>
    <t>O43148</t>
  </si>
  <si>
    <t>O43149</t>
  </si>
  <si>
    <t>O43156</t>
  </si>
  <si>
    <t>O43164-2</t>
  </si>
  <si>
    <t>O43167</t>
  </si>
  <si>
    <t>O43172-2</t>
  </si>
  <si>
    <t>O43175</t>
  </si>
  <si>
    <t>O43182-4</t>
  </si>
  <si>
    <t>O43237</t>
  </si>
  <si>
    <t>O43242</t>
  </si>
  <si>
    <t>O43251-6</t>
  </si>
  <si>
    <t>O43252</t>
  </si>
  <si>
    <t>O43264</t>
  </si>
  <si>
    <t>O43290</t>
  </si>
  <si>
    <t>O43298</t>
  </si>
  <si>
    <t>O43299</t>
  </si>
  <si>
    <t>O43303-2</t>
  </si>
  <si>
    <t>O43310</t>
  </si>
  <si>
    <t>O43314-2</t>
  </si>
  <si>
    <t>O43318</t>
  </si>
  <si>
    <t>O43324</t>
  </si>
  <si>
    <t>O43325</t>
  </si>
  <si>
    <t>O43353</t>
  </si>
  <si>
    <t>O43379</t>
  </si>
  <si>
    <t>O43390</t>
  </si>
  <si>
    <t>O43395</t>
  </si>
  <si>
    <t>O43396</t>
  </si>
  <si>
    <t>O43399</t>
  </si>
  <si>
    <t>O43402</t>
  </si>
  <si>
    <t>O43414-3</t>
  </si>
  <si>
    <t>O43422</t>
  </si>
  <si>
    <t>O43427-2</t>
  </si>
  <si>
    <t>O43432</t>
  </si>
  <si>
    <t>O43435-3</t>
  </si>
  <si>
    <t>O43447</t>
  </si>
  <si>
    <t>O43464</t>
  </si>
  <si>
    <t>O43482</t>
  </si>
  <si>
    <t>O43488</t>
  </si>
  <si>
    <t>O43491</t>
  </si>
  <si>
    <t>O43493-4</t>
  </si>
  <si>
    <t>O43504</t>
  </si>
  <si>
    <t>O43513</t>
  </si>
  <si>
    <t>O43516</t>
  </si>
  <si>
    <t>O43521-6</t>
  </si>
  <si>
    <t>O43542</t>
  </si>
  <si>
    <t>O43566</t>
  </si>
  <si>
    <t>O43583</t>
  </si>
  <si>
    <t>O43592</t>
  </si>
  <si>
    <t>O43598</t>
  </si>
  <si>
    <t>O43615</t>
  </si>
  <si>
    <t>O43617</t>
  </si>
  <si>
    <t>O43633</t>
  </si>
  <si>
    <t>O43639</t>
  </si>
  <si>
    <t>O43660-2</t>
  </si>
  <si>
    <t>O43663</t>
  </si>
  <si>
    <t>O43665-2</t>
  </si>
  <si>
    <t>O43670-2</t>
  </si>
  <si>
    <t>O43678</t>
  </si>
  <si>
    <t>O43681</t>
  </si>
  <si>
    <t>O43707</t>
  </si>
  <si>
    <t>O43709</t>
  </si>
  <si>
    <t>O43715</t>
  </si>
  <si>
    <t>O43716</t>
  </si>
  <si>
    <t>O43719</t>
  </si>
  <si>
    <t>O43739-2</t>
  </si>
  <si>
    <t>O43747</t>
  </si>
  <si>
    <t>O43752</t>
  </si>
  <si>
    <t>O43765</t>
  </si>
  <si>
    <t>O43766</t>
  </si>
  <si>
    <t>O43768-2</t>
  </si>
  <si>
    <t>O43776</t>
  </si>
  <si>
    <t>O43791</t>
  </si>
  <si>
    <t>O43805</t>
  </si>
  <si>
    <t>O43809</t>
  </si>
  <si>
    <t>O43813</t>
  </si>
  <si>
    <t>O43815</t>
  </si>
  <si>
    <t>O43818</t>
  </si>
  <si>
    <t>O43822-2</t>
  </si>
  <si>
    <t>O43823</t>
  </si>
  <si>
    <t>O43829</t>
  </si>
  <si>
    <t>O43837</t>
  </si>
  <si>
    <t>O43847</t>
  </si>
  <si>
    <t>O43852</t>
  </si>
  <si>
    <t>O43852-2</t>
  </si>
  <si>
    <t>O43865</t>
  </si>
  <si>
    <t>O43896</t>
  </si>
  <si>
    <t>O43913</t>
  </si>
  <si>
    <t>O43924</t>
  </si>
  <si>
    <t>O43929</t>
  </si>
  <si>
    <t>O43930</t>
  </si>
  <si>
    <t>O43933</t>
  </si>
  <si>
    <t>O60216</t>
  </si>
  <si>
    <t>O60220</t>
  </si>
  <si>
    <t>O60231</t>
  </si>
  <si>
    <t>O60234</t>
  </si>
  <si>
    <t>O60244</t>
  </si>
  <si>
    <t>O60256</t>
  </si>
  <si>
    <t>O60264</t>
  </si>
  <si>
    <t>O60271</t>
  </si>
  <si>
    <t>O60271-4</t>
  </si>
  <si>
    <t>O60292</t>
  </si>
  <si>
    <t>O60293-2</t>
  </si>
  <si>
    <t>O60294</t>
  </si>
  <si>
    <t>O60296</t>
  </si>
  <si>
    <t>O60306</t>
  </si>
  <si>
    <t>O60308-3</t>
  </si>
  <si>
    <t>O60313</t>
  </si>
  <si>
    <t>O60315-2</t>
  </si>
  <si>
    <t>O60318</t>
  </si>
  <si>
    <t>O60333-2</t>
  </si>
  <si>
    <t>O60333-3</t>
  </si>
  <si>
    <t>O60341</t>
  </si>
  <si>
    <t>O60343-2</t>
  </si>
  <si>
    <t>O60344-4</t>
  </si>
  <si>
    <t>O60346</t>
  </si>
  <si>
    <t>O60347</t>
  </si>
  <si>
    <t>O60353-2</t>
  </si>
  <si>
    <t>O60361</t>
  </si>
  <si>
    <t>O60443</t>
  </si>
  <si>
    <t>O60447</t>
  </si>
  <si>
    <t>O60493</t>
  </si>
  <si>
    <t>O60502</t>
  </si>
  <si>
    <t>O60506-2</t>
  </si>
  <si>
    <t>O60547-2</t>
  </si>
  <si>
    <t>O60551</t>
  </si>
  <si>
    <t>O60563</t>
  </si>
  <si>
    <t>O60566</t>
  </si>
  <si>
    <t>O60568</t>
  </si>
  <si>
    <t>O60583-2</t>
  </si>
  <si>
    <t>O60613</t>
  </si>
  <si>
    <t>O60645-2</t>
  </si>
  <si>
    <t>O60664-4</t>
  </si>
  <si>
    <t>O60671</t>
  </si>
  <si>
    <t>O60678</t>
  </si>
  <si>
    <t>O60701</t>
  </si>
  <si>
    <t>O60716-5</t>
  </si>
  <si>
    <t>O60732</t>
  </si>
  <si>
    <t>O60749</t>
  </si>
  <si>
    <t>O60762</t>
  </si>
  <si>
    <t>O60763</t>
  </si>
  <si>
    <t>O60826</t>
  </si>
  <si>
    <t>O60828-2</t>
  </si>
  <si>
    <t>O60829</t>
  </si>
  <si>
    <t>O60832</t>
  </si>
  <si>
    <t>O60841</t>
  </si>
  <si>
    <t>O60858</t>
  </si>
  <si>
    <t>O60869</t>
  </si>
  <si>
    <t>O60870</t>
  </si>
  <si>
    <t>O60884</t>
  </si>
  <si>
    <t>O60885</t>
  </si>
  <si>
    <t>O60888-3</t>
  </si>
  <si>
    <t>O60890</t>
  </si>
  <si>
    <t>O60907-2</t>
  </si>
  <si>
    <t>O60921</t>
  </si>
  <si>
    <t>O60925</t>
  </si>
  <si>
    <t>O60927</t>
  </si>
  <si>
    <t>O60934</t>
  </si>
  <si>
    <t>O60942</t>
  </si>
  <si>
    <t>O75030-12</t>
  </si>
  <si>
    <t>O75037-3</t>
  </si>
  <si>
    <t>O75044</t>
  </si>
  <si>
    <t>O75061-4</t>
  </si>
  <si>
    <t>O75063</t>
  </si>
  <si>
    <t>O75064</t>
  </si>
  <si>
    <t>O75083</t>
  </si>
  <si>
    <t>O75113</t>
  </si>
  <si>
    <t>O75116</t>
  </si>
  <si>
    <t>O75131</t>
  </si>
  <si>
    <t>O75132</t>
  </si>
  <si>
    <t>O75143-2</t>
  </si>
  <si>
    <t>O75144</t>
  </si>
  <si>
    <t>O75145-2</t>
  </si>
  <si>
    <t>O75146</t>
  </si>
  <si>
    <t>O75147-2</t>
  </si>
  <si>
    <t>O75150</t>
  </si>
  <si>
    <t>O75151</t>
  </si>
  <si>
    <t>O75152</t>
  </si>
  <si>
    <t>O75154</t>
  </si>
  <si>
    <t>O75155</t>
  </si>
  <si>
    <t>O75157-2</t>
  </si>
  <si>
    <t>O75164</t>
  </si>
  <si>
    <t>O75165</t>
  </si>
  <si>
    <t>O75167-5</t>
  </si>
  <si>
    <t>O75170-2</t>
  </si>
  <si>
    <t>O75175</t>
  </si>
  <si>
    <t>O75177</t>
  </si>
  <si>
    <t>O75182-2</t>
  </si>
  <si>
    <t>O75190</t>
  </si>
  <si>
    <t>O75191</t>
  </si>
  <si>
    <t>O75223</t>
  </si>
  <si>
    <t>O75306-2</t>
  </si>
  <si>
    <t>O75312</t>
  </si>
  <si>
    <t>O75319</t>
  </si>
  <si>
    <t>O75323</t>
  </si>
  <si>
    <t>O75330-2</t>
  </si>
  <si>
    <t>O75340</t>
  </si>
  <si>
    <t>O75340-2</t>
  </si>
  <si>
    <t>O75347</t>
  </si>
  <si>
    <t>O75348</t>
  </si>
  <si>
    <t>O75351</t>
  </si>
  <si>
    <t>O75356</t>
  </si>
  <si>
    <t>O75362</t>
  </si>
  <si>
    <t>O75367-2</t>
  </si>
  <si>
    <t>O75368</t>
  </si>
  <si>
    <t>O75369-8</t>
  </si>
  <si>
    <t>O75376</t>
  </si>
  <si>
    <t>O75380</t>
  </si>
  <si>
    <t>O75382-3</t>
  </si>
  <si>
    <t>O75385</t>
  </si>
  <si>
    <t>O75391</t>
  </si>
  <si>
    <t>O75396</t>
  </si>
  <si>
    <t>O75398-4</t>
  </si>
  <si>
    <t>O75400-3</t>
  </si>
  <si>
    <t>O75410-7</t>
  </si>
  <si>
    <t>O75419-2</t>
  </si>
  <si>
    <t>O75420</t>
  </si>
  <si>
    <t>O75427</t>
  </si>
  <si>
    <t>O75436</t>
  </si>
  <si>
    <t>O75439</t>
  </si>
  <si>
    <t>O75446</t>
  </si>
  <si>
    <t>O75449</t>
  </si>
  <si>
    <t>O75459</t>
  </si>
  <si>
    <t>O75460</t>
  </si>
  <si>
    <t>O75475</t>
  </si>
  <si>
    <t>O75489</t>
  </si>
  <si>
    <t>O75503</t>
  </si>
  <si>
    <t>O75506</t>
  </si>
  <si>
    <t>O75521-2</t>
  </si>
  <si>
    <t>O75528</t>
  </si>
  <si>
    <t>O75529</t>
  </si>
  <si>
    <t>O75530-3</t>
  </si>
  <si>
    <t>O75531</t>
  </si>
  <si>
    <t>O75533</t>
  </si>
  <si>
    <t>O75534-2</t>
  </si>
  <si>
    <t>O75554</t>
  </si>
  <si>
    <t>O75575</t>
  </si>
  <si>
    <t>O75586</t>
  </si>
  <si>
    <t>O75600</t>
  </si>
  <si>
    <t>O75607</t>
  </si>
  <si>
    <t>O75608-2</t>
  </si>
  <si>
    <t>O75616</t>
  </si>
  <si>
    <t>O75629</t>
  </si>
  <si>
    <t>O75635-2</t>
  </si>
  <si>
    <t>O75643</t>
  </si>
  <si>
    <t>O75648-2</t>
  </si>
  <si>
    <t>O75663</t>
  </si>
  <si>
    <t>O75683</t>
  </si>
  <si>
    <t>O75688</t>
  </si>
  <si>
    <t>O75695</t>
  </si>
  <si>
    <t>O75717</t>
  </si>
  <si>
    <t>O75771-3</t>
  </si>
  <si>
    <t>O75781</t>
  </si>
  <si>
    <t>O75791</t>
  </si>
  <si>
    <t>O75792</t>
  </si>
  <si>
    <t>O75794</t>
  </si>
  <si>
    <t>O75808</t>
  </si>
  <si>
    <t>O75818-2</t>
  </si>
  <si>
    <t>O75821</t>
  </si>
  <si>
    <t>O75822</t>
  </si>
  <si>
    <t>O75828</t>
  </si>
  <si>
    <t>O75843</t>
  </si>
  <si>
    <t>O75844</t>
  </si>
  <si>
    <t>O75864-2</t>
  </si>
  <si>
    <t>O75865-2</t>
  </si>
  <si>
    <t>O75874</t>
  </si>
  <si>
    <t>O75884</t>
  </si>
  <si>
    <t>O75886</t>
  </si>
  <si>
    <t>O75909</t>
  </si>
  <si>
    <t>O75915</t>
  </si>
  <si>
    <t>O75925</t>
  </si>
  <si>
    <t>O75928-2</t>
  </si>
  <si>
    <t>O75934</t>
  </si>
  <si>
    <t>O75935-3</t>
  </si>
  <si>
    <t>O75937</t>
  </si>
  <si>
    <t>O75940</t>
  </si>
  <si>
    <t>O75943-3</t>
  </si>
  <si>
    <t>O75947-2</t>
  </si>
  <si>
    <t>O75955</t>
  </si>
  <si>
    <t>O75962-5</t>
  </si>
  <si>
    <t>O75995</t>
  </si>
  <si>
    <t>O76003</t>
  </si>
  <si>
    <t>O76011</t>
  </si>
  <si>
    <t>O76021</t>
  </si>
  <si>
    <t>O76031</t>
  </si>
  <si>
    <t>O76038</t>
  </si>
  <si>
    <t>O76041-2</t>
  </si>
  <si>
    <t>O76064</t>
  </si>
  <si>
    <t>O76070</t>
  </si>
  <si>
    <t>O76071</t>
  </si>
  <si>
    <t>O76075</t>
  </si>
  <si>
    <t>O76080</t>
  </si>
  <si>
    <t>O76094</t>
  </si>
  <si>
    <t>O77932</t>
  </si>
  <si>
    <t>O94761</t>
  </si>
  <si>
    <t>O94762</t>
  </si>
  <si>
    <t>O94763</t>
  </si>
  <si>
    <t>O94763-4</t>
  </si>
  <si>
    <t>O94776</t>
  </si>
  <si>
    <t>O94782</t>
  </si>
  <si>
    <t>O94788</t>
  </si>
  <si>
    <t>O94804</t>
  </si>
  <si>
    <t>O94806</t>
  </si>
  <si>
    <t>O94808</t>
  </si>
  <si>
    <t>O94817</t>
  </si>
  <si>
    <t>O94819</t>
  </si>
  <si>
    <t>O94822</t>
  </si>
  <si>
    <t>O94826</t>
  </si>
  <si>
    <t>O94829</t>
  </si>
  <si>
    <t>O94830</t>
  </si>
  <si>
    <t>O94851-5</t>
  </si>
  <si>
    <t>O94854</t>
  </si>
  <si>
    <t>O94855</t>
  </si>
  <si>
    <t>O94864-2</t>
  </si>
  <si>
    <t>O94874</t>
  </si>
  <si>
    <t>O94876</t>
  </si>
  <si>
    <t>O94880</t>
  </si>
  <si>
    <t>O94880-2</t>
  </si>
  <si>
    <t>O94888</t>
  </si>
  <si>
    <t>O94889</t>
  </si>
  <si>
    <t>O94898</t>
  </si>
  <si>
    <t>O94903</t>
  </si>
  <si>
    <t>O94906-2</t>
  </si>
  <si>
    <t>O94913</t>
  </si>
  <si>
    <t>O94925-3</t>
  </si>
  <si>
    <t>O94927</t>
  </si>
  <si>
    <t>O94941-2</t>
  </si>
  <si>
    <t>O94953</t>
  </si>
  <si>
    <t>O94964-2</t>
  </si>
  <si>
    <t>O94966-7</t>
  </si>
  <si>
    <t>O94967-2</t>
  </si>
  <si>
    <t>O94973</t>
  </si>
  <si>
    <t>O94979</t>
  </si>
  <si>
    <t>O94988-6</t>
  </si>
  <si>
    <t>O94992</t>
  </si>
  <si>
    <t>O95059</t>
  </si>
  <si>
    <t>O95067</t>
  </si>
  <si>
    <t>O95081-2</t>
  </si>
  <si>
    <t>O95104</t>
  </si>
  <si>
    <t>O95149</t>
  </si>
  <si>
    <t>O95155-2</t>
  </si>
  <si>
    <t>O95163</t>
  </si>
  <si>
    <t>O95197-3</t>
  </si>
  <si>
    <t>O95202</t>
  </si>
  <si>
    <t>O95205</t>
  </si>
  <si>
    <t>O95218-2</t>
  </si>
  <si>
    <t>O95219</t>
  </si>
  <si>
    <t>O95229</t>
  </si>
  <si>
    <t>O95231</t>
  </si>
  <si>
    <t>O95232</t>
  </si>
  <si>
    <t>O95239</t>
  </si>
  <si>
    <t>O95243-2</t>
  </si>
  <si>
    <t>O95248</t>
  </si>
  <si>
    <t>O95251-4</t>
  </si>
  <si>
    <t>O95273</t>
  </si>
  <si>
    <t>O95292</t>
  </si>
  <si>
    <t>O95295</t>
  </si>
  <si>
    <t>O95297-4</t>
  </si>
  <si>
    <t>O95302</t>
  </si>
  <si>
    <t>O95336</t>
  </si>
  <si>
    <t>O95347</t>
  </si>
  <si>
    <t>O95352</t>
  </si>
  <si>
    <t>O95365</t>
  </si>
  <si>
    <t>O95372</t>
  </si>
  <si>
    <t>O95373</t>
  </si>
  <si>
    <t>O95376</t>
  </si>
  <si>
    <t>O95379</t>
  </si>
  <si>
    <t>O95391</t>
  </si>
  <si>
    <t>O95394</t>
  </si>
  <si>
    <t>O95396</t>
  </si>
  <si>
    <t>O95397</t>
  </si>
  <si>
    <t>O95399</t>
  </si>
  <si>
    <t>O95400</t>
  </si>
  <si>
    <t>O95402</t>
  </si>
  <si>
    <t>O95405</t>
  </si>
  <si>
    <t>O95429-2</t>
  </si>
  <si>
    <t>O95433</t>
  </si>
  <si>
    <t>O95453-2</t>
  </si>
  <si>
    <t>O95456</t>
  </si>
  <si>
    <t>O95466</t>
  </si>
  <si>
    <t>O95478</t>
  </si>
  <si>
    <t>O95479</t>
  </si>
  <si>
    <t>O95486</t>
  </si>
  <si>
    <t>O95487-2</t>
  </si>
  <si>
    <t>O95544</t>
  </si>
  <si>
    <t>O95551</t>
  </si>
  <si>
    <t>O95568</t>
  </si>
  <si>
    <t>O95571</t>
  </si>
  <si>
    <t>O95573</t>
  </si>
  <si>
    <t>O95602</t>
  </si>
  <si>
    <t>O95613</t>
  </si>
  <si>
    <t>O95619</t>
  </si>
  <si>
    <t>O95620</t>
  </si>
  <si>
    <t>O95625</t>
  </si>
  <si>
    <t>O95628-9</t>
  </si>
  <si>
    <t>O95630</t>
  </si>
  <si>
    <t>O95639</t>
  </si>
  <si>
    <t>O95644-5</t>
  </si>
  <si>
    <t>O95671-2</t>
  </si>
  <si>
    <t>O95684-2</t>
  </si>
  <si>
    <t>O95721</t>
  </si>
  <si>
    <t>O95747</t>
  </si>
  <si>
    <t>O95749</t>
  </si>
  <si>
    <t>O95757</t>
  </si>
  <si>
    <t>O95758-1</t>
  </si>
  <si>
    <t>O95777</t>
  </si>
  <si>
    <t>O95782-2</t>
  </si>
  <si>
    <t>O95801</t>
  </si>
  <si>
    <t>O95816</t>
  </si>
  <si>
    <t>O95817</t>
  </si>
  <si>
    <t>O95822</t>
  </si>
  <si>
    <t>O95825</t>
  </si>
  <si>
    <t>O95831-3</t>
  </si>
  <si>
    <t>O95834-2</t>
  </si>
  <si>
    <t>O95835-2</t>
  </si>
  <si>
    <t>O95861</t>
  </si>
  <si>
    <t>O95865</t>
  </si>
  <si>
    <t>O95881</t>
  </si>
  <si>
    <t>O95905</t>
  </si>
  <si>
    <t>O95926</t>
  </si>
  <si>
    <t>O95983</t>
  </si>
  <si>
    <t>O95985</t>
  </si>
  <si>
    <t>O95989</t>
  </si>
  <si>
    <t>O95999</t>
  </si>
  <si>
    <t>O96007</t>
  </si>
  <si>
    <t>O96008</t>
  </si>
  <si>
    <t>O96013</t>
  </si>
  <si>
    <t>O96017</t>
  </si>
  <si>
    <t>O96018</t>
  </si>
  <si>
    <t>O96019</t>
  </si>
  <si>
    <t>O96028</t>
  </si>
  <si>
    <t>O96033</t>
  </si>
  <si>
    <t>P00338</t>
  </si>
  <si>
    <t>P00352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</si>
  <si>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</si>
  <si>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</si>
  <si>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</si>
  <si>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</si>
  <si>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</si>
  <si>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</si>
  <si>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</si>
  <si>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</si>
  <si>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</si>
  <si>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P00519</t>
  </si>
  <si>
    <t>P00558</t>
  </si>
  <si>
    <t>P00568</t>
  </si>
  <si>
    <t>P00747</t>
  </si>
  <si>
    <t>P00813</t>
  </si>
  <si>
    <t>P00918</t>
  </si>
  <si>
    <t>P00966</t>
  </si>
  <si>
    <t>P01008</t>
  </si>
  <si>
    <t>P01023</t>
  </si>
  <si>
    <t>P01024</t>
  </si>
  <si>
    <t>P01034</t>
  </si>
  <si>
    <t>P01111</t>
  </si>
  <si>
    <t>P01116-2</t>
  </si>
  <si>
    <t>P01137</t>
  </si>
  <si>
    <t>P02008</t>
  </si>
  <si>
    <t>P02042</t>
  </si>
  <si>
    <t>P02100</t>
  </si>
  <si>
    <t>P02533</t>
  </si>
  <si>
    <t>P02538</t>
  </si>
  <si>
    <t>P02545</t>
  </si>
  <si>
    <t>P02549</t>
  </si>
  <si>
    <t>P02649</t>
  </si>
  <si>
    <t>P02750</t>
  </si>
  <si>
    <t>P02765</t>
  </si>
  <si>
    <t>P02768</t>
  </si>
  <si>
    <t>P02774</t>
  </si>
  <si>
    <t>P02786</t>
  </si>
  <si>
    <t>P02792</t>
  </si>
  <si>
    <t>P02794</t>
  </si>
  <si>
    <t>P04004</t>
  </si>
  <si>
    <t>P04040</t>
  </si>
  <si>
    <t>P04066</t>
  </si>
  <si>
    <t>P04075</t>
  </si>
  <si>
    <t>P04080</t>
  </si>
  <si>
    <t>P04083</t>
  </si>
  <si>
    <t>P04150-2</t>
  </si>
  <si>
    <t>P04181</t>
  </si>
  <si>
    <t>P04183</t>
  </si>
  <si>
    <t>P04264</t>
  </si>
  <si>
    <t>P04350</t>
  </si>
  <si>
    <t>P04406</t>
  </si>
  <si>
    <t>P04424</t>
  </si>
  <si>
    <t>P04629-4</t>
  </si>
  <si>
    <t>P04632</t>
  </si>
  <si>
    <t>P04792</t>
  </si>
  <si>
    <t>P04818</t>
  </si>
  <si>
    <t>P04843</t>
  </si>
  <si>
    <t>P04844-2</t>
  </si>
  <si>
    <t>P04899</t>
  </si>
  <si>
    <t>P04920-2</t>
  </si>
  <si>
    <t>P05023-4</t>
  </si>
  <si>
    <t>P05091</t>
  </si>
  <si>
    <t>P05114</t>
  </si>
  <si>
    <t>P05141</t>
  </si>
  <si>
    <t>P05161</t>
  </si>
  <si>
    <t>P05165-3</t>
  </si>
  <si>
    <t>P05166</t>
  </si>
  <si>
    <t>P05198</t>
  </si>
  <si>
    <t>P05204</t>
  </si>
  <si>
    <t>P05362</t>
  </si>
  <si>
    <t>P05387</t>
  </si>
  <si>
    <t>P05388</t>
  </si>
  <si>
    <t>P05423</t>
  </si>
  <si>
    <t>P05455</t>
  </si>
  <si>
    <t>P05556-2</t>
  </si>
  <si>
    <t>P05771-2</t>
  </si>
  <si>
    <t>P05783</t>
  </si>
  <si>
    <t>P05787</t>
  </si>
  <si>
    <t>P05937</t>
  </si>
  <si>
    <t>P06132</t>
  </si>
  <si>
    <t>P06280</t>
  </si>
  <si>
    <t>P06396-2</t>
  </si>
  <si>
    <t>P06400</t>
  </si>
  <si>
    <t>P06493</t>
  </si>
  <si>
    <t>P06576</t>
  </si>
  <si>
    <t>P06730</t>
  </si>
  <si>
    <t>P06733</t>
  </si>
  <si>
    <t>P06737-2</t>
  </si>
  <si>
    <t>P06744</t>
  </si>
  <si>
    <t>P06746</t>
  </si>
  <si>
    <t>P06748</t>
  </si>
  <si>
    <t>P06753-2</t>
  </si>
  <si>
    <t>P06753-3</t>
  </si>
  <si>
    <t>P06753-5</t>
  </si>
  <si>
    <t>P06865</t>
  </si>
  <si>
    <t>P07108</t>
  </si>
  <si>
    <t>P07195</t>
  </si>
  <si>
    <t>P07205</t>
  </si>
  <si>
    <t>P07237</t>
  </si>
  <si>
    <t>P07339</t>
  </si>
  <si>
    <t>P07355</t>
  </si>
  <si>
    <t>P07384</t>
  </si>
  <si>
    <t>P07602</t>
  </si>
  <si>
    <t>P07686</t>
  </si>
  <si>
    <t>P07711</t>
  </si>
  <si>
    <t>P07737</t>
  </si>
  <si>
    <t>P07738</t>
  </si>
  <si>
    <t>P07741</t>
  </si>
  <si>
    <t>P07858</t>
  </si>
  <si>
    <t>P07900</t>
  </si>
  <si>
    <t>P07902</t>
  </si>
  <si>
    <t>P07919</t>
  </si>
  <si>
    <t>P07942</t>
  </si>
  <si>
    <t>P07947</t>
  </si>
  <si>
    <t>P07948</t>
  </si>
  <si>
    <t>P07954-2</t>
  </si>
  <si>
    <t>P07992</t>
  </si>
  <si>
    <t>P07996</t>
  </si>
  <si>
    <t>P08047</t>
  </si>
  <si>
    <t>P08107</t>
  </si>
  <si>
    <t>P08133</t>
  </si>
  <si>
    <t>P08195-2</t>
  </si>
  <si>
    <t>P08237</t>
  </si>
  <si>
    <t>P08238</t>
  </si>
  <si>
    <t>P08240</t>
  </si>
  <si>
    <t>P08243-2</t>
  </si>
  <si>
    <t>P08397-2</t>
  </si>
  <si>
    <t>P08559-3</t>
  </si>
  <si>
    <t>P08575-2</t>
  </si>
  <si>
    <t>P08579</t>
  </si>
  <si>
    <t>P08590</t>
  </si>
  <si>
    <t>P08621</t>
  </si>
  <si>
    <t>P08651-2</t>
  </si>
  <si>
    <t>P08670</t>
  </si>
  <si>
    <t>P08727</t>
  </si>
  <si>
    <t>P08754</t>
  </si>
  <si>
    <t>P08758</t>
  </si>
  <si>
    <t>P08779</t>
  </si>
  <si>
    <t>P09012</t>
  </si>
  <si>
    <t>P09038-2</t>
  </si>
  <si>
    <t>P09105</t>
  </si>
  <si>
    <t>P09110</t>
  </si>
  <si>
    <t>P09132</t>
  </si>
  <si>
    <t>P09211</t>
  </si>
  <si>
    <t>P09234</t>
  </si>
  <si>
    <t>P09327</t>
  </si>
  <si>
    <t>P09382</t>
  </si>
  <si>
    <t>P09417</t>
  </si>
  <si>
    <t>P09429</t>
  </si>
  <si>
    <t>P09496-2</t>
  </si>
  <si>
    <t>P09497-2</t>
  </si>
  <si>
    <t>P09525</t>
  </si>
  <si>
    <t>P09543-2</t>
  </si>
  <si>
    <t>P09622</t>
  </si>
  <si>
    <t>P09651-3</t>
  </si>
  <si>
    <t>P09661</t>
  </si>
  <si>
    <t>P09668</t>
  </si>
  <si>
    <t>P09874</t>
  </si>
  <si>
    <t>P09884</t>
  </si>
  <si>
    <t>P09917</t>
  </si>
  <si>
    <t>P09960</t>
  </si>
  <si>
    <t>P09972</t>
  </si>
  <si>
    <t>P0C7T5</t>
  </si>
  <si>
    <t>P0CAP2</t>
  </si>
  <si>
    <t>P0CG12</t>
  </si>
  <si>
    <t>P0CG13</t>
  </si>
  <si>
    <t>P0CJ79</t>
  </si>
  <si>
    <t>P0CL82</t>
  </si>
  <si>
    <t>P0CW22</t>
  </si>
  <si>
    <t>P0DI82</t>
  </si>
  <si>
    <t>P10109</t>
  </si>
  <si>
    <t>P10155</t>
  </si>
  <si>
    <t>P10242-11</t>
  </si>
  <si>
    <t>P10244</t>
  </si>
  <si>
    <t>P10253</t>
  </si>
  <si>
    <t>P10398</t>
  </si>
  <si>
    <t>P10515</t>
  </si>
  <si>
    <t>P10586-2</t>
  </si>
  <si>
    <t>P10588</t>
  </si>
  <si>
    <t>P10599</t>
  </si>
  <si>
    <t>P10606</t>
  </si>
  <si>
    <t>P10619</t>
  </si>
  <si>
    <t>P10636-2</t>
  </si>
  <si>
    <t>P10644</t>
  </si>
  <si>
    <t>P10646-2</t>
  </si>
  <si>
    <t>P10746</t>
  </si>
  <si>
    <t>P10768</t>
  </si>
  <si>
    <t>P10809</t>
  </si>
  <si>
    <t>P11021</t>
  </si>
  <si>
    <t>P11086</t>
  </si>
  <si>
    <t>P11137-3</t>
  </si>
  <si>
    <t>P11142</t>
  </si>
  <si>
    <t>P11171</t>
  </si>
  <si>
    <t>P11171-2</t>
  </si>
  <si>
    <t>P11171-4</t>
  </si>
  <si>
    <t>P11171-5</t>
  </si>
  <si>
    <t>P11172</t>
  </si>
  <si>
    <t>P11177-3</t>
  </si>
  <si>
    <t>P11216</t>
  </si>
  <si>
    <t>P11233</t>
  </si>
  <si>
    <t>P11234</t>
  </si>
  <si>
    <t>P11274</t>
  </si>
  <si>
    <t>P11277-3</t>
  </si>
  <si>
    <t>P11279</t>
  </si>
  <si>
    <t>P11309-2</t>
  </si>
  <si>
    <t>P11310</t>
  </si>
  <si>
    <t>P11387</t>
  </si>
  <si>
    <t>P11388</t>
  </si>
  <si>
    <t>P11413</t>
  </si>
  <si>
    <t>P11441</t>
  </si>
  <si>
    <t>P11498</t>
  </si>
  <si>
    <t>P11532-3</t>
  </si>
  <si>
    <t>P11717</t>
  </si>
  <si>
    <t>P11766</t>
  </si>
  <si>
    <t>P11802</t>
  </si>
  <si>
    <t>P11831</t>
  </si>
  <si>
    <t>P11908</t>
  </si>
  <si>
    <t>P11940</t>
  </si>
  <si>
    <t>P12004</t>
  </si>
  <si>
    <t>P12036</t>
  </si>
  <si>
    <t>P12081</t>
  </si>
  <si>
    <t>P12236</t>
  </si>
  <si>
    <t>P12270</t>
  </si>
  <si>
    <t>P12277</t>
  </si>
  <si>
    <t>P12429</t>
  </si>
  <si>
    <t>P12532</t>
  </si>
  <si>
    <t>P12694</t>
  </si>
  <si>
    <t>P12757-3</t>
  </si>
  <si>
    <t>P12814</t>
  </si>
  <si>
    <t>P12821-2</t>
  </si>
  <si>
    <t>P12882</t>
  </si>
  <si>
    <t>P12955</t>
  </si>
  <si>
    <t>P12956</t>
  </si>
  <si>
    <t>P12980</t>
  </si>
  <si>
    <t>P13010</t>
  </si>
  <si>
    <t>P13056</t>
  </si>
  <si>
    <t>P13073</t>
  </si>
  <si>
    <t>P13284</t>
  </si>
  <si>
    <t>P13489</t>
  </si>
  <si>
    <t>P13498</t>
  </si>
  <si>
    <t>P13639</t>
  </si>
  <si>
    <t>P13645</t>
  </si>
  <si>
    <t>P13647</t>
  </si>
  <si>
    <t>P13667</t>
  </si>
  <si>
    <t>P13674-2</t>
  </si>
  <si>
    <t>P13682</t>
  </si>
  <si>
    <t>P13693</t>
  </si>
  <si>
    <t>P13796</t>
  </si>
  <si>
    <t>P13797</t>
  </si>
  <si>
    <t>P13798</t>
  </si>
  <si>
    <t>P13804</t>
  </si>
  <si>
    <t>P13861</t>
  </si>
  <si>
    <t>P13929-3</t>
  </si>
  <si>
    <t>P13984</t>
  </si>
  <si>
    <t>P13995</t>
  </si>
  <si>
    <t>P14174</t>
  </si>
  <si>
    <t>P14209-3</t>
  </si>
  <si>
    <t>P14314-2</t>
  </si>
  <si>
    <t>P14317</t>
  </si>
  <si>
    <t>P14324-2</t>
  </si>
  <si>
    <t>P14550</t>
  </si>
  <si>
    <t>P14618</t>
  </si>
  <si>
    <t>P14618-2</t>
  </si>
  <si>
    <t>P14621</t>
  </si>
  <si>
    <t>P14625</t>
  </si>
  <si>
    <t>P14635</t>
  </si>
  <si>
    <t>P14649</t>
  </si>
  <si>
    <t>P14678</t>
  </si>
  <si>
    <t>P14735</t>
  </si>
  <si>
    <t>P14854</t>
  </si>
  <si>
    <t>P14866</t>
  </si>
  <si>
    <t>P14868</t>
  </si>
  <si>
    <t>P14923</t>
  </si>
  <si>
    <t>P14927</t>
  </si>
  <si>
    <t>P15056</t>
  </si>
  <si>
    <t>P15088</t>
  </si>
  <si>
    <t>P15104</t>
  </si>
  <si>
    <t>P15151-3</t>
  </si>
  <si>
    <t>P15153</t>
  </si>
  <si>
    <t>P15170-2</t>
  </si>
  <si>
    <t>P15289</t>
  </si>
  <si>
    <t>P15311</t>
  </si>
  <si>
    <t>P15374</t>
  </si>
  <si>
    <t>P15498</t>
  </si>
  <si>
    <t>P15529-15</t>
  </si>
  <si>
    <t>P15531</t>
  </si>
  <si>
    <t>P15735-2</t>
  </si>
  <si>
    <t>P15822</t>
  </si>
  <si>
    <t>P15848</t>
  </si>
  <si>
    <t>P15880</t>
  </si>
  <si>
    <t>P15884-5</t>
  </si>
  <si>
    <t>P15923-2</t>
  </si>
  <si>
    <t>P15924</t>
  </si>
  <si>
    <t>P15927</t>
  </si>
  <si>
    <t>P15976-3</t>
  </si>
  <si>
    <t>P16083</t>
  </si>
  <si>
    <t>P16150</t>
  </si>
  <si>
    <t>P16152</t>
  </si>
  <si>
    <t>P16157-10</t>
  </si>
  <si>
    <t>P16219</t>
  </si>
  <si>
    <t>P16278-3</t>
  </si>
  <si>
    <t>P16298</t>
  </si>
  <si>
    <t>P16333</t>
  </si>
  <si>
    <t>P16383</t>
  </si>
  <si>
    <t>P16401</t>
  </si>
  <si>
    <t>P16403</t>
  </si>
  <si>
    <t>P16591</t>
  </si>
  <si>
    <t>P16591-3</t>
  </si>
  <si>
    <t>P16615</t>
  </si>
  <si>
    <t>P16885</t>
  </si>
  <si>
    <t>P16930</t>
  </si>
  <si>
    <t>P16949</t>
  </si>
  <si>
    <t>P16989</t>
  </si>
  <si>
    <t>P16989-2</t>
  </si>
  <si>
    <t>P17026</t>
  </si>
  <si>
    <t>P17028</t>
  </si>
  <si>
    <t>P17029</t>
  </si>
  <si>
    <t>P17050</t>
  </si>
  <si>
    <t>P17066</t>
  </si>
  <si>
    <t>P17096-2</t>
  </si>
  <si>
    <t>P17098</t>
  </si>
  <si>
    <t>P17174</t>
  </si>
  <si>
    <t>P17252</t>
  </si>
  <si>
    <t>P17275</t>
  </si>
  <si>
    <t>P17480-2</t>
  </si>
  <si>
    <t>P17482</t>
  </si>
  <si>
    <t>P17483</t>
  </si>
  <si>
    <t>P17535</t>
  </si>
  <si>
    <t>P17542</t>
  </si>
  <si>
    <t>P17544-4</t>
  </si>
  <si>
    <t>P17612</t>
  </si>
  <si>
    <t>P17655</t>
  </si>
  <si>
    <t>P17661</t>
  </si>
  <si>
    <t>P17676</t>
  </si>
  <si>
    <t>P17706-2</t>
  </si>
  <si>
    <t>P17707</t>
  </si>
  <si>
    <t>P17812</t>
  </si>
  <si>
    <t>P17844</t>
  </si>
  <si>
    <t>P17858</t>
  </si>
  <si>
    <t>P17861</t>
  </si>
  <si>
    <t>P17900</t>
  </si>
  <si>
    <t>P17931</t>
  </si>
  <si>
    <t>P17987</t>
  </si>
  <si>
    <t>P18031</t>
  </si>
  <si>
    <t>P18065</t>
  </si>
  <si>
    <t>P18085</t>
  </si>
  <si>
    <t>P18124</t>
  </si>
  <si>
    <t>P18206-2</t>
  </si>
  <si>
    <t>P18583-7</t>
  </si>
  <si>
    <t>P18615</t>
  </si>
  <si>
    <t>P18669</t>
  </si>
  <si>
    <t>P18754</t>
  </si>
  <si>
    <t>P18846</t>
  </si>
  <si>
    <t>P18847-4</t>
  </si>
  <si>
    <t>P18850</t>
  </si>
  <si>
    <t>P18859</t>
  </si>
  <si>
    <t>P18887</t>
  </si>
  <si>
    <t>P19105</t>
  </si>
  <si>
    <t>P19174-2</t>
  </si>
  <si>
    <t>P19338</t>
  </si>
  <si>
    <t>P19367-2</t>
  </si>
  <si>
    <t>P19367-4</t>
  </si>
  <si>
    <t>P19387</t>
  </si>
  <si>
    <t>P19388</t>
  </si>
  <si>
    <t>P19404</t>
  </si>
  <si>
    <t>P19447</t>
  </si>
  <si>
    <t>P19525</t>
  </si>
  <si>
    <t>P19532</t>
  </si>
  <si>
    <t>P19544-2</t>
  </si>
  <si>
    <t>P19623</t>
  </si>
  <si>
    <t>P19784</t>
  </si>
  <si>
    <t>P19838</t>
  </si>
  <si>
    <t>P20042</t>
  </si>
  <si>
    <t>P20138-3</t>
  </si>
  <si>
    <t>P20248</t>
  </si>
  <si>
    <t>P20290</t>
  </si>
  <si>
    <t>P20333</t>
  </si>
  <si>
    <t>P20337</t>
  </si>
  <si>
    <t>P20338</t>
  </si>
  <si>
    <t>P20340-2</t>
  </si>
  <si>
    <t>P20585</t>
  </si>
  <si>
    <t>P20618</t>
  </si>
  <si>
    <t>P20674</t>
  </si>
  <si>
    <t>P20700</t>
  </si>
  <si>
    <t>P20749</t>
  </si>
  <si>
    <t>P20839-2</t>
  </si>
  <si>
    <t>P20933</t>
  </si>
  <si>
    <t>P20936-2</t>
  </si>
  <si>
    <t>P20962</t>
  </si>
  <si>
    <t>P21127</t>
  </si>
  <si>
    <t>P21266</t>
  </si>
  <si>
    <t>P21281</t>
  </si>
  <si>
    <t>P21283</t>
  </si>
  <si>
    <t>P21291</t>
  </si>
  <si>
    <t>P21333-2</t>
  </si>
  <si>
    <t>P21359-2</t>
  </si>
  <si>
    <t>P21399</t>
  </si>
  <si>
    <t>P21580</t>
  </si>
  <si>
    <t>P21675</t>
  </si>
  <si>
    <t>P21695-2</t>
  </si>
  <si>
    <t>P21796</t>
  </si>
  <si>
    <t>P21912</t>
  </si>
  <si>
    <t>P21964-2</t>
  </si>
  <si>
    <t>P21980</t>
  </si>
  <si>
    <t>P22033</t>
  </si>
  <si>
    <t>P22059</t>
  </si>
  <si>
    <t>P22061-2</t>
  </si>
  <si>
    <t>P22102</t>
  </si>
  <si>
    <t>P22234</t>
  </si>
  <si>
    <t>P22307-6</t>
  </si>
  <si>
    <t>P22314</t>
  </si>
  <si>
    <t>P22392-2</t>
  </si>
  <si>
    <t>P22532</t>
  </si>
  <si>
    <t>P22570</t>
  </si>
  <si>
    <t>P22626</t>
  </si>
  <si>
    <t>P22670</t>
  </si>
  <si>
    <t>P22681</t>
  </si>
  <si>
    <t>P22694-4</t>
  </si>
  <si>
    <t>P22830</t>
  </si>
  <si>
    <t>P23025</t>
  </si>
  <si>
    <t>P23142-3</t>
  </si>
  <si>
    <t>P23193</t>
  </si>
  <si>
    <t>P23246</t>
  </si>
  <si>
    <t>P23258</t>
  </si>
  <si>
    <t>P23284</t>
  </si>
  <si>
    <t>P23297</t>
  </si>
  <si>
    <t>P23368</t>
  </si>
  <si>
    <t>P23381</t>
  </si>
  <si>
    <t>P23396</t>
  </si>
  <si>
    <t>P23409</t>
  </si>
  <si>
    <t>P23434</t>
  </si>
  <si>
    <t>P23470-2</t>
  </si>
  <si>
    <t>P23497</t>
  </si>
  <si>
    <t>P23511-2</t>
  </si>
  <si>
    <t>P23526</t>
  </si>
  <si>
    <t>P23528</t>
  </si>
  <si>
    <t>P23588</t>
  </si>
  <si>
    <t>P23610</t>
  </si>
  <si>
    <t>P23634-7</t>
  </si>
  <si>
    <t>P23677</t>
  </si>
  <si>
    <t>P23769-2</t>
  </si>
  <si>
    <t>P23786</t>
  </si>
  <si>
    <t>P23919</t>
  </si>
  <si>
    <t>P23921</t>
  </si>
  <si>
    <t>P24534</t>
  </si>
  <si>
    <t>P24666</t>
  </si>
  <si>
    <t>P24666-2</t>
  </si>
  <si>
    <t>P24752</t>
  </si>
  <si>
    <t>P24928</t>
  </si>
  <si>
    <t>P24941</t>
  </si>
  <si>
    <t>P25054-2</t>
  </si>
  <si>
    <t>P25098</t>
  </si>
  <si>
    <t>P25205</t>
  </si>
  <si>
    <t>P25398</t>
  </si>
  <si>
    <t>P25440</t>
  </si>
  <si>
    <t>P25685</t>
  </si>
  <si>
    <t>P25705</t>
  </si>
  <si>
    <t>P25774-2</t>
  </si>
  <si>
    <t>P25786</t>
  </si>
  <si>
    <t>P25787</t>
  </si>
  <si>
    <t>P25788-2</t>
  </si>
  <si>
    <t>P25789</t>
  </si>
  <si>
    <t>P25815</t>
  </si>
  <si>
    <t>P26038</t>
  </si>
  <si>
    <t>P26196</t>
  </si>
  <si>
    <t>P26232-2</t>
  </si>
  <si>
    <t>P26358</t>
  </si>
  <si>
    <t>P26358-2</t>
  </si>
  <si>
    <t>P26368-2</t>
  </si>
  <si>
    <t>P26373</t>
  </si>
  <si>
    <t>P26374</t>
  </si>
  <si>
    <t>P26447</t>
  </si>
  <si>
    <t>P26583</t>
  </si>
  <si>
    <t>P26599</t>
  </si>
  <si>
    <t>P26639</t>
  </si>
  <si>
    <t>P26640</t>
  </si>
  <si>
    <t>P26641</t>
  </si>
  <si>
    <t>P26885</t>
  </si>
  <si>
    <t>P27144</t>
  </si>
  <si>
    <t>P27348</t>
  </si>
  <si>
    <t>P27361</t>
  </si>
  <si>
    <t>P27448-8</t>
  </si>
  <si>
    <t>P27540-2</t>
  </si>
  <si>
    <t>P27694</t>
  </si>
  <si>
    <t>P27695</t>
  </si>
  <si>
    <t>P27707</t>
  </si>
  <si>
    <t>P27797</t>
  </si>
  <si>
    <t>P27815-6</t>
  </si>
  <si>
    <t>P27816</t>
  </si>
  <si>
    <t>P27816-5</t>
  </si>
  <si>
    <t>P27824</t>
  </si>
  <si>
    <t>P27986</t>
  </si>
  <si>
    <t>P28062-2</t>
  </si>
  <si>
    <t>P28066</t>
  </si>
  <si>
    <t>P28070</t>
  </si>
  <si>
    <t>P28072</t>
  </si>
  <si>
    <t>P28074</t>
  </si>
  <si>
    <t>P28161-2</t>
  </si>
  <si>
    <t>P28289</t>
  </si>
  <si>
    <t>P28331-4</t>
  </si>
  <si>
    <t>P28340</t>
  </si>
  <si>
    <t>P28482</t>
  </si>
  <si>
    <t>P28715</t>
  </si>
  <si>
    <t>P28749</t>
  </si>
  <si>
    <t>P28799</t>
  </si>
  <si>
    <t>P28838-2</t>
  </si>
  <si>
    <t>P28908</t>
  </si>
  <si>
    <t>P29083</t>
  </si>
  <si>
    <t>P29084</t>
  </si>
  <si>
    <t>P29144</t>
  </si>
  <si>
    <t>P29218</t>
  </si>
  <si>
    <t>P29350</t>
  </si>
  <si>
    <t>P29353-2</t>
  </si>
  <si>
    <t>P29353-7</t>
  </si>
  <si>
    <t>P29372-5</t>
  </si>
  <si>
    <t>P29373</t>
  </si>
  <si>
    <t>P29374-3</t>
  </si>
  <si>
    <t>P29375</t>
  </si>
  <si>
    <t>P29401</t>
  </si>
  <si>
    <t>P29590</t>
  </si>
  <si>
    <t>P29590-8</t>
  </si>
  <si>
    <t>P29692</t>
  </si>
  <si>
    <t>P29692-2</t>
  </si>
  <si>
    <t>P29692-3</t>
  </si>
  <si>
    <t>P29966</t>
  </si>
  <si>
    <t>P30038</t>
  </si>
  <si>
    <t>P30040</t>
  </si>
  <si>
    <t>P30041</t>
  </si>
  <si>
    <t>P30042</t>
  </si>
  <si>
    <t>P30043</t>
  </si>
  <si>
    <t>P30044-2</t>
  </si>
  <si>
    <t>P30046</t>
  </si>
  <si>
    <t>P30047</t>
  </si>
  <si>
    <t>P30049</t>
  </si>
  <si>
    <t>P30050</t>
  </si>
  <si>
    <t>P30084</t>
  </si>
  <si>
    <t>P30085</t>
  </si>
  <si>
    <t>P30086</t>
  </si>
  <si>
    <t>P30153</t>
  </si>
  <si>
    <t>P30154</t>
  </si>
  <si>
    <t>P30260</t>
  </si>
  <si>
    <t>P30279</t>
  </si>
  <si>
    <t>P30281</t>
  </si>
  <si>
    <t>P30291</t>
  </si>
  <si>
    <t>P30307</t>
  </si>
  <si>
    <t>P30405</t>
  </si>
  <si>
    <t>P30414</t>
  </si>
  <si>
    <t>P30419</t>
  </si>
  <si>
    <t>P30520</t>
  </si>
  <si>
    <t>P30533</t>
  </si>
  <si>
    <t>P30566</t>
  </si>
  <si>
    <t>P30613</t>
  </si>
  <si>
    <t>P30622-2</t>
  </si>
  <si>
    <t>P30711</t>
  </si>
  <si>
    <t>P30740</t>
  </si>
  <si>
    <t>P30837</t>
  </si>
  <si>
    <t>P31040</t>
  </si>
  <si>
    <t>P31146</t>
  </si>
  <si>
    <t>P31150</t>
  </si>
  <si>
    <t>P31153</t>
  </si>
  <si>
    <t>P31321</t>
  </si>
  <si>
    <t>P31323</t>
  </si>
  <si>
    <t>P31327</t>
  </si>
  <si>
    <t>P31350</t>
  </si>
  <si>
    <t>P31689</t>
  </si>
  <si>
    <t>P31749</t>
  </si>
  <si>
    <t>P31751</t>
  </si>
  <si>
    <t>P31930</t>
  </si>
  <si>
    <t>P31937</t>
  </si>
  <si>
    <t>P31939</t>
  </si>
  <si>
    <t>P31942-2</t>
  </si>
  <si>
    <t>P31943</t>
  </si>
  <si>
    <t>P31946-2</t>
  </si>
  <si>
    <t>P31947-2</t>
  </si>
  <si>
    <t>P31948</t>
  </si>
  <si>
    <t>P31949</t>
  </si>
  <si>
    <t>P32019-2</t>
  </si>
  <si>
    <t>P32119</t>
  </si>
  <si>
    <t>P32121-5</t>
  </si>
  <si>
    <t>P32314-2</t>
  </si>
  <si>
    <t>P32321</t>
  </si>
  <si>
    <t>P32322</t>
  </si>
  <si>
    <t>P32456</t>
  </si>
  <si>
    <t>P32519-2</t>
  </si>
  <si>
    <t>P32780</t>
  </si>
  <si>
    <t>P32929</t>
  </si>
  <si>
    <t>P33121-2</t>
  </si>
  <si>
    <t>P33176</t>
  </si>
  <si>
    <t>P33240-2</t>
  </si>
  <si>
    <t>P33316</t>
  </si>
  <si>
    <t>P33316-2</t>
  </si>
  <si>
    <t>P33552</t>
  </si>
  <si>
    <t>P33981-2</t>
  </si>
  <si>
    <t>P33991</t>
  </si>
  <si>
    <t>P33992</t>
  </si>
  <si>
    <t>P33993</t>
  </si>
  <si>
    <t>P34059</t>
  </si>
  <si>
    <t>P34896-2</t>
  </si>
  <si>
    <t>P34897-3</t>
  </si>
  <si>
    <t>P34913</t>
  </si>
  <si>
    <t>P34932</t>
  </si>
  <si>
    <t>P35219</t>
  </si>
  <si>
    <t>P35221</t>
  </si>
  <si>
    <t>P35227</t>
  </si>
  <si>
    <t>P35232</t>
  </si>
  <si>
    <t>P35236</t>
  </si>
  <si>
    <t>P35237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</si>
  <si>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</si>
  <si>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</si>
  <si>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</si>
  <si>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</si>
  <si>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</si>
  <si>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</si>
  <si>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</si>
  <si>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</si>
  <si>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P35520</t>
  </si>
  <si>
    <t>P35527</t>
  </si>
  <si>
    <t>P35568</t>
  </si>
  <si>
    <t>P35579</t>
  </si>
  <si>
    <t>P35579-2</t>
  </si>
  <si>
    <t>P35580</t>
  </si>
  <si>
    <t>P35606</t>
  </si>
  <si>
    <t>P35611</t>
  </si>
  <si>
    <t>P35611-2</t>
  </si>
  <si>
    <t>P35612</t>
  </si>
  <si>
    <t>P35613-2</t>
  </si>
  <si>
    <t>P35637-2</t>
  </si>
  <si>
    <t>P35638</t>
  </si>
  <si>
    <t>P35658-2</t>
  </si>
  <si>
    <t>P35658-4</t>
  </si>
  <si>
    <t>P35712</t>
  </si>
  <si>
    <t>P35749-4</t>
  </si>
  <si>
    <t>P35754</t>
  </si>
  <si>
    <t>P35790-2</t>
  </si>
  <si>
    <t>P35813</t>
  </si>
  <si>
    <t>P35869</t>
  </si>
  <si>
    <t>P35908</t>
  </si>
  <si>
    <t>P35998</t>
  </si>
  <si>
    <t>P36404</t>
  </si>
  <si>
    <t>P36405</t>
  </si>
  <si>
    <t>P36507</t>
  </si>
  <si>
    <t>P36543</t>
  </si>
  <si>
    <t>P36551</t>
  </si>
  <si>
    <t>P36578</t>
  </si>
  <si>
    <t>P36639-4</t>
  </si>
  <si>
    <t>P36873</t>
  </si>
  <si>
    <t>P36915</t>
  </si>
  <si>
    <t>P36954</t>
  </si>
  <si>
    <t>P36955</t>
  </si>
  <si>
    <t>P36957</t>
  </si>
  <si>
    <t>P36959</t>
  </si>
  <si>
    <t>P36969-2</t>
  </si>
  <si>
    <t>P37108</t>
  </si>
  <si>
    <t>P37198</t>
  </si>
  <si>
    <t>P37235</t>
  </si>
  <si>
    <t>P37802</t>
  </si>
  <si>
    <t>P37837</t>
  </si>
  <si>
    <t>P37840-2</t>
  </si>
  <si>
    <t>P38117</t>
  </si>
  <si>
    <t>P38159</t>
  </si>
  <si>
    <t>P38398-4</t>
  </si>
  <si>
    <t>P38432</t>
  </si>
  <si>
    <t>P38606</t>
  </si>
  <si>
    <t>P38646</t>
  </si>
  <si>
    <t>P38919</t>
  </si>
  <si>
    <t>P38935</t>
  </si>
  <si>
    <t>P39019</t>
  </si>
  <si>
    <t>P39023</t>
  </si>
  <si>
    <t>P39059</t>
  </si>
  <si>
    <t>P39656</t>
  </si>
  <si>
    <t>P39687</t>
  </si>
  <si>
    <t>P39748</t>
  </si>
  <si>
    <t>P39880-3</t>
  </si>
  <si>
    <t>P40121-2</t>
  </si>
  <si>
    <t>P40189-3</t>
  </si>
  <si>
    <t>P40222</t>
  </si>
  <si>
    <t>P40227</t>
  </si>
  <si>
    <t>P40306</t>
  </si>
  <si>
    <t>P40337-3</t>
  </si>
  <si>
    <t>P40425</t>
  </si>
  <si>
    <t>P40429</t>
  </si>
  <si>
    <t>P40692</t>
  </si>
  <si>
    <t>P40763</t>
  </si>
  <si>
    <t>P40818</t>
  </si>
  <si>
    <t>P40925</t>
  </si>
  <si>
    <t>P40926</t>
  </si>
  <si>
    <t>P40937</t>
  </si>
  <si>
    <t>P40938</t>
  </si>
  <si>
    <t>P40939</t>
  </si>
  <si>
    <t>P41091</t>
  </si>
  <si>
    <t>P41162</t>
  </si>
  <si>
    <t>P41208</t>
  </si>
  <si>
    <t>P41212</t>
  </si>
  <si>
    <t>P41214</t>
  </si>
  <si>
    <t>P41223</t>
  </si>
  <si>
    <t>P41227-2</t>
  </si>
  <si>
    <t>P41229-2</t>
  </si>
  <si>
    <t>P41236</t>
  </si>
  <si>
    <t>P41240</t>
  </si>
  <si>
    <t>P41250</t>
  </si>
  <si>
    <t>P41252</t>
  </si>
  <si>
    <t>P41567</t>
  </si>
  <si>
    <t>P41743</t>
  </si>
  <si>
    <t>P42025</t>
  </si>
  <si>
    <t>P42126-2</t>
  </si>
  <si>
    <t>P42166</t>
  </si>
  <si>
    <t>P42167</t>
  </si>
  <si>
    <t>P42224</t>
  </si>
  <si>
    <t>P42226</t>
  </si>
  <si>
    <t>P42285</t>
  </si>
  <si>
    <t>P42330</t>
  </si>
  <si>
    <t>P42331-6</t>
  </si>
  <si>
    <t>P42336</t>
  </si>
  <si>
    <t>P42338</t>
  </si>
  <si>
    <t>P42345</t>
  </si>
  <si>
    <t>P42356</t>
  </si>
  <si>
    <t>P42566</t>
  </si>
  <si>
    <t>P42574</t>
  </si>
  <si>
    <t>P42575</t>
  </si>
  <si>
    <t>P42677</t>
  </si>
  <si>
    <t>P42679-3</t>
  </si>
  <si>
    <t>P42680</t>
  </si>
  <si>
    <t>P42684-6</t>
  </si>
  <si>
    <t>P42694</t>
  </si>
  <si>
    <t>P42695</t>
  </si>
  <si>
    <t>P42696-2</t>
  </si>
  <si>
    <t>P42704</t>
  </si>
  <si>
    <t>P42765</t>
  </si>
  <si>
    <t>P42768</t>
  </si>
  <si>
    <t>P42773</t>
  </si>
  <si>
    <t>P42785</t>
  </si>
  <si>
    <t>P42858</t>
  </si>
  <si>
    <t>P43034</t>
  </si>
  <si>
    <t>P43121</t>
  </si>
  <si>
    <t>P43155-3</t>
  </si>
  <si>
    <t>P43246</t>
  </si>
  <si>
    <t>P43355</t>
  </si>
  <si>
    <t>P43356</t>
  </si>
  <si>
    <t>P43358</t>
  </si>
  <si>
    <t>P43405-2</t>
  </si>
  <si>
    <t>P43487</t>
  </si>
  <si>
    <t>P43490</t>
  </si>
  <si>
    <t>P43686</t>
  </si>
  <si>
    <t>P43897</t>
  </si>
  <si>
    <t>P45880</t>
  </si>
  <si>
    <t>P45973</t>
  </si>
  <si>
    <t>P45974-2</t>
  </si>
  <si>
    <t>P45983-3</t>
  </si>
  <si>
    <t>P45984-2</t>
  </si>
  <si>
    <t>P45985</t>
  </si>
  <si>
    <t>P46013</t>
  </si>
  <si>
    <t>P46019</t>
  </si>
  <si>
    <t>P46020-3</t>
  </si>
  <si>
    <t>P46060</t>
  </si>
  <si>
    <t>P46063</t>
  </si>
  <si>
    <t>P46087</t>
  </si>
  <si>
    <t>P46100-4</t>
  </si>
  <si>
    <t>P46108</t>
  </si>
  <si>
    <t>P46109</t>
  </si>
  <si>
    <t>P46199</t>
  </si>
  <si>
    <t>P46527</t>
  </si>
  <si>
    <t>P46531</t>
  </si>
  <si>
    <t>P46734-2</t>
  </si>
  <si>
    <t>P46736-2</t>
  </si>
  <si>
    <t>P46777</t>
  </si>
  <si>
    <t>P46779-4</t>
  </si>
  <si>
    <t>P46781</t>
  </si>
  <si>
    <t>P46783</t>
  </si>
  <si>
    <t>P46821</t>
  </si>
  <si>
    <t>P46926</t>
  </si>
  <si>
    <t>P46934-4</t>
  </si>
  <si>
    <t>P46939</t>
  </si>
  <si>
    <t>P46940</t>
  </si>
  <si>
    <t>P46976-2</t>
  </si>
  <si>
    <t>P46977</t>
  </si>
  <si>
    <t>P47224</t>
  </si>
  <si>
    <t>P47712</t>
  </si>
  <si>
    <t>P47736</t>
  </si>
  <si>
    <t>P47755</t>
  </si>
  <si>
    <t>P47813</t>
  </si>
  <si>
    <t>P47897</t>
  </si>
  <si>
    <t>P47914</t>
  </si>
  <si>
    <t>P47974</t>
  </si>
  <si>
    <t>P47985</t>
  </si>
  <si>
    <t>P48047</t>
  </si>
  <si>
    <t>P48059</t>
  </si>
  <si>
    <t>P48147</t>
  </si>
  <si>
    <t>P48163</t>
  </si>
  <si>
    <t>P48200</t>
  </si>
  <si>
    <t>P48378-2</t>
  </si>
  <si>
    <t>P48380-2</t>
  </si>
  <si>
    <t>P48382</t>
  </si>
  <si>
    <t>P48444</t>
  </si>
  <si>
    <t>P48449-2</t>
  </si>
  <si>
    <t>P48454</t>
  </si>
  <si>
    <t>P48506</t>
  </si>
  <si>
    <t>P48507</t>
  </si>
  <si>
    <t>P48553</t>
  </si>
  <si>
    <t>P48634</t>
  </si>
  <si>
    <t>P48637</t>
  </si>
  <si>
    <t>P48643</t>
  </si>
  <si>
    <t>P48651</t>
  </si>
  <si>
    <t>P48681</t>
  </si>
  <si>
    <t>P48729</t>
  </si>
  <si>
    <t>P48730</t>
  </si>
  <si>
    <t>P48736</t>
  </si>
  <si>
    <t>P48739</t>
  </si>
  <si>
    <t>P49005</t>
  </si>
  <si>
    <t>P49006</t>
  </si>
  <si>
    <t>P49116</t>
  </si>
  <si>
    <t>P49116-2</t>
  </si>
  <si>
    <t>P49137</t>
  </si>
  <si>
    <t>P49189</t>
  </si>
  <si>
    <t>P49207</t>
  </si>
  <si>
    <t>P49247</t>
  </si>
  <si>
    <t>P49257</t>
  </si>
  <si>
    <t>P49321</t>
  </si>
  <si>
    <t>P49327</t>
  </si>
  <si>
    <t>P49336-2</t>
  </si>
  <si>
    <t>P49354</t>
  </si>
  <si>
    <t>P49366</t>
  </si>
  <si>
    <t>P49368</t>
  </si>
  <si>
    <t>P49407</t>
  </si>
  <si>
    <t>P49407-2</t>
  </si>
  <si>
    <t>P49411</t>
  </si>
  <si>
    <t>P49427</t>
  </si>
  <si>
    <t>P49441</t>
  </si>
  <si>
    <t>P49448</t>
  </si>
  <si>
    <t>P49454</t>
  </si>
  <si>
    <t>P49458</t>
  </si>
  <si>
    <t>P49459</t>
  </si>
  <si>
    <t>P49585</t>
  </si>
  <si>
    <t>P49588</t>
  </si>
  <si>
    <t>P49589-3</t>
  </si>
  <si>
    <t>P49591</t>
  </si>
  <si>
    <t>P49593</t>
  </si>
  <si>
    <t>P49642</t>
  </si>
  <si>
    <t>P49643</t>
  </si>
  <si>
    <t>P49662-2</t>
  </si>
  <si>
    <t>P49674</t>
  </si>
  <si>
    <t>P49711</t>
  </si>
  <si>
    <t>P49716</t>
  </si>
  <si>
    <t>P49720</t>
  </si>
  <si>
    <t>P49721</t>
  </si>
  <si>
    <t>P49736</t>
  </si>
  <si>
    <t>P49748</t>
  </si>
  <si>
    <t>P49750-4</t>
  </si>
  <si>
    <t>P49755</t>
  </si>
  <si>
    <t>P49756</t>
  </si>
  <si>
    <t>P49757-3</t>
  </si>
  <si>
    <t>P49770</t>
  </si>
  <si>
    <t>P49773</t>
  </si>
  <si>
    <t>P49789</t>
  </si>
  <si>
    <t>P49792</t>
  </si>
  <si>
    <t>P49796-4</t>
  </si>
  <si>
    <t>P49841</t>
  </si>
  <si>
    <t>P49848-2</t>
  </si>
  <si>
    <t>P49902</t>
  </si>
  <si>
    <t>P49903</t>
  </si>
  <si>
    <t>P49914</t>
  </si>
  <si>
    <t>P49915</t>
  </si>
  <si>
    <t>P49916</t>
  </si>
  <si>
    <t>P49918-2</t>
  </si>
  <si>
    <t>P49959</t>
  </si>
  <si>
    <t>P50053</t>
  </si>
  <si>
    <t>P50135</t>
  </si>
  <si>
    <t>P50213</t>
  </si>
  <si>
    <t>P50219</t>
  </si>
  <si>
    <t>P50225</t>
  </si>
  <si>
    <t>P50238</t>
  </si>
  <si>
    <t>P50395</t>
  </si>
  <si>
    <t>P50402</t>
  </si>
  <si>
    <t>P50453</t>
  </si>
  <si>
    <t>P50454</t>
  </si>
  <si>
    <t>P50479</t>
  </si>
  <si>
    <t>P50502</t>
  </si>
  <si>
    <t>P50542-3</t>
  </si>
  <si>
    <t>P50552</t>
  </si>
  <si>
    <t>P50570-4</t>
  </si>
  <si>
    <t>P50579</t>
  </si>
  <si>
    <t>P50583</t>
  </si>
  <si>
    <t>P50613</t>
  </si>
  <si>
    <t>P50747</t>
  </si>
  <si>
    <t>P50748</t>
  </si>
  <si>
    <t>P50749</t>
  </si>
  <si>
    <t>P50750</t>
  </si>
  <si>
    <t>P50851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</si>
  <si>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</si>
  <si>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</si>
  <si>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</si>
  <si>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</si>
  <si>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</si>
  <si>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</si>
  <si>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</si>
  <si>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</si>
  <si>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P51157</t>
  </si>
  <si>
    <t>P51159-2</t>
  </si>
  <si>
    <t>P51161</t>
  </si>
  <si>
    <t>P51178</t>
  </si>
  <si>
    <t>P51398-2</t>
  </si>
  <si>
    <t>P51452</t>
  </si>
  <si>
    <t>P51511</t>
  </si>
  <si>
    <t>P51531-2</t>
  </si>
  <si>
    <t>P51532-5</t>
  </si>
  <si>
    <t>P51570</t>
  </si>
  <si>
    <t>P51571</t>
  </si>
  <si>
    <t>P51572</t>
  </si>
  <si>
    <t>P51580</t>
  </si>
  <si>
    <t>P51587</t>
  </si>
  <si>
    <t>P51606</t>
  </si>
  <si>
    <t>P51608</t>
  </si>
  <si>
    <t>P51610</t>
  </si>
  <si>
    <t>P51610-4</t>
  </si>
  <si>
    <t>P51617</t>
  </si>
  <si>
    <t>P51649</t>
  </si>
  <si>
    <t>P51659</t>
  </si>
  <si>
    <t>P51665</t>
  </si>
  <si>
    <t>P51668</t>
  </si>
  <si>
    <t>P51687</t>
  </si>
  <si>
    <t>P51688</t>
  </si>
  <si>
    <t>P51692</t>
  </si>
  <si>
    <t>P51808</t>
  </si>
  <si>
    <t>P51809</t>
  </si>
  <si>
    <t>P51825-3</t>
  </si>
  <si>
    <t>P51857-2</t>
  </si>
  <si>
    <t>P51858</t>
  </si>
  <si>
    <t>P51946</t>
  </si>
  <si>
    <t>P51948</t>
  </si>
  <si>
    <t>P51991</t>
  </si>
  <si>
    <t>P52272-2</t>
  </si>
  <si>
    <t>P52292</t>
  </si>
  <si>
    <t>P52294</t>
  </si>
  <si>
    <t>P52298</t>
  </si>
  <si>
    <t>P52306</t>
  </si>
  <si>
    <t>P52566</t>
  </si>
  <si>
    <t>P52594-2</t>
  </si>
  <si>
    <t>P52597</t>
  </si>
  <si>
    <t>P52630-4</t>
  </si>
  <si>
    <t>P52655</t>
  </si>
  <si>
    <t>P52657</t>
  </si>
  <si>
    <t>P52701</t>
  </si>
  <si>
    <t>P52732</t>
  </si>
  <si>
    <t>P52735-3</t>
  </si>
  <si>
    <t>P52739-2</t>
  </si>
  <si>
    <t>P52747-2</t>
  </si>
  <si>
    <t>P52756</t>
  </si>
  <si>
    <t>P52758</t>
  </si>
  <si>
    <t>P52788</t>
  </si>
  <si>
    <t>P52789</t>
  </si>
  <si>
    <t>P52815</t>
  </si>
  <si>
    <t>P52824</t>
  </si>
  <si>
    <t>P52888</t>
  </si>
  <si>
    <t>P52907</t>
  </si>
  <si>
    <t>P52948-5</t>
  </si>
  <si>
    <t>P53004</t>
  </si>
  <si>
    <t>P53350</t>
  </si>
  <si>
    <t>P53365</t>
  </si>
  <si>
    <t>P53367-2</t>
  </si>
  <si>
    <t>P53370-2</t>
  </si>
  <si>
    <t>P53384-2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</si>
  <si>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</si>
  <si>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</si>
  <si>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</si>
  <si>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</si>
  <si>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</si>
  <si>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</si>
  <si>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</si>
  <si>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</si>
  <si>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P53667-4</t>
  </si>
  <si>
    <t>P53675-2</t>
  </si>
  <si>
    <t>P53677</t>
  </si>
  <si>
    <t>P53680</t>
  </si>
  <si>
    <t>P53701</t>
  </si>
  <si>
    <t>P53778</t>
  </si>
  <si>
    <t>P53794</t>
  </si>
  <si>
    <t>P53803</t>
  </si>
  <si>
    <t>P53805</t>
  </si>
  <si>
    <t>P53814-5</t>
  </si>
  <si>
    <t>P53985</t>
  </si>
  <si>
    <t>P53990-2</t>
  </si>
  <si>
    <t>P53992</t>
  </si>
  <si>
    <t>P53999</t>
  </si>
  <si>
    <t>P54136</t>
  </si>
  <si>
    <t>P54136-2</t>
  </si>
  <si>
    <t>P54198</t>
  </si>
  <si>
    <t>P54259</t>
  </si>
  <si>
    <t>P54274-2</t>
  </si>
  <si>
    <t>P54277-3</t>
  </si>
  <si>
    <t>P54278</t>
  </si>
  <si>
    <t>P54577</t>
  </si>
  <si>
    <t>P54578</t>
  </si>
  <si>
    <t>P54619-2</t>
  </si>
  <si>
    <t>P54687-4</t>
  </si>
  <si>
    <t>P54709</t>
  </si>
  <si>
    <t>P54727</t>
  </si>
  <si>
    <t>P54802</t>
  </si>
  <si>
    <t>P54886-2</t>
  </si>
  <si>
    <t>P54920</t>
  </si>
  <si>
    <t>P54922</t>
  </si>
  <si>
    <t>P55008</t>
  </si>
  <si>
    <t>P55010</t>
  </si>
  <si>
    <t>P55036</t>
  </si>
  <si>
    <t>P55039</t>
  </si>
  <si>
    <t>P55058-3</t>
  </si>
  <si>
    <t>P55060-3</t>
  </si>
  <si>
    <t>P55072</t>
  </si>
  <si>
    <t>P55081</t>
  </si>
  <si>
    <t>P55145</t>
  </si>
  <si>
    <t>P55160</t>
  </si>
  <si>
    <t>P55196-3</t>
  </si>
  <si>
    <t>P55198</t>
  </si>
  <si>
    <t>P55199</t>
  </si>
  <si>
    <t>P55211</t>
  </si>
  <si>
    <t>P55212</t>
  </si>
  <si>
    <t>P55263</t>
  </si>
  <si>
    <t>P55265-5</t>
  </si>
  <si>
    <t>P55273</t>
  </si>
  <si>
    <t>P55327-2</t>
  </si>
  <si>
    <t>P55347-2</t>
  </si>
  <si>
    <t>P55735</t>
  </si>
  <si>
    <t>P55769</t>
  </si>
  <si>
    <t>P55771</t>
  </si>
  <si>
    <t>P55789</t>
  </si>
  <si>
    <t>P55795</t>
  </si>
  <si>
    <t>P55854</t>
  </si>
  <si>
    <t>P55884</t>
  </si>
  <si>
    <t>P55957</t>
  </si>
  <si>
    <t>P56181-2</t>
  </si>
  <si>
    <t>P56182</t>
  </si>
  <si>
    <t>P56192</t>
  </si>
  <si>
    <t>P56211</t>
  </si>
  <si>
    <t>P56277</t>
  </si>
  <si>
    <t>P56282-3</t>
  </si>
  <si>
    <t>P56377</t>
  </si>
  <si>
    <t>P56385</t>
  </si>
  <si>
    <t>P56524</t>
  </si>
  <si>
    <t>P56537</t>
  </si>
  <si>
    <t>P56597</t>
  </si>
  <si>
    <t>P56645</t>
  </si>
  <si>
    <t>P56945-5</t>
  </si>
  <si>
    <t>P56962</t>
  </si>
  <si>
    <t>P57060</t>
  </si>
  <si>
    <t>P57076</t>
  </si>
  <si>
    <t>P57081</t>
  </si>
  <si>
    <t>P57088</t>
  </si>
  <si>
    <t>P57105</t>
  </si>
  <si>
    <t>P57682</t>
  </si>
  <si>
    <t>P57737-3</t>
  </si>
  <si>
    <t>P57740</t>
  </si>
  <si>
    <t>P57764</t>
  </si>
  <si>
    <t>P57768</t>
  </si>
  <si>
    <t>P57772</t>
  </si>
  <si>
    <t>P58004</t>
  </si>
  <si>
    <t>P58107</t>
  </si>
  <si>
    <t>P58335-2</t>
  </si>
  <si>
    <t>P58546</t>
  </si>
  <si>
    <t>P59780</t>
  </si>
  <si>
    <t>P59817</t>
  </si>
  <si>
    <t>P59923</t>
  </si>
  <si>
    <t>P59998</t>
  </si>
  <si>
    <t>P60174-1</t>
  </si>
  <si>
    <t>P60228</t>
  </si>
  <si>
    <t>P60468</t>
  </si>
  <si>
    <t>P60510</t>
  </si>
  <si>
    <t>P60520</t>
  </si>
  <si>
    <t>P60604-2</t>
  </si>
  <si>
    <t>P60660-2</t>
  </si>
  <si>
    <t>P60763</t>
  </si>
  <si>
    <t>P60842</t>
  </si>
  <si>
    <t>P60866</t>
  </si>
  <si>
    <t>P60891</t>
  </si>
  <si>
    <t>P60900</t>
  </si>
  <si>
    <t>P60953</t>
  </si>
  <si>
    <t>P60953-1</t>
  </si>
  <si>
    <t>P60981-2</t>
  </si>
  <si>
    <t>P60983</t>
  </si>
  <si>
    <t>P61006</t>
  </si>
  <si>
    <t>P61009</t>
  </si>
  <si>
    <t>P61011</t>
  </si>
  <si>
    <t>P61018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</si>
  <si>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</si>
  <si>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</si>
  <si>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</si>
  <si>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</si>
  <si>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</si>
  <si>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</si>
  <si>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</si>
  <si>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</si>
  <si>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</si>
  <si>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P61129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</si>
  <si>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</si>
  <si>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</si>
  <si>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</si>
  <si>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</si>
  <si>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</si>
  <si>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</si>
  <si>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</si>
  <si>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</si>
  <si>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P61244-2</t>
  </si>
  <si>
    <t>P61247</t>
  </si>
  <si>
    <t>P61254</t>
  </si>
  <si>
    <t>P61289</t>
  </si>
  <si>
    <t>P61326</t>
  </si>
  <si>
    <t>P61353</t>
  </si>
  <si>
    <t>P61457</t>
  </si>
  <si>
    <t>P61586</t>
  </si>
  <si>
    <t>P61599</t>
  </si>
  <si>
    <t>P61601</t>
  </si>
  <si>
    <t>P61604</t>
  </si>
  <si>
    <t>P61619</t>
  </si>
  <si>
    <t>P61758</t>
  </si>
  <si>
    <t>P61764</t>
  </si>
  <si>
    <t>P61923</t>
  </si>
  <si>
    <t>P61956-2</t>
  </si>
  <si>
    <t>P61960</t>
  </si>
  <si>
    <t>P61962</t>
  </si>
  <si>
    <t>P61964</t>
  </si>
  <si>
    <t>P61966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</si>
  <si>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</si>
  <si>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</si>
  <si>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</si>
  <si>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</si>
  <si>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</si>
  <si>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</si>
  <si>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</si>
  <si>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</si>
  <si>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P62158</t>
  </si>
  <si>
    <t>P62166</t>
  </si>
  <si>
    <t>P62191</t>
  </si>
  <si>
    <t>P62195-2</t>
  </si>
  <si>
    <t>P62241</t>
  </si>
  <si>
    <t>P62249</t>
  </si>
  <si>
    <t>P62253</t>
  </si>
  <si>
    <t>P62256</t>
  </si>
  <si>
    <t>P62258</t>
  </si>
  <si>
    <t>P62263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</si>
  <si>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</si>
  <si>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</si>
  <si>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</si>
  <si>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</si>
  <si>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</si>
  <si>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</si>
  <si>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</si>
  <si>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</si>
  <si>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</si>
  <si>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</si>
  <si>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</si>
  <si>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</si>
  <si>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</si>
  <si>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</si>
  <si>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</si>
  <si>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</si>
  <si>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</si>
  <si>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</si>
  <si>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P62633-2</t>
  </si>
  <si>
    <t>P62633-3</t>
  </si>
  <si>
    <t>P62633-4</t>
  </si>
  <si>
    <t>P62633-5</t>
  </si>
  <si>
    <t>P62699</t>
  </si>
  <si>
    <t>P62701</t>
  </si>
  <si>
    <t>P62714</t>
  </si>
  <si>
    <t>P62750</t>
  </si>
  <si>
    <t>P62753</t>
  </si>
  <si>
    <t>P62805</t>
  </si>
  <si>
    <t>P62820</t>
  </si>
  <si>
    <t>P62826</t>
  </si>
  <si>
    <t>P62829</t>
  </si>
  <si>
    <t>P62834</t>
  </si>
  <si>
    <t>P62837</t>
  </si>
  <si>
    <t>P62847-2</t>
  </si>
  <si>
    <t>P62851</t>
  </si>
  <si>
    <t>P62854</t>
  </si>
  <si>
    <t>P62857</t>
  </si>
  <si>
    <t>P62861</t>
  </si>
  <si>
    <t>P62873</t>
  </si>
  <si>
    <t>P62877</t>
  </si>
  <si>
    <t>P62906</t>
  </si>
  <si>
    <t>P62913-2</t>
  </si>
  <si>
    <t>P62937</t>
  </si>
  <si>
    <t>P62942</t>
  </si>
  <si>
    <t>P62979</t>
  </si>
  <si>
    <t>P62993</t>
  </si>
  <si>
    <t>P62995-3</t>
  </si>
  <si>
    <t>P63000</t>
  </si>
  <si>
    <t>P63010</t>
  </si>
  <si>
    <t>P63092-3</t>
  </si>
  <si>
    <t>P63104</t>
  </si>
  <si>
    <t>P63151</t>
  </si>
  <si>
    <t>P63165</t>
  </si>
  <si>
    <t>P63167</t>
  </si>
  <si>
    <t>P63241</t>
  </si>
  <si>
    <t>P63244</t>
  </si>
  <si>
    <t>P63261</t>
  </si>
  <si>
    <t>P63272</t>
  </si>
  <si>
    <t>P63279</t>
  </si>
  <si>
    <t>P63302</t>
  </si>
  <si>
    <t>P63313</t>
  </si>
  <si>
    <t>P67775</t>
  </si>
  <si>
    <t>P67809</t>
  </si>
  <si>
    <t>P67870</t>
  </si>
  <si>
    <t>P67936</t>
  </si>
  <si>
    <t>P68032</t>
  </si>
  <si>
    <t>P68036</t>
  </si>
  <si>
    <t>P68104</t>
  </si>
  <si>
    <t>P68133</t>
  </si>
  <si>
    <t>P68363</t>
  </si>
  <si>
    <t>P68371</t>
  </si>
  <si>
    <t>P68402</t>
  </si>
  <si>
    <t>P69891</t>
  </si>
  <si>
    <t>P69892</t>
  </si>
  <si>
    <t>P69905</t>
  </si>
  <si>
    <t>P78312-6</t>
  </si>
  <si>
    <t>P78314</t>
  </si>
  <si>
    <t>P78318</t>
  </si>
  <si>
    <t>P78330</t>
  </si>
  <si>
    <t>P78332</t>
  </si>
  <si>
    <t>P78337</t>
  </si>
  <si>
    <t>P78345</t>
  </si>
  <si>
    <t>P78346</t>
  </si>
  <si>
    <t>P78347-2</t>
  </si>
  <si>
    <t>P78356</t>
  </si>
  <si>
    <t>P78364</t>
  </si>
  <si>
    <t>P78371</t>
  </si>
  <si>
    <t>P78406</t>
  </si>
  <si>
    <t>P78417</t>
  </si>
  <si>
    <t>P78527</t>
  </si>
  <si>
    <t>P78537</t>
  </si>
  <si>
    <t>P78549</t>
  </si>
  <si>
    <t>P78559</t>
  </si>
  <si>
    <t>P78560</t>
  </si>
  <si>
    <t>P80217</t>
  </si>
  <si>
    <t>P80297</t>
  </si>
  <si>
    <t>P80303-2</t>
  </si>
  <si>
    <t>P81605</t>
  </si>
  <si>
    <t>P81877-4</t>
  </si>
  <si>
    <t>P82094</t>
  </si>
  <si>
    <t>P82664</t>
  </si>
  <si>
    <t>P82673</t>
  </si>
  <si>
    <t>P82909</t>
  </si>
  <si>
    <t>P82912-3</t>
  </si>
  <si>
    <t>P82930</t>
  </si>
  <si>
    <t>P82933</t>
  </si>
  <si>
    <t>P82970</t>
  </si>
  <si>
    <t>P82979</t>
  </si>
  <si>
    <t>P82980</t>
  </si>
  <si>
    <t>P83369</t>
  </si>
  <si>
    <t>P83436</t>
  </si>
  <si>
    <t>P83881</t>
  </si>
  <si>
    <t>P83916</t>
  </si>
  <si>
    <t>P84022</t>
  </si>
  <si>
    <t>P84077</t>
  </si>
  <si>
    <t>P84085</t>
  </si>
  <si>
    <t>P84090</t>
  </si>
  <si>
    <t>P84095</t>
  </si>
  <si>
    <t>P84101-4</t>
  </si>
  <si>
    <t>P85037</t>
  </si>
  <si>
    <t>P85299-2</t>
  </si>
  <si>
    <t>P86791</t>
  </si>
  <si>
    <t>P98082-3</t>
  </si>
  <si>
    <t>P98170</t>
  </si>
  <si>
    <t>P98175-2</t>
  </si>
  <si>
    <t>P98179</t>
  </si>
  <si>
    <t>Q00013</t>
  </si>
  <si>
    <t>Q00059</t>
  </si>
  <si>
    <t>Q00169</t>
  </si>
  <si>
    <t>Q00325-2</t>
  </si>
  <si>
    <t>Q00341</t>
  </si>
  <si>
    <t>Q00403</t>
  </si>
  <si>
    <t>Q00526</t>
  </si>
  <si>
    <t>Q00532-2</t>
  </si>
  <si>
    <t>Q00534</t>
  </si>
  <si>
    <t>Q00535</t>
  </si>
  <si>
    <t>Q00536</t>
  </si>
  <si>
    <t>Q00577</t>
  </si>
  <si>
    <t>Q00587-2</t>
  </si>
  <si>
    <t>Q00610-2</t>
  </si>
  <si>
    <t>Q00613-2</t>
  </si>
  <si>
    <t>Q00653-4</t>
  </si>
  <si>
    <t>Q00688</t>
  </si>
  <si>
    <t>Q00796</t>
  </si>
  <si>
    <t>Q00839</t>
  </si>
  <si>
    <t>Q00839-2</t>
  </si>
  <si>
    <t>Q00978</t>
  </si>
  <si>
    <t>Q01081</t>
  </si>
  <si>
    <t>Q01082</t>
  </si>
  <si>
    <t>Q01082-3</t>
  </si>
  <si>
    <t>Q01085</t>
  </si>
  <si>
    <t>Q01105-2</t>
  </si>
  <si>
    <t>Q01130</t>
  </si>
  <si>
    <t>Q01167</t>
  </si>
  <si>
    <t>Q01196</t>
  </si>
  <si>
    <t>Q01432</t>
  </si>
  <si>
    <t>Q01433-2</t>
  </si>
  <si>
    <t>Q01459</t>
  </si>
  <si>
    <t>Q01469</t>
  </si>
  <si>
    <t>Q01518-2</t>
  </si>
  <si>
    <t>Q01581</t>
  </si>
  <si>
    <t>Q01650</t>
  </si>
  <si>
    <t>Q01658</t>
  </si>
  <si>
    <t>Q01664</t>
  </si>
  <si>
    <t>Q01780-2</t>
  </si>
  <si>
    <t>Q01804</t>
  </si>
  <si>
    <t>Q01813</t>
  </si>
  <si>
    <t>Q01831-2</t>
  </si>
  <si>
    <t>Q01844-6</t>
  </si>
  <si>
    <t>Q01850</t>
  </si>
  <si>
    <t>Q01968-2</t>
  </si>
  <si>
    <t>Q01970</t>
  </si>
  <si>
    <t>Q02040</t>
  </si>
  <si>
    <t>Q02078-4</t>
  </si>
  <si>
    <t>Q02083-2</t>
  </si>
  <si>
    <t>Q02086-2</t>
  </si>
  <si>
    <t>Q02156</t>
  </si>
  <si>
    <t>Q02224</t>
  </si>
  <si>
    <t>Q02241-2</t>
  </si>
  <si>
    <t>Q02446</t>
  </si>
  <si>
    <t>Q02447-4</t>
  </si>
  <si>
    <t>Q02487</t>
  </si>
  <si>
    <t>Q02543</t>
  </si>
  <si>
    <t>Q02750</t>
  </si>
  <si>
    <t>Q02790</t>
  </si>
  <si>
    <t>Q02809</t>
  </si>
  <si>
    <t>Q02818</t>
  </si>
  <si>
    <t>Q02833-3</t>
  </si>
  <si>
    <t>Q02878</t>
  </si>
  <si>
    <t>Q02880-2</t>
  </si>
  <si>
    <t>Q02952-3</t>
  </si>
  <si>
    <t>Q03001</t>
  </si>
  <si>
    <t>Q03014</t>
  </si>
  <si>
    <t>Q03060-25</t>
  </si>
  <si>
    <t>Q03111</t>
  </si>
  <si>
    <t>Q03154</t>
  </si>
  <si>
    <t>Q03164-2</t>
  </si>
  <si>
    <t>Q03169</t>
  </si>
  <si>
    <t>Q03188</t>
  </si>
  <si>
    <t>Q03252</t>
  </si>
  <si>
    <t>Q03468</t>
  </si>
  <si>
    <t>Q03701</t>
  </si>
  <si>
    <t>Q04446</t>
  </si>
  <si>
    <t>Q04637-3</t>
  </si>
  <si>
    <t>Q04637-5</t>
  </si>
  <si>
    <t>Q04656-5</t>
  </si>
  <si>
    <t>Q04725</t>
  </si>
  <si>
    <t>Q04759</t>
  </si>
  <si>
    <t>Q04760</t>
  </si>
  <si>
    <t>Q04828</t>
  </si>
  <si>
    <t>Q04837</t>
  </si>
  <si>
    <t>Q04917</t>
  </si>
  <si>
    <t>Q05048</t>
  </si>
  <si>
    <t>Q05086-3</t>
  </si>
  <si>
    <t>Q05193</t>
  </si>
  <si>
    <t>Q05209</t>
  </si>
  <si>
    <t>Q05513</t>
  </si>
  <si>
    <t>Q05519-2</t>
  </si>
  <si>
    <t>Q05639</t>
  </si>
  <si>
    <t>Q05655</t>
  </si>
  <si>
    <t>Q05682-5</t>
  </si>
  <si>
    <t>Q05823</t>
  </si>
  <si>
    <t>Q05BQ5</t>
  </si>
  <si>
    <t>Q05D32-2</t>
  </si>
  <si>
    <t>Q05DA6</t>
  </si>
  <si>
    <t>Q06124-2</t>
  </si>
  <si>
    <t>Q06187</t>
  </si>
  <si>
    <t>Q06203</t>
  </si>
  <si>
    <t>Q06210-2</t>
  </si>
  <si>
    <t>Q06265</t>
  </si>
  <si>
    <t>Q06323</t>
  </si>
  <si>
    <t>Q06330-5</t>
  </si>
  <si>
    <t>Q06481-5</t>
  </si>
  <si>
    <t>Q06546</t>
  </si>
  <si>
    <t>Q06587</t>
  </si>
  <si>
    <t>Q06609-3</t>
  </si>
  <si>
    <t>Q06830</t>
  </si>
  <si>
    <t>Q07021</t>
  </si>
  <si>
    <t>Q07157</t>
  </si>
  <si>
    <t>Q07283</t>
  </si>
  <si>
    <t>Q07666</t>
  </si>
  <si>
    <t>Q07812-5</t>
  </si>
  <si>
    <t>Q07864</t>
  </si>
  <si>
    <t>Q07866-3</t>
  </si>
  <si>
    <t>Q07866-6</t>
  </si>
  <si>
    <t>Q07912</t>
  </si>
  <si>
    <t>Q07955</t>
  </si>
  <si>
    <t>Q07960</t>
  </si>
  <si>
    <t>Q08117</t>
  </si>
  <si>
    <t>Q08170</t>
  </si>
  <si>
    <t>Q08209</t>
  </si>
  <si>
    <t>Q08209-2</t>
  </si>
  <si>
    <t>Q08211</t>
  </si>
  <si>
    <t>Q08257</t>
  </si>
  <si>
    <t>Q08345-2</t>
  </si>
  <si>
    <t>Q08378</t>
  </si>
  <si>
    <t>Q08379</t>
  </si>
  <si>
    <t>Q08380</t>
  </si>
  <si>
    <t>Q08495</t>
  </si>
  <si>
    <t>Q08495-2</t>
  </si>
  <si>
    <t>Q08623</t>
  </si>
  <si>
    <t>Q08752</t>
  </si>
  <si>
    <t>Q08945</t>
  </si>
  <si>
    <t>Q08AD1-2</t>
  </si>
  <si>
    <t>Q08AE8-2</t>
  </si>
  <si>
    <t>Q08AF8-2</t>
  </si>
  <si>
    <t>Q08AG7</t>
  </si>
  <si>
    <t>Q08AM6</t>
  </si>
  <si>
    <t>Q08J23</t>
  </si>
  <si>
    <t>Q09028-3</t>
  </si>
  <si>
    <t>Q09161</t>
  </si>
  <si>
    <t>Q09472</t>
  </si>
  <si>
    <t>Q09666</t>
  </si>
  <si>
    <t>Q0JRZ9</t>
  </si>
  <si>
    <t>Q0PNE2</t>
  </si>
  <si>
    <t>Q0VD83</t>
  </si>
  <si>
    <t>Q0VDF9</t>
  </si>
  <si>
    <t>Q0VDG4</t>
  </si>
  <si>
    <t>Q0VG06</t>
  </si>
  <si>
    <t>Q0VGL1</t>
  </si>
  <si>
    <t>Q10567-2</t>
  </si>
  <si>
    <t>Q10567-3</t>
  </si>
  <si>
    <t>Q10570</t>
  </si>
  <si>
    <t>Q10713</t>
  </si>
  <si>
    <t>Q12756</t>
  </si>
  <si>
    <t>Q12766-2</t>
  </si>
  <si>
    <t>Q12768</t>
  </si>
  <si>
    <t>Q12769</t>
  </si>
  <si>
    <t>Q12788</t>
  </si>
  <si>
    <t>Q12789</t>
  </si>
  <si>
    <t>Q12792</t>
  </si>
  <si>
    <t>Q12797-10</t>
  </si>
  <si>
    <t>Q12800-2</t>
  </si>
  <si>
    <t>Q12802</t>
  </si>
  <si>
    <t>Q12824-2</t>
  </si>
  <si>
    <t>Q12830-2</t>
  </si>
  <si>
    <t>Q12834</t>
  </si>
  <si>
    <t>Q12840</t>
  </si>
  <si>
    <t>Q12849</t>
  </si>
  <si>
    <t>Q12872</t>
  </si>
  <si>
    <t>Q12873</t>
  </si>
  <si>
    <t>Q12874</t>
  </si>
  <si>
    <t>Q12888</t>
  </si>
  <si>
    <t>Q12904</t>
  </si>
  <si>
    <t>Q12905</t>
  </si>
  <si>
    <t>Q12906-7</t>
  </si>
  <si>
    <t>Q12907</t>
  </si>
  <si>
    <t>Q12912-2</t>
  </si>
  <si>
    <t>Q12933-3</t>
  </si>
  <si>
    <t>Q12948</t>
  </si>
  <si>
    <t>Q12955</t>
  </si>
  <si>
    <t>Q12959-4</t>
  </si>
  <si>
    <t>Q12959-5</t>
  </si>
  <si>
    <t>Q12962</t>
  </si>
  <si>
    <t>Q12968</t>
  </si>
  <si>
    <t>Q12972</t>
  </si>
  <si>
    <t>Q12974</t>
  </si>
  <si>
    <t>Q12979-4</t>
  </si>
  <si>
    <t>Q12981</t>
  </si>
  <si>
    <t>Q12982</t>
  </si>
  <si>
    <t>Q12986-2</t>
  </si>
  <si>
    <t>Q12996</t>
  </si>
  <si>
    <t>Q13011</t>
  </si>
  <si>
    <t>Q13017-2</t>
  </si>
  <si>
    <t>Q13033-2</t>
  </si>
  <si>
    <t>Q13042-3</t>
  </si>
  <si>
    <t>Q13043</t>
  </si>
  <si>
    <t>Q13045</t>
  </si>
  <si>
    <t>Q13049</t>
  </si>
  <si>
    <t>Q13057</t>
  </si>
  <si>
    <t>Q13085</t>
  </si>
  <si>
    <t>Q13094</t>
  </si>
  <si>
    <t>Q13105</t>
  </si>
  <si>
    <t>Q13107-2</t>
  </si>
  <si>
    <t>Q13111</t>
  </si>
  <si>
    <t>Q13112</t>
  </si>
  <si>
    <t>Q13123</t>
  </si>
  <si>
    <t>Q13127-4</t>
  </si>
  <si>
    <t>Q13129</t>
  </si>
  <si>
    <t>Q13131</t>
  </si>
  <si>
    <t>Q13136</t>
  </si>
  <si>
    <t>Q13148</t>
  </si>
  <si>
    <t>Q13151</t>
  </si>
  <si>
    <t>Q13153</t>
  </si>
  <si>
    <t>Q13155</t>
  </si>
  <si>
    <t>Q13158</t>
  </si>
  <si>
    <t>Q13162</t>
  </si>
  <si>
    <t>Q13163-4</t>
  </si>
  <si>
    <t>Q13164-2</t>
  </si>
  <si>
    <t>Q13177</t>
  </si>
  <si>
    <t>Q13185</t>
  </si>
  <si>
    <t>Q13188</t>
  </si>
  <si>
    <t>Q13190-3</t>
  </si>
  <si>
    <t>Q13200</t>
  </si>
  <si>
    <t>Q13206</t>
  </si>
  <si>
    <t>Q13216</t>
  </si>
  <si>
    <t>Q13217</t>
  </si>
  <si>
    <t>Q13228</t>
  </si>
  <si>
    <t>Q13232</t>
  </si>
  <si>
    <t>Q13233</t>
  </si>
  <si>
    <t>Q13242</t>
  </si>
  <si>
    <t>Q13243-3</t>
  </si>
  <si>
    <t>Q13247-3</t>
  </si>
  <si>
    <t>Q13257</t>
  </si>
  <si>
    <t>Q13263</t>
  </si>
  <si>
    <t>Q13277-2</t>
  </si>
  <si>
    <t>Q13283</t>
  </si>
  <si>
    <t>Q13287</t>
  </si>
  <si>
    <t>Q13303-2</t>
  </si>
  <si>
    <t>Q13308-3</t>
  </si>
  <si>
    <t>Q13309-2</t>
  </si>
  <si>
    <t>Q13310-3</t>
  </si>
  <si>
    <t>Q13315</t>
  </si>
  <si>
    <t>Q13322-2</t>
  </si>
  <si>
    <t>Q13330-3</t>
  </si>
  <si>
    <t>Q13332-6</t>
  </si>
  <si>
    <t>Q13347</t>
  </si>
  <si>
    <t>Q13351</t>
  </si>
  <si>
    <t>Q13356</t>
  </si>
  <si>
    <t>Q13362-3</t>
  </si>
  <si>
    <t>Q13362-4</t>
  </si>
  <si>
    <t>Q13363-2</t>
  </si>
  <si>
    <t>Q13371</t>
  </si>
  <si>
    <t>Q13395</t>
  </si>
  <si>
    <t>Q13404</t>
  </si>
  <si>
    <t>Q13409-6</t>
  </si>
  <si>
    <t>Q13415</t>
  </si>
  <si>
    <t>Q13416</t>
  </si>
  <si>
    <t>Q13418</t>
  </si>
  <si>
    <t>Q13422-2</t>
  </si>
  <si>
    <t>Q13422-7</t>
  </si>
  <si>
    <t>Q13423</t>
  </si>
  <si>
    <t>Q13424</t>
  </si>
  <si>
    <t>Q13425</t>
  </si>
  <si>
    <t>Q13426</t>
  </si>
  <si>
    <t>Q13427</t>
  </si>
  <si>
    <t>Q13428-3</t>
  </si>
  <si>
    <t>Q13428-4</t>
  </si>
  <si>
    <t>Q13432-2</t>
  </si>
  <si>
    <t>Q13435</t>
  </si>
  <si>
    <t>Q13439-3</t>
  </si>
  <si>
    <t>Q13442</t>
  </si>
  <si>
    <t>Q13451</t>
  </si>
  <si>
    <t>Q13464</t>
  </si>
  <si>
    <t>Q13469</t>
  </si>
  <si>
    <t>Q13492-3</t>
  </si>
  <si>
    <t>Q13496</t>
  </si>
  <si>
    <t>Q13501</t>
  </si>
  <si>
    <t>Q13503</t>
  </si>
  <si>
    <t>Q13505-3</t>
  </si>
  <si>
    <t>Q13506</t>
  </si>
  <si>
    <t>Q13523</t>
  </si>
  <si>
    <t>Q13526</t>
  </si>
  <si>
    <t>Q13541</t>
  </si>
  <si>
    <t>Q13542</t>
  </si>
  <si>
    <t>Q13546</t>
  </si>
  <si>
    <t>Q13547</t>
  </si>
  <si>
    <t>Q13555-10</t>
  </si>
  <si>
    <t>Q13557-8</t>
  </si>
  <si>
    <t>Q13561</t>
  </si>
  <si>
    <t>Q13564-2</t>
  </si>
  <si>
    <t>Q13572</t>
  </si>
  <si>
    <t>Q13573</t>
  </si>
  <si>
    <t>Q13576</t>
  </si>
  <si>
    <t>Q13586</t>
  </si>
  <si>
    <t>Q13596</t>
  </si>
  <si>
    <t>Q13601-2</t>
  </si>
  <si>
    <t>Q13610</t>
  </si>
  <si>
    <t>Q13613</t>
  </si>
  <si>
    <t>Q13614</t>
  </si>
  <si>
    <t>Q13616</t>
  </si>
  <si>
    <t>Q13617</t>
  </si>
  <si>
    <t>Q13618</t>
  </si>
  <si>
    <t>Q13619</t>
  </si>
  <si>
    <t>Q13620-1</t>
  </si>
  <si>
    <t>Q13625</t>
  </si>
  <si>
    <t>Q13627-3</t>
  </si>
  <si>
    <t>Q13630</t>
  </si>
  <si>
    <t>Q13636</t>
  </si>
  <si>
    <t>Q13637</t>
  </si>
  <si>
    <t>Q13643</t>
  </si>
  <si>
    <t>Q13670</t>
  </si>
  <si>
    <t>Q13724</t>
  </si>
  <si>
    <t>Q13748</t>
  </si>
  <si>
    <t>Q13769</t>
  </si>
  <si>
    <t>Q13813</t>
  </si>
  <si>
    <t>Q13813-2</t>
  </si>
  <si>
    <t>Q13823</t>
  </si>
  <si>
    <t>Q13825</t>
  </si>
  <si>
    <t>Q13838</t>
  </si>
  <si>
    <t>Q13867</t>
  </si>
  <si>
    <t>Q13868</t>
  </si>
  <si>
    <t>Q13873</t>
  </si>
  <si>
    <t>Q13885</t>
  </si>
  <si>
    <t>Q13886</t>
  </si>
  <si>
    <t>Q13895</t>
  </si>
  <si>
    <t>Q13901</t>
  </si>
  <si>
    <t>Q13905</t>
  </si>
  <si>
    <t>Q13907</t>
  </si>
  <si>
    <t>Q13951-2</t>
  </si>
  <si>
    <t>Q13952-3</t>
  </si>
  <si>
    <t>Q14004</t>
  </si>
  <si>
    <t>Q14008</t>
  </si>
  <si>
    <t>Q14011</t>
  </si>
  <si>
    <t>Q14012</t>
  </si>
  <si>
    <t>Q14019</t>
  </si>
  <si>
    <t>Q14061</t>
  </si>
  <si>
    <t>Q14103-3</t>
  </si>
  <si>
    <t>Q14103-4</t>
  </si>
  <si>
    <t>Q14118</t>
  </si>
  <si>
    <t>Q14126</t>
  </si>
  <si>
    <t>Q14137</t>
  </si>
  <si>
    <t>Q14139</t>
  </si>
  <si>
    <t>Q14141-2</t>
  </si>
  <si>
    <t>Q14145</t>
  </si>
  <si>
    <t>Q14147</t>
  </si>
  <si>
    <t>Q14149</t>
  </si>
  <si>
    <t>Q14151</t>
  </si>
  <si>
    <t>Q14152</t>
  </si>
  <si>
    <t>Q14153</t>
  </si>
  <si>
    <t>Q14155-1</t>
  </si>
  <si>
    <t>Q14157</t>
  </si>
  <si>
    <t>Q14160</t>
  </si>
  <si>
    <t>Q14161-4</t>
  </si>
  <si>
    <t>Q14166</t>
  </si>
  <si>
    <t>Q14181</t>
  </si>
  <si>
    <t>Q14191</t>
  </si>
  <si>
    <t>Q14192</t>
  </si>
  <si>
    <t>Q14202-2</t>
  </si>
  <si>
    <t>Q14203-6</t>
  </si>
  <si>
    <t>Q14204</t>
  </si>
  <si>
    <t>Q14207</t>
  </si>
  <si>
    <t>Q14232</t>
  </si>
  <si>
    <t>Q14241</t>
  </si>
  <si>
    <t>Q14244-2</t>
  </si>
  <si>
    <t>Q14247</t>
  </si>
  <si>
    <t>Q14247-3</t>
  </si>
  <si>
    <t>Q14249</t>
  </si>
  <si>
    <t>Q14258</t>
  </si>
  <si>
    <t>Q14289-2</t>
  </si>
  <si>
    <t>Q14315</t>
  </si>
  <si>
    <t>Q14318-2</t>
  </si>
  <si>
    <t>Q14320</t>
  </si>
  <si>
    <t>Q14331</t>
  </si>
  <si>
    <t>Q14353</t>
  </si>
  <si>
    <t>Q14376</t>
  </si>
  <si>
    <t>Q14444-2</t>
  </si>
  <si>
    <t>Q14457</t>
  </si>
  <si>
    <t>Q14493</t>
  </si>
  <si>
    <t>Q14498-2</t>
  </si>
  <si>
    <t>Q14520-2</t>
  </si>
  <si>
    <t>Q14527</t>
  </si>
  <si>
    <t>Q14554</t>
  </si>
  <si>
    <t>Q14558</t>
  </si>
  <si>
    <t>Q14562</t>
  </si>
  <si>
    <t>Q14566</t>
  </si>
  <si>
    <t>Q14596-2</t>
  </si>
  <si>
    <t>Q14651</t>
  </si>
  <si>
    <t>Q14653</t>
  </si>
  <si>
    <t>Q14657</t>
  </si>
  <si>
    <t>Q14669-2</t>
  </si>
  <si>
    <t>Q14671</t>
  </si>
  <si>
    <t>Q14671-2</t>
  </si>
  <si>
    <t>Q14674</t>
  </si>
  <si>
    <t>Q14676</t>
  </si>
  <si>
    <t>Q14677</t>
  </si>
  <si>
    <t>Q14681</t>
  </si>
  <si>
    <t>Q14683</t>
  </si>
  <si>
    <t>Q14684</t>
  </si>
  <si>
    <t>Q14686</t>
  </si>
  <si>
    <t>Q14687</t>
  </si>
  <si>
    <t>Q14689-6</t>
  </si>
  <si>
    <t>Q14690</t>
  </si>
  <si>
    <t>Q14691</t>
  </si>
  <si>
    <t>Q14692</t>
  </si>
  <si>
    <t>Q14693</t>
  </si>
  <si>
    <t>Q14694</t>
  </si>
  <si>
    <t>Q14696</t>
  </si>
  <si>
    <t>Q14697</t>
  </si>
  <si>
    <t>Q14697-2</t>
  </si>
  <si>
    <t>Q14739</t>
  </si>
  <si>
    <t>Q14746-2</t>
  </si>
  <si>
    <t>Q14781</t>
  </si>
  <si>
    <t>Q14789</t>
  </si>
  <si>
    <t>Q14790-9</t>
  </si>
  <si>
    <t>Q147X3</t>
  </si>
  <si>
    <t>Q14807</t>
  </si>
  <si>
    <t>Q14814-4</t>
  </si>
  <si>
    <t>Q14839-2</t>
  </si>
  <si>
    <t>Q14847</t>
  </si>
  <si>
    <t>Q14914-2</t>
  </si>
  <si>
    <t>Q14919</t>
  </si>
  <si>
    <t>Q14934-8</t>
  </si>
  <si>
    <t>Q14964</t>
  </si>
  <si>
    <t>Q14966</t>
  </si>
  <si>
    <t>Q14974</t>
  </si>
  <si>
    <t>Q14978-3</t>
  </si>
  <si>
    <t>Q14980</t>
  </si>
  <si>
    <t>Q14980-2</t>
  </si>
  <si>
    <t>Q14980-4</t>
  </si>
  <si>
    <t>Q14997</t>
  </si>
  <si>
    <t>Q14BN4-2</t>
  </si>
  <si>
    <t>Q14C86-6</t>
  </si>
  <si>
    <t>Q14CM0</t>
  </si>
  <si>
    <t>Q14CS0</t>
  </si>
  <si>
    <t>Q14CX7</t>
  </si>
  <si>
    <t>Q15003</t>
  </si>
  <si>
    <t>Q15007</t>
  </si>
  <si>
    <t>Q15008</t>
  </si>
  <si>
    <t>Q15013</t>
  </si>
  <si>
    <t>Q15014</t>
  </si>
  <si>
    <t>Q15018</t>
  </si>
  <si>
    <t>Q15019</t>
  </si>
  <si>
    <t>Q15020</t>
  </si>
  <si>
    <t>Q15021</t>
  </si>
  <si>
    <t>Q15024</t>
  </si>
  <si>
    <t>Q15029-2</t>
  </si>
  <si>
    <t>Q15032-2</t>
  </si>
  <si>
    <t>Q15036-2</t>
  </si>
  <si>
    <t>Q15042</t>
  </si>
  <si>
    <t>Q15046</t>
  </si>
  <si>
    <t>Q15047-3</t>
  </si>
  <si>
    <t>Q15048</t>
  </si>
  <si>
    <t>Q15050</t>
  </si>
  <si>
    <t>Q15051</t>
  </si>
  <si>
    <t>Q15052</t>
  </si>
  <si>
    <t>Q15056</t>
  </si>
  <si>
    <t>Q15056-2</t>
  </si>
  <si>
    <t>Q15057</t>
  </si>
  <si>
    <t>Q15058</t>
  </si>
  <si>
    <t>Q15059</t>
  </si>
  <si>
    <t>Q15061</t>
  </si>
  <si>
    <t>Q15067-2</t>
  </si>
  <si>
    <t>Q15072</t>
  </si>
  <si>
    <t>Q15075</t>
  </si>
  <si>
    <t>Q15102</t>
  </si>
  <si>
    <t>Q15111</t>
  </si>
  <si>
    <t>Q15121</t>
  </si>
  <si>
    <t>Q15126</t>
  </si>
  <si>
    <t>Q15147-2</t>
  </si>
  <si>
    <t>Q15149-3</t>
  </si>
  <si>
    <t>Q15149-4</t>
  </si>
  <si>
    <t>Q15154</t>
  </si>
  <si>
    <t>Q15154-2</t>
  </si>
  <si>
    <t>Q15170-2</t>
  </si>
  <si>
    <t>Q15172</t>
  </si>
  <si>
    <t>Q15173</t>
  </si>
  <si>
    <t>Q15181</t>
  </si>
  <si>
    <t>Q15208</t>
  </si>
  <si>
    <t>Q15233</t>
  </si>
  <si>
    <t>Q15257</t>
  </si>
  <si>
    <t>Q15262</t>
  </si>
  <si>
    <t>Q15269</t>
  </si>
  <si>
    <t>Q15274</t>
  </si>
  <si>
    <t>Q15276</t>
  </si>
  <si>
    <t>Q15283-2</t>
  </si>
  <si>
    <t>Q15286</t>
  </si>
  <si>
    <t>Q15291</t>
  </si>
  <si>
    <t>Q15293</t>
  </si>
  <si>
    <t>Q15311</t>
  </si>
  <si>
    <t>Q15334</t>
  </si>
  <si>
    <t>Q15345</t>
  </si>
  <si>
    <t>Q15361</t>
  </si>
  <si>
    <t>Q15363</t>
  </si>
  <si>
    <t>Q15365</t>
  </si>
  <si>
    <t>Q15366-2</t>
  </si>
  <si>
    <t>Q15366-3</t>
  </si>
  <si>
    <t>Q15382</t>
  </si>
  <si>
    <t>Q15386</t>
  </si>
  <si>
    <t>Q15393</t>
  </si>
  <si>
    <t>Q15398</t>
  </si>
  <si>
    <t>Q15404</t>
  </si>
  <si>
    <t>Q15424</t>
  </si>
  <si>
    <t>Q15427</t>
  </si>
  <si>
    <t>Q15428</t>
  </si>
  <si>
    <t>Q15435</t>
  </si>
  <si>
    <t>Q15437</t>
  </si>
  <si>
    <t>Q15438-2</t>
  </si>
  <si>
    <t>Q15506</t>
  </si>
  <si>
    <t>Q15526-2</t>
  </si>
  <si>
    <t>Q15527</t>
  </si>
  <si>
    <t>Q15542-2</t>
  </si>
  <si>
    <t>Q15543</t>
  </si>
  <si>
    <t>Q15544-2</t>
  </si>
  <si>
    <t>Q15545</t>
  </si>
  <si>
    <t>Q15554-3</t>
  </si>
  <si>
    <t>Q15555</t>
  </si>
  <si>
    <t>Q15560-2</t>
  </si>
  <si>
    <t>Q15561-2</t>
  </si>
  <si>
    <t>Q15596</t>
  </si>
  <si>
    <t>Q15599</t>
  </si>
  <si>
    <t>Q15628</t>
  </si>
  <si>
    <t>Q15633-2</t>
  </si>
  <si>
    <t>Q15637-5</t>
  </si>
  <si>
    <t>Q15642-2</t>
  </si>
  <si>
    <t>Q15643</t>
  </si>
  <si>
    <t>Q15645</t>
  </si>
  <si>
    <t>Q15648</t>
  </si>
  <si>
    <t>Q15649</t>
  </si>
  <si>
    <t>Q15650</t>
  </si>
  <si>
    <t>Q15651</t>
  </si>
  <si>
    <t>Q15652</t>
  </si>
  <si>
    <t>Q15654</t>
  </si>
  <si>
    <t>Q15691</t>
  </si>
  <si>
    <t>Q15697-2</t>
  </si>
  <si>
    <t>Q15714-2</t>
  </si>
  <si>
    <t>Q15717</t>
  </si>
  <si>
    <t>Q15723-1</t>
  </si>
  <si>
    <t>Q15738</t>
  </si>
  <si>
    <t>Q15742</t>
  </si>
  <si>
    <t>Q15746-4</t>
  </si>
  <si>
    <t>Q15750-2</t>
  </si>
  <si>
    <t>Q15751</t>
  </si>
  <si>
    <t>Q15758</t>
  </si>
  <si>
    <t>Q15759</t>
  </si>
  <si>
    <t>Q15773</t>
  </si>
  <si>
    <t>Q15776</t>
  </si>
  <si>
    <t>Q15785</t>
  </si>
  <si>
    <t>Q15788-2</t>
  </si>
  <si>
    <t>Q15796-2</t>
  </si>
  <si>
    <t>Q15797</t>
  </si>
  <si>
    <t>Q15813</t>
  </si>
  <si>
    <t>Q15814</t>
  </si>
  <si>
    <t>Q15819</t>
  </si>
  <si>
    <t>Q15831-2</t>
  </si>
  <si>
    <t>Q15833</t>
  </si>
  <si>
    <t>Q15836</t>
  </si>
  <si>
    <t>Q15843</t>
  </si>
  <si>
    <t>Q15904</t>
  </si>
  <si>
    <t>Q15906</t>
  </si>
  <si>
    <t>Q15907</t>
  </si>
  <si>
    <t>Q15910</t>
  </si>
  <si>
    <t>Q15935</t>
  </si>
  <si>
    <t>Q15942</t>
  </si>
  <si>
    <t>Q16181</t>
  </si>
  <si>
    <t>Q16186</t>
  </si>
  <si>
    <t>Q16204</t>
  </si>
  <si>
    <t>Q16222-2</t>
  </si>
  <si>
    <t>Q16254</t>
  </si>
  <si>
    <t>Q16352</t>
  </si>
  <si>
    <t>Q16401-2</t>
  </si>
  <si>
    <t>Q16512</t>
  </si>
  <si>
    <t>Q16513-3</t>
  </si>
  <si>
    <t>Q16514-2</t>
  </si>
  <si>
    <t>Q16531</t>
  </si>
  <si>
    <t>Q16539</t>
  </si>
  <si>
    <t>Q16539-2</t>
  </si>
  <si>
    <t>Q16543</t>
  </si>
  <si>
    <t>Q16555-2</t>
  </si>
  <si>
    <t>Q16576</t>
  </si>
  <si>
    <t>Q16600</t>
  </si>
  <si>
    <t>Q16610</t>
  </si>
  <si>
    <t>Q16619-2</t>
  </si>
  <si>
    <t>Q16626</t>
  </si>
  <si>
    <t>Q16629-3</t>
  </si>
  <si>
    <t>Q16637-3</t>
  </si>
  <si>
    <t>Q16643</t>
  </si>
  <si>
    <t>Q16644</t>
  </si>
  <si>
    <t>Q16656</t>
  </si>
  <si>
    <t>Q16658</t>
  </si>
  <si>
    <t>Q16659</t>
  </si>
  <si>
    <t>Q16666-3</t>
  </si>
  <si>
    <t>Q16670</t>
  </si>
  <si>
    <t>Q16719</t>
  </si>
  <si>
    <t>Q16740</t>
  </si>
  <si>
    <t>Q16762</t>
  </si>
  <si>
    <t>Q16763</t>
  </si>
  <si>
    <t>Q16773</t>
  </si>
  <si>
    <t>Q16778</t>
  </si>
  <si>
    <t>Q16819</t>
  </si>
  <si>
    <t>Q16822</t>
  </si>
  <si>
    <t>Q16831</t>
  </si>
  <si>
    <t>Q16836</t>
  </si>
  <si>
    <t>Q16851</t>
  </si>
  <si>
    <t>Q16854</t>
  </si>
  <si>
    <t>Q16864</t>
  </si>
  <si>
    <t>Q16875-3</t>
  </si>
  <si>
    <t>Q17R31-2</t>
  </si>
  <si>
    <t>Q17RN3</t>
  </si>
  <si>
    <t>Q17RU2</t>
  </si>
  <si>
    <t>Q19AV6</t>
  </si>
  <si>
    <t>Q1ED39</t>
  </si>
  <si>
    <t>Q1MSJ5-1</t>
  </si>
  <si>
    <t>Q27J81-2</t>
  </si>
  <si>
    <t>Q29RF7</t>
  </si>
  <si>
    <t>Q2KHR3</t>
  </si>
  <si>
    <t>Q2KHT3</t>
  </si>
  <si>
    <t>Q2M1P5</t>
  </si>
  <si>
    <t>Q2M296-2</t>
  </si>
  <si>
    <t>Q2M296-4</t>
  </si>
  <si>
    <t>Q2M2I8</t>
  </si>
  <si>
    <t>Q2M2Z5-5</t>
  </si>
  <si>
    <t>Q2M389</t>
  </si>
  <si>
    <t>Q2M3G4-2</t>
  </si>
  <si>
    <t>Q2NKX9</t>
  </si>
  <si>
    <t>Q2NL82</t>
  </si>
  <si>
    <t>Q2NL98</t>
  </si>
  <si>
    <t>Q2PPJ7-3</t>
  </si>
  <si>
    <t>Q2TAC2-2</t>
  </si>
  <si>
    <t>Q2TAL8</t>
  </si>
  <si>
    <t>Q2TAM5</t>
  </si>
  <si>
    <t>Q2TAY7</t>
  </si>
  <si>
    <t>Q2TAZ0</t>
  </si>
  <si>
    <t>Q2TB10</t>
  </si>
  <si>
    <t>Q2TBE0</t>
  </si>
  <si>
    <t>Q2VPK5</t>
  </si>
  <si>
    <t>Q2YD98-2</t>
  </si>
  <si>
    <t>Q32M88</t>
  </si>
  <si>
    <t>Q32MK0</t>
  </si>
  <si>
    <t>Q32MZ4-2</t>
  </si>
  <si>
    <t>Q32MZ4-3</t>
  </si>
  <si>
    <t>Q32N00</t>
  </si>
  <si>
    <t>Q32P28</t>
  </si>
  <si>
    <t>Q32P41</t>
  </si>
  <si>
    <t>Q32P44</t>
  </si>
  <si>
    <t>Q3B726</t>
  </si>
  <si>
    <t>Q3KQU3-2</t>
  </si>
  <si>
    <t>Q3KQV3</t>
  </si>
  <si>
    <t>Q3L8U1-2</t>
  </si>
  <si>
    <t>Q3LXA3</t>
  </si>
  <si>
    <t>Q3MHD2</t>
  </si>
  <si>
    <t>Q3MII6</t>
  </si>
  <si>
    <t>Q3MIT2</t>
  </si>
  <si>
    <t>Q3SXM5</t>
  </si>
  <si>
    <t>Q3SXZ3</t>
  </si>
  <si>
    <t>Q3SY69</t>
  </si>
  <si>
    <t>Q3T8J9-3</t>
  </si>
  <si>
    <t>Q3V6T2-2</t>
  </si>
  <si>
    <t>Q3V6T2-5</t>
  </si>
  <si>
    <t>Q3YEC7</t>
  </si>
  <si>
    <t>Q3ZCM7</t>
  </si>
  <si>
    <t>Q3ZCV1</t>
  </si>
  <si>
    <t>Q499Z4</t>
  </si>
  <si>
    <t>Q49A26-2</t>
  </si>
  <si>
    <t>Q49AN0-2</t>
  </si>
  <si>
    <t>Q49AR2</t>
  </si>
  <si>
    <t>Q49B96</t>
  </si>
  <si>
    <t>Q4G0A6</t>
  </si>
  <si>
    <t>Q4G0F5</t>
  </si>
  <si>
    <t>Q4G0J3</t>
  </si>
  <si>
    <t>Q4G0N4</t>
  </si>
  <si>
    <t>Q4G0W3</t>
  </si>
  <si>
    <t>Q4G176</t>
  </si>
  <si>
    <t>Q4J6C6-4</t>
  </si>
  <si>
    <t>Q4KMP7</t>
  </si>
  <si>
    <t>Q4KWH8-3</t>
  </si>
  <si>
    <t>Q4LE39-2</t>
  </si>
  <si>
    <t>Q4V328</t>
  </si>
  <si>
    <t>Q4VC05</t>
  </si>
  <si>
    <t>Q4VC05-2</t>
  </si>
  <si>
    <t>Q4VC44</t>
  </si>
  <si>
    <t>Q4W8S1</t>
  </si>
  <si>
    <t>Q504Q3-2</t>
  </si>
  <si>
    <t>Q504U8</t>
  </si>
  <si>
    <t>Q52LJ0-2</t>
  </si>
  <si>
    <t>Q52LR7</t>
  </si>
  <si>
    <t>Q53EL6-2</t>
  </si>
  <si>
    <t>Q53ET0</t>
  </si>
  <si>
    <t>Q53EZ4</t>
  </si>
  <si>
    <t>Q53F19</t>
  </si>
  <si>
    <t>Q53FA7</t>
  </si>
  <si>
    <t>Q53FT3</t>
  </si>
  <si>
    <t>Q53FZ2</t>
  </si>
  <si>
    <t>Q53H47</t>
  </si>
  <si>
    <t>Q53H54</t>
  </si>
  <si>
    <t>Q53H82</t>
  </si>
  <si>
    <t>Q53H96</t>
  </si>
  <si>
    <t>Q53HC5</t>
  </si>
  <si>
    <t>Q53HC9</t>
  </si>
  <si>
    <t>Q53HL2</t>
  </si>
  <si>
    <t>Q53HV7</t>
  </si>
  <si>
    <t>Q53LP3</t>
  </si>
  <si>
    <t>Q53QZ3</t>
  </si>
  <si>
    <t>Q53R41-2</t>
  </si>
  <si>
    <t>Q53S33</t>
  </si>
  <si>
    <t>Q53T59</t>
  </si>
  <si>
    <t>Q562E7</t>
  </si>
  <si>
    <t>Q562F6-2</t>
  </si>
  <si>
    <t>Q567Q0</t>
  </si>
  <si>
    <t>Q56A73</t>
  </si>
  <si>
    <t>Q56NI9</t>
  </si>
  <si>
    <t>Q58A45-3</t>
  </si>
  <si>
    <t>Q58EX7-2</t>
  </si>
  <si>
    <t>Q58FF8</t>
  </si>
  <si>
    <t>Q58FG1</t>
  </si>
  <si>
    <t>Q58WW2</t>
  </si>
  <si>
    <t>Q59GN2</t>
  </si>
  <si>
    <t>Q5BKU9</t>
  </si>
  <si>
    <t>Q5BKX5</t>
  </si>
  <si>
    <t>Q5BKZ1</t>
  </si>
  <si>
    <t>Q5C9Z4</t>
  </si>
  <si>
    <t>Q5D0E6-2</t>
  </si>
  <si>
    <t>Q5D862</t>
  </si>
  <si>
    <t>Q5EBL4</t>
  </si>
  <si>
    <t>Q5EBL8</t>
  </si>
  <si>
    <t>Q5EBM0</t>
  </si>
  <si>
    <t>Q5F1R6</t>
  </si>
  <si>
    <t>Q5FBB7-5</t>
  </si>
  <si>
    <t>Q5FWF4-2</t>
  </si>
  <si>
    <t>Q5FWF5</t>
  </si>
  <si>
    <t>Q5GLZ8-2</t>
  </si>
  <si>
    <t>Q5H937</t>
  </si>
  <si>
    <t>Q5H9A7</t>
  </si>
  <si>
    <t>Q5HYC2-2</t>
  </si>
  <si>
    <t>Q5JP53</t>
  </si>
  <si>
    <t>Q5JPE7-2</t>
  </si>
  <si>
    <t>Q5JPI3-2</t>
  </si>
  <si>
    <t>Q5JPI9</t>
  </si>
  <si>
    <t>Q5JR08</t>
  </si>
  <si>
    <t>Q5JRA6-2</t>
  </si>
  <si>
    <t>Q5JRG1</t>
  </si>
  <si>
    <t>Q5JRL0</t>
  </si>
  <si>
    <t>Q5JRX3</t>
  </si>
  <si>
    <t>Q5JS37-2</t>
  </si>
  <si>
    <t>Q5JS54</t>
  </si>
  <si>
    <t>Q5JSB5</t>
  </si>
  <si>
    <t>Q5JSH3-2</t>
  </si>
  <si>
    <t>Q5JSL3</t>
  </si>
  <si>
    <t>Q5JSZ5</t>
  </si>
  <si>
    <t>Q5JTD0-2</t>
  </si>
  <si>
    <t>Q5JTH9</t>
  </si>
  <si>
    <t>Q5JTJ3-3</t>
  </si>
  <si>
    <t>Q5JTV1</t>
  </si>
  <si>
    <t>Q5JTV8</t>
  </si>
  <si>
    <t>Q5JTZ9</t>
  </si>
  <si>
    <t>Q5JU21</t>
  </si>
  <si>
    <t>Q5JU85-3</t>
  </si>
  <si>
    <t>Q5JUL1</t>
  </si>
  <si>
    <t>Q5JUR7</t>
  </si>
  <si>
    <t>Q5JVF3-3</t>
  </si>
  <si>
    <t>Q5JVZ5</t>
  </si>
  <si>
    <t>Q5JW30</t>
  </si>
  <si>
    <t>Q5JW85</t>
  </si>
  <si>
    <t>Q5JXC2</t>
  </si>
  <si>
    <t>Q5K651</t>
  </si>
  <si>
    <t>Q5LJA5</t>
  </si>
  <si>
    <t>Q5M775-4</t>
  </si>
  <si>
    <t>Q5MIZ7-2</t>
  </si>
  <si>
    <t>Q5MNZ6</t>
  </si>
  <si>
    <t>Q5Q9G8</t>
  </si>
  <si>
    <t>Q5QNY5</t>
  </si>
  <si>
    <t>Q5QNZ2</t>
  </si>
  <si>
    <t>Q5QP56</t>
  </si>
  <si>
    <t>Q5QP82</t>
  </si>
  <si>
    <t>Q5QPL9</t>
  </si>
  <si>
    <t>Q5QPM7</t>
  </si>
  <si>
    <t>Q5R372-4</t>
  </si>
  <si>
    <t>Q5R372-7</t>
  </si>
  <si>
    <t>Q5R3I4</t>
  </si>
  <si>
    <t>Q5RKV6</t>
  </si>
  <si>
    <t>Q5SNT6</t>
  </si>
  <si>
    <t>Q5SNW6</t>
  </si>
  <si>
    <t>Q5SQM6</t>
  </si>
  <si>
    <t>Q5SRE5</t>
  </si>
  <si>
    <t>Q5SRN1</t>
  </si>
  <si>
    <t>Q5SSJ5</t>
  </si>
  <si>
    <t>Q5ST30</t>
  </si>
  <si>
    <t>Q5SVZ6</t>
  </si>
  <si>
    <t>Q5SW79</t>
  </si>
  <si>
    <t>Q5SW79-2</t>
  </si>
  <si>
    <t>Q5SW96</t>
  </si>
  <si>
    <t>Q5SX86</t>
  </si>
  <si>
    <t>Q5SXM2</t>
  </si>
  <si>
    <t>Q5SXM8</t>
  </si>
  <si>
    <t>Q5SY16</t>
  </si>
  <si>
    <t>Q5SY21</t>
  </si>
  <si>
    <t>Q5T011-5</t>
  </si>
  <si>
    <t>Q5T0N5-3</t>
  </si>
  <si>
    <t>Q5T123</t>
  </si>
  <si>
    <t>Q5T160</t>
  </si>
  <si>
    <t>Q5T171</t>
  </si>
  <si>
    <t>Q5T1C6</t>
  </si>
  <si>
    <t>Q5T1M5</t>
  </si>
  <si>
    <t>Q5T1M5-2</t>
  </si>
  <si>
    <t>Q5T1V6</t>
  </si>
  <si>
    <t>Q5T200</t>
  </si>
  <si>
    <t>Q5T250</t>
  </si>
  <si>
    <t>Q5T280</t>
  </si>
  <si>
    <t>Q5T2D3</t>
  </si>
  <si>
    <t>Q5T2J3</t>
  </si>
  <si>
    <t>Q5T321</t>
  </si>
  <si>
    <t>Q5T3I0</t>
  </si>
  <si>
    <t>Q5T3J3</t>
  </si>
  <si>
    <t>Q5T427</t>
  </si>
  <si>
    <t>Q5T440</t>
  </si>
  <si>
    <t>Q5T447</t>
  </si>
  <si>
    <t>Q5T4S7-3</t>
  </si>
  <si>
    <t>Q5T5C0-3</t>
  </si>
  <si>
    <t>Q5T5U3</t>
  </si>
  <si>
    <t>Q5T5X7</t>
  </si>
  <si>
    <t>Q5T5Y3</t>
  </si>
  <si>
    <t>Q5T6A0</t>
  </si>
  <si>
    <t>Q5T6C5</t>
  </si>
  <si>
    <t>Q5T6F0</t>
  </si>
  <si>
    <t>Q5T6F2</t>
  </si>
  <si>
    <t>Q5T6V5</t>
  </si>
  <si>
    <t>Q5T749</t>
  </si>
  <si>
    <t>Q5T7A2</t>
  </si>
  <si>
    <t>Q5T7V8</t>
  </si>
  <si>
    <t>Q5T8A7</t>
  </si>
  <si>
    <t>Q5T8I3</t>
  </si>
  <si>
    <t>Q5T8P6-3</t>
  </si>
  <si>
    <t>Q5T985</t>
  </si>
  <si>
    <t>Q5T9S5-2</t>
  </si>
  <si>
    <t>Q5TA12</t>
  </si>
  <si>
    <t>Q5TA31</t>
  </si>
  <si>
    <t>Q5TA45-3</t>
  </si>
  <si>
    <t>Q5TA50</t>
  </si>
  <si>
    <t>Q5TA58</t>
  </si>
  <si>
    <t>Q5TAP6</t>
  </si>
  <si>
    <t>Q5TAQ0</t>
  </si>
  <si>
    <t>Q5TAX3</t>
  </si>
  <si>
    <t>Q5TB80-2</t>
  </si>
  <si>
    <t>Q5TBB1</t>
  </si>
  <si>
    <t>Q5TBP9</t>
  </si>
  <si>
    <t>Q5TC12</t>
  </si>
  <si>
    <t>Q5TC79</t>
  </si>
  <si>
    <t>Q5TC82</t>
  </si>
  <si>
    <t>Q5TCQ9-3</t>
  </si>
  <si>
    <t>Q5TCU3</t>
  </si>
  <si>
    <t>Q5TDC2</t>
  </si>
  <si>
    <t>Q5TDH0</t>
  </si>
  <si>
    <t>Q5TEC3</t>
  </si>
  <si>
    <t>Q5TEJ8</t>
  </si>
  <si>
    <t>Q5TEU4-2</t>
  </si>
  <si>
    <t>Q5TFE4</t>
  </si>
  <si>
    <t>Q5TGY3</t>
  </si>
  <si>
    <t>Q5THJ1</t>
  </si>
  <si>
    <t>Q5THJ4-2</t>
  </si>
  <si>
    <t>Q5THK1</t>
  </si>
  <si>
    <t>Q5TZA2</t>
  </si>
  <si>
    <t>Q5U5Q3</t>
  </si>
  <si>
    <t>Q5U5X0</t>
  </si>
  <si>
    <t>Q5U623</t>
  </si>
  <si>
    <t>Q5UIP0-2</t>
  </si>
  <si>
    <t>Q5VIR6-4</t>
  </si>
  <si>
    <t>Q5VSL9</t>
  </si>
  <si>
    <t>Q5VSY0-2</t>
  </si>
  <si>
    <t>Q5VT06</t>
  </si>
  <si>
    <t>Q5VT25-4</t>
  </si>
  <si>
    <t>Q5VT52</t>
  </si>
  <si>
    <t>Q5VTD9-2</t>
  </si>
  <si>
    <t>Q5VTL8</t>
  </si>
  <si>
    <t>Q5VTR2</t>
  </si>
  <si>
    <t>Q5VTU3</t>
  </si>
  <si>
    <t>Q5VU43-3</t>
  </si>
  <si>
    <t>Q5VU58</t>
  </si>
  <si>
    <t>Q5VUA4</t>
  </si>
  <si>
    <t>Q5VV41</t>
  </si>
  <si>
    <t>Q5VV42</t>
  </si>
  <si>
    <t>Q5VV52-2</t>
  </si>
  <si>
    <t>Q5VV67-2</t>
  </si>
  <si>
    <t>Q5VVD7</t>
  </si>
  <si>
    <t>Q5VVJ2</t>
  </si>
  <si>
    <t>Q5VVL7</t>
  </si>
  <si>
    <t>Q5VVQ6</t>
  </si>
  <si>
    <t>Q5VW00</t>
  </si>
  <si>
    <t>Q5VW32</t>
  </si>
  <si>
    <t>Q5VWG9</t>
  </si>
  <si>
    <t>Q5VWJ9</t>
  </si>
  <si>
    <t>Q5VWN6</t>
  </si>
  <si>
    <t>Q5VWP2</t>
  </si>
  <si>
    <t>Q5VWQ0</t>
  </si>
  <si>
    <t>Q5VWZ2</t>
  </si>
  <si>
    <t>Q5VXM9</t>
  </si>
  <si>
    <t>Q5VYK3</t>
  </si>
  <si>
    <t>Q5VYS8-6</t>
  </si>
  <si>
    <t>Q5VYV7</t>
  </si>
  <si>
    <t>Q5VZE5</t>
  </si>
  <si>
    <t>Q5VZK9</t>
  </si>
  <si>
    <t>Q5VZL5-4</t>
  </si>
  <si>
    <t>Q5W0B1</t>
  </si>
  <si>
    <t>Q5W0V3</t>
  </si>
  <si>
    <t>Q5W111-2</t>
  </si>
  <si>
    <t>Q5XLC2</t>
  </si>
  <si>
    <t>Q5XPI4</t>
  </si>
  <si>
    <t>Q5XUX1-3</t>
  </si>
  <si>
    <t>Q63HM1</t>
  </si>
  <si>
    <t>Q63HN8</t>
  </si>
  <si>
    <t>Q63HQ0</t>
  </si>
  <si>
    <t>Q63ZY3-3</t>
  </si>
  <si>
    <t>Q658Y4</t>
  </si>
  <si>
    <t>Q659A1</t>
  </si>
  <si>
    <t>Q659C4</t>
  </si>
  <si>
    <t>Q66GS9</t>
  </si>
  <si>
    <t>Q66K14-2</t>
  </si>
  <si>
    <t>Q66K64</t>
  </si>
  <si>
    <t>Q66LE6</t>
  </si>
  <si>
    <t>Q66PJ3</t>
  </si>
  <si>
    <t>Q676U5-2</t>
  </si>
  <si>
    <t>Q68CP9</t>
  </si>
  <si>
    <t>Q68CQ4</t>
  </si>
  <si>
    <t>Q68CZ6</t>
  </si>
  <si>
    <t>Q68D10</t>
  </si>
  <si>
    <t>Q68D20</t>
  </si>
  <si>
    <t>Q68DK2-2</t>
  </si>
  <si>
    <t>Q68DQ2</t>
  </si>
  <si>
    <t>Q68DS0</t>
  </si>
  <si>
    <t>Q68E01-2</t>
  </si>
  <si>
    <t>Q68EM7</t>
  </si>
  <si>
    <t>Q69YN2</t>
  </si>
  <si>
    <t>Q69YN4-3</t>
  </si>
  <si>
    <t>Q69YQ0-2</t>
  </si>
  <si>
    <t>Q6AHZ1</t>
  </si>
  <si>
    <t>Q6AI08</t>
  </si>
  <si>
    <t>Q6AI12</t>
  </si>
  <si>
    <t>Q6AI39</t>
  </si>
  <si>
    <t>Q6AWC2-3</t>
  </si>
  <si>
    <t>Q6BCY4</t>
  </si>
  <si>
    <t>Q6BDS2</t>
  </si>
  <si>
    <t>Q6DCA0</t>
  </si>
  <si>
    <t>Q6DD87</t>
  </si>
  <si>
    <t>Q6DHV7-3</t>
  </si>
  <si>
    <t>Q6DKI1</t>
  </si>
  <si>
    <t>Q6DKJ4</t>
  </si>
  <si>
    <t>Q6DKK2</t>
  </si>
  <si>
    <t>Q6DN90-2</t>
  </si>
  <si>
    <t>Q6DT37</t>
  </si>
  <si>
    <t>Q6EEV4-2</t>
  </si>
  <si>
    <t>Q6EMK4</t>
  </si>
  <si>
    <t>Q6F5E8</t>
  </si>
  <si>
    <t>Q6FI81-3</t>
  </si>
  <si>
    <t>Q6FIF0-2</t>
  </si>
  <si>
    <t>Q6GMV2</t>
  </si>
  <si>
    <t>Q6GMV3</t>
  </si>
  <si>
    <t>Q6GQQ9</t>
  </si>
  <si>
    <t>Q6GYQ0</t>
  </si>
  <si>
    <t>Q6I9Y2</t>
  </si>
  <si>
    <t>Q6IA69</t>
  </si>
  <si>
    <t>Q6IA86-3</t>
  </si>
  <si>
    <t>Q6IAA8</t>
  </si>
  <si>
    <t>Q6IBS0</t>
  </si>
  <si>
    <t>Q6IBW4</t>
  </si>
  <si>
    <t>Q6ICB0</t>
  </si>
  <si>
    <t>Q6ICL3-3</t>
  </si>
  <si>
    <t>Q6IE81-2</t>
  </si>
  <si>
    <t>Q6IEG0</t>
  </si>
  <si>
    <t>Q6IN84</t>
  </si>
  <si>
    <t>Q6IN85</t>
  </si>
  <si>
    <t>Q6IPR1</t>
  </si>
  <si>
    <t>Q6IPR3</t>
  </si>
  <si>
    <t>Q6IQ22</t>
  </si>
  <si>
    <t>Q6IQ26-2</t>
  </si>
  <si>
    <t>Q6IQ49-2</t>
  </si>
  <si>
    <t>Q6IQ55-2</t>
  </si>
  <si>
    <t>Q6JBY9</t>
  </si>
  <si>
    <t>Q6KC79-2</t>
  </si>
  <si>
    <t>Q6L8Q7-2</t>
  </si>
  <si>
    <t>Q6MZP7</t>
  </si>
  <si>
    <t>Q6MZP7-4</t>
  </si>
  <si>
    <t>Q6N021-2</t>
  </si>
  <si>
    <t>Q6N043-2</t>
  </si>
  <si>
    <t>Q6N063</t>
  </si>
  <si>
    <t>Q6N069</t>
  </si>
  <si>
    <t>Q6NS38</t>
  </si>
  <si>
    <t>Q6NSB6</t>
  </si>
  <si>
    <t>Q6NSH3</t>
  </si>
  <si>
    <t>Q6NSJ2</t>
  </si>
  <si>
    <t>Q6NSZ9</t>
  </si>
  <si>
    <t>Q6NT76-2</t>
  </si>
  <si>
    <t>Q6NTE8</t>
  </si>
  <si>
    <t>Q6NUM6</t>
  </si>
  <si>
    <t>Q6NUQ4-2</t>
  </si>
  <si>
    <t>Q6NVU6</t>
  </si>
  <si>
    <t>Q6NVY1</t>
  </si>
  <si>
    <t>Q6NW34-2</t>
  </si>
  <si>
    <t>Q6NXE6-2</t>
  </si>
  <si>
    <t>Q6NXT1</t>
  </si>
  <si>
    <t>Q6NYC8</t>
  </si>
  <si>
    <t>Q6NZ36-3</t>
  </si>
  <si>
    <t>Q6NZI2</t>
  </si>
  <si>
    <t>Q6NZY4</t>
  </si>
  <si>
    <t>Q6P052</t>
  </si>
  <si>
    <t>Q6P087-2</t>
  </si>
  <si>
    <t>Q6P0N0</t>
  </si>
  <si>
    <t>Q6P158</t>
  </si>
  <si>
    <t>Q6P161</t>
  </si>
  <si>
    <t>Q6P1J9</t>
  </si>
  <si>
    <t>Q6P1K2</t>
  </si>
  <si>
    <t>Q6P1K8</t>
  </si>
  <si>
    <t>Q6P1L5</t>
  </si>
  <si>
    <t>Q6P1L8</t>
  </si>
  <si>
    <t>Q6P1M9</t>
  </si>
  <si>
    <t>Q6P1N0-2</t>
  </si>
  <si>
    <t>Q6P1N9</t>
  </si>
  <si>
    <t>Q6P1Q9</t>
  </si>
  <si>
    <t>Q6P1R4</t>
  </si>
  <si>
    <t>Q6P1X5</t>
  </si>
  <si>
    <t>Q6P1X6</t>
  </si>
  <si>
    <t>Q6P275</t>
  </si>
  <si>
    <t>Q6P2C8</t>
  </si>
  <si>
    <t>Q6P2D0-2</t>
  </si>
  <si>
    <t>Q6P2E9</t>
  </si>
  <si>
    <t>Q6P2H3-2</t>
  </si>
  <si>
    <t>Q6P2I3</t>
  </si>
  <si>
    <t>Q6P2P2</t>
  </si>
  <si>
    <t>Q6P2Q9</t>
  </si>
  <si>
    <t>Q6P3S1-5</t>
  </si>
  <si>
    <t>Q6P3S6</t>
  </si>
  <si>
    <t>Q6P3W7</t>
  </si>
  <si>
    <t>Q6P3X3</t>
  </si>
  <si>
    <t>Q6P4A8</t>
  </si>
  <si>
    <t>Q6P4F2</t>
  </si>
  <si>
    <t>Q6P4I2</t>
  </si>
  <si>
    <t>Q6P577</t>
  </si>
  <si>
    <t>Q6P582</t>
  </si>
  <si>
    <t>Q6P587</t>
  </si>
  <si>
    <t>Q6P5Z2</t>
  </si>
  <si>
    <t>Q6P6B7-2</t>
  </si>
  <si>
    <t>Q6P6C2</t>
  </si>
  <si>
    <t>Q6P9B9</t>
  </si>
  <si>
    <t>Q6PCB5</t>
  </si>
  <si>
    <t>Q6PCE3</t>
  </si>
  <si>
    <t>Q6PCT2-2</t>
  </si>
  <si>
    <t>Q6PD62</t>
  </si>
  <si>
    <t>Q6PD74</t>
  </si>
  <si>
    <t>Q6PEV8-2</t>
  </si>
  <si>
    <t>Q6PFW1-7</t>
  </si>
  <si>
    <t>Q6PGN9-2</t>
  </si>
  <si>
    <t>Q6PH81-2</t>
  </si>
  <si>
    <t>Q6PHR2-3</t>
  </si>
  <si>
    <t>Q6PI48</t>
  </si>
  <si>
    <t>Q6PID6</t>
  </si>
  <si>
    <t>Q6PII3</t>
  </si>
  <si>
    <t>Q6PII5-2</t>
  </si>
  <si>
    <t>Q6PIJ6</t>
  </si>
  <si>
    <t>Q6PIW4-2</t>
  </si>
  <si>
    <t>Q6PJ61</t>
  </si>
  <si>
    <t>Q6PJ69</t>
  </si>
  <si>
    <t>Q6PJG2</t>
  </si>
  <si>
    <t>Q6PJG6</t>
  </si>
  <si>
    <t>Q6PJI9</t>
  </si>
  <si>
    <t>Q6PJP8</t>
  </si>
  <si>
    <t>Q6PJT7-3</t>
  </si>
  <si>
    <t>Q6PJT7-5</t>
  </si>
  <si>
    <t>Q6PJW8-2</t>
  </si>
  <si>
    <t>Q6PK04</t>
  </si>
  <si>
    <t>Q6PK81-2</t>
  </si>
  <si>
    <t>Q6PKG0</t>
  </si>
  <si>
    <t>Q6PL18</t>
  </si>
  <si>
    <t>Q6PL24</t>
  </si>
  <si>
    <t>Q6QNY0</t>
  </si>
  <si>
    <t>Q6QNY1</t>
  </si>
  <si>
    <t>Q6R327</t>
  </si>
  <si>
    <t>Q6RI45-5</t>
  </si>
  <si>
    <t>Q6RW13-2</t>
  </si>
  <si>
    <t>Q6SPF0</t>
  </si>
  <si>
    <t>Q6STE5-2</t>
  </si>
  <si>
    <t>Q6T4P5-4</t>
  </si>
  <si>
    <t>Q6UB35</t>
  </si>
  <si>
    <t>Q6UB98-2</t>
  </si>
  <si>
    <t>Q6UB99</t>
  </si>
  <si>
    <t>Q6ULP2-5</t>
  </si>
  <si>
    <t>Q6UN15</t>
  </si>
  <si>
    <t>Q6UN15-3</t>
  </si>
  <si>
    <t>Q6UUV7-3</t>
  </si>
  <si>
    <t>Q6UUV9-3</t>
  </si>
  <si>
    <t>Q6UVJ0</t>
  </si>
  <si>
    <t>Q6UW63</t>
  </si>
  <si>
    <t>Q6UWE0</t>
  </si>
  <si>
    <t>Q6UWP2</t>
  </si>
  <si>
    <t>Q6UWP8</t>
  </si>
  <si>
    <t>Q6UX04</t>
  </si>
  <si>
    <t>Q6UXH1-4</t>
  </si>
  <si>
    <t>Q6UXN9</t>
  </si>
  <si>
    <t>Q6UXV4</t>
  </si>
  <si>
    <t>Q6UY14</t>
  </si>
  <si>
    <t>Q6V0I7-3</t>
  </si>
  <si>
    <t>Q6VY07</t>
  </si>
  <si>
    <t>Q6W2J9-4</t>
  </si>
  <si>
    <t>Q6WCQ1</t>
  </si>
  <si>
    <t>Q6WKZ4</t>
  </si>
  <si>
    <t>Q6WRI0</t>
  </si>
  <si>
    <t>Q6XQN6</t>
  </si>
  <si>
    <t>Q6XUX3-2</t>
  </si>
  <si>
    <t>Q6XZF7</t>
  </si>
  <si>
    <t>Q6Y7W6</t>
  </si>
  <si>
    <t>Q6YHU6-3</t>
  </si>
  <si>
    <t>Q6YN16</t>
  </si>
  <si>
    <t>Q6YP21-3</t>
  </si>
  <si>
    <t>Q6ZMI0</t>
  </si>
  <si>
    <t>Q6ZMT4</t>
  </si>
  <si>
    <t>Q6ZMZ3-3</t>
  </si>
  <si>
    <t>Q6ZN04</t>
  </si>
  <si>
    <t>Q6ZN06</t>
  </si>
  <si>
    <t>Q6ZN17</t>
  </si>
  <si>
    <t>Q6ZN28</t>
  </si>
  <si>
    <t>Q6ZN54-6</t>
  </si>
  <si>
    <t>Q6ZN55</t>
  </si>
  <si>
    <t>Q6ZNG1</t>
  </si>
  <si>
    <t>Q6ZNJ1-2</t>
  </si>
  <si>
    <t>Q6ZNW5</t>
  </si>
  <si>
    <t>Q6ZQN7</t>
  </si>
  <si>
    <t>Q6ZRP7</t>
  </si>
  <si>
    <t>Q6ZRS2-2</t>
  </si>
  <si>
    <t>Q6ZS11</t>
  </si>
  <si>
    <t>Q6ZS17-2</t>
  </si>
  <si>
    <t>Q6ZSJ8</t>
  </si>
  <si>
    <t>Q6ZSZ5-2</t>
  </si>
  <si>
    <t>Q6ZT12</t>
  </si>
  <si>
    <t>Q6ZT62</t>
  </si>
  <si>
    <t>Q6ZTN6</t>
  </si>
  <si>
    <t>Q6ZU65</t>
  </si>
  <si>
    <t>Q6ZUM4-2</t>
  </si>
  <si>
    <t>Q6ZUT1-3</t>
  </si>
  <si>
    <t>Q6ZV70-2</t>
  </si>
  <si>
    <t>Q6ZVK8</t>
  </si>
  <si>
    <t>Q6ZVM7</t>
  </si>
  <si>
    <t>Q6ZW49-4</t>
  </si>
  <si>
    <t>Q6ZYL4</t>
  </si>
  <si>
    <t>Q709C8-3</t>
  </si>
  <si>
    <t>Q70CQ2</t>
  </si>
  <si>
    <t>Q70EK8</t>
  </si>
  <si>
    <t>Q70EK9</t>
  </si>
  <si>
    <t>Q70EL1-7</t>
  </si>
  <si>
    <t>Q70IA6</t>
  </si>
  <si>
    <t>Q70J99</t>
  </si>
  <si>
    <t>Q70UQ0-4</t>
  </si>
  <si>
    <t>Q70Z53</t>
  </si>
  <si>
    <t>Q711Q0</t>
  </si>
  <si>
    <t>Q712K3</t>
  </si>
  <si>
    <t>Q71F56</t>
  </si>
  <si>
    <t>Q71RC2-3</t>
  </si>
  <si>
    <t>Q71SY5-4</t>
  </si>
  <si>
    <t>Q71U36-2</t>
  </si>
  <si>
    <t>Q71UI9</t>
  </si>
  <si>
    <t>Q75N03</t>
  </si>
  <si>
    <t>Q75QN2-2</t>
  </si>
  <si>
    <t>Q765P7</t>
  </si>
  <si>
    <t>Q76FK4-4</t>
  </si>
  <si>
    <t>Q76I76</t>
  </si>
  <si>
    <t>Q76N32-2</t>
  </si>
  <si>
    <t>Q7KZ85</t>
  </si>
  <si>
    <t>Q7KZ85-2</t>
  </si>
  <si>
    <t>Q7KZF4</t>
  </si>
  <si>
    <t>Q7KZI7-12</t>
  </si>
  <si>
    <t>Q7KZI7-14</t>
  </si>
  <si>
    <t>Q7KZJ0</t>
  </si>
  <si>
    <t>Q7L014</t>
  </si>
  <si>
    <t>Q7L099-2</t>
  </si>
  <si>
    <t>Q7L099-4</t>
  </si>
  <si>
    <t>Q7L0Y3</t>
  </si>
  <si>
    <t>Q7L1Q6</t>
  </si>
  <si>
    <t>Q7L1T6</t>
  </si>
  <si>
    <t>Q7L1V2</t>
  </si>
  <si>
    <t>Q7L266</t>
  </si>
  <si>
    <t>Q7L273</t>
  </si>
  <si>
    <t>Q7L2H7</t>
  </si>
  <si>
    <t>Q7L2J0</t>
  </si>
  <si>
    <t>Q7L3S4</t>
  </si>
  <si>
    <t>Q7L3T8</t>
  </si>
  <si>
    <t>Q7L3V2</t>
  </si>
  <si>
    <t>Q7L4I2</t>
  </si>
  <si>
    <t>Q7L523</t>
  </si>
  <si>
    <t>Q7L576</t>
  </si>
  <si>
    <t>Q7L590-2</t>
  </si>
  <si>
    <t>Q7L5D6</t>
  </si>
  <si>
    <t>Q7L5Y1</t>
  </si>
  <si>
    <t>Q7L5Y6</t>
  </si>
  <si>
    <t>Q7L5Y9</t>
  </si>
  <si>
    <t>Q7L775</t>
  </si>
  <si>
    <t>Q7L7X3</t>
  </si>
  <si>
    <t>Q7L8J4</t>
  </si>
  <si>
    <t>Q7L8L6</t>
  </si>
  <si>
    <t>Q7L8W6</t>
  </si>
  <si>
    <t>Q7L945</t>
  </si>
  <si>
    <t>Q7LBC6</t>
  </si>
  <si>
    <t>Q7LBR1</t>
  </si>
  <si>
    <t>Q7LDG7</t>
  </si>
  <si>
    <t>Q7LG56</t>
  </si>
  <si>
    <t>Q7RTN6-6</t>
  </si>
  <si>
    <t>Q7RTP6</t>
  </si>
  <si>
    <t>Q7RTS9</t>
  </si>
  <si>
    <t>Q7RTV0</t>
  </si>
  <si>
    <t>Q7Z2E3-3</t>
  </si>
  <si>
    <t>Q7Z2K8</t>
  </si>
  <si>
    <t>Q7Z2T5</t>
  </si>
  <si>
    <t>Q7Z2W4</t>
  </si>
  <si>
    <t>Q7Z2Z2</t>
  </si>
  <si>
    <t>Q7Z309</t>
  </si>
  <si>
    <t>Q7Z333-3</t>
  </si>
  <si>
    <t>Q7Z392</t>
  </si>
  <si>
    <t>Q7Z3B3</t>
  </si>
  <si>
    <t>Q7Z3D4</t>
  </si>
  <si>
    <t>Q7Z3E2</t>
  </si>
  <si>
    <t>Q7Z3J2</t>
  </si>
  <si>
    <t>Q7Z3K3-5</t>
  </si>
  <si>
    <t>Q7Z3K6-4</t>
  </si>
  <si>
    <t>Q7Z3T8</t>
  </si>
  <si>
    <t>Q7Z3V4</t>
  </si>
  <si>
    <t>Q7Z3Z2</t>
  </si>
  <si>
    <t>Q7Z401</t>
  </si>
  <si>
    <t>Q7Z406</t>
  </si>
  <si>
    <t>Q7Z417</t>
  </si>
  <si>
    <t>Q7Z422-2</t>
  </si>
  <si>
    <t>Q7Z434</t>
  </si>
  <si>
    <t>Q7Z460</t>
  </si>
  <si>
    <t>Q7Z478</t>
  </si>
  <si>
    <t>Q7Z494-2</t>
  </si>
  <si>
    <t>Q7Z4G1</t>
  </si>
  <si>
    <t>Q7Z4H3</t>
  </si>
  <si>
    <t>Q7Z4H7</t>
  </si>
  <si>
    <t>Q7Z4H8</t>
  </si>
  <si>
    <t>Q7Z4I7-4</t>
  </si>
  <si>
    <t>Q7Z4Q2</t>
  </si>
  <si>
    <t>Q7Z4S6-3</t>
  </si>
  <si>
    <t>Q7Z4V5</t>
  </si>
  <si>
    <t>Q7Z4V5-2</t>
  </si>
  <si>
    <t>Q7Z4W1</t>
  </si>
  <si>
    <t>Q7Z591</t>
  </si>
  <si>
    <t>Q7Z5J4-3</t>
  </si>
  <si>
    <t>Q7Z5K2</t>
  </si>
  <si>
    <t>Q7Z5L2-2</t>
  </si>
  <si>
    <t>Q7Z5L9-2</t>
  </si>
  <si>
    <t>Q7Z5W3</t>
  </si>
  <si>
    <t>Q7Z5Y7</t>
  </si>
  <si>
    <t>Q7Z624</t>
  </si>
  <si>
    <t>Q7Z6B0-2</t>
  </si>
  <si>
    <t>Q7Z6E9</t>
  </si>
  <si>
    <t>Q7Z6J9</t>
  </si>
  <si>
    <t>Q7Z6K3</t>
  </si>
  <si>
    <t>Q7Z6L1</t>
  </si>
  <si>
    <t>Q7Z6M1</t>
  </si>
  <si>
    <t>Q7Z6M3</t>
  </si>
  <si>
    <t>Q7Z6V5</t>
  </si>
  <si>
    <t>Q7Z794</t>
  </si>
  <si>
    <t>Q7Z7A1-5</t>
  </si>
  <si>
    <t>Q7Z7A3</t>
  </si>
  <si>
    <t>Q7Z7A4</t>
  </si>
  <si>
    <t>Q7Z7C8</t>
  </si>
  <si>
    <t>Q7Z7E8</t>
  </si>
  <si>
    <t>Q7Z7F0</t>
  </si>
  <si>
    <t>Q7Z7F7</t>
  </si>
  <si>
    <t>Q7Z7G8-2</t>
  </si>
  <si>
    <t>Q7Z7K0</t>
  </si>
  <si>
    <t>Q7Z7K6-3</t>
  </si>
  <si>
    <t>Q86SE9</t>
  </si>
  <si>
    <t>Q86SG6</t>
  </si>
  <si>
    <t>Q86SQ4-2</t>
  </si>
  <si>
    <t>Q86SQ7</t>
  </si>
  <si>
    <t>Q86SX6</t>
  </si>
  <si>
    <t>Q86SZ2</t>
  </si>
  <si>
    <t>Q86T24</t>
  </si>
  <si>
    <t>Q86T82-2</t>
  </si>
  <si>
    <t>Q86TA1</t>
  </si>
  <si>
    <t>Q86TB9-4</t>
  </si>
  <si>
    <t>Q86TI0</t>
  </si>
  <si>
    <t>Q86TI2</t>
  </si>
  <si>
    <t>Q86TJ2-3</t>
  </si>
  <si>
    <t>Q86TN4-2</t>
  </si>
  <si>
    <t>Q86TP1</t>
  </si>
  <si>
    <t>Q86TU7</t>
  </si>
  <si>
    <t>Q86TV2</t>
  </si>
  <si>
    <t>Q86TV6</t>
  </si>
  <si>
    <t>Q86U28</t>
  </si>
  <si>
    <t>Q86U44</t>
  </si>
  <si>
    <t>Q86U70-3</t>
  </si>
  <si>
    <t>Q86U86-8</t>
  </si>
  <si>
    <t>Q86U90</t>
  </si>
  <si>
    <t>Q86UA1</t>
  </si>
  <si>
    <t>Q86UE4</t>
  </si>
  <si>
    <t>Q86UE8-2</t>
  </si>
  <si>
    <t>Q86UK7-3</t>
  </si>
  <si>
    <t>Q86UP2</t>
  </si>
  <si>
    <t>Q86US8</t>
  </si>
  <si>
    <t>Q86UU0-3</t>
  </si>
  <si>
    <t>Q86UU1-2</t>
  </si>
  <si>
    <t>Q86UV5</t>
  </si>
  <si>
    <t>Q86UW6-2</t>
  </si>
  <si>
    <t>Q86UX3</t>
  </si>
  <si>
    <t>Q86UX6</t>
  </si>
  <si>
    <t>Q86UY0</t>
  </si>
  <si>
    <t>Q86UY5</t>
  </si>
  <si>
    <t>Q86UY8-2</t>
  </si>
  <si>
    <t>Q86V21</t>
  </si>
  <si>
    <t>Q86V48</t>
  </si>
  <si>
    <t>Q86V59</t>
  </si>
  <si>
    <t>Q86V87</t>
  </si>
  <si>
    <t>Q86VG3</t>
  </si>
  <si>
    <t>Q86VH3</t>
  </si>
  <si>
    <t>Q86VM9</t>
  </si>
  <si>
    <t>Q86VN1</t>
  </si>
  <si>
    <t>Q86VP1-2</t>
  </si>
  <si>
    <t>Q86VP6</t>
  </si>
  <si>
    <t>Q86VQ1</t>
  </si>
  <si>
    <t>Q86VQ6</t>
  </si>
  <si>
    <t>Q86VR2</t>
  </si>
  <si>
    <t>Q86VS8</t>
  </si>
  <si>
    <t>Q86VU3</t>
  </si>
  <si>
    <t>Q86VV8-3</t>
  </si>
  <si>
    <t>Q86VX2-2</t>
  </si>
  <si>
    <t>Q86VX9</t>
  </si>
  <si>
    <t>Q86VY4</t>
  </si>
  <si>
    <t>Q86W34</t>
  </si>
  <si>
    <t>Q86W42</t>
  </si>
  <si>
    <t>Q86W50</t>
  </si>
  <si>
    <t>Q86W56-2</t>
  </si>
  <si>
    <t>Q86W92-4</t>
  </si>
  <si>
    <t>Q86WA6-2</t>
  </si>
  <si>
    <t>Q86WH2</t>
  </si>
  <si>
    <t>Q86WJ1-2</t>
  </si>
  <si>
    <t>Q86WN1</t>
  </si>
  <si>
    <t>Q86WP2-3</t>
  </si>
  <si>
    <t>Q86WQ0</t>
  </si>
  <si>
    <t>Q86WR0</t>
  </si>
  <si>
    <t>Q86WR7</t>
  </si>
  <si>
    <t>Q86WU2-2</t>
  </si>
  <si>
    <t>Q86WX3</t>
  </si>
  <si>
    <t>Q86X02</t>
  </si>
  <si>
    <t>Q86X10-3</t>
  </si>
  <si>
    <t>Q86X27</t>
  </si>
  <si>
    <t>Q86X53</t>
  </si>
  <si>
    <t>Q86X55-1</t>
  </si>
  <si>
    <t>Q86X76-2</t>
  </si>
  <si>
    <t>Q86X83</t>
  </si>
  <si>
    <t>Q86X95-2</t>
  </si>
  <si>
    <t>Q86XK2-6</t>
  </si>
  <si>
    <t>Q86XK3-3</t>
  </si>
  <si>
    <t>Q86XN8</t>
  </si>
  <si>
    <t>Q86XP1-2</t>
  </si>
  <si>
    <t>Q86XP3</t>
  </si>
  <si>
    <t>Q86Y07-5</t>
  </si>
  <si>
    <t>Q86Y13</t>
  </si>
  <si>
    <t>Q86Y22</t>
  </si>
  <si>
    <t>Q86Y37</t>
  </si>
  <si>
    <t>Q86Y56</t>
  </si>
  <si>
    <t>Q86Y79</t>
  </si>
  <si>
    <t>Q86Y82</t>
  </si>
  <si>
    <t>Q86Y91-2</t>
  </si>
  <si>
    <t>Q86YB8</t>
  </si>
  <si>
    <t>Q86YH2</t>
  </si>
  <si>
    <t>Q86YH6</t>
  </si>
  <si>
    <t>Q86YM7</t>
  </si>
  <si>
    <t>Q86YP4</t>
  </si>
  <si>
    <t>Q86YR5-4</t>
  </si>
  <si>
    <t>Q86YS7</t>
  </si>
  <si>
    <t>Q86YV5</t>
  </si>
  <si>
    <t>Q86YV9</t>
  </si>
  <si>
    <t>Q86YZ3</t>
  </si>
  <si>
    <t>Q8IU60-2</t>
  </si>
  <si>
    <t>Q8IU81</t>
  </si>
  <si>
    <t>Q8IUC4</t>
  </si>
  <si>
    <t>Q8IUD2</t>
  </si>
  <si>
    <t>Q8IUE1</t>
  </si>
  <si>
    <t>Q8IUF8</t>
  </si>
  <si>
    <t>Q8IUG5</t>
  </si>
  <si>
    <t>Q8IUH3-2</t>
  </si>
  <si>
    <t>Q8IUI8</t>
  </si>
  <si>
    <t>Q8IUQ4</t>
  </si>
  <si>
    <t>Q8IUR0</t>
  </si>
  <si>
    <t>Q8IUX4</t>
  </si>
  <si>
    <t>Q8IUZ5</t>
  </si>
  <si>
    <t>Q8IV08</t>
  </si>
  <si>
    <t>Q8IV38</t>
  </si>
  <si>
    <t>Q8IV48</t>
  </si>
  <si>
    <t>Q8IV50</t>
  </si>
  <si>
    <t>Q8IV63-3</t>
  </si>
  <si>
    <t>Q8IVD9</t>
  </si>
  <si>
    <t>Q8IVL1-10</t>
  </si>
  <si>
    <t>Q8IVM0</t>
  </si>
  <si>
    <t>Q8IVM0-2</t>
  </si>
  <si>
    <t>Q8IVS2</t>
  </si>
  <si>
    <t>Q8IVV2</t>
  </si>
  <si>
    <t>Q8IVW6-4</t>
  </si>
  <si>
    <t>Q8IW41-2</t>
  </si>
  <si>
    <t>Q8IW45</t>
  </si>
  <si>
    <t>Q8IWB7</t>
  </si>
  <si>
    <t>Q8IWB9</t>
  </si>
  <si>
    <t>Q8IWC1-2</t>
  </si>
  <si>
    <t>Q8IWD4</t>
  </si>
  <si>
    <t>Q8IWF6</t>
  </si>
  <si>
    <t>Q8IWG1-2</t>
  </si>
  <si>
    <t>Q8IWI9</t>
  </si>
  <si>
    <t>Q8IWJ2</t>
  </si>
  <si>
    <t>Q8IWL3</t>
  </si>
  <si>
    <t>Q8IWP9</t>
  </si>
  <si>
    <t>Q8IWR0</t>
  </si>
  <si>
    <t>Q8IWT0</t>
  </si>
  <si>
    <t>Q8IWU2</t>
  </si>
  <si>
    <t>Q8IWV7</t>
  </si>
  <si>
    <t>Q8IWV8</t>
  </si>
  <si>
    <t>Q8IWW6-2</t>
  </si>
  <si>
    <t>Q8IWX8</t>
  </si>
  <si>
    <t>Q8IWY8-4</t>
  </si>
  <si>
    <t>Q8IWY9-1</t>
  </si>
  <si>
    <t>Q8IWZ3-6</t>
  </si>
  <si>
    <t>Q8IWZ8</t>
  </si>
  <si>
    <t>Q8IX01-4</t>
  </si>
  <si>
    <t>Q8IX04-6</t>
  </si>
  <si>
    <t>Q8IX07</t>
  </si>
  <si>
    <t>Q8IX12-2</t>
  </si>
  <si>
    <t>Q8IX15</t>
  </si>
  <si>
    <t>Q8IX18-3</t>
  </si>
  <si>
    <t>Q8IX90</t>
  </si>
  <si>
    <t>Q8IXB1-2</t>
  </si>
  <si>
    <t>Q8IXH7-4</t>
  </si>
  <si>
    <t>Q8IXJ6-2</t>
  </si>
  <si>
    <t>Q8IXJ9</t>
  </si>
  <si>
    <t>Q8IXK0-2</t>
  </si>
  <si>
    <t>Q8IXK2</t>
  </si>
  <si>
    <t>Q8IXM3</t>
  </si>
  <si>
    <t>Q8IXQ3</t>
  </si>
  <si>
    <t>Q8IXQ4</t>
  </si>
  <si>
    <t>Q8IXQ5-2</t>
  </si>
  <si>
    <t>Q8IXS8</t>
  </si>
  <si>
    <t>Q8IXW5</t>
  </si>
  <si>
    <t>Q8IXZ2</t>
  </si>
  <si>
    <t>Q8IY18</t>
  </si>
  <si>
    <t>Q8IY22</t>
  </si>
  <si>
    <t>Q8IY31</t>
  </si>
  <si>
    <t>Q8IY33</t>
  </si>
  <si>
    <t>Q8IY37</t>
  </si>
  <si>
    <t>Q8IY47</t>
  </si>
  <si>
    <t>Q8IY63-2</t>
  </si>
  <si>
    <t>Q8IY67-2</t>
  </si>
  <si>
    <t>Q8IY81</t>
  </si>
  <si>
    <t>Q8IY92</t>
  </si>
  <si>
    <t>Q8IYA6</t>
  </si>
  <si>
    <t>Q8IYB5-3</t>
  </si>
  <si>
    <t>Q8IYB7</t>
  </si>
  <si>
    <t>Q8IYB8</t>
  </si>
  <si>
    <t>Q8IYB9</t>
  </si>
  <si>
    <t>Q8IYD1</t>
  </si>
  <si>
    <t>Q8IYE0</t>
  </si>
  <si>
    <t>Q8IYH5-4</t>
  </si>
  <si>
    <t>Q8IYI6</t>
  </si>
  <si>
    <t>Q8IYK4</t>
  </si>
  <si>
    <t>Q8IYL3</t>
  </si>
  <si>
    <t>Q8IYN2</t>
  </si>
  <si>
    <t>Q8IYN6</t>
  </si>
  <si>
    <t>Q8IYN9</t>
  </si>
  <si>
    <t>Q8IYQ7</t>
  </si>
  <si>
    <t>Q8IYT2</t>
  </si>
  <si>
    <t>Q8IYU2</t>
  </si>
  <si>
    <t>Q8IYU8</t>
  </si>
  <si>
    <t>Q8IYW5</t>
  </si>
  <si>
    <t>Q8IZ07</t>
  </si>
  <si>
    <t>Q8IZ13</t>
  </si>
  <si>
    <t>Q8IZ21-3</t>
  </si>
  <si>
    <t>Q8IZ69</t>
  </si>
  <si>
    <t>Q8IZ73</t>
  </si>
  <si>
    <t>Q8IZ83</t>
  </si>
  <si>
    <t>Q8IZD2-6</t>
  </si>
  <si>
    <t>Q8IZE3-2</t>
  </si>
  <si>
    <t>Q8IZH2-2</t>
  </si>
  <si>
    <t>Q8IZJ1-2</t>
  </si>
  <si>
    <t>Q8IZL2</t>
  </si>
  <si>
    <t>Q8IZL8</t>
  </si>
  <si>
    <t>Q8IZP0-10</t>
  </si>
  <si>
    <t>Q8IZQ1-2</t>
  </si>
  <si>
    <t>Q8IZT6-2</t>
  </si>
  <si>
    <t>Q8IZV5</t>
  </si>
  <si>
    <t>Q8N0S2</t>
  </si>
  <si>
    <t>Q8N0T1</t>
  </si>
  <si>
    <t>Q8N0W3</t>
  </si>
  <si>
    <t>Q8N0X7</t>
  </si>
  <si>
    <t>Q8N0Y2-2</t>
  </si>
  <si>
    <t>Q8N0Z3</t>
  </si>
  <si>
    <t>Q8N0Z6</t>
  </si>
  <si>
    <t>Q8N108-17</t>
  </si>
  <si>
    <t>Q8N122</t>
  </si>
  <si>
    <t>Q8N129</t>
  </si>
  <si>
    <t>Q8N142</t>
  </si>
  <si>
    <t>Q8N163</t>
  </si>
  <si>
    <t>Q8N183</t>
  </si>
  <si>
    <t>Q8N196</t>
  </si>
  <si>
    <t>Q8N1A6</t>
  </si>
  <si>
    <t>Q8N1B4</t>
  </si>
  <si>
    <t>Q8N1F7</t>
  </si>
  <si>
    <t>Q8N1G0</t>
  </si>
  <si>
    <t>Q8N1G1</t>
  </si>
  <si>
    <t>Q8N1G2</t>
  </si>
  <si>
    <t>Q8N1G4</t>
  </si>
  <si>
    <t>Q8N1I1</t>
  </si>
  <si>
    <t>Q8N1N4</t>
  </si>
  <si>
    <t>Q8N1Q1</t>
  </si>
  <si>
    <t>Q8N201</t>
  </si>
  <si>
    <t>Q8N2F6-3</t>
  </si>
  <si>
    <t>Q8N2K0</t>
  </si>
  <si>
    <t>Q8N2W9</t>
  </si>
  <si>
    <t>Q8N300</t>
  </si>
  <si>
    <t>Q8N302</t>
  </si>
  <si>
    <t>Q8N335</t>
  </si>
  <si>
    <t>Q8N344</t>
  </si>
  <si>
    <t>Q8N350</t>
  </si>
  <si>
    <t>Q8N371</t>
  </si>
  <si>
    <t>Q8N392</t>
  </si>
  <si>
    <t>Q8N3C0</t>
  </si>
  <si>
    <t>Q8N3D4</t>
  </si>
  <si>
    <t>Q8N3F8</t>
  </si>
  <si>
    <t>Q8N3J3-3</t>
  </si>
  <si>
    <t>Q8N3P4-3</t>
  </si>
  <si>
    <t>Q8N3R9</t>
  </si>
  <si>
    <t>Q8N3X1</t>
  </si>
  <si>
    <t>Q8N3X6-3</t>
  </si>
  <si>
    <t>Q8N3Y1-2</t>
  </si>
  <si>
    <t>Q8N465-2</t>
  </si>
  <si>
    <t>Q8N488</t>
  </si>
  <si>
    <t>Q8N4C8-4</t>
  </si>
  <si>
    <t>Q8N4H5</t>
  </si>
  <si>
    <t>Q8N4J0</t>
  </si>
  <si>
    <t>Q8N4N3-2</t>
  </si>
  <si>
    <t>Q8N4P3</t>
  </si>
  <si>
    <t>Q8N4Q0</t>
  </si>
  <si>
    <t>Q8N4Q1</t>
  </si>
  <si>
    <t>Q8N4T8</t>
  </si>
  <si>
    <t>Q8N556</t>
  </si>
  <si>
    <t>Q8N567</t>
  </si>
  <si>
    <t>Q8N573-8</t>
  </si>
  <si>
    <t>Q8N5A5-3</t>
  </si>
  <si>
    <t>Q8N5C6</t>
  </si>
  <si>
    <t>Q8N5C7</t>
  </si>
  <si>
    <t>Q8N5C8-2</t>
  </si>
  <si>
    <t>Q8N5D0-4</t>
  </si>
  <si>
    <t>Q8N5F7</t>
  </si>
  <si>
    <t>Q8N5G2</t>
  </si>
  <si>
    <t>Q8N5I9</t>
  </si>
  <si>
    <t>Q8N5K1</t>
  </si>
  <si>
    <t>Q8N5L8</t>
  </si>
  <si>
    <t>Q8N5M1</t>
  </si>
  <si>
    <t>Q8N5N7</t>
  </si>
  <si>
    <t>Q8N5P1</t>
  </si>
  <si>
    <t>Q8N5S9</t>
  </si>
  <si>
    <t>Q8N5U6</t>
  </si>
  <si>
    <t>Q8N5X7-2</t>
  </si>
  <si>
    <t>Q8N5Y2-4</t>
  </si>
  <si>
    <t>Q8N612-3</t>
  </si>
  <si>
    <t>Q8N653</t>
  </si>
  <si>
    <t>Q8N655</t>
  </si>
  <si>
    <t>Q8N668</t>
  </si>
  <si>
    <t>Q8N680</t>
  </si>
  <si>
    <t>Q8N684</t>
  </si>
  <si>
    <t>Q8N6H7</t>
  </si>
  <si>
    <t>Q8N6M0</t>
  </si>
  <si>
    <t>Q8N6N3</t>
  </si>
  <si>
    <t>Q8N6N7</t>
  </si>
  <si>
    <t>Q8N6T7-2</t>
  </si>
  <si>
    <t>Q8N720-3</t>
  </si>
  <si>
    <t>Q8N7X4</t>
  </si>
  <si>
    <t>Q8N806</t>
  </si>
  <si>
    <t>Q8N819-2</t>
  </si>
  <si>
    <t>Q8N8A6</t>
  </si>
  <si>
    <t>Q8N8N7</t>
  </si>
  <si>
    <t>Q8N8R5</t>
  </si>
  <si>
    <t>Q8N8R7</t>
  </si>
  <si>
    <t>Q8N8S7-2</t>
  </si>
  <si>
    <t>Q8N954</t>
  </si>
  <si>
    <t>Q8N960</t>
  </si>
  <si>
    <t>Q8N998</t>
  </si>
  <si>
    <t>Q8N999</t>
  </si>
  <si>
    <t>Q8N9B5-2</t>
  </si>
  <si>
    <t>Q8N9F0</t>
  </si>
  <si>
    <t>Q8N9L1-4</t>
  </si>
  <si>
    <t>Q8N9M1</t>
  </si>
  <si>
    <t>Q8N9M5</t>
  </si>
  <si>
    <t>Q8N9N5-7</t>
  </si>
  <si>
    <t>Q8N9N7</t>
  </si>
  <si>
    <t>Q8N9N8</t>
  </si>
  <si>
    <t>Q8N9Q2</t>
  </si>
  <si>
    <t>Q8N9R8</t>
  </si>
  <si>
    <t>Q8N9V3</t>
  </si>
  <si>
    <t>Q8N9Z2</t>
  </si>
  <si>
    <t>Q8NAF0</t>
  </si>
  <si>
    <t>Q8NAP3</t>
  </si>
  <si>
    <t>Q8NAT2</t>
  </si>
  <si>
    <t>Q8NAV1</t>
  </si>
  <si>
    <t>Q8NB15-2</t>
  </si>
  <si>
    <t>Q8NB16</t>
  </si>
  <si>
    <t>Q8NB37-3</t>
  </si>
  <si>
    <t>Q8NB42-2</t>
  </si>
  <si>
    <t>Q8NB46</t>
  </si>
  <si>
    <t>Q8NB78</t>
  </si>
  <si>
    <t>Q8NB90</t>
  </si>
  <si>
    <t>Q8NBA8</t>
  </si>
  <si>
    <t>Q8NBF2</t>
  </si>
  <si>
    <t>Q8NBF6-2</t>
  </si>
  <si>
    <t>Q8NBJ5</t>
  </si>
  <si>
    <t>Q8NBJ7</t>
  </si>
  <si>
    <t>Q8NBL1</t>
  </si>
  <si>
    <t>Q8NBM4-4</t>
  </si>
  <si>
    <t>Q8NBN7</t>
  </si>
  <si>
    <t>Q8NBX0</t>
  </si>
  <si>
    <t>Q8NBZ0</t>
  </si>
  <si>
    <t>Q8NC51-2</t>
  </si>
  <si>
    <t>Q8NC56</t>
  </si>
  <si>
    <t>Q8NC60</t>
  </si>
  <si>
    <t>Q8NC81</t>
  </si>
  <si>
    <t>Q8NC96</t>
  </si>
  <si>
    <t>Q8NCA5-2</t>
  </si>
  <si>
    <t>Q8NCC3</t>
  </si>
  <si>
    <t>Q8NCD3</t>
  </si>
  <si>
    <t>Q8NCE0-4</t>
  </si>
  <si>
    <t>Q8NCE2-2</t>
  </si>
  <si>
    <t>Q8NCF5</t>
  </si>
  <si>
    <t>Q8NCN2</t>
  </si>
  <si>
    <t>Q8NCN4</t>
  </si>
  <si>
    <t>Q8NCN5</t>
  </si>
  <si>
    <t>Q8NCP5-3</t>
  </si>
  <si>
    <t>Q8NCW5</t>
  </si>
  <si>
    <t>Q8NCY6</t>
  </si>
  <si>
    <t>Q8ND04</t>
  </si>
  <si>
    <t>Q8ND24</t>
  </si>
  <si>
    <t>Q8ND30</t>
  </si>
  <si>
    <t>Q8ND56-2</t>
  </si>
  <si>
    <t>Q8ND76-3</t>
  </si>
  <si>
    <t>Q8NDC0</t>
  </si>
  <si>
    <t>Q8NDD1-3</t>
  </si>
  <si>
    <t>Q8NDF8</t>
  </si>
  <si>
    <t>Q8NDI1-3</t>
  </si>
  <si>
    <t>Q8NDV7-2</t>
  </si>
  <si>
    <t>Q8NDX1</t>
  </si>
  <si>
    <t>Q8NDX5-7</t>
  </si>
  <si>
    <t>Q8NE01-2</t>
  </si>
  <si>
    <t>Q8NE35-2</t>
  </si>
  <si>
    <t>Q8NE71</t>
  </si>
  <si>
    <t>Q8NEB9</t>
  </si>
  <si>
    <t>Q8NEC7</t>
  </si>
  <si>
    <t>Q8NEF9</t>
  </si>
  <si>
    <t>Q8NEJ9-2</t>
  </si>
  <si>
    <t>Q8NEM2</t>
  </si>
  <si>
    <t>Q8NEN9</t>
  </si>
  <si>
    <t>Q8NEU8-2</t>
  </si>
  <si>
    <t>Q8NEY1-2</t>
  </si>
  <si>
    <t>Q8NEY8-2</t>
  </si>
  <si>
    <t>Q8NEY8-3</t>
  </si>
  <si>
    <t>Q8NEZ2</t>
  </si>
  <si>
    <t>Q8NEZ4</t>
  </si>
  <si>
    <t>Q8NEZ5</t>
  </si>
  <si>
    <t>Q8NF37</t>
  </si>
  <si>
    <t>Q8NF50-4</t>
  </si>
  <si>
    <t>Q8NF64-3</t>
  </si>
  <si>
    <t>Q8NF99</t>
  </si>
  <si>
    <t>Q8NFA0</t>
  </si>
  <si>
    <t>Q8NFC6</t>
  </si>
  <si>
    <t>Q8NFF5-3</t>
  </si>
  <si>
    <t>Q8NFG4</t>
  </si>
  <si>
    <t>Q8NFH3</t>
  </si>
  <si>
    <t>Q8NFH4</t>
  </si>
  <si>
    <t>Q8NFI3</t>
  </si>
  <si>
    <t>Q8NFQ8</t>
  </si>
  <si>
    <t>Q8NFV4</t>
  </si>
  <si>
    <t>Q8NFW8</t>
  </si>
  <si>
    <t>Q8NFY9</t>
  </si>
  <si>
    <t>Q8NFZ0</t>
  </si>
  <si>
    <t>Q8NG08</t>
  </si>
  <si>
    <t>Q8NG31-2</t>
  </si>
  <si>
    <t>Q8NG68</t>
  </si>
  <si>
    <t>Q8NHG7</t>
  </si>
  <si>
    <t>Q8NHG8</t>
  </si>
  <si>
    <t>Q8NHM4</t>
  </si>
  <si>
    <t>Q8NHM5-4</t>
  </si>
  <si>
    <t>Q8NHP8</t>
  </si>
  <si>
    <t>Q8NHQ8-2</t>
  </si>
  <si>
    <t>Q8NHU6</t>
  </si>
  <si>
    <t>Q8NHV4</t>
  </si>
  <si>
    <t>Q8NHZ8</t>
  </si>
  <si>
    <t>Q8NI08-2</t>
  </si>
  <si>
    <t>Q8NI22-2</t>
  </si>
  <si>
    <t>Q8NI27</t>
  </si>
  <si>
    <t>Q8NI36</t>
  </si>
  <si>
    <t>Q8NI51-8</t>
  </si>
  <si>
    <t>Q8TA86</t>
  </si>
  <si>
    <t>Q8TAC1</t>
  </si>
  <si>
    <t>Q8TAD8</t>
  </si>
  <si>
    <t>Q8TAE6</t>
  </si>
  <si>
    <t>Q8TAE8</t>
  </si>
  <si>
    <t>Q8TAF3</t>
  </si>
  <si>
    <t>Q8TAP6</t>
  </si>
  <si>
    <t>Q8TAP8</t>
  </si>
  <si>
    <t>Q8TAQ2</t>
  </si>
  <si>
    <t>Q8TAQ2-2</t>
  </si>
  <si>
    <t>Q8TAT6</t>
  </si>
  <si>
    <t>Q8TAV0-2</t>
  </si>
  <si>
    <t>Q8TAX9-5</t>
  </si>
  <si>
    <t>Q8TB03</t>
  </si>
  <si>
    <t>Q8TB24</t>
  </si>
  <si>
    <t>Q8TB52</t>
  </si>
  <si>
    <t>Q8TB70</t>
  </si>
  <si>
    <t>Q8TB72-3</t>
  </si>
  <si>
    <t>Q8TBA6-2</t>
  </si>
  <si>
    <t>Q8TBB5-3</t>
  </si>
  <si>
    <t>Q8TBC4</t>
  </si>
  <si>
    <t>Q8TBC5-4</t>
  </si>
  <si>
    <t>Q8TBE0-3</t>
  </si>
  <si>
    <t>Q8TBE9</t>
  </si>
  <si>
    <t>Q8TBF2-4</t>
  </si>
  <si>
    <t>Q8TBF4</t>
  </si>
  <si>
    <t>Q8TBM8</t>
  </si>
  <si>
    <t>Q8TBN0</t>
  </si>
  <si>
    <t>Q8TBN0-2</t>
  </si>
  <si>
    <t>Q8TBX8</t>
  </si>
  <si>
    <t>Q8TBZ6</t>
  </si>
  <si>
    <t>Q8TC07-2</t>
  </si>
  <si>
    <t>Q8TC12-2</t>
  </si>
  <si>
    <t>Q8TCA0</t>
  </si>
  <si>
    <t>Q8TCD1</t>
  </si>
  <si>
    <t>Q8TCD5</t>
  </si>
  <si>
    <t>Q8TCE6-2</t>
  </si>
  <si>
    <t>Q8TCG1</t>
  </si>
  <si>
    <t>Q8TCN5</t>
  </si>
  <si>
    <t>Q8TCS8</t>
  </si>
  <si>
    <t>Q8TCU4-3</t>
  </si>
  <si>
    <t>Q8TCY9-3</t>
  </si>
  <si>
    <t>Q8TD08-2</t>
  </si>
  <si>
    <t>Q8TD16</t>
  </si>
  <si>
    <t>Q8TD19</t>
  </si>
  <si>
    <t>Q8TD26</t>
  </si>
  <si>
    <t>Q8TD30</t>
  </si>
  <si>
    <t>Q8TD55-2</t>
  </si>
  <si>
    <t>Q8TD57</t>
  </si>
  <si>
    <t>Q8TDB6</t>
  </si>
  <si>
    <t>Q8TDD1</t>
  </si>
  <si>
    <t>Q8TDD1-2</t>
  </si>
  <si>
    <t>Q8TDH9</t>
  </si>
  <si>
    <t>Q8TDI0</t>
  </si>
  <si>
    <t>Q8TDJ6</t>
  </si>
  <si>
    <t>Q8TDM6</t>
  </si>
  <si>
    <t>Q8TDN4-4</t>
  </si>
  <si>
    <t>Q8TDN6</t>
  </si>
  <si>
    <t>Q8TDQ7</t>
  </si>
  <si>
    <t>Q8TDQ7-4</t>
  </si>
  <si>
    <t>Q8TDR0-2</t>
  </si>
  <si>
    <t>Q8TDX7</t>
  </si>
  <si>
    <t>Q8TDY2-2</t>
  </si>
  <si>
    <t>Q8TDZ2</t>
  </si>
  <si>
    <t>Q8TE04</t>
  </si>
  <si>
    <t>Q8TE76-3</t>
  </si>
  <si>
    <t>Q8TEA1</t>
  </si>
  <si>
    <t>Q8TEA7-3</t>
  </si>
  <si>
    <t>Q8TEA8</t>
  </si>
  <si>
    <t>Q8TEB1-2</t>
  </si>
  <si>
    <t>Q8TED0</t>
  </si>
  <si>
    <t>Q8TEH3</t>
  </si>
  <si>
    <t>Q8TEK3-2</t>
  </si>
  <si>
    <t>Q8TEM1</t>
  </si>
  <si>
    <t>Q8TEQ6</t>
  </si>
  <si>
    <t>Q8TER5</t>
  </si>
  <si>
    <t>Q8TES7-5</t>
  </si>
  <si>
    <t>Q8TET4</t>
  </si>
  <si>
    <t>Q8TEU7</t>
  </si>
  <si>
    <t>Q8TEV9-2</t>
  </si>
  <si>
    <t>Q8TEW0-2</t>
  </si>
  <si>
    <t>Q8TEX9</t>
  </si>
  <si>
    <t>Q8TF01</t>
  </si>
  <si>
    <t>Q8TF05-2</t>
  </si>
  <si>
    <t>Q8TF42</t>
  </si>
  <si>
    <t>Q8TF46</t>
  </si>
  <si>
    <t>Q8TF50</t>
  </si>
  <si>
    <t>Q8TF61</t>
  </si>
  <si>
    <t>Q8TF64</t>
  </si>
  <si>
    <t>Q8TF74</t>
  </si>
  <si>
    <t>Q8TF76-2</t>
  </si>
  <si>
    <t>Q8WTS1</t>
  </si>
  <si>
    <t>Q8WTS6</t>
  </si>
  <si>
    <t>Q8WTW3</t>
  </si>
  <si>
    <t>Q8WU10</t>
  </si>
  <si>
    <t>Q8WU39-3</t>
  </si>
  <si>
    <t>Q8WU76-2</t>
  </si>
  <si>
    <t>Q8WU79</t>
  </si>
  <si>
    <t>Q8WU90</t>
  </si>
  <si>
    <t>Q8WUA2</t>
  </si>
  <si>
    <t>Q8WUA4</t>
  </si>
  <si>
    <t>Q8WUB8-3</t>
  </si>
  <si>
    <t>Q8WUD1</t>
  </si>
  <si>
    <t>Q8WUD4</t>
  </si>
  <si>
    <t>Q8WUE5</t>
  </si>
  <si>
    <t>Q8WUF5</t>
  </si>
  <si>
    <t>Q8WUF8</t>
  </si>
  <si>
    <t>Q8WUH1</t>
  </si>
  <si>
    <t>Q8WUH2</t>
  </si>
  <si>
    <t>Q8WUH6</t>
  </si>
  <si>
    <t>Q8WUI4-3</t>
  </si>
  <si>
    <t>Q8WUJ0</t>
  </si>
  <si>
    <t>Q8WUM4</t>
  </si>
  <si>
    <t>Q8WUN7</t>
  </si>
  <si>
    <t>Q8WUQ7</t>
  </si>
  <si>
    <t>Q8WUR7</t>
  </si>
  <si>
    <t>Q8WUU5</t>
  </si>
  <si>
    <t>Q8WUW1</t>
  </si>
  <si>
    <t>Q8WUX2</t>
  </si>
  <si>
    <t>Q8WUX9</t>
  </si>
  <si>
    <t>Q8WUZ0</t>
  </si>
  <si>
    <t>Q8WV22</t>
  </si>
  <si>
    <t>Q8WV41</t>
  </si>
  <si>
    <t>Q8WV92</t>
  </si>
  <si>
    <t>Q8WVB3</t>
  </si>
  <si>
    <t>Q8WVB6</t>
  </si>
  <si>
    <t>Q8WVC0</t>
  </si>
  <si>
    <t>Q8WVC2</t>
  </si>
  <si>
    <t>Q8WVD3</t>
  </si>
  <si>
    <t>Q8WVE0</t>
  </si>
  <si>
    <t>Q8WVJ2</t>
  </si>
  <si>
    <t>Q8WVK2</t>
  </si>
  <si>
    <t>Q8WVL7</t>
  </si>
  <si>
    <t>Q8WVM0</t>
  </si>
  <si>
    <t>Q8WVM8</t>
  </si>
  <si>
    <t>Q8WVT3</t>
  </si>
  <si>
    <t>Q8WVV4</t>
  </si>
  <si>
    <t>Q8WVV9-4</t>
  </si>
  <si>
    <t>Q8WVY7</t>
  </si>
  <si>
    <t>Q8WW01</t>
  </si>
  <si>
    <t>Q8WW12</t>
  </si>
  <si>
    <t>Q8WW33</t>
  </si>
  <si>
    <t>Q8WW59</t>
  </si>
  <si>
    <t>Q8WWH5</t>
  </si>
  <si>
    <t>Q8WWI5-3</t>
  </si>
  <si>
    <t>Q8WWL2-4</t>
  </si>
  <si>
    <t>Q8WWM7</t>
  </si>
  <si>
    <t>Q8WWQ0</t>
  </si>
  <si>
    <t>Q8WWV3</t>
  </si>
  <si>
    <t>Q8WWW0-2</t>
  </si>
  <si>
    <t>Q8WWX9</t>
  </si>
  <si>
    <t>Q8WWY3</t>
  </si>
  <si>
    <t>Q8WWZ3-2</t>
  </si>
  <si>
    <t>Q8WX92</t>
  </si>
  <si>
    <t>Q8WXA9-2</t>
  </si>
  <si>
    <t>Q8WXB1</t>
  </si>
  <si>
    <t>Q8WXD5</t>
  </si>
  <si>
    <t>Q8WXE0-2</t>
  </si>
  <si>
    <t>Q8WXE1-5</t>
  </si>
  <si>
    <t>Q8WXE9</t>
  </si>
  <si>
    <t>Q8WXF1</t>
  </si>
  <si>
    <t>Q8WXG6-8</t>
  </si>
  <si>
    <t>Q8WXI4-2</t>
  </si>
  <si>
    <t>Q8WXI9</t>
  </si>
  <si>
    <t>Q8WXR4-4</t>
  </si>
  <si>
    <t>Q8WXW3</t>
  </si>
  <si>
    <t>Q8WXW3-2</t>
  </si>
  <si>
    <t>Q8WXX5</t>
  </si>
  <si>
    <t>Q8WY91</t>
  </si>
  <si>
    <t>Q8WYA6</t>
  </si>
  <si>
    <t>Q8WYB5-3</t>
  </si>
  <si>
    <t>Q8WYL5-4</t>
  </si>
  <si>
    <t>Q8WYN0</t>
  </si>
  <si>
    <t>Q8WYP5</t>
  </si>
  <si>
    <t>Q8WYQ5-3</t>
  </si>
  <si>
    <t>Q8WZ19</t>
  </si>
  <si>
    <t>Q8WZ42-12</t>
  </si>
  <si>
    <t>Q8WZ42-5</t>
  </si>
  <si>
    <t>Q8WZ64</t>
  </si>
  <si>
    <t>Q8WZ82</t>
  </si>
  <si>
    <t>Q8WZA0</t>
  </si>
  <si>
    <t>Q8WZA9</t>
  </si>
  <si>
    <t>Q92466</t>
  </si>
  <si>
    <t>Q92481</t>
  </si>
  <si>
    <t>Q92499</t>
  </si>
  <si>
    <t>Q92506</t>
  </si>
  <si>
    <t>Q92522</t>
  </si>
  <si>
    <t>Q92526</t>
  </si>
  <si>
    <t>Q92538</t>
  </si>
  <si>
    <t>Q92541</t>
  </si>
  <si>
    <t>Q92544</t>
  </si>
  <si>
    <t>Q92546</t>
  </si>
  <si>
    <t>Q92547</t>
  </si>
  <si>
    <t>Q92551</t>
  </si>
  <si>
    <t>Q92552</t>
  </si>
  <si>
    <t>Q92558</t>
  </si>
  <si>
    <t>Q92560</t>
  </si>
  <si>
    <t>Q92562</t>
  </si>
  <si>
    <t>Q92567-2</t>
  </si>
  <si>
    <t>Q92572</t>
  </si>
  <si>
    <t>Q92574-2</t>
  </si>
  <si>
    <t>Q92575</t>
  </si>
  <si>
    <t>Q92576-2</t>
  </si>
  <si>
    <t>Q92581-3</t>
  </si>
  <si>
    <t>Q92585</t>
  </si>
  <si>
    <t>Q92598-2</t>
  </si>
  <si>
    <t>Q92599-2</t>
  </si>
  <si>
    <t>Q92600</t>
  </si>
  <si>
    <t>Q92608</t>
  </si>
  <si>
    <t>Q92609</t>
  </si>
  <si>
    <t>Q92610</t>
  </si>
  <si>
    <t>Q92613</t>
  </si>
  <si>
    <t>Q92614-4</t>
  </si>
  <si>
    <t>Q92615</t>
  </si>
  <si>
    <t>Q92616</t>
  </si>
  <si>
    <t>Q92618</t>
  </si>
  <si>
    <t>Q92619</t>
  </si>
  <si>
    <t>Q92621</t>
  </si>
  <si>
    <t>Q92625</t>
  </si>
  <si>
    <t>Q92636</t>
  </si>
  <si>
    <t>Q92664-2</t>
  </si>
  <si>
    <t>Q92665</t>
  </si>
  <si>
    <t>Q92667</t>
  </si>
  <si>
    <t>Q92686</t>
  </si>
  <si>
    <t>Q92688-2</t>
  </si>
  <si>
    <t>Q92692</t>
  </si>
  <si>
    <t>Q92696</t>
  </si>
  <si>
    <t>Q92734-2</t>
  </si>
  <si>
    <t>Q92747</t>
  </si>
  <si>
    <t>Q92750</t>
  </si>
  <si>
    <t>Q92759</t>
  </si>
  <si>
    <t>Q92766</t>
  </si>
  <si>
    <t>Q92769</t>
  </si>
  <si>
    <t>Q92783-2</t>
  </si>
  <si>
    <t>Q92784</t>
  </si>
  <si>
    <t>Q92785</t>
  </si>
  <si>
    <t>Q92793</t>
  </si>
  <si>
    <t>Q92794</t>
  </si>
  <si>
    <t>Q92796-3</t>
  </si>
  <si>
    <t>Q92797</t>
  </si>
  <si>
    <t>Q92804-2</t>
  </si>
  <si>
    <t>Q92805</t>
  </si>
  <si>
    <t>Q92820</t>
  </si>
  <si>
    <t>Q92828</t>
  </si>
  <si>
    <t>Q92830</t>
  </si>
  <si>
    <t>Q92834</t>
  </si>
  <si>
    <t>Q92841</t>
  </si>
  <si>
    <t>Q92843-2</t>
  </si>
  <si>
    <t>Q92844</t>
  </si>
  <si>
    <t>Q92845-4</t>
  </si>
  <si>
    <t>Q92851-6</t>
  </si>
  <si>
    <t>Q92854</t>
  </si>
  <si>
    <t>Q92878</t>
  </si>
  <si>
    <t>Q92879-2</t>
  </si>
  <si>
    <t>Q92882</t>
  </si>
  <si>
    <t>Q92888-3</t>
  </si>
  <si>
    <t>Q92889</t>
  </si>
  <si>
    <t>Q92890</t>
  </si>
  <si>
    <t>Q92896</t>
  </si>
  <si>
    <t>Q92900</t>
  </si>
  <si>
    <t>Q92902-2</t>
  </si>
  <si>
    <t>Q92905</t>
  </si>
  <si>
    <t>Q92917</t>
  </si>
  <si>
    <t>Q92922</t>
  </si>
  <si>
    <t>Q92925</t>
  </si>
  <si>
    <t>Q92945</t>
  </si>
  <si>
    <t>Q92947-2</t>
  </si>
  <si>
    <t>Q92973-2</t>
  </si>
  <si>
    <t>Q92974-3</t>
  </si>
  <si>
    <t>Q92979</t>
  </si>
  <si>
    <t>Q92989</t>
  </si>
  <si>
    <t>Q92990</t>
  </si>
  <si>
    <t>Q92993</t>
  </si>
  <si>
    <t>Q92994-5</t>
  </si>
  <si>
    <t>Q92995-2</t>
  </si>
  <si>
    <t>Q93008</t>
  </si>
  <si>
    <t>Q93015-2</t>
  </si>
  <si>
    <t>Q93034</t>
  </si>
  <si>
    <t>Q93073-2</t>
  </si>
  <si>
    <t>Q93074-3</t>
  </si>
  <si>
    <t>Q93075</t>
  </si>
  <si>
    <t>Q93077</t>
  </si>
  <si>
    <t>Q93096</t>
  </si>
  <si>
    <t>Q93100-4</t>
  </si>
  <si>
    <t>Q969E8</t>
  </si>
  <si>
    <t>Q969F1</t>
  </si>
  <si>
    <t>Q969F9</t>
  </si>
  <si>
    <t>Q969G3-2</t>
  </si>
  <si>
    <t>Q969G6</t>
  </si>
  <si>
    <t>Q969H0</t>
  </si>
  <si>
    <t>Q969H6-2</t>
  </si>
  <si>
    <t>Q969H8</t>
  </si>
  <si>
    <t>Q969J2</t>
  </si>
  <si>
    <t>Q969J3</t>
  </si>
  <si>
    <t>Q969K3</t>
  </si>
  <si>
    <t>Q969L4</t>
  </si>
  <si>
    <t>Q969M3</t>
  </si>
  <si>
    <t>Q969R5</t>
  </si>
  <si>
    <t>Q969S3</t>
  </si>
  <si>
    <t>Q969S9-2</t>
  </si>
  <si>
    <t>Q969T7-2</t>
  </si>
  <si>
    <t>Q969U6</t>
  </si>
  <si>
    <t>Q969X6</t>
  </si>
  <si>
    <t>Q969Y2-3</t>
  </si>
  <si>
    <t>Q969Z0</t>
  </si>
  <si>
    <t>Q96A00-2</t>
  </si>
  <si>
    <t>Q96A33</t>
  </si>
  <si>
    <t>Q96A37-2</t>
  </si>
  <si>
    <t>Q96A49</t>
  </si>
  <si>
    <t>Q96A65</t>
  </si>
  <si>
    <t>Q96AB3</t>
  </si>
  <si>
    <t>Q96AB6</t>
  </si>
  <si>
    <t>Q96AC1</t>
  </si>
  <si>
    <t>Q96AD5</t>
  </si>
  <si>
    <t>Q96AE4</t>
  </si>
  <si>
    <t>Q96AE4-2</t>
  </si>
  <si>
    <t>Q96AG4</t>
  </si>
  <si>
    <t>Q96AJ9-1</t>
  </si>
  <si>
    <t>Q96AT1</t>
  </si>
  <si>
    <t>Q96AT9</t>
  </si>
  <si>
    <t>Q96AX1</t>
  </si>
  <si>
    <t>Q96AY2</t>
  </si>
  <si>
    <t>Q96AY4</t>
  </si>
  <si>
    <t>Q96B02</t>
  </si>
  <si>
    <t>Q96B23-2</t>
  </si>
  <si>
    <t>Q96B26</t>
  </si>
  <si>
    <t>Q96B36</t>
  </si>
  <si>
    <t>Q96B45</t>
  </si>
  <si>
    <t>Q96B54</t>
  </si>
  <si>
    <t>Q96B97</t>
  </si>
  <si>
    <t>Q96BD5-2</t>
  </si>
  <si>
    <t>Q96BD8-2</t>
  </si>
  <si>
    <t>Q96BF6</t>
  </si>
  <si>
    <t>Q96BH1</t>
  </si>
  <si>
    <t>Q96BJ3</t>
  </si>
  <si>
    <t>Q96BK5</t>
  </si>
  <si>
    <t>Q96BN2</t>
  </si>
  <si>
    <t>Q96BN8</t>
  </si>
  <si>
    <t>Q96BP3</t>
  </si>
  <si>
    <t>Q96BR5</t>
  </si>
  <si>
    <t>Q96BR6-2</t>
  </si>
  <si>
    <t>Q96BS2</t>
  </si>
  <si>
    <t>Q96BT7</t>
  </si>
  <si>
    <t>Q96BW5-2</t>
  </si>
  <si>
    <t>Q96BX8</t>
  </si>
  <si>
    <t>Q96BY7</t>
  </si>
  <si>
    <t>Q96BZ8</t>
  </si>
  <si>
    <t>Q96BZ9</t>
  </si>
  <si>
    <t>Q96C00</t>
  </si>
  <si>
    <t>Q96C01</t>
  </si>
  <si>
    <t>Q96C19</t>
  </si>
  <si>
    <t>Q96C23</t>
  </si>
  <si>
    <t>Q96C24</t>
  </si>
  <si>
    <t>Q96C36</t>
  </si>
  <si>
    <t>Q96C86</t>
  </si>
  <si>
    <t>Q96C90</t>
  </si>
  <si>
    <t>Q96C92-2</t>
  </si>
  <si>
    <t>Q96CB8</t>
  </si>
  <si>
    <t>Q96CB9-4</t>
  </si>
  <si>
    <t>Q96CD0</t>
  </si>
  <si>
    <t>Q96CD2</t>
  </si>
  <si>
    <t>Q96CF2</t>
  </si>
  <si>
    <t>Q96CN4</t>
  </si>
  <si>
    <t>Q96CN7</t>
  </si>
  <si>
    <t>Q96CN9</t>
  </si>
  <si>
    <t>Q96CP2</t>
  </si>
  <si>
    <t>Q96CS2</t>
  </si>
  <si>
    <t>Q96CS3</t>
  </si>
  <si>
    <t>Q96CT7</t>
  </si>
  <si>
    <t>Q96CU9-3</t>
  </si>
  <si>
    <t>Q96CV9-2</t>
  </si>
  <si>
    <t>Q96CW1-2</t>
  </si>
  <si>
    <t>Q96CW5</t>
  </si>
  <si>
    <t>Q96CW6</t>
  </si>
  <si>
    <t>Q96D46</t>
  </si>
  <si>
    <t>Q96D71-3</t>
  </si>
  <si>
    <t>Q96DA6-2</t>
  </si>
  <si>
    <t>Q96DB5</t>
  </si>
  <si>
    <t>Q96DC7</t>
  </si>
  <si>
    <t>Q96DC8</t>
  </si>
  <si>
    <t>Q96DE0</t>
  </si>
  <si>
    <t>Q96DE5</t>
  </si>
  <si>
    <t>Q96DF8</t>
  </si>
  <si>
    <t>Q96DG6</t>
  </si>
  <si>
    <t>Q96DH6-2</t>
  </si>
  <si>
    <t>Q96DI7</t>
  </si>
  <si>
    <t>Q96DN6</t>
  </si>
  <si>
    <t>Q96DT0-3</t>
  </si>
  <si>
    <t>Q96DT5</t>
  </si>
  <si>
    <t>Q96DT6</t>
  </si>
  <si>
    <t>Q96DT7</t>
  </si>
  <si>
    <t>Q96DU7</t>
  </si>
  <si>
    <t>Q96DX4</t>
  </si>
  <si>
    <t>Q96DX7</t>
  </si>
  <si>
    <t>Q96DZ1-2</t>
  </si>
  <si>
    <t>Q96E09</t>
  </si>
  <si>
    <t>Q96E11-8</t>
  </si>
  <si>
    <t>Q96E14</t>
  </si>
  <si>
    <t>Q96E39</t>
  </si>
  <si>
    <t>Q96EA4</t>
  </si>
  <si>
    <t>Q96EB1</t>
  </si>
  <si>
    <t>Q96EB6</t>
  </si>
  <si>
    <t>Q96ED9-2</t>
  </si>
  <si>
    <t>Q96EE3</t>
  </si>
  <si>
    <t>Q96EH3</t>
  </si>
  <si>
    <t>Q96EK4</t>
  </si>
  <si>
    <t>Q96EK5</t>
  </si>
  <si>
    <t>Q96EK6</t>
  </si>
  <si>
    <t>Q96EK9</t>
  </si>
  <si>
    <t>Q96EL3</t>
  </si>
  <si>
    <t>Q96EM0</t>
  </si>
  <si>
    <t>Q96EN8</t>
  </si>
  <si>
    <t>Q96EP0</t>
  </si>
  <si>
    <t>Q96EP1-2</t>
  </si>
  <si>
    <t>Q96EP5</t>
  </si>
  <si>
    <t>Q96EQ0</t>
  </si>
  <si>
    <t>Q96ER3</t>
  </si>
  <si>
    <t>Q96ES7</t>
  </si>
  <si>
    <t>Q96EU6-2</t>
  </si>
  <si>
    <t>Q96EV2</t>
  </si>
  <si>
    <t>Q96EV8</t>
  </si>
  <si>
    <t>Q96EW2</t>
  </si>
  <si>
    <t>Q96EY1-2</t>
  </si>
  <si>
    <t>Q96EY4</t>
  </si>
  <si>
    <t>Q96EY5</t>
  </si>
  <si>
    <t>Q96EY7</t>
  </si>
  <si>
    <t>Q96EY8</t>
  </si>
  <si>
    <t>Q96EY9</t>
  </si>
  <si>
    <t>Q96EZ8-3</t>
  </si>
  <si>
    <t>Q96F24-2</t>
  </si>
  <si>
    <t>Q96F44-3</t>
  </si>
  <si>
    <t>Q96F63</t>
  </si>
  <si>
    <t>Q96F86</t>
  </si>
  <si>
    <t>Q96FC9-4</t>
  </si>
  <si>
    <t>Q96FF9</t>
  </si>
  <si>
    <t>Q96FJ2</t>
  </si>
  <si>
    <t>Q96FK6</t>
  </si>
  <si>
    <t>Q96FN4</t>
  </si>
  <si>
    <t>Q96FN9</t>
  </si>
  <si>
    <t>Q96FS4</t>
  </si>
  <si>
    <t>Q96FT9</t>
  </si>
  <si>
    <t>Q96FV2-2</t>
  </si>
  <si>
    <t>Q96FV9</t>
  </si>
  <si>
    <t>Q96FX2</t>
  </si>
  <si>
    <t>Q96FX7</t>
  </si>
  <si>
    <t>Q96G03</t>
  </si>
  <si>
    <t>Q96G25</t>
  </si>
  <si>
    <t>Q96G28</t>
  </si>
  <si>
    <t>Q96G46</t>
  </si>
  <si>
    <t>Q96G74-3</t>
  </si>
  <si>
    <t>Q96GA3</t>
  </si>
  <si>
    <t>Q96GA7</t>
  </si>
  <si>
    <t>Q96GD0</t>
  </si>
  <si>
    <t>Q96GE4</t>
  </si>
  <si>
    <t>Q96GG9</t>
  </si>
  <si>
    <t>Q96GJ1-3</t>
  </si>
  <si>
    <t>Q96GK7</t>
  </si>
  <si>
    <t>Q96GM5</t>
  </si>
  <si>
    <t>Q96GM8</t>
  </si>
  <si>
    <t>Q96GQ7</t>
  </si>
  <si>
    <t>Q96GS4</t>
  </si>
  <si>
    <t>Q96GV9</t>
  </si>
  <si>
    <t>Q96GW9</t>
  </si>
  <si>
    <t>Q96GX2</t>
  </si>
  <si>
    <t>Q96GX5-2</t>
  </si>
  <si>
    <t>Q96GX9</t>
  </si>
  <si>
    <t>Q96GY0</t>
  </si>
  <si>
    <t>Q96GY3</t>
  </si>
  <si>
    <t>Q96H20</t>
  </si>
  <si>
    <t>Q96H35</t>
  </si>
  <si>
    <t>Q96H79</t>
  </si>
  <si>
    <t>Q96HA7-2</t>
  </si>
  <si>
    <t>Q96HB5-2</t>
  </si>
  <si>
    <t>Q96HC4</t>
  </si>
  <si>
    <t>Q96HE7</t>
  </si>
  <si>
    <t>Q96HJ9</t>
  </si>
  <si>
    <t>Q96HN2-2</t>
  </si>
  <si>
    <t>Q96HP0</t>
  </si>
  <si>
    <t>Q96HP4</t>
  </si>
  <si>
    <t>Q96HQ2</t>
  </si>
  <si>
    <t>Q96HR8-2</t>
  </si>
  <si>
    <t>Q96HS1</t>
  </si>
  <si>
    <t>Q96HW7</t>
  </si>
  <si>
    <t>Q96HY6</t>
  </si>
  <si>
    <t>Q96HY7</t>
  </si>
  <si>
    <t>Q96I15</t>
  </si>
  <si>
    <t>Q96I23</t>
  </si>
  <si>
    <t>Q96I24</t>
  </si>
  <si>
    <t>Q96I25</t>
  </si>
  <si>
    <t>Q96I51</t>
  </si>
  <si>
    <t>Q96I59</t>
  </si>
  <si>
    <t>Q96I99</t>
  </si>
  <si>
    <t>Q96II8</t>
  </si>
  <si>
    <t>Q96IJ6</t>
  </si>
  <si>
    <t>Q96IK1</t>
  </si>
  <si>
    <t>Q96IQ9</t>
  </si>
  <si>
    <t>Q96IR2</t>
  </si>
  <si>
    <t>Q96IU4</t>
  </si>
  <si>
    <t>Q96IV0-2</t>
  </si>
  <si>
    <t>Q96IY1</t>
  </si>
  <si>
    <t>Q96IZ0</t>
  </si>
  <si>
    <t>Q96IZ5-2</t>
  </si>
  <si>
    <t>Q96IZ7-2</t>
  </si>
  <si>
    <t>Q96J01</t>
  </si>
  <si>
    <t>Q96J02-2</t>
  </si>
  <si>
    <t>Q96J92</t>
  </si>
  <si>
    <t>Q96JB2</t>
  </si>
  <si>
    <t>Q96JB3-2</t>
  </si>
  <si>
    <t>Q96JB5</t>
  </si>
  <si>
    <t>Q96JC1-2</t>
  </si>
  <si>
    <t>Q96JC9</t>
  </si>
  <si>
    <t>Q96JG6</t>
  </si>
  <si>
    <t>Q96JH7</t>
  </si>
  <si>
    <t>Q96JI7-2</t>
  </si>
  <si>
    <t>Q96JK2-2</t>
  </si>
  <si>
    <t>Q96JK9</t>
  </si>
  <si>
    <t>Q96JM3</t>
  </si>
  <si>
    <t>Q96JM7-2</t>
  </si>
  <si>
    <t>Q96JN2-2</t>
  </si>
  <si>
    <t>Q96JP5</t>
  </si>
  <si>
    <t>Q96JS3</t>
  </si>
  <si>
    <t>Q96K17</t>
  </si>
  <si>
    <t>Q96K31</t>
  </si>
  <si>
    <t>Q96K58</t>
  </si>
  <si>
    <t>Q96K83</t>
  </si>
  <si>
    <t>Q96KB5</t>
  </si>
  <si>
    <t>Q96KC2</t>
  </si>
  <si>
    <t>Q96KC8</t>
  </si>
  <si>
    <t>Q96KG9-3</t>
  </si>
  <si>
    <t>Q96KM6</t>
  </si>
  <si>
    <t>Q96KP1</t>
  </si>
  <si>
    <t>Q96KP4</t>
  </si>
  <si>
    <t>Q96KR1</t>
  </si>
  <si>
    <t>Q96L91-3</t>
  </si>
  <si>
    <t>Q96L92</t>
  </si>
  <si>
    <t>Q96L93-6</t>
  </si>
  <si>
    <t>Q96LA8</t>
  </si>
  <si>
    <t>Q96LB3</t>
  </si>
  <si>
    <t>Q96LD8</t>
  </si>
  <si>
    <t>Q96LI5-2</t>
  </si>
  <si>
    <t>Q96LJ8</t>
  </si>
  <si>
    <t>Q96LR5</t>
  </si>
  <si>
    <t>Q96LT7</t>
  </si>
  <si>
    <t>Q96LZ7</t>
  </si>
  <si>
    <t>Q96M27</t>
  </si>
  <si>
    <t>Q96ME1-4</t>
  </si>
  <si>
    <t>Q96ME7-2</t>
  </si>
  <si>
    <t>Q96MG7</t>
  </si>
  <si>
    <t>Q96MH2</t>
  </si>
  <si>
    <t>Q96MT0</t>
  </si>
  <si>
    <t>Q96MU7</t>
  </si>
  <si>
    <t>Q96MW1</t>
  </si>
  <si>
    <t>Q96MW5</t>
  </si>
  <si>
    <t>Q96MX3</t>
  </si>
  <si>
    <t>Q96MX6</t>
  </si>
  <si>
    <t>Q96MY1</t>
  </si>
  <si>
    <t>Q96N06</t>
  </si>
  <si>
    <t>Q96N11-2</t>
  </si>
  <si>
    <t>Q96N21-2</t>
  </si>
  <si>
    <t>Q96N66-2</t>
  </si>
  <si>
    <t>Q96N67-4</t>
  </si>
  <si>
    <t>Q96NA2</t>
  </si>
  <si>
    <t>Q96NB1</t>
  </si>
  <si>
    <t>Q96NB3</t>
  </si>
  <si>
    <t>Q96NC0</t>
  </si>
  <si>
    <t>Q96NL8</t>
  </si>
  <si>
    <t>Q96NT1</t>
  </si>
  <si>
    <t>Q96P11-2</t>
  </si>
  <si>
    <t>Q96P16</t>
  </si>
  <si>
    <t>Q96P47</t>
  </si>
  <si>
    <t>Q96P48</t>
  </si>
  <si>
    <t>Q96P70</t>
  </si>
  <si>
    <t>Q96PC3-3</t>
  </si>
  <si>
    <t>Q96PK6</t>
  </si>
  <si>
    <t>Q96PM5</t>
  </si>
  <si>
    <t>Q96PM9</t>
  </si>
  <si>
    <t>Q96PQ6-4</t>
  </si>
  <si>
    <t>Q96PU5-6</t>
  </si>
  <si>
    <t>Q96PU8-9</t>
  </si>
  <si>
    <t>Q96PV6-2</t>
  </si>
  <si>
    <t>Q96PY5</t>
  </si>
  <si>
    <t>Q96PY6-2</t>
  </si>
  <si>
    <t>Q96PZ0</t>
  </si>
  <si>
    <t>Q96Q05-3</t>
  </si>
  <si>
    <t>Q96Q11-2</t>
  </si>
  <si>
    <t>Q96Q15</t>
  </si>
  <si>
    <t>Q96Q42</t>
  </si>
  <si>
    <t>Q96Q45-2</t>
  </si>
  <si>
    <t>Q96Q89-4</t>
  </si>
  <si>
    <t>Q96QC0</t>
  </si>
  <si>
    <t>Q96QD9</t>
  </si>
  <si>
    <t>Q96QE3-2</t>
  </si>
  <si>
    <t>Q96QF0-2</t>
  </si>
  <si>
    <t>Q96QG7</t>
  </si>
  <si>
    <t>Q96QK1</t>
  </si>
  <si>
    <t>Q96QR8</t>
  </si>
  <si>
    <t>Q96QT6-4</t>
  </si>
  <si>
    <t>Q96QU6</t>
  </si>
  <si>
    <t>Q96QU8</t>
  </si>
  <si>
    <t>Q96QZ7-7</t>
  </si>
  <si>
    <t>Q96R06</t>
  </si>
  <si>
    <t>Q96RE7</t>
  </si>
  <si>
    <t>Q96RF0-3</t>
  </si>
  <si>
    <t>Q96RG2</t>
  </si>
  <si>
    <t>Q96RL1</t>
  </si>
  <si>
    <t>Q96RL7-4</t>
  </si>
  <si>
    <t>Q96RN5</t>
  </si>
  <si>
    <t>Q96RP9</t>
  </si>
  <si>
    <t>Q96RQ3</t>
  </si>
  <si>
    <t>Q96RR4-6</t>
  </si>
  <si>
    <t>Q96RS0</t>
  </si>
  <si>
    <t>Q96RS6</t>
  </si>
  <si>
    <t>Q96RT1-9</t>
  </si>
  <si>
    <t>Q96RU2-2</t>
  </si>
  <si>
    <t>Q96RU3-2</t>
  </si>
  <si>
    <t>Q96RY7</t>
  </si>
  <si>
    <t>Q96S15-2</t>
  </si>
  <si>
    <t>Q96S19</t>
  </si>
  <si>
    <t>Q96S38</t>
  </si>
  <si>
    <t>Q96S44</t>
  </si>
  <si>
    <t>Q96S52-2</t>
  </si>
  <si>
    <t>Q96S55-2</t>
  </si>
  <si>
    <t>Q96S59</t>
  </si>
  <si>
    <t>Q96S66-4</t>
  </si>
  <si>
    <t>Q96S82</t>
  </si>
  <si>
    <t>Q96S90</t>
  </si>
  <si>
    <t>Q96S94</t>
  </si>
  <si>
    <t>Q96S99</t>
  </si>
  <si>
    <t>Q96SB3</t>
  </si>
  <si>
    <t>Q96SB8</t>
  </si>
  <si>
    <t>Q96SI1</t>
  </si>
  <si>
    <t>Q96SI9</t>
  </si>
  <si>
    <t>Q96SK2-2</t>
  </si>
  <si>
    <t>Q96SN8-4</t>
  </si>
  <si>
    <t>Q96ST2</t>
  </si>
  <si>
    <t>Q96ST3</t>
  </si>
  <si>
    <t>Q96SU4-7</t>
  </si>
  <si>
    <t>Q96SW2-2</t>
  </si>
  <si>
    <t>Q96SY0-4</t>
  </si>
  <si>
    <t>Q96SZ5</t>
  </si>
  <si>
    <t>Q96T21</t>
  </si>
  <si>
    <t>Q96T23-2</t>
  </si>
  <si>
    <t>Q96T37-2</t>
  </si>
  <si>
    <t>Q96T51</t>
  </si>
  <si>
    <t>Q96T58</t>
  </si>
  <si>
    <t>Q96T60</t>
  </si>
  <si>
    <t>Q96T76</t>
  </si>
  <si>
    <t>Q96T88</t>
  </si>
  <si>
    <t>Q96TA1-2</t>
  </si>
  <si>
    <t>Q96TC7</t>
  </si>
  <si>
    <t>Q99081</t>
  </si>
  <si>
    <t>Q99417</t>
  </si>
  <si>
    <t>Q99426</t>
  </si>
  <si>
    <t>Q99436</t>
  </si>
  <si>
    <t>Q99447</t>
  </si>
  <si>
    <t>Q99456</t>
  </si>
  <si>
    <t>Q99459</t>
  </si>
  <si>
    <t>Q99460</t>
  </si>
  <si>
    <t>Q99471</t>
  </si>
  <si>
    <t>Q99487</t>
  </si>
  <si>
    <t>Q99496</t>
  </si>
  <si>
    <t>Q99497</t>
  </si>
  <si>
    <t>Q99501</t>
  </si>
  <si>
    <t>Q99519</t>
  </si>
  <si>
    <t>Q99523</t>
  </si>
  <si>
    <t>Q99536</t>
  </si>
  <si>
    <t>Q99541</t>
  </si>
  <si>
    <t>Q99543</t>
  </si>
  <si>
    <t>Q99543-2</t>
  </si>
  <si>
    <t>Q99549</t>
  </si>
  <si>
    <t>Q99567</t>
  </si>
  <si>
    <t>Q99570</t>
  </si>
  <si>
    <t>Q99575</t>
  </si>
  <si>
    <t>Q99576-3</t>
  </si>
  <si>
    <t>Q99583</t>
  </si>
  <si>
    <t>Q99584</t>
  </si>
  <si>
    <t>Q99590-2</t>
  </si>
  <si>
    <t>Q99598</t>
  </si>
  <si>
    <t>Q99607</t>
  </si>
  <si>
    <t>Q99611</t>
  </si>
  <si>
    <t>Q99614</t>
  </si>
  <si>
    <t>Q99615</t>
  </si>
  <si>
    <t>Q99622</t>
  </si>
  <si>
    <t>Q99633</t>
  </si>
  <si>
    <t>Q99638</t>
  </si>
  <si>
    <t>Q99640-4</t>
  </si>
  <si>
    <t>Q99653</t>
  </si>
  <si>
    <t>Q99661</t>
  </si>
  <si>
    <t>Q99700-4</t>
  </si>
  <si>
    <t>Q99704</t>
  </si>
  <si>
    <t>Q99707</t>
  </si>
  <si>
    <t>Q99708</t>
  </si>
  <si>
    <t>Q99714</t>
  </si>
  <si>
    <t>Q99728</t>
  </si>
  <si>
    <t>Q99733</t>
  </si>
  <si>
    <t>Q99747</t>
  </si>
  <si>
    <t>Q99757</t>
  </si>
  <si>
    <t>Q99766</t>
  </si>
  <si>
    <t>Q99767-2</t>
  </si>
  <si>
    <t>Q99797</t>
  </si>
  <si>
    <t>Q99798</t>
  </si>
  <si>
    <t>Q99832</t>
  </si>
  <si>
    <t>Q99836</t>
  </si>
  <si>
    <t>Q99848</t>
  </si>
  <si>
    <t>Q99856</t>
  </si>
  <si>
    <t>Q99871-3</t>
  </si>
  <si>
    <t>Q99878</t>
  </si>
  <si>
    <t>Q99879</t>
  </si>
  <si>
    <t>Q99933-4</t>
  </si>
  <si>
    <t>Q99941-2</t>
  </si>
  <si>
    <t>Q99942</t>
  </si>
  <si>
    <t>Q99952</t>
  </si>
  <si>
    <t>Q99956</t>
  </si>
  <si>
    <t>Q99961</t>
  </si>
  <si>
    <t>Q99963-4</t>
  </si>
  <si>
    <t>Q99986</t>
  </si>
  <si>
    <t>Q99996-2</t>
  </si>
  <si>
    <t>Q9BPW8</t>
  </si>
  <si>
    <t>Q9BPX3</t>
  </si>
  <si>
    <t>Q9BPX5</t>
  </si>
  <si>
    <t>Q9BPX6-2</t>
  </si>
  <si>
    <t>Q9BPX7</t>
  </si>
  <si>
    <t>Q9BPZ3</t>
  </si>
  <si>
    <t>Q9BPZ7-3</t>
  </si>
  <si>
    <t>Q9BQ39</t>
  </si>
  <si>
    <t>Q9BQ52</t>
  </si>
  <si>
    <t>Q9BQ61</t>
  </si>
  <si>
    <t>Q9BQ67</t>
  </si>
  <si>
    <t>Q9BQ69</t>
  </si>
  <si>
    <t>Q9BQ70</t>
  </si>
  <si>
    <t>Q9BQ90</t>
  </si>
  <si>
    <t>Q9BQA1</t>
  </si>
  <si>
    <t>Q9BQB6-3</t>
  </si>
  <si>
    <t>Q9BQC3</t>
  </si>
  <si>
    <t>Q9BQE3</t>
  </si>
  <si>
    <t>Q9BQE5</t>
  </si>
  <si>
    <t>Q9BQE9-4</t>
  </si>
  <si>
    <t>Q9BQF6-4</t>
  </si>
  <si>
    <t>Q9BQG0</t>
  </si>
  <si>
    <t>Q9BQG2</t>
  </si>
  <si>
    <t>Q9BQI0-3</t>
  </si>
  <si>
    <t>Q9BQP7</t>
  </si>
  <si>
    <t>Q9BQQ3-3</t>
  </si>
  <si>
    <t>Q9BQS8</t>
  </si>
  <si>
    <t>Q9BQY4</t>
  </si>
  <si>
    <t>Q9BR61</t>
  </si>
  <si>
    <t>Q9BR76</t>
  </si>
  <si>
    <t>Q9BRA2</t>
  </si>
  <si>
    <t>Q9BRD0</t>
  </si>
  <si>
    <t>Q9BRF8</t>
  </si>
  <si>
    <t>Q9BRG1</t>
  </si>
  <si>
    <t>Q9BRK5</t>
  </si>
  <si>
    <t>Q9BRP1</t>
  </si>
  <si>
    <t>Q9BRP4</t>
  </si>
  <si>
    <t>Q9BRP8-2</t>
  </si>
  <si>
    <t>Q9BRR0</t>
  </si>
  <si>
    <t>Q9BRR6-2</t>
  </si>
  <si>
    <t>Q9BRR8</t>
  </si>
  <si>
    <t>Q9BRR9-4</t>
  </si>
  <si>
    <t>Q9BRS2</t>
  </si>
  <si>
    <t>Q9BRT3</t>
  </si>
  <si>
    <t>Q9BRT9</t>
  </si>
  <si>
    <t>Q9BRV8</t>
  </si>
  <si>
    <t>Q9BRX2</t>
  </si>
  <si>
    <t>Q9BRX5</t>
  </si>
  <si>
    <t>Q9BRX9</t>
  </si>
  <si>
    <t>Q9BRZ2</t>
  </si>
  <si>
    <t>Q9BS26</t>
  </si>
  <si>
    <t>Q9BSB4</t>
  </si>
  <si>
    <t>Q9BSC4</t>
  </si>
  <si>
    <t>Q9BSD7</t>
  </si>
  <si>
    <t>Q9BSE2</t>
  </si>
  <si>
    <t>Q9BSE4</t>
  </si>
  <si>
    <t>Q9BSF0</t>
  </si>
  <si>
    <t>Q9BSH4</t>
  </si>
  <si>
    <t>Q9BSH5</t>
  </si>
  <si>
    <t>Q9BSI4-2</t>
  </si>
  <si>
    <t>Q9BSJ2</t>
  </si>
  <si>
    <t>Q9BSJ5-3</t>
  </si>
  <si>
    <t>Q9BSJ8</t>
  </si>
  <si>
    <t>Q9BSL1</t>
  </si>
  <si>
    <t>Q9BSM1-3</t>
  </si>
  <si>
    <t>Q9BSQ5</t>
  </si>
  <si>
    <t>Q9BSR8</t>
  </si>
  <si>
    <t>Q9BST9-3</t>
  </si>
  <si>
    <t>Q9BSU1</t>
  </si>
  <si>
    <t>Q9BSU3</t>
  </si>
  <si>
    <t>Q9BSV6</t>
  </si>
  <si>
    <t>Q9BSW2-2</t>
  </si>
  <si>
    <t>Q9BSY4</t>
  </si>
  <si>
    <t>Q9BT09</t>
  </si>
  <si>
    <t>Q9BT25-2</t>
  </si>
  <si>
    <t>Q9BT30</t>
  </si>
  <si>
    <t>Q9BT73</t>
  </si>
  <si>
    <t>Q9BT78</t>
  </si>
  <si>
    <t>Q9BT92</t>
  </si>
  <si>
    <t>Q9BTA9-2</t>
  </si>
  <si>
    <t>Q9BTC0</t>
  </si>
  <si>
    <t>Q9BTD8-4</t>
  </si>
  <si>
    <t>Q9BTE1-2</t>
  </si>
  <si>
    <t>Q9BTE3-2</t>
  </si>
  <si>
    <t>Q9BTE6</t>
  </si>
  <si>
    <t>Q9BTE6-3</t>
  </si>
  <si>
    <t>Q9BTE7</t>
  </si>
  <si>
    <t>Q9BTF0</t>
  </si>
  <si>
    <t>Q9BTK6</t>
  </si>
  <si>
    <t>Q9BTL3</t>
  </si>
  <si>
    <t>Q9BTM9</t>
  </si>
  <si>
    <t>Q9BTT0</t>
  </si>
  <si>
    <t>Q9BTT4</t>
  </si>
  <si>
    <t>Q9BTV6</t>
  </si>
  <si>
    <t>Q9BTW9</t>
  </si>
  <si>
    <t>Q9BTX7</t>
  </si>
  <si>
    <t>Q9BTY2</t>
  </si>
  <si>
    <t>Q9BTY7</t>
  </si>
  <si>
    <t>Q9BU02</t>
  </si>
  <si>
    <t>Q9BU64</t>
  </si>
  <si>
    <t>Q9BU76</t>
  </si>
  <si>
    <t>Q9BU89</t>
  </si>
  <si>
    <t>Q9BUA3</t>
  </si>
  <si>
    <t>Q9BUB4</t>
  </si>
  <si>
    <t>Q9BUB5-2</t>
  </si>
  <si>
    <t>Q9BUE0</t>
  </si>
  <si>
    <t>Q9BUF5</t>
  </si>
  <si>
    <t>Q9BUH6</t>
  </si>
  <si>
    <t>Q9BUI4</t>
  </si>
  <si>
    <t>Q9BUJ2-2</t>
  </si>
  <si>
    <t>Q9BUK6-2</t>
  </si>
  <si>
    <t>Q9BUL9</t>
  </si>
  <si>
    <t>Q9BUN5</t>
  </si>
  <si>
    <t>Q9BUP0</t>
  </si>
  <si>
    <t>Q9BUQ8</t>
  </si>
  <si>
    <t>Q9BUR4</t>
  </si>
  <si>
    <t>Q9BUT1</t>
  </si>
  <si>
    <t>Q9BUT9</t>
  </si>
  <si>
    <t>Q9BUW7</t>
  </si>
  <si>
    <t>Q9BV19</t>
  </si>
  <si>
    <t>Q9BV20</t>
  </si>
  <si>
    <t>Q9BV38</t>
  </si>
  <si>
    <t>Q9BV40</t>
  </si>
  <si>
    <t>Q9BV44</t>
  </si>
  <si>
    <t>Q9BV57</t>
  </si>
  <si>
    <t>Q9BV68-2</t>
  </si>
  <si>
    <t>Q9BV73</t>
  </si>
  <si>
    <t>Q9BV79</t>
  </si>
  <si>
    <t>Q9BV86</t>
  </si>
  <si>
    <t>Q9BVA0</t>
  </si>
  <si>
    <t>Q9BVA1</t>
  </si>
  <si>
    <t>Q9BVC3</t>
  </si>
  <si>
    <t>Q9BVC5</t>
  </si>
  <si>
    <t>Q9BVC6</t>
  </si>
  <si>
    <t>Q9BVG4</t>
  </si>
  <si>
    <t>Q9BVI0</t>
  </si>
  <si>
    <t>Q9BVI4</t>
  </si>
  <si>
    <t>Q9BVJ6</t>
  </si>
  <si>
    <t>Q9BVJ7</t>
  </si>
  <si>
    <t>Q9BVK6</t>
  </si>
  <si>
    <t>Q9BVL4</t>
  </si>
  <si>
    <t>Q9BVM2</t>
  </si>
  <si>
    <t>Q9BVM4</t>
  </si>
  <si>
    <t>Q9BVP2-2</t>
  </si>
  <si>
    <t>Q9BVQ7</t>
  </si>
  <si>
    <t>Q9BVR6</t>
  </si>
  <si>
    <t>Q9BVS4</t>
  </si>
  <si>
    <t>Q9BW04</t>
  </si>
  <si>
    <t>Q9BW19</t>
  </si>
  <si>
    <t>Q9BW27</t>
  </si>
  <si>
    <t>Q9BW61</t>
  </si>
  <si>
    <t>Q9BW62</t>
  </si>
  <si>
    <t>Q9BW66</t>
  </si>
  <si>
    <t>Q9BW71</t>
  </si>
  <si>
    <t>Q9BW83</t>
  </si>
  <si>
    <t>Q9BW85</t>
  </si>
  <si>
    <t>Q9BW91-2</t>
  </si>
  <si>
    <t>Q9BW92</t>
  </si>
  <si>
    <t>Q9BWD1</t>
  </si>
  <si>
    <t>Q9BWE0</t>
  </si>
  <si>
    <t>Q9BWF3</t>
  </si>
  <si>
    <t>Q9BWH6</t>
  </si>
  <si>
    <t>Q9BWJ5</t>
  </si>
  <si>
    <t>Q9BWN1</t>
  </si>
  <si>
    <t>Q9BWS9-3</t>
  </si>
  <si>
    <t>Q9BWT3</t>
  </si>
  <si>
    <t>Q9BWT7</t>
  </si>
  <si>
    <t>Q9BWU0</t>
  </si>
  <si>
    <t>Q9BWW4-2</t>
  </si>
  <si>
    <t>Q9BWW5</t>
  </si>
  <si>
    <t>Q9BWW8</t>
  </si>
  <si>
    <t>Q9BX10-2</t>
  </si>
  <si>
    <t>Q9BX40</t>
  </si>
  <si>
    <t>Q9BX63</t>
  </si>
  <si>
    <t>Q9BX66-6</t>
  </si>
  <si>
    <t>Q9BX66-9</t>
  </si>
  <si>
    <t>Q9BX68</t>
  </si>
  <si>
    <t>Q9BXB4</t>
  </si>
  <si>
    <t>Q9BXD5</t>
  </si>
  <si>
    <t>Q9BXF6</t>
  </si>
  <si>
    <t>Q9BXH1</t>
  </si>
  <si>
    <t>Q9BXI6</t>
  </si>
  <si>
    <t>Q9BXJ9</t>
  </si>
  <si>
    <t>Q9BXK1</t>
  </si>
  <si>
    <t>Q9BXK5</t>
  </si>
  <si>
    <t>Q9BXL5</t>
  </si>
  <si>
    <t>Q9BXL7</t>
  </si>
  <si>
    <t>Q9BXP5-4</t>
  </si>
  <si>
    <t>Q9BXR0</t>
  </si>
  <si>
    <t>Q9BXS5</t>
  </si>
  <si>
    <t>Q9BXS6-2</t>
  </si>
  <si>
    <t>Q9BXS6-4</t>
  </si>
  <si>
    <t>Q9BXV9</t>
  </si>
  <si>
    <t>Q9BXW7-2</t>
  </si>
  <si>
    <t>Q9BXW9-2</t>
  </si>
  <si>
    <t>Q9BXY0</t>
  </si>
  <si>
    <t>Q9BY12-2</t>
  </si>
  <si>
    <t>Q9BY32</t>
  </si>
  <si>
    <t>Q9BY42</t>
  </si>
  <si>
    <t>Q9BY43</t>
  </si>
  <si>
    <t>Q9BY44</t>
  </si>
  <si>
    <t>Q9BY77</t>
  </si>
  <si>
    <t>Q9BYB4</t>
  </si>
  <si>
    <t>Q9BYC8</t>
  </si>
  <si>
    <t>Q9BYD6</t>
  </si>
  <si>
    <t>Q9BYE2-3</t>
  </si>
  <si>
    <t>Q9BYE7</t>
  </si>
  <si>
    <t>Q9BYG3</t>
  </si>
  <si>
    <t>Q9BYG5</t>
  </si>
  <si>
    <t>Q9BYI3</t>
  </si>
  <si>
    <t>Q9BYM8</t>
  </si>
  <si>
    <t>Q9BYN0</t>
  </si>
  <si>
    <t>Q9BYT8</t>
  </si>
  <si>
    <t>Q9BYV8</t>
  </si>
  <si>
    <t>Q9BYV9</t>
  </si>
  <si>
    <t>Q9BYW2</t>
  </si>
  <si>
    <t>Q9BYX4-2</t>
  </si>
  <si>
    <t>Q9BZ29-3</t>
  </si>
  <si>
    <t>Q9BZ95-4</t>
  </si>
  <si>
    <t>Q9BZD4</t>
  </si>
  <si>
    <t>Q9BZE2</t>
  </si>
  <si>
    <t>Q9BZE9</t>
  </si>
  <si>
    <t>Q9BZF1-3</t>
  </si>
  <si>
    <t>Q9BZF2</t>
  </si>
  <si>
    <t>Q9BZF3-2</t>
  </si>
  <si>
    <t>Q9BZH6</t>
  </si>
  <si>
    <t>Q9BZI7-2</t>
  </si>
  <si>
    <t>Q9BZJ0-2</t>
  </si>
  <si>
    <t>Q9BZK7</t>
  </si>
  <si>
    <t>Q9BZL1</t>
  </si>
  <si>
    <t>Q9BZL4</t>
  </si>
  <si>
    <t>Q9BZL6</t>
  </si>
  <si>
    <t>Q9BZM1</t>
  </si>
  <si>
    <t>Q9BZQ8</t>
  </si>
  <si>
    <t>Q9BZV1</t>
  </si>
  <si>
    <t>Q9BZX2</t>
  </si>
  <si>
    <t>Q9BZZ5-2</t>
  </si>
  <si>
    <t>Q9C004-2</t>
  </si>
  <si>
    <t>Q9C005</t>
  </si>
  <si>
    <t>Q9C010</t>
  </si>
  <si>
    <t>Q9C040</t>
  </si>
  <si>
    <t>Q9C073</t>
  </si>
  <si>
    <t>Q9C099-2</t>
  </si>
  <si>
    <t>Q9C0B0</t>
  </si>
  <si>
    <t>Q9C0B1</t>
  </si>
  <si>
    <t>Q9C0B2-3</t>
  </si>
  <si>
    <t>Q9C0B5-2</t>
  </si>
  <si>
    <t>Q9C0B7</t>
  </si>
  <si>
    <t>Q9C0C2</t>
  </si>
  <si>
    <t>Q9C0C4</t>
  </si>
  <si>
    <t>Q9C0C7-4</t>
  </si>
  <si>
    <t>Q9C0C9</t>
  </si>
  <si>
    <t>Q9C0D2</t>
  </si>
  <si>
    <t>Q9C0D3</t>
  </si>
  <si>
    <t>Q9C0D5</t>
  </si>
  <si>
    <t>Q9C0F1</t>
  </si>
  <si>
    <t>Q9C0G0</t>
  </si>
  <si>
    <t>Q9C0I1</t>
  </si>
  <si>
    <t>Q9C0J8</t>
  </si>
  <si>
    <t>Q9C0K7-2</t>
  </si>
  <si>
    <t>Q9GZL7</t>
  </si>
  <si>
    <t>Q9GZN2</t>
  </si>
  <si>
    <t>Q9GZN8</t>
  </si>
  <si>
    <t>Q9GZP4</t>
  </si>
  <si>
    <t>Q9GZQ3</t>
  </si>
  <si>
    <t>Q9GZR1-2</t>
  </si>
  <si>
    <t>Q9GZR2</t>
  </si>
  <si>
    <t>Q9GZS1-2</t>
  </si>
  <si>
    <t>Q9GZS3</t>
  </si>
  <si>
    <t>Q9GZT3-2</t>
  </si>
  <si>
    <t>Q9GZT4</t>
  </si>
  <si>
    <t>Q9GZT8-2</t>
  </si>
  <si>
    <t>Q9GZT9</t>
  </si>
  <si>
    <t>Q9GZU8</t>
  </si>
  <si>
    <t>Q9GZX9</t>
  </si>
  <si>
    <t>Q9GZY8-2</t>
  </si>
  <si>
    <t>Q9GZZ9</t>
  </si>
  <si>
    <t>Q9H008</t>
  </si>
  <si>
    <t>Q9H074</t>
  </si>
  <si>
    <t>Q9H074-2</t>
  </si>
  <si>
    <t>Q9H079</t>
  </si>
  <si>
    <t>Q9H081</t>
  </si>
  <si>
    <t>Q9H082</t>
  </si>
  <si>
    <t>Q9H094-2</t>
  </si>
  <si>
    <t>Q9H098</t>
  </si>
  <si>
    <t>Q9H0A0</t>
  </si>
  <si>
    <t>Q9H0A8</t>
  </si>
  <si>
    <t>Q9H0B6</t>
  </si>
  <si>
    <t>Q9H0C8</t>
  </si>
  <si>
    <t>Q9H0D6</t>
  </si>
  <si>
    <t>Q9H0E2</t>
  </si>
  <si>
    <t>Q9H0E9-2</t>
  </si>
  <si>
    <t>Q9H0F6</t>
  </si>
  <si>
    <t>Q9H0F7</t>
  </si>
  <si>
    <t>Q9H0G5</t>
  </si>
  <si>
    <t>Q9H0H5</t>
  </si>
  <si>
    <t>Q9H0I2-2</t>
  </si>
  <si>
    <t>Q9H0J9</t>
  </si>
  <si>
    <t>Q9H0K1</t>
  </si>
  <si>
    <t>Q9H0K6</t>
  </si>
  <si>
    <t>Q9H0L4</t>
  </si>
  <si>
    <t>Q9H0P0-3</t>
  </si>
  <si>
    <t>Q9H0R1</t>
  </si>
  <si>
    <t>Q9H0R4</t>
  </si>
  <si>
    <t>Q9H0R6</t>
  </si>
  <si>
    <t>Q9H0S4-2</t>
  </si>
  <si>
    <t>Q9H0U4</t>
  </si>
  <si>
    <t>Q9H0U9</t>
  </si>
  <si>
    <t>Q9H0W5</t>
  </si>
  <si>
    <t>Q9H0W8-2</t>
  </si>
  <si>
    <t>Q9H0W9</t>
  </si>
  <si>
    <t>Q9H116</t>
  </si>
  <si>
    <t>Q9H173</t>
  </si>
  <si>
    <t>Q9H175</t>
  </si>
  <si>
    <t>Q9H1A4</t>
  </si>
  <si>
    <t>Q9H1B7</t>
  </si>
  <si>
    <t>Q9H1D9</t>
  </si>
  <si>
    <t>Q9H1E3</t>
  </si>
  <si>
    <t>Q9H1I8</t>
  </si>
  <si>
    <t>Q9H1J1-2</t>
  </si>
  <si>
    <t>Q9H1K1</t>
  </si>
  <si>
    <t>Q9H1K6</t>
  </si>
  <si>
    <t>Q9H1P3-2</t>
  </si>
  <si>
    <t>Q9H1Y0</t>
  </si>
  <si>
    <t>Q9H1Z4</t>
  </si>
  <si>
    <t>Q9H204</t>
  </si>
  <si>
    <t>Q9H211</t>
  </si>
  <si>
    <t>Q9H223</t>
  </si>
  <si>
    <t>Q9H267</t>
  </si>
  <si>
    <t>Q9H269</t>
  </si>
  <si>
    <t>Q9H270</t>
  </si>
  <si>
    <t>Q9H2C0</t>
  </si>
  <si>
    <t>Q9H2D6-5</t>
  </si>
  <si>
    <t>Q9H2F5-2</t>
  </si>
  <si>
    <t>Q9H2G2-2</t>
  </si>
  <si>
    <t>Q9H2H8</t>
  </si>
  <si>
    <t>Q9H2J4</t>
  </si>
  <si>
    <t>Q9H2K0</t>
  </si>
  <si>
    <t>Q9H2K8</t>
  </si>
  <si>
    <t>Q9H2M9</t>
  </si>
  <si>
    <t>Q9H2P0</t>
  </si>
  <si>
    <t>Q9H2P9</t>
  </si>
  <si>
    <t>Q9H2U1-3</t>
  </si>
  <si>
    <t>Q9H2U2</t>
  </si>
  <si>
    <t>Q9H2W6</t>
  </si>
  <si>
    <t>Q9H2Y7</t>
  </si>
  <si>
    <t>Q9H307</t>
  </si>
  <si>
    <t>Q9H3C7</t>
  </si>
  <si>
    <t>Q9H3F6</t>
  </si>
  <si>
    <t>Q9H3G5</t>
  </si>
  <si>
    <t>Q9H3H1-4</t>
  </si>
  <si>
    <t>Q9H3H3-2</t>
  </si>
  <si>
    <t>Q9H3K6</t>
  </si>
  <si>
    <t>Q9H3L0</t>
  </si>
  <si>
    <t>Q9H3N1</t>
  </si>
  <si>
    <t>Q9H3P2</t>
  </si>
  <si>
    <t>Q9H3P7</t>
  </si>
  <si>
    <t>Q9H3Q1</t>
  </si>
  <si>
    <t>Q9H3S7</t>
  </si>
  <si>
    <t>Q9H3U1</t>
  </si>
  <si>
    <t>Q9H3Y8</t>
  </si>
  <si>
    <t>Q9H410</t>
  </si>
  <si>
    <t>Q9H425-3</t>
  </si>
  <si>
    <t>Q9H444</t>
  </si>
  <si>
    <t>Q9H469</t>
  </si>
  <si>
    <t>Q9H479</t>
  </si>
  <si>
    <t>Q9H488</t>
  </si>
  <si>
    <t>Q9H496</t>
  </si>
  <si>
    <t>Q9H4A4</t>
  </si>
  <si>
    <t>Q9H4A5</t>
  </si>
  <si>
    <t>Q9H4A6</t>
  </si>
  <si>
    <t>Q9H4E7</t>
  </si>
  <si>
    <t>Q9H4G0-2</t>
  </si>
  <si>
    <t>Q9H4H8-2</t>
  </si>
  <si>
    <t>Q9H4I2</t>
  </si>
  <si>
    <t>Q9H4L5</t>
  </si>
  <si>
    <t>Q9H4L7</t>
  </si>
  <si>
    <t>Q9H4M3-2</t>
  </si>
  <si>
    <t>Q9H4M7-2</t>
  </si>
  <si>
    <t>Q9H4M9</t>
  </si>
  <si>
    <t>Q9H4P4-2</t>
  </si>
  <si>
    <t>Q9H4Z2-2</t>
  </si>
  <si>
    <t>Q9H4Z3</t>
  </si>
  <si>
    <t>Q9H501</t>
  </si>
  <si>
    <t>Q9H568</t>
  </si>
  <si>
    <t>Q9H582-2</t>
  </si>
  <si>
    <t>Q9H583</t>
  </si>
  <si>
    <t>Q9H5H4</t>
  </si>
  <si>
    <t>Q9H5J0</t>
  </si>
  <si>
    <t>Q9H5J8</t>
  </si>
  <si>
    <t>Q9H5N1</t>
  </si>
  <si>
    <t>Q9H5Q4</t>
  </si>
  <si>
    <t>Q9H5V7</t>
  </si>
  <si>
    <t>Q9H5V9-2</t>
  </si>
  <si>
    <t>Q9H5X1</t>
  </si>
  <si>
    <t>Q9H5Z1-2</t>
  </si>
  <si>
    <t>Q9H633-3</t>
  </si>
  <si>
    <t>Q9H6A9-2</t>
  </si>
  <si>
    <t>Q9H6D7</t>
  </si>
  <si>
    <t>Q9H6E4</t>
  </si>
  <si>
    <t>Q9H6E5</t>
  </si>
  <si>
    <t>Q9H6F5</t>
  </si>
  <si>
    <t>Q9H6H4</t>
  </si>
  <si>
    <t>Q9H6K1</t>
  </si>
  <si>
    <t>Q9H6L4</t>
  </si>
  <si>
    <t>Q9H6Q4</t>
  </si>
  <si>
    <t>Q9H6R4-4</t>
  </si>
  <si>
    <t>Q9H6R7</t>
  </si>
  <si>
    <t>Q9H6S0</t>
  </si>
  <si>
    <t>Q9H6S1</t>
  </si>
  <si>
    <t>Q9H6S3-2</t>
  </si>
  <si>
    <t>Q9H6T3-2</t>
  </si>
  <si>
    <t>Q9H6U6-2</t>
  </si>
  <si>
    <t>Q9H6W3</t>
  </si>
  <si>
    <t>Q9H6Y2</t>
  </si>
  <si>
    <t>Q9H6Z4</t>
  </si>
  <si>
    <t>Q9H6Z4-2</t>
  </si>
  <si>
    <t>Q9H773</t>
  </si>
  <si>
    <t>Q9H777</t>
  </si>
  <si>
    <t>Q9H7B4</t>
  </si>
  <si>
    <t>Q9H7C9</t>
  </si>
  <si>
    <t>Q9H7D7-2</t>
  </si>
  <si>
    <t>Q9H7E2-3</t>
  </si>
  <si>
    <t>Q9H7E9</t>
  </si>
  <si>
    <t>Q9H7L9</t>
  </si>
  <si>
    <t>Q9H7N4</t>
  </si>
  <si>
    <t>Q9H7P9</t>
  </si>
  <si>
    <t>Q9H7X3</t>
  </si>
  <si>
    <t>Q9H7Z6</t>
  </si>
  <si>
    <t>Q9H7Z7</t>
  </si>
  <si>
    <t>Q9H814</t>
  </si>
  <si>
    <t>Q9H832</t>
  </si>
  <si>
    <t>Q9H840</t>
  </si>
  <si>
    <t>Q9H845</t>
  </si>
  <si>
    <t>Q9H867-5</t>
  </si>
  <si>
    <t>Q9H869-5</t>
  </si>
  <si>
    <t>Q9H871</t>
  </si>
  <si>
    <t>Q9H875</t>
  </si>
  <si>
    <t>Q9H8E8</t>
  </si>
  <si>
    <t>Q9H8G2</t>
  </si>
  <si>
    <t>Q9H8H0</t>
  </si>
  <si>
    <t>Q9H8K7</t>
  </si>
  <si>
    <t>Q9H8M2</t>
  </si>
  <si>
    <t>Q9H8M7</t>
  </si>
  <si>
    <t>Q9H8S9</t>
  </si>
  <si>
    <t>Q9H8U3</t>
  </si>
  <si>
    <t>Q9H8V3</t>
  </si>
  <si>
    <t>Q9H8W4</t>
  </si>
  <si>
    <t>Q9H8Y5</t>
  </si>
  <si>
    <t>Q9H8Y8</t>
  </si>
  <si>
    <t>Q9H900</t>
  </si>
  <si>
    <t>Q9H910-2</t>
  </si>
  <si>
    <t>Q9H939</t>
  </si>
  <si>
    <t>Q9H944</t>
  </si>
  <si>
    <t>Q9H967</t>
  </si>
  <si>
    <t>Q9H974</t>
  </si>
  <si>
    <t>Q9H993</t>
  </si>
  <si>
    <t>Q9H999</t>
  </si>
  <si>
    <t>Q9H9A5-2</t>
  </si>
  <si>
    <t>Q9H9A6</t>
  </si>
  <si>
    <t>Q9H9A7</t>
  </si>
  <si>
    <t>Q9H9B1</t>
  </si>
  <si>
    <t>Q9H9B4</t>
  </si>
  <si>
    <t>Q9H9C1-2</t>
  </si>
  <si>
    <t>Q9H9E3</t>
  </si>
  <si>
    <t>Q9H9F9</t>
  </si>
  <si>
    <t>Q9H9G7</t>
  </si>
  <si>
    <t>Q9H9H4</t>
  </si>
  <si>
    <t>Q9H9J2</t>
  </si>
  <si>
    <t>Q9H9L3</t>
  </si>
  <si>
    <t>Q9H9Q4</t>
  </si>
  <si>
    <t>Q9H9S4</t>
  </si>
  <si>
    <t>Q9H9T3-2</t>
  </si>
  <si>
    <t>Q9H9V9-2</t>
  </si>
  <si>
    <t>Q9H9Y4</t>
  </si>
  <si>
    <t>Q9H9Y6-2</t>
  </si>
  <si>
    <t>Q9HA38-2</t>
  </si>
  <si>
    <t>Q9HA47-3</t>
  </si>
  <si>
    <t>Q9HA64</t>
  </si>
  <si>
    <t>Q9HA65-2</t>
  </si>
  <si>
    <t>Q9HA77</t>
  </si>
  <si>
    <t>Q9HAB8</t>
  </si>
  <si>
    <t>Q9HAF1-2</t>
  </si>
  <si>
    <t>Q9HAJ7</t>
  </si>
  <si>
    <t>Q9HAN9</t>
  </si>
  <si>
    <t>Q9HAR2-3</t>
  </si>
  <si>
    <t>Q9HAT2</t>
  </si>
  <si>
    <t>Q9HAT8</t>
  </si>
  <si>
    <t>Q9HAU0</t>
  </si>
  <si>
    <t>Q9HAU4</t>
  </si>
  <si>
    <t>Q9HAU5</t>
  </si>
  <si>
    <t>Q9HAU8</t>
  </si>
  <si>
    <t>Q9HAV4</t>
  </si>
  <si>
    <t>Q9HAV7</t>
  </si>
  <si>
    <t>Q9HAW4-2</t>
  </si>
  <si>
    <t>Q9HB19</t>
  </si>
  <si>
    <t>Q9HB21</t>
  </si>
  <si>
    <t>Q9HB40</t>
  </si>
  <si>
    <t>Q9HB58-6</t>
  </si>
  <si>
    <t>Q9HB71</t>
  </si>
  <si>
    <t>Q9HB90</t>
  </si>
  <si>
    <t>Q9HB96</t>
  </si>
  <si>
    <t>Q9HBE1-4</t>
  </si>
  <si>
    <t>Q9HBE4-2</t>
  </si>
  <si>
    <t>Q9HBI1</t>
  </si>
  <si>
    <t>Q9HBL8</t>
  </si>
  <si>
    <t>Q9HBM1</t>
  </si>
  <si>
    <t>Q9HBM6</t>
  </si>
  <si>
    <t>Q9HBM8</t>
  </si>
  <si>
    <t>Q9HBN3</t>
  </si>
  <si>
    <t>Q9HBR0</t>
  </si>
  <si>
    <t>Q9HBU6</t>
  </si>
  <si>
    <t>Q9HC35</t>
  </si>
  <si>
    <t>Q9HC38-2</t>
  </si>
  <si>
    <t>Q9HC44</t>
  </si>
  <si>
    <t>Q9HC52</t>
  </si>
  <si>
    <t>Q9HC77</t>
  </si>
  <si>
    <t>Q9HCC0</t>
  </si>
  <si>
    <t>Q9HCC9-2</t>
  </si>
  <si>
    <t>Q9HCC9-5</t>
  </si>
  <si>
    <t>Q9HCD5</t>
  </si>
  <si>
    <t>Q9HCE0-2</t>
  </si>
  <si>
    <t>Q9HCE1</t>
  </si>
  <si>
    <t>Q9HCE5</t>
  </si>
  <si>
    <t>Q9HCH0-3</t>
  </si>
  <si>
    <t>Q9HCI7</t>
  </si>
  <si>
    <t>Q9HCJ0</t>
  </si>
  <si>
    <t>Q9HCJ3-2</t>
  </si>
  <si>
    <t>Q9HCK8</t>
  </si>
  <si>
    <t>Q9HCM4-4</t>
  </si>
  <si>
    <t>Q9HCN4-2</t>
  </si>
  <si>
    <t>Q9HCN8</t>
  </si>
  <si>
    <t>Q9HCU8</t>
  </si>
  <si>
    <t>Q9HD15</t>
  </si>
  <si>
    <t>Q9HD20-2</t>
  </si>
  <si>
    <t>Q9HD26</t>
  </si>
  <si>
    <t>Q9HD40</t>
  </si>
  <si>
    <t>Q9HD42</t>
  </si>
  <si>
    <t>Q9HD45</t>
  </si>
  <si>
    <t>Q9HD47-2</t>
  </si>
  <si>
    <t>Q9HDC5</t>
  </si>
  <si>
    <t>Q9HDC9-2</t>
  </si>
  <si>
    <t>Q9NNW5</t>
  </si>
  <si>
    <t>Q9NNX1-3</t>
  </si>
  <si>
    <t>Q9NP50</t>
  </si>
  <si>
    <t>Q9NP66</t>
  </si>
  <si>
    <t>Q9NP72</t>
  </si>
  <si>
    <t>Q9NP73</t>
  </si>
  <si>
    <t>Q9NP74</t>
  </si>
  <si>
    <t>Q9NP77</t>
  </si>
  <si>
    <t>Q9NP79</t>
  </si>
  <si>
    <t>Q9NP97</t>
  </si>
  <si>
    <t>Q9NPA3</t>
  </si>
  <si>
    <t>Q9NPA8-2</t>
  </si>
  <si>
    <t>Q9NPB8</t>
  </si>
  <si>
    <t>Q9NPD3</t>
  </si>
  <si>
    <t>Q9NPD8</t>
  </si>
  <si>
    <t>Q9NPE3</t>
  </si>
  <si>
    <t>Q9NPF4</t>
  </si>
  <si>
    <t>Q9NPF5</t>
  </si>
  <si>
    <t>Q9NPG3-2</t>
  </si>
  <si>
    <t>Q9NPH3-5</t>
  </si>
  <si>
    <t>Q9NPI1</t>
  </si>
  <si>
    <t>Q9NPI6</t>
  </si>
  <si>
    <t>Q9NPI8</t>
  </si>
  <si>
    <t>Q9NPJ3</t>
  </si>
  <si>
    <t>Q9NPJ6</t>
  </si>
  <si>
    <t>Q9NPJ8</t>
  </si>
  <si>
    <t>Q9NPQ8</t>
  </si>
  <si>
    <t>Q9NQ29</t>
  </si>
  <si>
    <t>Q9NQ55-2</t>
  </si>
  <si>
    <t>Q9NQ88</t>
  </si>
  <si>
    <t>Q9NQ89</t>
  </si>
  <si>
    <t>Q9NQ92</t>
  </si>
  <si>
    <t>Q9NQA3</t>
  </si>
  <si>
    <t>Q9NQC3</t>
  </si>
  <si>
    <t>Q9NQE9</t>
  </si>
  <si>
    <t>Q9NQG5</t>
  </si>
  <si>
    <t>Q9NQG6</t>
  </si>
  <si>
    <t>Q9NQH7-2</t>
  </si>
  <si>
    <t>Q9NQL2</t>
  </si>
  <si>
    <t>Q9NQP4</t>
  </si>
  <si>
    <t>Q9NQR1-2</t>
  </si>
  <si>
    <t>Q9NQR4</t>
  </si>
  <si>
    <t>Q9NQS1</t>
  </si>
  <si>
    <t>Q9NQS7-2</t>
  </si>
  <si>
    <t>Q9NQT4</t>
  </si>
  <si>
    <t>Q9NQT5</t>
  </si>
  <si>
    <t>Q9NQT8</t>
  </si>
  <si>
    <t>Q9NQV6-2</t>
  </si>
  <si>
    <t>Q9NQW6</t>
  </si>
  <si>
    <t>Q9NQW7-3</t>
  </si>
  <si>
    <t>Q9NQX3</t>
  </si>
  <si>
    <t>Q9NQY0</t>
  </si>
  <si>
    <t>Q9NQZ2</t>
  </si>
  <si>
    <t>Q9NQZ5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</si>
  <si>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</si>
  <si>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</si>
  <si>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</si>
  <si>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</si>
  <si>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</si>
  <si>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</si>
  <si>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</si>
  <si>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</si>
  <si>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Q9NR46</t>
  </si>
  <si>
    <t>Q9NR50</t>
  </si>
  <si>
    <t>Q9NR82-4</t>
  </si>
  <si>
    <t>Q9NRD1</t>
  </si>
  <si>
    <t>Q9NRD5</t>
  </si>
  <si>
    <t>Q9NRF2-3</t>
  </si>
  <si>
    <t>Q9NRF8</t>
  </si>
  <si>
    <t>Q9NRF9</t>
  </si>
  <si>
    <t>Q9NRG0</t>
  </si>
  <si>
    <t>Q9NRG1</t>
  </si>
  <si>
    <t>Q9NRG4</t>
  </si>
  <si>
    <t>Q9NRH1</t>
  </si>
  <si>
    <t>Q9NRH2</t>
  </si>
  <si>
    <t>Q9NRL2-2</t>
  </si>
  <si>
    <t>Q9NRL3</t>
  </si>
  <si>
    <t>Q9NRN7</t>
  </si>
  <si>
    <t>Q9NRN9</t>
  </si>
  <si>
    <t>Q9NRR4-2</t>
  </si>
  <si>
    <t>Q9NRR5</t>
  </si>
  <si>
    <t>Q9NRS6</t>
  </si>
  <si>
    <t>Q9NRV9</t>
  </si>
  <si>
    <t>Q9NRW1</t>
  </si>
  <si>
    <t>Q9NRW4</t>
  </si>
  <si>
    <t>Q9NRW7</t>
  </si>
  <si>
    <t>Q9NRX4</t>
  </si>
  <si>
    <t>Q9NRY2</t>
  </si>
  <si>
    <t>Q9NRY4</t>
  </si>
  <si>
    <t>Q9NRY5</t>
  </si>
  <si>
    <t>Q9NRZ9-6</t>
  </si>
  <si>
    <t>Q9NS18</t>
  </si>
  <si>
    <t>Q9NS56</t>
  </si>
  <si>
    <t>Q9NS73-2</t>
  </si>
  <si>
    <t>Q9NS86</t>
  </si>
  <si>
    <t>Q9NS87-2</t>
  </si>
  <si>
    <t>Q9NS91</t>
  </si>
  <si>
    <t>Q9NSA3</t>
  </si>
  <si>
    <t>Q9NSC5-5</t>
  </si>
  <si>
    <t>Q9NSD9</t>
  </si>
  <si>
    <t>Q9NSE2</t>
  </si>
  <si>
    <t>Q9NSE4</t>
  </si>
  <si>
    <t>Q9NSG2</t>
  </si>
  <si>
    <t>Q9NSI2-2</t>
  </si>
  <si>
    <t>Q9NSI6-3</t>
  </si>
  <si>
    <t>Q9NSI8</t>
  </si>
  <si>
    <t>Q9NSK0</t>
  </si>
  <si>
    <t>Q9NSY0</t>
  </si>
  <si>
    <t>Q9NSY1</t>
  </si>
  <si>
    <t>Q9NT62</t>
  </si>
  <si>
    <t>Q9NT99</t>
  </si>
  <si>
    <t>Q9NTG7</t>
  </si>
  <si>
    <t>Q9NTI5-2</t>
  </si>
  <si>
    <t>Q9NTJ3</t>
  </si>
  <si>
    <t>Q9NTJ4-3</t>
  </si>
  <si>
    <t>Q9NTK5</t>
  </si>
  <si>
    <t>Q9NTK5-2</t>
  </si>
  <si>
    <t>Q9NTM9</t>
  </si>
  <si>
    <t>Q9NTW7-3</t>
  </si>
  <si>
    <t>Q9NTX5-2</t>
  </si>
  <si>
    <t>Q9NTZ6</t>
  </si>
  <si>
    <t>Q9NU19</t>
  </si>
  <si>
    <t>Q9NU22</t>
  </si>
  <si>
    <t>Q9NU23</t>
  </si>
  <si>
    <t>Q9NUB1-3</t>
  </si>
  <si>
    <t>Q9NUD5</t>
  </si>
  <si>
    <t>Q9NUG6</t>
  </si>
  <si>
    <t>Q9NUJ1</t>
  </si>
  <si>
    <t>Q9NUJ3</t>
  </si>
  <si>
    <t>Q9NUM4</t>
  </si>
  <si>
    <t>Q9NUP1</t>
  </si>
  <si>
    <t>Q9NUP7</t>
  </si>
  <si>
    <t>Q9NUQ3</t>
  </si>
  <si>
    <t>Q9NUQ6-2</t>
  </si>
  <si>
    <t>Q9NUQ8-2</t>
  </si>
  <si>
    <t>Q9NUQ9</t>
  </si>
  <si>
    <t>Q9NUS5</t>
  </si>
  <si>
    <t>Q9NUU7</t>
  </si>
  <si>
    <t>Q9NUW8</t>
  </si>
  <si>
    <t>Q9NUX5-2</t>
  </si>
  <si>
    <t>Q9NUY8-2</t>
  </si>
  <si>
    <t>Q9NV06</t>
  </si>
  <si>
    <t>Q9NV31</t>
  </si>
  <si>
    <t>Q9NV35</t>
  </si>
  <si>
    <t>Q9NV56</t>
  </si>
  <si>
    <t>Q9NV70-2</t>
  </si>
  <si>
    <t>Q9NV88-3</t>
  </si>
  <si>
    <t>Q9NV96-3</t>
  </si>
  <si>
    <t>Q9NVA4</t>
  </si>
  <si>
    <t>Q9NVC6</t>
  </si>
  <si>
    <t>Q9NVE5</t>
  </si>
  <si>
    <t>Q9NVE7</t>
  </si>
  <si>
    <t>Q9NVF7</t>
  </si>
  <si>
    <t>Q9NVG8</t>
  </si>
  <si>
    <t>Q9NVH0-2</t>
  </si>
  <si>
    <t>Q9NVH2-3</t>
  </si>
  <si>
    <t>Q9NVH6</t>
  </si>
  <si>
    <t>Q9NVI1</t>
  </si>
  <si>
    <t>Q9NVI7-2</t>
  </si>
  <si>
    <t>Q9NVJ2</t>
  </si>
  <si>
    <t>Q9NVM4-3</t>
  </si>
  <si>
    <t>Q9NVM6</t>
  </si>
  <si>
    <t>Q9NVM9</t>
  </si>
  <si>
    <t>Q9NVN3-3</t>
  </si>
  <si>
    <t>Q9NVN8</t>
  </si>
  <si>
    <t>Q9NVP1</t>
  </si>
  <si>
    <t>Q9NVP2</t>
  </si>
  <si>
    <t>Q9NVR0</t>
  </si>
  <si>
    <t>Q9NVR2</t>
  </si>
  <si>
    <t>Q9NVR5</t>
  </si>
  <si>
    <t>Q9NVT9</t>
  </si>
  <si>
    <t>Q9NVU0-5</t>
  </si>
  <si>
    <t>Q9NVU7-2</t>
  </si>
  <si>
    <t>Q9NVW2</t>
  </si>
  <si>
    <t>Q9NVX0</t>
  </si>
  <si>
    <t>Q9NVX2</t>
  </si>
  <si>
    <t>Q9NVZ3</t>
  </si>
  <si>
    <t>Q9NW08-2</t>
  </si>
  <si>
    <t>Q9NW13</t>
  </si>
  <si>
    <t>Q9NW64</t>
  </si>
  <si>
    <t>Q9NW68-4</t>
  </si>
  <si>
    <t>Q9NW75-2</t>
  </si>
  <si>
    <t>Q9NW82</t>
  </si>
  <si>
    <t>Q9NW97</t>
  </si>
  <si>
    <t>Q9NWA0</t>
  </si>
  <si>
    <t>Q9NWB6</t>
  </si>
  <si>
    <t>Q9NWB7</t>
  </si>
  <si>
    <t>Q9NWD9</t>
  </si>
  <si>
    <t>Q9NWH9</t>
  </si>
  <si>
    <t>Q9NWK9</t>
  </si>
  <si>
    <t>Q9NWM3</t>
  </si>
  <si>
    <t>Q9NWM8</t>
  </si>
  <si>
    <t>Q9NWQ9</t>
  </si>
  <si>
    <t>Q9NWS0</t>
  </si>
  <si>
    <t>Q9NWS6</t>
  </si>
  <si>
    <t>Q9NWT1</t>
  </si>
  <si>
    <t>Q9NWT6</t>
  </si>
  <si>
    <t>Q9NWT8</t>
  </si>
  <si>
    <t>Q9NWU1</t>
  </si>
  <si>
    <t>Q9NWU2</t>
  </si>
  <si>
    <t>Q9NWV4</t>
  </si>
  <si>
    <t>Q9NWW7</t>
  </si>
  <si>
    <t>Q9NWX6</t>
  </si>
  <si>
    <t>Q9NWY4</t>
  </si>
  <si>
    <t>Q9NWZ3</t>
  </si>
  <si>
    <t>Q9NWZ5-3</t>
  </si>
  <si>
    <t>Q9NWZ8</t>
  </si>
  <si>
    <t>Q9NX01</t>
  </si>
  <si>
    <t>Q9NX02-5</t>
  </si>
  <si>
    <t>Q9NX07</t>
  </si>
  <si>
    <t>Q9NX08</t>
  </si>
  <si>
    <t>Q9NX09</t>
  </si>
  <si>
    <t>Q9NX24</t>
  </si>
  <si>
    <t>Q9NX38</t>
  </si>
  <si>
    <t>Q9NX46</t>
  </si>
  <si>
    <t>Q9NX55</t>
  </si>
  <si>
    <t>Q9NX58</t>
  </si>
  <si>
    <t>Q9NX63</t>
  </si>
  <si>
    <t>Q9NX70</t>
  </si>
  <si>
    <t>Q9NX74</t>
  </si>
  <si>
    <t>Q9NXA8</t>
  </si>
  <si>
    <t>Q9NXC5</t>
  </si>
  <si>
    <t>Q9NXE8</t>
  </si>
  <si>
    <t>Q9NXF7</t>
  </si>
  <si>
    <t>Q9NXG2</t>
  </si>
  <si>
    <t>Q9NXH9</t>
  </si>
  <si>
    <t>Q9NXJ5</t>
  </si>
  <si>
    <t>Q9NXK8</t>
  </si>
  <si>
    <t>Q9NXN4-2</t>
  </si>
  <si>
    <t>Q9NXR1-2</t>
  </si>
  <si>
    <t>Q9NXR7</t>
  </si>
  <si>
    <t>Q9NXU5</t>
  </si>
  <si>
    <t>Q9NXV2</t>
  </si>
  <si>
    <t>Q9NXV6</t>
  </si>
  <si>
    <t>Q9NXW2</t>
  </si>
  <si>
    <t>Q9NXW9</t>
  </si>
  <si>
    <t>Q9NXX6</t>
  </si>
  <si>
    <t>Q9NXZ1</t>
  </si>
  <si>
    <t>Q9NY12-2</t>
  </si>
  <si>
    <t>Q9NY27</t>
  </si>
  <si>
    <t>Q9NY33</t>
  </si>
  <si>
    <t>Q9NY61</t>
  </si>
  <si>
    <t>Q9NY93</t>
  </si>
  <si>
    <t>Q9NYB0</t>
  </si>
  <si>
    <t>Q9NYF8-2</t>
  </si>
  <si>
    <t>Q9NYH9</t>
  </si>
  <si>
    <t>Q9NYJ1</t>
  </si>
  <si>
    <t>Q9NYJ8</t>
  </si>
  <si>
    <t>Q9NYK6-3</t>
  </si>
  <si>
    <t>Q9NYL2</t>
  </si>
  <si>
    <t>Q9NYL2-2</t>
  </si>
  <si>
    <t>Q9NYL9</t>
  </si>
  <si>
    <t>Q9NYP9</t>
  </si>
  <si>
    <t>Q9NYU2-2</t>
  </si>
  <si>
    <t>Q9NYV4-2</t>
  </si>
  <si>
    <t>Q9NYY8-2</t>
  </si>
  <si>
    <t>Q9NYZ3</t>
  </si>
  <si>
    <t>Q9NZ08</t>
  </si>
  <si>
    <t>Q9NZ09-2</t>
  </si>
  <si>
    <t>Q9NZ32</t>
  </si>
  <si>
    <t>Q9NZ52</t>
  </si>
  <si>
    <t>Q9NZ53</t>
  </si>
  <si>
    <t>Q9NZ63</t>
  </si>
  <si>
    <t>Q9NZA1-3</t>
  </si>
  <si>
    <t>Q9NZB2</t>
  </si>
  <si>
    <t>Q9NZC9</t>
  </si>
  <si>
    <t>Q9NZD2</t>
  </si>
  <si>
    <t>Q9NZD4</t>
  </si>
  <si>
    <t>Q9NZI7-4</t>
  </si>
  <si>
    <t>Q9NZI8</t>
  </si>
  <si>
    <t>Q9NZJ6</t>
  </si>
  <si>
    <t>Q9NZJ9</t>
  </si>
  <si>
    <t>Q9NZJ9-2</t>
  </si>
  <si>
    <t>Q9NZL4</t>
  </si>
  <si>
    <t>Q9NZL9</t>
  </si>
  <si>
    <t>Q9NZM3-2</t>
  </si>
  <si>
    <t>Q9NZM4-2</t>
  </si>
  <si>
    <t>Q9NZM5</t>
  </si>
  <si>
    <t>Q9NZN4</t>
  </si>
  <si>
    <t>Q9NZN5-2</t>
  </si>
  <si>
    <t>Q9NZQ3-3</t>
  </si>
  <si>
    <t>Q9NZR2</t>
  </si>
  <si>
    <t>Q9NZT2-2</t>
  </si>
  <si>
    <t>Q9NZV6</t>
  </si>
  <si>
    <t>Q9NZW5</t>
  </si>
  <si>
    <t>Q9NZZ3</t>
  </si>
  <si>
    <t>Q9P000</t>
  </si>
  <si>
    <t>Q9P013</t>
  </si>
  <si>
    <t>Q9P016</t>
  </si>
  <si>
    <t>Q9P031</t>
  </si>
  <si>
    <t>Q9P032</t>
  </si>
  <si>
    <t>Q9P035</t>
  </si>
  <si>
    <t>Q9P0J7</t>
  </si>
  <si>
    <t>Q9P0K7-3</t>
  </si>
  <si>
    <t>Q9P0L0</t>
  </si>
  <si>
    <t>Q9P0N9-3</t>
  </si>
  <si>
    <t>Q9P0P8</t>
  </si>
  <si>
    <t>Q9P0R6</t>
  </si>
  <si>
    <t>Q9P0U4</t>
  </si>
  <si>
    <t>Q9P0W2</t>
  </si>
  <si>
    <t>Q9P107</t>
  </si>
  <si>
    <t>Q9P1F3</t>
  </si>
  <si>
    <t>Q9P1Q0-3</t>
  </si>
  <si>
    <t>Q9P1U0</t>
  </si>
  <si>
    <t>Q9P1U1</t>
  </si>
  <si>
    <t>Q9P1Z2-2</t>
  </si>
  <si>
    <t>Q9P206-2</t>
  </si>
  <si>
    <t>Q9P209</t>
  </si>
  <si>
    <t>Q9P215</t>
  </si>
  <si>
    <t>Q9P219</t>
  </si>
  <si>
    <t>Q9P244</t>
  </si>
  <si>
    <t>Q9P246</t>
  </si>
  <si>
    <t>Q9P253</t>
  </si>
  <si>
    <t>Q9P258</t>
  </si>
  <si>
    <t>Q9P260</t>
  </si>
  <si>
    <t>Q9P260-2</t>
  </si>
  <si>
    <t>Q9P265</t>
  </si>
  <si>
    <t>Q9P270</t>
  </si>
  <si>
    <t>Q9P275</t>
  </si>
  <si>
    <t>Q9P287</t>
  </si>
  <si>
    <t>Q9P287-2</t>
  </si>
  <si>
    <t>Q9P289</t>
  </si>
  <si>
    <t>Q9P2B4</t>
  </si>
  <si>
    <t>Q9P2B7-2</t>
  </si>
  <si>
    <t>Q9P2D1</t>
  </si>
  <si>
    <t>Q9P2D3</t>
  </si>
  <si>
    <t>Q9P2D6-3</t>
  </si>
  <si>
    <t>Q9P2E3</t>
  </si>
  <si>
    <t>Q9P2E9</t>
  </si>
  <si>
    <t>Q9P2G1</t>
  </si>
  <si>
    <t>Q9P2I0</t>
  </si>
  <si>
    <t>Q9P2J5</t>
  </si>
  <si>
    <t>Q9P2K3</t>
  </si>
  <si>
    <t>Q9P2K5-2</t>
  </si>
  <si>
    <t>Q9P2K6</t>
  </si>
  <si>
    <t>Q9P2K8-2</t>
  </si>
  <si>
    <t>Q9P2M4</t>
  </si>
  <si>
    <t>Q9P2N2-3</t>
  </si>
  <si>
    <t>Q9P2N5</t>
  </si>
  <si>
    <t>Q9P2N6-3</t>
  </si>
  <si>
    <t>Q9P2P1</t>
  </si>
  <si>
    <t>Q9P2P5-2</t>
  </si>
  <si>
    <t>Q9P2R3</t>
  </si>
  <si>
    <t>Q9P2R6</t>
  </si>
  <si>
    <t>Q9P2S5</t>
  </si>
  <si>
    <t>Q9P2W1</t>
  </si>
  <si>
    <t>Q9P2X0</t>
  </si>
  <si>
    <t>Q9P2X3</t>
  </si>
  <si>
    <t>Q9P2Y5</t>
  </si>
  <si>
    <t>Q9UBB4</t>
  </si>
  <si>
    <t>Q9UBB5</t>
  </si>
  <si>
    <t>Q9UBB6</t>
  </si>
  <si>
    <t>Q9UBB9</t>
  </si>
  <si>
    <t>Q9UBC2-2</t>
  </si>
  <si>
    <t>Q9UBC3-6</t>
  </si>
  <si>
    <t>Q9UBD5</t>
  </si>
  <si>
    <t>Q9UBE0</t>
  </si>
  <si>
    <t>Q9UBF1</t>
  </si>
  <si>
    <t>Q9UBF2</t>
  </si>
  <si>
    <t>Q9UBF8-2</t>
  </si>
  <si>
    <t>Q9UBG0</t>
  </si>
  <si>
    <t>Q9UBI1</t>
  </si>
  <si>
    <t>Q9UBI9</t>
  </si>
  <si>
    <t>Q9UBK8-2</t>
  </si>
  <si>
    <t>Q9UBK9</t>
  </si>
  <si>
    <t>Q9UBL3-3</t>
  </si>
  <si>
    <t>Q9UBL6-2</t>
  </si>
  <si>
    <t>Q9UBP0-3</t>
  </si>
  <si>
    <t>Q9UBP6</t>
  </si>
  <si>
    <t>Q9UBQ0</t>
  </si>
  <si>
    <t>Q9UBQ7</t>
  </si>
  <si>
    <t>Q9UBR2</t>
  </si>
  <si>
    <t>Q9UBS0</t>
  </si>
  <si>
    <t>Q9UBS4</t>
  </si>
  <si>
    <t>Q9UBS8</t>
  </si>
  <si>
    <t>Q9UBT2</t>
  </si>
  <si>
    <t>Q9UBT7-3</t>
  </si>
  <si>
    <t>Q9UBU6</t>
  </si>
  <si>
    <t>Q9UBU7</t>
  </si>
  <si>
    <t>Q9UBU8-2</t>
  </si>
  <si>
    <t>Q9UBU9</t>
  </si>
  <si>
    <t>Q9UBV8</t>
  </si>
  <si>
    <t>Q9UBW7</t>
  </si>
  <si>
    <t>Q9UBW8</t>
  </si>
  <si>
    <t>Q9UDT6-2</t>
  </si>
  <si>
    <t>Q9UDV7</t>
  </si>
  <si>
    <t>Q9UDY2</t>
  </si>
  <si>
    <t>Q9UDY4</t>
  </si>
  <si>
    <t>Q9UDY8</t>
  </si>
  <si>
    <t>Q9UEE9</t>
  </si>
  <si>
    <t>Q9UEG4</t>
  </si>
  <si>
    <t>Q9UER7</t>
  </si>
  <si>
    <t>Q9UET6-2</t>
  </si>
  <si>
    <t>Q9UEU0</t>
  </si>
  <si>
    <t>Q9UEW8</t>
  </si>
  <si>
    <t>Q9UEY8-2</t>
  </si>
  <si>
    <t>Q9UFC0</t>
  </si>
  <si>
    <t>Q9UFG5</t>
  </si>
  <si>
    <t>Q9UFN0</t>
  </si>
  <si>
    <t>Q9UFW8</t>
  </si>
  <si>
    <t>Q9UG01</t>
  </si>
  <si>
    <t>Q9UG63</t>
  </si>
  <si>
    <t>Q9UGI8</t>
  </si>
  <si>
    <t>Q9UGI8-2</t>
  </si>
  <si>
    <t>Q9UGK8</t>
  </si>
  <si>
    <t>Q9UGL1</t>
  </si>
  <si>
    <t>Q9UGP4</t>
  </si>
  <si>
    <t>Q9UGP8</t>
  </si>
  <si>
    <t>Q9UGR2-2</t>
  </si>
  <si>
    <t>Q9UGU0-2</t>
  </si>
  <si>
    <t>Q9UGU5</t>
  </si>
  <si>
    <t>Q9UGV2</t>
  </si>
  <si>
    <t>Q9UGY1</t>
  </si>
  <si>
    <t>Q9UH62</t>
  </si>
  <si>
    <t>Q9UH65</t>
  </si>
  <si>
    <t>Q9UH90</t>
  </si>
  <si>
    <t>Q9UH92-2</t>
  </si>
  <si>
    <t>Q9UHA3</t>
  </si>
  <si>
    <t>Q9UHA4</t>
  </si>
  <si>
    <t>Q9UHB6</t>
  </si>
  <si>
    <t>Q9UHB6-4</t>
  </si>
  <si>
    <t>Q9UHB7</t>
  </si>
  <si>
    <t>Q9UHB9</t>
  </si>
  <si>
    <t>Q9UHD1</t>
  </si>
  <si>
    <t>Q9UHD2</t>
  </si>
  <si>
    <t>Q9UHD8-7</t>
  </si>
  <si>
    <t>Q9UHD9</t>
  </si>
  <si>
    <t>Q9UHF1</t>
  </si>
  <si>
    <t>Q9UHI6</t>
  </si>
  <si>
    <t>Q9UHJ3-2</t>
  </si>
  <si>
    <t>Q9UHJ6</t>
  </si>
  <si>
    <t>Q9UHK0</t>
  </si>
  <si>
    <t>Q9UHL4</t>
  </si>
  <si>
    <t>Q9UHN1</t>
  </si>
  <si>
    <t>Q9UHN6-2</t>
  </si>
  <si>
    <t>Q9UHP3</t>
  </si>
  <si>
    <t>Q9UHQ1-4</t>
  </si>
  <si>
    <t>Q9UHR4</t>
  </si>
  <si>
    <t>Q9UHR5</t>
  </si>
  <si>
    <t>Q9UHR6</t>
  </si>
  <si>
    <t>Q9UHV7</t>
  </si>
  <si>
    <t>Q9UHV9</t>
  </si>
  <si>
    <t>Q9UHW5</t>
  </si>
  <si>
    <t>Q9UHX1-2</t>
  </si>
  <si>
    <t>Q9UHY1</t>
  </si>
  <si>
    <t>Q9UHY7</t>
  </si>
  <si>
    <t>Q9UI08</t>
  </si>
  <si>
    <t>Q9UI10</t>
  </si>
  <si>
    <t>Q9UI10-3</t>
  </si>
  <si>
    <t>Q9UI12</t>
  </si>
  <si>
    <t>Q9UI26</t>
  </si>
  <si>
    <t>Q9UI30</t>
  </si>
  <si>
    <t>Q9UI95</t>
  </si>
  <si>
    <t>Q9UIA9</t>
  </si>
  <si>
    <t>Q9UIC8</t>
  </si>
  <si>
    <t>Q9UID3</t>
  </si>
  <si>
    <t>Q9UIG0-2</t>
  </si>
  <si>
    <t>Q9UII2</t>
  </si>
  <si>
    <t>Q9UIL1-3</t>
  </si>
  <si>
    <t>Q9UIM3</t>
  </si>
  <si>
    <t>Q9UIQ6-3</t>
  </si>
  <si>
    <t>Q9UIU6</t>
  </si>
  <si>
    <t>Q9UIV1</t>
  </si>
  <si>
    <t>Q9UJ41-2</t>
  </si>
  <si>
    <t>Q9UJ68-2</t>
  </si>
  <si>
    <t>Q9UJ70</t>
  </si>
  <si>
    <t>Q9UJ78-2</t>
  </si>
  <si>
    <t>Q9UJA5</t>
  </si>
  <si>
    <t>Q9UJC5</t>
  </si>
  <si>
    <t>Q9UJJ2</t>
  </si>
  <si>
    <t>Q9UJK0</t>
  </si>
  <si>
    <t>Q9UJM3</t>
  </si>
  <si>
    <t>Q9UJN7</t>
  </si>
  <si>
    <t>Q9UJT0</t>
  </si>
  <si>
    <t>Q9UJT2-2</t>
  </si>
  <si>
    <t>Q9UJU6</t>
  </si>
  <si>
    <t>Q9UJU6-2</t>
  </si>
  <si>
    <t>Q9UJV9</t>
  </si>
  <si>
    <t>Q9UJW0</t>
  </si>
  <si>
    <t>Q9UJX2-3</t>
  </si>
  <si>
    <t>Q9UJX3-2</t>
  </si>
  <si>
    <t>Q9UJX6</t>
  </si>
  <si>
    <t>Q9UJY4</t>
  </si>
  <si>
    <t>Q9UJY5-4</t>
  </si>
  <si>
    <t>Q9UK41</t>
  </si>
  <si>
    <t>Q9UK45</t>
  </si>
  <si>
    <t>Q9UK53-3</t>
  </si>
  <si>
    <t>Q9UK59</t>
  </si>
  <si>
    <t>Q9UK61-3</t>
  </si>
  <si>
    <t>Q9UK73</t>
  </si>
  <si>
    <t>Q9UK97-3</t>
  </si>
  <si>
    <t>Q9UK99-2</t>
  </si>
  <si>
    <t>Q9UKA4</t>
  </si>
  <si>
    <t>Q9UKA9</t>
  </si>
  <si>
    <t>Q9UKB1-2</t>
  </si>
  <si>
    <t>Q9UKB3</t>
  </si>
  <si>
    <t>Q9UKD2</t>
  </si>
  <si>
    <t>Q9UKE5</t>
  </si>
  <si>
    <t>Q9UKE5-3</t>
  </si>
  <si>
    <t>Q9UKE5-4</t>
  </si>
  <si>
    <t>Q9UKF6</t>
  </si>
  <si>
    <t>Q9UKG1</t>
  </si>
  <si>
    <t>Q9UKI8</t>
  </si>
  <si>
    <t>Q9UKJ3</t>
  </si>
  <si>
    <t>Q9UKK3</t>
  </si>
  <si>
    <t>Q9UKL0</t>
  </si>
  <si>
    <t>Q9UKL3</t>
  </si>
  <si>
    <t>Q9UKL6</t>
  </si>
  <si>
    <t>Q9UKN8</t>
  </si>
  <si>
    <t>Q9UKS6</t>
  </si>
  <si>
    <t>Q9UKT4-2</t>
  </si>
  <si>
    <t>Q9UKT5</t>
  </si>
  <si>
    <t>Q9UKT9-7</t>
  </si>
  <si>
    <t>Q9UKU7</t>
  </si>
  <si>
    <t>Q9UKV3</t>
  </si>
  <si>
    <t>Q9UKV3-5</t>
  </si>
  <si>
    <t>Q9UKV8</t>
  </si>
  <si>
    <t>Q9UKX7</t>
  </si>
  <si>
    <t>Q9UKY1</t>
  </si>
  <si>
    <t>Q9UKY7</t>
  </si>
  <si>
    <t>Q9UKZ1</t>
  </si>
  <si>
    <t>Q9UL15</t>
  </si>
  <si>
    <t>Q9UL25</t>
  </si>
  <si>
    <t>Q9UL26</t>
  </si>
  <si>
    <t>Q9UL33-2</t>
  </si>
  <si>
    <t>Q9UL46</t>
  </si>
  <si>
    <t>Q9UL54-2</t>
  </si>
  <si>
    <t>Q9UL63</t>
  </si>
  <si>
    <t>Q9ULA0</t>
  </si>
  <si>
    <t>Q9ULC3</t>
  </si>
  <si>
    <t>Q9ULC4</t>
  </si>
  <si>
    <t>Q9ULD2-4</t>
  </si>
  <si>
    <t>Q9ULD5</t>
  </si>
  <si>
    <t>Q9ULD9</t>
  </si>
  <si>
    <t>Q9ULE0</t>
  </si>
  <si>
    <t>Q9ULE6</t>
  </si>
  <si>
    <t>Q9ULF5</t>
  </si>
  <si>
    <t>Q9ULH0-5</t>
  </si>
  <si>
    <t>Q9ULH1</t>
  </si>
  <si>
    <t>Q9ULH7-4</t>
  </si>
  <si>
    <t>Q9ULJ3-2</t>
  </si>
  <si>
    <t>Q9ULJ6</t>
  </si>
  <si>
    <t>Q9ULK2</t>
  </si>
  <si>
    <t>Q9ULK4-4</t>
  </si>
  <si>
    <t>Q9ULL5-3</t>
  </si>
  <si>
    <t>Q9ULM3</t>
  </si>
  <si>
    <t>Q9ULM6</t>
  </si>
  <si>
    <t>Q9ULP9-2</t>
  </si>
  <si>
    <t>Q9ULR0</t>
  </si>
  <si>
    <t>Q9ULR3</t>
  </si>
  <si>
    <t>Q9ULT8</t>
  </si>
  <si>
    <t>Q9ULU4-12</t>
  </si>
  <si>
    <t>Q9ULV3-5</t>
  </si>
  <si>
    <t>Q9ULV4</t>
  </si>
  <si>
    <t>Q9ULW0</t>
  </si>
  <si>
    <t>Q9ULW3</t>
  </si>
  <si>
    <t>Q9ULX3</t>
  </si>
  <si>
    <t>Q9ULX6</t>
  </si>
  <si>
    <t>Q9ULZ2</t>
  </si>
  <si>
    <t>Q9ULZ3</t>
  </si>
  <si>
    <t>Q9ULZ3-2</t>
  </si>
  <si>
    <t>Q9UM13</t>
  </si>
  <si>
    <t>Q9UM54-6</t>
  </si>
  <si>
    <t>Q9UMF0</t>
  </si>
  <si>
    <t>Q9UMN6</t>
  </si>
  <si>
    <t>Q9UMR2</t>
  </si>
  <si>
    <t>Q9UMS0-3</t>
  </si>
  <si>
    <t>Q9UMS4</t>
  </si>
  <si>
    <t>Q9UMX0</t>
  </si>
  <si>
    <t>Q9UMX5</t>
  </si>
  <si>
    <t>Q9UMY1</t>
  </si>
  <si>
    <t>Q9UMY4-2</t>
  </si>
  <si>
    <t>Q9UMZ2-5</t>
  </si>
  <si>
    <t>Q9UN36-2</t>
  </si>
  <si>
    <t>Q9UN37</t>
  </si>
  <si>
    <t>Q9UN86-2</t>
  </si>
  <si>
    <t>Q9UNE7</t>
  </si>
  <si>
    <t>Q9UNF0-2</t>
  </si>
  <si>
    <t>Q9UNF1</t>
  </si>
  <si>
    <t>Q9UNH5-3</t>
  </si>
  <si>
    <t>Q9UNH7</t>
  </si>
  <si>
    <t>Q9UNL4-8</t>
  </si>
  <si>
    <t>Q9UNM6</t>
  </si>
  <si>
    <t>Q9UNN5</t>
  </si>
  <si>
    <t>Q9UNN8</t>
  </si>
  <si>
    <t>Q9UNP9</t>
  </si>
  <si>
    <t>Q9UNQ2</t>
  </si>
  <si>
    <t>Q9UNS1-2</t>
  </si>
  <si>
    <t>Q9UNS2</t>
  </si>
  <si>
    <t>Q9UNW1</t>
  </si>
  <si>
    <t>Q9UNX4</t>
  </si>
  <si>
    <t>Q9UNY4-2</t>
  </si>
  <si>
    <t>Q9UNZ2</t>
  </si>
  <si>
    <t>Q9UNZ5</t>
  </si>
  <si>
    <t>Q9UP83</t>
  </si>
  <si>
    <t>Q9UPA5</t>
  </si>
  <si>
    <t>Q9UPM8</t>
  </si>
  <si>
    <t>Q9UPN3</t>
  </si>
  <si>
    <t>Q9UPN4-3</t>
  </si>
  <si>
    <t>Q9UPN6</t>
  </si>
  <si>
    <t>Q9UPN7</t>
  </si>
  <si>
    <t>Q9UPN9</t>
  </si>
  <si>
    <t>Q9UPP5-2</t>
  </si>
  <si>
    <t>Q9UPQ3-2</t>
  </si>
  <si>
    <t>Q9UPQ9-1</t>
  </si>
  <si>
    <t>Q9UPR0</t>
  </si>
  <si>
    <t>Q9UPR3</t>
  </si>
  <si>
    <t>Q9UPS6</t>
  </si>
  <si>
    <t>Q9UPT5-2</t>
  </si>
  <si>
    <t>Q9UPT8</t>
  </si>
  <si>
    <t>Q9UPT9</t>
  </si>
  <si>
    <t>Q9UPU5</t>
  </si>
  <si>
    <t>Q9UPU7</t>
  </si>
  <si>
    <t>Q9UPV0-2</t>
  </si>
  <si>
    <t>Q9UPW5</t>
  </si>
  <si>
    <t>Q9UPY3</t>
  </si>
  <si>
    <t>Q9UPY8-2</t>
  </si>
  <si>
    <t>Q9UPZ3-2</t>
  </si>
  <si>
    <t>Q9UQ13-2</t>
  </si>
  <si>
    <t>Q9UQ35</t>
  </si>
  <si>
    <t>Q9UQ80</t>
  </si>
  <si>
    <t>Q9UQ84-4</t>
  </si>
  <si>
    <t>Q9UQB8-3</t>
  </si>
  <si>
    <t>Q9UQC2-2</t>
  </si>
  <si>
    <t>Q9UQE7</t>
  </si>
  <si>
    <t>Q9UQL6</t>
  </si>
  <si>
    <t>Q9UQQ2</t>
  </si>
  <si>
    <t>Q9UQR0</t>
  </si>
  <si>
    <t>Q9UQR1</t>
  </si>
  <si>
    <t>Q9Y217</t>
  </si>
  <si>
    <t>Q9Y219</t>
  </si>
  <si>
    <t>Q9Y221-2</t>
  </si>
  <si>
    <t>Q9Y222-5</t>
  </si>
  <si>
    <t>Q9Y223</t>
  </si>
  <si>
    <t>Q9Y224</t>
  </si>
  <si>
    <t>Q9Y230</t>
  </si>
  <si>
    <t>Q9Y232-2</t>
  </si>
  <si>
    <t>Q9Y232-3</t>
  </si>
  <si>
    <t>Q9Y237</t>
  </si>
  <si>
    <t>Q9Y244</t>
  </si>
  <si>
    <t>Q9Y248</t>
  </si>
  <si>
    <t>Q9Y259</t>
  </si>
  <si>
    <t>Q9Y262</t>
  </si>
  <si>
    <t>Q9Y263</t>
  </si>
  <si>
    <t>Q9Y265</t>
  </si>
  <si>
    <t>Q9Y266</t>
  </si>
  <si>
    <t>Q9Y277</t>
  </si>
  <si>
    <t>Q9Y281-3</t>
  </si>
  <si>
    <t>Q9Y285</t>
  </si>
  <si>
    <t>Q9Y289</t>
  </si>
  <si>
    <t>Q9Y294</t>
  </si>
  <si>
    <t>Q9Y295</t>
  </si>
  <si>
    <t>Q9Y296</t>
  </si>
  <si>
    <t>Q9Y2A7</t>
  </si>
  <si>
    <t>Q9Y2B0</t>
  </si>
  <si>
    <t>Q9Y2D4-2</t>
  </si>
  <si>
    <t>Q9Y2F5</t>
  </si>
  <si>
    <t>Q9Y2G2-4</t>
  </si>
  <si>
    <t>Q9Y2H0-3</t>
  </si>
  <si>
    <t>Q9Y2H1</t>
  </si>
  <si>
    <t>Q9Y2H2</t>
  </si>
  <si>
    <t>Q9Y2H5</t>
  </si>
  <si>
    <t>Q9Y2I1</t>
  </si>
  <si>
    <t>Q9Y2I7</t>
  </si>
  <si>
    <t>Q9Y2I8</t>
  </si>
  <si>
    <t>Q9Y2J2-2</t>
  </si>
  <si>
    <t>Q9Y2K2</t>
  </si>
  <si>
    <t>Q9Y2K7</t>
  </si>
  <si>
    <t>Q9Y2L1</t>
  </si>
  <si>
    <t>Q9Y2L9-2</t>
  </si>
  <si>
    <t>Q9Y2P8</t>
  </si>
  <si>
    <t>Q9Y2Q3</t>
  </si>
  <si>
    <t>Q9Y2Q5</t>
  </si>
  <si>
    <t>Q9Y2R4</t>
  </si>
  <si>
    <t>Q9Y2S0</t>
  </si>
  <si>
    <t>Q9Y2S2-2</t>
  </si>
  <si>
    <t>Q9Y2S6</t>
  </si>
  <si>
    <t>Q9Y2S7</t>
  </si>
  <si>
    <t>Q9Y2T2</t>
  </si>
  <si>
    <t>Q9Y2T7</t>
  </si>
  <si>
    <t>Q9Y2U5</t>
  </si>
  <si>
    <t>Q9Y2U8</t>
  </si>
  <si>
    <t>Q9Y2V0-2</t>
  </si>
  <si>
    <t>Q9Y2V2</t>
  </si>
  <si>
    <t>Q9Y2V7</t>
  </si>
  <si>
    <t>Q9Y2W1</t>
  </si>
  <si>
    <t>Q9Y2X0-2</t>
  </si>
  <si>
    <t>Q9Y2X3</t>
  </si>
  <si>
    <t>Q9Y2X7</t>
  </si>
  <si>
    <t>Q9Y2Z0</t>
  </si>
  <si>
    <t>Q9Y2Z0-2</t>
  </si>
  <si>
    <t>Q9Y2Z2-5</t>
  </si>
  <si>
    <t>Q9Y2Z4</t>
  </si>
  <si>
    <t>Q9Y303</t>
  </si>
  <si>
    <t>Q9Y303-2</t>
  </si>
  <si>
    <t>Q9Y305-3</t>
  </si>
  <si>
    <t>Q9Y312</t>
  </si>
  <si>
    <t>Q9Y314</t>
  </si>
  <si>
    <t>Q9Y315</t>
  </si>
  <si>
    <t>Q9Y316</t>
  </si>
  <si>
    <t>Q9Y330</t>
  </si>
  <si>
    <t>Q9Y333</t>
  </si>
  <si>
    <t>Q9Y343-2</t>
  </si>
  <si>
    <t>Q9Y371</t>
  </si>
  <si>
    <t>Q9Y376</t>
  </si>
  <si>
    <t>Q9Y383</t>
  </si>
  <si>
    <t>Q9Y385</t>
  </si>
  <si>
    <t>Q9Y388</t>
  </si>
  <si>
    <t>Q9Y3A2</t>
  </si>
  <si>
    <t>Q9Y3A3-2</t>
  </si>
  <si>
    <t>Q9Y3A5</t>
  </si>
  <si>
    <t>Q9Y3B2</t>
  </si>
  <si>
    <t>Q9Y3B3-2</t>
  </si>
  <si>
    <t>Q9Y3B4</t>
  </si>
  <si>
    <t>Q9Y3B9</t>
  </si>
  <si>
    <t>Q9Y3C1</t>
  </si>
  <si>
    <t>Q9Y3C4-2</t>
  </si>
  <si>
    <t>Q9Y3C6</t>
  </si>
  <si>
    <t>Q9Y3C8</t>
  </si>
  <si>
    <t>Q9Y3D0</t>
  </si>
  <si>
    <t>Q9Y3D2</t>
  </si>
  <si>
    <t>Q9Y3D6</t>
  </si>
  <si>
    <t>Q9Y3D8</t>
  </si>
  <si>
    <t>Q9Y3D9</t>
  </si>
  <si>
    <t>Q9Y3E1</t>
  </si>
  <si>
    <t>Q9Y3E2</t>
  </si>
  <si>
    <t>Q9Y3E5</t>
  </si>
  <si>
    <t>Q9Y3E7</t>
  </si>
  <si>
    <t>Q9Y3F4</t>
  </si>
  <si>
    <t>Q9Y3I0</t>
  </si>
  <si>
    <t>Q9Y3I1</t>
  </si>
  <si>
    <t>Q9Y3L3</t>
  </si>
  <si>
    <t>Q9Y3P9</t>
  </si>
  <si>
    <t>Q9Y3P9-2</t>
  </si>
  <si>
    <t>Q9Y3Q8</t>
  </si>
  <si>
    <t>Q9Y3R5-2</t>
  </si>
  <si>
    <t>Q9Y3S2</t>
  </si>
  <si>
    <t>Q9Y3T6</t>
  </si>
  <si>
    <t>Q9Y3T9</t>
  </si>
  <si>
    <t>Q9Y3U8</t>
  </si>
  <si>
    <t>Q9Y3X0</t>
  </si>
  <si>
    <t>Q9Y3Y2-4</t>
  </si>
  <si>
    <t>Q9Y3Z3-4</t>
  </si>
  <si>
    <t>Q9Y426-2</t>
  </si>
  <si>
    <t>Q9Y446</t>
  </si>
  <si>
    <t>Q9Y448</t>
  </si>
  <si>
    <t>Q9Y450</t>
  </si>
  <si>
    <t>Q9Y450-2</t>
  </si>
  <si>
    <t>Q9Y478</t>
  </si>
  <si>
    <t>Q9Y483-3</t>
  </si>
  <si>
    <t>Q9Y485</t>
  </si>
  <si>
    <t>Q9Y490</t>
  </si>
  <si>
    <t>Q9Y496</t>
  </si>
  <si>
    <t>Q9Y4A5-2</t>
  </si>
  <si>
    <t>Q9Y4B4</t>
  </si>
  <si>
    <t>Q9Y4B6</t>
  </si>
  <si>
    <t>Q9Y4C1</t>
  </si>
  <si>
    <t>Q9Y4C2-2</t>
  </si>
  <si>
    <t>Q9Y4E5-2</t>
  </si>
  <si>
    <t>Q9Y4E5-4</t>
  </si>
  <si>
    <t>Q9Y4E8</t>
  </si>
  <si>
    <t>Q9Y4F3-3</t>
  </si>
  <si>
    <t>Q9Y4G6</t>
  </si>
  <si>
    <t>Q9Y4G8</t>
  </si>
  <si>
    <t>Q9Y4H2</t>
  </si>
  <si>
    <t>Q9Y4I1-2</t>
  </si>
  <si>
    <t>Q9Y4I5</t>
  </si>
  <si>
    <t>Q9Y4K1</t>
  </si>
  <si>
    <t>Q9Y4K3</t>
  </si>
  <si>
    <t>Q9Y4K4</t>
  </si>
  <si>
    <t>Q9Y4L1</t>
  </si>
  <si>
    <t>Q9Y4P1-6</t>
  </si>
  <si>
    <t>Q9Y4P8-3</t>
  </si>
  <si>
    <t>Q9Y4R8</t>
  </si>
  <si>
    <t>Q9Y4U1</t>
  </si>
  <si>
    <t>Q9Y4W2-2</t>
  </si>
  <si>
    <t>Q9Y4X0</t>
  </si>
  <si>
    <t>Q9Y4X5</t>
  </si>
  <si>
    <t>Q9Y4Z0</t>
  </si>
  <si>
    <t>Q9Y508</t>
  </si>
  <si>
    <t>Q9Y520-4</t>
  </si>
  <si>
    <t>Q9Y535</t>
  </si>
  <si>
    <t>Q9Y546</t>
  </si>
  <si>
    <t>Q9Y547</t>
  </si>
  <si>
    <t>Q9Y570</t>
  </si>
  <si>
    <t>Q9Y580</t>
  </si>
  <si>
    <t>Q9Y592-2</t>
  </si>
  <si>
    <t>Q9Y597-2</t>
  </si>
  <si>
    <t>Q9Y5A6</t>
  </si>
  <si>
    <t>Q9Y5A7-2</t>
  </si>
  <si>
    <t>Q9Y5A9</t>
  </si>
  <si>
    <t>Q9Y5B0</t>
  </si>
  <si>
    <t>Q9Y5B6</t>
  </si>
  <si>
    <t>Q9Y5B8</t>
  </si>
  <si>
    <t>Q9Y5B9</t>
  </si>
  <si>
    <t>Q9Y5J1</t>
  </si>
  <si>
    <t>Q9Y5J6</t>
  </si>
  <si>
    <t>Q9Y5J7</t>
  </si>
  <si>
    <t>Q9Y5J9</t>
  </si>
  <si>
    <t>Q9Y5K5-2</t>
  </si>
  <si>
    <t>Q9Y5K6</t>
  </si>
  <si>
    <t>Q9Y5K8</t>
  </si>
  <si>
    <t>Q9Y5L0</t>
  </si>
  <si>
    <t>Q9Y5L4</t>
  </si>
  <si>
    <t>Q9Y5M8</t>
  </si>
  <si>
    <t>Q9Y5N5</t>
  </si>
  <si>
    <t>Q9Y5P4-2</t>
  </si>
  <si>
    <t>Q9Y5P6</t>
  </si>
  <si>
    <t>Q9Y5Q8</t>
  </si>
  <si>
    <t>Q9Y5Q9</t>
  </si>
  <si>
    <t>Q9Y5R8</t>
  </si>
  <si>
    <t>Q9Y5S1</t>
  </si>
  <si>
    <t>Q9Y5S2</t>
  </si>
  <si>
    <t>Q9Y5S9</t>
  </si>
  <si>
    <t>Q9Y5U2-2</t>
  </si>
  <si>
    <t>Q9Y5X1</t>
  </si>
  <si>
    <t>Q9Y5X2</t>
  </si>
  <si>
    <t>Q9Y5X3</t>
  </si>
  <si>
    <t>Q9Y5Y2</t>
  </si>
  <si>
    <t>Q9Y5Z4</t>
  </si>
  <si>
    <t>Q9Y605</t>
  </si>
  <si>
    <t>Q9Y608-4</t>
  </si>
  <si>
    <t>Q9Y613</t>
  </si>
  <si>
    <t>Q9Y617</t>
  </si>
  <si>
    <t>Q9Y646</t>
  </si>
  <si>
    <t>Q9Y657</t>
  </si>
  <si>
    <t>Q9Y666-2</t>
  </si>
  <si>
    <t>Q9Y678</t>
  </si>
  <si>
    <t>Q9Y679</t>
  </si>
  <si>
    <t>Q9Y680-3</t>
  </si>
  <si>
    <t>Q9Y692-2</t>
  </si>
  <si>
    <t>Q9Y696</t>
  </si>
  <si>
    <t>Q9Y697-2</t>
  </si>
  <si>
    <t>Q9Y6A4</t>
  </si>
  <si>
    <t>Q9Y6A5</t>
  </si>
  <si>
    <t>Q9Y6B6</t>
  </si>
  <si>
    <t>Q9Y6B7</t>
  </si>
  <si>
    <t>Q9Y6C2</t>
  </si>
  <si>
    <t>Q9Y6C9</t>
  </si>
  <si>
    <t>Q9Y6D5</t>
  </si>
  <si>
    <t>Q9Y6D6</t>
  </si>
  <si>
    <t>Q9Y6D9</t>
  </si>
  <si>
    <t>Q9Y6E0-2</t>
  </si>
  <si>
    <t>Q9Y6G5</t>
  </si>
  <si>
    <t>Q9Y6G9</t>
  </si>
  <si>
    <t>Q9Y6H1</t>
  </si>
  <si>
    <t>Q9Y6I3</t>
  </si>
  <si>
    <t>Q9Y6I4</t>
  </si>
  <si>
    <t>Q9Y6I9</t>
  </si>
  <si>
    <t>Q9Y6J9</t>
  </si>
  <si>
    <t>Q9Y6K1</t>
  </si>
  <si>
    <t>Q9Y6K9</t>
  </si>
  <si>
    <t>Q9Y6M1-1</t>
  </si>
  <si>
    <t>Q9Y6M5</t>
  </si>
  <si>
    <t>Q9Y6M7-6</t>
  </si>
  <si>
    <t>Q9Y6P5-2</t>
  </si>
  <si>
    <t>Q9Y6Q2</t>
  </si>
  <si>
    <t>Q9Y6Q9-5</t>
  </si>
  <si>
    <t>Q9Y6R0</t>
  </si>
  <si>
    <t>Q9Y6V0-2</t>
  </si>
  <si>
    <t>Q9Y6V7</t>
  </si>
  <si>
    <t>Q9Y6W3</t>
  </si>
  <si>
    <t>Q9Y6W5</t>
  </si>
  <si>
    <t>Q9Y6X8</t>
  </si>
  <si>
    <t>Q9Y6X9</t>
  </si>
  <si>
    <t>R4GMN1</t>
  </si>
  <si>
    <t>R4GMR5</t>
  </si>
  <si>
    <t>R4GMX3</t>
  </si>
  <si>
    <t>R4GN55</t>
  </si>
  <si>
    <t>R4GNB1</t>
  </si>
  <si>
    <t>R4GNB2</t>
  </si>
  <si>
    <t>R4GND1</t>
  </si>
  <si>
    <t>R4GNH2</t>
  </si>
  <si>
    <t>R4GNH3</t>
  </si>
  <si>
    <t>R4GNJ5</t>
  </si>
  <si>
    <t>norm_FC_TMT126_H.sapiens_K562_P013109</t>
  </si>
  <si>
    <t>norm_FC_TMT127L_H.sapiens_K562_P013109</t>
  </si>
  <si>
    <t>norm_FC_TMT127H_H.sapiens_K562_P013109</t>
  </si>
  <si>
    <t>norm_FC_TMT128L_H.sapiens_K562_P013109</t>
  </si>
  <si>
    <t>norm_FC_TMT128H_H.sapiens_K562_P013109</t>
  </si>
  <si>
    <t>norm_FC_TMT129L_H.sapiens_K562_P013109</t>
  </si>
  <si>
    <t>norm_FC_TMT129H_H.sapiens_K562_P013109</t>
  </si>
  <si>
    <t>norm_FC_TMT130L_H.sapiens_K562_P013109</t>
  </si>
  <si>
    <t>norm_FC_TMT130H_H.sapiens_K562_P013109</t>
  </si>
  <si>
    <t>norm_FC_TMT131L_H.sapiens_K562_P013109</t>
  </si>
  <si>
    <t>a_H.sapiens_K562_P013109</t>
  </si>
  <si>
    <t>b_H.sapiens_K562_P013109</t>
  </si>
  <si>
    <t>meltPoint_H.sapiens_K562_P013109</t>
  </si>
  <si>
    <t>inflPoint_H.sapiens_K562_P013109</t>
  </si>
  <si>
    <t>slope_H.sapiens_K562_P013109</t>
  </si>
  <si>
    <t>plateau_H.sapiens_K562_P013109</t>
  </si>
  <si>
    <t>R_sq_H.sapiens_K562_P013109</t>
  </si>
  <si>
    <t>protein_identified_in_H.sapiens_K562_P013109</t>
  </si>
  <si>
    <t>model_converged_H.sapiens_K562_P013109</t>
  </si>
  <si>
    <t>sufficient_data_for_fit_H.sapiens_K562_P013109</t>
  </si>
  <si>
    <t>Proteinname_H.sapiens_K562_P013109</t>
  </si>
  <si>
    <t>numSpec_H.sapiens_K562_P013109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</si>
</sst>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803"/>
  <sheetViews>
    <sheetView tabSelected="1" topLeftCell="D1" workbookViewId="0">
      <selection activeCell="D1" sqref="A1:XFD1"/>
    </sheetView>
  </sheetViews>
  <sheetFormatPr defaultRowHeight="15" x14ac:dyDescent="0.25"/>
  <sheetData>
    <row r="1" spans="1:28" s="2" customFormat="1" ht="90" x14ac:dyDescent="0.25">
      <c r="A1" s="1" t="s">
        <v>0</v>
      </c>
      <c r="B1" s="1" t="s">
        <v>33659</v>
      </c>
      <c r="C1" s="1" t="s">
        <v>33660</v>
      </c>
      <c r="D1" s="1" t="s">
        <v>33661</v>
      </c>
      <c r="E1" s="1" t="s">
        <v>33662</v>
      </c>
      <c r="F1" s="1" t="s">
        <v>33663</v>
      </c>
      <c r="G1" s="1" t="s">
        <v>33664</v>
      </c>
      <c r="H1" s="1" t="s">
        <v>33665</v>
      </c>
      <c r="I1" s="1" t="s">
        <v>33666</v>
      </c>
      <c r="J1" s="1" t="s">
        <v>33667</v>
      </c>
      <c r="K1" s="1" t="s">
        <v>33668</v>
      </c>
      <c r="L1" s="1" t="s">
        <v>33669</v>
      </c>
      <c r="M1" s="1" t="s">
        <v>33670</v>
      </c>
      <c r="N1" s="1" t="s">
        <v>33671</v>
      </c>
      <c r="O1" s="1" t="s">
        <v>33672</v>
      </c>
      <c r="P1" s="1" t="s">
        <v>33673</v>
      </c>
      <c r="Q1" s="1" t="s">
        <v>33674</v>
      </c>
      <c r="R1" s="1" t="s">
        <v>33675</v>
      </c>
      <c r="S1" s="1" t="s">
        <v>1</v>
      </c>
      <c r="T1" s="1" t="s">
        <v>33676</v>
      </c>
      <c r="U1" s="1" t="s">
        <v>33677</v>
      </c>
      <c r="V1" s="1" t="s">
        <v>33678</v>
      </c>
      <c r="W1" s="1" t="s">
        <v>33679</v>
      </c>
      <c r="X1" s="1" t="s">
        <v>33680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0.995954080203443</v>
      </c>
      <c r="C2">
        <v>0.87090645553373203</v>
      </c>
      <c r="D2">
        <v>0.81243508155327404</v>
      </c>
      <c r="E2">
        <v>0.82131048621316505</v>
      </c>
      <c r="F2">
        <v>0.77782587666456904</v>
      </c>
      <c r="G2">
        <v>0.59886458859693104</v>
      </c>
      <c r="H2">
        <v>0.55972934780521599</v>
      </c>
      <c r="I2">
        <v>0.71715791064892198</v>
      </c>
      <c r="J2">
        <v>0.82763185753270496</v>
      </c>
      <c r="K2">
        <v>0.82081158121287801</v>
      </c>
      <c r="L2">
        <v>734.29839927316198</v>
      </c>
      <c r="M2">
        <v>16.4882364503529</v>
      </c>
      <c r="O2">
        <v>43.895055988636997</v>
      </c>
      <c r="P2">
        <v>-2.64281887564639E-2</v>
      </c>
      <c r="Q2">
        <v>0.71859064096020597</v>
      </c>
      <c r="R2">
        <v>0.50832002129416998</v>
      </c>
      <c r="S2" t="s">
        <v>6808</v>
      </c>
      <c r="T2" t="s">
        <v>13610</v>
      </c>
      <c r="U2" t="s">
        <v>13610</v>
      </c>
      <c r="V2" t="s">
        <v>13610</v>
      </c>
      <c r="W2" t="s">
        <v>13612</v>
      </c>
      <c r="X2">
        <v>1</v>
      </c>
      <c r="Y2" t="s">
        <v>20333</v>
      </c>
      <c r="Z2" t="s">
        <v>26857</v>
      </c>
      <c r="AA2">
        <v>0.76892504107669202</v>
      </c>
      <c r="AB2" t="str">
        <f>HYPERLINK("Melting_Curves/meltCurve_A0AVK6_E2F8.pdf", "Melting_Curves/meltCurve_A0AVK6_E2F8.pdf")</f>
        <v>Melting_Curves/meltCurve_A0AVK6_E2F8.pdf</v>
      </c>
    </row>
    <row r="3" spans="1:28" x14ac:dyDescent="0.25">
      <c r="A3" t="s">
        <v>7</v>
      </c>
      <c r="B3">
        <v>0.995954080203443</v>
      </c>
      <c r="C3">
        <v>1.00629444063068</v>
      </c>
      <c r="D3">
        <v>0.81544320283097804</v>
      </c>
      <c r="E3">
        <v>0.37952624140033803</v>
      </c>
      <c r="F3">
        <v>0.16350330064146801</v>
      </c>
      <c r="G3">
        <v>9.3672724865890497E-2</v>
      </c>
      <c r="H3">
        <v>5.9299140536902897E-2</v>
      </c>
      <c r="I3">
        <v>4.8910609839072E-2</v>
      </c>
      <c r="J3">
        <v>5.38496483155965E-2</v>
      </c>
      <c r="K3">
        <v>4.9897409901983998E-2</v>
      </c>
      <c r="L3">
        <v>1230.05696723339</v>
      </c>
      <c r="M3">
        <v>25.249795601657599</v>
      </c>
      <c r="N3">
        <v>48.938882922660099</v>
      </c>
      <c r="O3">
        <v>48.413014925221802</v>
      </c>
      <c r="P3">
        <v>-0.12329266674687001</v>
      </c>
      <c r="Q3">
        <v>5.4424742192759598E-2</v>
      </c>
      <c r="R3">
        <v>0.99883919133857502</v>
      </c>
      <c r="S3" t="s">
        <v>6809</v>
      </c>
      <c r="T3" t="s">
        <v>13610</v>
      </c>
      <c r="U3" t="s">
        <v>13610</v>
      </c>
      <c r="V3" t="s">
        <v>13610</v>
      </c>
      <c r="W3" t="s">
        <v>13613</v>
      </c>
      <c r="X3">
        <v>46</v>
      </c>
      <c r="Y3" t="s">
        <v>20334</v>
      </c>
      <c r="Z3" t="s">
        <v>26858</v>
      </c>
      <c r="AA3">
        <v>0.33732584783086322</v>
      </c>
      <c r="AB3" t="str">
        <f>HYPERLINK("Melting_Curves/meltCurve_A0AVT1_UBA6.pdf", "Melting_Curves/meltCurve_A0AVT1_UBA6.pdf")</f>
        <v>Melting_Curves/meltCurve_A0AVT1_UBA6.pdf</v>
      </c>
    </row>
    <row r="4" spans="1:28" x14ac:dyDescent="0.25">
      <c r="A4" t="s">
        <v>8</v>
      </c>
      <c r="B4">
        <v>0.995954080203443</v>
      </c>
      <c r="C4">
        <v>0.69905664641860799</v>
      </c>
      <c r="D4">
        <v>0.43041944905726498</v>
      </c>
      <c r="E4">
        <v>0.73014059249674101</v>
      </c>
      <c r="F4">
        <v>0.45559601828695601</v>
      </c>
      <c r="G4">
        <v>0.21976535627240501</v>
      </c>
      <c r="H4">
        <v>0.16414991297322101</v>
      </c>
      <c r="I4">
        <v>0.228212337867958</v>
      </c>
      <c r="J4">
        <v>0.193663076435345</v>
      </c>
      <c r="K4">
        <v>0.25527251430794601</v>
      </c>
      <c r="L4">
        <v>398.700702731354</v>
      </c>
      <c r="M4">
        <v>8.2960438049788792</v>
      </c>
      <c r="N4">
        <v>49.802895322210802</v>
      </c>
      <c r="O4">
        <v>45.509564682367703</v>
      </c>
      <c r="P4">
        <v>-3.98681663966041E-2</v>
      </c>
      <c r="Q4">
        <v>0.126044401178565</v>
      </c>
      <c r="R4">
        <v>0.79549021950891197</v>
      </c>
      <c r="S4" t="s">
        <v>6810</v>
      </c>
      <c r="T4" t="s">
        <v>13610</v>
      </c>
      <c r="U4" t="s">
        <v>13610</v>
      </c>
      <c r="V4" t="s">
        <v>13610</v>
      </c>
      <c r="W4" t="s">
        <v>13614</v>
      </c>
      <c r="X4">
        <v>2</v>
      </c>
      <c r="Y4" t="s">
        <v>20335</v>
      </c>
      <c r="Z4" t="s">
        <v>26859</v>
      </c>
      <c r="AA4">
        <v>0.42104312637001562</v>
      </c>
      <c r="AB4" t="str">
        <f>HYPERLINK("Melting_Curves/meltCurve_A0JLT2_2_MED19.pdf", "Melting_Curves/meltCurve_A0JLT2_2_MED19.pdf")</f>
        <v>Melting_Curves/meltCurve_A0JLT2_2_MED19.pdf</v>
      </c>
    </row>
    <row r="5" spans="1:28" x14ac:dyDescent="0.25">
      <c r="A5" t="s">
        <v>9</v>
      </c>
      <c r="B5">
        <v>0.995954080203443</v>
      </c>
      <c r="C5">
        <v>0.86751388242038097</v>
      </c>
      <c r="D5">
        <v>0.79847756690017402</v>
      </c>
      <c r="E5">
        <v>0.78440323907272502</v>
      </c>
      <c r="F5">
        <v>0.55656916183042704</v>
      </c>
      <c r="G5">
        <v>0.26745744384436798</v>
      </c>
      <c r="H5">
        <v>0.20026378875775599</v>
      </c>
      <c r="I5">
        <v>0.17215451176744201</v>
      </c>
      <c r="J5">
        <v>0.18920213300928901</v>
      </c>
      <c r="K5">
        <v>0.23057399901264</v>
      </c>
      <c r="L5">
        <v>725.52377403577395</v>
      </c>
      <c r="M5">
        <v>13.9236152074673</v>
      </c>
      <c r="N5">
        <v>53.360099318265</v>
      </c>
      <c r="O5">
        <v>51.067876830057997</v>
      </c>
      <c r="P5">
        <v>-5.8667733930977503E-2</v>
      </c>
      <c r="Q5">
        <v>0.139409818561789</v>
      </c>
      <c r="R5">
        <v>0.961519244950508</v>
      </c>
      <c r="S5" t="s">
        <v>6811</v>
      </c>
      <c r="T5" t="s">
        <v>13610</v>
      </c>
      <c r="U5" t="s">
        <v>13610</v>
      </c>
      <c r="V5" t="s">
        <v>13610</v>
      </c>
      <c r="W5" t="s">
        <v>13615</v>
      </c>
      <c r="X5">
        <v>13</v>
      </c>
      <c r="Y5" t="s">
        <v>20336</v>
      </c>
      <c r="Z5" t="s">
        <v>26860</v>
      </c>
      <c r="AA5">
        <v>0.50811826371140967</v>
      </c>
      <c r="AB5" t="str">
        <f>HYPERLINK("Melting_Curves/meltCurve_A0JNW5_UHRF1BP1L.pdf", "Melting_Curves/meltCurve_A0JNW5_UHRF1BP1L.pdf")</f>
        <v>Melting_Curves/meltCurve_A0JNW5_UHRF1BP1L.pdf</v>
      </c>
    </row>
    <row r="6" spans="1:28" x14ac:dyDescent="0.25">
      <c r="A6" t="s">
        <v>10</v>
      </c>
      <c r="B6">
        <v>0.995954080203443</v>
      </c>
      <c r="C6">
        <v>0.99302817123367904</v>
      </c>
      <c r="D6">
        <v>0.89377836829727397</v>
      </c>
      <c r="E6">
        <v>0.71693079635871204</v>
      </c>
      <c r="F6">
        <v>0.49026490091374603</v>
      </c>
      <c r="G6">
        <v>0.33059627102179501</v>
      </c>
      <c r="H6">
        <v>0.27230407326088601</v>
      </c>
      <c r="I6">
        <v>0.29722508727962699</v>
      </c>
      <c r="J6">
        <v>0.349789978458664</v>
      </c>
      <c r="K6">
        <v>0.33322045319043198</v>
      </c>
      <c r="L6">
        <v>1142.3668851142099</v>
      </c>
      <c r="M6">
        <v>22.588659125673999</v>
      </c>
      <c r="N6">
        <v>52.756822376090902</v>
      </c>
      <c r="O6">
        <v>50.181233169510698</v>
      </c>
      <c r="P6">
        <v>-7.83543550633128E-2</v>
      </c>
      <c r="Q6">
        <v>0.30374989226058702</v>
      </c>
      <c r="R6">
        <v>0.99082093969130502</v>
      </c>
      <c r="S6" t="s">
        <v>6812</v>
      </c>
      <c r="T6" t="s">
        <v>13610</v>
      </c>
      <c r="U6" t="s">
        <v>13610</v>
      </c>
      <c r="V6" t="s">
        <v>13610</v>
      </c>
      <c r="W6" t="s">
        <v>13616</v>
      </c>
      <c r="X6">
        <v>32</v>
      </c>
      <c r="Y6" t="s">
        <v>20337</v>
      </c>
      <c r="Z6" t="s">
        <v>26861</v>
      </c>
      <c r="AA6">
        <v>0.55676912082784646</v>
      </c>
      <c r="AB6" t="str">
        <f>HYPERLINK("Melting_Curves/meltCurve_A0MZ66_KIAA1598.pdf", "Melting_Curves/meltCurve_A0MZ66_KIAA1598.pdf")</f>
        <v>Melting_Curves/meltCurve_A0MZ66_KIAA1598.pdf</v>
      </c>
    </row>
    <row r="7" spans="1:28" x14ac:dyDescent="0.25">
      <c r="A7" t="s">
        <v>11</v>
      </c>
      <c r="B7">
        <v>0.995954080203443</v>
      </c>
      <c r="C7">
        <v>0.85024556272198004</v>
      </c>
      <c r="D7">
        <v>0.91945892769522497</v>
      </c>
      <c r="E7">
        <v>0.68895370069629003</v>
      </c>
      <c r="F7">
        <v>0.78255820457682501</v>
      </c>
      <c r="G7">
        <v>0.436023163786951</v>
      </c>
      <c r="H7">
        <v>0.467104582332936</v>
      </c>
      <c r="I7">
        <v>0.34434143376640097</v>
      </c>
      <c r="J7">
        <v>0.47628906150095801</v>
      </c>
      <c r="K7">
        <v>0.33481375960290299</v>
      </c>
      <c r="L7">
        <v>519.29951219742497</v>
      </c>
      <c r="M7">
        <v>9.7993961976430199</v>
      </c>
      <c r="N7">
        <v>58.473883553664898</v>
      </c>
      <c r="O7">
        <v>50.927569631187097</v>
      </c>
      <c r="P7">
        <v>-3.3669494623880698E-2</v>
      </c>
      <c r="Q7">
        <v>0.30044470331092299</v>
      </c>
      <c r="R7">
        <v>0.89874478640283095</v>
      </c>
      <c r="S7" t="s">
        <v>6813</v>
      </c>
      <c r="T7" t="s">
        <v>13610</v>
      </c>
      <c r="U7" t="s">
        <v>13610</v>
      </c>
      <c r="V7" t="s">
        <v>13610</v>
      </c>
      <c r="W7" t="s">
        <v>13617</v>
      </c>
      <c r="X7">
        <v>1</v>
      </c>
      <c r="Y7" t="s">
        <v>20338</v>
      </c>
      <c r="Z7" t="s">
        <v>26862</v>
      </c>
      <c r="AA7">
        <v>0.62780871683953721</v>
      </c>
      <c r="AB7" t="str">
        <f>HYPERLINK("Melting_Curves/meltCurve_A2AE50_TRIM26.pdf", "Melting_Curves/meltCurve_A2AE50_TRIM26.pdf")</f>
        <v>Melting_Curves/meltCurve_A2AE50_TRIM26.pdf</v>
      </c>
    </row>
    <row r="8" spans="1:28" x14ac:dyDescent="0.25">
      <c r="A8" t="s">
        <v>12</v>
      </c>
      <c r="B8">
        <v>0.995954080203443</v>
      </c>
      <c r="C8">
        <v>0.80821624580162699</v>
      </c>
      <c r="D8">
        <v>0.55445129390564496</v>
      </c>
      <c r="E8">
        <v>0.38406386146596799</v>
      </c>
      <c r="F8">
        <v>0.234980731657078</v>
      </c>
      <c r="G8">
        <v>0.17745057157258101</v>
      </c>
      <c r="H8">
        <v>0.12466931399879599</v>
      </c>
      <c r="I8">
        <v>0.13931040173246001</v>
      </c>
      <c r="J8">
        <v>0.218422746550751</v>
      </c>
      <c r="K8">
        <v>0.182858040099423</v>
      </c>
      <c r="L8">
        <v>799.20965237369796</v>
      </c>
      <c r="M8">
        <v>17.344886077648599</v>
      </c>
      <c r="N8">
        <v>47.142948499701902</v>
      </c>
      <c r="O8">
        <v>45.478135943868999</v>
      </c>
      <c r="P8">
        <v>-7.9892176727864694E-2</v>
      </c>
      <c r="Q8">
        <v>0.162141563622202</v>
      </c>
      <c r="R8">
        <v>0.984472722056556</v>
      </c>
      <c r="S8" t="s">
        <v>6814</v>
      </c>
      <c r="T8" t="s">
        <v>13610</v>
      </c>
      <c r="U8" t="s">
        <v>13610</v>
      </c>
      <c r="V8" t="s">
        <v>13610</v>
      </c>
      <c r="W8" t="s">
        <v>13618</v>
      </c>
      <c r="X8">
        <v>8</v>
      </c>
      <c r="Y8" t="s">
        <v>20339</v>
      </c>
      <c r="Z8" t="s">
        <v>26863</v>
      </c>
      <c r="AA8">
        <v>0.34963989962201802</v>
      </c>
      <c r="AB8" t="str">
        <f>HYPERLINK("Melting_Curves/meltCurve_A2RRP1_NBAS.pdf", "Melting_Curves/meltCurve_A2RRP1_NBAS.pdf")</f>
        <v>Melting_Curves/meltCurve_A2RRP1_NBAS.pdf</v>
      </c>
    </row>
    <row r="9" spans="1:28" x14ac:dyDescent="0.25">
      <c r="A9" t="s">
        <v>13</v>
      </c>
      <c r="B9">
        <v>0.995954080203443</v>
      </c>
      <c r="C9">
        <v>1.0029916300502399</v>
      </c>
      <c r="D9">
        <v>0.89203850146524399</v>
      </c>
      <c r="E9">
        <v>0.69843224637595702</v>
      </c>
      <c r="F9">
        <v>0.23915623067275599</v>
      </c>
      <c r="G9">
        <v>0.12657970254412901</v>
      </c>
      <c r="H9">
        <v>9.5866516641791202E-2</v>
      </c>
      <c r="I9">
        <v>7.2219694000599799E-2</v>
      </c>
      <c r="J9">
        <v>8.5318807253042597E-2</v>
      </c>
      <c r="K9">
        <v>7.6362824257182799E-2</v>
      </c>
      <c r="L9">
        <v>1738.097022318</v>
      </c>
      <c r="M9">
        <v>34.176079497746798</v>
      </c>
      <c r="N9">
        <v>51.128049634281901</v>
      </c>
      <c r="O9">
        <v>50.683947314698202</v>
      </c>
      <c r="P9">
        <v>-0.154613700380347</v>
      </c>
      <c r="Q9">
        <v>8.2820328283875394E-2</v>
      </c>
      <c r="R9">
        <v>0.99401641711094402</v>
      </c>
      <c r="S9" t="s">
        <v>6815</v>
      </c>
      <c r="T9" t="s">
        <v>13610</v>
      </c>
      <c r="U9" t="s">
        <v>13610</v>
      </c>
      <c r="V9" t="s">
        <v>13610</v>
      </c>
      <c r="W9" t="s">
        <v>13619</v>
      </c>
      <c r="X9">
        <v>10</v>
      </c>
      <c r="Y9" t="s">
        <v>20340</v>
      </c>
      <c r="Z9" t="s">
        <v>26864</v>
      </c>
      <c r="AA9">
        <v>0.41917837394485608</v>
      </c>
      <c r="AB9" t="str">
        <f>HYPERLINK("Melting_Curves/meltCurve_A2RUC4_TYW5.pdf", "Melting_Curves/meltCurve_A2RUC4_TYW5.pdf")</f>
        <v>Melting_Curves/meltCurve_A2RUC4_TYW5.pdf</v>
      </c>
    </row>
    <row r="10" spans="1:28" x14ac:dyDescent="0.25">
      <c r="A10" t="s">
        <v>14</v>
      </c>
      <c r="B10">
        <v>0.995954080203443</v>
      </c>
      <c r="C10">
        <v>0.91733609706524799</v>
      </c>
      <c r="D10">
        <v>0.77455799382777901</v>
      </c>
      <c r="E10">
        <v>0.80503488909248</v>
      </c>
      <c r="F10">
        <v>0.61314579810266201</v>
      </c>
      <c r="G10">
        <v>0.41393629971125401</v>
      </c>
      <c r="H10">
        <v>0.38440965498802299</v>
      </c>
      <c r="I10">
        <v>0.33033904821974502</v>
      </c>
      <c r="J10">
        <v>0.36301831992383998</v>
      </c>
      <c r="K10">
        <v>0.26388329651199399</v>
      </c>
      <c r="L10">
        <v>524.95381034948298</v>
      </c>
      <c r="M10">
        <v>9.9534589545796699</v>
      </c>
      <c r="N10">
        <v>56.121779858208797</v>
      </c>
      <c r="O10">
        <v>50.744474480688297</v>
      </c>
      <c r="P10">
        <v>-3.79985525447291E-2</v>
      </c>
      <c r="Q10">
        <v>0.22549056592632399</v>
      </c>
      <c r="R10">
        <v>0.96543291658879304</v>
      </c>
      <c r="S10" t="s">
        <v>6816</v>
      </c>
      <c r="T10" t="s">
        <v>13610</v>
      </c>
      <c r="U10" t="s">
        <v>13610</v>
      </c>
      <c r="V10" t="s">
        <v>13610</v>
      </c>
      <c r="W10" t="s">
        <v>13620</v>
      </c>
      <c r="X10">
        <v>5</v>
      </c>
      <c r="Y10" t="s">
        <v>20341</v>
      </c>
      <c r="Z10" t="s">
        <v>26865</v>
      </c>
      <c r="AA10">
        <v>0.58180592221202354</v>
      </c>
      <c r="AB10" t="str">
        <f>HYPERLINK("Melting_Curves/meltCurve_A2VDF0_2_FUOM.pdf", "Melting_Curves/meltCurve_A2VDF0_2_FUOM.pdf")</f>
        <v>Melting_Curves/meltCurve_A2VDF0_2_FUOM.pdf</v>
      </c>
    </row>
    <row r="11" spans="1:28" x14ac:dyDescent="0.25">
      <c r="A11" t="s">
        <v>15</v>
      </c>
      <c r="B11">
        <v>0.995954080203443</v>
      </c>
      <c r="C11">
        <v>0.90151487766402105</v>
      </c>
      <c r="D11">
        <v>1.0467230324183101</v>
      </c>
      <c r="E11">
        <v>0.78383001962814802</v>
      </c>
      <c r="F11">
        <v>0.99750952548805305</v>
      </c>
      <c r="G11">
        <v>0.87853791668546899</v>
      </c>
      <c r="H11">
        <v>0.94340442763647103</v>
      </c>
      <c r="I11">
        <v>1.01223121007575</v>
      </c>
      <c r="J11">
        <v>1.49059032950281</v>
      </c>
      <c r="K11">
        <v>1.3766512768382699</v>
      </c>
      <c r="L11">
        <v>15000</v>
      </c>
      <c r="M11">
        <v>230.95907753193899</v>
      </c>
      <c r="O11">
        <v>64.941700869560506</v>
      </c>
      <c r="P11">
        <v>0.38565186097431198</v>
      </c>
      <c r="Q11">
        <v>1.4337545510570799</v>
      </c>
      <c r="R11">
        <v>0.81153062189365699</v>
      </c>
      <c r="S11" t="s">
        <v>6817</v>
      </c>
      <c r="T11" t="s">
        <v>13610</v>
      </c>
      <c r="U11" t="s">
        <v>13610</v>
      </c>
      <c r="V11" t="s">
        <v>13610</v>
      </c>
      <c r="W11" t="s">
        <v>13621</v>
      </c>
      <c r="X11">
        <v>3</v>
      </c>
      <c r="Y11" t="s">
        <v>20342</v>
      </c>
      <c r="Z11" t="s">
        <v>26866</v>
      </c>
      <c r="AA11">
        <v>1.073007006272036</v>
      </c>
      <c r="AB11" t="str">
        <f>HYPERLINK("Melting_Curves/meltCurve_A2VDJ0_2_KIAA0922.pdf", "Melting_Curves/meltCurve_A2VDJ0_2_KIAA0922.pdf")</f>
        <v>Melting_Curves/meltCurve_A2VDJ0_2_KIAA0922.pdf</v>
      </c>
    </row>
    <row r="12" spans="1:28" x14ac:dyDescent="0.25">
      <c r="A12" t="s">
        <v>16</v>
      </c>
      <c r="B12">
        <v>0.995954080203443</v>
      </c>
      <c r="C12">
        <v>0.81714273456264097</v>
      </c>
      <c r="D12">
        <v>0.51639076390490202</v>
      </c>
      <c r="E12">
        <v>0.25794823609324302</v>
      </c>
      <c r="F12">
        <v>0.153139996060803</v>
      </c>
      <c r="G12">
        <v>0.13646004923663599</v>
      </c>
      <c r="H12">
        <v>7.0311124975751205E-2</v>
      </c>
      <c r="I12">
        <v>6.7147894596229094E-2</v>
      </c>
      <c r="J12">
        <v>0.103815157566628</v>
      </c>
      <c r="K12">
        <v>5.8954287840442099E-2</v>
      </c>
      <c r="L12">
        <v>892.19393809414498</v>
      </c>
      <c r="M12">
        <v>19.407130462575299</v>
      </c>
      <c r="N12">
        <v>46.401942756274501</v>
      </c>
      <c r="O12">
        <v>45.492721565689003</v>
      </c>
      <c r="P12">
        <v>-9.7886215659866896E-2</v>
      </c>
      <c r="Q12">
        <v>8.2204173824170404E-2</v>
      </c>
      <c r="R12">
        <v>0.99470408433836</v>
      </c>
      <c r="S12" t="s">
        <v>6818</v>
      </c>
      <c r="T12" t="s">
        <v>13610</v>
      </c>
      <c r="U12" t="s">
        <v>13610</v>
      </c>
      <c r="V12" t="s">
        <v>13610</v>
      </c>
      <c r="W12" t="s">
        <v>13622</v>
      </c>
      <c r="X12">
        <v>1</v>
      </c>
      <c r="Y12" t="s">
        <v>20343</v>
      </c>
      <c r="Z12" t="s">
        <v>26867</v>
      </c>
      <c r="AA12">
        <v>0.28014982724646748</v>
      </c>
      <c r="AB12" t="str">
        <f>HYPERLINK("Melting_Curves/meltCurve_A3KMH1_2_VWA8.pdf", "Melting_Curves/meltCurve_A3KMH1_2_VWA8.pdf")</f>
        <v>Melting_Curves/meltCurve_A3KMH1_2_VWA8.pdf</v>
      </c>
    </row>
    <row r="13" spans="1:28" x14ac:dyDescent="0.25">
      <c r="A13" t="s">
        <v>17</v>
      </c>
      <c r="B13">
        <v>0.995954080203443</v>
      </c>
      <c r="C13">
        <v>0.92811839728648504</v>
      </c>
      <c r="D13">
        <v>0.90032404506800801</v>
      </c>
      <c r="E13">
        <v>0.73618009795112604</v>
      </c>
      <c r="F13">
        <v>0.19241142892723201</v>
      </c>
      <c r="G13">
        <v>0.1032505585032</v>
      </c>
      <c r="H13">
        <v>6.6291021275662207E-2</v>
      </c>
      <c r="I13">
        <v>5.7261855723456399E-2</v>
      </c>
      <c r="J13">
        <v>7.0520313351887007E-2</v>
      </c>
      <c r="K13">
        <v>6.2906183297980298E-2</v>
      </c>
      <c r="L13">
        <v>2340.8082442223999</v>
      </c>
      <c r="M13">
        <v>45.9370092005218</v>
      </c>
      <c r="N13">
        <v>51.1218172024236</v>
      </c>
      <c r="O13">
        <v>50.860634197416701</v>
      </c>
      <c r="P13">
        <v>-0.21025119108437501</v>
      </c>
      <c r="Q13">
        <v>6.8855819473183297E-2</v>
      </c>
      <c r="R13">
        <v>0.99050280755485698</v>
      </c>
      <c r="S13" t="s">
        <v>6819</v>
      </c>
      <c r="T13" t="s">
        <v>13610</v>
      </c>
      <c r="U13" t="s">
        <v>13610</v>
      </c>
      <c r="V13" t="s">
        <v>13610</v>
      </c>
      <c r="W13" t="s">
        <v>13623</v>
      </c>
      <c r="X13">
        <v>31</v>
      </c>
      <c r="Y13" t="s">
        <v>20344</v>
      </c>
      <c r="Z13" t="s">
        <v>26868</v>
      </c>
      <c r="AA13">
        <v>0.41142002318319171</v>
      </c>
      <c r="AB13" t="str">
        <f>HYPERLINK("Melting_Curves/meltCurve_A3KN83_2_SBNO1.pdf", "Melting_Curves/meltCurve_A3KN83_2_SBNO1.pdf")</f>
        <v>Melting_Curves/meltCurve_A3KN83_2_SBNO1.pdf</v>
      </c>
    </row>
    <row r="14" spans="1:28" x14ac:dyDescent="0.25">
      <c r="A14" t="s">
        <v>18</v>
      </c>
      <c r="B14">
        <v>0.995954080203443</v>
      </c>
      <c r="C14">
        <v>0.94779742358934604</v>
      </c>
      <c r="D14">
        <v>0.95369106658953495</v>
      </c>
      <c r="E14">
        <v>0.87564222585714202</v>
      </c>
      <c r="F14">
        <v>0.74747722309818099</v>
      </c>
      <c r="G14">
        <v>0.56666751162459195</v>
      </c>
      <c r="H14">
        <v>0.40778870903501202</v>
      </c>
      <c r="I14">
        <v>0.32911090811329102</v>
      </c>
      <c r="J14">
        <v>0.20217013758857399</v>
      </c>
      <c r="K14">
        <v>0.13874484271231199</v>
      </c>
      <c r="L14">
        <v>613.64437802554198</v>
      </c>
      <c r="M14">
        <v>10.449159463463101</v>
      </c>
      <c r="N14">
        <v>58.726663989004997</v>
      </c>
      <c r="O14">
        <v>56.697985779844501</v>
      </c>
      <c r="P14">
        <v>-4.6092707128118401E-2</v>
      </c>
      <c r="Q14">
        <v>0</v>
      </c>
      <c r="R14">
        <v>0.99693086792336905</v>
      </c>
      <c r="S14" t="s">
        <v>6820</v>
      </c>
      <c r="T14" t="s">
        <v>13610</v>
      </c>
      <c r="U14" t="s">
        <v>13610</v>
      </c>
      <c r="V14" t="s">
        <v>13610</v>
      </c>
      <c r="W14" t="s">
        <v>13624</v>
      </c>
      <c r="X14">
        <v>5</v>
      </c>
      <c r="Y14" t="s">
        <v>20345</v>
      </c>
      <c r="Z14" t="s">
        <v>26869</v>
      </c>
      <c r="AA14">
        <v>0.6306260174389291</v>
      </c>
      <c r="AB14" t="str">
        <f>HYPERLINK("Melting_Curves/meltCurve_A4D126_2_ISPD.pdf", "Melting_Curves/meltCurve_A4D126_2_ISPD.pdf")</f>
        <v>Melting_Curves/meltCurve_A4D126_2_ISPD.pdf</v>
      </c>
    </row>
    <row r="15" spans="1:28" x14ac:dyDescent="0.25">
      <c r="A15" t="s">
        <v>19</v>
      </c>
      <c r="B15">
        <v>0.995954080203443</v>
      </c>
      <c r="C15">
        <v>0.98707117934633903</v>
      </c>
      <c r="D15">
        <v>0.92473714190646195</v>
      </c>
      <c r="E15">
        <v>0.83893057330881105</v>
      </c>
      <c r="F15">
        <v>0.76668997523814097</v>
      </c>
      <c r="G15">
        <v>0.57072712724289798</v>
      </c>
      <c r="H15">
        <v>0.47449459920693499</v>
      </c>
      <c r="I15">
        <v>0.50085462657670199</v>
      </c>
      <c r="J15">
        <v>0.64284238344256395</v>
      </c>
      <c r="K15">
        <v>0.55589714453090999</v>
      </c>
      <c r="L15">
        <v>1057.1134564850499</v>
      </c>
      <c r="M15">
        <v>20.392745028371099</v>
      </c>
      <c r="O15">
        <v>51.346968126517503</v>
      </c>
      <c r="P15">
        <v>-4.6163998429050598E-2</v>
      </c>
      <c r="Q15">
        <v>0.53506800439290503</v>
      </c>
      <c r="R15">
        <v>0.93267869857960495</v>
      </c>
      <c r="S15" t="s">
        <v>6821</v>
      </c>
      <c r="T15" t="s">
        <v>13610</v>
      </c>
      <c r="U15" t="s">
        <v>13610</v>
      </c>
      <c r="V15" t="s">
        <v>13610</v>
      </c>
      <c r="W15" t="s">
        <v>13625</v>
      </c>
      <c r="X15">
        <v>4</v>
      </c>
      <c r="Y15" t="s">
        <v>20346</v>
      </c>
      <c r="Z15" t="s">
        <v>26870</v>
      </c>
      <c r="AA15">
        <v>0.72474111655714013</v>
      </c>
      <c r="AB15" t="str">
        <f>HYPERLINK("Melting_Curves/meltCurve_A4D2B0_MBLAC1.pdf", "Melting_Curves/meltCurve_A4D2B0_MBLAC1.pdf")</f>
        <v>Melting_Curves/meltCurve_A4D2B0_MBLAC1.pdf</v>
      </c>
    </row>
    <row r="16" spans="1:28" x14ac:dyDescent="0.25">
      <c r="A16" t="s">
        <v>20</v>
      </c>
      <c r="B16">
        <v>0.995954080203443</v>
      </c>
      <c r="C16">
        <v>0.86764614841169596</v>
      </c>
      <c r="D16">
        <v>1.13281304442603</v>
      </c>
      <c r="E16">
        <v>0.820400283115711</v>
      </c>
      <c r="F16">
        <v>1.00278743158013</v>
      </c>
      <c r="G16">
        <v>0.82547441750142203</v>
      </c>
      <c r="H16">
        <v>0.81021388253285398</v>
      </c>
      <c r="I16">
        <v>0.99934112925216201</v>
      </c>
      <c r="J16">
        <v>1.1051772236193</v>
      </c>
      <c r="K16">
        <v>1.2047387490088299</v>
      </c>
      <c r="L16">
        <v>15000</v>
      </c>
      <c r="M16">
        <v>223.93533372660801</v>
      </c>
      <c r="O16">
        <v>66.978297540573493</v>
      </c>
      <c r="P16">
        <v>0.17114204451229301</v>
      </c>
      <c r="Q16">
        <v>1.2047519651082801</v>
      </c>
      <c r="R16">
        <v>0.26157092343939198</v>
      </c>
      <c r="S16" t="s">
        <v>6822</v>
      </c>
      <c r="T16" t="s">
        <v>13610</v>
      </c>
      <c r="U16" t="s">
        <v>13610</v>
      </c>
      <c r="V16" t="s">
        <v>13610</v>
      </c>
      <c r="W16" t="s">
        <v>13626</v>
      </c>
      <c r="X16">
        <v>10</v>
      </c>
      <c r="Y16" t="s">
        <v>20347</v>
      </c>
      <c r="Z16" t="s">
        <v>26871</v>
      </c>
      <c r="AA16">
        <v>1.020557114269512</v>
      </c>
      <c r="AB16" t="str">
        <f>HYPERLINK("Melting_Curves/meltCurve_A5PL33_3_KRBA1.pdf", "Melting_Curves/meltCurve_A5PL33_3_KRBA1.pdf")</f>
        <v>Melting_Curves/meltCurve_A5PL33_3_KRBA1.pdf</v>
      </c>
    </row>
    <row r="17" spans="1:28" x14ac:dyDescent="0.25">
      <c r="A17" t="s">
        <v>21</v>
      </c>
      <c r="B17">
        <v>0.995954080203443</v>
      </c>
      <c r="C17">
        <v>0.69940900855980703</v>
      </c>
      <c r="D17">
        <v>0.55696204547943096</v>
      </c>
      <c r="E17">
        <v>0.35588471219880402</v>
      </c>
      <c r="F17">
        <v>0.14582523871348099</v>
      </c>
      <c r="G17">
        <v>8.5245399710896105E-2</v>
      </c>
      <c r="H17">
        <v>5.34663337739512E-2</v>
      </c>
      <c r="I17">
        <v>4.83343140535216E-2</v>
      </c>
      <c r="J17">
        <v>5.2486136561393497E-2</v>
      </c>
      <c r="K17">
        <v>4.8315799503220597E-2</v>
      </c>
      <c r="L17">
        <v>647.51461238075296</v>
      </c>
      <c r="M17">
        <v>13.9031106602866</v>
      </c>
      <c r="N17">
        <v>46.769860622829597</v>
      </c>
      <c r="O17">
        <v>45.6415648759071</v>
      </c>
      <c r="P17">
        <v>-7.4003393962186803E-2</v>
      </c>
      <c r="Q17">
        <v>2.83695227507029E-2</v>
      </c>
      <c r="R17">
        <v>0.98275121594842196</v>
      </c>
      <c r="S17" t="s">
        <v>6823</v>
      </c>
      <c r="T17" t="s">
        <v>13610</v>
      </c>
      <c r="U17" t="s">
        <v>13610</v>
      </c>
      <c r="V17" t="s">
        <v>13610</v>
      </c>
      <c r="W17" t="s">
        <v>13627</v>
      </c>
      <c r="X17">
        <v>7</v>
      </c>
      <c r="Y17" t="s">
        <v>20348</v>
      </c>
      <c r="Z17" t="s">
        <v>26872</v>
      </c>
      <c r="AA17">
        <v>0.27299003254265308</v>
      </c>
      <c r="AB17" t="str">
        <f>HYPERLINK("Melting_Curves/meltCurve_A5PLN9_2_TRAPPC13.pdf", "Melting_Curves/meltCurve_A5PLN9_2_TRAPPC13.pdf")</f>
        <v>Melting_Curves/meltCurve_A5PLN9_2_TRAPPC13.pdf</v>
      </c>
    </row>
    <row r="18" spans="1:28" x14ac:dyDescent="0.25">
      <c r="A18" t="s">
        <v>22</v>
      </c>
      <c r="B18">
        <v>0.995954080203443</v>
      </c>
      <c r="C18">
        <v>0.85701351756458399</v>
      </c>
      <c r="D18">
        <v>0.70741074471860299</v>
      </c>
      <c r="E18">
        <v>0.76776863742545298</v>
      </c>
      <c r="F18">
        <v>0.30519796624315498</v>
      </c>
      <c r="G18">
        <v>0.12269616759641599</v>
      </c>
      <c r="H18">
        <v>6.9399788426838194E-2</v>
      </c>
      <c r="I18">
        <v>5.8813356721281997E-2</v>
      </c>
      <c r="J18">
        <v>6.5082017983630294E-2</v>
      </c>
      <c r="K18">
        <v>5.9805761972994101E-2</v>
      </c>
      <c r="L18">
        <v>704.85078170784004</v>
      </c>
      <c r="M18">
        <v>13.8128552750353</v>
      </c>
      <c r="N18">
        <v>51.035036615724202</v>
      </c>
      <c r="O18">
        <v>49.994736101687998</v>
      </c>
      <c r="P18">
        <v>-6.9021139230212303E-2</v>
      </c>
      <c r="Q18">
        <v>8.6915665049096301E-4</v>
      </c>
      <c r="R18">
        <v>0.94788001276162803</v>
      </c>
      <c r="S18" t="s">
        <v>6824</v>
      </c>
      <c r="T18" t="s">
        <v>13610</v>
      </c>
      <c r="U18" t="s">
        <v>13610</v>
      </c>
      <c r="V18" t="s">
        <v>13610</v>
      </c>
      <c r="W18" t="s">
        <v>13628</v>
      </c>
      <c r="X18">
        <v>82</v>
      </c>
      <c r="Y18" t="s">
        <v>20349</v>
      </c>
      <c r="Z18" t="s">
        <v>26873</v>
      </c>
      <c r="AA18">
        <v>0.39451056055480682</v>
      </c>
      <c r="AB18" t="str">
        <f>HYPERLINK("Melting_Curves/meltCurve_A5YKK6_2_CNOT1.pdf", "Melting_Curves/meltCurve_A5YKK6_2_CNOT1.pdf")</f>
        <v>Melting_Curves/meltCurve_A5YKK6_2_CNOT1.pdf</v>
      </c>
    </row>
    <row r="19" spans="1:28" x14ac:dyDescent="0.25">
      <c r="A19" t="s">
        <v>23</v>
      </c>
      <c r="B19">
        <v>0.995954080203443</v>
      </c>
      <c r="C19">
        <v>1.0022384444151899</v>
      </c>
      <c r="D19">
        <v>1.1070014742303</v>
      </c>
      <c r="E19">
        <v>0.99338941327714603</v>
      </c>
      <c r="F19">
        <v>1.04782951903418</v>
      </c>
      <c r="G19">
        <v>0.857721875511117</v>
      </c>
      <c r="H19">
        <v>0.80454438592505095</v>
      </c>
      <c r="I19">
        <v>0.90268332019257203</v>
      </c>
      <c r="J19">
        <v>1.1574546863717099</v>
      </c>
      <c r="K19">
        <v>1.1033889472556599</v>
      </c>
      <c r="L19">
        <v>15000</v>
      </c>
      <c r="M19">
        <v>228.49241799701599</v>
      </c>
      <c r="O19">
        <v>65.642664647846303</v>
      </c>
      <c r="P19">
        <v>0.113816804222918</v>
      </c>
      <c r="Q19">
        <v>1.1307918789625799</v>
      </c>
      <c r="R19">
        <v>0.28859535665282399</v>
      </c>
      <c r="S19" t="s">
        <v>6825</v>
      </c>
      <c r="T19" t="s">
        <v>13610</v>
      </c>
      <c r="U19" t="s">
        <v>13610</v>
      </c>
      <c r="V19" t="s">
        <v>13610</v>
      </c>
      <c r="W19" t="s">
        <v>13629</v>
      </c>
      <c r="X19">
        <v>18</v>
      </c>
      <c r="Y19" t="s">
        <v>20350</v>
      </c>
      <c r="Z19" t="s">
        <v>26874</v>
      </c>
      <c r="AA19">
        <v>1.018956843724155</v>
      </c>
      <c r="AB19" t="str">
        <f>HYPERLINK("Melting_Curves/meltCurve_A6H8Y1_7_BDP1.pdf", "Melting_Curves/meltCurve_A6H8Y1_7_BDP1.pdf")</f>
        <v>Melting_Curves/meltCurve_A6H8Y1_7_BDP1.pdf</v>
      </c>
    </row>
    <row r="20" spans="1:28" x14ac:dyDescent="0.25">
      <c r="A20" t="s">
        <v>24</v>
      </c>
      <c r="B20">
        <v>0.995954080203443</v>
      </c>
      <c r="C20">
        <v>1.0095149957887599</v>
      </c>
      <c r="D20">
        <v>1.0541259969858201</v>
      </c>
      <c r="E20">
        <v>0.96231992424440804</v>
      </c>
      <c r="F20">
        <v>1.02664746507664</v>
      </c>
      <c r="G20">
        <v>0.87195815177070102</v>
      </c>
      <c r="H20">
        <v>0.62265268140903196</v>
      </c>
      <c r="I20">
        <v>0.27357465989044</v>
      </c>
      <c r="J20">
        <v>8.8834829365884493E-2</v>
      </c>
      <c r="K20">
        <v>8.9266668211990294E-2</v>
      </c>
      <c r="L20">
        <v>1782.4138207763599</v>
      </c>
      <c r="M20">
        <v>28.892069416816099</v>
      </c>
      <c r="N20">
        <v>61.827811089051202</v>
      </c>
      <c r="O20">
        <v>61.3988742762998</v>
      </c>
      <c r="P20">
        <v>-0.11402855099696101</v>
      </c>
      <c r="Q20">
        <v>3.0713806446121299E-2</v>
      </c>
      <c r="R20">
        <v>0.99283419541926898</v>
      </c>
      <c r="S20" t="s">
        <v>6826</v>
      </c>
      <c r="T20" t="s">
        <v>13610</v>
      </c>
      <c r="U20" t="s">
        <v>13610</v>
      </c>
      <c r="V20" t="s">
        <v>13610</v>
      </c>
      <c r="W20" t="s">
        <v>13630</v>
      </c>
      <c r="X20">
        <v>14</v>
      </c>
      <c r="Y20" t="s">
        <v>20351</v>
      </c>
      <c r="Z20" t="s">
        <v>26875</v>
      </c>
      <c r="AA20">
        <v>0.73647806267925486</v>
      </c>
      <c r="AB20" t="str">
        <f>HYPERLINK("Melting_Curves/meltCurve_A6NDG6_PGP.pdf", "Melting_Curves/meltCurve_A6NDG6_PGP.pdf")</f>
        <v>Melting_Curves/meltCurve_A6NDG6_PGP.pdf</v>
      </c>
    </row>
    <row r="21" spans="1:28" x14ac:dyDescent="0.25">
      <c r="A21" t="s">
        <v>25</v>
      </c>
      <c r="B21">
        <v>0.995954080203443</v>
      </c>
      <c r="C21">
        <v>1.00355361137065</v>
      </c>
      <c r="D21">
        <v>1.0633964549853401</v>
      </c>
      <c r="E21">
        <v>0.66846252929679295</v>
      </c>
      <c r="F21">
        <v>0.22535125468070399</v>
      </c>
      <c r="G21">
        <v>0.122491068983779</v>
      </c>
      <c r="H21">
        <v>8.5241318834085603E-2</v>
      </c>
      <c r="I21">
        <v>7.4148873387578806E-2</v>
      </c>
      <c r="J21">
        <v>8.5965260711428196E-2</v>
      </c>
      <c r="K21">
        <v>7.2387773645321493E-2</v>
      </c>
      <c r="L21">
        <v>2121.3539799066398</v>
      </c>
      <c r="M21">
        <v>41.818027971456999</v>
      </c>
      <c r="N21">
        <v>50.960806758288598</v>
      </c>
      <c r="O21">
        <v>50.6126215335061</v>
      </c>
      <c r="P21">
        <v>-0.18861410833421</v>
      </c>
      <c r="Q21">
        <v>8.6878190868809699E-2</v>
      </c>
      <c r="R21">
        <v>0.995962036371003</v>
      </c>
      <c r="S21" t="s">
        <v>6827</v>
      </c>
      <c r="T21" t="s">
        <v>13610</v>
      </c>
      <c r="U21" t="s">
        <v>13610</v>
      </c>
      <c r="V21" t="s">
        <v>13610</v>
      </c>
      <c r="W21" t="s">
        <v>13631</v>
      </c>
      <c r="X21">
        <v>10</v>
      </c>
      <c r="Y21" t="s">
        <v>20352</v>
      </c>
      <c r="Z21" t="s">
        <v>26876</v>
      </c>
      <c r="AA21">
        <v>0.41634480823289199</v>
      </c>
      <c r="AB21" t="str">
        <f>HYPERLINK("Melting_Curves/meltCurve_A6NDU8_C5orf51.pdf", "Melting_Curves/meltCurve_A6NDU8_C5orf51.pdf")</f>
        <v>Melting_Curves/meltCurve_A6NDU8_C5orf51.pdf</v>
      </c>
    </row>
    <row r="22" spans="1:28" x14ac:dyDescent="0.25">
      <c r="A22" t="s">
        <v>26</v>
      </c>
      <c r="B22">
        <v>0.995954080203443</v>
      </c>
      <c r="C22">
        <v>0.85352907850404003</v>
      </c>
      <c r="D22">
        <v>1.08684608190154</v>
      </c>
      <c r="E22">
        <v>0.797677696146461</v>
      </c>
      <c r="F22">
        <v>0.83429725336504401</v>
      </c>
      <c r="G22">
        <v>0.53949504350547395</v>
      </c>
      <c r="H22">
        <v>0.49138990770111901</v>
      </c>
      <c r="I22">
        <v>0.65554684105532701</v>
      </c>
      <c r="J22">
        <v>0.99025408595238595</v>
      </c>
      <c r="K22">
        <v>0.80210624353912396</v>
      </c>
      <c r="L22">
        <v>2165.5787201640501</v>
      </c>
      <c r="M22">
        <v>43.679914006205799</v>
      </c>
      <c r="O22">
        <v>49.474794432770203</v>
      </c>
      <c r="P22">
        <v>-6.3479395240052805E-2</v>
      </c>
      <c r="Q22">
        <v>0.71239642337416798</v>
      </c>
      <c r="R22">
        <v>0.38945388801612202</v>
      </c>
      <c r="S22" t="s">
        <v>6828</v>
      </c>
      <c r="T22" t="s">
        <v>13610</v>
      </c>
      <c r="U22" t="s">
        <v>13610</v>
      </c>
      <c r="V22" t="s">
        <v>13610</v>
      </c>
      <c r="W22" t="s">
        <v>13632</v>
      </c>
      <c r="X22">
        <v>5</v>
      </c>
      <c r="Y22" t="s">
        <v>20353</v>
      </c>
      <c r="Z22" t="s">
        <v>26877</v>
      </c>
      <c r="AA22">
        <v>0.80504788026266805</v>
      </c>
      <c r="AB22" t="str">
        <f>HYPERLINK("Melting_Curves/meltCurve_A6NE92_ZNF275.pdf", "Melting_Curves/meltCurve_A6NE92_ZNF275.pdf")</f>
        <v>Melting_Curves/meltCurve_A6NE92_ZNF275.pdf</v>
      </c>
    </row>
    <row r="23" spans="1:28" x14ac:dyDescent="0.25">
      <c r="A23" t="s">
        <v>27</v>
      </c>
      <c r="B23">
        <v>0.995954080203443</v>
      </c>
      <c r="C23">
        <v>0.961192685230564</v>
      </c>
      <c r="D23">
        <v>0.943457845785455</v>
      </c>
      <c r="E23">
        <v>0.78028430239957802</v>
      </c>
      <c r="F23">
        <v>0.56062383269446803</v>
      </c>
      <c r="G23">
        <v>0.19581021358801901</v>
      </c>
      <c r="H23">
        <v>0.133630433951577</v>
      </c>
      <c r="I23">
        <v>0.12979218729530101</v>
      </c>
      <c r="J23">
        <v>0.14966333169363699</v>
      </c>
      <c r="K23">
        <v>0.113655085547537</v>
      </c>
      <c r="L23">
        <v>1234.76364425509</v>
      </c>
      <c r="M23">
        <v>23.459372165722701</v>
      </c>
      <c r="N23">
        <v>53.212576839770001</v>
      </c>
      <c r="O23">
        <v>52.256144772031902</v>
      </c>
      <c r="P23">
        <v>-9.9603015109521104E-2</v>
      </c>
      <c r="Q23">
        <v>0.11254581585434199</v>
      </c>
      <c r="R23">
        <v>0.99491510183306697</v>
      </c>
      <c r="S23" t="s">
        <v>6829</v>
      </c>
      <c r="T23" t="s">
        <v>13610</v>
      </c>
      <c r="U23" t="s">
        <v>13610</v>
      </c>
      <c r="V23" t="s">
        <v>13610</v>
      </c>
      <c r="W23" t="s">
        <v>13633</v>
      </c>
      <c r="X23">
        <v>13</v>
      </c>
      <c r="Y23" t="s">
        <v>20354</v>
      </c>
      <c r="Z23" t="s">
        <v>26878</v>
      </c>
      <c r="AA23">
        <v>0.49546793791642968</v>
      </c>
      <c r="AB23" t="str">
        <f>HYPERLINK("Melting_Curves/meltCurve_A6NED2_RCCD1.pdf", "Melting_Curves/meltCurve_A6NED2_RCCD1.pdf")</f>
        <v>Melting_Curves/meltCurve_A6NED2_RCCD1.pdf</v>
      </c>
    </row>
    <row r="24" spans="1:28" x14ac:dyDescent="0.25">
      <c r="A24" t="s">
        <v>28</v>
      </c>
      <c r="B24">
        <v>0.995954080203443</v>
      </c>
      <c r="C24">
        <v>0.91918011572795699</v>
      </c>
      <c r="D24">
        <v>1.0292929298978499</v>
      </c>
      <c r="E24">
        <v>0.88909434899428297</v>
      </c>
      <c r="F24">
        <v>0.95693561334824395</v>
      </c>
      <c r="G24">
        <v>0.72391119535871695</v>
      </c>
      <c r="H24">
        <v>0.72528179090032796</v>
      </c>
      <c r="I24">
        <v>0.85093240458139197</v>
      </c>
      <c r="J24">
        <v>1.29347231435614</v>
      </c>
      <c r="K24">
        <v>1.06858905390973</v>
      </c>
      <c r="L24">
        <v>15000</v>
      </c>
      <c r="M24">
        <v>228.988120601958</v>
      </c>
      <c r="O24">
        <v>65.500606429475098</v>
      </c>
      <c r="P24">
        <v>0.15809783495874299</v>
      </c>
      <c r="Q24">
        <v>1.1808914918778799</v>
      </c>
      <c r="R24">
        <v>0.13689140249072901</v>
      </c>
      <c r="S24" t="s">
        <v>6830</v>
      </c>
      <c r="T24" t="s">
        <v>13610</v>
      </c>
      <c r="U24" t="s">
        <v>13610</v>
      </c>
      <c r="V24" t="s">
        <v>13610</v>
      </c>
      <c r="W24" t="s">
        <v>13634</v>
      </c>
      <c r="X24">
        <v>8</v>
      </c>
      <c r="Y24" t="s">
        <v>20355</v>
      </c>
      <c r="Z24" t="s">
        <v>26879</v>
      </c>
      <c r="AA24">
        <v>1.027075281604948</v>
      </c>
      <c r="AB24" t="str">
        <f>HYPERLINK("Melting_Curves/meltCurve_A6NF31_OFD1.pdf", "Melting_Curves/meltCurve_A6NF31_OFD1.pdf")</f>
        <v>Melting_Curves/meltCurve_A6NF31_OFD1.pdf</v>
      </c>
    </row>
    <row r="25" spans="1:28" x14ac:dyDescent="0.25">
      <c r="A25" t="s">
        <v>29</v>
      </c>
      <c r="B25">
        <v>0.995954080203443</v>
      </c>
      <c r="C25">
        <v>0.97735543792204405</v>
      </c>
      <c r="D25">
        <v>0.92611157249856402</v>
      </c>
      <c r="E25">
        <v>0.84321967934997</v>
      </c>
      <c r="F25">
        <v>0.74770576878239103</v>
      </c>
      <c r="G25">
        <v>0.49739670225747101</v>
      </c>
      <c r="H25">
        <v>0.45402441123936998</v>
      </c>
      <c r="I25">
        <v>0.53767268695800996</v>
      </c>
      <c r="J25">
        <v>0.58416266148193696</v>
      </c>
      <c r="K25">
        <v>0.61405461155000496</v>
      </c>
      <c r="L25">
        <v>1330.4787381782501</v>
      </c>
      <c r="M25">
        <v>25.778418361715499</v>
      </c>
      <c r="O25">
        <v>51.304534340824702</v>
      </c>
      <c r="P25">
        <v>-5.84421379201348E-2</v>
      </c>
      <c r="Q25">
        <v>0.534756467346713</v>
      </c>
      <c r="R25">
        <v>0.92475456006377499</v>
      </c>
      <c r="S25" t="s">
        <v>6831</v>
      </c>
      <c r="T25" t="s">
        <v>13610</v>
      </c>
      <c r="U25" t="s">
        <v>13610</v>
      </c>
      <c r="V25" t="s">
        <v>13610</v>
      </c>
      <c r="W25" t="s">
        <v>13635</v>
      </c>
      <c r="X25">
        <v>8</v>
      </c>
      <c r="Y25" t="s">
        <v>20356</v>
      </c>
      <c r="Z25" t="s">
        <v>26880</v>
      </c>
      <c r="AA25">
        <v>0.71882396255560976</v>
      </c>
      <c r="AB25" t="str">
        <f>HYPERLINK("Melting_Curves/meltCurve_A6NF48_ZNF281.pdf", "Melting_Curves/meltCurve_A6NF48_ZNF281.pdf")</f>
        <v>Melting_Curves/meltCurve_A6NF48_ZNF281.pdf</v>
      </c>
    </row>
    <row r="26" spans="1:28" x14ac:dyDescent="0.25">
      <c r="A26" t="s">
        <v>30</v>
      </c>
      <c r="B26">
        <v>0.995954080203443</v>
      </c>
      <c r="C26">
        <v>0.88595773200170702</v>
      </c>
      <c r="D26">
        <v>0.72447274331503297</v>
      </c>
      <c r="E26">
        <v>0.47528782714950601</v>
      </c>
      <c r="F26">
        <v>0.25562769133750801</v>
      </c>
      <c r="G26">
        <v>0.175686634958444</v>
      </c>
      <c r="H26">
        <v>0.13663612738543501</v>
      </c>
      <c r="I26">
        <v>0.157640285612581</v>
      </c>
      <c r="J26">
        <v>0.17257298344100599</v>
      </c>
      <c r="K26">
        <v>0.17167109536836</v>
      </c>
      <c r="L26">
        <v>844.92885153678401</v>
      </c>
      <c r="M26">
        <v>17.569695403651401</v>
      </c>
      <c r="N26">
        <v>49.041159284049897</v>
      </c>
      <c r="O26">
        <v>47.480130207187699</v>
      </c>
      <c r="P26">
        <v>-7.9159000210221403E-2</v>
      </c>
      <c r="Q26">
        <v>0.14437347179743601</v>
      </c>
      <c r="R26">
        <v>0.99416952133470604</v>
      </c>
      <c r="S26" t="s">
        <v>6832</v>
      </c>
      <c r="T26" t="s">
        <v>13610</v>
      </c>
      <c r="U26" t="s">
        <v>13610</v>
      </c>
      <c r="V26" t="s">
        <v>13610</v>
      </c>
      <c r="W26" t="s">
        <v>13636</v>
      </c>
      <c r="X26">
        <v>13</v>
      </c>
      <c r="Y26" t="s">
        <v>20357</v>
      </c>
      <c r="Z26" t="s">
        <v>26881</v>
      </c>
      <c r="AA26">
        <v>0.39103094012099032</v>
      </c>
      <c r="AB26" t="str">
        <f>HYPERLINK("Melting_Curves/meltCurve_A6NFI3_ZNF316.pdf", "Melting_Curves/meltCurve_A6NFI3_ZNF316.pdf")</f>
        <v>Melting_Curves/meltCurve_A6NFI3_ZNF316.pdf</v>
      </c>
    </row>
    <row r="27" spans="1:28" x14ac:dyDescent="0.25">
      <c r="A27" t="s">
        <v>31</v>
      </c>
      <c r="B27">
        <v>0.995954080203443</v>
      </c>
      <c r="C27">
        <v>1.0180405876754799</v>
      </c>
      <c r="D27">
        <v>1.04917223156978</v>
      </c>
      <c r="E27">
        <v>0.99526136792422204</v>
      </c>
      <c r="F27">
        <v>0.91223075034914003</v>
      </c>
      <c r="G27">
        <v>0.80679813718399795</v>
      </c>
      <c r="H27">
        <v>0.71773584673186497</v>
      </c>
      <c r="I27">
        <v>0.87941981070794595</v>
      </c>
      <c r="J27">
        <v>1.1941458059922501</v>
      </c>
      <c r="K27">
        <v>1.13878437206214</v>
      </c>
      <c r="L27">
        <v>6582.2709649439903</v>
      </c>
      <c r="M27">
        <v>99.952524733948906</v>
      </c>
      <c r="O27">
        <v>65.827648622676094</v>
      </c>
      <c r="P27">
        <v>5.5365712785628102E-2</v>
      </c>
      <c r="Q27">
        <v>1.1458529714285399</v>
      </c>
      <c r="R27">
        <v>0.21759943749105701</v>
      </c>
      <c r="S27" t="s">
        <v>6833</v>
      </c>
      <c r="T27" t="s">
        <v>13610</v>
      </c>
      <c r="U27" t="s">
        <v>13610</v>
      </c>
      <c r="V27" t="s">
        <v>13610</v>
      </c>
      <c r="W27" t="s">
        <v>13637</v>
      </c>
      <c r="X27">
        <v>15</v>
      </c>
      <c r="Y27" t="s">
        <v>20358</v>
      </c>
      <c r="Z27" t="s">
        <v>26882</v>
      </c>
      <c r="AA27">
        <v>1.0200613480449079</v>
      </c>
      <c r="AB27" t="str">
        <f>HYPERLINK("Melting_Curves/meltCurve_A6NFX8_NUDT5.pdf", "Melting_Curves/meltCurve_A6NFX8_NUDT5.pdf")</f>
        <v>Melting_Curves/meltCurve_A6NFX8_NUDT5.pdf</v>
      </c>
    </row>
    <row r="28" spans="1:28" x14ac:dyDescent="0.25">
      <c r="A28" t="s">
        <v>32</v>
      </c>
      <c r="B28">
        <v>0.995954080203443</v>
      </c>
      <c r="C28">
        <v>0.84275154408297903</v>
      </c>
      <c r="D28">
        <v>1.05743582264949</v>
      </c>
      <c r="E28">
        <v>0.68392624427864201</v>
      </c>
      <c r="F28">
        <v>0.86908024673932005</v>
      </c>
      <c r="G28">
        <v>0.69441430087585299</v>
      </c>
      <c r="H28">
        <v>0.64274703400546196</v>
      </c>
      <c r="I28">
        <v>0.82268923193395105</v>
      </c>
      <c r="J28">
        <v>0.62709397725794602</v>
      </c>
      <c r="K28">
        <v>0.69598153495947501</v>
      </c>
      <c r="L28">
        <v>665.97250907149396</v>
      </c>
      <c r="M28">
        <v>13.5903555751644</v>
      </c>
      <c r="O28">
        <v>47.978854386768496</v>
      </c>
      <c r="P28">
        <v>-2.2293598447753499E-2</v>
      </c>
      <c r="Q28">
        <v>0.68522915237167203</v>
      </c>
      <c r="R28">
        <v>0.55222112749845997</v>
      </c>
      <c r="S28" t="s">
        <v>6834</v>
      </c>
      <c r="T28" t="s">
        <v>13610</v>
      </c>
      <c r="U28" t="s">
        <v>13610</v>
      </c>
      <c r="V28" t="s">
        <v>13610</v>
      </c>
      <c r="W28" t="s">
        <v>13638</v>
      </c>
      <c r="X28">
        <v>2</v>
      </c>
      <c r="Y28" t="s">
        <v>20359</v>
      </c>
      <c r="Z28" t="s">
        <v>26883</v>
      </c>
      <c r="AA28">
        <v>0.78900960527896935</v>
      </c>
      <c r="AB28" t="str">
        <f>HYPERLINK("Melting_Curves/meltCurve_A6NFY7_SDHAF1.pdf", "Melting_Curves/meltCurve_A6NFY7_SDHAF1.pdf")</f>
        <v>Melting_Curves/meltCurve_A6NFY7_SDHAF1.pdf</v>
      </c>
    </row>
    <row r="29" spans="1:28" x14ac:dyDescent="0.25">
      <c r="A29" t="s">
        <v>33</v>
      </c>
      <c r="B29">
        <v>0.995954080203443</v>
      </c>
      <c r="C29">
        <v>0.87389948973151599</v>
      </c>
      <c r="D29">
        <v>0.96144910124707095</v>
      </c>
      <c r="E29">
        <v>0.77814057286778904</v>
      </c>
      <c r="F29">
        <v>0.81511392145202199</v>
      </c>
      <c r="G29">
        <v>0.567839791961816</v>
      </c>
      <c r="H29">
        <v>0.54406604349579701</v>
      </c>
      <c r="I29">
        <v>0.63292230240913905</v>
      </c>
      <c r="J29">
        <v>0.74786188186174296</v>
      </c>
      <c r="K29">
        <v>0.73235040178857802</v>
      </c>
      <c r="L29">
        <v>893.12010849271496</v>
      </c>
      <c r="M29">
        <v>18.151412328336299</v>
      </c>
      <c r="O29">
        <v>48.6183400644031</v>
      </c>
      <c r="P29">
        <v>-3.2676879142932103E-2</v>
      </c>
      <c r="Q29">
        <v>0.64991820077041595</v>
      </c>
      <c r="R29">
        <v>0.70783882872732995</v>
      </c>
      <c r="S29" t="s">
        <v>6835</v>
      </c>
      <c r="T29" t="s">
        <v>13610</v>
      </c>
      <c r="U29" t="s">
        <v>13610</v>
      </c>
      <c r="V29" t="s">
        <v>13610</v>
      </c>
      <c r="W29" t="s">
        <v>13639</v>
      </c>
      <c r="X29">
        <v>7</v>
      </c>
      <c r="Y29" t="s">
        <v>20360</v>
      </c>
      <c r="Z29" t="s">
        <v>26884</v>
      </c>
      <c r="AA29">
        <v>0.76326425627991834</v>
      </c>
      <c r="AB29" t="str">
        <f>HYPERLINK("Melting_Curves/meltCurve_A6NG32_CHMP1A.pdf", "Melting_Curves/meltCurve_A6NG32_CHMP1A.pdf")</f>
        <v>Melting_Curves/meltCurve_A6NG32_CHMP1A.pdf</v>
      </c>
    </row>
    <row r="30" spans="1:28" x14ac:dyDescent="0.25">
      <c r="A30" t="s">
        <v>34</v>
      </c>
      <c r="B30">
        <v>0.995954080203443</v>
      </c>
      <c r="C30">
        <v>0.99484207605645203</v>
      </c>
      <c r="D30">
        <v>0.93189309357293604</v>
      </c>
      <c r="E30">
        <v>0.81880030616731803</v>
      </c>
      <c r="F30">
        <v>0.708721124435996</v>
      </c>
      <c r="G30">
        <v>0.52337348446779497</v>
      </c>
      <c r="H30">
        <v>0.47136711531119702</v>
      </c>
      <c r="I30">
        <v>0.58411980425534005</v>
      </c>
      <c r="J30">
        <v>0.48888164014677699</v>
      </c>
      <c r="K30">
        <v>0.64089181175284005</v>
      </c>
      <c r="L30">
        <v>1193.2883440732301</v>
      </c>
      <c r="M30">
        <v>23.402990087436901</v>
      </c>
      <c r="O30">
        <v>50.620775429527903</v>
      </c>
      <c r="P30">
        <v>-5.35353106326414E-2</v>
      </c>
      <c r="Q30">
        <v>0.53681938485308101</v>
      </c>
      <c r="R30">
        <v>0.93330494945188802</v>
      </c>
      <c r="S30" t="s">
        <v>6836</v>
      </c>
      <c r="T30" t="s">
        <v>13610</v>
      </c>
      <c r="U30" t="s">
        <v>13610</v>
      </c>
      <c r="V30" t="s">
        <v>13610</v>
      </c>
      <c r="W30" t="s">
        <v>13640</v>
      </c>
      <c r="X30">
        <v>8</v>
      </c>
      <c r="Y30" t="s">
        <v>20361</v>
      </c>
      <c r="Z30" t="s">
        <v>26885</v>
      </c>
      <c r="AA30">
        <v>0.71123902540124606</v>
      </c>
      <c r="AB30" t="str">
        <f>HYPERLINK("Melting_Curves/meltCurve_A6NG79_PRCC.pdf", "Melting_Curves/meltCurve_A6NG79_PRCC.pdf")</f>
        <v>Melting_Curves/meltCurve_A6NG79_PRCC.pdf</v>
      </c>
    </row>
    <row r="31" spans="1:28" x14ac:dyDescent="0.25">
      <c r="A31" t="s">
        <v>35</v>
      </c>
      <c r="B31">
        <v>0.995954080203443</v>
      </c>
      <c r="C31">
        <v>0.91550283925449105</v>
      </c>
      <c r="D31">
        <v>0.89620901773295203</v>
      </c>
      <c r="E31">
        <v>0.79918461699276999</v>
      </c>
      <c r="F31">
        <v>0.91453417863126696</v>
      </c>
      <c r="G31">
        <v>0.76837170680017097</v>
      </c>
      <c r="H31">
        <v>0.75694651386705103</v>
      </c>
      <c r="I31">
        <v>1.00851427545254</v>
      </c>
      <c r="J31">
        <v>1.1079339126558301</v>
      </c>
      <c r="K31">
        <v>1.17290033230364</v>
      </c>
      <c r="L31">
        <v>10113.614576350599</v>
      </c>
      <c r="M31">
        <v>250</v>
      </c>
      <c r="O31">
        <v>40.451884533170301</v>
      </c>
      <c r="P31">
        <v>-0.11328666070433301</v>
      </c>
      <c r="Q31">
        <v>0.92667748451020504</v>
      </c>
      <c r="R31">
        <v>2.4566638105612E-2</v>
      </c>
      <c r="S31" t="s">
        <v>6837</v>
      </c>
      <c r="T31" t="s">
        <v>13610</v>
      </c>
      <c r="U31" t="s">
        <v>13610</v>
      </c>
      <c r="V31" t="s">
        <v>13610</v>
      </c>
      <c r="W31" t="s">
        <v>13641</v>
      </c>
      <c r="X31">
        <v>10</v>
      </c>
      <c r="Y31" t="s">
        <v>20362</v>
      </c>
      <c r="Z31" t="s">
        <v>26886</v>
      </c>
      <c r="AA31">
        <v>0.92781519817105496</v>
      </c>
      <c r="AB31" t="str">
        <f>HYPERLINK("Melting_Curves/meltCurve_A6NGB9_WIPF3.pdf", "Melting_Curves/meltCurve_A6NGB9_WIPF3.pdf")</f>
        <v>Melting_Curves/meltCurve_A6NGB9_WIPF3.pdf</v>
      </c>
    </row>
    <row r="32" spans="1:28" x14ac:dyDescent="0.25">
      <c r="A32" t="s">
        <v>36</v>
      </c>
      <c r="B32">
        <v>0.995954080203443</v>
      </c>
      <c r="C32">
        <v>0.833166994393298</v>
      </c>
      <c r="D32">
        <v>1.1472471359559899</v>
      </c>
      <c r="E32">
        <v>0.69768981731980295</v>
      </c>
      <c r="F32">
        <v>0.81502322796301696</v>
      </c>
      <c r="G32">
        <v>0.271051654075042</v>
      </c>
      <c r="H32">
        <v>9.0785298135541995E-2</v>
      </c>
      <c r="I32">
        <v>5.5662636271939299E-2</v>
      </c>
      <c r="J32">
        <v>9.1560785753995899E-2</v>
      </c>
      <c r="K32">
        <v>4.5048296004404902E-2</v>
      </c>
      <c r="L32">
        <v>1224.0000475766999</v>
      </c>
      <c r="M32">
        <v>22.361477867176099</v>
      </c>
      <c r="N32">
        <v>54.900730774297898</v>
      </c>
      <c r="O32">
        <v>54.304879954580898</v>
      </c>
      <c r="P32">
        <v>-9.9625437332580696E-2</v>
      </c>
      <c r="Q32">
        <v>3.2258247919549503E-2</v>
      </c>
      <c r="R32">
        <v>0.933147941515452</v>
      </c>
      <c r="S32" t="s">
        <v>6838</v>
      </c>
      <c r="T32" t="s">
        <v>13610</v>
      </c>
      <c r="U32" t="s">
        <v>13610</v>
      </c>
      <c r="V32" t="s">
        <v>13610</v>
      </c>
      <c r="W32" t="s">
        <v>13642</v>
      </c>
      <c r="X32">
        <v>1</v>
      </c>
      <c r="Y32" t="s">
        <v>20363</v>
      </c>
      <c r="Z32" t="s">
        <v>26887</v>
      </c>
      <c r="AA32">
        <v>0.51849672367340183</v>
      </c>
      <c r="AB32" t="str">
        <f>HYPERLINK("Melting_Curves/meltCurve_A6NGH7_CCDC160.pdf", "Melting_Curves/meltCurve_A6NGH7_CCDC160.pdf")</f>
        <v>Melting_Curves/meltCurve_A6NGH7_CCDC160.pdf</v>
      </c>
    </row>
    <row r="33" spans="1:28" x14ac:dyDescent="0.25">
      <c r="A33" t="s">
        <v>37</v>
      </c>
      <c r="B33">
        <v>0.995954080203443</v>
      </c>
      <c r="C33">
        <v>0.95809396507969302</v>
      </c>
      <c r="D33">
        <v>0.99745166045330202</v>
      </c>
      <c r="E33">
        <v>0.88242442492980799</v>
      </c>
      <c r="F33">
        <v>0.916861266429991</v>
      </c>
      <c r="G33">
        <v>0.679891247153394</v>
      </c>
      <c r="H33">
        <v>0.71693759043808203</v>
      </c>
      <c r="I33">
        <v>0.85660139211159902</v>
      </c>
      <c r="J33">
        <v>1.4105515958394199</v>
      </c>
      <c r="K33">
        <v>0.99380026527634802</v>
      </c>
      <c r="L33">
        <v>11655.5813359984</v>
      </c>
      <c r="M33">
        <v>250</v>
      </c>
      <c r="O33">
        <v>46.619342134682903</v>
      </c>
      <c r="P33">
        <v>-0.10398278702727499</v>
      </c>
      <c r="Q33">
        <v>0.92243825461439199</v>
      </c>
      <c r="R33">
        <v>1.9867356951597401E-2</v>
      </c>
      <c r="S33" t="s">
        <v>6839</v>
      </c>
      <c r="T33" t="s">
        <v>13610</v>
      </c>
      <c r="U33" t="s">
        <v>13610</v>
      </c>
      <c r="V33" t="s">
        <v>13610</v>
      </c>
      <c r="W33" t="s">
        <v>13643</v>
      </c>
      <c r="X33">
        <v>13</v>
      </c>
      <c r="Y33" t="s">
        <v>20364</v>
      </c>
      <c r="Z33" t="s">
        <v>26888</v>
      </c>
      <c r="AA33">
        <v>0.93956590456899736</v>
      </c>
      <c r="AB33" t="str">
        <f>HYPERLINK("Melting_Curves/meltCurve_A6NGP5_HN1L.pdf", "Melting_Curves/meltCurve_A6NGP5_HN1L.pdf")</f>
        <v>Melting_Curves/meltCurve_A6NGP5_HN1L.pdf</v>
      </c>
    </row>
    <row r="34" spans="1:28" x14ac:dyDescent="0.25">
      <c r="A34" t="s">
        <v>38</v>
      </c>
      <c r="B34">
        <v>0.995954080203443</v>
      </c>
      <c r="C34">
        <v>0.89648183794012704</v>
      </c>
      <c r="D34">
        <v>1.0320069494208499</v>
      </c>
      <c r="E34">
        <v>0.94502619731267801</v>
      </c>
      <c r="F34">
        <v>1.13376836180375</v>
      </c>
      <c r="G34">
        <v>0.76274048603156697</v>
      </c>
      <c r="H34">
        <v>0.988599189185983</v>
      </c>
      <c r="I34">
        <v>1.15143327163724</v>
      </c>
      <c r="J34">
        <v>2.0258039597450699</v>
      </c>
      <c r="K34">
        <v>1.40347241159878</v>
      </c>
      <c r="L34">
        <v>15000</v>
      </c>
      <c r="M34">
        <v>233.542813055637</v>
      </c>
      <c r="O34">
        <v>64.223336104195695</v>
      </c>
      <c r="P34">
        <v>0.45455204520669201</v>
      </c>
      <c r="Q34">
        <v>1.5</v>
      </c>
      <c r="R34">
        <v>0.67364327927693501</v>
      </c>
      <c r="S34" t="s">
        <v>6840</v>
      </c>
      <c r="T34" t="s">
        <v>13610</v>
      </c>
      <c r="U34" t="s">
        <v>13610</v>
      </c>
      <c r="V34" t="s">
        <v>13610</v>
      </c>
      <c r="W34" t="s">
        <v>13644</v>
      </c>
      <c r="X34">
        <v>2</v>
      </c>
      <c r="Y34" t="s">
        <v>20365</v>
      </c>
      <c r="Z34" t="s">
        <v>26889</v>
      </c>
      <c r="AA34">
        <v>1.096134544547164</v>
      </c>
      <c r="AB34" t="str">
        <f>HYPERLINK("Melting_Curves/meltCurve_A6NGQ3_OBSCN.pdf", "Melting_Curves/meltCurve_A6NGQ3_OBSCN.pdf")</f>
        <v>Melting_Curves/meltCurve_A6NGQ3_OBSCN.pdf</v>
      </c>
    </row>
    <row r="35" spans="1:28" x14ac:dyDescent="0.25">
      <c r="A35" t="s">
        <v>39</v>
      </c>
      <c r="B35">
        <v>0.995954080203443</v>
      </c>
      <c r="C35">
        <v>0.98104761776149396</v>
      </c>
      <c r="D35">
        <v>0.81418271087626604</v>
      </c>
      <c r="E35">
        <v>0.78602139534667403</v>
      </c>
      <c r="F35">
        <v>0.275332139168182</v>
      </c>
      <c r="G35">
        <v>0.17259747675129999</v>
      </c>
      <c r="H35">
        <v>9.7696201028966104E-2</v>
      </c>
      <c r="I35">
        <v>9.0191637198668698E-2</v>
      </c>
      <c r="J35">
        <v>0.131295849822509</v>
      </c>
      <c r="K35">
        <v>0.118015447086968</v>
      </c>
      <c r="L35">
        <v>2025.9784664189399</v>
      </c>
      <c r="M35">
        <v>39.545056242231198</v>
      </c>
      <c r="N35">
        <v>51.573748191302698</v>
      </c>
      <c r="O35">
        <v>51.101647918094201</v>
      </c>
      <c r="P35">
        <v>-0.17117258481628</v>
      </c>
      <c r="Q35">
        <v>0.115218305517699</v>
      </c>
      <c r="R35">
        <v>0.97434788969139796</v>
      </c>
      <c r="S35" t="s">
        <v>6841</v>
      </c>
      <c r="T35" t="s">
        <v>13610</v>
      </c>
      <c r="U35" t="s">
        <v>13610</v>
      </c>
      <c r="V35" t="s">
        <v>13610</v>
      </c>
      <c r="W35" t="s">
        <v>13645</v>
      </c>
      <c r="X35">
        <v>3</v>
      </c>
      <c r="Y35" t="s">
        <v>20366</v>
      </c>
      <c r="Z35" t="s">
        <v>26890</v>
      </c>
      <c r="AA35">
        <v>0.44969096577557949</v>
      </c>
      <c r="AB35" t="str">
        <f>HYPERLINK("Melting_Curves/meltCurve_A6NGU5_GGT3P.pdf", "Melting_Curves/meltCurve_A6NGU5_GGT3P.pdf")</f>
        <v>Melting_Curves/meltCurve_A6NGU5_GGT3P.pdf</v>
      </c>
    </row>
    <row r="36" spans="1:28" x14ac:dyDescent="0.25">
      <c r="A36" t="s">
        <v>40</v>
      </c>
      <c r="B36">
        <v>0.995954080203443</v>
      </c>
      <c r="C36">
        <v>1.10798614414897</v>
      </c>
      <c r="D36">
        <v>0.88732411122404597</v>
      </c>
      <c r="E36">
        <v>0.80733342448768697</v>
      </c>
      <c r="F36">
        <v>0.68141279752881001</v>
      </c>
      <c r="G36">
        <v>0.41037921865506499</v>
      </c>
      <c r="H36">
        <v>0.25645308406692202</v>
      </c>
      <c r="I36">
        <v>0.34820459439957602</v>
      </c>
      <c r="J36">
        <v>0.104483591945476</v>
      </c>
      <c r="K36">
        <v>0</v>
      </c>
      <c r="L36">
        <v>662.12801319119001</v>
      </c>
      <c r="M36">
        <v>11.7873353755165</v>
      </c>
      <c r="N36">
        <v>56.172833029371198</v>
      </c>
      <c r="O36">
        <v>54.629212412753098</v>
      </c>
      <c r="P36">
        <v>-5.3956394416886502E-2</v>
      </c>
      <c r="Q36">
        <v>0</v>
      </c>
      <c r="R36">
        <v>0.95870175330631302</v>
      </c>
      <c r="S36" t="s">
        <v>6842</v>
      </c>
      <c r="T36" t="s">
        <v>13610</v>
      </c>
      <c r="U36" t="s">
        <v>13610</v>
      </c>
      <c r="V36" t="s">
        <v>13610</v>
      </c>
      <c r="W36" t="s">
        <v>13646</v>
      </c>
      <c r="X36">
        <v>4</v>
      </c>
      <c r="Y36" t="s">
        <v>20367</v>
      </c>
      <c r="Z36" t="s">
        <v>26891</v>
      </c>
      <c r="AA36">
        <v>0.55901079826601696</v>
      </c>
      <c r="AB36" t="str">
        <f>HYPERLINK("Melting_Curves/meltCurve_A6NHF2_BTD.pdf", "Melting_Curves/meltCurve_A6NHF2_BTD.pdf")</f>
        <v>Melting_Curves/meltCurve_A6NHF2_BTD.pdf</v>
      </c>
    </row>
    <row r="37" spans="1:28" x14ac:dyDescent="0.25">
      <c r="A37" t="s">
        <v>41</v>
      </c>
      <c r="B37">
        <v>0.995954080203443</v>
      </c>
      <c r="C37">
        <v>0.61499884701471097</v>
      </c>
      <c r="D37">
        <v>0.32377089427403499</v>
      </c>
      <c r="E37">
        <v>0.41846254287168699</v>
      </c>
      <c r="F37">
        <v>0.18034361697785201</v>
      </c>
      <c r="G37">
        <v>9.1216086009162201E-2</v>
      </c>
      <c r="H37">
        <v>4.8666037790023597E-2</v>
      </c>
      <c r="I37">
        <v>3.1698057585456997E-2</v>
      </c>
      <c r="J37">
        <v>2.4577309452525599E-2</v>
      </c>
      <c r="K37">
        <v>2.7723512691243998E-2</v>
      </c>
      <c r="L37">
        <v>556.85128576627994</v>
      </c>
      <c r="M37">
        <v>12.273060792104699</v>
      </c>
      <c r="N37">
        <v>45.5411924970957</v>
      </c>
      <c r="O37">
        <v>44.217698384160499</v>
      </c>
      <c r="P37">
        <v>-6.7856947861621802E-2</v>
      </c>
      <c r="Q37">
        <v>2.2308699031572399E-2</v>
      </c>
      <c r="R37">
        <v>0.91965422378449502</v>
      </c>
      <c r="S37" t="s">
        <v>6843</v>
      </c>
      <c r="T37" t="s">
        <v>13610</v>
      </c>
      <c r="U37" t="s">
        <v>13610</v>
      </c>
      <c r="V37" t="s">
        <v>13610</v>
      </c>
      <c r="W37" t="s">
        <v>13647</v>
      </c>
      <c r="X37">
        <v>5</v>
      </c>
      <c r="Y37" t="s">
        <v>20368</v>
      </c>
      <c r="Z37" t="s">
        <v>26892</v>
      </c>
      <c r="AA37">
        <v>0.2425272431876703</v>
      </c>
      <c r="AB37" t="str">
        <f>HYPERLINK("Melting_Curves/meltCurve_A6NHL2_2_TUBAL3.pdf", "Melting_Curves/meltCurve_A6NHL2_2_TUBAL3.pdf")</f>
        <v>Melting_Curves/meltCurve_A6NHL2_2_TUBAL3.pdf</v>
      </c>
    </row>
    <row r="38" spans="1:28" x14ac:dyDescent="0.25">
      <c r="A38" t="s">
        <v>42</v>
      </c>
      <c r="B38">
        <v>0.995954080203443</v>
      </c>
      <c r="C38">
        <v>0.74814042871070896</v>
      </c>
      <c r="D38">
        <v>0.26718090513245601</v>
      </c>
      <c r="E38">
        <v>0.19926421403809699</v>
      </c>
      <c r="F38">
        <v>0.13213477120124001</v>
      </c>
      <c r="G38">
        <v>9.0491344590275996E-2</v>
      </c>
      <c r="H38">
        <v>6.8458877562334694E-2</v>
      </c>
      <c r="I38">
        <v>6.4813064924956906E-2</v>
      </c>
      <c r="J38">
        <v>7.1212648128268094E-2</v>
      </c>
      <c r="K38">
        <v>6.9933786535220296E-2</v>
      </c>
      <c r="L38">
        <v>1428.36185558802</v>
      </c>
      <c r="M38">
        <v>32.354039786175797</v>
      </c>
      <c r="N38">
        <v>44.432497203395599</v>
      </c>
      <c r="O38">
        <v>43.980234844086603</v>
      </c>
      <c r="P38">
        <v>-0.16670130988739201</v>
      </c>
      <c r="Q38">
        <v>9.3587392237782993E-2</v>
      </c>
      <c r="R38">
        <v>0.98750492006544599</v>
      </c>
      <c r="S38" t="s">
        <v>6844</v>
      </c>
      <c r="T38" t="s">
        <v>13610</v>
      </c>
      <c r="U38" t="s">
        <v>13610</v>
      </c>
      <c r="V38" t="s">
        <v>13610</v>
      </c>
      <c r="W38" t="s">
        <v>13648</v>
      </c>
      <c r="X38">
        <v>57</v>
      </c>
      <c r="Y38" t="s">
        <v>20369</v>
      </c>
      <c r="Z38" t="s">
        <v>26893</v>
      </c>
      <c r="AA38">
        <v>0.22425921864528919</v>
      </c>
      <c r="AB38" t="str">
        <f>HYPERLINK("Melting_Curves/meltCurve_A6NHR9_SMCHD1.pdf", "Melting_Curves/meltCurve_A6NHR9_SMCHD1.pdf")</f>
        <v>Melting_Curves/meltCurve_A6NHR9_SMCHD1.pdf</v>
      </c>
    </row>
    <row r="39" spans="1:28" x14ac:dyDescent="0.25">
      <c r="A39" t="s">
        <v>43</v>
      </c>
      <c r="B39">
        <v>0.995954080203443</v>
      </c>
      <c r="C39">
        <v>0.95824037012075203</v>
      </c>
      <c r="D39">
        <v>1.1745955643674599</v>
      </c>
      <c r="E39">
        <v>0.84707331576968603</v>
      </c>
      <c r="F39">
        <v>0.97507077757904403</v>
      </c>
      <c r="G39">
        <v>0.79793248976646103</v>
      </c>
      <c r="H39">
        <v>0.44512319675121398</v>
      </c>
      <c r="I39">
        <v>0.177666063733391</v>
      </c>
      <c r="J39">
        <v>5.6964280976021499E-2</v>
      </c>
      <c r="K39">
        <v>5.6001776141494299E-2</v>
      </c>
      <c r="L39">
        <v>1467.66725261836</v>
      </c>
      <c r="M39">
        <v>24.3559236993407</v>
      </c>
      <c r="N39">
        <v>60.2591345932533</v>
      </c>
      <c r="O39">
        <v>59.8573365515999</v>
      </c>
      <c r="P39">
        <v>-0.10172641305131901</v>
      </c>
      <c r="Q39">
        <v>0</v>
      </c>
      <c r="R39">
        <v>0.96582471206272802</v>
      </c>
      <c r="S39" t="s">
        <v>6845</v>
      </c>
      <c r="T39" t="s">
        <v>13610</v>
      </c>
      <c r="U39" t="s">
        <v>13610</v>
      </c>
      <c r="V39" t="s">
        <v>13610</v>
      </c>
      <c r="W39" t="s">
        <v>13649</v>
      </c>
      <c r="X39">
        <v>5</v>
      </c>
      <c r="Y39" t="s">
        <v>20370</v>
      </c>
      <c r="Z39" t="s">
        <v>26894</v>
      </c>
      <c r="AA39">
        <v>0.68260793141235543</v>
      </c>
      <c r="AB39" t="str">
        <f>HYPERLINK("Melting_Curves/meltCurve_A6NHX0_GATSL2.pdf", "Melting_Curves/meltCurve_A6NHX0_GATSL2.pdf")</f>
        <v>Melting_Curves/meltCurve_A6NHX0_GATSL2.pdf</v>
      </c>
    </row>
    <row r="40" spans="1:28" x14ac:dyDescent="0.25">
      <c r="A40" t="s">
        <v>44</v>
      </c>
      <c r="B40">
        <v>0.995954080203443</v>
      </c>
      <c r="C40">
        <v>1.0694526574671099</v>
      </c>
      <c r="D40">
        <v>1.0000781219377399</v>
      </c>
      <c r="E40">
        <v>0.81731181175054901</v>
      </c>
      <c r="F40">
        <v>0.45219157240633301</v>
      </c>
      <c r="G40">
        <v>0.26597570905758899</v>
      </c>
      <c r="H40">
        <v>0.21029090243100201</v>
      </c>
      <c r="I40">
        <v>0.23477444331785799</v>
      </c>
      <c r="J40">
        <v>0.180708087528794</v>
      </c>
      <c r="K40">
        <v>0.23138272700523899</v>
      </c>
      <c r="L40">
        <v>1769.41824367138</v>
      </c>
      <c r="M40">
        <v>34.201286725864001</v>
      </c>
      <c r="N40">
        <v>52.607534354732003</v>
      </c>
      <c r="O40">
        <v>51.5594926494757</v>
      </c>
      <c r="P40">
        <v>-0.129951038767877</v>
      </c>
      <c r="Q40">
        <v>0.216381902169343</v>
      </c>
      <c r="R40">
        <v>0.99431190709819495</v>
      </c>
      <c r="S40" t="s">
        <v>6846</v>
      </c>
      <c r="T40" t="s">
        <v>13610</v>
      </c>
      <c r="U40" t="s">
        <v>13610</v>
      </c>
      <c r="V40" t="s">
        <v>13610</v>
      </c>
      <c r="W40" t="s">
        <v>13650</v>
      </c>
      <c r="X40">
        <v>5</v>
      </c>
      <c r="Y40" t="s">
        <v>20371</v>
      </c>
      <c r="Z40" t="s">
        <v>26895</v>
      </c>
      <c r="AA40">
        <v>0.52675574699974526</v>
      </c>
      <c r="AB40" t="str">
        <f>HYPERLINK("Melting_Curves/meltCurve_A6NIH7_UNC119B.pdf", "Melting_Curves/meltCurve_A6NIH7_UNC119B.pdf")</f>
        <v>Melting_Curves/meltCurve_A6NIH7_UNC119B.pdf</v>
      </c>
    </row>
    <row r="41" spans="1:28" x14ac:dyDescent="0.25">
      <c r="A41" t="s">
        <v>45</v>
      </c>
      <c r="B41">
        <v>0.995954080203443</v>
      </c>
      <c r="C41">
        <v>0.96831002589756798</v>
      </c>
      <c r="D41">
        <v>0.84324713699498699</v>
      </c>
      <c r="E41">
        <v>0.76013256163638898</v>
      </c>
      <c r="F41">
        <v>0.51349582155842499</v>
      </c>
      <c r="G41">
        <v>0.40077174817567801</v>
      </c>
      <c r="H41">
        <v>0.33083373960240298</v>
      </c>
      <c r="I41">
        <v>0.33511214682373702</v>
      </c>
      <c r="J41">
        <v>0.45466798250636298</v>
      </c>
      <c r="K41">
        <v>0.44834706863724799</v>
      </c>
      <c r="L41">
        <v>998.90371443674303</v>
      </c>
      <c r="M41">
        <v>19.949838446087199</v>
      </c>
      <c r="N41">
        <v>53.925003345597503</v>
      </c>
      <c r="O41">
        <v>49.575792909509502</v>
      </c>
      <c r="P41">
        <v>-6.2390472133187803E-2</v>
      </c>
      <c r="Q41">
        <v>0.37985334316771402</v>
      </c>
      <c r="R41">
        <v>0.95634071813260702</v>
      </c>
      <c r="S41" t="s">
        <v>6847</v>
      </c>
      <c r="T41" t="s">
        <v>13610</v>
      </c>
      <c r="U41" t="s">
        <v>13610</v>
      </c>
      <c r="V41" t="s">
        <v>13610</v>
      </c>
      <c r="W41" t="s">
        <v>13651</v>
      </c>
      <c r="X41">
        <v>1</v>
      </c>
      <c r="Y41" t="s">
        <v>20372</v>
      </c>
      <c r="Z41" t="s">
        <v>26896</v>
      </c>
      <c r="AA41">
        <v>0.59670498923537285</v>
      </c>
      <c r="AB41" t="str">
        <f>HYPERLINK("Melting_Curves/meltCurve_A6NJX6_CHCHD1.pdf", "Melting_Curves/meltCurve_A6NJX6_CHCHD1.pdf")</f>
        <v>Melting_Curves/meltCurve_A6NJX6_CHCHD1.pdf</v>
      </c>
    </row>
    <row r="42" spans="1:28" x14ac:dyDescent="0.25">
      <c r="A42" t="s">
        <v>46</v>
      </c>
      <c r="B42">
        <v>0.995954080203443</v>
      </c>
      <c r="C42">
        <v>0.76879260067119304</v>
      </c>
      <c r="D42">
        <v>0.56872431182622696</v>
      </c>
      <c r="E42">
        <v>0.51552191024418803</v>
      </c>
      <c r="F42">
        <v>0.26496225337639101</v>
      </c>
      <c r="G42">
        <v>0.14789476730635401</v>
      </c>
      <c r="H42">
        <v>8.82852891800016E-2</v>
      </c>
      <c r="I42">
        <v>7.8217391286211496E-2</v>
      </c>
      <c r="J42">
        <v>7.8302567352099298E-2</v>
      </c>
      <c r="K42">
        <v>6.4982577595579002E-2</v>
      </c>
      <c r="L42">
        <v>540.53026451673395</v>
      </c>
      <c r="M42">
        <v>11.2070792641889</v>
      </c>
      <c r="N42">
        <v>48.443813081274698</v>
      </c>
      <c r="O42">
        <v>46.771945525634003</v>
      </c>
      <c r="P42">
        <v>-5.8483220300306303E-2</v>
      </c>
      <c r="Q42">
        <v>2.4004044238184301E-2</v>
      </c>
      <c r="R42">
        <v>0.97498298947940898</v>
      </c>
      <c r="S42" t="s">
        <v>6848</v>
      </c>
      <c r="T42" t="s">
        <v>13610</v>
      </c>
      <c r="U42" t="s">
        <v>13610</v>
      </c>
      <c r="V42" t="s">
        <v>13610</v>
      </c>
      <c r="W42" t="s">
        <v>13652</v>
      </c>
      <c r="X42">
        <v>7</v>
      </c>
      <c r="Y42" t="s">
        <v>20373</v>
      </c>
      <c r="Z42" t="s">
        <v>26897</v>
      </c>
      <c r="AA42">
        <v>0.33407102414534612</v>
      </c>
      <c r="AB42" t="str">
        <f>HYPERLINK("Melting_Curves/meltCurve_A6NJZ9_NOC3L.pdf", "Melting_Curves/meltCurve_A6NJZ9_NOC3L.pdf")</f>
        <v>Melting_Curves/meltCurve_A6NJZ9_NOC3L.pdf</v>
      </c>
    </row>
    <row r="43" spans="1:28" x14ac:dyDescent="0.25">
      <c r="A43" t="s">
        <v>47</v>
      </c>
      <c r="B43">
        <v>0.995954080203443</v>
      </c>
      <c r="C43">
        <v>0.91850719907275102</v>
      </c>
      <c r="D43">
        <v>0.932017063414186</v>
      </c>
      <c r="E43">
        <v>0.64397222046698499</v>
      </c>
      <c r="F43">
        <v>0.48156296668751802</v>
      </c>
      <c r="G43">
        <v>0.37001027766988598</v>
      </c>
      <c r="H43">
        <v>0.30832729094793399</v>
      </c>
      <c r="I43">
        <v>0.33981596792438801</v>
      </c>
      <c r="J43">
        <v>0.40762432115540997</v>
      </c>
      <c r="K43">
        <v>0.37176595018734798</v>
      </c>
      <c r="L43">
        <v>1172.1230892286801</v>
      </c>
      <c r="M43">
        <v>23.614584330318401</v>
      </c>
      <c r="N43">
        <v>52.344367577375898</v>
      </c>
      <c r="O43">
        <v>49.2837230125619</v>
      </c>
      <c r="P43">
        <v>-7.7542250625690104E-2</v>
      </c>
      <c r="Q43">
        <v>0.352687085789749</v>
      </c>
      <c r="R43">
        <v>0.98341701828886396</v>
      </c>
      <c r="S43" t="s">
        <v>6849</v>
      </c>
      <c r="T43" t="s">
        <v>13610</v>
      </c>
      <c r="U43" t="s">
        <v>13610</v>
      </c>
      <c r="V43" t="s">
        <v>13610</v>
      </c>
      <c r="W43" t="s">
        <v>13653</v>
      </c>
      <c r="X43">
        <v>6</v>
      </c>
      <c r="Y43" t="s">
        <v>20374</v>
      </c>
      <c r="Z43" t="s">
        <v>26898</v>
      </c>
      <c r="AA43">
        <v>0.56706503878104286</v>
      </c>
      <c r="AB43" t="str">
        <f>HYPERLINK("Melting_Curves/meltCurve_A6NKD9_CCDC85C.pdf", "Melting_Curves/meltCurve_A6NKD9_CCDC85C.pdf")</f>
        <v>Melting_Curves/meltCurve_A6NKD9_CCDC85C.pdf</v>
      </c>
    </row>
    <row r="44" spans="1:28" x14ac:dyDescent="0.25">
      <c r="A44" t="s">
        <v>48</v>
      </c>
      <c r="B44">
        <v>0.995954080203443</v>
      </c>
      <c r="C44">
        <v>0.92669573545967598</v>
      </c>
      <c r="D44">
        <v>0.40288761688636598</v>
      </c>
      <c r="E44">
        <v>0.22701344525723199</v>
      </c>
      <c r="F44">
        <v>0.10867495551751399</v>
      </c>
      <c r="G44">
        <v>7.0139445688488206E-2</v>
      </c>
      <c r="H44">
        <v>3.58855653760983E-2</v>
      </c>
      <c r="I44">
        <v>2.3006413023929501E-2</v>
      </c>
      <c r="J44">
        <v>2.0426599590473601E-2</v>
      </c>
      <c r="K44">
        <v>1.47557967032924E-2</v>
      </c>
      <c r="L44">
        <v>1232.0515829716701</v>
      </c>
      <c r="M44">
        <v>26.9967569058606</v>
      </c>
      <c r="N44">
        <v>45.816927063922101</v>
      </c>
      <c r="O44">
        <v>45.388820494059402</v>
      </c>
      <c r="P44">
        <v>-0.14122055212280399</v>
      </c>
      <c r="Q44">
        <v>5.0290268237712203E-2</v>
      </c>
      <c r="R44">
        <v>0.98124317218980805</v>
      </c>
      <c r="S44" t="s">
        <v>6850</v>
      </c>
      <c r="T44" t="s">
        <v>13610</v>
      </c>
      <c r="U44" t="s">
        <v>13610</v>
      </c>
      <c r="V44" t="s">
        <v>13610</v>
      </c>
      <c r="W44" t="s">
        <v>13654</v>
      </c>
      <c r="X44">
        <v>2</v>
      </c>
      <c r="Y44" t="s">
        <v>20375</v>
      </c>
      <c r="Z44" t="s">
        <v>26899</v>
      </c>
      <c r="AA44">
        <v>0.23623182263544601</v>
      </c>
      <c r="AB44" t="str">
        <f>HYPERLINK("Melting_Curves/meltCurve_A6NML8_DIAPH2.pdf", "Melting_Curves/meltCurve_A6NML8_DIAPH2.pdf")</f>
        <v>Melting_Curves/meltCurve_A6NML8_DIAPH2.pdf</v>
      </c>
    </row>
    <row r="45" spans="1:28" x14ac:dyDescent="0.25">
      <c r="A45" t="s">
        <v>49</v>
      </c>
      <c r="B45">
        <v>0.995954080203443</v>
      </c>
      <c r="C45">
        <v>0.97325119432725704</v>
      </c>
      <c r="D45">
        <v>0.91553179939603202</v>
      </c>
      <c r="E45">
        <v>0.61715471529461097</v>
      </c>
      <c r="F45">
        <v>0.18255332986518699</v>
      </c>
      <c r="G45">
        <v>0.10068873429941699</v>
      </c>
      <c r="H45">
        <v>6.0704532554128499E-2</v>
      </c>
      <c r="I45">
        <v>5.0820241186690603E-2</v>
      </c>
      <c r="J45">
        <v>5.9824661531022297E-2</v>
      </c>
      <c r="K45">
        <v>5.08652841542356E-2</v>
      </c>
      <c r="L45">
        <v>1687.18873122627</v>
      </c>
      <c r="M45">
        <v>33.457650288320799</v>
      </c>
      <c r="N45">
        <v>50.608631163241</v>
      </c>
      <c r="O45">
        <v>50.248466148611698</v>
      </c>
      <c r="P45">
        <v>-0.157073558933403</v>
      </c>
      <c r="Q45">
        <v>5.6398541777110997E-2</v>
      </c>
      <c r="R45">
        <v>0.99691940661088496</v>
      </c>
      <c r="S45" t="s">
        <v>6851</v>
      </c>
      <c r="T45" t="s">
        <v>13610</v>
      </c>
      <c r="U45" t="s">
        <v>13610</v>
      </c>
      <c r="V45" t="s">
        <v>13610</v>
      </c>
      <c r="W45" t="s">
        <v>13655</v>
      </c>
      <c r="X45">
        <v>52</v>
      </c>
      <c r="Y45" t="s">
        <v>20376</v>
      </c>
      <c r="Z45" t="s">
        <v>26900</v>
      </c>
      <c r="AA45">
        <v>0.38909825972578888</v>
      </c>
      <c r="AB45" t="str">
        <f>HYPERLINK("Melting_Curves/meltCurve_A6NN80_ANXA6.pdf", "Melting_Curves/meltCurve_A6NN80_ANXA6.pdf")</f>
        <v>Melting_Curves/meltCurve_A6NN80_ANXA6.pdf</v>
      </c>
    </row>
    <row r="46" spans="1:28" x14ac:dyDescent="0.25">
      <c r="A46" t="s">
        <v>50</v>
      </c>
      <c r="B46">
        <v>0.995954080203443</v>
      </c>
      <c r="C46">
        <v>1.03976561461012</v>
      </c>
      <c r="D46">
        <v>1.0174221370330001</v>
      </c>
      <c r="E46">
        <v>0.835125181823408</v>
      </c>
      <c r="F46">
        <v>0.70120345125758299</v>
      </c>
      <c r="G46">
        <v>0.36239139334113102</v>
      </c>
      <c r="H46">
        <v>0.52403221695898405</v>
      </c>
      <c r="I46">
        <v>0.30199830854555398</v>
      </c>
      <c r="J46">
        <v>0.10870760747719201</v>
      </c>
      <c r="K46">
        <v>0.38107574488690499</v>
      </c>
      <c r="L46">
        <v>1061.5041522521001</v>
      </c>
      <c r="M46">
        <v>19.844692523616501</v>
      </c>
      <c r="N46">
        <v>55.880582398299097</v>
      </c>
      <c r="O46">
        <v>52.9562892568687</v>
      </c>
      <c r="P46">
        <v>-6.6890409243478999E-2</v>
      </c>
      <c r="Q46">
        <v>0.28602588825727099</v>
      </c>
      <c r="R46">
        <v>0.91261396074158996</v>
      </c>
      <c r="S46" t="s">
        <v>6852</v>
      </c>
      <c r="T46" t="s">
        <v>13610</v>
      </c>
      <c r="U46" t="s">
        <v>13610</v>
      </c>
      <c r="V46" t="s">
        <v>13610</v>
      </c>
      <c r="W46" t="s">
        <v>13656</v>
      </c>
      <c r="X46">
        <v>2</v>
      </c>
      <c r="Y46" t="s">
        <v>20377</v>
      </c>
      <c r="Z46" t="s">
        <v>26901</v>
      </c>
      <c r="AA46">
        <v>0.61698861326406507</v>
      </c>
      <c r="AB46" t="str">
        <f>HYPERLINK("Melting_Curves/meltCurve_A6NNY8_USP27X.pdf", "Melting_Curves/meltCurve_A6NNY8_USP27X.pdf")</f>
        <v>Melting_Curves/meltCurve_A6NNY8_USP27X.pdf</v>
      </c>
    </row>
    <row r="47" spans="1:28" x14ac:dyDescent="0.25">
      <c r="A47" t="s">
        <v>51</v>
      </c>
      <c r="B47">
        <v>0.995954080203443</v>
      </c>
      <c r="C47">
        <v>0.73962440076417801</v>
      </c>
      <c r="D47">
        <v>0.79761154045563898</v>
      </c>
      <c r="E47">
        <v>0.24402965676098401</v>
      </c>
      <c r="F47">
        <v>0.22396558876890599</v>
      </c>
      <c r="G47">
        <v>0.14032993141674399</v>
      </c>
      <c r="H47">
        <v>0.11668366541191</v>
      </c>
      <c r="I47">
        <v>0.13558850298818501</v>
      </c>
      <c r="J47">
        <v>0.14522475653955599</v>
      </c>
      <c r="K47">
        <v>0.157446800795842</v>
      </c>
      <c r="L47">
        <v>970.33506850096705</v>
      </c>
      <c r="M47">
        <v>20.605225647244701</v>
      </c>
      <c r="N47">
        <v>47.7737771672044</v>
      </c>
      <c r="O47">
        <v>46.6548816080496</v>
      </c>
      <c r="P47">
        <v>-9.6345752354926997E-2</v>
      </c>
      <c r="Q47">
        <v>0.12743112685704799</v>
      </c>
      <c r="R47">
        <v>0.94974982066539704</v>
      </c>
      <c r="S47" t="s">
        <v>6853</v>
      </c>
      <c r="T47" t="s">
        <v>13610</v>
      </c>
      <c r="U47" t="s">
        <v>13610</v>
      </c>
      <c r="V47" t="s">
        <v>13610</v>
      </c>
      <c r="W47" t="s">
        <v>13657</v>
      </c>
      <c r="X47">
        <v>3</v>
      </c>
      <c r="Y47" t="s">
        <v>20378</v>
      </c>
      <c r="Z47" t="s">
        <v>26902</v>
      </c>
      <c r="AA47">
        <v>0.34561593828517401</v>
      </c>
      <c r="AB47" t="str">
        <f>HYPERLINK("Melting_Curves/meltCurve_A6QL64_ANKRD36.pdf", "Melting_Curves/meltCurve_A6QL64_ANKRD36.pdf")</f>
        <v>Melting_Curves/meltCurve_A6QL64_ANKRD36.pdf</v>
      </c>
    </row>
    <row r="48" spans="1:28" x14ac:dyDescent="0.25">
      <c r="A48" t="s">
        <v>52</v>
      </c>
      <c r="B48">
        <v>0.995954080203443</v>
      </c>
      <c r="C48">
        <v>0.88976595037700701</v>
      </c>
      <c r="D48">
        <v>0.74176649484999202</v>
      </c>
      <c r="E48">
        <v>0.52293488734590998</v>
      </c>
      <c r="F48">
        <v>0.33827318287069502</v>
      </c>
      <c r="G48">
        <v>0.19285431809381101</v>
      </c>
      <c r="H48">
        <v>0.14677489627438001</v>
      </c>
      <c r="I48">
        <v>0.15459034684539</v>
      </c>
      <c r="J48">
        <v>0.282555107760532</v>
      </c>
      <c r="K48">
        <v>0.17740318797162499</v>
      </c>
      <c r="L48">
        <v>797.24088710025603</v>
      </c>
      <c r="M48">
        <v>16.441331747299799</v>
      </c>
      <c r="N48">
        <v>49.758633356555499</v>
      </c>
      <c r="O48">
        <v>47.789700958409</v>
      </c>
      <c r="P48">
        <v>-7.1288734821343194E-2</v>
      </c>
      <c r="Q48">
        <v>0.17120367362221001</v>
      </c>
      <c r="R48">
        <v>0.97995940599356801</v>
      </c>
      <c r="S48" t="s">
        <v>6854</v>
      </c>
      <c r="T48" t="s">
        <v>13610</v>
      </c>
      <c r="U48" t="s">
        <v>13610</v>
      </c>
      <c r="V48" t="s">
        <v>13610</v>
      </c>
      <c r="W48" t="s">
        <v>13658</v>
      </c>
      <c r="X48">
        <v>5</v>
      </c>
      <c r="Y48" t="s">
        <v>20379</v>
      </c>
      <c r="Z48" t="s">
        <v>26903</v>
      </c>
      <c r="AA48">
        <v>0.42318017148970122</v>
      </c>
      <c r="AB48" t="str">
        <f>HYPERLINK("Melting_Curves/meltCurve_A6ZKI3_FAM127A.pdf", "Melting_Curves/meltCurve_A6ZKI3_FAM127A.pdf")</f>
        <v>Melting_Curves/meltCurve_A6ZKI3_FAM127A.pdf</v>
      </c>
    </row>
    <row r="49" spans="1:28" x14ac:dyDescent="0.25">
      <c r="A49" t="s">
        <v>53</v>
      </c>
      <c r="B49">
        <v>0.995954080203443</v>
      </c>
      <c r="C49">
        <v>0.69500726235071497</v>
      </c>
      <c r="D49">
        <v>0.58219219668347899</v>
      </c>
      <c r="E49">
        <v>0.444923863027197</v>
      </c>
      <c r="F49">
        <v>0.42133892836136999</v>
      </c>
      <c r="G49">
        <v>0.29379033190369602</v>
      </c>
      <c r="H49">
        <v>0.32555591311554399</v>
      </c>
      <c r="I49">
        <v>0.41131195803980403</v>
      </c>
      <c r="J49">
        <v>0.53569250291848503</v>
      </c>
      <c r="K49">
        <v>0.52232454765928005</v>
      </c>
      <c r="L49">
        <v>1079.5772219985199</v>
      </c>
      <c r="M49">
        <v>24.9008058516511</v>
      </c>
      <c r="N49">
        <v>46.834055748729099</v>
      </c>
      <c r="O49">
        <v>43.078394981622502</v>
      </c>
      <c r="P49">
        <v>-8.3619979059322294E-2</v>
      </c>
      <c r="Q49">
        <v>0.421357645418658</v>
      </c>
      <c r="R49">
        <v>0.845826048559704</v>
      </c>
      <c r="S49" t="s">
        <v>6855</v>
      </c>
      <c r="T49" t="s">
        <v>13610</v>
      </c>
      <c r="U49" t="s">
        <v>13610</v>
      </c>
      <c r="V49" t="s">
        <v>13610</v>
      </c>
      <c r="W49" t="s">
        <v>13659</v>
      </c>
      <c r="X49">
        <v>2</v>
      </c>
      <c r="Y49" t="s">
        <v>20380</v>
      </c>
      <c r="Z49" t="s">
        <v>26904</v>
      </c>
      <c r="AA49">
        <v>0.49371315140051453</v>
      </c>
      <c r="AB49" t="str">
        <f>HYPERLINK("Melting_Curves/meltCurve_A7MCY6_TBKBP1.pdf", "Melting_Curves/meltCurve_A7MCY6_TBKBP1.pdf")</f>
        <v>Melting_Curves/meltCurve_A7MCY6_TBKBP1.pdf</v>
      </c>
    </row>
    <row r="50" spans="1:28" x14ac:dyDescent="0.25">
      <c r="A50" t="s">
        <v>54</v>
      </c>
      <c r="B50">
        <v>0.995954080203443</v>
      </c>
      <c r="C50">
        <v>1.00464075448924</v>
      </c>
      <c r="D50">
        <v>1.01453923211886</v>
      </c>
      <c r="E50">
        <v>0.88704754022189403</v>
      </c>
      <c r="F50">
        <v>0.83433006743598104</v>
      </c>
      <c r="G50">
        <v>0.62139261432265902</v>
      </c>
      <c r="H50">
        <v>0.58816524098212997</v>
      </c>
      <c r="I50">
        <v>0.65919583675968696</v>
      </c>
      <c r="J50">
        <v>0.86080541605948402</v>
      </c>
      <c r="K50">
        <v>0.80379429292395899</v>
      </c>
      <c r="L50">
        <v>1732.3859932262001</v>
      </c>
      <c r="M50">
        <v>33.751497745403498</v>
      </c>
      <c r="O50">
        <v>51.148495843756102</v>
      </c>
      <c r="P50">
        <v>-4.76980877228734E-2</v>
      </c>
      <c r="Q50">
        <v>0.71086610501339897</v>
      </c>
      <c r="R50">
        <v>0.72487910240471898</v>
      </c>
      <c r="S50" t="s">
        <v>6856</v>
      </c>
      <c r="T50" t="s">
        <v>13610</v>
      </c>
      <c r="U50" t="s">
        <v>13610</v>
      </c>
      <c r="V50" t="s">
        <v>13610</v>
      </c>
      <c r="W50" t="s">
        <v>13660</v>
      </c>
      <c r="X50">
        <v>5</v>
      </c>
      <c r="Y50" t="s">
        <v>20381</v>
      </c>
      <c r="Z50" t="s">
        <v>26905</v>
      </c>
      <c r="AA50">
        <v>0.82148335921810911</v>
      </c>
      <c r="AB50" t="str">
        <f>HYPERLINK("Melting_Curves/meltCurve_A8CG34_2_POM121C.pdf", "Melting_Curves/meltCurve_A8CG34_2_POM121C.pdf")</f>
        <v>Melting_Curves/meltCurve_A8CG34_2_POM121C.pdf</v>
      </c>
    </row>
    <row r="51" spans="1:28" x14ac:dyDescent="0.25">
      <c r="A51" t="s">
        <v>55</v>
      </c>
      <c r="B51">
        <v>0.995954080203443</v>
      </c>
      <c r="C51">
        <v>1.0102585508944999</v>
      </c>
      <c r="D51">
        <v>1.0163843289790599</v>
      </c>
      <c r="E51">
        <v>0.903295514028567</v>
      </c>
      <c r="F51">
        <v>0.73865555732102095</v>
      </c>
      <c r="G51">
        <v>0.470799520706707</v>
      </c>
      <c r="H51">
        <v>0.31335655354188002</v>
      </c>
      <c r="I51">
        <v>0.29756089620638998</v>
      </c>
      <c r="J51">
        <v>0.29914712431818602</v>
      </c>
      <c r="K51">
        <v>0.29090992819942402</v>
      </c>
      <c r="L51">
        <v>1267.6553704509499</v>
      </c>
      <c r="M51">
        <v>23.354359072101701</v>
      </c>
      <c r="N51">
        <v>56.275958980885001</v>
      </c>
      <c r="O51">
        <v>53.885888667544101</v>
      </c>
      <c r="P51">
        <v>-7.7831741138588206E-2</v>
      </c>
      <c r="Q51">
        <v>0.28168270451302002</v>
      </c>
      <c r="R51">
        <v>0.99831997792205596</v>
      </c>
      <c r="S51" t="s">
        <v>6857</v>
      </c>
      <c r="T51" t="s">
        <v>13610</v>
      </c>
      <c r="U51" t="s">
        <v>13610</v>
      </c>
      <c r="V51" t="s">
        <v>13610</v>
      </c>
      <c r="W51" t="s">
        <v>13661</v>
      </c>
      <c r="X51">
        <v>25</v>
      </c>
      <c r="Y51" t="s">
        <v>20382</v>
      </c>
      <c r="Z51" t="s">
        <v>26906</v>
      </c>
      <c r="AA51">
        <v>0.63108700330645695</v>
      </c>
      <c r="AB51" t="str">
        <f>HYPERLINK("Melting_Curves/meltCurve_A8CTY3_ITSN1.pdf", "Melting_Curves/meltCurve_A8CTY3_ITSN1.pdf")</f>
        <v>Melting_Curves/meltCurve_A8CTY3_ITSN1.pdf</v>
      </c>
    </row>
    <row r="52" spans="1:28" x14ac:dyDescent="0.25">
      <c r="A52" t="s">
        <v>56</v>
      </c>
      <c r="B52">
        <v>0.995954080203443</v>
      </c>
      <c r="C52">
        <v>0.95632292722558798</v>
      </c>
      <c r="D52">
        <v>1.06327689806256</v>
      </c>
      <c r="E52">
        <v>0.73100366355314705</v>
      </c>
      <c r="F52">
        <v>0.29076690207594003</v>
      </c>
      <c r="G52">
        <v>0.16799737837451501</v>
      </c>
      <c r="H52">
        <v>0.137753001218263</v>
      </c>
      <c r="I52">
        <v>0.14137390980459599</v>
      </c>
      <c r="J52">
        <v>0.19820949079177799</v>
      </c>
      <c r="K52">
        <v>0.16457438344295899</v>
      </c>
      <c r="L52">
        <v>2266.0527097392301</v>
      </c>
      <c r="M52">
        <v>44.531135429197903</v>
      </c>
      <c r="N52">
        <v>51.336482832028302</v>
      </c>
      <c r="O52">
        <v>50.7846192069361</v>
      </c>
      <c r="P52">
        <v>-0.18382018662376301</v>
      </c>
      <c r="Q52">
        <v>0.161465168041698</v>
      </c>
      <c r="R52">
        <v>0.99350139944802496</v>
      </c>
      <c r="S52" t="s">
        <v>6858</v>
      </c>
      <c r="T52" t="s">
        <v>13610</v>
      </c>
      <c r="U52" t="s">
        <v>13610</v>
      </c>
      <c r="V52" t="s">
        <v>13610</v>
      </c>
      <c r="W52" t="s">
        <v>13662</v>
      </c>
      <c r="X52">
        <v>5</v>
      </c>
      <c r="Y52" t="s">
        <v>20383</v>
      </c>
      <c r="Z52" t="s">
        <v>26907</v>
      </c>
      <c r="AA52">
        <v>0.46814363884128679</v>
      </c>
      <c r="AB52" t="str">
        <f>HYPERLINK("Melting_Curves/meltCurve_A8K2U1_EOGT.pdf", "Melting_Curves/meltCurve_A8K2U1_EOGT.pdf")</f>
        <v>Melting_Curves/meltCurve_A8K2U1_EOGT.pdf</v>
      </c>
    </row>
    <row r="53" spans="1:28" x14ac:dyDescent="0.25">
      <c r="A53" t="s">
        <v>57</v>
      </c>
      <c r="B53">
        <v>0.995954080203443</v>
      </c>
      <c r="C53">
        <v>0.83563222261513104</v>
      </c>
      <c r="D53">
        <v>1.08658007090774</v>
      </c>
      <c r="E53">
        <v>0.67787483924943703</v>
      </c>
      <c r="F53">
        <v>0.91433820813836197</v>
      </c>
      <c r="G53">
        <v>0.91369269125431796</v>
      </c>
      <c r="H53">
        <v>0.848635349626505</v>
      </c>
      <c r="I53">
        <v>1.14060972213779</v>
      </c>
      <c r="J53">
        <v>1.3313745399636701</v>
      </c>
      <c r="K53">
        <v>1.37114277372379</v>
      </c>
      <c r="L53">
        <v>15000</v>
      </c>
      <c r="M53">
        <v>233.970663835843</v>
      </c>
      <c r="O53">
        <v>64.1059063247165</v>
      </c>
      <c r="P53">
        <v>0.32050965208559901</v>
      </c>
      <c r="Q53">
        <v>1.35126737635232</v>
      </c>
      <c r="R53">
        <v>0.60001824542567295</v>
      </c>
      <c r="S53" t="s">
        <v>6859</v>
      </c>
      <c r="T53" t="s">
        <v>13610</v>
      </c>
      <c r="U53" t="s">
        <v>13610</v>
      </c>
      <c r="V53" t="s">
        <v>13610</v>
      </c>
      <c r="W53" t="s">
        <v>13663</v>
      </c>
      <c r="X53">
        <v>2</v>
      </c>
      <c r="Y53" t="s">
        <v>20384</v>
      </c>
      <c r="Z53" t="s">
        <v>26908</v>
      </c>
      <c r="AA53">
        <v>1.0689133271505791</v>
      </c>
      <c r="AB53" t="str">
        <f>HYPERLINK("Melting_Curves/meltCurve_A8K8P3_5_SFI1.pdf", "Melting_Curves/meltCurve_A8K8P3_5_SFI1.pdf")</f>
        <v>Melting_Curves/meltCurve_A8K8P3_5_SFI1.pdf</v>
      </c>
    </row>
    <row r="54" spans="1:28" x14ac:dyDescent="0.25">
      <c r="A54" t="s">
        <v>58</v>
      </c>
      <c r="B54">
        <v>0.995954080203443</v>
      </c>
      <c r="C54">
        <v>1.0114514367074501</v>
      </c>
      <c r="D54">
        <v>0.940301263286346</v>
      </c>
      <c r="E54">
        <v>0.79281746182733004</v>
      </c>
      <c r="F54">
        <v>0.48815972733450202</v>
      </c>
      <c r="G54">
        <v>0.15752744197172</v>
      </c>
      <c r="H54">
        <v>6.2642239954752904E-2</v>
      </c>
      <c r="I54">
        <v>4.7292909363817102E-2</v>
      </c>
      <c r="J54">
        <v>4.6309276665427501E-2</v>
      </c>
      <c r="K54">
        <v>3.7577227303727402E-2</v>
      </c>
      <c r="L54">
        <v>1264.9530464858001</v>
      </c>
      <c r="M54">
        <v>24.013849589952802</v>
      </c>
      <c r="N54">
        <v>52.825925659455898</v>
      </c>
      <c r="O54">
        <v>52.314763483678298</v>
      </c>
      <c r="P54">
        <v>-0.110977538831574</v>
      </c>
      <c r="Q54">
        <v>3.2946017927185302E-2</v>
      </c>
      <c r="R54">
        <v>0.99914155685755401</v>
      </c>
      <c r="S54" t="s">
        <v>6860</v>
      </c>
      <c r="T54" t="s">
        <v>13610</v>
      </c>
      <c r="U54" t="s">
        <v>13610</v>
      </c>
      <c r="V54" t="s">
        <v>13610</v>
      </c>
      <c r="W54" t="s">
        <v>13664</v>
      </c>
      <c r="X54">
        <v>13</v>
      </c>
      <c r="Y54" t="s">
        <v>20385</v>
      </c>
      <c r="Z54" t="s">
        <v>26909</v>
      </c>
      <c r="AA54">
        <v>0.45113888559220849</v>
      </c>
      <c r="AB54" t="str">
        <f>HYPERLINK("Melting_Curves/meltCurve_A8MPS7_YDJC.pdf", "Melting_Curves/meltCurve_A8MPS7_YDJC.pdf")</f>
        <v>Melting_Curves/meltCurve_A8MPS7_YDJC.pdf</v>
      </c>
    </row>
    <row r="55" spans="1:28" x14ac:dyDescent="0.25">
      <c r="A55" t="s">
        <v>59</v>
      </c>
      <c r="B55">
        <v>0.995954080203443</v>
      </c>
      <c r="C55">
        <v>0.86203102327408199</v>
      </c>
      <c r="D55">
        <v>0.80280429645619</v>
      </c>
      <c r="E55">
        <v>0.81065043343084398</v>
      </c>
      <c r="F55">
        <v>0.73307479911387297</v>
      </c>
      <c r="G55">
        <v>0.48141828381875801</v>
      </c>
      <c r="H55">
        <v>0.44191076186697298</v>
      </c>
      <c r="I55">
        <v>0.48797965817862199</v>
      </c>
      <c r="J55">
        <v>0.59879191340485804</v>
      </c>
      <c r="K55">
        <v>0.57918450360233797</v>
      </c>
      <c r="L55">
        <v>562.05032296908803</v>
      </c>
      <c r="M55">
        <v>11.3827125401528</v>
      </c>
      <c r="O55">
        <v>47.927206177816203</v>
      </c>
      <c r="P55">
        <v>-3.0006213799218098E-2</v>
      </c>
      <c r="Q55">
        <v>0.49478164014510501</v>
      </c>
      <c r="R55">
        <v>0.83060446313831005</v>
      </c>
      <c r="S55" t="s">
        <v>6861</v>
      </c>
      <c r="T55" t="s">
        <v>13610</v>
      </c>
      <c r="U55" t="s">
        <v>13610</v>
      </c>
      <c r="V55" t="s">
        <v>13610</v>
      </c>
      <c r="W55" t="s">
        <v>13665</v>
      </c>
      <c r="X55">
        <v>2</v>
      </c>
      <c r="Z55" t="s">
        <v>26910</v>
      </c>
      <c r="AA55">
        <v>0.67245509849403307</v>
      </c>
      <c r="AB55" t="str">
        <f>HYPERLINK("Melting_Curves/meltCurve_A8MPV3_.pdf", "Melting_Curves/meltCurve_A8MPV3_.pdf")</f>
        <v>Melting_Curves/meltCurve_A8MPV3_.pdf</v>
      </c>
    </row>
    <row r="56" spans="1:28" x14ac:dyDescent="0.25">
      <c r="A56" t="s">
        <v>60</v>
      </c>
      <c r="B56">
        <v>0.995954080203443</v>
      </c>
      <c r="C56">
        <v>1.2413985981846101</v>
      </c>
      <c r="D56">
        <v>1.47859208285874</v>
      </c>
      <c r="E56">
        <v>1.52542472659141</v>
      </c>
      <c r="F56">
        <v>1.36117963549932</v>
      </c>
      <c r="G56">
        <v>1.1307196818857601</v>
      </c>
      <c r="H56">
        <v>0.90657707471794002</v>
      </c>
      <c r="I56">
        <v>0.95747644878029703</v>
      </c>
      <c r="J56">
        <v>1.1759318600639199</v>
      </c>
      <c r="K56">
        <v>1.2291767490490899</v>
      </c>
      <c r="L56">
        <v>15000</v>
      </c>
      <c r="M56">
        <v>225.07492911292201</v>
      </c>
      <c r="O56">
        <v>66.639207927983605</v>
      </c>
      <c r="P56">
        <v>0.193526803383507</v>
      </c>
      <c r="Q56">
        <v>1.2291943143995201</v>
      </c>
      <c r="R56">
        <v>-0.785918864269879</v>
      </c>
      <c r="S56" t="s">
        <v>6862</v>
      </c>
      <c r="T56" t="s">
        <v>13610</v>
      </c>
      <c r="U56" t="s">
        <v>13610</v>
      </c>
      <c r="V56" t="s">
        <v>13610</v>
      </c>
      <c r="W56" t="s">
        <v>13666</v>
      </c>
      <c r="X56">
        <v>1</v>
      </c>
      <c r="Y56" t="s">
        <v>20386</v>
      </c>
      <c r="Z56" t="s">
        <v>26911</v>
      </c>
      <c r="AA56">
        <v>1.025602569309644</v>
      </c>
      <c r="AB56" t="str">
        <f>HYPERLINK("Melting_Curves/meltCurve_A8MQ14_ZNF850.pdf", "Melting_Curves/meltCurve_A8MQ14_ZNF850.pdf")</f>
        <v>Melting_Curves/meltCurve_A8MQ14_ZNF850.pdf</v>
      </c>
    </row>
    <row r="57" spans="1:28" x14ac:dyDescent="0.25">
      <c r="A57" t="s">
        <v>61</v>
      </c>
      <c r="B57">
        <v>0.995954080203443</v>
      </c>
      <c r="C57">
        <v>0.96374706365930396</v>
      </c>
      <c r="D57">
        <v>0.90233076107036603</v>
      </c>
      <c r="E57">
        <v>0.79753634986498201</v>
      </c>
      <c r="F57">
        <v>0.39177337146220298</v>
      </c>
      <c r="G57">
        <v>0.127775833982473</v>
      </c>
      <c r="H57">
        <v>7.9753272121220506E-2</v>
      </c>
      <c r="I57">
        <v>6.3056901167440296E-2</v>
      </c>
      <c r="J57">
        <v>7.4764789712485999E-2</v>
      </c>
      <c r="K57">
        <v>7.3646805686602396E-2</v>
      </c>
      <c r="L57">
        <v>1525.2517518519801</v>
      </c>
      <c r="M57">
        <v>29.3606117785801</v>
      </c>
      <c r="N57">
        <v>52.204868262614298</v>
      </c>
      <c r="O57">
        <v>51.709720994913397</v>
      </c>
      <c r="P57">
        <v>-0.13243466468357501</v>
      </c>
      <c r="Q57">
        <v>6.7034543734562205E-2</v>
      </c>
      <c r="R57">
        <v>0.99493404031293697</v>
      </c>
      <c r="S57" t="s">
        <v>6863</v>
      </c>
      <c r="T57" t="s">
        <v>13610</v>
      </c>
      <c r="U57" t="s">
        <v>13610</v>
      </c>
      <c r="V57" t="s">
        <v>13610</v>
      </c>
      <c r="W57" t="s">
        <v>13667</v>
      </c>
      <c r="X57">
        <v>10</v>
      </c>
      <c r="Y57" t="s">
        <v>20387</v>
      </c>
      <c r="Z57" t="s">
        <v>26912</v>
      </c>
      <c r="AA57">
        <v>0.44484788076318688</v>
      </c>
      <c r="AB57" t="str">
        <f>HYPERLINK("Melting_Curves/meltCurve_A8MQB8_FMR1.pdf", "Melting_Curves/meltCurve_A8MQB8_FMR1.pdf")</f>
        <v>Melting_Curves/meltCurve_A8MQB8_FMR1.pdf</v>
      </c>
    </row>
    <row r="58" spans="1:28" x14ac:dyDescent="0.25">
      <c r="A58" t="s">
        <v>62</v>
      </c>
      <c r="B58">
        <v>0.995954080203443</v>
      </c>
      <c r="C58">
        <v>1.28986175880756</v>
      </c>
      <c r="D58">
        <v>1.34389853052856</v>
      </c>
      <c r="E58">
        <v>1.0000911359453799</v>
      </c>
      <c r="F58">
        <v>0.46161421461487601</v>
      </c>
      <c r="G58">
        <v>0.193480206567473</v>
      </c>
      <c r="H58">
        <v>6.6753641665403804E-2</v>
      </c>
      <c r="I58">
        <v>4.6968451961927199E-2</v>
      </c>
      <c r="J58">
        <v>5.4709358019333999E-2</v>
      </c>
      <c r="K58">
        <v>4.9837054463940003E-2</v>
      </c>
      <c r="L58">
        <v>3136.6215651698999</v>
      </c>
      <c r="M58">
        <v>59.478248692001102</v>
      </c>
      <c r="N58">
        <v>52.888580940693402</v>
      </c>
      <c r="O58">
        <v>52.676092032408803</v>
      </c>
      <c r="P58">
        <v>-0.25997421179321201</v>
      </c>
      <c r="Q58">
        <v>7.9030070960847798E-2</v>
      </c>
      <c r="R58">
        <v>0.91947698448084803</v>
      </c>
      <c r="S58" t="s">
        <v>6864</v>
      </c>
      <c r="T58" t="s">
        <v>13610</v>
      </c>
      <c r="U58" t="s">
        <v>13610</v>
      </c>
      <c r="V58" t="s">
        <v>13610</v>
      </c>
      <c r="W58" t="s">
        <v>13668</v>
      </c>
      <c r="X58">
        <v>1</v>
      </c>
      <c r="Y58" t="s">
        <v>20388</v>
      </c>
      <c r="Z58" t="s">
        <v>26913</v>
      </c>
      <c r="AA58">
        <v>0.47151189377306613</v>
      </c>
      <c r="AB58" t="str">
        <f>HYPERLINK("Melting_Curves/meltCurve_A8MT20_GRM5.pdf", "Melting_Curves/meltCurve_A8MT20_GRM5.pdf")</f>
        <v>Melting_Curves/meltCurve_A8MT20_GRM5.pdf</v>
      </c>
    </row>
    <row r="59" spans="1:28" x14ac:dyDescent="0.25">
      <c r="A59" t="s">
        <v>63</v>
      </c>
      <c r="B59">
        <v>0.995954080203443</v>
      </c>
      <c r="C59">
        <v>1.05201162198385</v>
      </c>
      <c r="D59">
        <v>0.91729457181803198</v>
      </c>
      <c r="E59">
        <v>0.64219527679060795</v>
      </c>
      <c r="F59">
        <v>0.24259619895009801</v>
      </c>
      <c r="G59">
        <v>0.111986505711637</v>
      </c>
      <c r="H59">
        <v>5.9585481650551601E-2</v>
      </c>
      <c r="I59">
        <v>4.1201320577030701E-2</v>
      </c>
      <c r="J59">
        <v>4.5543878687909101E-2</v>
      </c>
      <c r="K59">
        <v>4.3793829777709799E-2</v>
      </c>
      <c r="L59">
        <v>1458.09504143134</v>
      </c>
      <c r="M59">
        <v>28.733440689694401</v>
      </c>
      <c r="N59">
        <v>50.923986128767197</v>
      </c>
      <c r="O59">
        <v>50.501669373857602</v>
      </c>
      <c r="P59">
        <v>-0.13543042086889701</v>
      </c>
      <c r="Q59">
        <v>4.7881256112879397E-2</v>
      </c>
      <c r="R59">
        <v>0.99642425593185402</v>
      </c>
      <c r="S59" t="s">
        <v>6865</v>
      </c>
      <c r="T59" t="s">
        <v>13610</v>
      </c>
      <c r="U59" t="s">
        <v>13610</v>
      </c>
      <c r="V59" t="s">
        <v>13610</v>
      </c>
      <c r="W59" t="s">
        <v>13669</v>
      </c>
      <c r="X59">
        <v>13</v>
      </c>
      <c r="Y59" t="s">
        <v>20389</v>
      </c>
      <c r="Z59" t="s">
        <v>26914</v>
      </c>
      <c r="AA59">
        <v>0.39541696323878489</v>
      </c>
      <c r="AB59" t="str">
        <f>HYPERLINK("Melting_Curves/meltCurve_A8MT37_GSK3A.pdf", "Melting_Curves/meltCurve_A8MT37_GSK3A.pdf")</f>
        <v>Melting_Curves/meltCurve_A8MT37_GSK3A.pdf</v>
      </c>
    </row>
    <row r="60" spans="1:28" x14ac:dyDescent="0.25">
      <c r="A60" t="s">
        <v>64</v>
      </c>
      <c r="B60">
        <v>0.995954080203443</v>
      </c>
      <c r="C60">
        <v>0.71459053912523296</v>
      </c>
      <c r="D60">
        <v>0.53908415684731903</v>
      </c>
      <c r="E60">
        <v>0.57054989273315004</v>
      </c>
      <c r="F60">
        <v>0.145391725795397</v>
      </c>
      <c r="G60">
        <v>7.5740753782904194E-2</v>
      </c>
      <c r="H60">
        <v>5.3459624127360501E-2</v>
      </c>
      <c r="I60">
        <v>4.5640885891712099E-2</v>
      </c>
      <c r="J60">
        <v>5.2406883616265103E-2</v>
      </c>
      <c r="K60">
        <v>4.5005554765057E-2</v>
      </c>
      <c r="L60">
        <v>559.72286327193797</v>
      </c>
      <c r="M60">
        <v>11.714388917885</v>
      </c>
      <c r="N60">
        <v>47.780799854459197</v>
      </c>
      <c r="O60">
        <v>46.452134987287998</v>
      </c>
      <c r="P60">
        <v>-6.30621663006522E-2</v>
      </c>
      <c r="Q60">
        <v>0</v>
      </c>
      <c r="R60">
        <v>0.93563518484658803</v>
      </c>
      <c r="S60" t="s">
        <v>6866</v>
      </c>
      <c r="T60" t="s">
        <v>13610</v>
      </c>
      <c r="U60" t="s">
        <v>13610</v>
      </c>
      <c r="V60" t="s">
        <v>13610</v>
      </c>
      <c r="W60" t="s">
        <v>13670</v>
      </c>
      <c r="X60">
        <v>9</v>
      </c>
      <c r="Y60" t="s">
        <v>20390</v>
      </c>
      <c r="Z60" t="s">
        <v>26915</v>
      </c>
      <c r="AA60">
        <v>0.30079973215510658</v>
      </c>
      <c r="AB60" t="str">
        <f>HYPERLINK("Melting_Curves/meltCurve_A8MTY9_DSCR3.pdf", "Melting_Curves/meltCurve_A8MTY9_DSCR3.pdf")</f>
        <v>Melting_Curves/meltCurve_A8MTY9_DSCR3.pdf</v>
      </c>
    </row>
    <row r="61" spans="1:28" x14ac:dyDescent="0.25">
      <c r="A61" t="s">
        <v>65</v>
      </c>
      <c r="B61">
        <v>0.995954080203443</v>
      </c>
      <c r="C61">
        <v>1.00037856294712</v>
      </c>
      <c r="D61">
        <v>0.90261214464968997</v>
      </c>
      <c r="E61">
        <v>0.85989487282689603</v>
      </c>
      <c r="F61">
        <v>0.71444680495042401</v>
      </c>
      <c r="G61">
        <v>0.53696277345562404</v>
      </c>
      <c r="H61">
        <v>0.46117441252094998</v>
      </c>
      <c r="I61">
        <v>0.53277585131286198</v>
      </c>
      <c r="J61">
        <v>0.63260424050374398</v>
      </c>
      <c r="K61">
        <v>0.65761481887527096</v>
      </c>
      <c r="L61">
        <v>1375.0433461242001</v>
      </c>
      <c r="M61">
        <v>26.848541652167601</v>
      </c>
      <c r="O61">
        <v>50.933231767714801</v>
      </c>
      <c r="P61">
        <v>-5.7761787917898703E-2</v>
      </c>
      <c r="Q61">
        <v>0.561694671870552</v>
      </c>
      <c r="R61">
        <v>0.89879173437358995</v>
      </c>
      <c r="S61" t="s">
        <v>6867</v>
      </c>
      <c r="T61" t="s">
        <v>13610</v>
      </c>
      <c r="U61" t="s">
        <v>13610</v>
      </c>
      <c r="V61" t="s">
        <v>13610</v>
      </c>
      <c r="W61" t="s">
        <v>13671</v>
      </c>
      <c r="X61">
        <v>7</v>
      </c>
      <c r="Y61" t="s">
        <v>20391</v>
      </c>
      <c r="Z61" t="s">
        <v>26916</v>
      </c>
      <c r="AA61">
        <v>0.72899406918661358</v>
      </c>
      <c r="AB61" t="str">
        <f>HYPERLINK("Melting_Curves/meltCurve_A8MTZ6_S100PBP.pdf", "Melting_Curves/meltCurve_A8MTZ6_S100PBP.pdf")</f>
        <v>Melting_Curves/meltCurve_A8MTZ6_S100PBP.pdf</v>
      </c>
    </row>
    <row r="62" spans="1:28" x14ac:dyDescent="0.25">
      <c r="A62" t="s">
        <v>66</v>
      </c>
      <c r="B62">
        <v>0.995954080203443</v>
      </c>
      <c r="C62">
        <v>0.91317137258213599</v>
      </c>
      <c r="D62">
        <v>0.82084746626558103</v>
      </c>
      <c r="E62">
        <v>0.50865788443795101</v>
      </c>
      <c r="F62">
        <v>0.27560976787903502</v>
      </c>
      <c r="G62">
        <v>0.15662812437749801</v>
      </c>
      <c r="H62">
        <v>0.106147641152113</v>
      </c>
      <c r="I62">
        <v>9.3439725145131006E-2</v>
      </c>
      <c r="J62">
        <v>0.111091219093905</v>
      </c>
      <c r="K62">
        <v>0.10026151608332599</v>
      </c>
      <c r="L62">
        <v>914.17764393703703</v>
      </c>
      <c r="M62">
        <v>18.507347017876398</v>
      </c>
      <c r="N62">
        <v>49.921563008141803</v>
      </c>
      <c r="O62">
        <v>48.8295100622909</v>
      </c>
      <c r="P62">
        <v>-8.6362473384187594E-2</v>
      </c>
      <c r="Q62">
        <v>8.8610067097871795E-2</v>
      </c>
      <c r="R62">
        <v>0.99822360533777199</v>
      </c>
      <c r="S62" t="s">
        <v>6868</v>
      </c>
      <c r="T62" t="s">
        <v>13610</v>
      </c>
      <c r="U62" t="s">
        <v>13610</v>
      </c>
      <c r="V62" t="s">
        <v>13610</v>
      </c>
      <c r="W62" t="s">
        <v>13672</v>
      </c>
      <c r="X62">
        <v>25</v>
      </c>
      <c r="Y62" t="s">
        <v>20392</v>
      </c>
      <c r="Z62" t="s">
        <v>26917</v>
      </c>
      <c r="AA62">
        <v>0.38888449202040348</v>
      </c>
      <c r="AB62" t="str">
        <f>HYPERLINK("Melting_Curves/meltCurve_A8MU44_HOOK1.pdf", "Melting_Curves/meltCurve_A8MU44_HOOK1.pdf")</f>
        <v>Melting_Curves/meltCurve_A8MU44_HOOK1.pdf</v>
      </c>
    </row>
    <row r="63" spans="1:28" x14ac:dyDescent="0.25">
      <c r="A63" t="s">
        <v>67</v>
      </c>
      <c r="B63">
        <v>0.995954080203443</v>
      </c>
      <c r="C63">
        <v>0.71164805390702301</v>
      </c>
      <c r="D63">
        <v>0.487599483390111</v>
      </c>
      <c r="E63">
        <v>0.53313882984517802</v>
      </c>
      <c r="F63">
        <v>0.36822730472274401</v>
      </c>
      <c r="G63">
        <v>0.17884806981895099</v>
      </c>
      <c r="H63">
        <v>0.159467432229699</v>
      </c>
      <c r="I63">
        <v>0.117412652313424</v>
      </c>
      <c r="J63">
        <v>0.14749738269521601</v>
      </c>
      <c r="K63">
        <v>0.14849381673534701</v>
      </c>
      <c r="L63">
        <v>475.98226394686702</v>
      </c>
      <c r="M63">
        <v>10.059797858105499</v>
      </c>
      <c r="N63">
        <v>48.268681325089901</v>
      </c>
      <c r="O63">
        <v>45.559687023088898</v>
      </c>
      <c r="P63">
        <v>-5.0251396836898797E-2</v>
      </c>
      <c r="Q63">
        <v>9.0101474724209402E-2</v>
      </c>
      <c r="R63">
        <v>0.93575387599809901</v>
      </c>
      <c r="S63" t="s">
        <v>6869</v>
      </c>
      <c r="T63" t="s">
        <v>13610</v>
      </c>
      <c r="U63" t="s">
        <v>13610</v>
      </c>
      <c r="V63" t="s">
        <v>13610</v>
      </c>
      <c r="W63" t="s">
        <v>13673</v>
      </c>
      <c r="X63">
        <v>19</v>
      </c>
      <c r="Y63" t="s">
        <v>20393</v>
      </c>
      <c r="Z63" t="s">
        <v>26918</v>
      </c>
      <c r="AA63">
        <v>0.36242194502453828</v>
      </c>
      <c r="AB63" t="str">
        <f>HYPERLINK("Melting_Curves/meltCurve_A8MUB1_TUBA4A.pdf", "Melting_Curves/meltCurve_A8MUB1_TUBA4A.pdf")</f>
        <v>Melting_Curves/meltCurve_A8MUB1_TUBA4A.pdf</v>
      </c>
    </row>
    <row r="64" spans="1:28" x14ac:dyDescent="0.25">
      <c r="A64" t="s">
        <v>68</v>
      </c>
      <c r="B64">
        <v>0.995954080203443</v>
      </c>
      <c r="C64">
        <v>0.85404713992644199</v>
      </c>
      <c r="D64">
        <v>0.91552426352914995</v>
      </c>
      <c r="E64">
        <v>0.71635272480410295</v>
      </c>
      <c r="F64">
        <v>0.74449252683593603</v>
      </c>
      <c r="G64">
        <v>0.68211164245350797</v>
      </c>
      <c r="H64">
        <v>0.74091423379138699</v>
      </c>
      <c r="I64">
        <v>1.0457161080406601</v>
      </c>
      <c r="J64">
        <v>1.3424096845094899</v>
      </c>
      <c r="K64">
        <v>1.2903631756988101</v>
      </c>
      <c r="L64">
        <v>15000</v>
      </c>
      <c r="M64">
        <v>232.59726293170999</v>
      </c>
      <c r="O64">
        <v>64.484383527398407</v>
      </c>
      <c r="P64">
        <v>0.28532325865734598</v>
      </c>
      <c r="Q64">
        <v>1.31640775432207</v>
      </c>
      <c r="R64">
        <v>0.313698143445101</v>
      </c>
      <c r="S64" t="s">
        <v>6870</v>
      </c>
      <c r="T64" t="s">
        <v>13610</v>
      </c>
      <c r="U64" t="s">
        <v>13610</v>
      </c>
      <c r="V64" t="s">
        <v>13610</v>
      </c>
      <c r="X64">
        <v>5</v>
      </c>
      <c r="Z64" t="s">
        <v>26919</v>
      </c>
      <c r="AA64">
        <v>1.0580811417468521</v>
      </c>
      <c r="AB64" t="str">
        <f>HYPERLINK("Melting_Curves/meltCurve_A8MUN2_.pdf", "Melting_Curves/meltCurve_A8MUN2_.pdf")</f>
        <v>Melting_Curves/meltCurve_A8MUN2_.pdf</v>
      </c>
    </row>
    <row r="65" spans="1:28" x14ac:dyDescent="0.25">
      <c r="A65" t="s">
        <v>69</v>
      </c>
      <c r="B65">
        <v>0.995954080203443</v>
      </c>
      <c r="C65">
        <v>1.07381452715043</v>
      </c>
      <c r="D65">
        <v>1.01856130988129</v>
      </c>
      <c r="E65">
        <v>0.91610170039156302</v>
      </c>
      <c r="F65">
        <v>0.83641937296595303</v>
      </c>
      <c r="G65">
        <v>0.70524989157012596</v>
      </c>
      <c r="H65">
        <v>0.64095112832369305</v>
      </c>
      <c r="I65">
        <v>0.75173967368935801</v>
      </c>
      <c r="J65">
        <v>0.92992267820755303</v>
      </c>
      <c r="K65">
        <v>0.93129119552641504</v>
      </c>
      <c r="L65">
        <v>2271.4613904166799</v>
      </c>
      <c r="M65">
        <v>44.927961865571298</v>
      </c>
      <c r="O65">
        <v>50.457995711246497</v>
      </c>
      <c r="P65">
        <v>-4.57242071623385E-2</v>
      </c>
      <c r="Q65">
        <v>0.79459126971977001</v>
      </c>
      <c r="R65">
        <v>0.57851666296574</v>
      </c>
      <c r="S65" t="s">
        <v>6871</v>
      </c>
      <c r="T65" t="s">
        <v>13610</v>
      </c>
      <c r="U65" t="s">
        <v>13610</v>
      </c>
      <c r="V65" t="s">
        <v>13610</v>
      </c>
      <c r="W65" t="s">
        <v>13674</v>
      </c>
      <c r="X65">
        <v>2</v>
      </c>
      <c r="Y65" t="s">
        <v>20394</v>
      </c>
      <c r="Z65" t="s">
        <v>26920</v>
      </c>
      <c r="AA65">
        <v>0.86744855168842649</v>
      </c>
      <c r="AB65" t="str">
        <f>HYPERLINK("Melting_Curves/meltCurve_A8MVX0_ARHGEF33.pdf", "Melting_Curves/meltCurve_A8MVX0_ARHGEF33.pdf")</f>
        <v>Melting_Curves/meltCurve_A8MVX0_ARHGEF33.pdf</v>
      </c>
    </row>
    <row r="66" spans="1:28" x14ac:dyDescent="0.25">
      <c r="A66" t="s">
        <v>70</v>
      </c>
      <c r="B66">
        <v>0.995954080203443</v>
      </c>
      <c r="C66">
        <v>0.90049620396396202</v>
      </c>
      <c r="D66">
        <v>0.86185490784026497</v>
      </c>
      <c r="E66">
        <v>0.58361595210694905</v>
      </c>
      <c r="F66">
        <v>0.593059289434963</v>
      </c>
      <c r="G66">
        <v>0.44536409950237499</v>
      </c>
      <c r="H66">
        <v>0.35568532736362701</v>
      </c>
      <c r="I66">
        <v>0.48362797571299998</v>
      </c>
      <c r="J66">
        <v>0.58310073145829999</v>
      </c>
      <c r="K66">
        <v>0.62115439773646497</v>
      </c>
      <c r="L66">
        <v>1087.57153444902</v>
      </c>
      <c r="M66">
        <v>23.003297767117999</v>
      </c>
      <c r="O66">
        <v>46.925999483571999</v>
      </c>
      <c r="P66">
        <v>-6.1045941181419698E-2</v>
      </c>
      <c r="Q66">
        <v>0.50188232891464202</v>
      </c>
      <c r="R66">
        <v>0.85966477919195805</v>
      </c>
      <c r="S66" t="s">
        <v>6872</v>
      </c>
      <c r="T66" t="s">
        <v>13610</v>
      </c>
      <c r="U66" t="s">
        <v>13610</v>
      </c>
      <c r="V66" t="s">
        <v>13610</v>
      </c>
      <c r="W66" t="s">
        <v>13675</v>
      </c>
      <c r="X66">
        <v>5</v>
      </c>
      <c r="Y66" t="s">
        <v>20395</v>
      </c>
      <c r="Z66" t="s">
        <v>26921</v>
      </c>
      <c r="AA66">
        <v>0.62805219670335566</v>
      </c>
      <c r="AB66" t="str">
        <f>HYPERLINK("Melting_Curves/meltCurve_A8MVZ6_BICD1.pdf", "Melting_Curves/meltCurve_A8MVZ6_BICD1.pdf")</f>
        <v>Melting_Curves/meltCurve_A8MVZ6_BICD1.pdf</v>
      </c>
    </row>
    <row r="67" spans="1:28" x14ac:dyDescent="0.25">
      <c r="A67" t="s">
        <v>71</v>
      </c>
      <c r="B67">
        <v>0.995954080203443</v>
      </c>
      <c r="C67">
        <v>0.63789187461637298</v>
      </c>
      <c r="D67">
        <v>0.36764402237833799</v>
      </c>
      <c r="E67">
        <v>0.25440304929674501</v>
      </c>
      <c r="F67">
        <v>0.14198215166571801</v>
      </c>
      <c r="G67">
        <v>8.0451439778497794E-2</v>
      </c>
      <c r="H67">
        <v>4.79461479524751E-2</v>
      </c>
      <c r="I67">
        <v>3.5549467403043301E-2</v>
      </c>
      <c r="J67">
        <v>4.0775184302315803E-2</v>
      </c>
      <c r="K67">
        <v>3.6675499245024001E-2</v>
      </c>
      <c r="L67">
        <v>771.30758857852004</v>
      </c>
      <c r="M67">
        <v>17.264851652705101</v>
      </c>
      <c r="N67">
        <v>44.961800378693198</v>
      </c>
      <c r="O67">
        <v>44.088557038665499</v>
      </c>
      <c r="P67">
        <v>-9.2800095145647202E-2</v>
      </c>
      <c r="Q67">
        <v>5.2135180881348601E-2</v>
      </c>
      <c r="R67">
        <v>0.97513932995164099</v>
      </c>
      <c r="S67" t="s">
        <v>6873</v>
      </c>
      <c r="T67" t="s">
        <v>13610</v>
      </c>
      <c r="U67" t="s">
        <v>13610</v>
      </c>
      <c r="V67" t="s">
        <v>13610</v>
      </c>
      <c r="W67" t="s">
        <v>13676</v>
      </c>
      <c r="X67">
        <v>16</v>
      </c>
      <c r="Y67" t="s">
        <v>20396</v>
      </c>
      <c r="Z67" t="s">
        <v>26922</v>
      </c>
      <c r="AA67">
        <v>0.22317164023171551</v>
      </c>
      <c r="AB67" t="str">
        <f>HYPERLINK("Melting_Curves/meltCurve_A8MX75_ERCC2.pdf", "Melting_Curves/meltCurve_A8MX75_ERCC2.pdf")</f>
        <v>Melting_Curves/meltCurve_A8MX75_ERCC2.pdf</v>
      </c>
    </row>
    <row r="68" spans="1:28" x14ac:dyDescent="0.25">
      <c r="A68" t="s">
        <v>72</v>
      </c>
      <c r="B68">
        <v>0.995954080203443</v>
      </c>
      <c r="C68">
        <v>0.82875013304726297</v>
      </c>
      <c r="D68">
        <v>0.60003881747564403</v>
      </c>
      <c r="E68">
        <v>0.58299898185718702</v>
      </c>
      <c r="F68">
        <v>0.39413399573983998</v>
      </c>
      <c r="G68">
        <v>0.25705759057043998</v>
      </c>
      <c r="H68">
        <v>0.21855858125632499</v>
      </c>
      <c r="I68">
        <v>0.24789804242072899</v>
      </c>
      <c r="J68">
        <v>0.33099679544542998</v>
      </c>
      <c r="K68">
        <v>0.285121562240991</v>
      </c>
      <c r="L68">
        <v>629.90432379950403</v>
      </c>
      <c r="M68">
        <v>13.3971071839162</v>
      </c>
      <c r="N68">
        <v>49.583230036594699</v>
      </c>
      <c r="O68">
        <v>46.007412590035798</v>
      </c>
      <c r="P68">
        <v>-5.4607911768976003E-2</v>
      </c>
      <c r="Q68">
        <v>0.24999516029817301</v>
      </c>
      <c r="R68">
        <v>0.94824275705438299</v>
      </c>
      <c r="S68" t="s">
        <v>6874</v>
      </c>
      <c r="T68" t="s">
        <v>13610</v>
      </c>
      <c r="U68" t="s">
        <v>13610</v>
      </c>
      <c r="V68" t="s">
        <v>13610</v>
      </c>
      <c r="W68" t="s">
        <v>13677</v>
      </c>
      <c r="X68">
        <v>4</v>
      </c>
      <c r="Y68" t="s">
        <v>20397</v>
      </c>
      <c r="Z68" t="s">
        <v>26923</v>
      </c>
      <c r="AA68">
        <v>0.45097670013348917</v>
      </c>
      <c r="AB68" t="str">
        <f>HYPERLINK("Melting_Curves/meltCurve_A8MXP8_RCN2.pdf", "Melting_Curves/meltCurve_A8MXP8_RCN2.pdf")</f>
        <v>Melting_Curves/meltCurve_A8MXP8_RCN2.pdf</v>
      </c>
    </row>
    <row r="69" spans="1:28" x14ac:dyDescent="0.25">
      <c r="A69" t="s">
        <v>73</v>
      </c>
      <c r="B69">
        <v>0.995954080203443</v>
      </c>
      <c r="C69">
        <v>0.87883857169090696</v>
      </c>
      <c r="D69">
        <v>0.87541756126094195</v>
      </c>
      <c r="E69">
        <v>0.66489571397605096</v>
      </c>
      <c r="F69">
        <v>0.59152121637254496</v>
      </c>
      <c r="G69">
        <v>0.38364667183426798</v>
      </c>
      <c r="H69">
        <v>0.30486432948556702</v>
      </c>
      <c r="I69">
        <v>0.32419541022186699</v>
      </c>
      <c r="J69">
        <v>0.34898500444604802</v>
      </c>
      <c r="K69">
        <v>0.36693723439280301</v>
      </c>
      <c r="L69">
        <v>708.47863332214797</v>
      </c>
      <c r="M69">
        <v>14.056506928588901</v>
      </c>
      <c r="N69">
        <v>54.052335347379497</v>
      </c>
      <c r="O69">
        <v>49.414962076155803</v>
      </c>
      <c r="P69">
        <v>-4.93257321770596E-2</v>
      </c>
      <c r="Q69">
        <v>0.30648153704275499</v>
      </c>
      <c r="R69">
        <v>0.97574351678660998</v>
      </c>
      <c r="S69" t="s">
        <v>6875</v>
      </c>
      <c r="T69" t="s">
        <v>13610</v>
      </c>
      <c r="U69" t="s">
        <v>13610</v>
      </c>
      <c r="V69" t="s">
        <v>13610</v>
      </c>
      <c r="W69" t="s">
        <v>13678</v>
      </c>
      <c r="X69">
        <v>45</v>
      </c>
      <c r="Y69" t="s">
        <v>20398</v>
      </c>
      <c r="Z69" t="s">
        <v>26924</v>
      </c>
      <c r="AA69">
        <v>0.56518136071615976</v>
      </c>
      <c r="AB69" t="str">
        <f>HYPERLINK("Melting_Curves/meltCurve_A8MXP9_MATR3.pdf", "Melting_Curves/meltCurve_A8MXP9_MATR3.pdf")</f>
        <v>Melting_Curves/meltCurve_A8MXP9_MATR3.pdf</v>
      </c>
    </row>
    <row r="70" spans="1:28" x14ac:dyDescent="0.25">
      <c r="A70" t="s">
        <v>74</v>
      </c>
      <c r="B70">
        <v>0.995954080203443</v>
      </c>
      <c r="C70">
        <v>1.0161562174038601</v>
      </c>
      <c r="D70">
        <v>0.95249859259760605</v>
      </c>
      <c r="E70">
        <v>0.86469597600426795</v>
      </c>
      <c r="F70">
        <v>0.63866227889674698</v>
      </c>
      <c r="G70">
        <v>0.257033704793034</v>
      </c>
      <c r="H70">
        <v>0.121988592461617</v>
      </c>
      <c r="I70">
        <v>0.13541745295274199</v>
      </c>
      <c r="J70">
        <v>0.124138172932434</v>
      </c>
      <c r="K70">
        <v>0.136058143671693</v>
      </c>
      <c r="L70">
        <v>1414.6395381995301</v>
      </c>
      <c r="M70">
        <v>26.4106861284864</v>
      </c>
      <c r="N70">
        <v>54.104972184825101</v>
      </c>
      <c r="O70">
        <v>53.258890742347603</v>
      </c>
      <c r="P70">
        <v>-0.109568990578161</v>
      </c>
      <c r="Q70">
        <v>0.116197144506371</v>
      </c>
      <c r="R70">
        <v>0.99756167821664099</v>
      </c>
      <c r="S70" t="s">
        <v>6876</v>
      </c>
      <c r="T70" t="s">
        <v>13610</v>
      </c>
      <c r="U70" t="s">
        <v>13610</v>
      </c>
      <c r="V70" t="s">
        <v>13610</v>
      </c>
      <c r="W70" t="s">
        <v>13679</v>
      </c>
      <c r="X70">
        <v>9</v>
      </c>
      <c r="Y70" t="s">
        <v>20399</v>
      </c>
      <c r="Z70" t="s">
        <v>26925</v>
      </c>
      <c r="AA70">
        <v>0.5231391959663253</v>
      </c>
      <c r="AB70" t="str">
        <f>HYPERLINK("Melting_Curves/meltCurve_A8MXV4_NUDT19.pdf", "Melting_Curves/meltCurve_A8MXV4_NUDT19.pdf")</f>
        <v>Melting_Curves/meltCurve_A8MXV4_NUDT19.pdf</v>
      </c>
    </row>
    <row r="71" spans="1:28" x14ac:dyDescent="0.25">
      <c r="A71" t="s">
        <v>75</v>
      </c>
      <c r="B71">
        <v>0.995954080203443</v>
      </c>
      <c r="C71">
        <v>0.56813441318477598</v>
      </c>
      <c r="D71">
        <v>0.37112951572598202</v>
      </c>
      <c r="E71">
        <v>0.42444247434029098</v>
      </c>
      <c r="F71">
        <v>0.21855392824438799</v>
      </c>
      <c r="G71">
        <v>8.6608323998061301E-2</v>
      </c>
      <c r="H71">
        <v>4.6132794166692297E-2</v>
      </c>
      <c r="I71">
        <v>3.6542147886306199E-2</v>
      </c>
      <c r="J71">
        <v>4.0987594899502898E-2</v>
      </c>
      <c r="K71">
        <v>3.60302391871914E-2</v>
      </c>
      <c r="L71">
        <v>506.30028739674799</v>
      </c>
      <c r="M71">
        <v>11.0947940987412</v>
      </c>
      <c r="N71">
        <v>45.750913822193198</v>
      </c>
      <c r="O71">
        <v>44.226748588583497</v>
      </c>
      <c r="P71">
        <v>-6.1859394502008502E-2</v>
      </c>
      <c r="Q71">
        <v>1.3970758207596299E-2</v>
      </c>
      <c r="R71">
        <v>0.91751951207037596</v>
      </c>
      <c r="S71" t="s">
        <v>6877</v>
      </c>
      <c r="T71" t="s">
        <v>13610</v>
      </c>
      <c r="U71" t="s">
        <v>13610</v>
      </c>
      <c r="V71" t="s">
        <v>13610</v>
      </c>
      <c r="W71" t="s">
        <v>13680</v>
      </c>
      <c r="X71">
        <v>2</v>
      </c>
      <c r="Y71" t="s">
        <v>20400</v>
      </c>
      <c r="Z71" t="s">
        <v>26926</v>
      </c>
      <c r="AA71">
        <v>0.25258413004262231</v>
      </c>
      <c r="AB71" t="str">
        <f>HYPERLINK("Melting_Curves/meltCurve_A8MYC1_POP4.pdf", "Melting_Curves/meltCurve_A8MYC1_POP4.pdf")</f>
        <v>Melting_Curves/meltCurve_A8MYC1_POP4.pdf</v>
      </c>
    </row>
    <row r="72" spans="1:28" x14ac:dyDescent="0.25">
      <c r="A72" t="s">
        <v>76</v>
      </c>
      <c r="B72">
        <v>0.995954080203443</v>
      </c>
      <c r="C72">
        <v>0.90858836917581498</v>
      </c>
      <c r="D72">
        <v>1.05345595249748</v>
      </c>
      <c r="E72">
        <v>0.93707771778994398</v>
      </c>
      <c r="F72">
        <v>1.0435356658211199</v>
      </c>
      <c r="G72">
        <v>0.90973124922428905</v>
      </c>
      <c r="H72">
        <v>0.84729921250100204</v>
      </c>
      <c r="I72">
        <v>1.00389044739294</v>
      </c>
      <c r="J72">
        <v>1.1804242608897599</v>
      </c>
      <c r="K72">
        <v>1.1637662098807</v>
      </c>
      <c r="L72">
        <v>15000</v>
      </c>
      <c r="M72">
        <v>230.70270977377299</v>
      </c>
      <c r="O72">
        <v>65.013856330094995</v>
      </c>
      <c r="P72">
        <v>0.152745553109148</v>
      </c>
      <c r="Q72">
        <v>1.1721796407788501</v>
      </c>
      <c r="R72">
        <v>0.54808324045481605</v>
      </c>
      <c r="S72" t="s">
        <v>6878</v>
      </c>
      <c r="T72" t="s">
        <v>13610</v>
      </c>
      <c r="U72" t="s">
        <v>13610</v>
      </c>
      <c r="V72" t="s">
        <v>13610</v>
      </c>
      <c r="W72" t="s">
        <v>13681</v>
      </c>
      <c r="X72">
        <v>27</v>
      </c>
      <c r="Y72" t="s">
        <v>20401</v>
      </c>
      <c r="Z72" t="s">
        <v>26927</v>
      </c>
      <c r="AA72">
        <v>1.028565967729868</v>
      </c>
      <c r="AB72" t="str">
        <f>HYPERLINK("Melting_Curves/meltCurve_A9Z1X7_SRRM1.pdf", "Melting_Curves/meltCurve_A9Z1X7_SRRM1.pdf")</f>
        <v>Melting_Curves/meltCurve_A9Z1X7_SRRM1.pdf</v>
      </c>
    </row>
    <row r="73" spans="1:28" x14ac:dyDescent="0.25">
      <c r="A73" t="s">
        <v>77</v>
      </c>
      <c r="B73">
        <v>0.995954080203443</v>
      </c>
      <c r="C73">
        <v>0.96117399113032098</v>
      </c>
      <c r="D73">
        <v>0.88335230782498897</v>
      </c>
      <c r="E73">
        <v>0.70946797832350705</v>
      </c>
      <c r="F73">
        <v>0.43685814389540401</v>
      </c>
      <c r="G73">
        <v>0.16039612357761199</v>
      </c>
      <c r="H73">
        <v>0.112649096795847</v>
      </c>
      <c r="I73">
        <v>0.105385909644111</v>
      </c>
      <c r="J73">
        <v>0.12172539255437501</v>
      </c>
      <c r="K73">
        <v>0.106974895582304</v>
      </c>
      <c r="L73">
        <v>1070.8033650832101</v>
      </c>
      <c r="M73">
        <v>20.7635849463922</v>
      </c>
      <c r="N73">
        <v>52.071804033727702</v>
      </c>
      <c r="O73">
        <v>51.1000090321252</v>
      </c>
      <c r="P73">
        <v>-9.2395374650491802E-2</v>
      </c>
      <c r="Q73">
        <v>9.0470755336853198E-2</v>
      </c>
      <c r="R73">
        <v>0.99539870626209603</v>
      </c>
      <c r="S73" t="s">
        <v>6879</v>
      </c>
      <c r="T73" t="s">
        <v>13610</v>
      </c>
      <c r="U73" t="s">
        <v>13610</v>
      </c>
      <c r="V73" t="s">
        <v>13610</v>
      </c>
      <c r="W73" t="s">
        <v>13682</v>
      </c>
      <c r="X73">
        <v>27</v>
      </c>
      <c r="Y73" t="s">
        <v>20402</v>
      </c>
      <c r="Z73" t="s">
        <v>26928</v>
      </c>
      <c r="AA73">
        <v>0.45304960029679642</v>
      </c>
      <c r="AB73" t="str">
        <f>HYPERLINK("Melting_Curves/meltCurve_B0FLL2_PFKFB2.pdf", "Melting_Curves/meltCurve_B0FLL2_PFKFB2.pdf")</f>
        <v>Melting_Curves/meltCurve_B0FLL2_PFKFB2.pdf</v>
      </c>
    </row>
    <row r="74" spans="1:28" x14ac:dyDescent="0.25">
      <c r="A74" t="s">
        <v>78</v>
      </c>
      <c r="B74">
        <v>0.995954080203443</v>
      </c>
      <c r="C74">
        <v>1.09654759900387</v>
      </c>
      <c r="D74">
        <v>1.0039509772561199</v>
      </c>
      <c r="E74">
        <v>0.60225009830765097</v>
      </c>
      <c r="F74">
        <v>0.32932202413602601</v>
      </c>
      <c r="G74">
        <v>0.152446860893765</v>
      </c>
      <c r="H74">
        <v>0.103426277639198</v>
      </c>
      <c r="I74">
        <v>0.108413572858856</v>
      </c>
      <c r="J74">
        <v>0.128045325542683</v>
      </c>
      <c r="K74">
        <v>0.13604645202725499</v>
      </c>
      <c r="L74">
        <v>1515.6998071447799</v>
      </c>
      <c r="M74">
        <v>29.979229561014002</v>
      </c>
      <c r="N74">
        <v>51.031814750566099</v>
      </c>
      <c r="O74">
        <v>50.334971176395797</v>
      </c>
      <c r="P74">
        <v>-0.130821728469699</v>
      </c>
      <c r="Q74">
        <v>0.121409730345564</v>
      </c>
      <c r="R74">
        <v>0.99034418379801503</v>
      </c>
      <c r="S74" t="s">
        <v>6880</v>
      </c>
      <c r="T74" t="s">
        <v>13610</v>
      </c>
      <c r="U74" t="s">
        <v>13610</v>
      </c>
      <c r="V74" t="s">
        <v>13610</v>
      </c>
      <c r="W74" t="s">
        <v>13683</v>
      </c>
      <c r="X74">
        <v>1</v>
      </c>
      <c r="Y74" t="s">
        <v>20403</v>
      </c>
      <c r="Z74" t="s">
        <v>26929</v>
      </c>
      <c r="AA74">
        <v>0.4361163577192857</v>
      </c>
      <c r="AB74" t="str">
        <f>HYPERLINK("Melting_Curves/meltCurve_B0QXZ5_DNAL4.pdf", "Melting_Curves/meltCurve_B0QXZ5_DNAL4.pdf")</f>
        <v>Melting_Curves/meltCurve_B0QXZ5_DNAL4.pdf</v>
      </c>
    </row>
    <row r="75" spans="1:28" x14ac:dyDescent="0.25">
      <c r="A75" t="s">
        <v>79</v>
      </c>
      <c r="B75">
        <v>0.995954080203443</v>
      </c>
      <c r="C75">
        <v>0.79551274011036499</v>
      </c>
      <c r="D75">
        <v>0.43538654990457598</v>
      </c>
      <c r="E75">
        <v>0.31647062141969201</v>
      </c>
      <c r="F75">
        <v>0.111069680876989</v>
      </c>
      <c r="G75">
        <v>8.5030465188694906E-2</v>
      </c>
      <c r="H75">
        <v>5.3733132570712501E-2</v>
      </c>
      <c r="I75">
        <v>4.59687148906191E-2</v>
      </c>
      <c r="J75">
        <v>5.13028323544455E-2</v>
      </c>
      <c r="K75">
        <v>6.3803106024109296E-2</v>
      </c>
      <c r="L75">
        <v>813.91017432078695</v>
      </c>
      <c r="M75">
        <v>17.773032309542199</v>
      </c>
      <c r="N75">
        <v>46.094148184376301</v>
      </c>
      <c r="O75">
        <v>45.226721822122698</v>
      </c>
      <c r="P75">
        <v>-9.2891874016992101E-2</v>
      </c>
      <c r="Q75">
        <v>5.4527790770847198E-2</v>
      </c>
      <c r="R75">
        <v>0.98296221779065696</v>
      </c>
      <c r="S75" t="s">
        <v>6881</v>
      </c>
      <c r="T75" t="s">
        <v>13610</v>
      </c>
      <c r="U75" t="s">
        <v>13610</v>
      </c>
      <c r="V75" t="s">
        <v>13610</v>
      </c>
      <c r="W75" t="s">
        <v>13684</v>
      </c>
      <c r="X75">
        <v>1</v>
      </c>
      <c r="Y75" t="s">
        <v>20404</v>
      </c>
      <c r="Z75" t="s">
        <v>26930</v>
      </c>
      <c r="AA75">
        <v>0.25656602435378911</v>
      </c>
      <c r="AB75" t="str">
        <f>HYPERLINK("Melting_Curves/meltCurve_B0QY04_NCF4.pdf", "Melting_Curves/meltCurve_B0QY04_NCF4.pdf")</f>
        <v>Melting_Curves/meltCurve_B0QY04_NCF4.pdf</v>
      </c>
    </row>
    <row r="76" spans="1:28" x14ac:dyDescent="0.25">
      <c r="A76" t="s">
        <v>80</v>
      </c>
      <c r="B76">
        <v>0.995954080203443</v>
      </c>
      <c r="C76">
        <v>0.89033731279561701</v>
      </c>
      <c r="D76">
        <v>0.83462512709973202</v>
      </c>
      <c r="E76">
        <v>0.79147385989330399</v>
      </c>
      <c r="F76">
        <v>0.59253772336753796</v>
      </c>
      <c r="G76">
        <v>0.40870726449943101</v>
      </c>
      <c r="H76">
        <v>0.122505800958049</v>
      </c>
      <c r="I76">
        <v>8.2938571738301894E-2</v>
      </c>
      <c r="J76">
        <v>0.10838893325008001</v>
      </c>
      <c r="K76">
        <v>0.100952397181841</v>
      </c>
      <c r="L76">
        <v>677.16108814960899</v>
      </c>
      <c r="M76">
        <v>12.460927974743299</v>
      </c>
      <c r="N76">
        <v>54.342749456748798</v>
      </c>
      <c r="O76">
        <v>53.000119129211697</v>
      </c>
      <c r="P76">
        <v>-5.8790073484336597E-2</v>
      </c>
      <c r="Q76">
        <v>0</v>
      </c>
      <c r="R76">
        <v>0.97839170942154596</v>
      </c>
      <c r="S76" t="s">
        <v>6882</v>
      </c>
      <c r="T76" t="s">
        <v>13610</v>
      </c>
      <c r="U76" t="s">
        <v>13610</v>
      </c>
      <c r="V76" t="s">
        <v>13610</v>
      </c>
      <c r="W76" t="s">
        <v>13685</v>
      </c>
      <c r="X76">
        <v>2</v>
      </c>
      <c r="Y76" t="s">
        <v>20405</v>
      </c>
      <c r="Z76" t="s">
        <v>26931</v>
      </c>
      <c r="AA76">
        <v>0.50251438405792637</v>
      </c>
      <c r="AB76" t="str">
        <f>HYPERLINK("Melting_Curves/meltCurve_B0QY16_KIAA0930.pdf", "Melting_Curves/meltCurve_B0QY16_KIAA0930.pdf")</f>
        <v>Melting_Curves/meltCurve_B0QY16_KIAA0930.pdf</v>
      </c>
    </row>
    <row r="77" spans="1:28" x14ac:dyDescent="0.25">
      <c r="A77" t="s">
        <v>81</v>
      </c>
      <c r="B77">
        <v>0.995954080203443</v>
      </c>
      <c r="C77">
        <v>1.0089609443935901</v>
      </c>
      <c r="D77">
        <v>0.95677403426733099</v>
      </c>
      <c r="E77">
        <v>0.89168759782671303</v>
      </c>
      <c r="F77">
        <v>0.83726105926558503</v>
      </c>
      <c r="G77">
        <v>0.58571810274313796</v>
      </c>
      <c r="H77">
        <v>0.26929665945176201</v>
      </c>
      <c r="I77">
        <v>0.105422850688265</v>
      </c>
      <c r="J77">
        <v>9.0531679536272502E-2</v>
      </c>
      <c r="K77">
        <v>9.7189187655013803E-2</v>
      </c>
      <c r="L77">
        <v>1079.78171217057</v>
      </c>
      <c r="M77">
        <v>18.783962188483301</v>
      </c>
      <c r="N77">
        <v>57.664990781649003</v>
      </c>
      <c r="O77">
        <v>56.844607226622003</v>
      </c>
      <c r="P77">
        <v>-8.02525420135035E-2</v>
      </c>
      <c r="Q77">
        <v>2.8589616178545201E-2</v>
      </c>
      <c r="R77">
        <v>0.99391675847549499</v>
      </c>
      <c r="S77" t="s">
        <v>6883</v>
      </c>
      <c r="T77" t="s">
        <v>13610</v>
      </c>
      <c r="U77" t="s">
        <v>13610</v>
      </c>
      <c r="V77" t="s">
        <v>13610</v>
      </c>
      <c r="W77" t="s">
        <v>13686</v>
      </c>
      <c r="X77">
        <v>13</v>
      </c>
      <c r="Y77" t="s">
        <v>20406</v>
      </c>
      <c r="Z77" t="s">
        <v>26932</v>
      </c>
      <c r="AA77">
        <v>0.60699332825067609</v>
      </c>
      <c r="AB77" t="str">
        <f>HYPERLINK("Melting_Curves/meltCurve_B0QYI3_TBC1D22A.pdf", "Melting_Curves/meltCurve_B0QYI3_TBC1D22A.pdf")</f>
        <v>Melting_Curves/meltCurve_B0QYI3_TBC1D22A.pdf</v>
      </c>
    </row>
    <row r="78" spans="1:28" x14ac:dyDescent="0.25">
      <c r="A78" t="s">
        <v>82</v>
      </c>
      <c r="B78">
        <v>0.995954080203443</v>
      </c>
      <c r="C78">
        <v>0.90981775828191003</v>
      </c>
      <c r="D78">
        <v>0.82880690459103601</v>
      </c>
      <c r="E78">
        <v>0.76396206747580897</v>
      </c>
      <c r="F78">
        <v>0.58776285347524904</v>
      </c>
      <c r="G78">
        <v>0.36734346581712302</v>
      </c>
      <c r="H78">
        <v>0.25584627966263701</v>
      </c>
      <c r="I78">
        <v>0.23927694178192799</v>
      </c>
      <c r="J78">
        <v>0.24078836587656399</v>
      </c>
      <c r="K78">
        <v>0.207764160185193</v>
      </c>
      <c r="L78">
        <v>639.58627419733898</v>
      </c>
      <c r="M78">
        <v>12.1294550597423</v>
      </c>
      <c r="N78">
        <v>54.395661350393503</v>
      </c>
      <c r="O78">
        <v>51.358135222650702</v>
      </c>
      <c r="P78">
        <v>-4.9896116561090303E-2</v>
      </c>
      <c r="Q78">
        <v>0.155121470944977</v>
      </c>
      <c r="R78">
        <v>0.98808817709560304</v>
      </c>
      <c r="S78" t="s">
        <v>6884</v>
      </c>
      <c r="T78" t="s">
        <v>13610</v>
      </c>
      <c r="U78" t="s">
        <v>13610</v>
      </c>
      <c r="V78" t="s">
        <v>13610</v>
      </c>
      <c r="W78" t="s">
        <v>13687</v>
      </c>
      <c r="X78">
        <v>34</v>
      </c>
      <c r="Y78" t="s">
        <v>20407</v>
      </c>
      <c r="Z78" t="s">
        <v>26933</v>
      </c>
      <c r="AA78">
        <v>0.53788133111211922</v>
      </c>
      <c r="AB78" t="str">
        <f>HYPERLINK("Melting_Curves/meltCurve_B0UX83_BAG6.pdf", "Melting_Curves/meltCurve_B0UX83_BAG6.pdf")</f>
        <v>Melting_Curves/meltCurve_B0UX83_BAG6.pdf</v>
      </c>
    </row>
    <row r="79" spans="1:28" x14ac:dyDescent="0.25">
      <c r="A79" t="s">
        <v>83</v>
      </c>
      <c r="B79">
        <v>0.995954080203443</v>
      </c>
      <c r="C79">
        <v>0.91529529085972205</v>
      </c>
      <c r="D79">
        <v>0.75892658387697198</v>
      </c>
      <c r="E79">
        <v>0.54716787507832998</v>
      </c>
      <c r="F79">
        <v>0.41002402628623502</v>
      </c>
      <c r="G79">
        <v>0.32664878278829201</v>
      </c>
      <c r="H79">
        <v>0.31780800169830198</v>
      </c>
      <c r="I79">
        <v>0.46133443924818701</v>
      </c>
      <c r="J79">
        <v>0.420341918762205</v>
      </c>
      <c r="K79">
        <v>0.45315479669563602</v>
      </c>
      <c r="L79">
        <v>1050.77904012675</v>
      </c>
      <c r="M79">
        <v>22.409709852894601</v>
      </c>
      <c r="N79">
        <v>50.350819729683998</v>
      </c>
      <c r="O79">
        <v>46.520861323033202</v>
      </c>
      <c r="P79">
        <v>-7.3117271081842794E-2</v>
      </c>
      <c r="Q79">
        <v>0.39286892904978299</v>
      </c>
      <c r="R79">
        <v>0.95660691423012001</v>
      </c>
      <c r="S79" t="s">
        <v>6885</v>
      </c>
      <c r="T79" t="s">
        <v>13610</v>
      </c>
      <c r="U79" t="s">
        <v>13610</v>
      </c>
      <c r="V79" t="s">
        <v>13610</v>
      </c>
      <c r="W79" t="s">
        <v>13688</v>
      </c>
      <c r="X79">
        <v>22</v>
      </c>
      <c r="Y79" t="s">
        <v>20408</v>
      </c>
      <c r="Z79" t="s">
        <v>26934</v>
      </c>
      <c r="AA79">
        <v>0.53922596923553956</v>
      </c>
      <c r="AB79" t="str">
        <f>HYPERLINK("Melting_Curves/meltCurve_B0UZY3_EHMT2.pdf", "Melting_Curves/meltCurve_B0UZY3_EHMT2.pdf")</f>
        <v>Melting_Curves/meltCurve_B0UZY3_EHMT2.pdf</v>
      </c>
    </row>
    <row r="80" spans="1:28" x14ac:dyDescent="0.25">
      <c r="A80" t="s">
        <v>84</v>
      </c>
      <c r="B80">
        <v>0.995954080203443</v>
      </c>
      <c r="C80">
        <v>0.88097352738403001</v>
      </c>
      <c r="D80">
        <v>1.0453657335544599</v>
      </c>
      <c r="E80">
        <v>0.84010641812202402</v>
      </c>
      <c r="F80">
        <v>0.92541001553119995</v>
      </c>
      <c r="G80">
        <v>0.61113777207140596</v>
      </c>
      <c r="H80">
        <v>0.66654459395483001</v>
      </c>
      <c r="I80">
        <v>0.917828807258393</v>
      </c>
      <c r="J80">
        <v>1.06639772637692</v>
      </c>
      <c r="K80">
        <v>1.03104744439749</v>
      </c>
      <c r="L80">
        <v>11994.6686381116</v>
      </c>
      <c r="M80">
        <v>250</v>
      </c>
      <c r="O80">
        <v>47.9756032603309</v>
      </c>
      <c r="P80">
        <v>-0.17522497728873901</v>
      </c>
      <c r="Q80">
        <v>0.86549561355547899</v>
      </c>
      <c r="R80">
        <v>0.10437073189125599</v>
      </c>
      <c r="S80" t="s">
        <v>6886</v>
      </c>
      <c r="T80" t="s">
        <v>13610</v>
      </c>
      <c r="U80" t="s">
        <v>13610</v>
      </c>
      <c r="V80" t="s">
        <v>13610</v>
      </c>
      <c r="W80" t="s">
        <v>13689</v>
      </c>
      <c r="X80">
        <v>1</v>
      </c>
      <c r="Y80" t="s">
        <v>20409</v>
      </c>
      <c r="Z80" t="s">
        <v>26935</v>
      </c>
      <c r="AA80">
        <v>0.90127916324781832</v>
      </c>
      <c r="AB80" t="str">
        <f>HYPERLINK("Melting_Curves/meltCurve_B1AH86_GRAP2.pdf", "Melting_Curves/meltCurve_B1AH86_GRAP2.pdf")</f>
        <v>Melting_Curves/meltCurve_B1AH86_GRAP2.pdf</v>
      </c>
    </row>
    <row r="81" spans="1:28" x14ac:dyDescent="0.25">
      <c r="A81" t="s">
        <v>85</v>
      </c>
      <c r="B81">
        <v>0.995954080203443</v>
      </c>
      <c r="C81">
        <v>1.0850679433878501</v>
      </c>
      <c r="D81">
        <v>1.00498248844674</v>
      </c>
      <c r="E81">
        <v>1.0752329212398599</v>
      </c>
      <c r="F81">
        <v>0.90823226524053602</v>
      </c>
      <c r="G81">
        <v>0.67166951214341897</v>
      </c>
      <c r="H81">
        <v>0.50897297726123802</v>
      </c>
      <c r="I81">
        <v>0.56817835514009996</v>
      </c>
      <c r="J81">
        <v>0.41688218437172397</v>
      </c>
      <c r="K81">
        <v>0.44122250849134897</v>
      </c>
      <c r="L81">
        <v>1675.64610129486</v>
      </c>
      <c r="M81">
        <v>29.813108150484901</v>
      </c>
      <c r="N81">
        <v>61.763945081009503</v>
      </c>
      <c r="O81">
        <v>55.953951265953201</v>
      </c>
      <c r="P81">
        <v>-7.1153865162049093E-2</v>
      </c>
      <c r="Q81">
        <v>0.46583049457238002</v>
      </c>
      <c r="R81">
        <v>0.96003097484516198</v>
      </c>
      <c r="S81" t="s">
        <v>6887</v>
      </c>
      <c r="T81" t="s">
        <v>13610</v>
      </c>
      <c r="U81" t="s">
        <v>13610</v>
      </c>
      <c r="V81" t="s">
        <v>13610</v>
      </c>
      <c r="W81" t="s">
        <v>13690</v>
      </c>
      <c r="X81">
        <v>6</v>
      </c>
      <c r="Y81" t="s">
        <v>20410</v>
      </c>
      <c r="Z81" t="s">
        <v>26936</v>
      </c>
      <c r="AA81">
        <v>0.75797527006768939</v>
      </c>
      <c r="AB81" t="str">
        <f>HYPERLINK("Melting_Curves/meltCurve_B1AHD3_PDXP.pdf", "Melting_Curves/meltCurve_B1AHD3_PDXP.pdf")</f>
        <v>Melting_Curves/meltCurve_B1AHD3_PDXP.pdf</v>
      </c>
    </row>
    <row r="82" spans="1:28" x14ac:dyDescent="0.25">
      <c r="A82" t="s">
        <v>86</v>
      </c>
      <c r="B82">
        <v>0.995954080203443</v>
      </c>
      <c r="C82">
        <v>1.0000351975055299</v>
      </c>
      <c r="D82">
        <v>0.76826998429147297</v>
      </c>
      <c r="E82">
        <v>0.78260232573722799</v>
      </c>
      <c r="F82">
        <v>0.28827144218664202</v>
      </c>
      <c r="G82">
        <v>0.16828573672560301</v>
      </c>
      <c r="H82">
        <v>0.131318640099999</v>
      </c>
      <c r="I82">
        <v>7.28591272503952E-2</v>
      </c>
      <c r="J82">
        <v>0.17583001729893599</v>
      </c>
      <c r="K82">
        <v>0.143107421249241</v>
      </c>
      <c r="S82" t="s">
        <v>6888</v>
      </c>
      <c r="T82" t="s">
        <v>13610</v>
      </c>
      <c r="U82" t="s">
        <v>13611</v>
      </c>
      <c r="V82" t="s">
        <v>13610</v>
      </c>
      <c r="W82" t="s">
        <v>13691</v>
      </c>
      <c r="X82">
        <v>1</v>
      </c>
      <c r="Y82" t="s">
        <v>20411</v>
      </c>
      <c r="Z82" t="s">
        <v>26937</v>
      </c>
      <c r="AB82" t="str">
        <f>HYPERLINK("Melting_Curves/meltCurve_B1AHJ7_TPST2.pdf", "Melting_Curves/meltCurve_B1AHJ7_TPST2.pdf")</f>
        <v>Melting_Curves/meltCurve_B1AHJ7_TPST2.pdf</v>
      </c>
    </row>
    <row r="83" spans="1:28" x14ac:dyDescent="0.25">
      <c r="A83" t="s">
        <v>87</v>
      </c>
      <c r="B83">
        <v>0.995954080203443</v>
      </c>
      <c r="C83">
        <v>1.0440605467862101</v>
      </c>
      <c r="D83">
        <v>0.99813079209292099</v>
      </c>
      <c r="E83">
        <v>0.80934888673675598</v>
      </c>
      <c r="F83">
        <v>0.37684945274348502</v>
      </c>
      <c r="G83">
        <v>0.20697083054109</v>
      </c>
      <c r="H83">
        <v>0.135471944997685</v>
      </c>
      <c r="I83">
        <v>0.103244443906748</v>
      </c>
      <c r="J83">
        <v>8.84098091031226E-2</v>
      </c>
      <c r="K83">
        <v>8.0298071174694799E-2</v>
      </c>
      <c r="L83">
        <v>1702.78419795472</v>
      </c>
      <c r="M83">
        <v>32.847021274785703</v>
      </c>
      <c r="N83">
        <v>52.232222392609003</v>
      </c>
      <c r="O83">
        <v>51.648826617706298</v>
      </c>
      <c r="P83">
        <v>-0.14160930985586601</v>
      </c>
      <c r="Q83">
        <v>0.109335222137634</v>
      </c>
      <c r="R83">
        <v>0.99525719130677204</v>
      </c>
      <c r="S83" t="s">
        <v>6889</v>
      </c>
      <c r="T83" t="s">
        <v>13610</v>
      </c>
      <c r="U83" t="s">
        <v>13610</v>
      </c>
      <c r="V83" t="s">
        <v>13610</v>
      </c>
      <c r="W83" t="s">
        <v>13692</v>
      </c>
      <c r="X83">
        <v>3</v>
      </c>
      <c r="Y83" t="s">
        <v>20412</v>
      </c>
      <c r="Z83" t="s">
        <v>26938</v>
      </c>
      <c r="AA83">
        <v>0.46558389306450659</v>
      </c>
      <c r="AB83" t="str">
        <f>HYPERLINK("Melting_Curves/meltCurve_B1AHQ6_CENPM.pdf", "Melting_Curves/meltCurve_B1AHQ6_CENPM.pdf")</f>
        <v>Melting_Curves/meltCurve_B1AHQ6_CENPM.pdf</v>
      </c>
    </row>
    <row r="84" spans="1:28" x14ac:dyDescent="0.25">
      <c r="A84" t="s">
        <v>88</v>
      </c>
      <c r="B84">
        <v>0.995954080203443</v>
      </c>
      <c r="C84">
        <v>0.74747406701283303</v>
      </c>
      <c r="D84">
        <v>0.69346112900651802</v>
      </c>
      <c r="E84">
        <v>0.58374837534044799</v>
      </c>
      <c r="F84">
        <v>0.23584735854554201</v>
      </c>
      <c r="G84">
        <v>0.14012576300977</v>
      </c>
      <c r="H84">
        <v>9.1443242323653501E-2</v>
      </c>
      <c r="I84">
        <v>9.1821263178115106E-2</v>
      </c>
      <c r="J84">
        <v>9.7188399942760503E-2</v>
      </c>
      <c r="K84">
        <v>8.5898091888534603E-2</v>
      </c>
      <c r="L84">
        <v>590.45970457060901</v>
      </c>
      <c r="M84">
        <v>12.0636657814501</v>
      </c>
      <c r="N84">
        <v>49.2420532041942</v>
      </c>
      <c r="O84">
        <v>47.658564800502198</v>
      </c>
      <c r="P84">
        <v>-6.1077445178619301E-2</v>
      </c>
      <c r="Q84">
        <v>3.5060775543365598E-2</v>
      </c>
      <c r="R84">
        <v>0.96298042856215305</v>
      </c>
      <c r="S84" t="s">
        <v>6890</v>
      </c>
      <c r="T84" t="s">
        <v>13610</v>
      </c>
      <c r="U84" t="s">
        <v>13610</v>
      </c>
      <c r="V84" t="s">
        <v>13610</v>
      </c>
      <c r="W84" t="s">
        <v>13693</v>
      </c>
      <c r="X84">
        <v>10</v>
      </c>
      <c r="Y84" t="s">
        <v>20413</v>
      </c>
      <c r="Z84" t="s">
        <v>26939</v>
      </c>
      <c r="AA84">
        <v>0.35803583454339949</v>
      </c>
      <c r="AB84" t="str">
        <f>HYPERLINK("Melting_Curves/meltCurve_B1AJY7_PSMD10.pdf", "Melting_Curves/meltCurve_B1AJY7_PSMD10.pdf")</f>
        <v>Melting_Curves/meltCurve_B1AJY7_PSMD10.pdf</v>
      </c>
    </row>
    <row r="85" spans="1:28" x14ac:dyDescent="0.25">
      <c r="A85" t="s">
        <v>89</v>
      </c>
      <c r="B85">
        <v>0.995954080203443</v>
      </c>
      <c r="C85">
        <v>1.1210553719982399</v>
      </c>
      <c r="D85">
        <v>1.0265111268014699</v>
      </c>
      <c r="E85">
        <v>0.84287306584599597</v>
      </c>
      <c r="F85">
        <v>0.52745413980667999</v>
      </c>
      <c r="G85">
        <v>0.26640521354068197</v>
      </c>
      <c r="H85">
        <v>9.5823396123126098E-2</v>
      </c>
      <c r="I85">
        <v>9.1753549895391404E-2</v>
      </c>
      <c r="J85">
        <v>0.128719477339408</v>
      </c>
      <c r="K85">
        <v>9.5700146985161605E-2</v>
      </c>
      <c r="L85">
        <v>1367.45893012428</v>
      </c>
      <c r="M85">
        <v>25.804922943568101</v>
      </c>
      <c r="N85">
        <v>53.4466401305638</v>
      </c>
      <c r="O85">
        <v>52.677001818122797</v>
      </c>
      <c r="P85">
        <v>-0.11040476139303</v>
      </c>
      <c r="Q85">
        <v>9.8509565827943804E-2</v>
      </c>
      <c r="R85">
        <v>0.98752805590390003</v>
      </c>
      <c r="S85" t="s">
        <v>6891</v>
      </c>
      <c r="T85" t="s">
        <v>13610</v>
      </c>
      <c r="U85" t="s">
        <v>13610</v>
      </c>
      <c r="V85" t="s">
        <v>13610</v>
      </c>
      <c r="W85" t="s">
        <v>13694</v>
      </c>
      <c r="X85">
        <v>1</v>
      </c>
      <c r="Y85" t="s">
        <v>20414</v>
      </c>
      <c r="Z85" t="s">
        <v>26940</v>
      </c>
      <c r="AA85">
        <v>0.49673821507875737</v>
      </c>
      <c r="AB85" t="str">
        <f>HYPERLINK("Melting_Curves/meltCurve_B1AJZ9_4_FHAD1.pdf", "Melting_Curves/meltCurve_B1AJZ9_4_FHAD1.pdf")</f>
        <v>Melting_Curves/meltCurve_B1AJZ9_4_FHAD1.pdf</v>
      </c>
    </row>
    <row r="86" spans="1:28" x14ac:dyDescent="0.25">
      <c r="A86" t="s">
        <v>90</v>
      </c>
      <c r="B86">
        <v>0.995954080203443</v>
      </c>
      <c r="C86">
        <v>0.89001249588435705</v>
      </c>
      <c r="D86">
        <v>0.69528860448420804</v>
      </c>
      <c r="E86">
        <v>0.46303651458594097</v>
      </c>
      <c r="F86">
        <v>0.23233371982231299</v>
      </c>
      <c r="G86">
        <v>0.116943924497677</v>
      </c>
      <c r="H86">
        <v>8.1816768148812197E-2</v>
      </c>
      <c r="I86">
        <v>8.1712185888684202E-2</v>
      </c>
      <c r="J86">
        <v>7.9000316562342798E-2</v>
      </c>
      <c r="K86">
        <v>6.5634900025347997E-2</v>
      </c>
      <c r="L86">
        <v>768.17334764560405</v>
      </c>
      <c r="M86">
        <v>15.822406987800701</v>
      </c>
      <c r="N86">
        <v>48.904691690840899</v>
      </c>
      <c r="O86">
        <v>47.794045415550599</v>
      </c>
      <c r="P86">
        <v>-7.8280063760328103E-2</v>
      </c>
      <c r="Q86">
        <v>5.4249009743230103E-2</v>
      </c>
      <c r="R86">
        <v>0.99635085754372499</v>
      </c>
      <c r="S86" t="s">
        <v>6892</v>
      </c>
      <c r="T86" t="s">
        <v>13610</v>
      </c>
      <c r="U86" t="s">
        <v>13610</v>
      </c>
      <c r="V86" t="s">
        <v>13610</v>
      </c>
      <c r="W86" t="s">
        <v>13695</v>
      </c>
      <c r="X86">
        <v>10</v>
      </c>
      <c r="Y86" t="s">
        <v>20415</v>
      </c>
      <c r="Z86" t="s">
        <v>26941</v>
      </c>
      <c r="AA86">
        <v>0.3451906596663023</v>
      </c>
      <c r="AB86" t="str">
        <f>HYPERLINK("Melting_Curves/meltCurve_B1AK13_HMGCL.pdf", "Melting_Curves/meltCurve_B1AK13_HMGCL.pdf")</f>
        <v>Melting_Curves/meltCurve_B1AK13_HMGCL.pdf</v>
      </c>
    </row>
    <row r="87" spans="1:28" x14ac:dyDescent="0.25">
      <c r="A87" t="s">
        <v>91</v>
      </c>
      <c r="B87">
        <v>0.995954080203443</v>
      </c>
      <c r="C87">
        <v>1.1985869519685299</v>
      </c>
      <c r="D87">
        <v>0.80086064011741298</v>
      </c>
      <c r="E87">
        <v>1.05582792167077</v>
      </c>
      <c r="F87">
        <v>0.50183245015034506</v>
      </c>
      <c r="G87">
        <v>0.183976988085676</v>
      </c>
      <c r="H87">
        <v>9.12884705699019E-2</v>
      </c>
      <c r="I87">
        <v>0.13448342000725799</v>
      </c>
      <c r="J87">
        <v>0.14565538736758499</v>
      </c>
      <c r="K87">
        <v>0.152493377491699</v>
      </c>
      <c r="L87">
        <v>13232.8211324814</v>
      </c>
      <c r="M87">
        <v>250</v>
      </c>
      <c r="N87">
        <v>53.001867148856903</v>
      </c>
      <c r="O87">
        <v>52.927903324823099</v>
      </c>
      <c r="P87">
        <v>-1.0136673277864301</v>
      </c>
      <c r="Q87">
        <v>0.14157951763242599</v>
      </c>
      <c r="R87">
        <v>0.95109116784773196</v>
      </c>
      <c r="S87" t="s">
        <v>6893</v>
      </c>
      <c r="T87" t="s">
        <v>13610</v>
      </c>
      <c r="U87" t="s">
        <v>13610</v>
      </c>
      <c r="V87" t="s">
        <v>13610</v>
      </c>
      <c r="W87" t="s">
        <v>13696</v>
      </c>
      <c r="X87">
        <v>1</v>
      </c>
      <c r="Y87" t="s">
        <v>20416</v>
      </c>
      <c r="Z87" t="s">
        <v>26942</v>
      </c>
      <c r="AA87">
        <v>0.51167524284502786</v>
      </c>
      <c r="AB87" t="str">
        <f>HYPERLINK("Melting_Curves/meltCurve_B1AK81_PIGK.pdf", "Melting_Curves/meltCurve_B1AK81_PIGK.pdf")</f>
        <v>Melting_Curves/meltCurve_B1AK81_PIGK.pdf</v>
      </c>
    </row>
    <row r="88" spans="1:28" x14ac:dyDescent="0.25">
      <c r="A88" t="s">
        <v>92</v>
      </c>
      <c r="B88">
        <v>0.995954080203443</v>
      </c>
      <c r="C88">
        <v>0.95032785032128997</v>
      </c>
      <c r="D88">
        <v>1.00119564555767</v>
      </c>
      <c r="E88">
        <v>0.91793053355761001</v>
      </c>
      <c r="F88">
        <v>0.92005114343255701</v>
      </c>
      <c r="G88">
        <v>0.62458291273441202</v>
      </c>
      <c r="H88">
        <v>0.31183265748321998</v>
      </c>
      <c r="I88">
        <v>0.127057279521443</v>
      </c>
      <c r="J88">
        <v>9.7206432330477696E-2</v>
      </c>
      <c r="K88">
        <v>9.1658959937677698E-2</v>
      </c>
      <c r="L88">
        <v>1303.41583862119</v>
      </c>
      <c r="M88">
        <v>22.436134763181901</v>
      </c>
      <c r="N88">
        <v>58.385954511023499</v>
      </c>
      <c r="O88">
        <v>57.638878355980701</v>
      </c>
      <c r="P88">
        <v>-9.2159373199126496E-2</v>
      </c>
      <c r="Q88">
        <v>5.2982477757200497E-2</v>
      </c>
      <c r="R88">
        <v>0.99468711220100903</v>
      </c>
      <c r="S88" t="s">
        <v>6894</v>
      </c>
      <c r="T88" t="s">
        <v>13610</v>
      </c>
      <c r="U88" t="s">
        <v>13610</v>
      </c>
      <c r="V88" t="s">
        <v>13610</v>
      </c>
      <c r="W88" t="s">
        <v>13697</v>
      </c>
      <c r="X88">
        <v>28</v>
      </c>
      <c r="Y88" t="s">
        <v>20417</v>
      </c>
      <c r="Z88" t="s">
        <v>26943</v>
      </c>
      <c r="AA88">
        <v>0.63359246423431737</v>
      </c>
      <c r="AB88" t="str">
        <f>HYPERLINK("Melting_Curves/meltCurve_B1AK87_CAPZB.pdf", "Melting_Curves/meltCurve_B1AK87_CAPZB.pdf")</f>
        <v>Melting_Curves/meltCurve_B1AK87_CAPZB.pdf</v>
      </c>
    </row>
    <row r="89" spans="1:28" x14ac:dyDescent="0.25">
      <c r="A89" t="s">
        <v>93</v>
      </c>
      <c r="B89">
        <v>0.995954080203443</v>
      </c>
      <c r="C89">
        <v>1.0698594854424199</v>
      </c>
      <c r="D89">
        <v>1.0458292276750201</v>
      </c>
      <c r="E89">
        <v>0.99123830779219901</v>
      </c>
      <c r="F89">
        <v>0.77473770090691096</v>
      </c>
      <c r="G89">
        <v>0.38654848101584799</v>
      </c>
      <c r="H89">
        <v>0.23712495050197099</v>
      </c>
      <c r="I89">
        <v>0.251232647779079</v>
      </c>
      <c r="J89">
        <v>0.23796438333955899</v>
      </c>
      <c r="K89">
        <v>0.255499706452891</v>
      </c>
      <c r="L89">
        <v>1894.3573554931199</v>
      </c>
      <c r="M89">
        <v>34.800303047453298</v>
      </c>
      <c r="N89">
        <v>55.490149809026697</v>
      </c>
      <c r="O89">
        <v>54.256252556218598</v>
      </c>
      <c r="P89">
        <v>-0.121545641858455</v>
      </c>
      <c r="Q89">
        <v>0.24200778577634599</v>
      </c>
      <c r="R89">
        <v>0.99325255063971496</v>
      </c>
      <c r="S89" t="s">
        <v>6895</v>
      </c>
      <c r="T89" t="s">
        <v>13610</v>
      </c>
      <c r="U89" t="s">
        <v>13610</v>
      </c>
      <c r="V89" t="s">
        <v>13610</v>
      </c>
      <c r="W89" t="s">
        <v>13698</v>
      </c>
      <c r="X89">
        <v>4</v>
      </c>
      <c r="Y89" t="s">
        <v>20418</v>
      </c>
      <c r="Z89" t="s">
        <v>26944</v>
      </c>
      <c r="AA89">
        <v>0.61047967923312141</v>
      </c>
      <c r="AB89" t="str">
        <f>HYPERLINK("Melting_Curves/meltCurve_B1AKD8_CROCC.pdf", "Melting_Curves/meltCurve_B1AKD8_CROCC.pdf")</f>
        <v>Melting_Curves/meltCurve_B1AKD8_CROCC.pdf</v>
      </c>
    </row>
    <row r="90" spans="1:28" x14ac:dyDescent="0.25">
      <c r="A90" t="s">
        <v>94</v>
      </c>
      <c r="B90">
        <v>0.995954080203443</v>
      </c>
      <c r="C90">
        <v>0.91256836073660796</v>
      </c>
      <c r="D90">
        <v>0.95627769726666101</v>
      </c>
      <c r="E90">
        <v>0.80621612424021705</v>
      </c>
      <c r="F90">
        <v>0.82117505727954798</v>
      </c>
      <c r="G90">
        <v>0.63161832949093599</v>
      </c>
      <c r="H90">
        <v>0.61120950863221402</v>
      </c>
      <c r="I90">
        <v>0.79423593028459405</v>
      </c>
      <c r="J90">
        <v>0.88022426031521495</v>
      </c>
      <c r="K90">
        <v>0.91390999468730705</v>
      </c>
      <c r="L90">
        <v>1196.72586514457</v>
      </c>
      <c r="M90">
        <v>25.300325377809902</v>
      </c>
      <c r="O90">
        <v>47.008281691496499</v>
      </c>
      <c r="P90">
        <v>-3.0731149353347399E-2</v>
      </c>
      <c r="Q90">
        <v>0.77160773540516803</v>
      </c>
      <c r="R90">
        <v>0.41974242263428702</v>
      </c>
      <c r="S90" t="s">
        <v>6896</v>
      </c>
      <c r="T90" t="s">
        <v>13610</v>
      </c>
      <c r="U90" t="s">
        <v>13610</v>
      </c>
      <c r="V90" t="s">
        <v>13610</v>
      </c>
      <c r="W90" t="s">
        <v>13699</v>
      </c>
      <c r="X90">
        <v>12</v>
      </c>
      <c r="Y90" t="s">
        <v>20419</v>
      </c>
      <c r="Z90" t="s">
        <v>26945</v>
      </c>
      <c r="AA90">
        <v>0.82916638121323583</v>
      </c>
      <c r="AB90" t="str">
        <f>HYPERLINK("Melting_Curves/meltCurve_B1AKL4_EIF4ENIF1.pdf", "Melting_Curves/meltCurve_B1AKL4_EIF4ENIF1.pdf")</f>
        <v>Melting_Curves/meltCurve_B1AKL4_EIF4ENIF1.pdf</v>
      </c>
    </row>
    <row r="91" spans="1:28" x14ac:dyDescent="0.25">
      <c r="A91" t="s">
        <v>95</v>
      </c>
      <c r="B91">
        <v>0.995954080203443</v>
      </c>
      <c r="C91">
        <v>0.85103963213940803</v>
      </c>
      <c r="D91">
        <v>1.0464178216027</v>
      </c>
      <c r="E91">
        <v>0.81603146770923796</v>
      </c>
      <c r="F91">
        <v>0.93320893065657295</v>
      </c>
      <c r="G91">
        <v>0.85349512434054997</v>
      </c>
      <c r="H91">
        <v>0.82468665558591403</v>
      </c>
      <c r="I91">
        <v>1.1474077056093099</v>
      </c>
      <c r="J91">
        <v>1.0400555061519701</v>
      </c>
      <c r="K91">
        <v>1.25825125530342</v>
      </c>
      <c r="L91">
        <v>2553.1059000753098</v>
      </c>
      <c r="M91">
        <v>36.462457956961501</v>
      </c>
      <c r="O91">
        <v>69.810514023030294</v>
      </c>
      <c r="P91">
        <v>6.5288461161195702E-2</v>
      </c>
      <c r="Q91">
        <v>1.5</v>
      </c>
      <c r="R91">
        <v>0.32402703925345699</v>
      </c>
      <c r="S91" t="s">
        <v>6897</v>
      </c>
      <c r="T91" t="s">
        <v>13610</v>
      </c>
      <c r="U91" t="s">
        <v>13610</v>
      </c>
      <c r="V91" t="s">
        <v>13610</v>
      </c>
      <c r="W91" t="s">
        <v>13700</v>
      </c>
      <c r="X91">
        <v>7</v>
      </c>
      <c r="Y91" t="s">
        <v>20420</v>
      </c>
      <c r="Z91" t="s">
        <v>26946</v>
      </c>
      <c r="AA91">
        <v>1.0206904576989919</v>
      </c>
      <c r="AB91" t="str">
        <f>HYPERLINK("Melting_Curves/meltCurve_B1AKN7_NFIA.pdf", "Melting_Curves/meltCurve_B1AKN7_NFIA.pdf")</f>
        <v>Melting_Curves/meltCurve_B1AKN7_NFIA.pdf</v>
      </c>
    </row>
    <row r="92" spans="1:28" x14ac:dyDescent="0.25">
      <c r="A92" t="s">
        <v>96</v>
      </c>
      <c r="B92">
        <v>0.995954080203443</v>
      </c>
      <c r="C92">
        <v>0.91782971409132696</v>
      </c>
      <c r="D92">
        <v>1.0294872764318299</v>
      </c>
      <c r="E92">
        <v>0.87805521313274304</v>
      </c>
      <c r="F92">
        <v>0.75261204239092605</v>
      </c>
      <c r="G92">
        <v>0.51724129397628005</v>
      </c>
      <c r="H92">
        <v>0.36989385367729599</v>
      </c>
      <c r="I92">
        <v>0.42568242767696202</v>
      </c>
      <c r="J92">
        <v>0.47763977072191699</v>
      </c>
      <c r="K92">
        <v>0.44121671508634103</v>
      </c>
      <c r="L92">
        <v>1409.5676791327901</v>
      </c>
      <c r="M92">
        <v>26.46654476074</v>
      </c>
      <c r="N92">
        <v>57.356261583722599</v>
      </c>
      <c r="O92">
        <v>52.957206716207203</v>
      </c>
      <c r="P92">
        <v>-7.1901689538026003E-2</v>
      </c>
      <c r="Q92">
        <v>0.42453057837146102</v>
      </c>
      <c r="R92">
        <v>0.97022348637716904</v>
      </c>
      <c r="S92" t="s">
        <v>6898</v>
      </c>
      <c r="T92" t="s">
        <v>13610</v>
      </c>
      <c r="U92" t="s">
        <v>13610</v>
      </c>
      <c r="V92" t="s">
        <v>13610</v>
      </c>
      <c r="W92" t="s">
        <v>13701</v>
      </c>
      <c r="X92">
        <v>5</v>
      </c>
      <c r="Y92" t="s">
        <v>20421</v>
      </c>
      <c r="Z92" t="s">
        <v>26947</v>
      </c>
      <c r="AA92">
        <v>0.68362654398084888</v>
      </c>
      <c r="AB92" t="str">
        <f>HYPERLINK("Melting_Curves/meltCurve_B1AL69_CDC37L1.pdf", "Melting_Curves/meltCurve_B1AL69_CDC37L1.pdf")</f>
        <v>Melting_Curves/meltCurve_B1AL69_CDC37L1.pdf</v>
      </c>
    </row>
    <row r="93" spans="1:28" x14ac:dyDescent="0.25">
      <c r="A93" t="s">
        <v>97</v>
      </c>
      <c r="B93">
        <v>0.995954080203443</v>
      </c>
      <c r="C93">
        <v>1.0304794456870701</v>
      </c>
      <c r="D93">
        <v>1.1085568446887599</v>
      </c>
      <c r="E93">
        <v>1.01505703427196</v>
      </c>
      <c r="F93">
        <v>0.99605148769741203</v>
      </c>
      <c r="G93">
        <v>0.81041921505549497</v>
      </c>
      <c r="H93">
        <v>0.79089719019757299</v>
      </c>
      <c r="I93">
        <v>1.00279191328818</v>
      </c>
      <c r="J93">
        <v>0.90691859827776</v>
      </c>
      <c r="K93">
        <v>1.19057690241764</v>
      </c>
      <c r="L93">
        <v>15000</v>
      </c>
      <c r="M93">
        <v>213.80092019691301</v>
      </c>
      <c r="Q93">
        <v>1.5</v>
      </c>
      <c r="R93">
        <v>0.25124835585323302</v>
      </c>
      <c r="S93" t="s">
        <v>6899</v>
      </c>
      <c r="T93" t="s">
        <v>13610</v>
      </c>
      <c r="U93" t="s">
        <v>13610</v>
      </c>
      <c r="V93" t="s">
        <v>13610</v>
      </c>
      <c r="W93" t="s">
        <v>13702</v>
      </c>
      <c r="X93">
        <v>1</v>
      </c>
      <c r="Y93" t="s">
        <v>20422</v>
      </c>
      <c r="Z93" t="s">
        <v>26948</v>
      </c>
      <c r="AA93">
        <v>1.002585427360692</v>
      </c>
      <c r="AB93" t="str">
        <f>HYPERLINK("Melting_Curves/meltCurve_B1AN99_PRSS3.pdf", "Melting_Curves/meltCurve_B1AN99_PRSS3.pdf")</f>
        <v>Melting_Curves/meltCurve_B1AN99_PRSS3.pdf</v>
      </c>
    </row>
    <row r="94" spans="1:28" x14ac:dyDescent="0.25">
      <c r="A94" t="s">
        <v>98</v>
      </c>
      <c r="B94">
        <v>0.995954080203443</v>
      </c>
      <c r="C94">
        <v>1.03812742915196</v>
      </c>
      <c r="D94">
        <v>0.98862066127143899</v>
      </c>
      <c r="E94">
        <v>0.30702309762845997</v>
      </c>
      <c r="F94">
        <v>0.15649335395689101</v>
      </c>
      <c r="G94">
        <v>9.60388825282915E-2</v>
      </c>
      <c r="H94">
        <v>7.1060077923611395E-2</v>
      </c>
      <c r="I94">
        <v>6.8927547604454298E-2</v>
      </c>
      <c r="J94">
        <v>8.2015755277194499E-2</v>
      </c>
      <c r="K94">
        <v>7.1949293305716894E-2</v>
      </c>
      <c r="L94">
        <v>2591.9389856553498</v>
      </c>
      <c r="M94">
        <v>52.940161492927402</v>
      </c>
      <c r="N94">
        <v>49.137898215287201</v>
      </c>
      <c r="O94">
        <v>48.890076061913902</v>
      </c>
      <c r="P94">
        <v>-0.24707897240583601</v>
      </c>
      <c r="Q94">
        <v>8.7293943534735893E-2</v>
      </c>
      <c r="R94">
        <v>0.99665145632483898</v>
      </c>
      <c r="S94" t="s">
        <v>6900</v>
      </c>
      <c r="T94" t="s">
        <v>13610</v>
      </c>
      <c r="U94" t="s">
        <v>13610</v>
      </c>
      <c r="V94" t="s">
        <v>13610</v>
      </c>
      <c r="W94" t="s">
        <v>13703</v>
      </c>
      <c r="X94">
        <v>9</v>
      </c>
      <c r="Y94" t="s">
        <v>20423</v>
      </c>
      <c r="Z94" t="s">
        <v>26949</v>
      </c>
      <c r="AA94">
        <v>0.36163961869707928</v>
      </c>
      <c r="AB94" t="str">
        <f>HYPERLINK("Melting_Curves/meltCurve_B1ANH0_GUK1.pdf", "Melting_Curves/meltCurve_B1ANH0_GUK1.pdf")</f>
        <v>Melting_Curves/meltCurve_B1ANH0_GUK1.pdf</v>
      </c>
    </row>
    <row r="95" spans="1:28" x14ac:dyDescent="0.25">
      <c r="A95" t="s">
        <v>99</v>
      </c>
      <c r="B95">
        <v>0.995954080203443</v>
      </c>
      <c r="C95">
        <v>1.0872205538311199</v>
      </c>
      <c r="D95">
        <v>1.4229977508268199</v>
      </c>
      <c r="E95">
        <v>1.27630697907177</v>
      </c>
      <c r="F95">
        <v>1.14473406784389</v>
      </c>
      <c r="G95">
        <v>0.985786122043809</v>
      </c>
      <c r="H95">
        <v>0.98206726069624395</v>
      </c>
      <c r="I95">
        <v>1.5158264564246</v>
      </c>
      <c r="J95">
        <v>1.64757126869802</v>
      </c>
      <c r="K95">
        <v>1.6681106182966201</v>
      </c>
      <c r="L95">
        <v>334.12414915106899</v>
      </c>
      <c r="M95">
        <v>6.2749504406818</v>
      </c>
      <c r="O95">
        <v>48.605903682005597</v>
      </c>
      <c r="P95">
        <v>1.6181823407956299E-2</v>
      </c>
      <c r="Q95">
        <v>1.5</v>
      </c>
      <c r="R95">
        <v>0.276455727048592</v>
      </c>
      <c r="S95" t="s">
        <v>6901</v>
      </c>
      <c r="T95" t="s">
        <v>13610</v>
      </c>
      <c r="U95" t="s">
        <v>13610</v>
      </c>
      <c r="V95" t="s">
        <v>13610</v>
      </c>
      <c r="W95" t="s">
        <v>13704</v>
      </c>
      <c r="X95">
        <v>2</v>
      </c>
      <c r="Y95" t="s">
        <v>20424</v>
      </c>
      <c r="Z95" t="s">
        <v>26950</v>
      </c>
      <c r="AA95">
        <v>1.2570821665358869</v>
      </c>
      <c r="AB95" t="str">
        <f>HYPERLINK("Melting_Curves/meltCurve_B1APM4_SOAT1.pdf", "Melting_Curves/meltCurve_B1APM4_SOAT1.pdf")</f>
        <v>Melting_Curves/meltCurve_B1APM4_SOAT1.pdf</v>
      </c>
    </row>
    <row r="96" spans="1:28" x14ac:dyDescent="0.25">
      <c r="A96" t="s">
        <v>100</v>
      </c>
      <c r="B96">
        <v>0.995954080203443</v>
      </c>
      <c r="C96">
        <v>1.0184402366727401</v>
      </c>
      <c r="D96">
        <v>0.98576510118428895</v>
      </c>
      <c r="E96">
        <v>0.81210707592885101</v>
      </c>
      <c r="F96">
        <v>0.46581021291018598</v>
      </c>
      <c r="G96">
        <v>0.17628572454042399</v>
      </c>
      <c r="H96">
        <v>0.12813306644101799</v>
      </c>
      <c r="I96">
        <v>0.120134389879143</v>
      </c>
      <c r="J96">
        <v>0.15053515209701901</v>
      </c>
      <c r="K96">
        <v>0.124640000935755</v>
      </c>
      <c r="L96">
        <v>1608.0544738077001</v>
      </c>
      <c r="M96">
        <v>30.826065420189298</v>
      </c>
      <c r="N96">
        <v>52.6612065949599</v>
      </c>
      <c r="O96">
        <v>51.947355491550297</v>
      </c>
      <c r="P96">
        <v>-0.12966812599115499</v>
      </c>
      <c r="Q96">
        <v>0.12595048744712201</v>
      </c>
      <c r="R96">
        <v>0.99915749264133502</v>
      </c>
      <c r="S96" t="s">
        <v>6902</v>
      </c>
      <c r="T96" t="s">
        <v>13610</v>
      </c>
      <c r="U96" t="s">
        <v>13610</v>
      </c>
      <c r="V96" t="s">
        <v>13610</v>
      </c>
      <c r="W96" t="s">
        <v>13705</v>
      </c>
      <c r="X96">
        <v>5</v>
      </c>
      <c r="Y96" t="s">
        <v>20425</v>
      </c>
      <c r="Z96" t="s">
        <v>26951</v>
      </c>
      <c r="AA96">
        <v>0.48569509422387802</v>
      </c>
      <c r="AB96" t="str">
        <f>HYPERLINK("Melting_Curves/meltCurve_B1APY4_ROR2.pdf", "Melting_Curves/meltCurve_B1APY4_ROR2.pdf")</f>
        <v>Melting_Curves/meltCurve_B1APY4_ROR2.pdf</v>
      </c>
    </row>
    <row r="97" spans="1:28" x14ac:dyDescent="0.25">
      <c r="A97" t="s">
        <v>101</v>
      </c>
      <c r="B97">
        <v>0.995954080203443</v>
      </c>
      <c r="C97">
        <v>1.04121840528691</v>
      </c>
      <c r="D97">
        <v>0.81853428231274195</v>
      </c>
      <c r="E97">
        <v>0.80863975162832902</v>
      </c>
      <c r="F97">
        <v>0.64726874682161095</v>
      </c>
      <c r="G97">
        <v>0.45284374909299602</v>
      </c>
      <c r="H97">
        <v>0.41309637231091401</v>
      </c>
      <c r="I97">
        <v>0.45753120406362302</v>
      </c>
      <c r="J97">
        <v>0.51532977033128002</v>
      </c>
      <c r="K97">
        <v>0.54020211622692105</v>
      </c>
      <c r="L97">
        <v>945.64874010456901</v>
      </c>
      <c r="M97">
        <v>18.7494036845038</v>
      </c>
      <c r="N97">
        <v>58.817381677075701</v>
      </c>
      <c r="O97">
        <v>49.872967131905902</v>
      </c>
      <c r="P97">
        <v>-5.02438658643252E-2</v>
      </c>
      <c r="Q97">
        <v>0.46543252239049099</v>
      </c>
      <c r="R97">
        <v>0.92581607032896296</v>
      </c>
      <c r="S97" t="s">
        <v>6903</v>
      </c>
      <c r="T97" t="s">
        <v>13610</v>
      </c>
      <c r="U97" t="s">
        <v>13610</v>
      </c>
      <c r="V97" t="s">
        <v>13610</v>
      </c>
      <c r="W97" t="s">
        <v>13706</v>
      </c>
      <c r="X97">
        <v>2</v>
      </c>
      <c r="Y97" t="s">
        <v>20426</v>
      </c>
      <c r="Z97" t="s">
        <v>26952</v>
      </c>
      <c r="AA97">
        <v>0.65979537162424073</v>
      </c>
      <c r="AB97" t="str">
        <f>HYPERLINK("Melting_Curves/meltCurve_B1B1H9_FGF13.pdf", "Melting_Curves/meltCurve_B1B1H9_FGF13.pdf")</f>
        <v>Melting_Curves/meltCurve_B1B1H9_FGF13.pdf</v>
      </c>
    </row>
    <row r="98" spans="1:28" x14ac:dyDescent="0.25">
      <c r="A98" t="s">
        <v>102</v>
      </c>
      <c r="B98">
        <v>0.995954080203443</v>
      </c>
      <c r="C98">
        <v>0.93480176877744603</v>
      </c>
      <c r="D98">
        <v>0.91241497968329099</v>
      </c>
      <c r="E98">
        <v>0.83845808468537997</v>
      </c>
      <c r="F98">
        <v>0.74441728430057497</v>
      </c>
      <c r="G98">
        <v>0.56343755982439403</v>
      </c>
      <c r="H98">
        <v>0.46049969826036302</v>
      </c>
      <c r="I98">
        <v>0.48647980651947398</v>
      </c>
      <c r="J98">
        <v>0.47816485179559898</v>
      </c>
      <c r="K98">
        <v>0.25234664273983098</v>
      </c>
      <c r="L98">
        <v>463.17222333229802</v>
      </c>
      <c r="M98">
        <v>8.0026726676482198</v>
      </c>
      <c r="N98">
        <v>61.109641771300801</v>
      </c>
      <c r="O98">
        <v>54.598554782054698</v>
      </c>
      <c r="P98">
        <v>-3.0354264130312999E-2</v>
      </c>
      <c r="Q98">
        <v>0.17256174492201601</v>
      </c>
      <c r="R98">
        <v>0.95633704555358601</v>
      </c>
      <c r="S98" t="s">
        <v>6904</v>
      </c>
      <c r="T98" t="s">
        <v>13610</v>
      </c>
      <c r="U98" t="s">
        <v>13610</v>
      </c>
      <c r="V98" t="s">
        <v>13610</v>
      </c>
      <c r="W98" t="s">
        <v>13707</v>
      </c>
      <c r="X98">
        <v>30</v>
      </c>
      <c r="Y98" t="s">
        <v>20427</v>
      </c>
      <c r="Z98" t="s">
        <v>26953</v>
      </c>
      <c r="AA98">
        <v>0.66949714935403926</v>
      </c>
      <c r="AB98" t="str">
        <f>HYPERLINK("Melting_Curves/meltCurve_B2R5P6_TXNRD1.pdf", "Melting_Curves/meltCurve_B2R5P6_TXNRD1.pdf")</f>
        <v>Melting_Curves/meltCurve_B2R5P6_TXNRD1.pdf</v>
      </c>
    </row>
    <row r="99" spans="1:28" x14ac:dyDescent="0.25">
      <c r="A99" t="s">
        <v>103</v>
      </c>
      <c r="B99">
        <v>0.995954080203443</v>
      </c>
      <c r="C99">
        <v>0.91019909181636005</v>
      </c>
      <c r="D99">
        <v>0.81045204213264099</v>
      </c>
      <c r="E99">
        <v>0.90669975119020196</v>
      </c>
      <c r="F99">
        <v>0.39326391812197198</v>
      </c>
      <c r="G99">
        <v>0.20918688627284299</v>
      </c>
      <c r="H99">
        <v>0.181278838735869</v>
      </c>
      <c r="I99">
        <v>0.163245455294313</v>
      </c>
      <c r="J99">
        <v>0.20641106465290501</v>
      </c>
      <c r="K99">
        <v>0.18853511219139499</v>
      </c>
      <c r="L99">
        <v>2661.80069954701</v>
      </c>
      <c r="M99">
        <v>51.2813543924672</v>
      </c>
      <c r="N99">
        <v>52.386197739141103</v>
      </c>
      <c r="O99">
        <v>51.827069233443602</v>
      </c>
      <c r="P99">
        <v>-0.200967521002646</v>
      </c>
      <c r="Q99">
        <v>0.187576113651896</v>
      </c>
      <c r="R99">
        <v>0.96169038437387799</v>
      </c>
      <c r="S99" t="s">
        <v>6905</v>
      </c>
      <c r="T99" t="s">
        <v>13610</v>
      </c>
      <c r="U99" t="s">
        <v>13610</v>
      </c>
      <c r="V99" t="s">
        <v>13610</v>
      </c>
      <c r="W99" t="s">
        <v>13708</v>
      </c>
      <c r="X99">
        <v>2</v>
      </c>
      <c r="Y99" t="s">
        <v>20428</v>
      </c>
      <c r="Z99" t="s">
        <v>26954</v>
      </c>
      <c r="AA99">
        <v>0.51176291317807332</v>
      </c>
      <c r="AB99" t="str">
        <f>HYPERLINK("Melting_Curves/meltCurve_B2RD65_BRMS1L.pdf", "Melting_Curves/meltCurve_B2RD65_BRMS1L.pdf")</f>
        <v>Melting_Curves/meltCurve_B2RD65_BRMS1L.pdf</v>
      </c>
    </row>
    <row r="100" spans="1:28" x14ac:dyDescent="0.25">
      <c r="A100" t="s">
        <v>104</v>
      </c>
      <c r="B100">
        <v>0.995954080203443</v>
      </c>
      <c r="C100">
        <v>0.88334858879483702</v>
      </c>
      <c r="D100">
        <v>0.76471552193454895</v>
      </c>
      <c r="E100">
        <v>0.93069378462921304</v>
      </c>
      <c r="F100">
        <v>0.7717247577345</v>
      </c>
      <c r="G100">
        <v>0.79438491270383904</v>
      </c>
      <c r="H100">
        <v>0.491699024783887</v>
      </c>
      <c r="I100">
        <v>0.41254318767342402</v>
      </c>
      <c r="J100">
        <v>0.25449714714641702</v>
      </c>
      <c r="K100">
        <v>0.49762941575879999</v>
      </c>
      <c r="L100">
        <v>405.783605256572</v>
      </c>
      <c r="M100">
        <v>6.53002434602951</v>
      </c>
      <c r="N100">
        <v>62.850726284701601</v>
      </c>
      <c r="O100">
        <v>57.085562362010599</v>
      </c>
      <c r="P100">
        <v>-2.7647237480168601E-2</v>
      </c>
      <c r="Q100">
        <v>3.55334676036137E-2</v>
      </c>
      <c r="R100">
        <v>0.80775234337464596</v>
      </c>
      <c r="S100" t="s">
        <v>6906</v>
      </c>
      <c r="T100" t="s">
        <v>13610</v>
      </c>
      <c r="U100" t="s">
        <v>13610</v>
      </c>
      <c r="V100" t="s">
        <v>13610</v>
      </c>
      <c r="W100" t="s">
        <v>13709</v>
      </c>
      <c r="X100">
        <v>1</v>
      </c>
      <c r="Y100" t="s">
        <v>20429</v>
      </c>
      <c r="Z100" t="s">
        <v>26955</v>
      </c>
      <c r="AA100">
        <v>0.69363564789827548</v>
      </c>
      <c r="AB100" t="str">
        <f>HYPERLINK("Melting_Curves/meltCurve_B2RPG6_ZCCHC2.pdf", "Melting_Curves/meltCurve_B2RPG6_ZCCHC2.pdf")</f>
        <v>Melting_Curves/meltCurve_B2RPG6_ZCCHC2.pdf</v>
      </c>
    </row>
    <row r="101" spans="1:28" x14ac:dyDescent="0.25">
      <c r="A101" t="s">
        <v>105</v>
      </c>
      <c r="B101">
        <v>0.995954080203443</v>
      </c>
      <c r="C101">
        <v>0.89072314848518896</v>
      </c>
      <c r="D101">
        <v>0.75455228161052001</v>
      </c>
      <c r="E101">
        <v>0.44265840705142701</v>
      </c>
      <c r="F101">
        <v>0.242435707964166</v>
      </c>
      <c r="G101">
        <v>0.12881806531599499</v>
      </c>
      <c r="H101">
        <v>9.0969116992282398E-2</v>
      </c>
      <c r="I101">
        <v>8.7814706513670196E-2</v>
      </c>
      <c r="J101">
        <v>9.21818151201102E-2</v>
      </c>
      <c r="K101">
        <v>8.6984981658675201E-2</v>
      </c>
      <c r="L101">
        <v>846.41770639679396</v>
      </c>
      <c r="M101">
        <v>17.404224418949401</v>
      </c>
      <c r="N101">
        <v>49.0824136801862</v>
      </c>
      <c r="O101">
        <v>48.004459589445403</v>
      </c>
      <c r="P101">
        <v>-8.3965832626838904E-2</v>
      </c>
      <c r="Q101">
        <v>7.3671500240041904E-2</v>
      </c>
      <c r="R101">
        <v>0.99856428632912797</v>
      </c>
      <c r="S101" t="s">
        <v>6907</v>
      </c>
      <c r="T101" t="s">
        <v>13610</v>
      </c>
      <c r="U101" t="s">
        <v>13610</v>
      </c>
      <c r="V101" t="s">
        <v>13610</v>
      </c>
      <c r="W101" t="s">
        <v>13710</v>
      </c>
      <c r="X101">
        <v>11</v>
      </c>
      <c r="Y101" t="s">
        <v>20430</v>
      </c>
      <c r="Z101" t="s">
        <v>26956</v>
      </c>
      <c r="AA101">
        <v>0.35753868969754771</v>
      </c>
      <c r="AB101" t="str">
        <f>HYPERLINK("Melting_Curves/meltCurve_B2WTI3_JMJD6.pdf", "Melting_Curves/meltCurve_B2WTI3_JMJD6.pdf")</f>
        <v>Melting_Curves/meltCurve_B2WTI3_JMJD6.pdf</v>
      </c>
    </row>
    <row r="102" spans="1:28" x14ac:dyDescent="0.25">
      <c r="A102" t="s">
        <v>106</v>
      </c>
      <c r="B102">
        <v>0.995954080203443</v>
      </c>
      <c r="C102">
        <v>0.96299542576081898</v>
      </c>
      <c r="D102">
        <v>0.84513447207866399</v>
      </c>
      <c r="E102">
        <v>0.550484077307824</v>
      </c>
      <c r="F102">
        <v>0.32525694326585802</v>
      </c>
      <c r="G102">
        <v>0.20792679411130399</v>
      </c>
      <c r="H102">
        <v>0.15940463072875499</v>
      </c>
      <c r="I102">
        <v>0.165093191601274</v>
      </c>
      <c r="J102">
        <v>0.182093899233782</v>
      </c>
      <c r="K102">
        <v>0.197241076432385</v>
      </c>
      <c r="L102">
        <v>1038.6422359477201</v>
      </c>
      <c r="M102">
        <v>21.005123093178199</v>
      </c>
      <c r="N102">
        <v>50.4273226306764</v>
      </c>
      <c r="O102">
        <v>49.005454727140702</v>
      </c>
      <c r="P102">
        <v>-8.9198788022639003E-2</v>
      </c>
      <c r="Q102">
        <v>0.16761046897103499</v>
      </c>
      <c r="R102">
        <v>0.99815621153739797</v>
      </c>
      <c r="S102" t="s">
        <v>6908</v>
      </c>
      <c r="T102" t="s">
        <v>13610</v>
      </c>
      <c r="U102" t="s">
        <v>13610</v>
      </c>
      <c r="V102" t="s">
        <v>13610</v>
      </c>
      <c r="W102" t="s">
        <v>13711</v>
      </c>
      <c r="X102">
        <v>4</v>
      </c>
      <c r="Y102" t="s">
        <v>20431</v>
      </c>
      <c r="Z102" t="s">
        <v>26957</v>
      </c>
      <c r="AA102">
        <v>0.44026509169618427</v>
      </c>
      <c r="AB102" t="str">
        <f>HYPERLINK("Melting_Curves/meltCurve_B3KMG0_GLE1.pdf", "Melting_Curves/meltCurve_B3KMG0_GLE1.pdf")</f>
        <v>Melting_Curves/meltCurve_B3KMG0_GLE1.pdf</v>
      </c>
    </row>
    <row r="103" spans="1:28" x14ac:dyDescent="0.25">
      <c r="A103" t="s">
        <v>107</v>
      </c>
      <c r="B103">
        <v>0.995954080203443</v>
      </c>
      <c r="C103">
        <v>0.90498037483205096</v>
      </c>
      <c r="D103">
        <v>0.91963520075440097</v>
      </c>
      <c r="E103">
        <v>0.83923673296580803</v>
      </c>
      <c r="F103">
        <v>0.91012732241384298</v>
      </c>
      <c r="G103">
        <v>0.82718130150426294</v>
      </c>
      <c r="H103">
        <v>0.83972687009677804</v>
      </c>
      <c r="I103">
        <v>1.0240970503594899</v>
      </c>
      <c r="J103">
        <v>1.02509816305079</v>
      </c>
      <c r="K103">
        <v>1.1908152094869699</v>
      </c>
      <c r="L103">
        <v>3759.8792835336899</v>
      </c>
      <c r="M103">
        <v>53.229496565999199</v>
      </c>
      <c r="Q103">
        <v>1.5</v>
      </c>
      <c r="R103">
        <v>8.4407090585642205E-2</v>
      </c>
      <c r="S103" t="s">
        <v>6909</v>
      </c>
      <c r="T103" t="s">
        <v>13610</v>
      </c>
      <c r="U103" t="s">
        <v>13610</v>
      </c>
      <c r="V103" t="s">
        <v>13610</v>
      </c>
      <c r="W103" t="s">
        <v>13712</v>
      </c>
      <c r="X103">
        <v>4</v>
      </c>
      <c r="Y103" t="s">
        <v>20432</v>
      </c>
      <c r="Z103" t="s">
        <v>26958</v>
      </c>
      <c r="AA103">
        <v>1.0100232369692781</v>
      </c>
      <c r="AB103" t="str">
        <f>HYPERLINK("Melting_Curves/meltCurve_B3KNQ0_CCDC92.pdf", "Melting_Curves/meltCurve_B3KNQ0_CCDC92.pdf")</f>
        <v>Melting_Curves/meltCurve_B3KNQ0_CCDC92.pdf</v>
      </c>
    </row>
    <row r="104" spans="1:28" x14ac:dyDescent="0.25">
      <c r="A104" t="s">
        <v>108</v>
      </c>
      <c r="B104">
        <v>0.995954080203443</v>
      </c>
      <c r="C104">
        <v>0.99129163164119205</v>
      </c>
      <c r="D104">
        <v>0.89759441143343299</v>
      </c>
      <c r="E104">
        <v>0.56880316256385799</v>
      </c>
      <c r="F104">
        <v>0.239117250826515</v>
      </c>
      <c r="G104">
        <v>0.114873516383489</v>
      </c>
      <c r="H104">
        <v>7.2734064535295906E-2</v>
      </c>
      <c r="I104">
        <v>5.3445962609877599E-2</v>
      </c>
      <c r="J104">
        <v>6.3908814167758607E-2</v>
      </c>
      <c r="K104">
        <v>5.1960722331458299E-2</v>
      </c>
      <c r="L104">
        <v>1250.7947262022201</v>
      </c>
      <c r="M104">
        <v>24.906961137837602</v>
      </c>
      <c r="N104">
        <v>50.4618154481415</v>
      </c>
      <c r="O104">
        <v>49.898311994260801</v>
      </c>
      <c r="P104">
        <v>-0.117734330213776</v>
      </c>
      <c r="Q104">
        <v>5.6542591986763403E-2</v>
      </c>
      <c r="R104">
        <v>0.99929099547190303</v>
      </c>
      <c r="S104" t="s">
        <v>6910</v>
      </c>
      <c r="T104" t="s">
        <v>13610</v>
      </c>
      <c r="U104" t="s">
        <v>13610</v>
      </c>
      <c r="V104" t="s">
        <v>13610</v>
      </c>
      <c r="W104" t="s">
        <v>13713</v>
      </c>
      <c r="X104">
        <v>5</v>
      </c>
      <c r="Y104" t="s">
        <v>20433</v>
      </c>
      <c r="Z104" t="s">
        <v>26959</v>
      </c>
      <c r="AA104">
        <v>0.38642031126825732</v>
      </c>
      <c r="AB104" t="str">
        <f>HYPERLINK("Melting_Curves/meltCurve_B3KP96_TRIM16.pdf", "Melting_Curves/meltCurve_B3KP96_TRIM16.pdf")</f>
        <v>Melting_Curves/meltCurve_B3KP96_TRIM16.pdf</v>
      </c>
    </row>
    <row r="105" spans="1:28" x14ac:dyDescent="0.25">
      <c r="A105" t="s">
        <v>109</v>
      </c>
      <c r="B105">
        <v>0.995954080203443</v>
      </c>
      <c r="C105">
        <v>0.85941293518566397</v>
      </c>
      <c r="D105">
        <v>0.72953873775261102</v>
      </c>
      <c r="E105">
        <v>0.69219729021585297</v>
      </c>
      <c r="F105">
        <v>0.41202451738457102</v>
      </c>
      <c r="G105">
        <v>0.232531153768189</v>
      </c>
      <c r="H105">
        <v>0.18453450883292799</v>
      </c>
      <c r="I105">
        <v>0.16259127928981401</v>
      </c>
      <c r="J105">
        <v>0.14945077947007401</v>
      </c>
      <c r="K105">
        <v>0.131703923503246</v>
      </c>
      <c r="L105">
        <v>584.29232842799502</v>
      </c>
      <c r="M105">
        <v>11.494159004366001</v>
      </c>
      <c r="N105">
        <v>51.608920536991</v>
      </c>
      <c r="O105">
        <v>49.3682070959009</v>
      </c>
      <c r="P105">
        <v>-5.36074364918891E-2</v>
      </c>
      <c r="Q105">
        <v>7.9271968977411997E-2</v>
      </c>
      <c r="R105">
        <v>0.97774198757856301</v>
      </c>
      <c r="S105" t="s">
        <v>6911</v>
      </c>
      <c r="T105" t="s">
        <v>13610</v>
      </c>
      <c r="U105" t="s">
        <v>13610</v>
      </c>
      <c r="V105" t="s">
        <v>13610</v>
      </c>
      <c r="W105" t="s">
        <v>13714</v>
      </c>
      <c r="X105">
        <v>4</v>
      </c>
      <c r="Y105" t="s">
        <v>20434</v>
      </c>
      <c r="Z105" t="s">
        <v>26960</v>
      </c>
      <c r="AA105">
        <v>0.44403407259630562</v>
      </c>
      <c r="AB105" t="str">
        <f>HYPERLINK("Melting_Curves/meltCurve_B3KQ95_FDFT1.pdf", "Melting_Curves/meltCurve_B3KQ95_FDFT1.pdf")</f>
        <v>Melting_Curves/meltCurve_B3KQ95_FDFT1.pdf</v>
      </c>
    </row>
    <row r="106" spans="1:28" x14ac:dyDescent="0.25">
      <c r="A106" t="s">
        <v>110</v>
      </c>
      <c r="B106">
        <v>0.995954080203443</v>
      </c>
      <c r="C106">
        <v>0.77072370643627597</v>
      </c>
      <c r="D106">
        <v>0.71708826045837804</v>
      </c>
      <c r="E106">
        <v>0.64340963939267903</v>
      </c>
      <c r="F106">
        <v>0.45230442779728403</v>
      </c>
      <c r="G106">
        <v>0.13143574166945901</v>
      </c>
      <c r="H106">
        <v>6.1019429346248703E-2</v>
      </c>
      <c r="I106">
        <v>3.6642185182103403E-2</v>
      </c>
      <c r="J106">
        <v>4.2365432073937302E-2</v>
      </c>
      <c r="K106">
        <v>4.1031455693693403E-2</v>
      </c>
      <c r="L106">
        <v>604.43209781153098</v>
      </c>
      <c r="M106">
        <v>11.9150998896478</v>
      </c>
      <c r="N106">
        <v>50.728244138864099</v>
      </c>
      <c r="O106">
        <v>49.362662439586401</v>
      </c>
      <c r="P106">
        <v>-6.0359657355790901E-2</v>
      </c>
      <c r="Q106">
        <v>0</v>
      </c>
      <c r="R106">
        <v>0.96079532367374998</v>
      </c>
      <c r="S106" t="s">
        <v>6912</v>
      </c>
      <c r="T106" t="s">
        <v>13610</v>
      </c>
      <c r="U106" t="s">
        <v>13610</v>
      </c>
      <c r="V106" t="s">
        <v>13610</v>
      </c>
      <c r="W106" t="s">
        <v>13715</v>
      </c>
      <c r="X106">
        <v>1</v>
      </c>
      <c r="Y106" t="s">
        <v>20435</v>
      </c>
      <c r="Z106" t="s">
        <v>26961</v>
      </c>
      <c r="AA106">
        <v>0.39110905354485809</v>
      </c>
      <c r="AB106" t="str">
        <f>HYPERLINK("Melting_Curves/meltCurve_B3KR00_STAMBPL1.pdf", "Melting_Curves/meltCurve_B3KR00_STAMBPL1.pdf")</f>
        <v>Melting_Curves/meltCurve_B3KR00_STAMBPL1.pdf</v>
      </c>
    </row>
    <row r="107" spans="1:28" x14ac:dyDescent="0.25">
      <c r="A107" t="s">
        <v>111</v>
      </c>
      <c r="B107">
        <v>0.995954080203443</v>
      </c>
      <c r="C107">
        <v>0.94441794943627799</v>
      </c>
      <c r="D107">
        <v>1.1650924966570899</v>
      </c>
      <c r="E107">
        <v>0.74223956224123</v>
      </c>
      <c r="F107">
        <v>0.53746015050071105</v>
      </c>
      <c r="G107">
        <v>0.22406755335510001</v>
      </c>
      <c r="H107">
        <v>0.19531775483657701</v>
      </c>
      <c r="I107">
        <v>0.16519504497676701</v>
      </c>
      <c r="J107">
        <v>0.21197668835899899</v>
      </c>
      <c r="K107">
        <v>0.18363364252824199</v>
      </c>
      <c r="L107">
        <v>1476.9369603303401</v>
      </c>
      <c r="M107">
        <v>28.3445505737559</v>
      </c>
      <c r="N107">
        <v>52.9536957226683</v>
      </c>
      <c r="O107">
        <v>51.849264208508998</v>
      </c>
      <c r="P107">
        <v>-0.111756999569497</v>
      </c>
      <c r="Q107">
        <v>0.182280788655274</v>
      </c>
      <c r="R107">
        <v>0.96791353302058003</v>
      </c>
      <c r="S107" t="s">
        <v>6913</v>
      </c>
      <c r="T107" t="s">
        <v>13610</v>
      </c>
      <c r="U107" t="s">
        <v>13610</v>
      </c>
      <c r="V107" t="s">
        <v>13610</v>
      </c>
      <c r="W107" t="s">
        <v>13716</v>
      </c>
      <c r="X107">
        <v>1</v>
      </c>
      <c r="Y107" t="s">
        <v>20436</v>
      </c>
      <c r="Z107" t="s">
        <v>26962</v>
      </c>
      <c r="AA107">
        <v>0.51812661794922665</v>
      </c>
      <c r="AB107" t="str">
        <f>HYPERLINK("Melting_Curves/meltCurve_B3KRH1_RNF2.pdf", "Melting_Curves/meltCurve_B3KRH1_RNF2.pdf")</f>
        <v>Melting_Curves/meltCurve_B3KRH1_RNF2.pdf</v>
      </c>
    </row>
    <row r="108" spans="1:28" x14ac:dyDescent="0.25">
      <c r="A108" t="s">
        <v>112</v>
      </c>
      <c r="B108">
        <v>0.995954080203443</v>
      </c>
      <c r="C108">
        <v>1.1217959132650801</v>
      </c>
      <c r="D108">
        <v>1.12740905340264</v>
      </c>
      <c r="E108">
        <v>0.99005838970372095</v>
      </c>
      <c r="F108">
        <v>0.69984673791823904</v>
      </c>
      <c r="G108">
        <v>0.18302452467550701</v>
      </c>
      <c r="H108">
        <v>9.4301846150630003E-2</v>
      </c>
      <c r="I108">
        <v>7.4778112735292196E-2</v>
      </c>
      <c r="J108">
        <v>8.6952703632888498E-2</v>
      </c>
      <c r="K108">
        <v>7.8686925731504598E-2</v>
      </c>
      <c r="L108">
        <v>2246.18762379178</v>
      </c>
      <c r="M108">
        <v>41.620854052643601</v>
      </c>
      <c r="N108">
        <v>54.204617061637997</v>
      </c>
      <c r="O108">
        <v>53.843687143923503</v>
      </c>
      <c r="P108">
        <v>-0.17718460589606699</v>
      </c>
      <c r="Q108">
        <v>8.3127095630352005E-2</v>
      </c>
      <c r="R108">
        <v>0.98458141706828095</v>
      </c>
      <c r="S108" t="s">
        <v>6914</v>
      </c>
      <c r="T108" t="s">
        <v>13610</v>
      </c>
      <c r="U108" t="s">
        <v>13610</v>
      </c>
      <c r="V108" t="s">
        <v>13610</v>
      </c>
      <c r="W108" t="s">
        <v>13717</v>
      </c>
      <c r="X108">
        <v>16</v>
      </c>
      <c r="Y108" t="s">
        <v>20437</v>
      </c>
      <c r="Z108" t="s">
        <v>26963</v>
      </c>
      <c r="AA108">
        <v>0.51317096628708947</v>
      </c>
      <c r="AB108" t="str">
        <f>HYPERLINK("Melting_Curves/meltCurve_B3KSI9_LZTFL1.pdf", "Melting_Curves/meltCurve_B3KSI9_LZTFL1.pdf")</f>
        <v>Melting_Curves/meltCurve_B3KSI9_LZTFL1.pdf</v>
      </c>
    </row>
    <row r="109" spans="1:28" x14ac:dyDescent="0.25">
      <c r="A109" t="s">
        <v>113</v>
      </c>
      <c r="B109">
        <v>0.995954080203443</v>
      </c>
      <c r="C109">
        <v>0.862607094901508</v>
      </c>
      <c r="D109">
        <v>0.80814931347130303</v>
      </c>
      <c r="E109">
        <v>0.81896517751381903</v>
      </c>
      <c r="F109">
        <v>0.83795796629220398</v>
      </c>
      <c r="G109">
        <v>0.56947734812246797</v>
      </c>
      <c r="H109">
        <v>0.50841138343596104</v>
      </c>
      <c r="I109">
        <v>0.56468519584957799</v>
      </c>
      <c r="J109">
        <v>0.87711221329466504</v>
      </c>
      <c r="K109">
        <v>0.69204830182118005</v>
      </c>
      <c r="L109">
        <v>547.59348373130899</v>
      </c>
      <c r="M109">
        <v>11.714302370722899</v>
      </c>
      <c r="O109">
        <v>45.445818748157997</v>
      </c>
      <c r="P109">
        <v>-2.2535646982492202E-2</v>
      </c>
      <c r="Q109">
        <v>0.65038294633107796</v>
      </c>
      <c r="R109">
        <v>0.48287692826445</v>
      </c>
      <c r="S109" t="s">
        <v>6915</v>
      </c>
      <c r="T109" t="s">
        <v>13610</v>
      </c>
      <c r="U109" t="s">
        <v>13610</v>
      </c>
      <c r="V109" t="s">
        <v>13610</v>
      </c>
      <c r="W109" t="s">
        <v>13718</v>
      </c>
      <c r="X109">
        <v>5</v>
      </c>
      <c r="Y109" t="s">
        <v>20438</v>
      </c>
      <c r="Z109" t="s">
        <v>26964</v>
      </c>
      <c r="AA109">
        <v>0.74463564962234285</v>
      </c>
      <c r="AB109" t="str">
        <f>HYPERLINK("Melting_Curves/meltCurve_B3KSJ7_DCLRE1C.pdf", "Melting_Curves/meltCurve_B3KSJ7_DCLRE1C.pdf")</f>
        <v>Melting_Curves/meltCurve_B3KSJ7_DCLRE1C.pdf</v>
      </c>
    </row>
    <row r="110" spans="1:28" x14ac:dyDescent="0.25">
      <c r="A110" t="s">
        <v>114</v>
      </c>
      <c r="B110">
        <v>0.995954080203443</v>
      </c>
      <c r="C110">
        <v>0.99126593111505901</v>
      </c>
      <c r="D110">
        <v>0.94455022678001599</v>
      </c>
      <c r="E110">
        <v>0.91075887137144595</v>
      </c>
      <c r="F110">
        <v>0.89166349456054905</v>
      </c>
      <c r="G110">
        <v>0.67508883377362705</v>
      </c>
      <c r="H110">
        <v>0.620230074613073</v>
      </c>
      <c r="I110">
        <v>0.78985255954109501</v>
      </c>
      <c r="J110">
        <v>0.89066793961461999</v>
      </c>
      <c r="K110">
        <v>0.9157732938466</v>
      </c>
      <c r="L110">
        <v>1545.00274138021</v>
      </c>
      <c r="M110">
        <v>30.298982691626701</v>
      </c>
      <c r="O110">
        <v>50.7713232190886</v>
      </c>
      <c r="P110">
        <v>-3.2157713046702903E-2</v>
      </c>
      <c r="Q110">
        <v>0.78445753377058602</v>
      </c>
      <c r="R110">
        <v>0.48695892731990198</v>
      </c>
      <c r="S110" t="s">
        <v>6916</v>
      </c>
      <c r="T110" t="s">
        <v>13610</v>
      </c>
      <c r="U110" t="s">
        <v>13610</v>
      </c>
      <c r="V110" t="s">
        <v>13610</v>
      </c>
      <c r="W110" t="s">
        <v>13719</v>
      </c>
      <c r="X110">
        <v>1</v>
      </c>
      <c r="Y110" t="s">
        <v>20439</v>
      </c>
      <c r="Z110" t="s">
        <v>26965</v>
      </c>
      <c r="AA110">
        <v>0.86475995793940463</v>
      </c>
      <c r="AB110" t="str">
        <f>HYPERLINK("Melting_Curves/meltCurve_B3KU87_SLC30A6.pdf", "Melting_Curves/meltCurve_B3KU87_SLC30A6.pdf")</f>
        <v>Melting_Curves/meltCurve_B3KU87_SLC30A6.pdf</v>
      </c>
    </row>
    <row r="111" spans="1:28" x14ac:dyDescent="0.25">
      <c r="A111" t="s">
        <v>115</v>
      </c>
      <c r="B111">
        <v>0.995954080203443</v>
      </c>
      <c r="C111">
        <v>1.0152616477041201</v>
      </c>
      <c r="D111">
        <v>1.02324129292741</v>
      </c>
      <c r="E111">
        <v>0.918910051490473</v>
      </c>
      <c r="F111">
        <v>0.82960228687845505</v>
      </c>
      <c r="G111">
        <v>0.70150284889769399</v>
      </c>
      <c r="H111">
        <v>0.54014553177675895</v>
      </c>
      <c r="I111">
        <v>0.64399747278647301</v>
      </c>
      <c r="J111">
        <v>0.77161326319034296</v>
      </c>
      <c r="K111">
        <v>0.69954667167504503</v>
      </c>
      <c r="L111">
        <v>1644.26219623203</v>
      </c>
      <c r="M111">
        <v>31.272773037113598</v>
      </c>
      <c r="O111">
        <v>52.364491478681103</v>
      </c>
      <c r="P111">
        <v>-4.9860075469569901E-2</v>
      </c>
      <c r="Q111">
        <v>0.66605038187103605</v>
      </c>
      <c r="R111">
        <v>0.87811300720740104</v>
      </c>
      <c r="S111" t="s">
        <v>6917</v>
      </c>
      <c r="T111" t="s">
        <v>13610</v>
      </c>
      <c r="U111" t="s">
        <v>13610</v>
      </c>
      <c r="V111" t="s">
        <v>13610</v>
      </c>
      <c r="W111" t="s">
        <v>13720</v>
      </c>
      <c r="X111">
        <v>9</v>
      </c>
      <c r="Y111" t="s">
        <v>20440</v>
      </c>
      <c r="Z111" t="s">
        <v>26966</v>
      </c>
      <c r="AA111">
        <v>0.80804813278316534</v>
      </c>
      <c r="AB111" t="str">
        <f>HYPERLINK("Melting_Curves/meltCurve_B3KUK2_SOD2.pdf", "Melting_Curves/meltCurve_B3KUK2_SOD2.pdf")</f>
        <v>Melting_Curves/meltCurve_B3KUK2_SOD2.pdf</v>
      </c>
    </row>
    <row r="112" spans="1:28" x14ac:dyDescent="0.25">
      <c r="A112" t="s">
        <v>116</v>
      </c>
      <c r="B112">
        <v>0.995954080203443</v>
      </c>
      <c r="C112">
        <v>0.92218392174294295</v>
      </c>
      <c r="D112">
        <v>0.91621525098982004</v>
      </c>
      <c r="E112">
        <v>0.73572191644308405</v>
      </c>
      <c r="F112">
        <v>0.62784846231203495</v>
      </c>
      <c r="G112">
        <v>0.42965262905925999</v>
      </c>
      <c r="H112">
        <v>0.369882172995736</v>
      </c>
      <c r="I112">
        <v>0.40121436270033201</v>
      </c>
      <c r="J112">
        <v>0.459205908589783</v>
      </c>
      <c r="K112">
        <v>0.45108258218985398</v>
      </c>
      <c r="L112">
        <v>932.68159186858998</v>
      </c>
      <c r="M112">
        <v>18.428166507242398</v>
      </c>
      <c r="N112">
        <v>55.662232012894599</v>
      </c>
      <c r="O112">
        <v>50.027047186808502</v>
      </c>
      <c r="P112">
        <v>-5.4697954034667297E-2</v>
      </c>
      <c r="Q112">
        <v>0.406071336908786</v>
      </c>
      <c r="R112">
        <v>0.97238985108006104</v>
      </c>
      <c r="S112" t="s">
        <v>6918</v>
      </c>
      <c r="T112" t="s">
        <v>13610</v>
      </c>
      <c r="U112" t="s">
        <v>13610</v>
      </c>
      <c r="V112" t="s">
        <v>13610</v>
      </c>
      <c r="W112" t="s">
        <v>13721</v>
      </c>
      <c r="X112">
        <v>10</v>
      </c>
      <c r="Y112" t="s">
        <v>20441</v>
      </c>
      <c r="Z112" t="s">
        <v>26967</v>
      </c>
      <c r="AA112">
        <v>0.62578387077363973</v>
      </c>
      <c r="AB112" t="str">
        <f>HYPERLINK("Melting_Curves/meltCurve_B3KVH8_PHF23.pdf", "Melting_Curves/meltCurve_B3KVH8_PHF23.pdf")</f>
        <v>Melting_Curves/meltCurve_B3KVH8_PHF23.pdf</v>
      </c>
    </row>
    <row r="113" spans="1:28" x14ac:dyDescent="0.25">
      <c r="A113" t="s">
        <v>117</v>
      </c>
      <c r="B113">
        <v>0.995954080203443</v>
      </c>
      <c r="C113">
        <v>0.94416559729902605</v>
      </c>
      <c r="D113">
        <v>0.74780822193747898</v>
      </c>
      <c r="E113">
        <v>0.45207223242292999</v>
      </c>
      <c r="F113">
        <v>0.248574754516692</v>
      </c>
      <c r="G113">
        <v>0.145607054704089</v>
      </c>
      <c r="H113">
        <v>0.10479956549788599</v>
      </c>
      <c r="I113">
        <v>0.102890485860829</v>
      </c>
      <c r="J113">
        <v>0.11860360705400599</v>
      </c>
      <c r="K113">
        <v>0.10756102748213001</v>
      </c>
      <c r="L113">
        <v>910.70511746505804</v>
      </c>
      <c r="M113">
        <v>18.737450018130101</v>
      </c>
      <c r="N113">
        <v>49.176900347319901</v>
      </c>
      <c r="O113">
        <v>48.060019298910298</v>
      </c>
      <c r="P113">
        <v>-8.7907717075548397E-2</v>
      </c>
      <c r="Q113">
        <v>9.8133674846257804E-2</v>
      </c>
      <c r="R113">
        <v>0.99866161067024195</v>
      </c>
      <c r="S113" t="s">
        <v>6919</v>
      </c>
      <c r="T113" t="s">
        <v>13610</v>
      </c>
      <c r="U113" t="s">
        <v>13610</v>
      </c>
      <c r="V113" t="s">
        <v>13610</v>
      </c>
      <c r="W113" t="s">
        <v>13722</v>
      </c>
      <c r="X113">
        <v>7</v>
      </c>
      <c r="Y113" t="s">
        <v>20442</v>
      </c>
      <c r="Z113" t="s">
        <v>26968</v>
      </c>
      <c r="AA113">
        <v>0.37128409798351891</v>
      </c>
      <c r="AB113" t="str">
        <f>HYPERLINK("Melting_Curves/meltCurve_B3KVZ3_CENPH.pdf", "Melting_Curves/meltCurve_B3KVZ3_CENPH.pdf")</f>
        <v>Melting_Curves/meltCurve_B3KVZ3_CENPH.pdf</v>
      </c>
    </row>
    <row r="114" spans="1:28" x14ac:dyDescent="0.25">
      <c r="A114" t="s">
        <v>118</v>
      </c>
      <c r="B114">
        <v>0.995954080203443</v>
      </c>
      <c r="C114">
        <v>0.89098592085147099</v>
      </c>
      <c r="D114">
        <v>0.67021069791793897</v>
      </c>
      <c r="E114">
        <v>0.34967250194546301</v>
      </c>
      <c r="F114">
        <v>0.26348039403291501</v>
      </c>
      <c r="G114">
        <v>0.21615187557917501</v>
      </c>
      <c r="H114">
        <v>0.19696060527971801</v>
      </c>
      <c r="I114">
        <v>0.189887796115775</v>
      </c>
      <c r="J114">
        <v>0.225122368406799</v>
      </c>
      <c r="K114">
        <v>0.20323855711414701</v>
      </c>
      <c r="L114">
        <v>1025.2323178960401</v>
      </c>
      <c r="M114">
        <v>21.956863620310401</v>
      </c>
      <c r="N114">
        <v>47.823248774188002</v>
      </c>
      <c r="O114">
        <v>46.310900965413502</v>
      </c>
      <c r="P114">
        <v>-9.45393890485067E-2</v>
      </c>
      <c r="Q114">
        <v>0.202417186250609</v>
      </c>
      <c r="R114">
        <v>0.99864587024349005</v>
      </c>
      <c r="S114" t="s">
        <v>6920</v>
      </c>
      <c r="T114" t="s">
        <v>13610</v>
      </c>
      <c r="U114" t="s">
        <v>13610</v>
      </c>
      <c r="V114" t="s">
        <v>13610</v>
      </c>
      <c r="W114" t="s">
        <v>13723</v>
      </c>
      <c r="X114">
        <v>5</v>
      </c>
      <c r="Y114" t="s">
        <v>20443</v>
      </c>
      <c r="Z114" t="s">
        <v>26969</v>
      </c>
      <c r="AA114">
        <v>0.38995704806409281</v>
      </c>
      <c r="AB114" t="str">
        <f>HYPERLINK("Melting_Curves/meltCurve_B3KWW1_DDX58.pdf", "Melting_Curves/meltCurve_B3KWW1_DDX58.pdf")</f>
        <v>Melting_Curves/meltCurve_B3KWW1_DDX58.pdf</v>
      </c>
    </row>
    <row r="115" spans="1:28" x14ac:dyDescent="0.25">
      <c r="A115" t="s">
        <v>119</v>
      </c>
      <c r="B115">
        <v>0.995954080203443</v>
      </c>
      <c r="C115">
        <v>0.85645018930034</v>
      </c>
      <c r="D115">
        <v>0.57837455804340698</v>
      </c>
      <c r="E115">
        <v>0.29381089098088098</v>
      </c>
      <c r="F115">
        <v>0.145911879157331</v>
      </c>
      <c r="G115">
        <v>9.1240696355082307E-2</v>
      </c>
      <c r="H115">
        <v>6.1719856404978402E-2</v>
      </c>
      <c r="I115">
        <v>5.91752767625311E-2</v>
      </c>
      <c r="J115">
        <v>7.6620886364377305E-2</v>
      </c>
      <c r="K115">
        <v>5.7679659578913703E-2</v>
      </c>
      <c r="L115">
        <v>881.98131992077697</v>
      </c>
      <c r="M115">
        <v>18.875954634126</v>
      </c>
      <c r="N115">
        <v>47.043872268100401</v>
      </c>
      <c r="O115">
        <v>46.210171906002898</v>
      </c>
      <c r="P115">
        <v>-9.5994068195908194E-2</v>
      </c>
      <c r="Q115">
        <v>6.0027143898701001E-2</v>
      </c>
      <c r="R115">
        <v>0.99788689883268</v>
      </c>
      <c r="S115" t="s">
        <v>6921</v>
      </c>
      <c r="T115" t="s">
        <v>13610</v>
      </c>
      <c r="U115" t="s">
        <v>13610</v>
      </c>
      <c r="V115" t="s">
        <v>13610</v>
      </c>
      <c r="W115" t="s">
        <v>13724</v>
      </c>
      <c r="X115">
        <v>5</v>
      </c>
      <c r="Y115" t="s">
        <v>20444</v>
      </c>
      <c r="Z115" t="s">
        <v>26970</v>
      </c>
      <c r="AA115">
        <v>0.28658312859820773</v>
      </c>
      <c r="AB115" t="str">
        <f>HYPERLINK("Melting_Curves/meltCurve_B3KY83_RXRA.pdf", "Melting_Curves/meltCurve_B3KY83_RXRA.pdf")</f>
        <v>Melting_Curves/meltCurve_B3KY83_RXRA.pdf</v>
      </c>
    </row>
    <row r="116" spans="1:28" x14ac:dyDescent="0.25">
      <c r="A116" t="s">
        <v>120</v>
      </c>
      <c r="B116">
        <v>0.995954080203443</v>
      </c>
      <c r="C116">
        <v>1.0426937476243301</v>
      </c>
      <c r="D116">
        <v>1.16279985797454</v>
      </c>
      <c r="E116">
        <v>0.92930559837021498</v>
      </c>
      <c r="F116">
        <v>0.69755405615654897</v>
      </c>
      <c r="G116">
        <v>0.30619682658737102</v>
      </c>
      <c r="H116">
        <v>0.17621507609926201</v>
      </c>
      <c r="I116">
        <v>0.15926868909610001</v>
      </c>
      <c r="J116">
        <v>0.17878794493612901</v>
      </c>
      <c r="K116">
        <v>0.177052491918016</v>
      </c>
      <c r="L116">
        <v>1736.2888905001801</v>
      </c>
      <c r="M116">
        <v>32.176187447114799</v>
      </c>
      <c r="N116">
        <v>54.657764206091699</v>
      </c>
      <c r="O116">
        <v>53.7547679557319</v>
      </c>
      <c r="P116">
        <v>-0.124496472520305</v>
      </c>
      <c r="Q116">
        <v>0.16804986165844599</v>
      </c>
      <c r="R116">
        <v>0.98116890188732897</v>
      </c>
      <c r="S116" t="s">
        <v>6922</v>
      </c>
      <c r="T116" t="s">
        <v>13610</v>
      </c>
      <c r="U116" t="s">
        <v>13610</v>
      </c>
      <c r="V116" t="s">
        <v>13610</v>
      </c>
      <c r="W116" t="s">
        <v>13725</v>
      </c>
      <c r="X116">
        <v>10</v>
      </c>
      <c r="Y116" t="s">
        <v>20445</v>
      </c>
      <c r="Z116" t="s">
        <v>26971</v>
      </c>
      <c r="AA116">
        <v>0.56000460952233877</v>
      </c>
      <c r="AB116" t="str">
        <f>HYPERLINK("Melting_Curves/meltCurve_B4DDF4_CNN2.pdf", "Melting_Curves/meltCurve_B4DDF4_CNN2.pdf")</f>
        <v>Melting_Curves/meltCurve_B4DDF4_CNN2.pdf</v>
      </c>
    </row>
    <row r="117" spans="1:28" x14ac:dyDescent="0.25">
      <c r="A117" t="s">
        <v>121</v>
      </c>
      <c r="B117">
        <v>0.995954080203443</v>
      </c>
      <c r="C117">
        <v>1.0204090455830399</v>
      </c>
      <c r="D117">
        <v>0.79281477856767901</v>
      </c>
      <c r="E117">
        <v>0.66928885557695805</v>
      </c>
      <c r="F117">
        <v>0.48461853556040901</v>
      </c>
      <c r="G117">
        <v>0.33549483061151902</v>
      </c>
      <c r="H117">
        <v>0.207607342362784</v>
      </c>
      <c r="I117">
        <v>0.13189340947289399</v>
      </c>
      <c r="J117">
        <v>7.8267759921331698E-2</v>
      </c>
      <c r="K117">
        <v>9.9507252244933994E-2</v>
      </c>
      <c r="L117">
        <v>622.26611516974106</v>
      </c>
      <c r="M117">
        <v>11.820607078891401</v>
      </c>
      <c r="N117">
        <v>52.967299770371298</v>
      </c>
      <c r="O117">
        <v>51.203641452114503</v>
      </c>
      <c r="P117">
        <v>-5.5710074078925302E-2</v>
      </c>
      <c r="Q117">
        <v>3.49633192936184E-2</v>
      </c>
      <c r="R117">
        <v>0.98967979300967002</v>
      </c>
      <c r="S117" t="s">
        <v>6923</v>
      </c>
      <c r="T117" t="s">
        <v>13610</v>
      </c>
      <c r="U117" t="s">
        <v>13610</v>
      </c>
      <c r="V117" t="s">
        <v>13610</v>
      </c>
      <c r="W117" t="s">
        <v>13655</v>
      </c>
      <c r="X117">
        <v>20</v>
      </c>
      <c r="Y117" t="s">
        <v>20446</v>
      </c>
      <c r="Z117" t="s">
        <v>26972</v>
      </c>
      <c r="AA117">
        <v>0.47037822588223049</v>
      </c>
      <c r="AB117" t="str">
        <f>HYPERLINK("Melting_Curves/meltCurve_B4DDF9_ANXA4.pdf", "Melting_Curves/meltCurve_B4DDF9_ANXA4.pdf")</f>
        <v>Melting_Curves/meltCurve_B4DDF9_ANXA4.pdf</v>
      </c>
    </row>
    <row r="118" spans="1:28" x14ac:dyDescent="0.25">
      <c r="A118" t="s">
        <v>122</v>
      </c>
      <c r="B118">
        <v>0.995954080203443</v>
      </c>
      <c r="C118">
        <v>0.85954614164323395</v>
      </c>
      <c r="D118">
        <v>0.59411127974697897</v>
      </c>
      <c r="E118">
        <v>0.48374637029002299</v>
      </c>
      <c r="F118">
        <v>0.256444718639182</v>
      </c>
      <c r="G118">
        <v>0.14077145426583701</v>
      </c>
      <c r="H118">
        <v>0.10011606601309</v>
      </c>
      <c r="I118">
        <v>8.5548294733956504E-2</v>
      </c>
      <c r="J118">
        <v>0.141480983635832</v>
      </c>
      <c r="K118">
        <v>9.6719122417540701E-2</v>
      </c>
      <c r="L118">
        <v>670.87454297614602</v>
      </c>
      <c r="M118">
        <v>14.0161004109831</v>
      </c>
      <c r="N118">
        <v>48.471482733033099</v>
      </c>
      <c r="O118">
        <v>46.921811499420699</v>
      </c>
      <c r="P118">
        <v>-6.8676810729641005E-2</v>
      </c>
      <c r="Q118">
        <v>8.0481501084681703E-2</v>
      </c>
      <c r="R118">
        <v>0.98274732573111701</v>
      </c>
      <c r="S118" t="s">
        <v>6924</v>
      </c>
      <c r="T118" t="s">
        <v>13610</v>
      </c>
      <c r="U118" t="s">
        <v>13610</v>
      </c>
      <c r="V118" t="s">
        <v>13610</v>
      </c>
      <c r="W118" t="s">
        <v>13726</v>
      </c>
      <c r="X118">
        <v>2</v>
      </c>
      <c r="Y118" t="s">
        <v>20447</v>
      </c>
      <c r="Z118" t="s">
        <v>26973</v>
      </c>
      <c r="AA118">
        <v>0.34874503709456312</v>
      </c>
      <c r="AB118" t="str">
        <f>HYPERLINK("Melting_Curves/meltCurve_B4DE93_NDUFV1.pdf", "Melting_Curves/meltCurve_B4DE93_NDUFV1.pdf")</f>
        <v>Melting_Curves/meltCurve_B4DE93_NDUFV1.pdf</v>
      </c>
    </row>
    <row r="119" spans="1:28" x14ac:dyDescent="0.25">
      <c r="A119" t="s">
        <v>123</v>
      </c>
      <c r="B119">
        <v>0.995954080203443</v>
      </c>
      <c r="C119">
        <v>0.78479148314333602</v>
      </c>
      <c r="D119">
        <v>0.499895027872019</v>
      </c>
      <c r="E119">
        <v>0.43726238503818099</v>
      </c>
      <c r="F119">
        <v>0.223691022689187</v>
      </c>
      <c r="G119">
        <v>0.120200001750604</v>
      </c>
      <c r="H119">
        <v>7.9852882344578102E-2</v>
      </c>
      <c r="I119">
        <v>8.1977911445672999E-2</v>
      </c>
      <c r="J119">
        <v>9.1447133265408306E-2</v>
      </c>
      <c r="K119">
        <v>8.8267796474012603E-2</v>
      </c>
      <c r="L119">
        <v>629.28314769771396</v>
      </c>
      <c r="M119">
        <v>13.4327339836139</v>
      </c>
      <c r="N119">
        <v>47.334662424514804</v>
      </c>
      <c r="O119">
        <v>45.845301076491303</v>
      </c>
      <c r="P119">
        <v>-6.8527450437421894E-2</v>
      </c>
      <c r="Q119">
        <v>6.4621745475505393E-2</v>
      </c>
      <c r="R119">
        <v>0.97497411899047004</v>
      </c>
      <c r="S119" t="s">
        <v>6925</v>
      </c>
      <c r="T119" t="s">
        <v>13610</v>
      </c>
      <c r="U119" t="s">
        <v>13610</v>
      </c>
      <c r="V119" t="s">
        <v>13610</v>
      </c>
      <c r="W119" t="s">
        <v>13727</v>
      </c>
      <c r="X119">
        <v>8</v>
      </c>
      <c r="Y119" t="s">
        <v>20448</v>
      </c>
      <c r="Z119" t="s">
        <v>26974</v>
      </c>
      <c r="AA119">
        <v>0.31016526507402198</v>
      </c>
      <c r="AB119" t="str">
        <f>HYPERLINK("Melting_Curves/meltCurve_B4DFA2_NSF.pdf", "Melting_Curves/meltCurve_B4DFA2_NSF.pdf")</f>
        <v>Melting_Curves/meltCurve_B4DFA2_NSF.pdf</v>
      </c>
    </row>
    <row r="120" spans="1:28" x14ac:dyDescent="0.25">
      <c r="A120" t="s">
        <v>124</v>
      </c>
      <c r="B120">
        <v>0.995954080203443</v>
      </c>
      <c r="C120">
        <v>1.02232417439029</v>
      </c>
      <c r="D120">
        <v>0.97895132014393504</v>
      </c>
      <c r="E120">
        <v>0.866890403605453</v>
      </c>
      <c r="F120">
        <v>0.80161285250803704</v>
      </c>
      <c r="G120">
        <v>0.63131805110883399</v>
      </c>
      <c r="H120">
        <v>0.627892838568754</v>
      </c>
      <c r="I120">
        <v>0.72838538199560898</v>
      </c>
      <c r="J120">
        <v>0.966042661490782</v>
      </c>
      <c r="K120">
        <v>0.86393985818500996</v>
      </c>
      <c r="L120">
        <v>2015.2812916385999</v>
      </c>
      <c r="M120">
        <v>40.588986610564703</v>
      </c>
      <c r="O120">
        <v>49.530886543725799</v>
      </c>
      <c r="P120">
        <v>-4.77964967122902E-2</v>
      </c>
      <c r="Q120">
        <v>0.76669556967789898</v>
      </c>
      <c r="R120">
        <v>0.54226233865575602</v>
      </c>
      <c r="S120" t="s">
        <v>6926</v>
      </c>
      <c r="T120" t="s">
        <v>13610</v>
      </c>
      <c r="U120" t="s">
        <v>13610</v>
      </c>
      <c r="V120" t="s">
        <v>13610</v>
      </c>
      <c r="W120" t="s">
        <v>13728</v>
      </c>
      <c r="X120">
        <v>12</v>
      </c>
      <c r="Y120" t="s">
        <v>20449</v>
      </c>
      <c r="Z120" t="s">
        <v>26975</v>
      </c>
      <c r="AA120">
        <v>0.84252696751255785</v>
      </c>
      <c r="AB120" t="str">
        <f>HYPERLINK("Melting_Curves/meltCurve_B4DFG0_DEK.pdf", "Melting_Curves/meltCurve_B4DFG0_DEK.pdf")</f>
        <v>Melting_Curves/meltCurve_B4DFG0_DEK.pdf</v>
      </c>
    </row>
    <row r="121" spans="1:28" x14ac:dyDescent="0.25">
      <c r="A121" t="s">
        <v>125</v>
      </c>
      <c r="B121">
        <v>0.995954080203443</v>
      </c>
      <c r="C121">
        <v>0.69643033437470803</v>
      </c>
      <c r="D121">
        <v>0.50663354635900404</v>
      </c>
      <c r="E121">
        <v>0.45537772796597398</v>
      </c>
      <c r="F121">
        <v>0.31166267583339102</v>
      </c>
      <c r="G121">
        <v>0.223791796580248</v>
      </c>
      <c r="H121">
        <v>0.21389127291418</v>
      </c>
      <c r="I121">
        <v>0.24993546455452101</v>
      </c>
      <c r="J121">
        <v>0.30559303986108499</v>
      </c>
      <c r="K121">
        <v>0.27242090470624503</v>
      </c>
      <c r="L121">
        <v>749.11020419001102</v>
      </c>
      <c r="M121">
        <v>16.7822211593468</v>
      </c>
      <c r="N121">
        <v>46.650600557312501</v>
      </c>
      <c r="O121">
        <v>44.017776646704</v>
      </c>
      <c r="P121">
        <v>-7.0759283068534504E-2</v>
      </c>
      <c r="Q121">
        <v>0.25767525988846002</v>
      </c>
      <c r="R121">
        <v>0.950787198807998</v>
      </c>
      <c r="S121" t="s">
        <v>6927</v>
      </c>
      <c r="T121" t="s">
        <v>13610</v>
      </c>
      <c r="U121" t="s">
        <v>13610</v>
      </c>
      <c r="V121" t="s">
        <v>13610</v>
      </c>
      <c r="W121" t="s">
        <v>13729</v>
      </c>
      <c r="X121">
        <v>1</v>
      </c>
      <c r="Y121" t="s">
        <v>20450</v>
      </c>
      <c r="Z121" t="s">
        <v>26976</v>
      </c>
      <c r="AA121">
        <v>0.3919561657296049</v>
      </c>
      <c r="AB121" t="str">
        <f>HYPERLINK("Melting_Curves/meltCurve_B4DFG6_MRPS18B.pdf", "Melting_Curves/meltCurve_B4DFG6_MRPS18B.pdf")</f>
        <v>Melting_Curves/meltCurve_B4DFG6_MRPS18B.pdf</v>
      </c>
    </row>
    <row r="122" spans="1:28" x14ac:dyDescent="0.25">
      <c r="A122" t="s">
        <v>126</v>
      </c>
      <c r="B122">
        <v>0.995954080203443</v>
      </c>
      <c r="C122">
        <v>0.94253053887403204</v>
      </c>
      <c r="D122">
        <v>0.72060691618706296</v>
      </c>
      <c r="E122">
        <v>0.25398600671646099</v>
      </c>
      <c r="F122">
        <v>0.17230098813317199</v>
      </c>
      <c r="G122">
        <v>0.12702985258743199</v>
      </c>
      <c r="H122">
        <v>0.10328926362157601</v>
      </c>
      <c r="I122">
        <v>0.12945745776636</v>
      </c>
      <c r="J122">
        <v>0.15151636992269299</v>
      </c>
      <c r="K122">
        <v>0.15623788004440001</v>
      </c>
      <c r="L122">
        <v>1417.61902008227</v>
      </c>
      <c r="M122">
        <v>30.106457643260502</v>
      </c>
      <c r="N122">
        <v>47.576803715121102</v>
      </c>
      <c r="O122">
        <v>46.880593396014298</v>
      </c>
      <c r="P122">
        <v>-0.13915143206064501</v>
      </c>
      <c r="Q122">
        <v>0.13328098943723199</v>
      </c>
      <c r="R122">
        <v>0.99802728603639901</v>
      </c>
      <c r="S122" t="s">
        <v>6928</v>
      </c>
      <c r="T122" t="s">
        <v>13610</v>
      </c>
      <c r="U122" t="s">
        <v>13610</v>
      </c>
      <c r="V122" t="s">
        <v>13610</v>
      </c>
      <c r="W122" t="s">
        <v>13730</v>
      </c>
      <c r="X122">
        <v>15</v>
      </c>
      <c r="Y122" t="s">
        <v>20451</v>
      </c>
      <c r="Z122" t="s">
        <v>26977</v>
      </c>
      <c r="AA122">
        <v>0.34318385071761132</v>
      </c>
      <c r="AB122" t="str">
        <f>HYPERLINK("Melting_Curves/meltCurve_B4DFL2_IDH2.pdf", "Melting_Curves/meltCurve_B4DFL2_IDH2.pdf")</f>
        <v>Melting_Curves/meltCurve_B4DFL2_IDH2.pdf</v>
      </c>
    </row>
    <row r="123" spans="1:28" x14ac:dyDescent="0.25">
      <c r="A123" t="s">
        <v>127</v>
      </c>
      <c r="B123">
        <v>0.995954080203443</v>
      </c>
      <c r="C123">
        <v>1.0040272287713801</v>
      </c>
      <c r="D123">
        <v>0.95030084281818505</v>
      </c>
      <c r="E123">
        <v>0.85296474480609297</v>
      </c>
      <c r="F123">
        <v>0.61013770226066599</v>
      </c>
      <c r="G123">
        <v>0.28791410993432898</v>
      </c>
      <c r="H123">
        <v>0.19107027821788</v>
      </c>
      <c r="I123">
        <v>0.15444680601248001</v>
      </c>
      <c r="J123">
        <v>0.15833749695316501</v>
      </c>
      <c r="K123">
        <v>0.151868640263012</v>
      </c>
      <c r="L123">
        <v>1259.2729920218601</v>
      </c>
      <c r="M123">
        <v>23.621171366278201</v>
      </c>
      <c r="N123">
        <v>54.100396375222601</v>
      </c>
      <c r="O123">
        <v>52.9335008723708</v>
      </c>
      <c r="P123">
        <v>-9.5303570527548398E-2</v>
      </c>
      <c r="Q123">
        <v>0.14573782717723999</v>
      </c>
      <c r="R123">
        <v>0.99906016012364596</v>
      </c>
      <c r="S123" t="s">
        <v>6929</v>
      </c>
      <c r="T123" t="s">
        <v>13610</v>
      </c>
      <c r="U123" t="s">
        <v>13610</v>
      </c>
      <c r="V123" t="s">
        <v>13610</v>
      </c>
      <c r="W123" t="s">
        <v>13731</v>
      </c>
      <c r="X123">
        <v>6</v>
      </c>
      <c r="Y123" t="s">
        <v>20452</v>
      </c>
      <c r="Z123" t="s">
        <v>26978</v>
      </c>
      <c r="AA123">
        <v>0.53352912726235802</v>
      </c>
      <c r="AB123" t="str">
        <f>HYPERLINK("Melting_Curves/meltCurve_B4DGU4_CTNNB1.pdf", "Melting_Curves/meltCurve_B4DGU4_CTNNB1.pdf")</f>
        <v>Melting_Curves/meltCurve_B4DGU4_CTNNB1.pdf</v>
      </c>
    </row>
    <row r="124" spans="1:28" x14ac:dyDescent="0.25">
      <c r="A124" t="s">
        <v>128</v>
      </c>
      <c r="B124">
        <v>0.995954080203443</v>
      </c>
      <c r="C124">
        <v>1.1424265381277501</v>
      </c>
      <c r="D124">
        <v>1.5365746125234701</v>
      </c>
      <c r="E124">
        <v>1.4883347459346501</v>
      </c>
      <c r="F124">
        <v>1.2585038878149899</v>
      </c>
      <c r="G124">
        <v>1.23629939014461</v>
      </c>
      <c r="H124">
        <v>1.4839861623986299</v>
      </c>
      <c r="I124">
        <v>1.67416855243762</v>
      </c>
      <c r="J124">
        <v>2.63308315358403</v>
      </c>
      <c r="K124">
        <v>2.5526657065910299</v>
      </c>
      <c r="L124">
        <v>10764.490064474099</v>
      </c>
      <c r="M124">
        <v>250</v>
      </c>
      <c r="O124">
        <v>43.055205021549497</v>
      </c>
      <c r="P124">
        <v>0.72581236477862998</v>
      </c>
      <c r="Q124">
        <v>1.5</v>
      </c>
      <c r="R124">
        <v>9.9351393084634101E-2</v>
      </c>
      <c r="S124" t="s">
        <v>6930</v>
      </c>
      <c r="T124" t="s">
        <v>13610</v>
      </c>
      <c r="U124" t="s">
        <v>13610</v>
      </c>
      <c r="V124" t="s">
        <v>13610</v>
      </c>
      <c r="W124" t="s">
        <v>13732</v>
      </c>
      <c r="X124">
        <v>15</v>
      </c>
      <c r="Y124" t="s">
        <v>20453</v>
      </c>
      <c r="Z124" t="s">
        <v>26979</v>
      </c>
      <c r="AA124">
        <v>1.448996212664351</v>
      </c>
      <c r="AB124" t="str">
        <f>HYPERLINK("Melting_Curves/meltCurve_B4DGX0_EIF2B1.pdf", "Melting_Curves/meltCurve_B4DGX0_EIF2B1.pdf")</f>
        <v>Melting_Curves/meltCurve_B4DGX0_EIF2B1.pdf</v>
      </c>
    </row>
    <row r="125" spans="1:28" x14ac:dyDescent="0.25">
      <c r="A125" t="s">
        <v>129</v>
      </c>
      <c r="B125">
        <v>0.995954080203443</v>
      </c>
      <c r="C125">
        <v>0.87344968148281799</v>
      </c>
      <c r="D125">
        <v>0.740278676516404</v>
      </c>
      <c r="E125">
        <v>0.54411745351804697</v>
      </c>
      <c r="F125">
        <v>0.34507812179244102</v>
      </c>
      <c r="G125">
        <v>0.19358167845552099</v>
      </c>
      <c r="H125">
        <v>0.12191980832192199</v>
      </c>
      <c r="I125">
        <v>0.108789662359997</v>
      </c>
      <c r="J125">
        <v>0.14355754841269799</v>
      </c>
      <c r="K125">
        <v>0.106668610657652</v>
      </c>
      <c r="L125">
        <v>675.19675784699598</v>
      </c>
      <c r="M125">
        <v>13.646759306499799</v>
      </c>
      <c r="N125">
        <v>50.141722137329097</v>
      </c>
      <c r="O125">
        <v>48.450594396225199</v>
      </c>
      <c r="P125">
        <v>-6.4596372444685607E-2</v>
      </c>
      <c r="Q125">
        <v>8.2778998384043401E-2</v>
      </c>
      <c r="R125">
        <v>0.99463898342559198</v>
      </c>
      <c r="S125" t="s">
        <v>6931</v>
      </c>
      <c r="T125" t="s">
        <v>13610</v>
      </c>
      <c r="U125" t="s">
        <v>13610</v>
      </c>
      <c r="V125" t="s">
        <v>13610</v>
      </c>
      <c r="W125" t="s">
        <v>13733</v>
      </c>
      <c r="X125">
        <v>13</v>
      </c>
      <c r="Y125" t="s">
        <v>20454</v>
      </c>
      <c r="Z125" t="s">
        <v>26980</v>
      </c>
      <c r="AA125">
        <v>0.39888055670651967</v>
      </c>
      <c r="AB125" t="str">
        <f>HYPERLINK("Melting_Curves/meltCurve_B4DGX2_PIP4K2A.pdf", "Melting_Curves/meltCurve_B4DGX2_PIP4K2A.pdf")</f>
        <v>Melting_Curves/meltCurve_B4DGX2_PIP4K2A.pdf</v>
      </c>
    </row>
    <row r="126" spans="1:28" x14ac:dyDescent="0.25">
      <c r="A126" t="s">
        <v>130</v>
      </c>
      <c r="B126">
        <v>0.995954080203443</v>
      </c>
      <c r="C126">
        <v>0.98261666322079599</v>
      </c>
      <c r="D126">
        <v>0.83612994459359002</v>
      </c>
      <c r="E126">
        <v>0.49908433805451602</v>
      </c>
      <c r="F126">
        <v>0.26363958258465903</v>
      </c>
      <c r="G126">
        <v>0.18444325149020199</v>
      </c>
      <c r="H126">
        <v>0.149971674055705</v>
      </c>
      <c r="I126">
        <v>0.163835670572926</v>
      </c>
      <c r="J126">
        <v>0.188679956733458</v>
      </c>
      <c r="K126">
        <v>0.185316851276636</v>
      </c>
      <c r="L126">
        <v>1179.4293412438799</v>
      </c>
      <c r="M126">
        <v>24.094395957947</v>
      </c>
      <c r="N126">
        <v>49.7830186900161</v>
      </c>
      <c r="O126">
        <v>48.616911016852299</v>
      </c>
      <c r="P126">
        <v>-0.10335298905946901</v>
      </c>
      <c r="Q126">
        <v>0.16584346433788699</v>
      </c>
      <c r="R126">
        <v>0.99784093343578995</v>
      </c>
      <c r="S126" t="s">
        <v>6932</v>
      </c>
      <c r="T126" t="s">
        <v>13610</v>
      </c>
      <c r="U126" t="s">
        <v>13610</v>
      </c>
      <c r="V126" t="s">
        <v>13610</v>
      </c>
      <c r="W126" t="s">
        <v>13734</v>
      </c>
      <c r="X126">
        <v>29</v>
      </c>
      <c r="Y126" t="s">
        <v>20455</v>
      </c>
      <c r="Z126" t="s">
        <v>26981</v>
      </c>
      <c r="AA126">
        <v>0.42268420215383529</v>
      </c>
      <c r="AB126" t="str">
        <f>HYPERLINK("Melting_Curves/meltCurve_B4DH53_MAP1S.pdf", "Melting_Curves/meltCurve_B4DH53_MAP1S.pdf")</f>
        <v>Melting_Curves/meltCurve_B4DH53_MAP1S.pdf</v>
      </c>
    </row>
    <row r="127" spans="1:28" x14ac:dyDescent="0.25">
      <c r="A127" t="s">
        <v>131</v>
      </c>
      <c r="B127">
        <v>0.995954080203443</v>
      </c>
      <c r="C127">
        <v>0.907331737524673</v>
      </c>
      <c r="D127">
        <v>0.87743587761809505</v>
      </c>
      <c r="E127">
        <v>0.80838739547079097</v>
      </c>
      <c r="F127">
        <v>0.72545295397059395</v>
      </c>
      <c r="G127">
        <v>0.56653879723884604</v>
      </c>
      <c r="H127">
        <v>0.45023037490204298</v>
      </c>
      <c r="I127">
        <v>0.50306202200182604</v>
      </c>
      <c r="J127">
        <v>0.47531741088763602</v>
      </c>
      <c r="K127">
        <v>0.208198315154348</v>
      </c>
      <c r="L127">
        <v>371.68815030412497</v>
      </c>
      <c r="M127">
        <v>6.0840735393119099</v>
      </c>
      <c r="N127">
        <v>61.091988785455399</v>
      </c>
      <c r="O127">
        <v>55.477095196485699</v>
      </c>
      <c r="P127">
        <v>-2.7501532191356301E-2</v>
      </c>
      <c r="Q127">
        <v>0</v>
      </c>
      <c r="R127">
        <v>0.93892632173762303</v>
      </c>
      <c r="S127" t="s">
        <v>6933</v>
      </c>
      <c r="T127" t="s">
        <v>13610</v>
      </c>
      <c r="U127" t="s">
        <v>13610</v>
      </c>
      <c r="V127" t="s">
        <v>13610</v>
      </c>
      <c r="W127" t="s">
        <v>13735</v>
      </c>
      <c r="X127">
        <v>1</v>
      </c>
      <c r="Y127" t="s">
        <v>20456</v>
      </c>
      <c r="Z127" t="s">
        <v>26982</v>
      </c>
      <c r="AA127">
        <v>0.65554739717989363</v>
      </c>
      <c r="AB127" t="str">
        <f>HYPERLINK("Melting_Curves/meltCurve_B4DI94_NEGR1.pdf", "Melting_Curves/meltCurve_B4DI94_NEGR1.pdf")</f>
        <v>Melting_Curves/meltCurve_B4DI94_NEGR1.pdf</v>
      </c>
    </row>
    <row r="128" spans="1:28" x14ac:dyDescent="0.25">
      <c r="A128" t="s">
        <v>132</v>
      </c>
      <c r="B128">
        <v>0.995954080203443</v>
      </c>
      <c r="C128">
        <v>0.95171035198878795</v>
      </c>
      <c r="D128">
        <v>0.87577914091343601</v>
      </c>
      <c r="E128">
        <v>0.756959069270981</v>
      </c>
      <c r="F128">
        <v>0.48047535821489901</v>
      </c>
      <c r="G128">
        <v>0.173313397445338</v>
      </c>
      <c r="H128">
        <v>0.112510645233419</v>
      </c>
      <c r="I128">
        <v>9.5092540218390698E-2</v>
      </c>
      <c r="J128">
        <v>0.13028020860247699</v>
      </c>
      <c r="K128">
        <v>0.106683626852214</v>
      </c>
      <c r="L128">
        <v>1103.37782182922</v>
      </c>
      <c r="M128">
        <v>21.188161031080298</v>
      </c>
      <c r="N128">
        <v>52.559829657896898</v>
      </c>
      <c r="O128">
        <v>51.617992637916601</v>
      </c>
      <c r="P128">
        <v>-9.3516836008986706E-2</v>
      </c>
      <c r="Q128">
        <v>8.8731416118559503E-2</v>
      </c>
      <c r="R128">
        <v>0.99190069658680902</v>
      </c>
      <c r="S128" t="s">
        <v>6934</v>
      </c>
      <c r="T128" t="s">
        <v>13610</v>
      </c>
      <c r="U128" t="s">
        <v>13610</v>
      </c>
      <c r="V128" t="s">
        <v>13610</v>
      </c>
      <c r="W128" t="s">
        <v>13736</v>
      </c>
      <c r="X128">
        <v>6</v>
      </c>
      <c r="Y128" t="s">
        <v>20457</v>
      </c>
      <c r="Z128" t="s">
        <v>26983</v>
      </c>
      <c r="AA128">
        <v>0.46688137829636112</v>
      </c>
      <c r="AB128" t="str">
        <f>HYPERLINK("Melting_Curves/meltCurve_B4DIP4_EIF2AK1.pdf", "Melting_Curves/meltCurve_B4DIP4_EIF2AK1.pdf")</f>
        <v>Melting_Curves/meltCurve_B4DIP4_EIF2AK1.pdf</v>
      </c>
    </row>
    <row r="129" spans="1:28" x14ac:dyDescent="0.25">
      <c r="A129" t="s">
        <v>133</v>
      </c>
      <c r="B129">
        <v>0.995954080203443</v>
      </c>
      <c r="C129">
        <v>0.87027440799390599</v>
      </c>
      <c r="D129">
        <v>1.09900288491633</v>
      </c>
      <c r="E129">
        <v>0.70632299086374095</v>
      </c>
      <c r="F129">
        <v>0.71677581414532299</v>
      </c>
      <c r="G129">
        <v>0.42593189372583601</v>
      </c>
      <c r="H129">
        <v>0.56069695638268902</v>
      </c>
      <c r="I129">
        <v>0.57621826209621496</v>
      </c>
      <c r="J129">
        <v>1.01268726025955</v>
      </c>
      <c r="K129">
        <v>0.51073796564844198</v>
      </c>
      <c r="L129">
        <v>5592.4217244346</v>
      </c>
      <c r="M129">
        <v>113.239987574664</v>
      </c>
      <c r="O129">
        <v>49.370177247757503</v>
      </c>
      <c r="P129">
        <v>-0.21000951523171299</v>
      </c>
      <c r="Q129">
        <v>0.63376165185600297</v>
      </c>
      <c r="R129">
        <v>0.50888704459655398</v>
      </c>
      <c r="S129" t="s">
        <v>6935</v>
      </c>
      <c r="T129" t="s">
        <v>13610</v>
      </c>
      <c r="U129" t="s">
        <v>13610</v>
      </c>
      <c r="V129" t="s">
        <v>13610</v>
      </c>
      <c r="W129" t="s">
        <v>13737</v>
      </c>
      <c r="X129">
        <v>2</v>
      </c>
      <c r="Y129" t="s">
        <v>20458</v>
      </c>
      <c r="Z129" t="s">
        <v>26984</v>
      </c>
      <c r="AA129">
        <v>0.74849505838411523</v>
      </c>
      <c r="AB129" t="str">
        <f>HYPERLINK("Melting_Curves/meltCurve_B4DIQ3_RWDD2A.pdf", "Melting_Curves/meltCurve_B4DIQ3_RWDD2A.pdf")</f>
        <v>Melting_Curves/meltCurve_B4DIQ3_RWDD2A.pdf</v>
      </c>
    </row>
    <row r="130" spans="1:28" x14ac:dyDescent="0.25">
      <c r="A130" t="s">
        <v>134</v>
      </c>
      <c r="B130">
        <v>0.995954080203443</v>
      </c>
      <c r="C130">
        <v>0.94583040888977299</v>
      </c>
      <c r="D130">
        <v>0.83080201775213203</v>
      </c>
      <c r="E130">
        <v>0.67899845332223996</v>
      </c>
      <c r="F130">
        <v>0.32169414317856199</v>
      </c>
      <c r="G130">
        <v>0.18556947619483799</v>
      </c>
      <c r="H130">
        <v>6.6587121182888898E-2</v>
      </c>
      <c r="I130">
        <v>7.2162869167464297E-2</v>
      </c>
      <c r="J130">
        <v>9.1762302485339606E-2</v>
      </c>
      <c r="K130">
        <v>7.1398925754244599E-2</v>
      </c>
      <c r="L130">
        <v>929.757593107606</v>
      </c>
      <c r="M130">
        <v>18.2416379795403</v>
      </c>
      <c r="N130">
        <v>51.292449952598602</v>
      </c>
      <c r="O130">
        <v>50.368291478593697</v>
      </c>
      <c r="P130">
        <v>-8.5625530773416503E-2</v>
      </c>
      <c r="Q130">
        <v>5.4337237766021299E-2</v>
      </c>
      <c r="R130">
        <v>0.99103838624910301</v>
      </c>
      <c r="S130" t="s">
        <v>6936</v>
      </c>
      <c r="T130" t="s">
        <v>13610</v>
      </c>
      <c r="U130" t="s">
        <v>13610</v>
      </c>
      <c r="V130" t="s">
        <v>13610</v>
      </c>
      <c r="W130" t="s">
        <v>13738</v>
      </c>
      <c r="X130">
        <v>2</v>
      </c>
      <c r="Y130" t="s">
        <v>20459</v>
      </c>
      <c r="Z130" t="s">
        <v>26985</v>
      </c>
      <c r="AA130">
        <v>0.41566147475884507</v>
      </c>
      <c r="AB130" t="str">
        <f>HYPERLINK("Melting_Curves/meltCurve_B4DJ68_TDRKH.pdf", "Melting_Curves/meltCurve_B4DJ68_TDRKH.pdf")</f>
        <v>Melting_Curves/meltCurve_B4DJ68_TDRKH.pdf</v>
      </c>
    </row>
    <row r="131" spans="1:28" x14ac:dyDescent="0.25">
      <c r="A131" t="s">
        <v>135</v>
      </c>
      <c r="B131">
        <v>0.995954080203443</v>
      </c>
      <c r="C131">
        <v>1.0547971427284699</v>
      </c>
      <c r="D131">
        <v>0.972059628523675</v>
      </c>
      <c r="E131">
        <v>0.92289054052625996</v>
      </c>
      <c r="F131">
        <v>0.74371677294054395</v>
      </c>
      <c r="G131">
        <v>0.33161882148764699</v>
      </c>
      <c r="H131">
        <v>7.7823483656691395E-2</v>
      </c>
      <c r="I131">
        <v>5.0805203202087201E-2</v>
      </c>
      <c r="J131">
        <v>5.2557285186644098E-2</v>
      </c>
      <c r="K131">
        <v>3.8734715465469798E-2</v>
      </c>
      <c r="L131">
        <v>1411.5794162821201</v>
      </c>
      <c r="M131">
        <v>25.610700611629898</v>
      </c>
      <c r="N131">
        <v>55.241335240047697</v>
      </c>
      <c r="O131">
        <v>54.784034397113999</v>
      </c>
      <c r="P131">
        <v>-0.11359359435192801</v>
      </c>
      <c r="Q131">
        <v>2.8056368465886099E-2</v>
      </c>
      <c r="R131">
        <v>0.997390259251415</v>
      </c>
      <c r="S131" t="s">
        <v>6937</v>
      </c>
      <c r="T131" t="s">
        <v>13610</v>
      </c>
      <c r="U131" t="s">
        <v>13610</v>
      </c>
      <c r="V131" t="s">
        <v>13610</v>
      </c>
      <c r="W131" t="s">
        <v>13739</v>
      </c>
      <c r="X131">
        <v>8</v>
      </c>
      <c r="Y131" t="s">
        <v>20460</v>
      </c>
      <c r="Z131" t="s">
        <v>26986</v>
      </c>
      <c r="AA131">
        <v>0.52642737454308575</v>
      </c>
      <c r="AB131" t="str">
        <f>HYPERLINK("Melting_Curves/meltCurve_B4DJA5_RAB5A.pdf", "Melting_Curves/meltCurve_B4DJA5_RAB5A.pdf")</f>
        <v>Melting_Curves/meltCurve_B4DJA5_RAB5A.pdf</v>
      </c>
    </row>
    <row r="132" spans="1:28" x14ac:dyDescent="0.25">
      <c r="A132" t="s">
        <v>136</v>
      </c>
      <c r="B132">
        <v>0.995954080203443</v>
      </c>
      <c r="C132">
        <v>0.85505885964336703</v>
      </c>
      <c r="D132">
        <v>0.75488065151147898</v>
      </c>
      <c r="E132">
        <v>0.86688395870481905</v>
      </c>
      <c r="F132">
        <v>0.72350796361960201</v>
      </c>
      <c r="G132">
        <v>0.57247921518318901</v>
      </c>
      <c r="H132">
        <v>0.41504801206300301</v>
      </c>
      <c r="I132">
        <v>0.39615660216613002</v>
      </c>
      <c r="J132">
        <v>0.43588444460617598</v>
      </c>
      <c r="K132">
        <v>0.31354067242634698</v>
      </c>
      <c r="L132">
        <v>343.045738093767</v>
      </c>
      <c r="M132">
        <v>5.7431971341950696</v>
      </c>
      <c r="N132">
        <v>60.406399100506597</v>
      </c>
      <c r="O132">
        <v>53.677902451832303</v>
      </c>
      <c r="P132">
        <v>-2.6014410116987099E-2</v>
      </c>
      <c r="Q132">
        <v>3.1106489907203601E-2</v>
      </c>
      <c r="R132">
        <v>0.92526519033430699</v>
      </c>
      <c r="S132" t="s">
        <v>6938</v>
      </c>
      <c r="T132" t="s">
        <v>13610</v>
      </c>
      <c r="U132" t="s">
        <v>13610</v>
      </c>
      <c r="V132" t="s">
        <v>13610</v>
      </c>
      <c r="W132" t="s">
        <v>13740</v>
      </c>
      <c r="X132">
        <v>4</v>
      </c>
      <c r="Y132" t="s">
        <v>20461</v>
      </c>
      <c r="Z132" t="s">
        <v>26987</v>
      </c>
      <c r="AA132">
        <v>0.63595824589533012</v>
      </c>
      <c r="AB132" t="str">
        <f>HYPERLINK("Melting_Curves/meltCurve_B4DJP7_SNRPD3.pdf", "Melting_Curves/meltCurve_B4DJP7_SNRPD3.pdf")</f>
        <v>Melting_Curves/meltCurve_B4DJP7_SNRPD3.pdf</v>
      </c>
    </row>
    <row r="133" spans="1:28" x14ac:dyDescent="0.25">
      <c r="A133" t="s">
        <v>137</v>
      </c>
      <c r="B133">
        <v>0.995954080203443</v>
      </c>
      <c r="C133">
        <v>0.914344863315803</v>
      </c>
      <c r="D133">
        <v>0.842283242209803</v>
      </c>
      <c r="E133">
        <v>0.63489565414585103</v>
      </c>
      <c r="F133">
        <v>0.27506978641528101</v>
      </c>
      <c r="G133">
        <v>9.9172382998833894E-2</v>
      </c>
      <c r="H133">
        <v>6.3619108514357398E-2</v>
      </c>
      <c r="I133">
        <v>5.5162424009127298E-2</v>
      </c>
      <c r="J133">
        <v>6.0105261099789399E-2</v>
      </c>
      <c r="K133">
        <v>5.2261319054165298E-2</v>
      </c>
      <c r="L133">
        <v>1019.2576967953401</v>
      </c>
      <c r="M133">
        <v>20.158806521726099</v>
      </c>
      <c r="N133">
        <v>50.755235471562798</v>
      </c>
      <c r="O133">
        <v>50.071744683310797</v>
      </c>
      <c r="P133">
        <v>-9.6923896933650097E-2</v>
      </c>
      <c r="Q133">
        <v>3.7047056703505499E-2</v>
      </c>
      <c r="R133">
        <v>0.99190432947757801</v>
      </c>
      <c r="S133" t="s">
        <v>6939</v>
      </c>
      <c r="T133" t="s">
        <v>13610</v>
      </c>
      <c r="U133" t="s">
        <v>13610</v>
      </c>
      <c r="V133" t="s">
        <v>13610</v>
      </c>
      <c r="W133" t="s">
        <v>13741</v>
      </c>
      <c r="X133">
        <v>21</v>
      </c>
      <c r="Y133" t="s">
        <v>20462</v>
      </c>
      <c r="Z133" t="s">
        <v>26988</v>
      </c>
      <c r="AA133">
        <v>0.38923327024749299</v>
      </c>
      <c r="AB133" t="str">
        <f>HYPERLINK("Melting_Curves/meltCurve_B4DJV2_CS.pdf", "Melting_Curves/meltCurve_B4DJV2_CS.pdf")</f>
        <v>Melting_Curves/meltCurve_B4DJV2_CS.pdf</v>
      </c>
    </row>
    <row r="134" spans="1:28" x14ac:dyDescent="0.25">
      <c r="A134" t="s">
        <v>138</v>
      </c>
      <c r="B134">
        <v>0.995954080203443</v>
      </c>
      <c r="C134">
        <v>0.814105061808302</v>
      </c>
      <c r="D134">
        <v>0.56386621064758802</v>
      </c>
      <c r="E134">
        <v>0.36246652557203402</v>
      </c>
      <c r="F134">
        <v>0.25772770896666503</v>
      </c>
      <c r="G134">
        <v>0.17660123296929001</v>
      </c>
      <c r="H134">
        <v>0.15241759289765699</v>
      </c>
      <c r="I134">
        <v>0.11799308402280199</v>
      </c>
      <c r="J134">
        <v>0.153614351510867</v>
      </c>
      <c r="K134">
        <v>0.131666760790905</v>
      </c>
      <c r="L134">
        <v>748.04608861894599</v>
      </c>
      <c r="M134">
        <v>16.116023663064599</v>
      </c>
      <c r="N134">
        <v>47.338145322567499</v>
      </c>
      <c r="O134">
        <v>45.719267071471002</v>
      </c>
      <c r="P134">
        <v>-7.6261887331211003E-2</v>
      </c>
      <c r="Q134">
        <v>0.13468188674746701</v>
      </c>
      <c r="R134">
        <v>0.99304317454648405</v>
      </c>
      <c r="S134" t="s">
        <v>6940</v>
      </c>
      <c r="T134" t="s">
        <v>13610</v>
      </c>
      <c r="U134" t="s">
        <v>13610</v>
      </c>
      <c r="V134" t="s">
        <v>13610</v>
      </c>
      <c r="W134" t="s">
        <v>13742</v>
      </c>
      <c r="X134">
        <v>7</v>
      </c>
      <c r="Y134" t="s">
        <v>20463</v>
      </c>
      <c r="Z134" t="s">
        <v>26989</v>
      </c>
      <c r="AA134">
        <v>0.34076228283518872</v>
      </c>
      <c r="AB134" t="str">
        <f>HYPERLINK("Melting_Curves/meltCurve_B4DK80_TOP3A.pdf", "Melting_Curves/meltCurve_B4DK80_TOP3A.pdf")</f>
        <v>Melting_Curves/meltCurve_B4DK80_TOP3A.pdf</v>
      </c>
    </row>
    <row r="135" spans="1:28" x14ac:dyDescent="0.25">
      <c r="A135" t="s">
        <v>139</v>
      </c>
      <c r="B135">
        <v>0.995954080203443</v>
      </c>
      <c r="C135">
        <v>0.94064339663530905</v>
      </c>
      <c r="D135">
        <v>1.0319428110642299</v>
      </c>
      <c r="E135">
        <v>0.81669443652482898</v>
      </c>
      <c r="F135">
        <v>0.77280146676972294</v>
      </c>
      <c r="G135">
        <v>0.54182591984003503</v>
      </c>
      <c r="H135">
        <v>0.52851094220301098</v>
      </c>
      <c r="I135">
        <v>0.62032795469933499</v>
      </c>
      <c r="J135">
        <v>0.71751924962432601</v>
      </c>
      <c r="K135">
        <v>0.75734543732203496</v>
      </c>
      <c r="L135">
        <v>1595.3606940955899</v>
      </c>
      <c r="M135">
        <v>31.555681930706498</v>
      </c>
      <c r="O135">
        <v>50.355266522302003</v>
      </c>
      <c r="P135">
        <v>-5.6490213574380999E-2</v>
      </c>
      <c r="Q135">
        <v>0.63942285709693003</v>
      </c>
      <c r="R135">
        <v>0.80601721759732003</v>
      </c>
      <c r="S135" t="s">
        <v>6941</v>
      </c>
      <c r="T135" t="s">
        <v>13610</v>
      </c>
      <c r="U135" t="s">
        <v>13610</v>
      </c>
      <c r="V135" t="s">
        <v>13610</v>
      </c>
      <c r="W135" t="s">
        <v>13743</v>
      </c>
      <c r="X135">
        <v>3</v>
      </c>
      <c r="Y135" t="s">
        <v>20464</v>
      </c>
      <c r="Z135" t="s">
        <v>26990</v>
      </c>
      <c r="AA135">
        <v>0.76834281697496842</v>
      </c>
      <c r="AB135" t="str">
        <f>HYPERLINK("Melting_Curves/meltCurve_B4DKF9_ZNF286A.pdf", "Melting_Curves/meltCurve_B4DKF9_ZNF286A.pdf")</f>
        <v>Melting_Curves/meltCurve_B4DKF9_ZNF286A.pdf</v>
      </c>
    </row>
    <row r="136" spans="1:28" x14ac:dyDescent="0.25">
      <c r="A136" t="s">
        <v>140</v>
      </c>
      <c r="B136">
        <v>0.995954080203443</v>
      </c>
      <c r="C136">
        <v>0.91614035417614603</v>
      </c>
      <c r="D136">
        <v>0.80447336343301501</v>
      </c>
      <c r="E136">
        <v>0.62383759480177403</v>
      </c>
      <c r="F136">
        <v>0.460408149408845</v>
      </c>
      <c r="G136">
        <v>0.24860744251031999</v>
      </c>
      <c r="H136">
        <v>0.13735017547629599</v>
      </c>
      <c r="I136">
        <v>0.11290684940214001</v>
      </c>
      <c r="J136">
        <v>0.139766769618585</v>
      </c>
      <c r="K136">
        <v>8.3777607043023603E-2</v>
      </c>
      <c r="L136">
        <v>655.50290179409399</v>
      </c>
      <c r="M136">
        <v>12.7536320517018</v>
      </c>
      <c r="N136">
        <v>51.868101610480501</v>
      </c>
      <c r="O136">
        <v>50.182868496601799</v>
      </c>
      <c r="P136">
        <v>-6.0074894973199601E-2</v>
      </c>
      <c r="Q136">
        <v>5.4651443967710801E-2</v>
      </c>
      <c r="R136">
        <v>0.99600027431593796</v>
      </c>
      <c r="S136" t="s">
        <v>6942</v>
      </c>
      <c r="T136" t="s">
        <v>13610</v>
      </c>
      <c r="U136" t="s">
        <v>13610</v>
      </c>
      <c r="V136" t="s">
        <v>13610</v>
      </c>
      <c r="W136" t="s">
        <v>13744</v>
      </c>
      <c r="X136">
        <v>1</v>
      </c>
      <c r="Y136" t="s">
        <v>20465</v>
      </c>
      <c r="Z136" t="s">
        <v>26991</v>
      </c>
      <c r="AA136">
        <v>0.44141347190947211</v>
      </c>
      <c r="AB136" t="str">
        <f>HYPERLINK("Melting_Curves/meltCurve_B4DKJ3_COMP.pdf", "Melting_Curves/meltCurve_B4DKJ3_COMP.pdf")</f>
        <v>Melting_Curves/meltCurve_B4DKJ3_COMP.pdf</v>
      </c>
    </row>
    <row r="137" spans="1:28" x14ac:dyDescent="0.25">
      <c r="A137" t="s">
        <v>141</v>
      </c>
      <c r="B137">
        <v>0.995954080203443</v>
      </c>
      <c r="C137">
        <v>0.88653629008673296</v>
      </c>
      <c r="D137">
        <v>0.98871429474642403</v>
      </c>
      <c r="E137">
        <v>0.79380382076289402</v>
      </c>
      <c r="F137">
        <v>0.76638031723161903</v>
      </c>
      <c r="G137">
        <v>0.554662422166324</v>
      </c>
      <c r="H137">
        <v>0.50911940574247005</v>
      </c>
      <c r="I137">
        <v>0.55971419766263797</v>
      </c>
      <c r="J137">
        <v>0.80060611828499095</v>
      </c>
      <c r="K137">
        <v>0.74798468876124602</v>
      </c>
      <c r="L137">
        <v>1335.12684908337</v>
      </c>
      <c r="M137">
        <v>26.756404663285402</v>
      </c>
      <c r="O137">
        <v>49.623102697877002</v>
      </c>
      <c r="P137">
        <v>-4.8467805871385397E-2</v>
      </c>
      <c r="Q137">
        <v>0.64044524203069297</v>
      </c>
      <c r="R137">
        <v>0.67572377240287596</v>
      </c>
      <c r="S137" t="s">
        <v>6943</v>
      </c>
      <c r="T137" t="s">
        <v>13610</v>
      </c>
      <c r="U137" t="s">
        <v>13610</v>
      </c>
      <c r="V137" t="s">
        <v>13610</v>
      </c>
      <c r="W137" t="s">
        <v>13745</v>
      </c>
      <c r="X137">
        <v>18</v>
      </c>
      <c r="Y137" t="s">
        <v>20466</v>
      </c>
      <c r="Z137" t="s">
        <v>26992</v>
      </c>
      <c r="AA137">
        <v>0.76188946116644751</v>
      </c>
      <c r="AB137" t="str">
        <f>HYPERLINK("Melting_Curves/meltCurve_B4DKL4_LSR.pdf", "Melting_Curves/meltCurve_B4DKL4_LSR.pdf")</f>
        <v>Melting_Curves/meltCurve_B4DKL4_LSR.pdf</v>
      </c>
    </row>
    <row r="138" spans="1:28" x14ac:dyDescent="0.25">
      <c r="A138" t="s">
        <v>142</v>
      </c>
      <c r="B138">
        <v>0.995954080203443</v>
      </c>
      <c r="C138">
        <v>0.920281196299924</v>
      </c>
      <c r="D138">
        <v>0.91156014255848505</v>
      </c>
      <c r="E138">
        <v>0.73319188948248204</v>
      </c>
      <c r="F138">
        <v>0.51506691717729403</v>
      </c>
      <c r="G138">
        <v>0.34994813877163</v>
      </c>
      <c r="H138">
        <v>0.25397587922974202</v>
      </c>
      <c r="I138">
        <v>0.264586090574847</v>
      </c>
      <c r="J138">
        <v>0.35438185390571902</v>
      </c>
      <c r="K138">
        <v>0.30909589001365501</v>
      </c>
      <c r="L138">
        <v>1034.3694119095901</v>
      </c>
      <c r="M138">
        <v>20.284192478144401</v>
      </c>
      <c r="N138">
        <v>53.200446538728002</v>
      </c>
      <c r="O138">
        <v>50.506026451544898</v>
      </c>
      <c r="P138">
        <v>-7.1849071563011804E-2</v>
      </c>
      <c r="Q138">
        <v>0.28442846263055099</v>
      </c>
      <c r="R138">
        <v>0.98311167598461602</v>
      </c>
      <c r="S138" t="s">
        <v>6944</v>
      </c>
      <c r="T138" t="s">
        <v>13610</v>
      </c>
      <c r="U138" t="s">
        <v>13610</v>
      </c>
      <c r="V138" t="s">
        <v>13610</v>
      </c>
      <c r="W138" t="s">
        <v>13746</v>
      </c>
      <c r="X138">
        <v>5</v>
      </c>
      <c r="Y138" t="s">
        <v>20467</v>
      </c>
      <c r="Z138" t="s">
        <v>26993</v>
      </c>
      <c r="AA138">
        <v>0.55633227068415347</v>
      </c>
      <c r="AB138" t="str">
        <f>HYPERLINK("Melting_Curves/meltCurve_B4DKV7_EPS8L1.pdf", "Melting_Curves/meltCurve_B4DKV7_EPS8L1.pdf")</f>
        <v>Melting_Curves/meltCurve_B4DKV7_EPS8L1.pdf</v>
      </c>
    </row>
    <row r="139" spans="1:28" x14ac:dyDescent="0.25">
      <c r="A139" t="s">
        <v>143</v>
      </c>
      <c r="B139">
        <v>0.995954080203443</v>
      </c>
      <c r="C139">
        <v>0.72587822531004798</v>
      </c>
      <c r="D139">
        <v>0.55773984836692103</v>
      </c>
      <c r="E139">
        <v>0.63898253979625097</v>
      </c>
      <c r="F139">
        <v>0.30468923329922698</v>
      </c>
      <c r="G139">
        <v>0.13585984823092301</v>
      </c>
      <c r="H139">
        <v>7.1730917165732405E-2</v>
      </c>
      <c r="I139">
        <v>6.1576766885928898E-2</v>
      </c>
      <c r="J139">
        <v>6.1384582215646903E-2</v>
      </c>
      <c r="K139">
        <v>6.4643088776320898E-2</v>
      </c>
      <c r="L139">
        <v>498.59314075856099</v>
      </c>
      <c r="M139">
        <v>10.171298627109</v>
      </c>
      <c r="N139">
        <v>49.019614830395298</v>
      </c>
      <c r="O139">
        <v>47.238049918754903</v>
      </c>
      <c r="P139">
        <v>-5.3854543852156503E-2</v>
      </c>
      <c r="Q139">
        <v>0</v>
      </c>
      <c r="R139">
        <v>0.93588407302317</v>
      </c>
      <c r="S139" t="s">
        <v>6945</v>
      </c>
      <c r="T139" t="s">
        <v>13610</v>
      </c>
      <c r="U139" t="s">
        <v>13610</v>
      </c>
      <c r="V139" t="s">
        <v>13610</v>
      </c>
      <c r="W139" t="s">
        <v>13747</v>
      </c>
      <c r="X139">
        <v>2</v>
      </c>
      <c r="Y139" t="s">
        <v>20468</v>
      </c>
      <c r="Z139" t="s">
        <v>26994</v>
      </c>
      <c r="AA139">
        <v>0.34831313535297231</v>
      </c>
      <c r="AB139" t="str">
        <f>HYPERLINK("Melting_Curves/meltCurve_B4DL14_ATP5C1.pdf", "Melting_Curves/meltCurve_B4DL14_ATP5C1.pdf")</f>
        <v>Melting_Curves/meltCurve_B4DL14_ATP5C1.pdf</v>
      </c>
    </row>
    <row r="140" spans="1:28" x14ac:dyDescent="0.25">
      <c r="A140" t="s">
        <v>144</v>
      </c>
      <c r="B140">
        <v>0.995954080203443</v>
      </c>
      <c r="C140">
        <v>0.87356422623568797</v>
      </c>
      <c r="D140">
        <v>0.71530457680388704</v>
      </c>
      <c r="E140">
        <v>0.489108685840772</v>
      </c>
      <c r="F140">
        <v>0.28720627144143401</v>
      </c>
      <c r="G140">
        <v>0.150519807315037</v>
      </c>
      <c r="H140">
        <v>9.4616545296404703E-2</v>
      </c>
      <c r="I140">
        <v>8.6532422883833796E-2</v>
      </c>
      <c r="J140">
        <v>0.10970019728583499</v>
      </c>
      <c r="K140">
        <v>9.81208561575177E-2</v>
      </c>
      <c r="L140">
        <v>721.33442354464205</v>
      </c>
      <c r="M140">
        <v>14.7713693715947</v>
      </c>
      <c r="N140">
        <v>49.339004350261298</v>
      </c>
      <c r="O140">
        <v>47.9644659912002</v>
      </c>
      <c r="P140">
        <v>-7.1590185321219899E-2</v>
      </c>
      <c r="Q140">
        <v>7.0250766690632793E-2</v>
      </c>
      <c r="R140">
        <v>0.99594846968966699</v>
      </c>
      <c r="S140" t="s">
        <v>6946</v>
      </c>
      <c r="T140" t="s">
        <v>13610</v>
      </c>
      <c r="U140" t="s">
        <v>13610</v>
      </c>
      <c r="V140" t="s">
        <v>13610</v>
      </c>
      <c r="W140" t="s">
        <v>13748</v>
      </c>
      <c r="X140">
        <v>5</v>
      </c>
      <c r="Y140" t="s">
        <v>20469</v>
      </c>
      <c r="Z140" t="s">
        <v>26995</v>
      </c>
      <c r="AA140">
        <v>0.36778174635748362</v>
      </c>
      <c r="AB140" t="str">
        <f>HYPERLINK("Melting_Curves/meltCurve_B4DL54_CHURC1_FNTB.pdf", "Melting_Curves/meltCurve_B4DL54_CHURC1_FNTB.pdf")</f>
        <v>Melting_Curves/meltCurve_B4DL54_CHURC1_FNTB.pdf</v>
      </c>
    </row>
    <row r="141" spans="1:28" x14ac:dyDescent="0.25">
      <c r="A141" t="s">
        <v>145</v>
      </c>
      <c r="B141">
        <v>0.995954080203443</v>
      </c>
      <c r="C141">
        <v>0.89549633992037503</v>
      </c>
      <c r="D141">
        <v>0.63465121480847297</v>
      </c>
      <c r="E141">
        <v>0.41674138487345902</v>
      </c>
      <c r="F141">
        <v>0.186534827307693</v>
      </c>
      <c r="G141">
        <v>0.115665246691429</v>
      </c>
      <c r="H141">
        <v>5.9705133081927597E-2</v>
      </c>
      <c r="I141">
        <v>4.14638045686598E-2</v>
      </c>
      <c r="J141">
        <v>4.3929156493556297E-2</v>
      </c>
      <c r="K141">
        <v>4.3773861430512401E-2</v>
      </c>
      <c r="L141">
        <v>760.45302914754404</v>
      </c>
      <c r="M141">
        <v>15.8192098251654</v>
      </c>
      <c r="N141">
        <v>48.2688936881232</v>
      </c>
      <c r="O141">
        <v>47.322971028321597</v>
      </c>
      <c r="P141">
        <v>-8.0959440926569703E-2</v>
      </c>
      <c r="Q141">
        <v>3.1322771262316203E-2</v>
      </c>
      <c r="R141">
        <v>0.99470046253434896</v>
      </c>
      <c r="S141" t="s">
        <v>6947</v>
      </c>
      <c r="T141" t="s">
        <v>13610</v>
      </c>
      <c r="U141" t="s">
        <v>13610</v>
      </c>
      <c r="V141" t="s">
        <v>13610</v>
      </c>
      <c r="W141" t="s">
        <v>13749</v>
      </c>
      <c r="X141">
        <v>5</v>
      </c>
      <c r="Y141" t="s">
        <v>20470</v>
      </c>
      <c r="Z141" t="s">
        <v>26996</v>
      </c>
      <c r="AA141">
        <v>0.3142919007597097</v>
      </c>
      <c r="AB141" t="str">
        <f>HYPERLINK("Melting_Curves/meltCurve_B4DL79_KIF20A.pdf", "Melting_Curves/meltCurve_B4DL79_KIF20A.pdf")</f>
        <v>Melting_Curves/meltCurve_B4DL79_KIF20A.pdf</v>
      </c>
    </row>
    <row r="142" spans="1:28" x14ac:dyDescent="0.25">
      <c r="A142" t="s">
        <v>146</v>
      </c>
      <c r="B142">
        <v>0.995954080203443</v>
      </c>
      <c r="C142">
        <v>0.88694530218503298</v>
      </c>
      <c r="D142">
        <v>0.897131281101191</v>
      </c>
      <c r="E142">
        <v>0.75491695493015298</v>
      </c>
      <c r="F142">
        <v>0.68371936211180795</v>
      </c>
      <c r="G142">
        <v>0.50693933613908504</v>
      </c>
      <c r="H142">
        <v>0.44447995159752701</v>
      </c>
      <c r="I142">
        <v>0.52357155662381405</v>
      </c>
      <c r="J142">
        <v>0.60998195175321601</v>
      </c>
      <c r="K142">
        <v>0.62901946691850796</v>
      </c>
      <c r="L142">
        <v>824.850203387855</v>
      </c>
      <c r="M142">
        <v>16.803018724363099</v>
      </c>
      <c r="O142">
        <v>48.409930422215297</v>
      </c>
      <c r="P142">
        <v>-4.0095568083066198E-2</v>
      </c>
      <c r="Q142">
        <v>0.53796442046912896</v>
      </c>
      <c r="R142">
        <v>0.87740054975973503</v>
      </c>
      <c r="S142" t="s">
        <v>6948</v>
      </c>
      <c r="T142" t="s">
        <v>13610</v>
      </c>
      <c r="U142" t="s">
        <v>13610</v>
      </c>
      <c r="V142" t="s">
        <v>13610</v>
      </c>
      <c r="W142" t="s">
        <v>13750</v>
      </c>
      <c r="X142">
        <v>7</v>
      </c>
      <c r="Y142" t="s">
        <v>20471</v>
      </c>
      <c r="Z142" t="s">
        <v>26997</v>
      </c>
      <c r="AA142">
        <v>0.68710028575082893</v>
      </c>
      <c r="AB142" t="str">
        <f>HYPERLINK("Melting_Curves/meltCurve_B4DLE8_CRYBG3.pdf", "Melting_Curves/meltCurve_B4DLE8_CRYBG3.pdf")</f>
        <v>Melting_Curves/meltCurve_B4DLE8_CRYBG3.pdf</v>
      </c>
    </row>
    <row r="143" spans="1:28" x14ac:dyDescent="0.25">
      <c r="A143" t="s">
        <v>147</v>
      </c>
      <c r="B143">
        <v>0.995954080203443</v>
      </c>
      <c r="C143">
        <v>0.99675721029620201</v>
      </c>
      <c r="D143">
        <v>1.0959243082866399</v>
      </c>
      <c r="E143">
        <v>0.69858974949085595</v>
      </c>
      <c r="F143">
        <v>0.36186543171855401</v>
      </c>
      <c r="G143">
        <v>0.18011225651078699</v>
      </c>
      <c r="H143">
        <v>0.11632991804056</v>
      </c>
      <c r="I143">
        <v>9.7617411132346205E-2</v>
      </c>
      <c r="J143">
        <v>0.124505855798985</v>
      </c>
      <c r="K143">
        <v>0.112137599967591</v>
      </c>
      <c r="L143">
        <v>1632.8163460884</v>
      </c>
      <c r="M143">
        <v>31.845899558956798</v>
      </c>
      <c r="N143">
        <v>51.710267146232901</v>
      </c>
      <c r="O143">
        <v>51.071498983814102</v>
      </c>
      <c r="P143">
        <v>-0.13746688906246399</v>
      </c>
      <c r="Q143">
        <v>0.11817770612329501</v>
      </c>
      <c r="R143">
        <v>0.98975367298837003</v>
      </c>
      <c r="S143" t="s">
        <v>6949</v>
      </c>
      <c r="T143" t="s">
        <v>13610</v>
      </c>
      <c r="U143" t="s">
        <v>13610</v>
      </c>
      <c r="V143" t="s">
        <v>13610</v>
      </c>
      <c r="W143" t="s">
        <v>13751</v>
      </c>
      <c r="X143">
        <v>6</v>
      </c>
      <c r="Y143" t="s">
        <v>20472</v>
      </c>
      <c r="Z143" t="s">
        <v>26998</v>
      </c>
      <c r="AA143">
        <v>0.4544619622902788</v>
      </c>
      <c r="AB143" t="str">
        <f>HYPERLINK("Melting_Curves/meltCurve_B4DLR8_NQO1.pdf", "Melting_Curves/meltCurve_B4DLR8_NQO1.pdf")</f>
        <v>Melting_Curves/meltCurve_B4DLR8_NQO1.pdf</v>
      </c>
    </row>
    <row r="144" spans="1:28" x14ac:dyDescent="0.25">
      <c r="A144" t="s">
        <v>148</v>
      </c>
      <c r="B144">
        <v>0.995954080203443</v>
      </c>
      <c r="C144">
        <v>0.98212266799124204</v>
      </c>
      <c r="D144">
        <v>0.85694049051036303</v>
      </c>
      <c r="E144">
        <v>0.56163130942338502</v>
      </c>
      <c r="F144">
        <v>0.220250765409646</v>
      </c>
      <c r="G144">
        <v>0.13370020660187201</v>
      </c>
      <c r="H144">
        <v>8.4789928465960604E-2</v>
      </c>
      <c r="I144">
        <v>8.3329346438661897E-2</v>
      </c>
      <c r="J144">
        <v>8.5836260034274095E-2</v>
      </c>
      <c r="K144">
        <v>8.9507824330027394E-2</v>
      </c>
      <c r="L144">
        <v>1189.3188299548599</v>
      </c>
      <c r="M144">
        <v>23.852721498982302</v>
      </c>
      <c r="N144">
        <v>50.224799493997899</v>
      </c>
      <c r="O144">
        <v>49.514436271048503</v>
      </c>
      <c r="P144">
        <v>-0.110878528407965</v>
      </c>
      <c r="Q144">
        <v>7.9350543346330099E-2</v>
      </c>
      <c r="R144">
        <v>0.99697916586924795</v>
      </c>
      <c r="S144" t="s">
        <v>6950</v>
      </c>
      <c r="T144" t="s">
        <v>13610</v>
      </c>
      <c r="U144" t="s">
        <v>13610</v>
      </c>
      <c r="V144" t="s">
        <v>13610</v>
      </c>
      <c r="W144" t="s">
        <v>13752</v>
      </c>
      <c r="X144">
        <v>11</v>
      </c>
      <c r="Y144" t="s">
        <v>20473</v>
      </c>
      <c r="Z144" t="s">
        <v>26999</v>
      </c>
      <c r="AA144">
        <v>0.39099834307637049</v>
      </c>
      <c r="AB144" t="str">
        <f>HYPERLINK("Melting_Curves/meltCurve_B4DLT4_RPS6KB1.pdf", "Melting_Curves/meltCurve_B4DLT4_RPS6KB1.pdf")</f>
        <v>Melting_Curves/meltCurve_B4DLT4_RPS6KB1.pdf</v>
      </c>
    </row>
    <row r="145" spans="1:28" x14ac:dyDescent="0.25">
      <c r="A145" t="s">
        <v>149</v>
      </c>
      <c r="B145">
        <v>0.995954080203443</v>
      </c>
      <c r="C145">
        <v>1.00757376233931</v>
      </c>
      <c r="D145">
        <v>0.89410042006567203</v>
      </c>
      <c r="E145">
        <v>0.48062600756999302</v>
      </c>
      <c r="F145">
        <v>0.23649671816513099</v>
      </c>
      <c r="G145">
        <v>0.157604171180146</v>
      </c>
      <c r="H145">
        <v>0.122355732877476</v>
      </c>
      <c r="I145">
        <v>0.117424041213796</v>
      </c>
      <c r="J145">
        <v>0.14883959694092</v>
      </c>
      <c r="K145">
        <v>0.13393553592734</v>
      </c>
      <c r="L145">
        <v>1393.50699418818</v>
      </c>
      <c r="M145">
        <v>28.268599132554801</v>
      </c>
      <c r="N145">
        <v>49.831104744723397</v>
      </c>
      <c r="O145">
        <v>49.050493645751303</v>
      </c>
      <c r="P145">
        <v>-0.12519533892069401</v>
      </c>
      <c r="Q145">
        <v>0.13107186552011801</v>
      </c>
      <c r="R145">
        <v>0.99911543965882499</v>
      </c>
      <c r="S145" t="s">
        <v>6951</v>
      </c>
      <c r="T145" t="s">
        <v>13610</v>
      </c>
      <c r="U145" t="s">
        <v>13610</v>
      </c>
      <c r="V145" t="s">
        <v>13610</v>
      </c>
      <c r="W145" t="s">
        <v>13753</v>
      </c>
      <c r="X145">
        <v>8</v>
      </c>
      <c r="Y145" t="s">
        <v>20474</v>
      </c>
      <c r="Z145" t="s">
        <v>27000</v>
      </c>
      <c r="AA145">
        <v>0.40630286344675343</v>
      </c>
      <c r="AB145" t="str">
        <f>HYPERLINK("Melting_Curves/meltCurve_B4DLZ9_RNF220.pdf", "Melting_Curves/meltCurve_B4DLZ9_RNF220.pdf")</f>
        <v>Melting_Curves/meltCurve_B4DLZ9_RNF220.pdf</v>
      </c>
    </row>
    <row r="146" spans="1:28" x14ac:dyDescent="0.25">
      <c r="A146" t="s">
        <v>150</v>
      </c>
      <c r="B146">
        <v>0.995954080203443</v>
      </c>
      <c r="C146">
        <v>0.75851951754400104</v>
      </c>
      <c r="D146">
        <v>1.15517168029397</v>
      </c>
      <c r="E146">
        <v>0.60070092971604006</v>
      </c>
      <c r="F146">
        <v>0.83395642232173794</v>
      </c>
      <c r="G146">
        <v>0.65288550313240401</v>
      </c>
      <c r="H146">
        <v>0.62438288106498196</v>
      </c>
      <c r="I146">
        <v>0.72226689395980703</v>
      </c>
      <c r="J146">
        <v>0.80626880307486204</v>
      </c>
      <c r="K146">
        <v>0.97390597865937101</v>
      </c>
      <c r="L146">
        <v>11983.415991177701</v>
      </c>
      <c r="M146">
        <v>250</v>
      </c>
      <c r="O146">
        <v>47.930596460444697</v>
      </c>
      <c r="P146">
        <v>-0.33262975470307898</v>
      </c>
      <c r="Q146">
        <v>0.74490971924407601</v>
      </c>
      <c r="R146">
        <v>0.35175546686875298</v>
      </c>
      <c r="S146" t="s">
        <v>6952</v>
      </c>
      <c r="T146" t="s">
        <v>13610</v>
      </c>
      <c r="U146" t="s">
        <v>13610</v>
      </c>
      <c r="V146" t="s">
        <v>13610</v>
      </c>
      <c r="W146" t="s">
        <v>13754</v>
      </c>
      <c r="X146">
        <v>1</v>
      </c>
      <c r="Y146" t="s">
        <v>20475</v>
      </c>
      <c r="Z146" t="s">
        <v>27001</v>
      </c>
      <c r="AA146">
        <v>0.81239119710083296</v>
      </c>
      <c r="AB146" t="str">
        <f>HYPERLINK("Melting_Curves/meltCurve_B4DNX9_ZNF460.pdf", "Melting_Curves/meltCurve_B4DNX9_ZNF460.pdf")</f>
        <v>Melting_Curves/meltCurve_B4DNX9_ZNF460.pdf</v>
      </c>
    </row>
    <row r="147" spans="1:28" x14ac:dyDescent="0.25">
      <c r="A147" t="s">
        <v>151</v>
      </c>
      <c r="B147">
        <v>0.995954080203443</v>
      </c>
      <c r="C147">
        <v>0.88525542774942001</v>
      </c>
      <c r="D147">
        <v>0.46978693078436901</v>
      </c>
      <c r="E147">
        <v>0.27858506653714799</v>
      </c>
      <c r="F147">
        <v>0.18320597471135899</v>
      </c>
      <c r="G147">
        <v>0.12696500309492001</v>
      </c>
      <c r="H147">
        <v>9.6956249868230607E-2</v>
      </c>
      <c r="I147">
        <v>9.3964779639762394E-2</v>
      </c>
      <c r="J147">
        <v>0.10934548750590301</v>
      </c>
      <c r="K147">
        <v>0.107213971500148</v>
      </c>
      <c r="L147">
        <v>1052.38825292657</v>
      </c>
      <c r="M147">
        <v>23.012145828076399</v>
      </c>
      <c r="N147">
        <v>46.2587593034078</v>
      </c>
      <c r="O147">
        <v>45.390709784095698</v>
      </c>
      <c r="P147">
        <v>-0.112134697640155</v>
      </c>
      <c r="Q147">
        <v>0.115288258223085</v>
      </c>
      <c r="R147">
        <v>0.98933135782578896</v>
      </c>
      <c r="S147" t="s">
        <v>6953</v>
      </c>
      <c r="T147" t="s">
        <v>13610</v>
      </c>
      <c r="U147" t="s">
        <v>13610</v>
      </c>
      <c r="V147" t="s">
        <v>13610</v>
      </c>
      <c r="W147" t="s">
        <v>13755</v>
      </c>
      <c r="X147">
        <v>7</v>
      </c>
      <c r="Y147" t="s">
        <v>20476</v>
      </c>
      <c r="Z147" t="s">
        <v>27002</v>
      </c>
      <c r="AA147">
        <v>0.29439502065166828</v>
      </c>
      <c r="AB147" t="str">
        <f>HYPERLINK("Melting_Curves/meltCurve_B4DNZ7_EYA3.pdf", "Melting_Curves/meltCurve_B4DNZ7_EYA3.pdf")</f>
        <v>Melting_Curves/meltCurve_B4DNZ7_EYA3.pdf</v>
      </c>
    </row>
    <row r="148" spans="1:28" x14ac:dyDescent="0.25">
      <c r="A148" t="s">
        <v>152</v>
      </c>
      <c r="B148">
        <v>0.995954080203443</v>
      </c>
      <c r="C148">
        <v>1.0248543266655701</v>
      </c>
      <c r="D148">
        <v>1.0397030513269001</v>
      </c>
      <c r="E148">
        <v>0.91547794059642196</v>
      </c>
      <c r="F148">
        <v>0.59792940153010699</v>
      </c>
      <c r="G148">
        <v>0.21916460540538901</v>
      </c>
      <c r="H148">
        <v>0.105624436103657</v>
      </c>
      <c r="I148">
        <v>8.5639323226444103E-2</v>
      </c>
      <c r="J148">
        <v>9.9046292791816107E-2</v>
      </c>
      <c r="K148">
        <v>8.7520272697084303E-2</v>
      </c>
      <c r="L148">
        <v>1671.42381813924</v>
      </c>
      <c r="M148">
        <v>31.257002419809801</v>
      </c>
      <c r="N148">
        <v>53.815923747087702</v>
      </c>
      <c r="O148">
        <v>53.256140971393101</v>
      </c>
      <c r="P148">
        <v>-0.13350137054165201</v>
      </c>
      <c r="Q148">
        <v>9.0158774548203605E-2</v>
      </c>
      <c r="R148">
        <v>0.99811613241670605</v>
      </c>
      <c r="S148" t="s">
        <v>6954</v>
      </c>
      <c r="T148" t="s">
        <v>13610</v>
      </c>
      <c r="U148" t="s">
        <v>13610</v>
      </c>
      <c r="V148" t="s">
        <v>13610</v>
      </c>
      <c r="W148" t="s">
        <v>13756</v>
      </c>
      <c r="X148">
        <v>9</v>
      </c>
      <c r="Y148" t="s">
        <v>20477</v>
      </c>
      <c r="Z148" t="s">
        <v>27003</v>
      </c>
      <c r="AA148">
        <v>0.50426679042225209</v>
      </c>
      <c r="AB148" t="str">
        <f>HYPERLINK("Melting_Curves/meltCurve_B4DP21_PTGES3.pdf", "Melting_Curves/meltCurve_B4DP21_PTGES3.pdf")</f>
        <v>Melting_Curves/meltCurve_B4DP21_PTGES3.pdf</v>
      </c>
    </row>
    <row r="149" spans="1:28" x14ac:dyDescent="0.25">
      <c r="A149" t="s">
        <v>153</v>
      </c>
      <c r="B149">
        <v>0.995954080203443</v>
      </c>
      <c r="C149">
        <v>0.81404067054392104</v>
      </c>
      <c r="D149">
        <v>0.59315994807237005</v>
      </c>
      <c r="E149">
        <v>0.70238907134982498</v>
      </c>
      <c r="F149">
        <v>0.30355919247156199</v>
      </c>
      <c r="G149">
        <v>0.13004011792701101</v>
      </c>
      <c r="H149">
        <v>9.74160280709786E-2</v>
      </c>
      <c r="I149">
        <v>0.105650449193673</v>
      </c>
      <c r="J149">
        <v>8.6189729424306805E-2</v>
      </c>
      <c r="K149">
        <v>9.0998961557437502E-2</v>
      </c>
      <c r="L149">
        <v>540.00334036986305</v>
      </c>
      <c r="M149">
        <v>10.8352283483439</v>
      </c>
      <c r="N149">
        <v>49.950538857449899</v>
      </c>
      <c r="O149">
        <v>48.230253489966501</v>
      </c>
      <c r="P149">
        <v>-5.5505048945322703E-2</v>
      </c>
      <c r="Q149">
        <v>1.2087040088230999E-2</v>
      </c>
      <c r="R149">
        <v>0.93289984740111598</v>
      </c>
      <c r="S149" t="s">
        <v>6955</v>
      </c>
      <c r="T149" t="s">
        <v>13610</v>
      </c>
      <c r="U149" t="s">
        <v>13610</v>
      </c>
      <c r="V149" t="s">
        <v>13610</v>
      </c>
      <c r="X149">
        <v>1</v>
      </c>
      <c r="Z149" t="s">
        <v>27004</v>
      </c>
      <c r="AA149">
        <v>0.37639877684414508</v>
      </c>
      <c r="AB149" t="str">
        <f>HYPERLINK("Melting_Curves/meltCurve_B4DP62_.pdf", "Melting_Curves/meltCurve_B4DP62_.pdf")</f>
        <v>Melting_Curves/meltCurve_B4DP62_.pdf</v>
      </c>
    </row>
    <row r="150" spans="1:28" x14ac:dyDescent="0.25">
      <c r="A150" t="s">
        <v>154</v>
      </c>
      <c r="B150">
        <v>0.995954080203443</v>
      </c>
      <c r="C150">
        <v>0.81048296276023402</v>
      </c>
      <c r="D150">
        <v>0.45231159323812697</v>
      </c>
      <c r="E150">
        <v>0.30774504715175899</v>
      </c>
      <c r="F150">
        <v>0.150118304926767</v>
      </c>
      <c r="G150">
        <v>7.4457474793098402E-2</v>
      </c>
      <c r="H150">
        <v>4.6845137581129001E-2</v>
      </c>
      <c r="I150">
        <v>4.0392976496065901E-2</v>
      </c>
      <c r="J150">
        <v>4.3043024576639298E-2</v>
      </c>
      <c r="K150">
        <v>4.8661619958139897E-2</v>
      </c>
      <c r="L150">
        <v>785.37429737627099</v>
      </c>
      <c r="M150">
        <v>17.047043629499701</v>
      </c>
      <c r="N150">
        <v>46.325125561836302</v>
      </c>
      <c r="O150">
        <v>45.451025232531897</v>
      </c>
      <c r="P150">
        <v>-8.9585922743222607E-2</v>
      </c>
      <c r="Q150">
        <v>4.4638311278890501E-2</v>
      </c>
      <c r="R150">
        <v>0.98643158821360699</v>
      </c>
      <c r="S150" t="s">
        <v>6956</v>
      </c>
      <c r="T150" t="s">
        <v>13610</v>
      </c>
      <c r="U150" t="s">
        <v>13610</v>
      </c>
      <c r="V150" t="s">
        <v>13610</v>
      </c>
      <c r="W150" t="s">
        <v>13757</v>
      </c>
      <c r="X150">
        <v>4</v>
      </c>
      <c r="Y150" t="s">
        <v>20478</v>
      </c>
      <c r="Z150" t="s">
        <v>27005</v>
      </c>
      <c r="AA150">
        <v>0.25902459836509789</v>
      </c>
      <c r="AB150" t="str">
        <f>HYPERLINK("Melting_Curves/meltCurve_B4DPR4_MKRN2.pdf", "Melting_Curves/meltCurve_B4DPR4_MKRN2.pdf")</f>
        <v>Melting_Curves/meltCurve_B4DPR4_MKRN2.pdf</v>
      </c>
    </row>
    <row r="151" spans="1:28" x14ac:dyDescent="0.25">
      <c r="A151" t="s">
        <v>155</v>
      </c>
      <c r="B151">
        <v>0.995954080203443</v>
      </c>
      <c r="C151">
        <v>1.0484813259953301</v>
      </c>
      <c r="D151">
        <v>1.0812077124300099</v>
      </c>
      <c r="E151">
        <v>0.97866923303057396</v>
      </c>
      <c r="F151">
        <v>0.89797433463905396</v>
      </c>
      <c r="G151">
        <v>0.70792556421693598</v>
      </c>
      <c r="H151">
        <v>0.588329012772979</v>
      </c>
      <c r="I151">
        <v>0.71844276922644201</v>
      </c>
      <c r="J151">
        <v>0.816750164844952</v>
      </c>
      <c r="K151">
        <v>0.87271504169057801</v>
      </c>
      <c r="L151">
        <v>7588.26255691395</v>
      </c>
      <c r="M151">
        <v>142.74315135970599</v>
      </c>
      <c r="O151">
        <v>53.1498236976012</v>
      </c>
      <c r="P151">
        <v>-0.17401122621488399</v>
      </c>
      <c r="Q151">
        <v>0.740830552331602</v>
      </c>
      <c r="R151">
        <v>0.75706428412845195</v>
      </c>
      <c r="S151" t="s">
        <v>6957</v>
      </c>
      <c r="T151" t="s">
        <v>13610</v>
      </c>
      <c r="U151" t="s">
        <v>13610</v>
      </c>
      <c r="V151" t="s">
        <v>13610</v>
      </c>
      <c r="W151" t="s">
        <v>13758</v>
      </c>
      <c r="X151">
        <v>11</v>
      </c>
      <c r="Y151" t="s">
        <v>20479</v>
      </c>
      <c r="Z151" t="s">
        <v>27006</v>
      </c>
      <c r="AA151">
        <v>0.85459596842370789</v>
      </c>
      <c r="AB151" t="str">
        <f>HYPERLINK("Melting_Curves/meltCurve_B4DPY8_TOX4.pdf", "Melting_Curves/meltCurve_B4DPY8_TOX4.pdf")</f>
        <v>Melting_Curves/meltCurve_B4DPY8_TOX4.pdf</v>
      </c>
    </row>
    <row r="152" spans="1:28" x14ac:dyDescent="0.25">
      <c r="A152" t="s">
        <v>156</v>
      </c>
      <c r="B152">
        <v>0.995954080203443</v>
      </c>
      <c r="C152">
        <v>0.86941102671473802</v>
      </c>
      <c r="D152">
        <v>0.55848439623865298</v>
      </c>
      <c r="E152">
        <v>0.34967991531470699</v>
      </c>
      <c r="F152">
        <v>0.204598342866155</v>
      </c>
      <c r="G152">
        <v>0.114852015341544</v>
      </c>
      <c r="H152">
        <v>7.7331073332350397E-2</v>
      </c>
      <c r="I152">
        <v>7.2614021725941003E-2</v>
      </c>
      <c r="J152">
        <v>8.4260952080845497E-2</v>
      </c>
      <c r="K152">
        <v>5.4061831765811301E-2</v>
      </c>
      <c r="L152">
        <v>776.31649240954596</v>
      </c>
      <c r="M152">
        <v>16.518249890684899</v>
      </c>
      <c r="N152">
        <v>47.404065027741701</v>
      </c>
      <c r="O152">
        <v>46.324918623358599</v>
      </c>
      <c r="P152">
        <v>-8.3261778975898496E-2</v>
      </c>
      <c r="Q152">
        <v>6.6044785481971902E-2</v>
      </c>
      <c r="R152">
        <v>0.99297885403810904</v>
      </c>
      <c r="S152" t="s">
        <v>6958</v>
      </c>
      <c r="T152" t="s">
        <v>13610</v>
      </c>
      <c r="U152" t="s">
        <v>13610</v>
      </c>
      <c r="V152" t="s">
        <v>13610</v>
      </c>
      <c r="W152" t="s">
        <v>13759</v>
      </c>
      <c r="X152">
        <v>5</v>
      </c>
      <c r="Y152" t="s">
        <v>20480</v>
      </c>
      <c r="Z152" t="s">
        <v>27007</v>
      </c>
      <c r="AA152">
        <v>0.30462664945847617</v>
      </c>
      <c r="AB152" t="str">
        <f>HYPERLINK("Melting_Curves/meltCurve_B4DQ51_ACADSB.pdf", "Melting_Curves/meltCurve_B4DQ51_ACADSB.pdf")</f>
        <v>Melting_Curves/meltCurve_B4DQ51_ACADSB.pdf</v>
      </c>
    </row>
    <row r="153" spans="1:28" x14ac:dyDescent="0.25">
      <c r="A153" t="s">
        <v>157</v>
      </c>
      <c r="B153">
        <v>0.995954080203443</v>
      </c>
      <c r="C153">
        <v>0.85719626733772003</v>
      </c>
      <c r="D153">
        <v>0.40133942211336998</v>
      </c>
      <c r="E153">
        <v>0.31032467501793698</v>
      </c>
      <c r="F153">
        <v>0.17994943693986401</v>
      </c>
      <c r="G153">
        <v>9.4140253710507299E-2</v>
      </c>
      <c r="H153">
        <v>7.6901977920599898E-2</v>
      </c>
      <c r="I153">
        <v>8.85498186440868E-2</v>
      </c>
      <c r="J153">
        <v>8.4770999380009898E-2</v>
      </c>
      <c r="K153">
        <v>7.9249535657275494E-2</v>
      </c>
      <c r="L153">
        <v>949.04662934224996</v>
      </c>
      <c r="M153">
        <v>20.852091072005699</v>
      </c>
      <c r="N153">
        <v>45.984184861724302</v>
      </c>
      <c r="O153">
        <v>45.100878674403901</v>
      </c>
      <c r="P153">
        <v>-0.10447598221837801</v>
      </c>
      <c r="Q153">
        <v>9.6142863026895703E-2</v>
      </c>
      <c r="R153">
        <v>0.97515073923695295</v>
      </c>
      <c r="S153" t="s">
        <v>6959</v>
      </c>
      <c r="T153" t="s">
        <v>13610</v>
      </c>
      <c r="U153" t="s">
        <v>13610</v>
      </c>
      <c r="V153" t="s">
        <v>13610</v>
      </c>
      <c r="W153" t="s">
        <v>13760</v>
      </c>
      <c r="X153">
        <v>3</v>
      </c>
      <c r="Y153" t="s">
        <v>20481</v>
      </c>
      <c r="Z153" t="s">
        <v>27008</v>
      </c>
      <c r="AA153">
        <v>0.27543348677876889</v>
      </c>
      <c r="AB153" t="str">
        <f>HYPERLINK("Melting_Curves/meltCurve_B4DQE7_HDAC8.pdf", "Melting_Curves/meltCurve_B4DQE7_HDAC8.pdf")</f>
        <v>Melting_Curves/meltCurve_B4DQE7_HDAC8.pdf</v>
      </c>
    </row>
    <row r="154" spans="1:28" x14ac:dyDescent="0.25">
      <c r="A154" t="s">
        <v>158</v>
      </c>
      <c r="B154">
        <v>0.995954080203443</v>
      </c>
      <c r="C154">
        <v>0.57748216805381802</v>
      </c>
      <c r="D154">
        <v>0.36990948694480702</v>
      </c>
      <c r="E154">
        <v>0.510980095472371</v>
      </c>
      <c r="F154">
        <v>0.235512606387035</v>
      </c>
      <c r="G154">
        <v>0.10815485023492</v>
      </c>
      <c r="H154">
        <v>6.47830448266421E-2</v>
      </c>
      <c r="I154">
        <v>6.02917944779994E-2</v>
      </c>
      <c r="J154">
        <v>6.3153723732753603E-2</v>
      </c>
      <c r="K154">
        <v>7.2765601340956901E-2</v>
      </c>
      <c r="L154">
        <v>469.88912156057501</v>
      </c>
      <c r="M154">
        <v>10.2128445101109</v>
      </c>
      <c r="N154">
        <v>46.2423742437201</v>
      </c>
      <c r="O154">
        <v>44.3502141995098</v>
      </c>
      <c r="P154">
        <v>-5.6152262223298097E-2</v>
      </c>
      <c r="Q154">
        <v>2.50517681223839E-2</v>
      </c>
      <c r="R154">
        <v>0.88682286980804503</v>
      </c>
      <c r="S154" t="s">
        <v>6960</v>
      </c>
      <c r="T154" t="s">
        <v>13610</v>
      </c>
      <c r="U154" t="s">
        <v>13610</v>
      </c>
      <c r="V154" t="s">
        <v>13610</v>
      </c>
      <c r="W154" t="s">
        <v>13761</v>
      </c>
      <c r="X154">
        <v>10</v>
      </c>
      <c r="Y154" t="s">
        <v>20482</v>
      </c>
      <c r="Z154" t="s">
        <v>27009</v>
      </c>
      <c r="AA154">
        <v>0.27923229812450212</v>
      </c>
      <c r="AB154" t="str">
        <f>HYPERLINK("Melting_Curves/meltCurve_B4DQH9_RANBP10.pdf", "Melting_Curves/meltCurve_B4DQH9_RANBP10.pdf")</f>
        <v>Melting_Curves/meltCurve_B4DQH9_RANBP10.pdf</v>
      </c>
    </row>
    <row r="155" spans="1:28" x14ac:dyDescent="0.25">
      <c r="A155" t="s">
        <v>159</v>
      </c>
      <c r="B155">
        <v>0.995954080203443</v>
      </c>
      <c r="C155">
        <v>0.83429066994492096</v>
      </c>
      <c r="D155">
        <v>0.79925314802726299</v>
      </c>
      <c r="E155">
        <v>0.77014377288909397</v>
      </c>
      <c r="F155">
        <v>0.50361470301031697</v>
      </c>
      <c r="G155">
        <v>0.305531513939718</v>
      </c>
      <c r="H155">
        <v>0.25066379356162599</v>
      </c>
      <c r="I155">
        <v>0.27947252709843301</v>
      </c>
      <c r="J155">
        <v>0.37858910165181398</v>
      </c>
      <c r="K155">
        <v>0.28202902332490198</v>
      </c>
      <c r="L155">
        <v>673.60496167496603</v>
      </c>
      <c r="M155">
        <v>13.3511215571038</v>
      </c>
      <c r="N155">
        <v>53.260729082177299</v>
      </c>
      <c r="O155">
        <v>49.361501475342301</v>
      </c>
      <c r="P155">
        <v>-5.0543068007396899E-2</v>
      </c>
      <c r="Q155">
        <v>0.25265187843450598</v>
      </c>
      <c r="R155">
        <v>0.93258616586926801</v>
      </c>
      <c r="S155" t="s">
        <v>6961</v>
      </c>
      <c r="T155" t="s">
        <v>13610</v>
      </c>
      <c r="U155" t="s">
        <v>13610</v>
      </c>
      <c r="V155" t="s">
        <v>13610</v>
      </c>
      <c r="W155" t="s">
        <v>13762</v>
      </c>
      <c r="X155">
        <v>1</v>
      </c>
      <c r="Y155" t="s">
        <v>20483</v>
      </c>
      <c r="Z155" t="s">
        <v>27010</v>
      </c>
      <c r="AA155">
        <v>0.53438321197218241</v>
      </c>
      <c r="AB155" t="str">
        <f>HYPERLINK("Melting_Curves/meltCurve_B4DQI6_TRA2A.pdf", "Melting_Curves/meltCurve_B4DQI6_TRA2A.pdf")</f>
        <v>Melting_Curves/meltCurve_B4DQI6_TRA2A.pdf</v>
      </c>
    </row>
    <row r="156" spans="1:28" x14ac:dyDescent="0.25">
      <c r="A156" t="s">
        <v>160</v>
      </c>
      <c r="B156">
        <v>0.995954080203443</v>
      </c>
      <c r="C156">
        <v>1.0476404874537499</v>
      </c>
      <c r="D156">
        <v>1.15568873714965</v>
      </c>
      <c r="E156">
        <v>1.01772825481405</v>
      </c>
      <c r="F156">
        <v>0.71065882968933602</v>
      </c>
      <c r="G156">
        <v>0.119783696981306</v>
      </c>
      <c r="H156">
        <v>7.2109787686373106E-2</v>
      </c>
      <c r="I156">
        <v>5.6183485168288298E-2</v>
      </c>
      <c r="J156">
        <v>6.2726607174419594E-2</v>
      </c>
      <c r="K156">
        <v>5.68380776317534E-2</v>
      </c>
      <c r="L156">
        <v>2871.3926231093101</v>
      </c>
      <c r="M156">
        <v>53.347432209150199</v>
      </c>
      <c r="N156">
        <v>53.962274478705901</v>
      </c>
      <c r="O156">
        <v>53.748909705863397</v>
      </c>
      <c r="P156">
        <v>-0.23232215102878401</v>
      </c>
      <c r="Q156">
        <v>6.3718459327125498E-2</v>
      </c>
      <c r="R156">
        <v>0.98724600614439895</v>
      </c>
      <c r="S156" t="s">
        <v>6962</v>
      </c>
      <c r="T156" t="s">
        <v>13610</v>
      </c>
      <c r="U156" t="s">
        <v>13610</v>
      </c>
      <c r="V156" t="s">
        <v>13610</v>
      </c>
      <c r="W156" t="s">
        <v>13763</v>
      </c>
      <c r="X156">
        <v>32</v>
      </c>
      <c r="Y156" t="s">
        <v>20484</v>
      </c>
      <c r="Z156" t="s">
        <v>27011</v>
      </c>
      <c r="AA156">
        <v>0.49712008190576917</v>
      </c>
      <c r="AB156" t="str">
        <f>HYPERLINK("Melting_Curves/meltCurve_B4DQJ8_PGD.pdf", "Melting_Curves/meltCurve_B4DQJ8_PGD.pdf")</f>
        <v>Melting_Curves/meltCurve_B4DQJ8_PGD.pdf</v>
      </c>
    </row>
    <row r="157" spans="1:28" x14ac:dyDescent="0.25">
      <c r="A157" t="s">
        <v>161</v>
      </c>
      <c r="B157">
        <v>0.995954080203443</v>
      </c>
      <c r="C157">
        <v>0.91913976455743096</v>
      </c>
      <c r="D157">
        <v>0.80252487438182596</v>
      </c>
      <c r="E157">
        <v>0.73624480724615804</v>
      </c>
      <c r="F157">
        <v>0.48134493214354301</v>
      </c>
      <c r="G157">
        <v>0.28179093293520402</v>
      </c>
      <c r="H157">
        <v>0.195612755663509</v>
      </c>
      <c r="I157">
        <v>0.203808822064694</v>
      </c>
      <c r="J157">
        <v>0.294740309000187</v>
      </c>
      <c r="K157">
        <v>0.203672527406041</v>
      </c>
      <c r="L157">
        <v>776.74587641346398</v>
      </c>
      <c r="M157">
        <v>15.2269340462147</v>
      </c>
      <c r="N157">
        <v>52.649762071009697</v>
      </c>
      <c r="O157">
        <v>50.155767551829904</v>
      </c>
      <c r="P157">
        <v>-6.1581769387782197E-2</v>
      </c>
      <c r="Q157">
        <v>0.18870424828941701</v>
      </c>
      <c r="R157">
        <v>0.97298103347784604</v>
      </c>
      <c r="S157" t="s">
        <v>6963</v>
      </c>
      <c r="T157" t="s">
        <v>13610</v>
      </c>
      <c r="U157" t="s">
        <v>13610</v>
      </c>
      <c r="V157" t="s">
        <v>13610</v>
      </c>
      <c r="W157" t="s">
        <v>13764</v>
      </c>
      <c r="X157">
        <v>2</v>
      </c>
      <c r="Y157" t="s">
        <v>20485</v>
      </c>
      <c r="Z157" t="s">
        <v>27012</v>
      </c>
      <c r="AA157">
        <v>0.50476235033445327</v>
      </c>
      <c r="AB157" t="str">
        <f>HYPERLINK("Melting_Curves/meltCurve_B4DQL0_MTMR8.pdf", "Melting_Curves/meltCurve_B4DQL0_MTMR8.pdf")</f>
        <v>Melting_Curves/meltCurve_B4DQL0_MTMR8.pdf</v>
      </c>
    </row>
    <row r="158" spans="1:28" x14ac:dyDescent="0.25">
      <c r="A158" t="s">
        <v>162</v>
      </c>
      <c r="B158">
        <v>0.995954080203443</v>
      </c>
      <c r="C158">
        <v>1.18168863609095</v>
      </c>
      <c r="D158">
        <v>1.0789470530487599</v>
      </c>
      <c r="E158">
        <v>0.92331719271802204</v>
      </c>
      <c r="F158">
        <v>0.38997844099081203</v>
      </c>
      <c r="G158">
        <v>0.11851574896334401</v>
      </c>
      <c r="H158">
        <v>0.12956633056765199</v>
      </c>
      <c r="I158">
        <v>7.1717941743498298E-2</v>
      </c>
      <c r="J158">
        <v>9.8904507016659399E-2</v>
      </c>
      <c r="K158">
        <v>0.10352779811342</v>
      </c>
      <c r="L158">
        <v>2765.3760244733699</v>
      </c>
      <c r="M158">
        <v>52.925974209547199</v>
      </c>
      <c r="N158">
        <v>52.476403056579201</v>
      </c>
      <c r="O158">
        <v>52.175453937488498</v>
      </c>
      <c r="P158">
        <v>-0.22769904089922299</v>
      </c>
      <c r="Q158">
        <v>0.10212012628957599</v>
      </c>
      <c r="R158">
        <v>0.97967333336743201</v>
      </c>
      <c r="S158" t="s">
        <v>6964</v>
      </c>
      <c r="T158" t="s">
        <v>13610</v>
      </c>
      <c r="U158" t="s">
        <v>13610</v>
      </c>
      <c r="V158" t="s">
        <v>13610</v>
      </c>
      <c r="W158" t="s">
        <v>13765</v>
      </c>
      <c r="X158">
        <v>1</v>
      </c>
      <c r="Y158" t="s">
        <v>20486</v>
      </c>
      <c r="Z158" t="s">
        <v>27013</v>
      </c>
      <c r="AA158">
        <v>0.47059665995397471</v>
      </c>
      <c r="AB158" t="str">
        <f>HYPERLINK("Melting_Curves/meltCurve_B4DQV4_SNX4.pdf", "Melting_Curves/meltCurve_B4DQV4_SNX4.pdf")</f>
        <v>Melting_Curves/meltCurve_B4DQV4_SNX4.pdf</v>
      </c>
    </row>
    <row r="159" spans="1:28" x14ac:dyDescent="0.25">
      <c r="A159" t="s">
        <v>163</v>
      </c>
      <c r="B159">
        <v>0.995954080203443</v>
      </c>
      <c r="C159">
        <v>0.922477257409546</v>
      </c>
      <c r="D159">
        <v>0.46628469611770801</v>
      </c>
      <c r="E159">
        <v>0.321123881288715</v>
      </c>
      <c r="F159">
        <v>0.17970757140514501</v>
      </c>
      <c r="G159">
        <v>0.10839772390755401</v>
      </c>
      <c r="H159">
        <v>7.8484822864114595E-2</v>
      </c>
      <c r="I159">
        <v>6.5706275775902503E-2</v>
      </c>
      <c r="J159">
        <v>6.8102274507342797E-2</v>
      </c>
      <c r="K159">
        <v>6.3004056145877702E-2</v>
      </c>
      <c r="L159">
        <v>908.90710060406195</v>
      </c>
      <c r="M159">
        <v>19.627614401303902</v>
      </c>
      <c r="N159">
        <v>46.716657675335298</v>
      </c>
      <c r="O159">
        <v>45.834925629894897</v>
      </c>
      <c r="P159">
        <v>-9.8606544186450304E-2</v>
      </c>
      <c r="Q159">
        <v>7.8958081013324494E-2</v>
      </c>
      <c r="R159">
        <v>0.97837654425024101</v>
      </c>
      <c r="S159" t="s">
        <v>6965</v>
      </c>
      <c r="T159" t="s">
        <v>13610</v>
      </c>
      <c r="U159" t="s">
        <v>13610</v>
      </c>
      <c r="V159" t="s">
        <v>13610</v>
      </c>
      <c r="W159" t="s">
        <v>13766</v>
      </c>
      <c r="X159">
        <v>2</v>
      </c>
      <c r="Y159" t="s">
        <v>20487</v>
      </c>
      <c r="Z159" t="s">
        <v>27014</v>
      </c>
      <c r="AA159">
        <v>0.28717166730409549</v>
      </c>
      <c r="AB159" t="str">
        <f>HYPERLINK("Melting_Curves/meltCurve_B4DR03_NAA40.pdf", "Melting_Curves/meltCurve_B4DR03_NAA40.pdf")</f>
        <v>Melting_Curves/meltCurve_B4DR03_NAA40.pdf</v>
      </c>
    </row>
    <row r="160" spans="1:28" x14ac:dyDescent="0.25">
      <c r="A160" t="s">
        <v>164</v>
      </c>
      <c r="B160">
        <v>0.995954080203443</v>
      </c>
      <c r="C160">
        <v>1.0196793649658999</v>
      </c>
      <c r="D160">
        <v>1.2156240266046101</v>
      </c>
      <c r="E160">
        <v>0.97935763356360395</v>
      </c>
      <c r="F160">
        <v>1.1739593645244</v>
      </c>
      <c r="G160">
        <v>0.89222118127501804</v>
      </c>
      <c r="H160">
        <v>0.89432845886371104</v>
      </c>
      <c r="I160">
        <v>1.0773774375274601</v>
      </c>
      <c r="J160">
        <v>1.6266081998192901</v>
      </c>
      <c r="K160">
        <v>1.575987333482</v>
      </c>
      <c r="L160">
        <v>15000</v>
      </c>
      <c r="M160">
        <v>232.67942245355499</v>
      </c>
      <c r="O160">
        <v>64.4616189044512</v>
      </c>
      <c r="P160">
        <v>0.45119761278654602</v>
      </c>
      <c r="Q160">
        <v>1.5</v>
      </c>
      <c r="R160">
        <v>0.80297676233256299</v>
      </c>
      <c r="S160" t="s">
        <v>6966</v>
      </c>
      <c r="T160" t="s">
        <v>13610</v>
      </c>
      <c r="U160" t="s">
        <v>13610</v>
      </c>
      <c r="V160" t="s">
        <v>13610</v>
      </c>
      <c r="W160" t="s">
        <v>13767</v>
      </c>
      <c r="X160">
        <v>7</v>
      </c>
      <c r="Y160" t="s">
        <v>20488</v>
      </c>
      <c r="Z160" t="s">
        <v>27015</v>
      </c>
      <c r="AA160">
        <v>1.092161698432178</v>
      </c>
      <c r="AB160" t="str">
        <f>HYPERLINK("Melting_Curves/meltCurve_B4DRD1_DCP1B.pdf", "Melting_Curves/meltCurve_B4DRD1_DCP1B.pdf")</f>
        <v>Melting_Curves/meltCurve_B4DRD1_DCP1B.pdf</v>
      </c>
    </row>
    <row r="161" spans="1:28" x14ac:dyDescent="0.25">
      <c r="A161" t="s">
        <v>165</v>
      </c>
      <c r="B161">
        <v>0.995954080203443</v>
      </c>
      <c r="C161">
        <v>1.02529330840143</v>
      </c>
      <c r="D161">
        <v>0.93800832365771003</v>
      </c>
      <c r="E161">
        <v>0.823070446389635</v>
      </c>
      <c r="F161">
        <v>0.45832020221754299</v>
      </c>
      <c r="G161">
        <v>0.164467218937317</v>
      </c>
      <c r="H161">
        <v>8.6868071339958594E-2</v>
      </c>
      <c r="I161">
        <v>8.1069633553618695E-2</v>
      </c>
      <c r="J161">
        <v>9.0044958070825298E-2</v>
      </c>
      <c r="K161">
        <v>8.9848990812801996E-2</v>
      </c>
      <c r="L161">
        <v>1507.45247077303</v>
      </c>
      <c r="M161">
        <v>28.7882723139357</v>
      </c>
      <c r="N161">
        <v>52.6897405804553</v>
      </c>
      <c r="O161">
        <v>52.112707037581202</v>
      </c>
      <c r="P161">
        <v>-0.12683044757017001</v>
      </c>
      <c r="Q161">
        <v>8.1650035152069103E-2</v>
      </c>
      <c r="R161">
        <v>0.99804503667200295</v>
      </c>
      <c r="S161" t="s">
        <v>6967</v>
      </c>
      <c r="T161" t="s">
        <v>13610</v>
      </c>
      <c r="U161" t="s">
        <v>13610</v>
      </c>
      <c r="V161" t="s">
        <v>13610</v>
      </c>
      <c r="W161" t="s">
        <v>13768</v>
      </c>
      <c r="X161">
        <v>11</v>
      </c>
      <c r="Y161" t="s">
        <v>20489</v>
      </c>
      <c r="Z161" t="s">
        <v>27016</v>
      </c>
      <c r="AA161">
        <v>0.4665145228351959</v>
      </c>
      <c r="AB161" t="str">
        <f>HYPERLINK("Melting_Curves/meltCurve_B4DRL9_CHM.pdf", "Melting_Curves/meltCurve_B4DRL9_CHM.pdf")</f>
        <v>Melting_Curves/meltCurve_B4DRL9_CHM.pdf</v>
      </c>
    </row>
    <row r="162" spans="1:28" x14ac:dyDescent="0.25">
      <c r="A162" t="s">
        <v>166</v>
      </c>
      <c r="B162">
        <v>0.995954080203443</v>
      </c>
      <c r="C162">
        <v>1.0245277993919599</v>
      </c>
      <c r="D162">
        <v>0.89662364790233295</v>
      </c>
      <c r="E162">
        <v>0.91139744317066695</v>
      </c>
      <c r="F162">
        <v>0.82749500085524397</v>
      </c>
      <c r="G162">
        <v>0.54026133211646898</v>
      </c>
      <c r="H162">
        <v>0.49694528455464998</v>
      </c>
      <c r="I162">
        <v>0.58853927302392794</v>
      </c>
      <c r="J162">
        <v>0.59881069999577696</v>
      </c>
      <c r="K162">
        <v>0.61588072891216095</v>
      </c>
      <c r="L162">
        <v>2161.8666327741198</v>
      </c>
      <c r="M162">
        <v>40.644008529971799</v>
      </c>
      <c r="O162">
        <v>53.062013055408897</v>
      </c>
      <c r="P162">
        <v>-8.3361942306732703E-2</v>
      </c>
      <c r="Q162">
        <v>0.56467444643782405</v>
      </c>
      <c r="R162">
        <v>0.92509057881488199</v>
      </c>
      <c r="S162" t="s">
        <v>6968</v>
      </c>
      <c r="T162" t="s">
        <v>13610</v>
      </c>
      <c r="U162" t="s">
        <v>13610</v>
      </c>
      <c r="V162" t="s">
        <v>13610</v>
      </c>
      <c r="W162" t="s">
        <v>13769</v>
      </c>
      <c r="X162">
        <v>4</v>
      </c>
      <c r="Y162" t="s">
        <v>20490</v>
      </c>
      <c r="Z162" t="s">
        <v>27017</v>
      </c>
      <c r="AA162">
        <v>0.7576250216630015</v>
      </c>
      <c r="AB162" t="str">
        <f>HYPERLINK("Melting_Curves/meltCurve_B4DRM7_SIMC1.pdf", "Melting_Curves/meltCurve_B4DRM7_SIMC1.pdf")</f>
        <v>Melting_Curves/meltCurve_B4DRM7_SIMC1.pdf</v>
      </c>
    </row>
    <row r="163" spans="1:28" x14ac:dyDescent="0.25">
      <c r="A163" t="s">
        <v>167</v>
      </c>
      <c r="B163">
        <v>0.995954080203443</v>
      </c>
      <c r="C163">
        <v>0.98933526136174399</v>
      </c>
      <c r="D163">
        <v>0.97900353945757101</v>
      </c>
      <c r="E163">
        <v>0.69550032409173401</v>
      </c>
      <c r="F163">
        <v>0.48430493223905602</v>
      </c>
      <c r="G163">
        <v>0.284103591988346</v>
      </c>
      <c r="H163">
        <v>0.15516971626006901</v>
      </c>
      <c r="I163">
        <v>0.15901508414243501</v>
      </c>
      <c r="J163">
        <v>0.162875898541117</v>
      </c>
      <c r="K163">
        <v>0.13351171913564999</v>
      </c>
      <c r="L163">
        <v>1035.68915133471</v>
      </c>
      <c r="M163">
        <v>19.967960217902402</v>
      </c>
      <c r="N163">
        <v>52.724716765176801</v>
      </c>
      <c r="O163">
        <v>51.355730573143298</v>
      </c>
      <c r="P163">
        <v>-8.3734205546205906E-2</v>
      </c>
      <c r="Q163">
        <v>0.138601745295276</v>
      </c>
      <c r="R163">
        <v>0.996896513712489</v>
      </c>
      <c r="S163" t="s">
        <v>6969</v>
      </c>
      <c r="T163" t="s">
        <v>13610</v>
      </c>
      <c r="U163" t="s">
        <v>13610</v>
      </c>
      <c r="V163" t="s">
        <v>13610</v>
      </c>
      <c r="W163" t="s">
        <v>13770</v>
      </c>
      <c r="X163">
        <v>3</v>
      </c>
      <c r="Y163" t="s">
        <v>20491</v>
      </c>
      <c r="Z163" t="s">
        <v>27018</v>
      </c>
      <c r="AA163">
        <v>0.49131941855650191</v>
      </c>
      <c r="AB163" t="str">
        <f>HYPERLINK("Melting_Curves/meltCurve_B4DRS7_SH2D3A.pdf", "Melting_Curves/meltCurve_B4DRS7_SH2D3A.pdf")</f>
        <v>Melting_Curves/meltCurve_B4DRS7_SH2D3A.pdf</v>
      </c>
    </row>
    <row r="164" spans="1:28" x14ac:dyDescent="0.25">
      <c r="A164" t="s">
        <v>168</v>
      </c>
      <c r="B164">
        <v>0.995954080203443</v>
      </c>
      <c r="C164">
        <v>0.95197840029702396</v>
      </c>
      <c r="D164">
        <v>0.82278774416026901</v>
      </c>
      <c r="E164">
        <v>0.65381658872084902</v>
      </c>
      <c r="F164">
        <v>0.31881172797072699</v>
      </c>
      <c r="G164">
        <v>0.20562814054171</v>
      </c>
      <c r="H164">
        <v>0.16108150946632499</v>
      </c>
      <c r="I164">
        <v>0.18150616270152101</v>
      </c>
      <c r="J164">
        <v>0.18829407370981099</v>
      </c>
      <c r="K164">
        <v>0.18792660868855299</v>
      </c>
      <c r="L164">
        <v>1014.13111959921</v>
      </c>
      <c r="M164">
        <v>20.278498258982399</v>
      </c>
      <c r="N164">
        <v>51.003095254920702</v>
      </c>
      <c r="O164">
        <v>49.531451298800803</v>
      </c>
      <c r="P164">
        <v>-8.56619267709164E-2</v>
      </c>
      <c r="Q164">
        <v>0.16308816616820901</v>
      </c>
      <c r="R164">
        <v>0.98843169794609498</v>
      </c>
      <c r="S164" t="s">
        <v>6970</v>
      </c>
      <c r="T164" t="s">
        <v>13610</v>
      </c>
      <c r="U164" t="s">
        <v>13610</v>
      </c>
      <c r="V164" t="s">
        <v>13610</v>
      </c>
      <c r="W164" t="s">
        <v>13771</v>
      </c>
      <c r="X164">
        <v>17</v>
      </c>
      <c r="Y164" t="s">
        <v>20492</v>
      </c>
      <c r="Z164" t="s">
        <v>27019</v>
      </c>
      <c r="AA164">
        <v>0.45368251814585481</v>
      </c>
      <c r="AB164" t="str">
        <f>HYPERLINK("Melting_Curves/meltCurve_B4DS61_SRPK1.pdf", "Melting_Curves/meltCurve_B4DS61_SRPK1.pdf")</f>
        <v>Melting_Curves/meltCurve_B4DS61_SRPK1.pdf</v>
      </c>
    </row>
    <row r="165" spans="1:28" x14ac:dyDescent="0.25">
      <c r="A165" t="s">
        <v>169</v>
      </c>
      <c r="B165">
        <v>0.995954080203443</v>
      </c>
      <c r="C165">
        <v>1.10328013140231</v>
      </c>
      <c r="D165">
        <v>0.80535011572605597</v>
      </c>
      <c r="E165">
        <v>0.45594819324897301</v>
      </c>
      <c r="F165">
        <v>0.18877962199416501</v>
      </c>
      <c r="G165">
        <v>0.121311478941658</v>
      </c>
      <c r="H165">
        <v>8.6548105272000395E-2</v>
      </c>
      <c r="I165">
        <v>8.0037817793201599E-2</v>
      </c>
      <c r="J165">
        <v>6.8209649545617396E-2</v>
      </c>
      <c r="K165">
        <v>7.8238549751447006E-2</v>
      </c>
      <c r="L165">
        <v>1230.3987802470299</v>
      </c>
      <c r="M165">
        <v>25.061901964372101</v>
      </c>
      <c r="N165">
        <v>49.428688626779</v>
      </c>
      <c r="O165">
        <v>48.785028291549999</v>
      </c>
      <c r="P165">
        <v>-0.11841997291812099</v>
      </c>
      <c r="Q165">
        <v>7.7956150144576603E-2</v>
      </c>
      <c r="R165">
        <v>0.987285340170867</v>
      </c>
      <c r="S165" t="s">
        <v>6971</v>
      </c>
      <c r="T165" t="s">
        <v>13610</v>
      </c>
      <c r="U165" t="s">
        <v>13610</v>
      </c>
      <c r="V165" t="s">
        <v>13610</v>
      </c>
      <c r="W165" t="s">
        <v>13772</v>
      </c>
      <c r="X165">
        <v>1</v>
      </c>
      <c r="Y165" t="s">
        <v>20493</v>
      </c>
      <c r="Z165" t="s">
        <v>27020</v>
      </c>
      <c r="AA165">
        <v>0.36560465836339462</v>
      </c>
      <c r="AB165" t="str">
        <f>HYPERLINK("Melting_Curves/meltCurve_B4DS76_MAP3K11.pdf", "Melting_Curves/meltCurve_B4DS76_MAP3K11.pdf")</f>
        <v>Melting_Curves/meltCurve_B4DS76_MAP3K11.pdf</v>
      </c>
    </row>
    <row r="166" spans="1:28" x14ac:dyDescent="0.25">
      <c r="A166" t="s">
        <v>170</v>
      </c>
      <c r="B166">
        <v>0.995954080203443</v>
      </c>
      <c r="C166">
        <v>0.89635480362647202</v>
      </c>
      <c r="D166">
        <v>0.60911913028328302</v>
      </c>
      <c r="E166">
        <v>0.39438894017440201</v>
      </c>
      <c r="F166">
        <v>0.20803809565541601</v>
      </c>
      <c r="G166">
        <v>0.11882079241363901</v>
      </c>
      <c r="H166">
        <v>8.23391343984618E-2</v>
      </c>
      <c r="I166">
        <v>8.0824459267786294E-2</v>
      </c>
      <c r="J166">
        <v>0.100365042701393</v>
      </c>
      <c r="K166">
        <v>9.6248428561339E-2</v>
      </c>
      <c r="L166">
        <v>805.87740906059196</v>
      </c>
      <c r="M166">
        <v>16.984811831949099</v>
      </c>
      <c r="N166">
        <v>47.937943202176399</v>
      </c>
      <c r="O166">
        <v>46.803850286953498</v>
      </c>
      <c r="P166">
        <v>-8.3485428252832602E-2</v>
      </c>
      <c r="Q166">
        <v>7.9836947072493697E-2</v>
      </c>
      <c r="R166">
        <v>0.99365875164775697</v>
      </c>
      <c r="S166" t="s">
        <v>6972</v>
      </c>
      <c r="T166" t="s">
        <v>13610</v>
      </c>
      <c r="U166" t="s">
        <v>13610</v>
      </c>
      <c r="V166" t="s">
        <v>13610</v>
      </c>
      <c r="W166" t="s">
        <v>13773</v>
      </c>
      <c r="X166">
        <v>9</v>
      </c>
      <c r="Y166" t="s">
        <v>20494</v>
      </c>
      <c r="Z166" t="s">
        <v>27021</v>
      </c>
      <c r="AA166">
        <v>0.32707932792516298</v>
      </c>
      <c r="AB166" t="str">
        <f>HYPERLINK("Melting_Curves/meltCurve_B4DSS5_KIAA0513.pdf", "Melting_Curves/meltCurve_B4DSS5_KIAA0513.pdf")</f>
        <v>Melting_Curves/meltCurve_B4DSS5_KIAA0513.pdf</v>
      </c>
    </row>
    <row r="167" spans="1:28" x14ac:dyDescent="0.25">
      <c r="A167" t="s">
        <v>171</v>
      </c>
      <c r="B167">
        <v>0.995954080203443</v>
      </c>
      <c r="C167">
        <v>1.0921440405967</v>
      </c>
      <c r="D167">
        <v>1.27374803561326</v>
      </c>
      <c r="E167">
        <v>0.91793301520624504</v>
      </c>
      <c r="F167">
        <v>0.37964136091134798</v>
      </c>
      <c r="G167">
        <v>0.30336791708629002</v>
      </c>
      <c r="H167">
        <v>0.25985859043662102</v>
      </c>
      <c r="I167">
        <v>0.35452615228455497</v>
      </c>
      <c r="J167">
        <v>0.21193885292932699</v>
      </c>
      <c r="K167">
        <v>0.36208853224121801</v>
      </c>
      <c r="L167">
        <v>3612.08660768038</v>
      </c>
      <c r="M167">
        <v>70.197674285209303</v>
      </c>
      <c r="N167">
        <v>52.130251679738002</v>
      </c>
      <c r="O167">
        <v>51.414217738621304</v>
      </c>
      <c r="P167">
        <v>-0.23950010474952499</v>
      </c>
      <c r="Q167">
        <v>0.29834098031109402</v>
      </c>
      <c r="R167">
        <v>0.93222342445392103</v>
      </c>
      <c r="S167" t="s">
        <v>6973</v>
      </c>
      <c r="T167" t="s">
        <v>13610</v>
      </c>
      <c r="U167" t="s">
        <v>13610</v>
      </c>
      <c r="V167" t="s">
        <v>13610</v>
      </c>
      <c r="W167" t="s">
        <v>13774</v>
      </c>
      <c r="X167">
        <v>41</v>
      </c>
      <c r="Y167" t="s">
        <v>20495</v>
      </c>
      <c r="Z167" t="s">
        <v>27022</v>
      </c>
      <c r="AA167">
        <v>0.56708527586229029</v>
      </c>
      <c r="AB167" t="str">
        <f>HYPERLINK("Melting_Curves/meltCurve_B4DST5_PTPN23.pdf", "Melting_Curves/meltCurve_B4DST5_PTPN23.pdf")</f>
        <v>Melting_Curves/meltCurve_B4DST5_PTPN23.pdf</v>
      </c>
    </row>
    <row r="168" spans="1:28" x14ac:dyDescent="0.25">
      <c r="A168" t="s">
        <v>172</v>
      </c>
      <c r="B168">
        <v>0.995954080203443</v>
      </c>
      <c r="C168">
        <v>1.01597951641335</v>
      </c>
      <c r="D168">
        <v>0.89825484781627596</v>
      </c>
      <c r="E168">
        <v>0.88720461474668799</v>
      </c>
      <c r="F168">
        <v>0.59046002060762504</v>
      </c>
      <c r="G168">
        <v>0.30916518734899501</v>
      </c>
      <c r="H168">
        <v>0.106381089294856</v>
      </c>
      <c r="I168">
        <v>7.9552938556774797E-2</v>
      </c>
      <c r="J168">
        <v>6.2154462319758901E-2</v>
      </c>
      <c r="K168">
        <v>7.2447066354146702E-2</v>
      </c>
      <c r="L168">
        <v>1113.52658019725</v>
      </c>
      <c r="M168">
        <v>20.622694309294602</v>
      </c>
      <c r="N168">
        <v>54.257625873060299</v>
      </c>
      <c r="O168">
        <v>53.495186388058102</v>
      </c>
      <c r="P168">
        <v>-9.1804554446967501E-2</v>
      </c>
      <c r="Q168">
        <v>4.7464884248625203E-2</v>
      </c>
      <c r="R168">
        <v>0.99379168001825602</v>
      </c>
      <c r="S168" t="s">
        <v>6974</v>
      </c>
      <c r="T168" t="s">
        <v>13610</v>
      </c>
      <c r="U168" t="s">
        <v>13610</v>
      </c>
      <c r="V168" t="s">
        <v>13610</v>
      </c>
      <c r="W168" t="s">
        <v>13775</v>
      </c>
      <c r="X168">
        <v>8</v>
      </c>
      <c r="Y168" t="s">
        <v>20496</v>
      </c>
      <c r="Z168" t="s">
        <v>27023</v>
      </c>
      <c r="AA168">
        <v>0.50414591487918681</v>
      </c>
      <c r="AB168" t="str">
        <f>HYPERLINK("Melting_Curves/meltCurve_B4DT55_WDR41.pdf", "Melting_Curves/meltCurve_B4DT55_WDR41.pdf")</f>
        <v>Melting_Curves/meltCurve_B4DT55_WDR41.pdf</v>
      </c>
    </row>
    <row r="169" spans="1:28" x14ac:dyDescent="0.25">
      <c r="A169" t="s">
        <v>173</v>
      </c>
      <c r="B169">
        <v>0.995954080203443</v>
      </c>
      <c r="C169">
        <v>1.01364297692828</v>
      </c>
      <c r="D169">
        <v>1.02857740773873</v>
      </c>
      <c r="E169">
        <v>0.80413542104229996</v>
      </c>
      <c r="F169">
        <v>0.25487426964080201</v>
      </c>
      <c r="G169">
        <v>0.10002632276703401</v>
      </c>
      <c r="H169">
        <v>7.42857928575473E-2</v>
      </c>
      <c r="I169">
        <v>6.1358125123941502E-2</v>
      </c>
      <c r="J169">
        <v>7.0316091543279405E-2</v>
      </c>
      <c r="K169">
        <v>6.2102769650321202E-2</v>
      </c>
      <c r="L169">
        <v>2398.7354184762198</v>
      </c>
      <c r="M169">
        <v>46.650881959124099</v>
      </c>
      <c r="N169">
        <v>51.589015456727999</v>
      </c>
      <c r="O169">
        <v>51.324650664356</v>
      </c>
      <c r="P169">
        <v>-0.21103172665627701</v>
      </c>
      <c r="Q169">
        <v>7.1304438235015297E-2</v>
      </c>
      <c r="R169">
        <v>0.999004260545583</v>
      </c>
      <c r="S169" t="s">
        <v>6975</v>
      </c>
      <c r="T169" t="s">
        <v>13610</v>
      </c>
      <c r="U169" t="s">
        <v>13610</v>
      </c>
      <c r="V169" t="s">
        <v>13610</v>
      </c>
      <c r="W169" t="s">
        <v>13655</v>
      </c>
      <c r="X169">
        <v>27</v>
      </c>
      <c r="Y169" t="s">
        <v>20497</v>
      </c>
      <c r="Z169" t="s">
        <v>27024</v>
      </c>
      <c r="AA169">
        <v>0.42721422008959331</v>
      </c>
      <c r="AB169" t="str">
        <f>HYPERLINK("Melting_Curves/meltCurve_B4DT77_ANXA7.pdf", "Melting_Curves/meltCurve_B4DT77_ANXA7.pdf")</f>
        <v>Melting_Curves/meltCurve_B4DT77_ANXA7.pdf</v>
      </c>
    </row>
    <row r="170" spans="1:28" x14ac:dyDescent="0.25">
      <c r="A170" t="s">
        <v>174</v>
      </c>
      <c r="B170">
        <v>0.995954080203443</v>
      </c>
      <c r="C170">
        <v>0.95085147845735196</v>
      </c>
      <c r="D170">
        <v>0.82307789985870805</v>
      </c>
      <c r="E170">
        <v>0.48174630391255002</v>
      </c>
      <c r="F170">
        <v>0.286696036197715</v>
      </c>
      <c r="G170">
        <v>0.19397429940696101</v>
      </c>
      <c r="H170">
        <v>0.15680169624891599</v>
      </c>
      <c r="I170">
        <v>0.17105245224490101</v>
      </c>
      <c r="J170">
        <v>0.170915683987613</v>
      </c>
      <c r="K170">
        <v>0.19945757096817901</v>
      </c>
      <c r="L170">
        <v>1074.05948666778</v>
      </c>
      <c r="M170">
        <v>22.025111901221901</v>
      </c>
      <c r="N170">
        <v>49.692990525944197</v>
      </c>
      <c r="O170">
        <v>48.368570079447501</v>
      </c>
      <c r="P170">
        <v>-9.4651445493707007E-2</v>
      </c>
      <c r="Q170">
        <v>0.16857582217598799</v>
      </c>
      <c r="R170">
        <v>0.99851207182715795</v>
      </c>
      <c r="S170" t="s">
        <v>6976</v>
      </c>
      <c r="T170" t="s">
        <v>13610</v>
      </c>
      <c r="U170" t="s">
        <v>13610</v>
      </c>
      <c r="V170" t="s">
        <v>13610</v>
      </c>
      <c r="W170" t="s">
        <v>13776</v>
      </c>
      <c r="X170">
        <v>36</v>
      </c>
      <c r="Y170" t="s">
        <v>20498</v>
      </c>
      <c r="Z170" t="s">
        <v>27025</v>
      </c>
      <c r="AA170">
        <v>0.42106481429710368</v>
      </c>
      <c r="AB170" t="str">
        <f>HYPERLINK("Melting_Curves/meltCurve_B4DTU4_LIG1.pdf", "Melting_Curves/meltCurve_B4DTU4_LIG1.pdf")</f>
        <v>Melting_Curves/meltCurve_B4DTU4_LIG1.pdf</v>
      </c>
    </row>
    <row r="171" spans="1:28" x14ac:dyDescent="0.25">
      <c r="A171" t="s">
        <v>175</v>
      </c>
      <c r="B171">
        <v>0.995954080203443</v>
      </c>
      <c r="C171">
        <v>0.94484038680432503</v>
      </c>
      <c r="D171">
        <v>0.77083120703700603</v>
      </c>
      <c r="E171">
        <v>0.96586328210726202</v>
      </c>
      <c r="F171">
        <v>0.86286927111733103</v>
      </c>
      <c r="G171">
        <v>0.67181455095902298</v>
      </c>
      <c r="H171">
        <v>0.61716118687656396</v>
      </c>
      <c r="I171">
        <v>0.65759593772782299</v>
      </c>
      <c r="J171">
        <v>0.94926368559645602</v>
      </c>
      <c r="K171">
        <v>0.83900993946049895</v>
      </c>
      <c r="L171">
        <v>576.38990635274899</v>
      </c>
      <c r="M171">
        <v>12.503936499295699</v>
      </c>
      <c r="O171">
        <v>44.9653010361017</v>
      </c>
      <c r="P171">
        <v>-1.6568509573507799E-2</v>
      </c>
      <c r="Q171">
        <v>0.76172155215486903</v>
      </c>
      <c r="R171">
        <v>0.30411511537747299</v>
      </c>
      <c r="S171" t="s">
        <v>6977</v>
      </c>
      <c r="T171" t="s">
        <v>13610</v>
      </c>
      <c r="U171" t="s">
        <v>13610</v>
      </c>
      <c r="V171" t="s">
        <v>13610</v>
      </c>
      <c r="W171" t="s">
        <v>13777</v>
      </c>
      <c r="X171">
        <v>2</v>
      </c>
      <c r="Y171" t="s">
        <v>20499</v>
      </c>
      <c r="Z171" t="s">
        <v>27026</v>
      </c>
      <c r="AA171">
        <v>0.82009586510108656</v>
      </c>
      <c r="AB171" t="str">
        <f>HYPERLINK("Melting_Curves/meltCurve_B4DTZ6_SLC9A1.pdf", "Melting_Curves/meltCurve_B4DTZ6_SLC9A1.pdf")</f>
        <v>Melting_Curves/meltCurve_B4DTZ6_SLC9A1.pdf</v>
      </c>
    </row>
    <row r="172" spans="1:28" x14ac:dyDescent="0.25">
      <c r="A172" t="s">
        <v>176</v>
      </c>
      <c r="B172">
        <v>0.995954080203443</v>
      </c>
      <c r="C172">
        <v>0.91321019773345802</v>
      </c>
      <c r="D172">
        <v>0.79103438260228198</v>
      </c>
      <c r="E172">
        <v>0.77726607264752801</v>
      </c>
      <c r="F172">
        <v>0.50103883271893501</v>
      </c>
      <c r="G172">
        <v>0.12718107595414799</v>
      </c>
      <c r="H172">
        <v>5.4122859967621097E-2</v>
      </c>
      <c r="I172">
        <v>4.65345470519321E-2</v>
      </c>
      <c r="J172">
        <v>3.6519361116072901E-2</v>
      </c>
      <c r="K172">
        <v>3.7868524483913001E-2</v>
      </c>
      <c r="L172">
        <v>929.47300978508099</v>
      </c>
      <c r="M172">
        <v>17.688968414087601</v>
      </c>
      <c r="N172">
        <v>52.545349051637402</v>
      </c>
      <c r="O172">
        <v>51.887602198292697</v>
      </c>
      <c r="P172">
        <v>-8.5231849631071499E-2</v>
      </c>
      <c r="Q172">
        <v>0</v>
      </c>
      <c r="R172">
        <v>0.97626263758656096</v>
      </c>
      <c r="S172" t="s">
        <v>6978</v>
      </c>
      <c r="T172" t="s">
        <v>13610</v>
      </c>
      <c r="U172" t="s">
        <v>13610</v>
      </c>
      <c r="V172" t="s">
        <v>13610</v>
      </c>
      <c r="W172" t="s">
        <v>13778</v>
      </c>
      <c r="X172">
        <v>4</v>
      </c>
      <c r="Y172" t="s">
        <v>20500</v>
      </c>
      <c r="Z172" t="s">
        <v>27027</v>
      </c>
      <c r="AA172">
        <v>0.4351629780956785</v>
      </c>
      <c r="AB172" t="str">
        <f>HYPERLINK("Melting_Curves/meltCurve_B4DU60_CLYBL.pdf", "Melting_Curves/meltCurve_B4DU60_CLYBL.pdf")</f>
        <v>Melting_Curves/meltCurve_B4DU60_CLYBL.pdf</v>
      </c>
    </row>
    <row r="173" spans="1:28" x14ac:dyDescent="0.25">
      <c r="A173" t="s">
        <v>177</v>
      </c>
      <c r="B173">
        <v>0.995954080203443</v>
      </c>
      <c r="C173">
        <v>0.99825741838557003</v>
      </c>
      <c r="D173">
        <v>0.91333392375637301</v>
      </c>
      <c r="E173">
        <v>0.88645731179656495</v>
      </c>
      <c r="F173">
        <v>0.77469384594597601</v>
      </c>
      <c r="G173">
        <v>0.58814582159018003</v>
      </c>
      <c r="H173">
        <v>0.57890366090482004</v>
      </c>
      <c r="I173">
        <v>0.66672031760760198</v>
      </c>
      <c r="J173">
        <v>0.62207749520600797</v>
      </c>
      <c r="K173">
        <v>0.82572870514244301</v>
      </c>
      <c r="L173">
        <v>1500.3556249048499</v>
      </c>
      <c r="M173">
        <v>29.379848520777902</v>
      </c>
      <c r="O173">
        <v>50.832669356997997</v>
      </c>
      <c r="P173">
        <v>-4.9480332125440001E-2</v>
      </c>
      <c r="Q173">
        <v>0.65756126301158402</v>
      </c>
      <c r="R173">
        <v>0.79278600795800502</v>
      </c>
      <c r="S173" t="s">
        <v>6979</v>
      </c>
      <c r="T173" t="s">
        <v>13610</v>
      </c>
      <c r="U173" t="s">
        <v>13610</v>
      </c>
      <c r="V173" t="s">
        <v>13610</v>
      </c>
      <c r="W173" t="s">
        <v>13779</v>
      </c>
      <c r="X173">
        <v>12</v>
      </c>
      <c r="Y173" t="s">
        <v>20501</v>
      </c>
      <c r="Z173" t="s">
        <v>27028</v>
      </c>
      <c r="AA173">
        <v>0.78614011899251468</v>
      </c>
      <c r="AB173" t="str">
        <f>HYPERLINK("Melting_Curves/meltCurve_B4DUI3_EIF3J.pdf", "Melting_Curves/meltCurve_B4DUI3_EIF3J.pdf")</f>
        <v>Melting_Curves/meltCurve_B4DUI3_EIF3J.pdf</v>
      </c>
    </row>
    <row r="174" spans="1:28" x14ac:dyDescent="0.25">
      <c r="A174" t="s">
        <v>178</v>
      </c>
      <c r="B174">
        <v>0.995954080203443</v>
      </c>
      <c r="C174">
        <v>0.938379834280061</v>
      </c>
      <c r="D174">
        <v>0.945030260727866</v>
      </c>
      <c r="E174">
        <v>0.82661780131047402</v>
      </c>
      <c r="F174">
        <v>0.69878504799848096</v>
      </c>
      <c r="G174">
        <v>0.470927546775393</v>
      </c>
      <c r="H174">
        <v>0.41624193245851299</v>
      </c>
      <c r="I174">
        <v>0.46384302573637998</v>
      </c>
      <c r="J174">
        <v>0.47943006277050199</v>
      </c>
      <c r="K174">
        <v>0.54362999668879797</v>
      </c>
      <c r="L174">
        <v>1253.2172522482299</v>
      </c>
      <c r="M174">
        <v>24.2292411304092</v>
      </c>
      <c r="N174">
        <v>58.159901583304404</v>
      </c>
      <c r="O174">
        <v>51.374864353869597</v>
      </c>
      <c r="P174">
        <v>-6.2989121084715702E-2</v>
      </c>
      <c r="Q174">
        <v>0.46576811679819202</v>
      </c>
      <c r="R174">
        <v>0.96168422200167303</v>
      </c>
      <c r="S174" t="s">
        <v>6980</v>
      </c>
      <c r="T174" t="s">
        <v>13610</v>
      </c>
      <c r="U174" t="s">
        <v>13610</v>
      </c>
      <c r="V174" t="s">
        <v>13610</v>
      </c>
      <c r="W174" t="s">
        <v>13780</v>
      </c>
      <c r="X174">
        <v>2</v>
      </c>
      <c r="Y174" t="s">
        <v>20502</v>
      </c>
      <c r="Z174" t="s">
        <v>27029</v>
      </c>
      <c r="AA174">
        <v>0.67970077874546775</v>
      </c>
      <c r="AB174" t="str">
        <f>HYPERLINK("Melting_Curves/meltCurve_B4DUR0_KLHL20.pdf", "Melting_Curves/meltCurve_B4DUR0_KLHL20.pdf")</f>
        <v>Melting_Curves/meltCurve_B4DUR0_KLHL20.pdf</v>
      </c>
    </row>
    <row r="175" spans="1:28" x14ac:dyDescent="0.25">
      <c r="A175" t="s">
        <v>179</v>
      </c>
      <c r="B175">
        <v>0.995954080203443</v>
      </c>
      <c r="C175">
        <v>0.82122645249344794</v>
      </c>
      <c r="D175">
        <v>0.82313629694643198</v>
      </c>
      <c r="E175">
        <v>0.69173719602119499</v>
      </c>
      <c r="F175">
        <v>0.72206958368193097</v>
      </c>
      <c r="G175">
        <v>0.526033446197539</v>
      </c>
      <c r="H175">
        <v>0.45858489295183003</v>
      </c>
      <c r="I175">
        <v>0.51294067618945505</v>
      </c>
      <c r="J175">
        <v>0.71413954278427505</v>
      </c>
      <c r="K175">
        <v>0.65678031155623495</v>
      </c>
      <c r="L175">
        <v>627.91689501813801</v>
      </c>
      <c r="M175">
        <v>13.5914462315802</v>
      </c>
      <c r="O175">
        <v>45.233699885869697</v>
      </c>
      <c r="P175">
        <v>-3.1763458769278302E-2</v>
      </c>
      <c r="Q175">
        <v>0.57721483835332899</v>
      </c>
      <c r="R175">
        <v>0.72555126603253295</v>
      </c>
      <c r="S175" t="s">
        <v>6981</v>
      </c>
      <c r="T175" t="s">
        <v>13610</v>
      </c>
      <c r="U175" t="s">
        <v>13610</v>
      </c>
      <c r="V175" t="s">
        <v>13610</v>
      </c>
      <c r="W175" t="s">
        <v>13781</v>
      </c>
      <c r="X175">
        <v>3</v>
      </c>
      <c r="Y175" t="s">
        <v>20503</v>
      </c>
      <c r="Z175" t="s">
        <v>27030</v>
      </c>
      <c r="AA175">
        <v>0.6794546676922163</v>
      </c>
      <c r="AB175" t="str">
        <f>HYPERLINK("Melting_Curves/meltCurve_B4DUS4_USP16.pdf", "Melting_Curves/meltCurve_B4DUS4_USP16.pdf")</f>
        <v>Melting_Curves/meltCurve_B4DUS4_USP16.pdf</v>
      </c>
    </row>
    <row r="176" spans="1:28" x14ac:dyDescent="0.25">
      <c r="A176" t="s">
        <v>180</v>
      </c>
      <c r="B176">
        <v>0.995954080203443</v>
      </c>
      <c r="C176">
        <v>1.13331024674749</v>
      </c>
      <c r="D176">
        <v>1.06823983678048</v>
      </c>
      <c r="E176">
        <v>1.07832519361884</v>
      </c>
      <c r="F176">
        <v>0.91385835038282204</v>
      </c>
      <c r="G176">
        <v>0.79537793936126</v>
      </c>
      <c r="H176">
        <v>0.62148744031500003</v>
      </c>
      <c r="I176">
        <v>0.71283305458382695</v>
      </c>
      <c r="J176">
        <v>0.65547476686510497</v>
      </c>
      <c r="K176">
        <v>0.84733322853558402</v>
      </c>
      <c r="L176">
        <v>2205.8067376767599</v>
      </c>
      <c r="M176">
        <v>40.234708583209098</v>
      </c>
      <c r="O176">
        <v>54.6885716619392</v>
      </c>
      <c r="P176">
        <v>-5.2677214816158301E-2</v>
      </c>
      <c r="Q176">
        <v>0.71359695474160101</v>
      </c>
      <c r="R176">
        <v>0.79798381950050701</v>
      </c>
      <c r="S176" t="s">
        <v>6982</v>
      </c>
      <c r="T176" t="s">
        <v>13610</v>
      </c>
      <c r="U176" t="s">
        <v>13610</v>
      </c>
      <c r="V176" t="s">
        <v>13610</v>
      </c>
      <c r="W176" t="s">
        <v>13782</v>
      </c>
      <c r="X176">
        <v>3</v>
      </c>
      <c r="Y176" t="s">
        <v>20504</v>
      </c>
      <c r="Z176" t="s">
        <v>27031</v>
      </c>
      <c r="AA176">
        <v>0.85618250131241613</v>
      </c>
      <c r="AB176" t="str">
        <f>HYPERLINK("Melting_Curves/meltCurve_B4DV96_RBKS.pdf", "Melting_Curves/meltCurve_B4DV96_RBKS.pdf")</f>
        <v>Melting_Curves/meltCurve_B4DV96_RBKS.pdf</v>
      </c>
    </row>
    <row r="177" spans="1:28" x14ac:dyDescent="0.25">
      <c r="A177" t="s">
        <v>181</v>
      </c>
      <c r="B177">
        <v>0.995954080203443</v>
      </c>
      <c r="C177">
        <v>1.0831383151798</v>
      </c>
      <c r="D177">
        <v>0.77486734161933402</v>
      </c>
      <c r="E177">
        <v>0.62118021182958805</v>
      </c>
      <c r="F177">
        <v>0.16271721197775799</v>
      </c>
      <c r="G177">
        <v>0.102401209026863</v>
      </c>
      <c r="H177">
        <v>6.7358741557723395E-2</v>
      </c>
      <c r="I177">
        <v>6.0758931106010397E-2</v>
      </c>
      <c r="J177">
        <v>6.2994294105161802E-2</v>
      </c>
      <c r="K177">
        <v>6.1823370265668698E-2</v>
      </c>
      <c r="L177">
        <v>1200.3457461729399</v>
      </c>
      <c r="M177">
        <v>23.9985696930489</v>
      </c>
      <c r="N177">
        <v>50.243137449664999</v>
      </c>
      <c r="O177">
        <v>49.673970782636097</v>
      </c>
      <c r="P177">
        <v>-0.11460917737168901</v>
      </c>
      <c r="Q177">
        <v>5.11096334670645E-2</v>
      </c>
      <c r="R177">
        <v>0.97464887835346203</v>
      </c>
      <c r="S177" t="s">
        <v>6983</v>
      </c>
      <c r="T177" t="s">
        <v>13610</v>
      </c>
      <c r="U177" t="s">
        <v>13610</v>
      </c>
      <c r="V177" t="s">
        <v>13610</v>
      </c>
      <c r="W177" t="s">
        <v>13655</v>
      </c>
      <c r="X177">
        <v>25</v>
      </c>
      <c r="Y177" t="s">
        <v>20505</v>
      </c>
      <c r="Z177" t="s">
        <v>27032</v>
      </c>
      <c r="AA177">
        <v>0.37716405940803421</v>
      </c>
      <c r="AB177" t="str">
        <f>HYPERLINK("Melting_Curves/meltCurve_B4DVE7_ANXA11.pdf", "Melting_Curves/meltCurve_B4DVE7_ANXA11.pdf")</f>
        <v>Melting_Curves/meltCurve_B4DVE7_ANXA11.pdf</v>
      </c>
    </row>
    <row r="178" spans="1:28" x14ac:dyDescent="0.25">
      <c r="A178" t="s">
        <v>182</v>
      </c>
      <c r="B178">
        <v>0.995954080203443</v>
      </c>
      <c r="C178">
        <v>0.83315744784260104</v>
      </c>
      <c r="D178">
        <v>0.58152545878666295</v>
      </c>
      <c r="E178">
        <v>0.30777579697961399</v>
      </c>
      <c r="F178">
        <v>0.18994120426976599</v>
      </c>
      <c r="G178">
        <v>0.119168289003638</v>
      </c>
      <c r="H178">
        <v>9.29456369659587E-2</v>
      </c>
      <c r="I178">
        <v>9.69730653423546E-2</v>
      </c>
      <c r="J178">
        <v>9.9090030775512303E-2</v>
      </c>
      <c r="K178">
        <v>9.9246718683529703E-2</v>
      </c>
      <c r="L178">
        <v>844.81871571471299</v>
      </c>
      <c r="M178">
        <v>18.1482339448992</v>
      </c>
      <c r="N178">
        <v>47.083115956898503</v>
      </c>
      <c r="O178">
        <v>45.996845511346997</v>
      </c>
      <c r="P178">
        <v>-8.9497326381169306E-2</v>
      </c>
      <c r="Q178">
        <v>9.2716574596098694E-2</v>
      </c>
      <c r="R178">
        <v>0.99779902025784095</v>
      </c>
      <c r="S178" t="s">
        <v>6984</v>
      </c>
      <c r="T178" t="s">
        <v>13610</v>
      </c>
      <c r="U178" t="s">
        <v>13610</v>
      </c>
      <c r="V178" t="s">
        <v>13610</v>
      </c>
      <c r="W178" t="s">
        <v>13783</v>
      </c>
      <c r="X178">
        <v>19</v>
      </c>
      <c r="Y178" t="s">
        <v>20506</v>
      </c>
      <c r="Z178" t="s">
        <v>27033</v>
      </c>
      <c r="AA178">
        <v>0.3076835490866297</v>
      </c>
      <c r="AB178" t="str">
        <f>HYPERLINK("Melting_Curves/meltCurve_B4DVY1_EIF3D.pdf", "Melting_Curves/meltCurve_B4DVY1_EIF3D.pdf")</f>
        <v>Melting_Curves/meltCurve_B4DVY1_EIF3D.pdf</v>
      </c>
    </row>
    <row r="179" spans="1:28" x14ac:dyDescent="0.25">
      <c r="A179" t="s">
        <v>183</v>
      </c>
      <c r="B179">
        <v>0.995954080203443</v>
      </c>
      <c r="C179">
        <v>0.88213858474632201</v>
      </c>
      <c r="D179">
        <v>0.79190524193355305</v>
      </c>
      <c r="E179">
        <v>0.55171068908635601</v>
      </c>
      <c r="F179">
        <v>0.205090004819974</v>
      </c>
      <c r="G179">
        <v>0.112403984038785</v>
      </c>
      <c r="H179">
        <v>7.8289939572896206E-2</v>
      </c>
      <c r="I179">
        <v>7.4361780147996603E-2</v>
      </c>
      <c r="J179">
        <v>7.9889675568298596E-2</v>
      </c>
      <c r="K179">
        <v>7.8093270928100103E-2</v>
      </c>
      <c r="L179">
        <v>904.55325369874697</v>
      </c>
      <c r="M179">
        <v>18.302871706213399</v>
      </c>
      <c r="N179">
        <v>49.742466589827501</v>
      </c>
      <c r="O179">
        <v>48.842733093958799</v>
      </c>
      <c r="P179">
        <v>-8.8467151263597693E-2</v>
      </c>
      <c r="Q179">
        <v>5.5715530708159197E-2</v>
      </c>
      <c r="R179">
        <v>0.98866871775740495</v>
      </c>
      <c r="S179" t="s">
        <v>6985</v>
      </c>
      <c r="T179" t="s">
        <v>13610</v>
      </c>
      <c r="U179" t="s">
        <v>13610</v>
      </c>
      <c r="V179" t="s">
        <v>13610</v>
      </c>
      <c r="W179" t="s">
        <v>13784</v>
      </c>
      <c r="X179">
        <v>2</v>
      </c>
      <c r="Y179" t="s">
        <v>20507</v>
      </c>
      <c r="Z179" t="s">
        <v>27034</v>
      </c>
      <c r="AA179">
        <v>0.36797980739714692</v>
      </c>
      <c r="AB179" t="str">
        <f>HYPERLINK("Melting_Curves/meltCurve_B4DWB0_NUBPL.pdf", "Melting_Curves/meltCurve_B4DWB0_NUBPL.pdf")</f>
        <v>Melting_Curves/meltCurve_B4DWB0_NUBPL.pdf</v>
      </c>
    </row>
    <row r="180" spans="1:28" x14ac:dyDescent="0.25">
      <c r="A180" t="s">
        <v>184</v>
      </c>
      <c r="B180">
        <v>0.995954080203443</v>
      </c>
      <c r="C180">
        <v>0.97615923708584695</v>
      </c>
      <c r="D180">
        <v>0.79057037190093005</v>
      </c>
      <c r="E180">
        <v>0.63456512858788605</v>
      </c>
      <c r="F180">
        <v>0.336728354775016</v>
      </c>
      <c r="G180">
        <v>0.177710389486819</v>
      </c>
      <c r="H180">
        <v>0.117638609143003</v>
      </c>
      <c r="I180">
        <v>8.7849268781418896E-2</v>
      </c>
      <c r="J180">
        <v>7.3067235044700807E-2</v>
      </c>
      <c r="K180">
        <v>5.30642906480287E-2</v>
      </c>
      <c r="L180">
        <v>809.03045760206896</v>
      </c>
      <c r="M180">
        <v>15.9470599861487</v>
      </c>
      <c r="N180">
        <v>51.055948448406397</v>
      </c>
      <c r="O180">
        <v>49.9546079985235</v>
      </c>
      <c r="P180">
        <v>-7.5976698207698506E-2</v>
      </c>
      <c r="Q180">
        <v>4.80791935736141E-2</v>
      </c>
      <c r="R180">
        <v>0.99403007853033098</v>
      </c>
      <c r="S180" t="s">
        <v>6986</v>
      </c>
      <c r="T180" t="s">
        <v>13610</v>
      </c>
      <c r="U180" t="s">
        <v>13610</v>
      </c>
      <c r="V180" t="s">
        <v>13610</v>
      </c>
      <c r="W180" t="s">
        <v>13785</v>
      </c>
      <c r="X180">
        <v>4</v>
      </c>
      <c r="Y180" t="s">
        <v>20508</v>
      </c>
      <c r="Z180" t="s">
        <v>27035</v>
      </c>
      <c r="AA180">
        <v>0.40859374022121098</v>
      </c>
      <c r="AB180" t="str">
        <f>HYPERLINK("Melting_Curves/meltCurve_B4DWW1_ARL1.pdf", "Melting_Curves/meltCurve_B4DWW1_ARL1.pdf")</f>
        <v>Melting_Curves/meltCurve_B4DWW1_ARL1.pdf</v>
      </c>
    </row>
    <row r="181" spans="1:28" x14ac:dyDescent="0.25">
      <c r="A181" t="s">
        <v>185</v>
      </c>
      <c r="B181">
        <v>0.995954080203443</v>
      </c>
      <c r="C181">
        <v>0.92004315668018699</v>
      </c>
      <c r="D181">
        <v>0.83378508782578697</v>
      </c>
      <c r="E181">
        <v>0.66554797620814998</v>
      </c>
      <c r="F181">
        <v>0.335634351714937</v>
      </c>
      <c r="G181">
        <v>0.19857145614951499</v>
      </c>
      <c r="H181">
        <v>0.138861837147465</v>
      </c>
      <c r="I181">
        <v>0.10522356005095999</v>
      </c>
      <c r="J181">
        <v>0.110908982177365</v>
      </c>
      <c r="K181">
        <v>0.11422254853604</v>
      </c>
      <c r="L181">
        <v>881.57508847052304</v>
      </c>
      <c r="M181">
        <v>17.394971252653999</v>
      </c>
      <c r="N181">
        <v>51.273389368803201</v>
      </c>
      <c r="O181">
        <v>50.024319936218603</v>
      </c>
      <c r="P181">
        <v>-7.9009828475309504E-2</v>
      </c>
      <c r="Q181">
        <v>9.1187980571375296E-2</v>
      </c>
      <c r="R181">
        <v>0.99197845317837896</v>
      </c>
      <c r="S181" t="s">
        <v>6987</v>
      </c>
      <c r="T181" t="s">
        <v>13610</v>
      </c>
      <c r="U181" t="s">
        <v>13610</v>
      </c>
      <c r="V181" t="s">
        <v>13610</v>
      </c>
      <c r="W181" t="s">
        <v>13786</v>
      </c>
      <c r="X181">
        <v>14</v>
      </c>
      <c r="Y181" t="s">
        <v>20509</v>
      </c>
      <c r="Z181" t="s">
        <v>27036</v>
      </c>
      <c r="AA181">
        <v>0.43107986466353182</v>
      </c>
      <c r="AB181" t="str">
        <f>HYPERLINK("Melting_Curves/meltCurve_B4DXW4_CLPB.pdf", "Melting_Curves/meltCurve_B4DXW4_CLPB.pdf")</f>
        <v>Melting_Curves/meltCurve_B4DXW4_CLPB.pdf</v>
      </c>
    </row>
    <row r="182" spans="1:28" x14ac:dyDescent="0.25">
      <c r="A182" t="s">
        <v>186</v>
      </c>
      <c r="B182">
        <v>0.995954080203443</v>
      </c>
      <c r="C182">
        <v>0.82000859303621099</v>
      </c>
      <c r="D182">
        <v>0.52451148705818396</v>
      </c>
      <c r="E182">
        <v>0.35728475416870897</v>
      </c>
      <c r="F182">
        <v>0.27824234450081098</v>
      </c>
      <c r="G182">
        <v>0.187102399226205</v>
      </c>
      <c r="H182">
        <v>0.17039878400486</v>
      </c>
      <c r="I182">
        <v>0.188259148958071</v>
      </c>
      <c r="J182">
        <v>0.22409447042905301</v>
      </c>
      <c r="K182">
        <v>0.227902023989425</v>
      </c>
      <c r="L182">
        <v>903.64002440156401</v>
      </c>
      <c r="M182">
        <v>19.857166360625001</v>
      </c>
      <c r="N182">
        <v>46.739858820167001</v>
      </c>
      <c r="O182">
        <v>45.053014397786598</v>
      </c>
      <c r="P182">
        <v>-8.7727929208148397E-2</v>
      </c>
      <c r="Q182">
        <v>0.20385916583400601</v>
      </c>
      <c r="R182">
        <v>0.98790963194936898</v>
      </c>
      <c r="S182" t="s">
        <v>6988</v>
      </c>
      <c r="T182" t="s">
        <v>13610</v>
      </c>
      <c r="U182" t="s">
        <v>13610</v>
      </c>
      <c r="V182" t="s">
        <v>13610</v>
      </c>
      <c r="W182" t="s">
        <v>13787</v>
      </c>
      <c r="X182">
        <v>21</v>
      </c>
      <c r="Y182" t="s">
        <v>20510</v>
      </c>
      <c r="Z182" t="s">
        <v>27037</v>
      </c>
      <c r="AA182">
        <v>0.36302143673750648</v>
      </c>
      <c r="AB182" t="str">
        <f>HYPERLINK("Melting_Curves/meltCurve_B4DXZ6_FXR1.pdf", "Melting_Curves/meltCurve_B4DXZ6_FXR1.pdf")</f>
        <v>Melting_Curves/meltCurve_B4DXZ6_FXR1.pdf</v>
      </c>
    </row>
    <row r="183" spans="1:28" x14ac:dyDescent="0.25">
      <c r="A183" t="s">
        <v>187</v>
      </c>
      <c r="B183">
        <v>0.995954080203443</v>
      </c>
      <c r="C183">
        <v>1.0240820851463599</v>
      </c>
      <c r="D183">
        <v>1.00006850339449</v>
      </c>
      <c r="E183">
        <v>0.83169643967442897</v>
      </c>
      <c r="F183">
        <v>0.69694908390340504</v>
      </c>
      <c r="G183">
        <v>0.58029892795506199</v>
      </c>
      <c r="H183">
        <v>0.56614794965135695</v>
      </c>
      <c r="I183">
        <v>0.65541348746324402</v>
      </c>
      <c r="J183">
        <v>0.518801316370474</v>
      </c>
      <c r="K183">
        <v>0.70442467932164099</v>
      </c>
      <c r="L183">
        <v>1683.7932136254301</v>
      </c>
      <c r="M183">
        <v>33.269512384599601</v>
      </c>
      <c r="O183">
        <v>50.428892154139199</v>
      </c>
      <c r="P183">
        <v>-6.5078183254998895E-2</v>
      </c>
      <c r="Q183">
        <v>0.60542775233461299</v>
      </c>
      <c r="R183">
        <v>0.92837281738684696</v>
      </c>
      <c r="S183" t="s">
        <v>6989</v>
      </c>
      <c r="T183" t="s">
        <v>13610</v>
      </c>
      <c r="U183" t="s">
        <v>13610</v>
      </c>
      <c r="V183" t="s">
        <v>13610</v>
      </c>
      <c r="W183" t="s">
        <v>13788</v>
      </c>
      <c r="X183">
        <v>3</v>
      </c>
      <c r="Y183" t="s">
        <v>20511</v>
      </c>
      <c r="Z183" t="s">
        <v>27038</v>
      </c>
      <c r="AA183">
        <v>0.74698547558879347</v>
      </c>
      <c r="AB183" t="str">
        <f>HYPERLINK("Melting_Curves/meltCurve_B4DY82_SENP5.pdf", "Melting_Curves/meltCurve_B4DY82_SENP5.pdf")</f>
        <v>Melting_Curves/meltCurve_B4DY82_SENP5.pdf</v>
      </c>
    </row>
    <row r="184" spans="1:28" x14ac:dyDescent="0.25">
      <c r="A184" t="s">
        <v>188</v>
      </c>
      <c r="B184">
        <v>0.995954080203443</v>
      </c>
      <c r="C184">
        <v>0.91032495680467995</v>
      </c>
      <c r="D184">
        <v>0.83424528696608302</v>
      </c>
      <c r="E184">
        <v>0.642064240307052</v>
      </c>
      <c r="F184">
        <v>0.526569702677391</v>
      </c>
      <c r="G184">
        <v>0.374607917292272</v>
      </c>
      <c r="H184">
        <v>0.33931393847254099</v>
      </c>
      <c r="I184">
        <v>0.38832731368773399</v>
      </c>
      <c r="J184">
        <v>0.46970151600750198</v>
      </c>
      <c r="K184">
        <v>0.44216294204156698</v>
      </c>
      <c r="L184">
        <v>865.76733941980797</v>
      </c>
      <c r="M184">
        <v>17.833981625318501</v>
      </c>
      <c r="N184">
        <v>53.206945416710298</v>
      </c>
      <c r="O184">
        <v>47.9478899740215</v>
      </c>
      <c r="P184">
        <v>-5.6243641768762398E-2</v>
      </c>
      <c r="Q184">
        <v>0.395171309772331</v>
      </c>
      <c r="R184">
        <v>0.96497949757300805</v>
      </c>
      <c r="S184" t="s">
        <v>6990</v>
      </c>
      <c r="T184" t="s">
        <v>13610</v>
      </c>
      <c r="U184" t="s">
        <v>13610</v>
      </c>
      <c r="V184" t="s">
        <v>13610</v>
      </c>
      <c r="W184" t="s">
        <v>13789</v>
      </c>
      <c r="X184">
        <v>4</v>
      </c>
      <c r="Y184" t="s">
        <v>20512</v>
      </c>
      <c r="Z184" t="s">
        <v>27039</v>
      </c>
      <c r="AA184">
        <v>0.57824318394868068</v>
      </c>
      <c r="AB184" t="str">
        <f>HYPERLINK("Melting_Curves/meltCurve_B4DYB4_NUP35.pdf", "Melting_Curves/meltCurve_B4DYB4_NUP35.pdf")</f>
        <v>Melting_Curves/meltCurve_B4DYB4_NUP35.pdf</v>
      </c>
    </row>
    <row r="185" spans="1:28" x14ac:dyDescent="0.25">
      <c r="A185" t="s">
        <v>189</v>
      </c>
      <c r="B185">
        <v>0.995954080203443</v>
      </c>
      <c r="C185">
        <v>0.898263307605911</v>
      </c>
      <c r="D185">
        <v>0.81296510839576996</v>
      </c>
      <c r="E185">
        <v>0.70272092993740198</v>
      </c>
      <c r="F185">
        <v>0.60332383843132298</v>
      </c>
      <c r="G185">
        <v>0.38136333933327599</v>
      </c>
      <c r="H185">
        <v>0.369873992515795</v>
      </c>
      <c r="I185">
        <v>0.40868474611304501</v>
      </c>
      <c r="J185">
        <v>0.49559491011721502</v>
      </c>
      <c r="K185">
        <v>0.47876446568790598</v>
      </c>
      <c r="L185">
        <v>733.67310162797503</v>
      </c>
      <c r="M185">
        <v>15.001610629388001</v>
      </c>
      <c r="N185">
        <v>55.457600978010802</v>
      </c>
      <c r="O185">
        <v>48.061926308434998</v>
      </c>
      <c r="P185">
        <v>-4.5652336411889899E-2</v>
      </c>
      <c r="Q185">
        <v>0.41501802146301903</v>
      </c>
      <c r="R185">
        <v>0.935492773352538</v>
      </c>
      <c r="S185" t="s">
        <v>6991</v>
      </c>
      <c r="T185" t="s">
        <v>13610</v>
      </c>
      <c r="U185" t="s">
        <v>13610</v>
      </c>
      <c r="V185" t="s">
        <v>13610</v>
      </c>
      <c r="W185" t="s">
        <v>13790</v>
      </c>
      <c r="X185">
        <v>1</v>
      </c>
      <c r="Y185" t="s">
        <v>20513</v>
      </c>
      <c r="Z185" t="s">
        <v>27040</v>
      </c>
      <c r="AA185">
        <v>0.60317098564640637</v>
      </c>
      <c r="AB185" t="str">
        <f>HYPERLINK("Melting_Curves/meltCurve_B4DZG6_TMEM48.pdf", "Melting_Curves/meltCurve_B4DZG6_TMEM48.pdf")</f>
        <v>Melting_Curves/meltCurve_B4DZG6_TMEM48.pdf</v>
      </c>
    </row>
    <row r="186" spans="1:28" x14ac:dyDescent="0.25">
      <c r="A186" t="s">
        <v>190</v>
      </c>
      <c r="B186">
        <v>0.995954080203443</v>
      </c>
      <c r="C186">
        <v>0.94976558436646197</v>
      </c>
      <c r="D186">
        <v>0.87941882930953896</v>
      </c>
      <c r="E186">
        <v>0.65198813164765201</v>
      </c>
      <c r="F186">
        <v>0.51650317766406695</v>
      </c>
      <c r="G186">
        <v>0.38093182894067901</v>
      </c>
      <c r="H186">
        <v>0.33538282989629797</v>
      </c>
      <c r="I186">
        <v>0.35960602717679502</v>
      </c>
      <c r="J186">
        <v>0.38956804652496502</v>
      </c>
      <c r="K186">
        <v>0.35507789032834802</v>
      </c>
      <c r="L186">
        <v>930.07015754455995</v>
      </c>
      <c r="M186">
        <v>18.7421900650833</v>
      </c>
      <c r="N186">
        <v>53.012133534059302</v>
      </c>
      <c r="O186">
        <v>49.069821061364102</v>
      </c>
      <c r="P186">
        <v>-6.2159351130886803E-2</v>
      </c>
      <c r="Q186">
        <v>0.34905794664944301</v>
      </c>
      <c r="R186">
        <v>0.99476948378285701</v>
      </c>
      <c r="S186" t="s">
        <v>6992</v>
      </c>
      <c r="T186" t="s">
        <v>13610</v>
      </c>
      <c r="U186" t="s">
        <v>13610</v>
      </c>
      <c r="V186" t="s">
        <v>13610</v>
      </c>
      <c r="W186" t="s">
        <v>13791</v>
      </c>
      <c r="X186">
        <v>18</v>
      </c>
      <c r="Y186" t="s">
        <v>20514</v>
      </c>
      <c r="Z186" t="s">
        <v>27041</v>
      </c>
      <c r="AA186">
        <v>0.56820450134992084</v>
      </c>
      <c r="AB186" t="str">
        <f>HYPERLINK("Melting_Curves/meltCurve_B4DZH6_HDAC6.pdf", "Melting_Curves/meltCurve_B4DZH6_HDAC6.pdf")</f>
        <v>Melting_Curves/meltCurve_B4DZH6_HDAC6.pdf</v>
      </c>
    </row>
    <row r="187" spans="1:28" x14ac:dyDescent="0.25">
      <c r="A187" t="s">
        <v>191</v>
      </c>
      <c r="B187">
        <v>0.995954080203443</v>
      </c>
      <c r="C187">
        <v>1.0143425815137499</v>
      </c>
      <c r="D187">
        <v>1.7571450492980001</v>
      </c>
      <c r="E187">
        <v>1.0180921748441301</v>
      </c>
      <c r="F187">
        <v>1.6472172285417099</v>
      </c>
      <c r="G187">
        <v>1.4761954910146899</v>
      </c>
      <c r="H187">
        <v>1.19487450835816</v>
      </c>
      <c r="I187">
        <v>1.0583582434462999</v>
      </c>
      <c r="J187">
        <v>0.98805300186217504</v>
      </c>
      <c r="K187">
        <v>0.94611492879961601</v>
      </c>
      <c r="L187">
        <v>4172.8593330228596</v>
      </c>
      <c r="M187">
        <v>56.767449841560897</v>
      </c>
      <c r="Q187">
        <v>1.1872021326374599E-2</v>
      </c>
      <c r="R187">
        <v>-0.52947208141791502</v>
      </c>
      <c r="S187" t="s">
        <v>6993</v>
      </c>
      <c r="T187" t="s">
        <v>13610</v>
      </c>
      <c r="U187" t="s">
        <v>13610</v>
      </c>
      <c r="V187" t="s">
        <v>13610</v>
      </c>
      <c r="W187" t="s">
        <v>13792</v>
      </c>
      <c r="X187">
        <v>2</v>
      </c>
      <c r="Y187" t="s">
        <v>20515</v>
      </c>
      <c r="Z187" t="s">
        <v>27042</v>
      </c>
      <c r="AA187">
        <v>0.99788493799599631</v>
      </c>
      <c r="AB187" t="str">
        <f>HYPERLINK("Melting_Curves/meltCurve_B4DZK7_TK2.pdf", "Melting_Curves/meltCurve_B4DZK7_TK2.pdf")</f>
        <v>Melting_Curves/meltCurve_B4DZK7_TK2.pdf</v>
      </c>
    </row>
    <row r="188" spans="1:28" x14ac:dyDescent="0.25">
      <c r="A188" t="s">
        <v>192</v>
      </c>
      <c r="B188">
        <v>0.995954080203443</v>
      </c>
      <c r="C188">
        <v>0.91452451664299705</v>
      </c>
      <c r="D188">
        <v>0.86484749129862204</v>
      </c>
      <c r="E188">
        <v>0.601883898615862</v>
      </c>
      <c r="F188">
        <v>0.27583808365463702</v>
      </c>
      <c r="G188">
        <v>0.140692873138793</v>
      </c>
      <c r="H188">
        <v>0.103403602168347</v>
      </c>
      <c r="I188">
        <v>9.70519945904494E-2</v>
      </c>
      <c r="J188">
        <v>0.113003635521723</v>
      </c>
      <c r="K188">
        <v>0.109943076561296</v>
      </c>
      <c r="L188">
        <v>1078.7858088246401</v>
      </c>
      <c r="M188">
        <v>21.518325609687199</v>
      </c>
      <c r="N188">
        <v>50.611901081271498</v>
      </c>
      <c r="O188">
        <v>49.7064046511016</v>
      </c>
      <c r="P188">
        <v>-9.8267367015434801E-2</v>
      </c>
      <c r="Q188">
        <v>9.20485937187418E-2</v>
      </c>
      <c r="R188">
        <v>0.99388045422597204</v>
      </c>
      <c r="S188" t="s">
        <v>6994</v>
      </c>
      <c r="T188" t="s">
        <v>13610</v>
      </c>
      <c r="U188" t="s">
        <v>13610</v>
      </c>
      <c r="V188" t="s">
        <v>13610</v>
      </c>
      <c r="W188" t="s">
        <v>13793</v>
      </c>
      <c r="X188">
        <v>13</v>
      </c>
      <c r="Y188" t="s">
        <v>20516</v>
      </c>
      <c r="Z188" t="s">
        <v>27043</v>
      </c>
      <c r="AA188">
        <v>0.40968495076560862</v>
      </c>
      <c r="AB188" t="str">
        <f>HYPERLINK("Melting_Curves/meltCurve_B4E0G4_PHF6.pdf", "Melting_Curves/meltCurve_B4E0G4_PHF6.pdf")</f>
        <v>Melting_Curves/meltCurve_B4E0G4_PHF6.pdf</v>
      </c>
    </row>
    <row r="189" spans="1:28" x14ac:dyDescent="0.25">
      <c r="A189" t="s">
        <v>193</v>
      </c>
      <c r="B189">
        <v>0.995954080203443</v>
      </c>
      <c r="C189">
        <v>1.0960907814609799</v>
      </c>
      <c r="D189">
        <v>1.06219401438268</v>
      </c>
      <c r="E189">
        <v>0.88748338899902002</v>
      </c>
      <c r="F189">
        <v>0.41221557696904898</v>
      </c>
      <c r="G189">
        <v>0.21775001371001901</v>
      </c>
      <c r="H189">
        <v>0.15135121287952699</v>
      </c>
      <c r="I189">
        <v>0.134125209748401</v>
      </c>
      <c r="J189">
        <v>0.153918047429006</v>
      </c>
      <c r="K189">
        <v>0.119783577562301</v>
      </c>
      <c r="L189">
        <v>2278.28223126066</v>
      </c>
      <c r="M189">
        <v>43.744037446871097</v>
      </c>
      <c r="N189">
        <v>52.510195781773703</v>
      </c>
      <c r="O189">
        <v>51.973627664300601</v>
      </c>
      <c r="P189">
        <v>-0.178857352154977</v>
      </c>
      <c r="Q189">
        <v>0.14997768899175601</v>
      </c>
      <c r="R189">
        <v>0.98973374276161796</v>
      </c>
      <c r="S189" t="s">
        <v>6995</v>
      </c>
      <c r="T189" t="s">
        <v>13610</v>
      </c>
      <c r="U189" t="s">
        <v>13610</v>
      </c>
      <c r="V189" t="s">
        <v>13610</v>
      </c>
      <c r="W189" t="s">
        <v>13794</v>
      </c>
      <c r="X189">
        <v>11</v>
      </c>
      <c r="Y189" t="s">
        <v>20517</v>
      </c>
      <c r="Z189" t="s">
        <v>27044</v>
      </c>
      <c r="AA189">
        <v>0.49486829942444871</v>
      </c>
      <c r="AB189" t="str">
        <f>HYPERLINK("Melting_Curves/meltCurve_B4E1D7_PNPO.pdf", "Melting_Curves/meltCurve_B4E1D7_PNPO.pdf")</f>
        <v>Melting_Curves/meltCurve_B4E1D7_PNPO.pdf</v>
      </c>
    </row>
    <row r="190" spans="1:28" x14ac:dyDescent="0.25">
      <c r="A190" t="s">
        <v>194</v>
      </c>
      <c r="B190">
        <v>0.995954080203443</v>
      </c>
      <c r="C190">
        <v>0.88372893402073605</v>
      </c>
      <c r="D190">
        <v>0.96076926134886198</v>
      </c>
      <c r="E190">
        <v>0.68498529830244503</v>
      </c>
      <c r="F190">
        <v>0.64015052463480004</v>
      </c>
      <c r="G190">
        <v>0.441616735207711</v>
      </c>
      <c r="H190">
        <v>0.375757526283437</v>
      </c>
      <c r="I190">
        <v>0.386575475450677</v>
      </c>
      <c r="J190">
        <v>0.50312837779363695</v>
      </c>
      <c r="K190">
        <v>0.49166295146090599</v>
      </c>
      <c r="L190">
        <v>975.90366937375802</v>
      </c>
      <c r="M190">
        <v>19.473540540809299</v>
      </c>
      <c r="N190">
        <v>55.788990533082597</v>
      </c>
      <c r="O190">
        <v>49.594824368329498</v>
      </c>
      <c r="P190">
        <v>-5.5854980948406997E-2</v>
      </c>
      <c r="Q190">
        <v>0.43101894638326399</v>
      </c>
      <c r="R190">
        <v>0.93259470642061304</v>
      </c>
      <c r="S190" t="s">
        <v>6996</v>
      </c>
      <c r="T190" t="s">
        <v>13610</v>
      </c>
      <c r="U190" t="s">
        <v>13610</v>
      </c>
      <c r="V190" t="s">
        <v>13610</v>
      </c>
      <c r="W190" t="s">
        <v>13795</v>
      </c>
      <c r="X190">
        <v>2</v>
      </c>
      <c r="Y190" t="s">
        <v>20518</v>
      </c>
      <c r="Z190" t="s">
        <v>27045</v>
      </c>
      <c r="AA190">
        <v>0.63118511688090462</v>
      </c>
      <c r="AB190" t="str">
        <f>HYPERLINK("Melting_Curves/meltCurve_B4E1K7_STOML2.pdf", "Melting_Curves/meltCurve_B4E1K7_STOML2.pdf")</f>
        <v>Melting_Curves/meltCurve_B4E1K7_STOML2.pdf</v>
      </c>
    </row>
    <row r="191" spans="1:28" x14ac:dyDescent="0.25">
      <c r="A191" t="s">
        <v>195</v>
      </c>
      <c r="B191">
        <v>0.995954080203443</v>
      </c>
      <c r="C191">
        <v>0.91591681081875298</v>
      </c>
      <c r="D191">
        <v>0.82367972935661105</v>
      </c>
      <c r="E191">
        <v>0.75312786474114102</v>
      </c>
      <c r="F191">
        <v>0.55436436893413599</v>
      </c>
      <c r="G191">
        <v>0.38316915333747897</v>
      </c>
      <c r="H191">
        <v>0.25974136895175298</v>
      </c>
      <c r="I191">
        <v>0.29015461838740397</v>
      </c>
      <c r="J191">
        <v>0.30575668451898802</v>
      </c>
      <c r="K191">
        <v>0.31494634005810002</v>
      </c>
      <c r="L191">
        <v>714.09878613290596</v>
      </c>
      <c r="M191">
        <v>13.9248472212381</v>
      </c>
      <c r="N191">
        <v>54.043971849890397</v>
      </c>
      <c r="O191">
        <v>50.259406909588101</v>
      </c>
      <c r="P191">
        <v>-5.1639776556434702E-2</v>
      </c>
      <c r="Q191">
        <v>0.25455989396738199</v>
      </c>
      <c r="R191">
        <v>0.979380412511903</v>
      </c>
      <c r="S191" t="s">
        <v>6997</v>
      </c>
      <c r="T191" t="s">
        <v>13610</v>
      </c>
      <c r="U191" t="s">
        <v>13610</v>
      </c>
      <c r="V191" t="s">
        <v>13610</v>
      </c>
      <c r="W191" t="s">
        <v>13796</v>
      </c>
      <c r="X191">
        <v>3</v>
      </c>
      <c r="Y191" t="s">
        <v>20519</v>
      </c>
      <c r="Z191" t="s">
        <v>27046</v>
      </c>
      <c r="AA191">
        <v>0.55410541718039252</v>
      </c>
      <c r="AB191" t="str">
        <f>HYPERLINK("Melting_Curves/meltCurve_B4E1M0_MSANTD2.pdf", "Melting_Curves/meltCurve_B4E1M0_MSANTD2.pdf")</f>
        <v>Melting_Curves/meltCurve_B4E1M0_MSANTD2.pdf</v>
      </c>
    </row>
    <row r="192" spans="1:28" x14ac:dyDescent="0.25">
      <c r="A192" t="s">
        <v>196</v>
      </c>
      <c r="B192">
        <v>0.995954080203443</v>
      </c>
      <c r="C192">
        <v>0.98990133942063696</v>
      </c>
      <c r="D192">
        <v>0.93564651233436102</v>
      </c>
      <c r="E192">
        <v>0.86683754055246798</v>
      </c>
      <c r="F192">
        <v>0.80412035283397199</v>
      </c>
      <c r="G192">
        <v>0.56040189977791099</v>
      </c>
      <c r="H192">
        <v>0.53472895949300603</v>
      </c>
      <c r="I192">
        <v>0.67646967612332398</v>
      </c>
      <c r="J192">
        <v>0.71386467023085098</v>
      </c>
      <c r="K192">
        <v>0.82524544419356605</v>
      </c>
      <c r="L192">
        <v>1483.09012460333</v>
      </c>
      <c r="M192">
        <v>29.127119092546899</v>
      </c>
      <c r="O192">
        <v>50.6796478086831</v>
      </c>
      <c r="P192">
        <v>-4.7828464845004803E-2</v>
      </c>
      <c r="Q192">
        <v>0.66712644790711495</v>
      </c>
      <c r="R192">
        <v>0.73338576301848601</v>
      </c>
      <c r="S192" t="s">
        <v>6998</v>
      </c>
      <c r="T192" t="s">
        <v>13610</v>
      </c>
      <c r="U192" t="s">
        <v>13610</v>
      </c>
      <c r="V192" t="s">
        <v>13610</v>
      </c>
      <c r="W192" t="s">
        <v>13797</v>
      </c>
      <c r="X192">
        <v>7</v>
      </c>
      <c r="Y192" t="s">
        <v>20520</v>
      </c>
      <c r="Z192" t="s">
        <v>27047</v>
      </c>
      <c r="AA192">
        <v>0.79048594660115457</v>
      </c>
      <c r="AB192" t="str">
        <f>HYPERLINK("Melting_Curves/meltCurve_B4E1Q4_RIOK3.pdf", "Melting_Curves/meltCurve_B4E1Q4_RIOK3.pdf")</f>
        <v>Melting_Curves/meltCurve_B4E1Q4_RIOK3.pdf</v>
      </c>
    </row>
    <row r="193" spans="1:28" x14ac:dyDescent="0.25">
      <c r="A193" t="s">
        <v>197</v>
      </c>
      <c r="B193">
        <v>0.995954080203443</v>
      </c>
      <c r="C193">
        <v>0.70414050465054001</v>
      </c>
      <c r="D193">
        <v>0.70621020863123496</v>
      </c>
      <c r="E193">
        <v>0.62387312010075402</v>
      </c>
      <c r="F193">
        <v>0.531928584336405</v>
      </c>
      <c r="G193">
        <v>0.30772654789280202</v>
      </c>
      <c r="H193">
        <v>0.26382172238417501</v>
      </c>
      <c r="I193">
        <v>0.35409762208374101</v>
      </c>
      <c r="J193">
        <v>0.47460252268643199</v>
      </c>
      <c r="K193">
        <v>0.42584816918045199</v>
      </c>
      <c r="L193">
        <v>543.60469571380895</v>
      </c>
      <c r="M193">
        <v>11.718799471413201</v>
      </c>
      <c r="N193">
        <v>51.828882799155899</v>
      </c>
      <c r="O193">
        <v>45.098389757336697</v>
      </c>
      <c r="P193">
        <v>-4.1982977536184803E-2</v>
      </c>
      <c r="Q193">
        <v>0.35390463737561501</v>
      </c>
      <c r="R193">
        <v>0.83873628573015002</v>
      </c>
      <c r="S193" t="s">
        <v>6999</v>
      </c>
      <c r="T193" t="s">
        <v>13610</v>
      </c>
      <c r="U193" t="s">
        <v>13610</v>
      </c>
      <c r="V193" t="s">
        <v>13610</v>
      </c>
      <c r="W193" t="s">
        <v>13798</v>
      </c>
      <c r="X193">
        <v>6</v>
      </c>
      <c r="Y193" t="s">
        <v>20521</v>
      </c>
      <c r="Z193" t="s">
        <v>27048</v>
      </c>
      <c r="AA193">
        <v>0.5211921612577185</v>
      </c>
      <c r="AB193" t="str">
        <f>HYPERLINK("Melting_Curves/meltCurve_B4E241_SFRS3.pdf", "Melting_Curves/meltCurve_B4E241_SFRS3.pdf")</f>
        <v>Melting_Curves/meltCurve_B4E241_SFRS3.pdf</v>
      </c>
    </row>
    <row r="194" spans="1:28" x14ac:dyDescent="0.25">
      <c r="A194" t="s">
        <v>198</v>
      </c>
      <c r="B194">
        <v>0.995954080203443</v>
      </c>
      <c r="C194">
        <v>0.97043275663458795</v>
      </c>
      <c r="D194">
        <v>0.89266268609731303</v>
      </c>
      <c r="E194">
        <v>0.77404153167564405</v>
      </c>
      <c r="F194">
        <v>0.61821249647792098</v>
      </c>
      <c r="G194">
        <v>0.54983717817852196</v>
      </c>
      <c r="H194">
        <v>0.56089575571318895</v>
      </c>
      <c r="I194">
        <v>0.69604762415423405</v>
      </c>
      <c r="J194">
        <v>1.25809582208667</v>
      </c>
      <c r="K194">
        <v>1.48244418347188</v>
      </c>
      <c r="L194">
        <v>15000</v>
      </c>
      <c r="M194">
        <v>224.02022689097601</v>
      </c>
      <c r="O194">
        <v>66.952899391211204</v>
      </c>
      <c r="P194">
        <v>0.40359021907192999</v>
      </c>
      <c r="Q194">
        <v>1.4824838760576</v>
      </c>
      <c r="R194">
        <v>0.18193151439861299</v>
      </c>
      <c r="S194" t="s">
        <v>7000</v>
      </c>
      <c r="T194" t="s">
        <v>13610</v>
      </c>
      <c r="U194" t="s">
        <v>13610</v>
      </c>
      <c r="V194" t="s">
        <v>13610</v>
      </c>
      <c r="W194" t="s">
        <v>13799</v>
      </c>
      <c r="X194">
        <v>3</v>
      </c>
      <c r="Y194" t="s">
        <v>20522</v>
      </c>
      <c r="Z194" t="s">
        <v>27049</v>
      </c>
      <c r="AA194">
        <v>1.048849713798043</v>
      </c>
      <c r="AB194" t="str">
        <f>HYPERLINK("Melting_Curves/meltCurve_B4E2S7_LAMP2.pdf", "Melting_Curves/meltCurve_B4E2S7_LAMP2.pdf")</f>
        <v>Melting_Curves/meltCurve_B4E2S7_LAMP2.pdf</v>
      </c>
    </row>
    <row r="195" spans="1:28" x14ac:dyDescent="0.25">
      <c r="A195" t="s">
        <v>199</v>
      </c>
      <c r="B195">
        <v>0.995954080203443</v>
      </c>
      <c r="C195">
        <v>0.76452522857677696</v>
      </c>
      <c r="D195">
        <v>0.55254655647650397</v>
      </c>
      <c r="E195">
        <v>0.46323971798890401</v>
      </c>
      <c r="F195">
        <v>0.161242733718517</v>
      </c>
      <c r="G195">
        <v>9.0166465030816406E-2</v>
      </c>
      <c r="H195">
        <v>5.8881306566796E-2</v>
      </c>
      <c r="I195">
        <v>5.6232026428354898E-2</v>
      </c>
      <c r="J195">
        <v>5.9989606185367299E-2</v>
      </c>
      <c r="K195">
        <v>5.9811669405703101E-2</v>
      </c>
      <c r="L195">
        <v>627.52077458458996</v>
      </c>
      <c r="M195">
        <v>13.252924142368</v>
      </c>
      <c r="N195">
        <v>47.544430705625402</v>
      </c>
      <c r="O195">
        <v>46.3104966163298</v>
      </c>
      <c r="P195">
        <v>-6.9664549730419495E-2</v>
      </c>
      <c r="Q195">
        <v>2.6427343885728399E-2</v>
      </c>
      <c r="R195">
        <v>0.97419164525293001</v>
      </c>
      <c r="S195" t="s">
        <v>7001</v>
      </c>
      <c r="T195" t="s">
        <v>13610</v>
      </c>
      <c r="U195" t="s">
        <v>13610</v>
      </c>
      <c r="V195" t="s">
        <v>13610</v>
      </c>
      <c r="W195" t="s">
        <v>13800</v>
      </c>
      <c r="X195">
        <v>12</v>
      </c>
      <c r="Y195" t="s">
        <v>20523</v>
      </c>
      <c r="Z195" t="s">
        <v>27050</v>
      </c>
      <c r="AA195">
        <v>0.29804006865223331</v>
      </c>
      <c r="AB195" t="str">
        <f>HYPERLINK("Melting_Curves/meltCurve_B4E2W0_HADHB.pdf", "Melting_Curves/meltCurve_B4E2W0_HADHB.pdf")</f>
        <v>Melting_Curves/meltCurve_B4E2W0_HADHB.pdf</v>
      </c>
    </row>
    <row r="196" spans="1:28" x14ac:dyDescent="0.25">
      <c r="A196" t="s">
        <v>200</v>
      </c>
      <c r="B196">
        <v>0.995954080203443</v>
      </c>
      <c r="C196">
        <v>0.76359376209305496</v>
      </c>
      <c r="D196">
        <v>0.37655675083430401</v>
      </c>
      <c r="E196">
        <v>0.248626185336592</v>
      </c>
      <c r="F196">
        <v>0.13786485436468501</v>
      </c>
      <c r="G196">
        <v>7.8691993060403795E-2</v>
      </c>
      <c r="H196">
        <v>4.7945658422437198E-2</v>
      </c>
      <c r="I196">
        <v>4.2234705706569203E-2</v>
      </c>
      <c r="J196">
        <v>4.5255524457655301E-2</v>
      </c>
      <c r="K196">
        <v>3.8335904879345399E-2</v>
      </c>
      <c r="L196">
        <v>894.76555335587</v>
      </c>
      <c r="M196">
        <v>19.824192316643501</v>
      </c>
      <c r="N196">
        <v>45.416735508926301</v>
      </c>
      <c r="O196">
        <v>44.683286359716902</v>
      </c>
      <c r="P196">
        <v>-0.10450175646037201</v>
      </c>
      <c r="Q196">
        <v>5.7853305326869602E-2</v>
      </c>
      <c r="R196">
        <v>0.98468504518251698</v>
      </c>
      <c r="S196" t="s">
        <v>7002</v>
      </c>
      <c r="T196" t="s">
        <v>13610</v>
      </c>
      <c r="U196" t="s">
        <v>13610</v>
      </c>
      <c r="V196" t="s">
        <v>13610</v>
      </c>
      <c r="W196" t="s">
        <v>13801</v>
      </c>
      <c r="X196">
        <v>20</v>
      </c>
      <c r="Y196" t="s">
        <v>20524</v>
      </c>
      <c r="Z196" t="s">
        <v>27051</v>
      </c>
      <c r="AA196">
        <v>0.23515933704560149</v>
      </c>
      <c r="AB196" t="str">
        <f>HYPERLINK("Melting_Curves/meltCurve_B4E2X3_METTL13.pdf", "Melting_Curves/meltCurve_B4E2X3_METTL13.pdf")</f>
        <v>Melting_Curves/meltCurve_B4E2X3_METTL13.pdf</v>
      </c>
    </row>
    <row r="197" spans="1:28" x14ac:dyDescent="0.25">
      <c r="A197" t="s">
        <v>201</v>
      </c>
      <c r="B197">
        <v>0.995954080203443</v>
      </c>
      <c r="C197">
        <v>0.96702950928531495</v>
      </c>
      <c r="D197">
        <v>0.92355816663405599</v>
      </c>
      <c r="E197">
        <v>0.72817763090913601</v>
      </c>
      <c r="F197">
        <v>0.55663940169537396</v>
      </c>
      <c r="G197">
        <v>0.42680173748188499</v>
      </c>
      <c r="H197">
        <v>0.40561139687650299</v>
      </c>
      <c r="I197">
        <v>0.50870771505463697</v>
      </c>
      <c r="J197">
        <v>0.53008219411087598</v>
      </c>
      <c r="K197">
        <v>0.58418418032213104</v>
      </c>
      <c r="L197">
        <v>1425.29099019969</v>
      </c>
      <c r="M197">
        <v>28.7857366013817</v>
      </c>
      <c r="N197">
        <v>57.311158443994898</v>
      </c>
      <c r="O197">
        <v>49.276679349569697</v>
      </c>
      <c r="P197">
        <v>-7.4475308644576396E-2</v>
      </c>
      <c r="Q197">
        <v>0.49004358914024898</v>
      </c>
      <c r="R197">
        <v>0.94399762067789705</v>
      </c>
      <c r="S197" t="s">
        <v>7003</v>
      </c>
      <c r="T197" t="s">
        <v>13610</v>
      </c>
      <c r="U197" t="s">
        <v>13610</v>
      </c>
      <c r="V197" t="s">
        <v>13610</v>
      </c>
      <c r="W197" t="s">
        <v>13802</v>
      </c>
      <c r="X197">
        <v>3</v>
      </c>
      <c r="Y197" t="s">
        <v>20525</v>
      </c>
      <c r="Z197" t="s">
        <v>27052</v>
      </c>
      <c r="AA197">
        <v>0.65516878719494498</v>
      </c>
      <c r="AB197" t="str">
        <f>HYPERLINK("Melting_Curves/meltCurve_B4E351_IGFBP4.pdf", "Melting_Curves/meltCurve_B4E351_IGFBP4.pdf")</f>
        <v>Melting_Curves/meltCurve_B4E351_IGFBP4.pdf</v>
      </c>
    </row>
    <row r="198" spans="1:28" x14ac:dyDescent="0.25">
      <c r="A198" t="s">
        <v>202</v>
      </c>
      <c r="B198">
        <v>0.995954080203443</v>
      </c>
      <c r="C198">
        <v>0.92230115290078496</v>
      </c>
      <c r="D198">
        <v>0.84697955908238998</v>
      </c>
      <c r="E198">
        <v>0.71152848391444001</v>
      </c>
      <c r="F198">
        <v>0.56449212311438102</v>
      </c>
      <c r="G198">
        <v>0.38816774252568997</v>
      </c>
      <c r="H198">
        <v>0.34894675623341398</v>
      </c>
      <c r="I198">
        <v>0.37429849641294199</v>
      </c>
      <c r="J198">
        <v>0.43724499116870902</v>
      </c>
      <c r="K198">
        <v>0.420667225908475</v>
      </c>
      <c r="L198">
        <v>817.86706041653997</v>
      </c>
      <c r="M198">
        <v>16.4364690805895</v>
      </c>
      <c r="N198">
        <v>54.355267793911601</v>
      </c>
      <c r="O198">
        <v>49.040225805484702</v>
      </c>
      <c r="P198">
        <v>-5.2336465616322103E-2</v>
      </c>
      <c r="Q198">
        <v>0.37543495673500399</v>
      </c>
      <c r="R198">
        <v>0.97369821066527695</v>
      </c>
      <c r="S198" t="s">
        <v>7004</v>
      </c>
      <c r="T198" t="s">
        <v>13610</v>
      </c>
      <c r="U198" t="s">
        <v>13610</v>
      </c>
      <c r="V198" t="s">
        <v>13610</v>
      </c>
      <c r="W198" t="s">
        <v>13803</v>
      </c>
      <c r="X198">
        <v>5</v>
      </c>
      <c r="Y198" t="s">
        <v>20526</v>
      </c>
      <c r="Z198" t="s">
        <v>27053</v>
      </c>
      <c r="AA198">
        <v>0.59130588954017105</v>
      </c>
      <c r="AB198" t="str">
        <f>HYPERLINK("Melting_Curves/meltCurve_B4E3E5_DVL3.pdf", "Melting_Curves/meltCurve_B4E3E5_DVL3.pdf")</f>
        <v>Melting_Curves/meltCurve_B4E3E5_DVL3.pdf</v>
      </c>
    </row>
    <row r="199" spans="1:28" x14ac:dyDescent="0.25">
      <c r="A199" t="s">
        <v>203</v>
      </c>
      <c r="B199">
        <v>0.995954080203443</v>
      </c>
      <c r="C199">
        <v>0.91840865872428701</v>
      </c>
      <c r="D199">
        <v>0.69109982283341997</v>
      </c>
      <c r="E199">
        <v>0.50633797825635396</v>
      </c>
      <c r="F199">
        <v>0.32386023976883499</v>
      </c>
      <c r="G199">
        <v>0.214508662844408</v>
      </c>
      <c r="H199">
        <v>0.124551920102067</v>
      </c>
      <c r="I199">
        <v>0.110085067238994</v>
      </c>
      <c r="J199">
        <v>0.10569643125535701</v>
      </c>
      <c r="K199">
        <v>0.16567993061479899</v>
      </c>
      <c r="L199">
        <v>708.802370525627</v>
      </c>
      <c r="M199">
        <v>14.514501835187801</v>
      </c>
      <c r="N199">
        <v>49.643772566812999</v>
      </c>
      <c r="O199">
        <v>47.935203751382097</v>
      </c>
      <c r="P199">
        <v>-6.7727849593954198E-2</v>
      </c>
      <c r="Q199">
        <v>0.105398498515292</v>
      </c>
      <c r="R199">
        <v>0.991594710515322</v>
      </c>
      <c r="S199" t="s">
        <v>7005</v>
      </c>
      <c r="T199" t="s">
        <v>13610</v>
      </c>
      <c r="U199" t="s">
        <v>13610</v>
      </c>
      <c r="V199" t="s">
        <v>13610</v>
      </c>
      <c r="W199" t="s">
        <v>13804</v>
      </c>
      <c r="X199">
        <v>1</v>
      </c>
      <c r="Y199" t="s">
        <v>20527</v>
      </c>
      <c r="Z199" t="s">
        <v>27054</v>
      </c>
      <c r="AA199">
        <v>0.39247151064071228</v>
      </c>
      <c r="AB199" t="str">
        <f>HYPERLINK("Melting_Curves/meltCurve_B4E3T2_RRN3.pdf", "Melting_Curves/meltCurve_B4E3T2_RRN3.pdf")</f>
        <v>Melting_Curves/meltCurve_B4E3T2_RRN3.pdf</v>
      </c>
    </row>
    <row r="200" spans="1:28" x14ac:dyDescent="0.25">
      <c r="A200" t="s">
        <v>204</v>
      </c>
      <c r="B200">
        <v>0.995954080203443</v>
      </c>
      <c r="C200">
        <v>0.90735230864882899</v>
      </c>
      <c r="D200">
        <v>0.86791123949110205</v>
      </c>
      <c r="E200">
        <v>0.79996992839700798</v>
      </c>
      <c r="F200">
        <v>0.68655430339867796</v>
      </c>
      <c r="G200">
        <v>0.44006390865126499</v>
      </c>
      <c r="H200">
        <v>0.35066386433902003</v>
      </c>
      <c r="I200">
        <v>0.334081671972774</v>
      </c>
      <c r="J200">
        <v>0.34435587999364198</v>
      </c>
      <c r="K200">
        <v>0.287280158439014</v>
      </c>
      <c r="L200">
        <v>646.09278412325398</v>
      </c>
      <c r="M200">
        <v>12.111056307108599</v>
      </c>
      <c r="N200">
        <v>56.546075495744198</v>
      </c>
      <c r="O200">
        <v>51.9553777263284</v>
      </c>
      <c r="P200">
        <v>-4.3835034498301603E-2</v>
      </c>
      <c r="Q200">
        <v>0.24798099693641101</v>
      </c>
      <c r="R200">
        <v>0.98230167975606797</v>
      </c>
      <c r="S200" t="s">
        <v>7006</v>
      </c>
      <c r="T200" t="s">
        <v>13610</v>
      </c>
      <c r="U200" t="s">
        <v>13610</v>
      </c>
      <c r="V200" t="s">
        <v>13610</v>
      </c>
      <c r="W200" t="s">
        <v>13805</v>
      </c>
      <c r="X200">
        <v>15</v>
      </c>
      <c r="Y200" t="s">
        <v>20528</v>
      </c>
      <c r="Z200" t="s">
        <v>27055</v>
      </c>
      <c r="AA200">
        <v>0.60317934975799758</v>
      </c>
      <c r="AB200" t="str">
        <f>HYPERLINK("Melting_Curves/meltCurve_B4E3W0_ELP4.pdf", "Melting_Curves/meltCurve_B4E3W0_ELP4.pdf")</f>
        <v>Melting_Curves/meltCurve_B4E3W0_ELP4.pdf</v>
      </c>
    </row>
    <row r="201" spans="1:28" x14ac:dyDescent="0.25">
      <c r="A201" t="s">
        <v>205</v>
      </c>
      <c r="B201">
        <v>0.995954080203443</v>
      </c>
      <c r="C201">
        <v>1.00240089809818</v>
      </c>
      <c r="D201">
        <v>0.73322545419655905</v>
      </c>
      <c r="E201">
        <v>0.74580237161801399</v>
      </c>
      <c r="F201">
        <v>0.55068710587737701</v>
      </c>
      <c r="G201">
        <v>0.27925548230115599</v>
      </c>
      <c r="H201">
        <v>0.15588031473946401</v>
      </c>
      <c r="I201">
        <v>0.102220882884062</v>
      </c>
      <c r="J201">
        <v>0.107409981655161</v>
      </c>
      <c r="K201">
        <v>9.2281298426898098E-2</v>
      </c>
      <c r="L201">
        <v>645.44235801937305</v>
      </c>
      <c r="M201">
        <v>12.164054363859799</v>
      </c>
      <c r="N201">
        <v>53.20579709594</v>
      </c>
      <c r="O201">
        <v>51.688461093690997</v>
      </c>
      <c r="P201">
        <v>-5.78918670888122E-2</v>
      </c>
      <c r="Q201">
        <v>1.6230212062734398E-2</v>
      </c>
      <c r="R201">
        <v>0.97580358780084997</v>
      </c>
      <c r="S201" t="s">
        <v>7007</v>
      </c>
      <c r="T201" t="s">
        <v>13610</v>
      </c>
      <c r="U201" t="s">
        <v>13610</v>
      </c>
      <c r="V201" t="s">
        <v>13610</v>
      </c>
      <c r="W201" t="s">
        <v>13806</v>
      </c>
      <c r="X201">
        <v>4</v>
      </c>
      <c r="Y201" t="s">
        <v>20529</v>
      </c>
      <c r="Z201" t="s">
        <v>27056</v>
      </c>
      <c r="AA201">
        <v>0.47200081870960198</v>
      </c>
      <c r="AB201" t="str">
        <f>HYPERLINK("Melting_Curves/meltCurve_B5MC20_JMJD7.pdf", "Melting_Curves/meltCurve_B5MC20_JMJD7.pdf")</f>
        <v>Melting_Curves/meltCurve_B5MC20_JMJD7.pdf</v>
      </c>
    </row>
    <row r="202" spans="1:28" x14ac:dyDescent="0.25">
      <c r="A202" t="s">
        <v>206</v>
      </c>
      <c r="B202">
        <v>0.995954080203443</v>
      </c>
      <c r="C202">
        <v>0.86572010083561501</v>
      </c>
      <c r="D202">
        <v>0.81087606355346198</v>
      </c>
      <c r="E202">
        <v>0.57806512412100897</v>
      </c>
      <c r="F202">
        <v>0.55788658868796104</v>
      </c>
      <c r="G202">
        <v>0.34968523119819001</v>
      </c>
      <c r="H202">
        <v>0.300857631725719</v>
      </c>
      <c r="I202">
        <v>0.35496442027222902</v>
      </c>
      <c r="J202">
        <v>0.37601280171863199</v>
      </c>
      <c r="K202">
        <v>0.40933380961897198</v>
      </c>
      <c r="L202">
        <v>708.55782657532302</v>
      </c>
      <c r="M202">
        <v>14.6334995531349</v>
      </c>
      <c r="N202">
        <v>52.564268154290801</v>
      </c>
      <c r="O202">
        <v>47.542980828069801</v>
      </c>
      <c r="P202">
        <v>-5.06178891293717E-2</v>
      </c>
      <c r="Q202">
        <v>0.34226054442703602</v>
      </c>
      <c r="R202">
        <v>0.96179707559706695</v>
      </c>
      <c r="S202" t="s">
        <v>7008</v>
      </c>
      <c r="T202" t="s">
        <v>13610</v>
      </c>
      <c r="U202" t="s">
        <v>13610</v>
      </c>
      <c r="V202" t="s">
        <v>13610</v>
      </c>
      <c r="W202" t="s">
        <v>13807</v>
      </c>
      <c r="X202">
        <v>4</v>
      </c>
      <c r="Y202" t="s">
        <v>20530</v>
      </c>
      <c r="Z202" t="s">
        <v>27057</v>
      </c>
      <c r="AA202">
        <v>0.54429505875393402</v>
      </c>
      <c r="AB202" t="str">
        <f>HYPERLINK("Melting_Curves/meltCurve_B5MC51_LIMK2.pdf", "Melting_Curves/meltCurve_B5MC51_LIMK2.pdf")</f>
        <v>Melting_Curves/meltCurve_B5MC51_LIMK2.pdf</v>
      </c>
    </row>
    <row r="203" spans="1:28" x14ac:dyDescent="0.25">
      <c r="A203" t="s">
        <v>207</v>
      </c>
      <c r="B203">
        <v>0.995954080203443</v>
      </c>
      <c r="C203">
        <v>0.85049603240179295</v>
      </c>
      <c r="D203">
        <v>0.66818054942059402</v>
      </c>
      <c r="E203">
        <v>0.32067069432591999</v>
      </c>
      <c r="F203">
        <v>0.244275849049326</v>
      </c>
      <c r="G203">
        <v>0.19128638220094099</v>
      </c>
      <c r="H203">
        <v>0.16361019662671</v>
      </c>
      <c r="I203">
        <v>0.197311714334062</v>
      </c>
      <c r="J203">
        <v>0.20816137180170899</v>
      </c>
      <c r="K203">
        <v>0.222210797278976</v>
      </c>
      <c r="L203">
        <v>1012.0607851934</v>
      </c>
      <c r="M203">
        <v>21.7692566958581</v>
      </c>
      <c r="N203">
        <v>47.542818053347602</v>
      </c>
      <c r="O203">
        <v>46.103403652162598</v>
      </c>
      <c r="P203">
        <v>-9.54781183603199E-2</v>
      </c>
      <c r="Q203">
        <v>0.19119645390111001</v>
      </c>
      <c r="R203">
        <v>0.99419923087688</v>
      </c>
      <c r="S203" t="s">
        <v>7009</v>
      </c>
      <c r="T203" t="s">
        <v>13610</v>
      </c>
      <c r="U203" t="s">
        <v>13610</v>
      </c>
      <c r="V203" t="s">
        <v>13610</v>
      </c>
      <c r="W203" t="s">
        <v>13808</v>
      </c>
      <c r="X203">
        <v>16</v>
      </c>
      <c r="Y203" t="s">
        <v>20531</v>
      </c>
      <c r="Z203" t="s">
        <v>27058</v>
      </c>
      <c r="AA203">
        <v>0.37618945109819107</v>
      </c>
      <c r="AB203" t="str">
        <f>HYPERLINK("Melting_Curves/meltCurve_B5MCF9_PES1.pdf", "Melting_Curves/meltCurve_B5MCF9_PES1.pdf")</f>
        <v>Melting_Curves/meltCurve_B5MCF9_PES1.pdf</v>
      </c>
    </row>
    <row r="204" spans="1:28" x14ac:dyDescent="0.25">
      <c r="A204" t="s">
        <v>208</v>
      </c>
      <c r="B204">
        <v>0.995954080203443</v>
      </c>
      <c r="C204">
        <v>1.0202784265398701</v>
      </c>
      <c r="D204">
        <v>1.00708482425827</v>
      </c>
      <c r="E204">
        <v>0.844319585429264</v>
      </c>
      <c r="F204">
        <v>0.72139361077418096</v>
      </c>
      <c r="G204">
        <v>0.476360494056769</v>
      </c>
      <c r="H204">
        <v>0.32794361653885901</v>
      </c>
      <c r="I204">
        <v>0.23575545909317799</v>
      </c>
      <c r="J204">
        <v>0.174788992144462</v>
      </c>
      <c r="K204">
        <v>0.106614674704721</v>
      </c>
      <c r="L204">
        <v>778.47280911427401</v>
      </c>
      <c r="M204">
        <v>13.8380612153338</v>
      </c>
      <c r="N204">
        <v>56.920641584134202</v>
      </c>
      <c r="O204">
        <v>55.1201621028993</v>
      </c>
      <c r="P204">
        <v>-5.8088554503658997E-2</v>
      </c>
      <c r="Q204">
        <v>7.4608448797493204E-2</v>
      </c>
      <c r="R204">
        <v>0.99569057309462505</v>
      </c>
      <c r="S204" t="s">
        <v>7010</v>
      </c>
      <c r="T204" t="s">
        <v>13610</v>
      </c>
      <c r="U204" t="s">
        <v>13610</v>
      </c>
      <c r="V204" t="s">
        <v>13610</v>
      </c>
      <c r="W204" t="s">
        <v>13809</v>
      </c>
      <c r="X204">
        <v>7</v>
      </c>
      <c r="Y204" t="s">
        <v>20532</v>
      </c>
      <c r="Z204" t="s">
        <v>27059</v>
      </c>
      <c r="AA204">
        <v>0.59297355184984057</v>
      </c>
      <c r="AB204" t="str">
        <f>HYPERLINK("Melting_Curves/meltCurve_B5MCM0_TEAD3.pdf", "Melting_Curves/meltCurve_B5MCM0_TEAD3.pdf")</f>
        <v>Melting_Curves/meltCurve_B5MCM0_TEAD3.pdf</v>
      </c>
    </row>
    <row r="205" spans="1:28" x14ac:dyDescent="0.25">
      <c r="A205" t="s">
        <v>209</v>
      </c>
      <c r="B205">
        <v>0.995954080203443</v>
      </c>
      <c r="C205">
        <v>1.01914402828825</v>
      </c>
      <c r="D205">
        <v>0.98306026923802403</v>
      </c>
      <c r="E205">
        <v>0.78395290197773804</v>
      </c>
      <c r="F205">
        <v>0.66594595471576701</v>
      </c>
      <c r="G205">
        <v>0.37161269325052099</v>
      </c>
      <c r="H205">
        <v>0.253491313163899</v>
      </c>
      <c r="I205">
        <v>0.239446895553655</v>
      </c>
      <c r="J205">
        <v>0.28767839547239199</v>
      </c>
      <c r="K205">
        <v>0.27248905262038497</v>
      </c>
      <c r="L205">
        <v>1116.6822094663601</v>
      </c>
      <c r="M205">
        <v>21.085117206831001</v>
      </c>
      <c r="N205">
        <v>54.712504499525103</v>
      </c>
      <c r="O205">
        <v>52.491206689650298</v>
      </c>
      <c r="P205">
        <v>-7.5775358243804602E-2</v>
      </c>
      <c r="Q205">
        <v>0.24545165267927299</v>
      </c>
      <c r="R205">
        <v>0.99129583772879704</v>
      </c>
      <c r="S205" t="s">
        <v>7011</v>
      </c>
      <c r="T205" t="s">
        <v>13610</v>
      </c>
      <c r="U205" t="s">
        <v>13610</v>
      </c>
      <c r="V205" t="s">
        <v>13610</v>
      </c>
      <c r="W205" t="s">
        <v>13810</v>
      </c>
      <c r="X205">
        <v>9</v>
      </c>
      <c r="Y205" t="s">
        <v>20533</v>
      </c>
      <c r="Z205" t="s">
        <v>27060</v>
      </c>
      <c r="AA205">
        <v>0.5809062537414692</v>
      </c>
      <c r="AB205" t="str">
        <f>HYPERLINK("Melting_Curves/meltCurve_B5MCU0_R3HDM2.pdf", "Melting_Curves/meltCurve_B5MCU0_R3HDM2.pdf")</f>
        <v>Melting_Curves/meltCurve_B5MCU0_R3HDM2.pdf</v>
      </c>
    </row>
    <row r="206" spans="1:28" x14ac:dyDescent="0.25">
      <c r="A206" t="s">
        <v>210</v>
      </c>
      <c r="B206">
        <v>0.995954080203443</v>
      </c>
      <c r="C206">
        <v>1.02718950488859</v>
      </c>
      <c r="D206">
        <v>1.0170966271145401</v>
      </c>
      <c r="E206">
        <v>0.92254186409465999</v>
      </c>
      <c r="F206">
        <v>0.86913657498158403</v>
      </c>
      <c r="G206">
        <v>0.66616731089718095</v>
      </c>
      <c r="H206">
        <v>0.61155955448350097</v>
      </c>
      <c r="I206">
        <v>0.70816898524445604</v>
      </c>
      <c r="J206">
        <v>0.78911123184717102</v>
      </c>
      <c r="K206">
        <v>0.85132956168861196</v>
      </c>
      <c r="L206">
        <v>2032.81366936573</v>
      </c>
      <c r="M206">
        <v>38.767405708528202</v>
      </c>
      <c r="O206">
        <v>52.297212070222002</v>
      </c>
      <c r="P206">
        <v>-5.0718011839560199E-2</v>
      </c>
      <c r="Q206">
        <v>0.72632634900047399</v>
      </c>
      <c r="R206">
        <v>0.78824139838789897</v>
      </c>
      <c r="S206" t="s">
        <v>7012</v>
      </c>
      <c r="T206" t="s">
        <v>13610</v>
      </c>
      <c r="U206" t="s">
        <v>13610</v>
      </c>
      <c r="V206" t="s">
        <v>13610</v>
      </c>
      <c r="W206" t="s">
        <v>13811</v>
      </c>
      <c r="X206">
        <v>11</v>
      </c>
      <c r="Y206" t="s">
        <v>20534</v>
      </c>
      <c r="Z206" t="s">
        <v>27061</v>
      </c>
      <c r="AA206">
        <v>0.8408301689279114</v>
      </c>
      <c r="AB206" t="str">
        <f>HYPERLINK("Melting_Curves/meltCurve_B5MDQ0_ERCC6L.pdf", "Melting_Curves/meltCurve_B5MDQ0_ERCC6L.pdf")</f>
        <v>Melting_Curves/meltCurve_B5MDQ0_ERCC6L.pdf</v>
      </c>
    </row>
    <row r="207" spans="1:28" x14ac:dyDescent="0.25">
      <c r="A207" t="s">
        <v>211</v>
      </c>
      <c r="B207">
        <v>0.995954080203443</v>
      </c>
      <c r="C207">
        <v>0.79509534587318298</v>
      </c>
      <c r="D207">
        <v>0.41197101098966998</v>
      </c>
      <c r="E207">
        <v>0.300980464430603</v>
      </c>
      <c r="F207">
        <v>0.238156507995196</v>
      </c>
      <c r="G207">
        <v>0.189866844823323</v>
      </c>
      <c r="H207">
        <v>0.16560891382797599</v>
      </c>
      <c r="I207">
        <v>0.193453400592767</v>
      </c>
      <c r="J207">
        <v>0.22076711870444499</v>
      </c>
      <c r="K207">
        <v>0.22190327817297001</v>
      </c>
      <c r="L207">
        <v>1257.62771645096</v>
      </c>
      <c r="M207">
        <v>28.2819454195429</v>
      </c>
      <c r="N207">
        <v>45.3425706510276</v>
      </c>
      <c r="O207">
        <v>44.2469616472208</v>
      </c>
      <c r="P207">
        <v>-0.12618975906003599</v>
      </c>
      <c r="Q207">
        <v>0.210313330885878</v>
      </c>
      <c r="R207">
        <v>0.98936119049791904</v>
      </c>
      <c r="S207" t="s">
        <v>7013</v>
      </c>
      <c r="T207" t="s">
        <v>13610</v>
      </c>
      <c r="U207" t="s">
        <v>13610</v>
      </c>
      <c r="V207" t="s">
        <v>13610</v>
      </c>
      <c r="W207" t="s">
        <v>13812</v>
      </c>
      <c r="X207">
        <v>21</v>
      </c>
      <c r="Y207" t="s">
        <v>20535</v>
      </c>
      <c r="Z207" t="s">
        <v>27062</v>
      </c>
      <c r="AA207">
        <v>0.33411955641397578</v>
      </c>
      <c r="AB207" t="str">
        <f>HYPERLINK("Melting_Curves/meltCurve_B7WP27_CWC22.pdf", "Melting_Curves/meltCurve_B7WP27_CWC22.pdf")</f>
        <v>Melting_Curves/meltCurve_B7WP27_CWC22.pdf</v>
      </c>
    </row>
    <row r="208" spans="1:28" x14ac:dyDescent="0.25">
      <c r="A208" t="s">
        <v>212</v>
      </c>
      <c r="B208">
        <v>0.995954080203443</v>
      </c>
      <c r="C208">
        <v>0.97272523318791904</v>
      </c>
      <c r="D208">
        <v>0.91090616017729997</v>
      </c>
      <c r="E208">
        <v>0.88311152342574495</v>
      </c>
      <c r="F208">
        <v>0.92794172690194998</v>
      </c>
      <c r="G208">
        <v>0.68636083745811505</v>
      </c>
      <c r="H208">
        <v>0.65020923102795802</v>
      </c>
      <c r="I208">
        <v>0.73653005891637602</v>
      </c>
      <c r="J208">
        <v>0.91434922607006497</v>
      </c>
      <c r="K208">
        <v>0.850523970899281</v>
      </c>
      <c r="L208">
        <v>824.71699787383398</v>
      </c>
      <c r="M208">
        <v>16.785061718347698</v>
      </c>
      <c r="O208">
        <v>48.452480862392001</v>
      </c>
      <c r="P208">
        <v>-1.9245627659552199E-2</v>
      </c>
      <c r="Q208">
        <v>0.77779344953399798</v>
      </c>
      <c r="R208">
        <v>0.48537039711401297</v>
      </c>
      <c r="S208" t="s">
        <v>7014</v>
      </c>
      <c r="T208" t="s">
        <v>13610</v>
      </c>
      <c r="U208" t="s">
        <v>13610</v>
      </c>
      <c r="V208" t="s">
        <v>13610</v>
      </c>
      <c r="W208" t="s">
        <v>13813</v>
      </c>
      <c r="X208">
        <v>9</v>
      </c>
      <c r="Y208" t="s">
        <v>20536</v>
      </c>
      <c r="Z208" t="s">
        <v>27063</v>
      </c>
      <c r="AA208">
        <v>0.849851798734507</v>
      </c>
      <c r="AB208" t="str">
        <f>HYPERLINK("Melting_Curves/meltCurve_B7WPH3_CECR2.pdf", "Melting_Curves/meltCurve_B7WPH3_CECR2.pdf")</f>
        <v>Melting_Curves/meltCurve_B7WPH3_CECR2.pdf</v>
      </c>
    </row>
    <row r="209" spans="1:28" x14ac:dyDescent="0.25">
      <c r="A209" t="s">
        <v>213</v>
      </c>
      <c r="B209">
        <v>0.995954080203443</v>
      </c>
      <c r="C209">
        <v>0.83534829043717496</v>
      </c>
      <c r="D209">
        <v>0.65085800687406903</v>
      </c>
      <c r="E209">
        <v>0.566834624472774</v>
      </c>
      <c r="F209">
        <v>0.290488155008025</v>
      </c>
      <c r="G209">
        <v>0.13527805274228899</v>
      </c>
      <c r="H209">
        <v>8.40918902182997E-2</v>
      </c>
      <c r="I209">
        <v>6.4284139824422007E-2</v>
      </c>
      <c r="J209">
        <v>7.7968944579558802E-2</v>
      </c>
      <c r="K209">
        <v>6.7374498745661995E-2</v>
      </c>
      <c r="L209">
        <v>600.65319806384298</v>
      </c>
      <c r="M209">
        <v>12.178667937948701</v>
      </c>
      <c r="N209">
        <v>49.466120971962503</v>
      </c>
      <c r="O209">
        <v>48.046860013597701</v>
      </c>
      <c r="P209">
        <v>-6.2264025203455399E-2</v>
      </c>
      <c r="Q209">
        <v>1.7656154157362099E-2</v>
      </c>
      <c r="R209">
        <v>0.98194397120004795</v>
      </c>
      <c r="S209" t="s">
        <v>7015</v>
      </c>
      <c r="T209" t="s">
        <v>13610</v>
      </c>
      <c r="U209" t="s">
        <v>13610</v>
      </c>
      <c r="V209" t="s">
        <v>13610</v>
      </c>
      <c r="W209" t="s">
        <v>13814</v>
      </c>
      <c r="X209">
        <v>1</v>
      </c>
      <c r="Y209" t="s">
        <v>20537</v>
      </c>
      <c r="Z209" t="s">
        <v>27064</v>
      </c>
      <c r="AA209">
        <v>0.35739020005397332</v>
      </c>
      <c r="AB209" t="str">
        <f>HYPERLINK("Melting_Curves/meltCurve_B7Z1I8_E2F6.pdf", "Melting_Curves/meltCurve_B7Z1I8_E2F6.pdf")</f>
        <v>Melting_Curves/meltCurve_B7Z1I8_E2F6.pdf</v>
      </c>
    </row>
    <row r="210" spans="1:28" x14ac:dyDescent="0.25">
      <c r="A210" t="s">
        <v>214</v>
      </c>
      <c r="B210">
        <v>0.995954080203443</v>
      </c>
      <c r="C210">
        <v>0.90914304318380401</v>
      </c>
      <c r="D210">
        <v>0.77166457210607498</v>
      </c>
      <c r="E210">
        <v>0.64510536061729895</v>
      </c>
      <c r="F210">
        <v>0.433683029540055</v>
      </c>
      <c r="G210">
        <v>0.220901240961135</v>
      </c>
      <c r="H210">
        <v>0.10418952566864099</v>
      </c>
      <c r="I210">
        <v>8.0592507550958203E-2</v>
      </c>
      <c r="J210">
        <v>8.8709550267808704E-2</v>
      </c>
      <c r="K210">
        <v>7.1366340325333802E-2</v>
      </c>
      <c r="L210">
        <v>645.137227539489</v>
      </c>
      <c r="M210">
        <v>12.529540710221999</v>
      </c>
      <c r="N210">
        <v>51.621073697203897</v>
      </c>
      <c r="O210">
        <v>50.230489648530899</v>
      </c>
      <c r="P210">
        <v>-6.1391213544328603E-2</v>
      </c>
      <c r="Q210">
        <v>1.5739596586771199E-2</v>
      </c>
      <c r="R210">
        <v>0.99344225249768603</v>
      </c>
      <c r="S210" t="s">
        <v>7016</v>
      </c>
      <c r="T210" t="s">
        <v>13610</v>
      </c>
      <c r="U210" t="s">
        <v>13610</v>
      </c>
      <c r="V210" t="s">
        <v>13610</v>
      </c>
      <c r="W210" t="s">
        <v>13815</v>
      </c>
      <c r="X210">
        <v>2</v>
      </c>
      <c r="Y210" t="s">
        <v>20538</v>
      </c>
      <c r="Z210" t="s">
        <v>27065</v>
      </c>
      <c r="AA210">
        <v>0.42202225309084512</v>
      </c>
      <c r="AB210" t="str">
        <f>HYPERLINK("Melting_Curves/meltCurve_B7Z1N3_PIGT.pdf", "Melting_Curves/meltCurve_B7Z1N3_PIGT.pdf")</f>
        <v>Melting_Curves/meltCurve_B7Z1N3_PIGT.pdf</v>
      </c>
    </row>
    <row r="211" spans="1:28" x14ac:dyDescent="0.25">
      <c r="A211" t="s">
        <v>215</v>
      </c>
      <c r="B211">
        <v>0.995954080203443</v>
      </c>
      <c r="C211">
        <v>0.93888109840040201</v>
      </c>
      <c r="D211">
        <v>0.913925944550669</v>
      </c>
      <c r="E211">
        <v>0.83987096459660304</v>
      </c>
      <c r="F211">
        <v>0.79539441520505505</v>
      </c>
      <c r="G211">
        <v>0.29795053699371099</v>
      </c>
      <c r="H211">
        <v>0.119761490764958</v>
      </c>
      <c r="I211">
        <v>7.8750576957628202E-2</v>
      </c>
      <c r="J211">
        <v>8.2735969587983196E-2</v>
      </c>
      <c r="K211">
        <v>7.3752560971000899E-2</v>
      </c>
      <c r="L211">
        <v>1390.1432689440401</v>
      </c>
      <c r="M211">
        <v>25.315655763645498</v>
      </c>
      <c r="N211">
        <v>55.1887929981974</v>
      </c>
      <c r="O211">
        <v>54.5731686986501</v>
      </c>
      <c r="P211">
        <v>-0.109067685916666</v>
      </c>
      <c r="Q211">
        <v>5.9539257209506202E-2</v>
      </c>
      <c r="R211">
        <v>0.984935922668702</v>
      </c>
      <c r="S211" t="s">
        <v>7017</v>
      </c>
      <c r="T211" t="s">
        <v>13610</v>
      </c>
      <c r="U211" t="s">
        <v>13610</v>
      </c>
      <c r="V211" t="s">
        <v>13610</v>
      </c>
      <c r="W211" t="s">
        <v>13816</v>
      </c>
      <c r="X211">
        <v>21</v>
      </c>
      <c r="Y211" t="s">
        <v>20539</v>
      </c>
      <c r="Z211" t="s">
        <v>27066</v>
      </c>
      <c r="AA211">
        <v>0.53553620643373523</v>
      </c>
      <c r="AB211" t="str">
        <f>HYPERLINK("Melting_Curves/meltCurve_B7Z254_PDIA6.pdf", "Melting_Curves/meltCurve_B7Z254_PDIA6.pdf")</f>
        <v>Melting_Curves/meltCurve_B7Z254_PDIA6.pdf</v>
      </c>
    </row>
    <row r="212" spans="1:28" x14ac:dyDescent="0.25">
      <c r="A212" t="s">
        <v>216</v>
      </c>
      <c r="B212">
        <v>0.995954080203443</v>
      </c>
      <c r="C212">
        <v>0.92217639834944798</v>
      </c>
      <c r="D212">
        <v>0.70795206607250505</v>
      </c>
      <c r="E212">
        <v>0.400723847210392</v>
      </c>
      <c r="F212">
        <v>0.21088563039317301</v>
      </c>
      <c r="G212">
        <v>9.5161369087746805E-2</v>
      </c>
      <c r="H212">
        <v>5.74657999147637E-2</v>
      </c>
      <c r="I212">
        <v>4.0684493005445597E-2</v>
      </c>
      <c r="J212">
        <v>4.2409889148963799E-2</v>
      </c>
      <c r="K212">
        <v>3.70171054938827E-2</v>
      </c>
      <c r="L212">
        <v>842.85421631185102</v>
      </c>
      <c r="M212">
        <v>17.386346261615</v>
      </c>
      <c r="N212">
        <v>48.6584933530632</v>
      </c>
      <c r="O212">
        <v>47.850249205779903</v>
      </c>
      <c r="P212">
        <v>-8.8004600806175101E-2</v>
      </c>
      <c r="Q212">
        <v>3.1238923541000399E-2</v>
      </c>
      <c r="R212">
        <v>0.99917827060421904</v>
      </c>
      <c r="S212" t="s">
        <v>7018</v>
      </c>
      <c r="T212" t="s">
        <v>13610</v>
      </c>
      <c r="U212" t="s">
        <v>13610</v>
      </c>
      <c r="V212" t="s">
        <v>13610</v>
      </c>
      <c r="W212" t="s">
        <v>13817</v>
      </c>
      <c r="X212">
        <v>5</v>
      </c>
      <c r="Y212" t="s">
        <v>20540</v>
      </c>
      <c r="Z212" t="s">
        <v>27067</v>
      </c>
      <c r="AA212">
        <v>0.32321769137104361</v>
      </c>
      <c r="AB212" t="str">
        <f>HYPERLINK("Melting_Curves/meltCurve_B7Z2G1_KLHL22.pdf", "Melting_Curves/meltCurve_B7Z2G1_KLHL22.pdf")</f>
        <v>Melting_Curves/meltCurve_B7Z2G1_KLHL22.pdf</v>
      </c>
    </row>
    <row r="213" spans="1:28" x14ac:dyDescent="0.25">
      <c r="A213" t="s">
        <v>217</v>
      </c>
      <c r="B213">
        <v>0.995954080203443</v>
      </c>
      <c r="C213">
        <v>0.74683320816369703</v>
      </c>
      <c r="D213">
        <v>0.57441684300928897</v>
      </c>
      <c r="E213">
        <v>0.48949869882092301</v>
      </c>
      <c r="F213">
        <v>0.19041636809207599</v>
      </c>
      <c r="G213">
        <v>6.5637379217012501E-2</v>
      </c>
      <c r="H213">
        <v>2.79065436360552E-2</v>
      </c>
      <c r="I213">
        <v>2.35635004269662E-2</v>
      </c>
      <c r="J213">
        <v>2.1042781607784999E-2</v>
      </c>
      <c r="K213">
        <v>4.18438944938746E-2</v>
      </c>
      <c r="L213">
        <v>607.05702191746502</v>
      </c>
      <c r="M213">
        <v>12.6955727388408</v>
      </c>
      <c r="N213">
        <v>47.816435077758598</v>
      </c>
      <c r="O213">
        <v>46.676615452855899</v>
      </c>
      <c r="P213">
        <v>-6.8010673401688704E-2</v>
      </c>
      <c r="Q213">
        <v>0</v>
      </c>
      <c r="R213">
        <v>0.97162334437393405</v>
      </c>
      <c r="S213" t="s">
        <v>7019</v>
      </c>
      <c r="T213" t="s">
        <v>13610</v>
      </c>
      <c r="U213" t="s">
        <v>13610</v>
      </c>
      <c r="V213" t="s">
        <v>13610</v>
      </c>
      <c r="W213" t="s">
        <v>13818</v>
      </c>
      <c r="X213">
        <v>1</v>
      </c>
      <c r="Y213" t="s">
        <v>20541</v>
      </c>
      <c r="Z213" t="s">
        <v>27068</v>
      </c>
      <c r="AA213">
        <v>0.296321080774052</v>
      </c>
      <c r="AB213" t="str">
        <f>HYPERLINK("Melting_Curves/meltCurve_B7Z2T3_TTC26.pdf", "Melting_Curves/meltCurve_B7Z2T3_TTC26.pdf")</f>
        <v>Melting_Curves/meltCurve_B7Z2T3_TTC26.pdf</v>
      </c>
    </row>
    <row r="214" spans="1:28" x14ac:dyDescent="0.25">
      <c r="A214" t="s">
        <v>218</v>
      </c>
      <c r="B214">
        <v>0.995954080203443</v>
      </c>
      <c r="C214">
        <v>1.03715405001115</v>
      </c>
      <c r="D214">
        <v>1.02976404827574</v>
      </c>
      <c r="E214">
        <v>0.92635934862303104</v>
      </c>
      <c r="F214">
        <v>0.80032758640111301</v>
      </c>
      <c r="G214">
        <v>0.63321389227847102</v>
      </c>
      <c r="H214">
        <v>0.44182913773341997</v>
      </c>
      <c r="I214">
        <v>0.24471137215313399</v>
      </c>
      <c r="J214">
        <v>9.1749875873118406E-2</v>
      </c>
      <c r="K214">
        <v>8.4219729691898601E-2</v>
      </c>
      <c r="L214">
        <v>871.94588812028803</v>
      </c>
      <c r="M214">
        <v>14.7557119061048</v>
      </c>
      <c r="N214">
        <v>59.0920924642693</v>
      </c>
      <c r="O214">
        <v>58.038607870938101</v>
      </c>
      <c r="P214">
        <v>-6.3566749760766705E-2</v>
      </c>
      <c r="Q214">
        <v>0</v>
      </c>
      <c r="R214">
        <v>0.99098490005746598</v>
      </c>
      <c r="S214" t="s">
        <v>7020</v>
      </c>
      <c r="T214" t="s">
        <v>13610</v>
      </c>
      <c r="U214" t="s">
        <v>13610</v>
      </c>
      <c r="V214" t="s">
        <v>13610</v>
      </c>
      <c r="W214" t="s">
        <v>13819</v>
      </c>
      <c r="X214">
        <v>11</v>
      </c>
      <c r="Y214" t="s">
        <v>20542</v>
      </c>
      <c r="Z214" t="s">
        <v>27069</v>
      </c>
      <c r="AA214">
        <v>0.64648405212292226</v>
      </c>
      <c r="AB214" t="str">
        <f>HYPERLINK("Melting_Curves/meltCurve_B7Z2X9_ENO2.pdf", "Melting_Curves/meltCurve_B7Z2X9_ENO2.pdf")</f>
        <v>Melting_Curves/meltCurve_B7Z2X9_ENO2.pdf</v>
      </c>
    </row>
    <row r="215" spans="1:28" x14ac:dyDescent="0.25">
      <c r="A215" t="s">
        <v>219</v>
      </c>
      <c r="B215">
        <v>0.995954080203443</v>
      </c>
      <c r="C215">
        <v>0.98318423134261301</v>
      </c>
      <c r="D215">
        <v>1.15232695607034</v>
      </c>
      <c r="E215">
        <v>0.90299058666483001</v>
      </c>
      <c r="F215">
        <v>0.83864690751141302</v>
      </c>
      <c r="G215">
        <v>0.52784449321374305</v>
      </c>
      <c r="H215">
        <v>0.225175984888522</v>
      </c>
      <c r="I215">
        <v>0.17335677968633401</v>
      </c>
      <c r="J215">
        <v>0.192820674626941</v>
      </c>
      <c r="K215">
        <v>0.177547063429569</v>
      </c>
      <c r="L215">
        <v>1397.6098408169501</v>
      </c>
      <c r="M215">
        <v>24.892257114198301</v>
      </c>
      <c r="N215">
        <v>57.0056390326517</v>
      </c>
      <c r="O215">
        <v>55.787753606369897</v>
      </c>
      <c r="P215">
        <v>-9.4100963422194303E-2</v>
      </c>
      <c r="Q215">
        <v>0.15642671921321899</v>
      </c>
      <c r="R215">
        <v>0.97819922146169502</v>
      </c>
      <c r="S215" t="s">
        <v>7021</v>
      </c>
      <c r="T215" t="s">
        <v>13610</v>
      </c>
      <c r="U215" t="s">
        <v>13610</v>
      </c>
      <c r="V215" t="s">
        <v>13610</v>
      </c>
      <c r="W215" t="s">
        <v>13820</v>
      </c>
      <c r="X215">
        <v>3</v>
      </c>
      <c r="Y215" t="s">
        <v>20543</v>
      </c>
      <c r="Z215" t="s">
        <v>27070</v>
      </c>
      <c r="AA215">
        <v>0.61823178667901468</v>
      </c>
      <c r="AB215" t="str">
        <f>HYPERLINK("Melting_Curves/meltCurve_B7Z314_UQCC.pdf", "Melting_Curves/meltCurve_B7Z314_UQCC.pdf")</f>
        <v>Melting_Curves/meltCurve_B7Z314_UQCC.pdf</v>
      </c>
    </row>
    <row r="216" spans="1:28" x14ac:dyDescent="0.25">
      <c r="A216" t="s">
        <v>220</v>
      </c>
      <c r="B216">
        <v>0.995954080203443</v>
      </c>
      <c r="C216">
        <v>0.71512900793119705</v>
      </c>
      <c r="D216">
        <v>0.68046346302343097</v>
      </c>
      <c r="E216">
        <v>0.53001949097289802</v>
      </c>
      <c r="F216">
        <v>0.553442193816718</v>
      </c>
      <c r="G216">
        <v>0.38815933227737998</v>
      </c>
      <c r="H216">
        <v>0.261203748145449</v>
      </c>
      <c r="I216">
        <v>0.29437698082125502</v>
      </c>
      <c r="J216">
        <v>0.30034773904868001</v>
      </c>
      <c r="K216">
        <v>0.25457997544875299</v>
      </c>
      <c r="L216">
        <v>409.73753378902097</v>
      </c>
      <c r="M216">
        <v>8.4237741582891701</v>
      </c>
      <c r="N216">
        <v>51.826532928773297</v>
      </c>
      <c r="O216">
        <v>46.131348002511501</v>
      </c>
      <c r="P216">
        <v>-3.6459148900198898E-2</v>
      </c>
      <c r="Q216">
        <v>0.20209473360689101</v>
      </c>
      <c r="R216">
        <v>0.93992392612454301</v>
      </c>
      <c r="S216" t="s">
        <v>7022</v>
      </c>
      <c r="T216" t="s">
        <v>13610</v>
      </c>
      <c r="U216" t="s">
        <v>13610</v>
      </c>
      <c r="V216" t="s">
        <v>13610</v>
      </c>
      <c r="W216" t="s">
        <v>13821</v>
      </c>
      <c r="X216">
        <v>1</v>
      </c>
      <c r="Y216" t="s">
        <v>20544</v>
      </c>
      <c r="Z216" t="s">
        <v>27071</v>
      </c>
      <c r="AA216">
        <v>0.48299292441978081</v>
      </c>
      <c r="AB216" t="str">
        <f>HYPERLINK("Melting_Curves/meltCurve_B7Z3A7_PDE1A.pdf", "Melting_Curves/meltCurve_B7Z3A7_PDE1A.pdf")</f>
        <v>Melting_Curves/meltCurve_B7Z3A7_PDE1A.pdf</v>
      </c>
    </row>
    <row r="217" spans="1:28" x14ac:dyDescent="0.25">
      <c r="A217" t="s">
        <v>221</v>
      </c>
      <c r="B217">
        <v>0.995954080203443</v>
      </c>
      <c r="C217">
        <v>0.99136200946311503</v>
      </c>
      <c r="D217">
        <v>0.99364021626135202</v>
      </c>
      <c r="E217">
        <v>0.86237922193498195</v>
      </c>
      <c r="F217">
        <v>0.84801439496018804</v>
      </c>
      <c r="G217">
        <v>0.61406947320747096</v>
      </c>
      <c r="H217">
        <v>0.58907410818075501</v>
      </c>
      <c r="I217">
        <v>0.69712012661168099</v>
      </c>
      <c r="J217">
        <v>0.84494386831992596</v>
      </c>
      <c r="K217">
        <v>0.79392567960832205</v>
      </c>
      <c r="L217">
        <v>1502.47324213468</v>
      </c>
      <c r="M217">
        <v>29.538899487048401</v>
      </c>
      <c r="O217">
        <v>50.632816923704397</v>
      </c>
      <c r="P217">
        <v>-4.1703620326811797E-2</v>
      </c>
      <c r="Q217">
        <v>0.71406421786234497</v>
      </c>
      <c r="R217">
        <v>0.71790162084786002</v>
      </c>
      <c r="S217" t="s">
        <v>7023</v>
      </c>
      <c r="T217" t="s">
        <v>13610</v>
      </c>
      <c r="U217" t="s">
        <v>13610</v>
      </c>
      <c r="V217" t="s">
        <v>13610</v>
      </c>
      <c r="W217" t="s">
        <v>13822</v>
      </c>
      <c r="X217">
        <v>7</v>
      </c>
      <c r="Y217" t="s">
        <v>20545</v>
      </c>
      <c r="Z217" t="s">
        <v>27072</v>
      </c>
      <c r="AA217">
        <v>0.81946362094674396</v>
      </c>
      <c r="AB217" t="str">
        <f>HYPERLINK("Melting_Curves/meltCurve_B7Z3B9_GAB1.pdf", "Melting_Curves/meltCurve_B7Z3B9_GAB1.pdf")</f>
        <v>Melting_Curves/meltCurve_B7Z3B9_GAB1.pdf</v>
      </c>
    </row>
    <row r="218" spans="1:28" x14ac:dyDescent="0.25">
      <c r="A218" t="s">
        <v>222</v>
      </c>
      <c r="B218">
        <v>0.995954080203443</v>
      </c>
      <c r="C218">
        <v>0.85058528013359602</v>
      </c>
      <c r="D218">
        <v>0.71702635158494898</v>
      </c>
      <c r="E218">
        <v>0.80916312870481</v>
      </c>
      <c r="F218">
        <v>0.59961527111115598</v>
      </c>
      <c r="G218">
        <v>0.431087120508094</v>
      </c>
      <c r="H218">
        <v>0.37285866027194398</v>
      </c>
      <c r="I218">
        <v>0.47541260742507002</v>
      </c>
      <c r="J218">
        <v>0.52331733207996001</v>
      </c>
      <c r="K218">
        <v>0.51907186070311695</v>
      </c>
      <c r="L218">
        <v>554.50711810589598</v>
      </c>
      <c r="M218">
        <v>11.5067413079929</v>
      </c>
      <c r="N218">
        <v>59.306756793862398</v>
      </c>
      <c r="O218">
        <v>46.803218948201099</v>
      </c>
      <c r="P218">
        <v>-3.4296460561440298E-2</v>
      </c>
      <c r="Q218">
        <v>0.442160012568939</v>
      </c>
      <c r="R218">
        <v>0.84027606256537901</v>
      </c>
      <c r="S218" t="s">
        <v>7024</v>
      </c>
      <c r="T218" t="s">
        <v>13610</v>
      </c>
      <c r="U218" t="s">
        <v>13610</v>
      </c>
      <c r="V218" t="s">
        <v>13610</v>
      </c>
      <c r="W218" t="s">
        <v>13823</v>
      </c>
      <c r="X218">
        <v>14</v>
      </c>
      <c r="Y218" t="s">
        <v>20546</v>
      </c>
      <c r="Z218" t="s">
        <v>27073</v>
      </c>
      <c r="AA218">
        <v>0.61762668181826375</v>
      </c>
      <c r="AB218" t="str">
        <f>HYPERLINK("Melting_Curves/meltCurve_B7Z3I9_ALAD.pdf", "Melting_Curves/meltCurve_B7Z3I9_ALAD.pdf")</f>
        <v>Melting_Curves/meltCurve_B7Z3I9_ALAD.pdf</v>
      </c>
    </row>
    <row r="219" spans="1:28" x14ac:dyDescent="0.25">
      <c r="A219" t="s">
        <v>223</v>
      </c>
      <c r="B219">
        <v>0.995954080203443</v>
      </c>
      <c r="C219">
        <v>0.879157372544763</v>
      </c>
      <c r="D219">
        <v>0.65947485938412598</v>
      </c>
      <c r="E219">
        <v>0.75474885814064296</v>
      </c>
      <c r="F219">
        <v>0.31574104645191797</v>
      </c>
      <c r="G219">
        <v>0.15075045508479201</v>
      </c>
      <c r="H219">
        <v>7.7865416905738005E-2</v>
      </c>
      <c r="I219">
        <v>8.4316584519242704E-2</v>
      </c>
      <c r="J219">
        <v>6.6022847529345993E-2</v>
      </c>
      <c r="K219">
        <v>4.68525289846317E-2</v>
      </c>
      <c r="L219">
        <v>635.48727421558601</v>
      </c>
      <c r="M219">
        <v>12.4848998763081</v>
      </c>
      <c r="N219">
        <v>50.900469867125501</v>
      </c>
      <c r="O219">
        <v>49.647515093620797</v>
      </c>
      <c r="P219">
        <v>-6.2880694089542305E-2</v>
      </c>
      <c r="Q219">
        <v>0</v>
      </c>
      <c r="R219">
        <v>0.947333789564478</v>
      </c>
      <c r="S219" t="s">
        <v>7025</v>
      </c>
      <c r="T219" t="s">
        <v>13610</v>
      </c>
      <c r="U219" t="s">
        <v>13610</v>
      </c>
      <c r="V219" t="s">
        <v>13610</v>
      </c>
      <c r="W219" t="s">
        <v>13824</v>
      </c>
      <c r="X219">
        <v>2</v>
      </c>
      <c r="Y219" t="s">
        <v>20547</v>
      </c>
      <c r="Z219" t="s">
        <v>27074</v>
      </c>
      <c r="AA219">
        <v>0.39431084969090491</v>
      </c>
      <c r="AB219" t="str">
        <f>HYPERLINK("Melting_Curves/meltCurve_B7Z3Y2_PCYOX1.pdf", "Melting_Curves/meltCurve_B7Z3Y2_PCYOX1.pdf")</f>
        <v>Melting_Curves/meltCurve_B7Z3Y2_PCYOX1.pdf</v>
      </c>
    </row>
    <row r="220" spans="1:28" x14ac:dyDescent="0.25">
      <c r="A220" t="s">
        <v>224</v>
      </c>
      <c r="B220">
        <v>0.995954080203443</v>
      </c>
      <c r="C220">
        <v>1.0843199925820399</v>
      </c>
      <c r="D220">
        <v>1.08044031162763</v>
      </c>
      <c r="E220">
        <v>0.97199566042258401</v>
      </c>
      <c r="F220">
        <v>0.92504961999549196</v>
      </c>
      <c r="G220">
        <v>0.71676800549668496</v>
      </c>
      <c r="H220">
        <v>0.63467125092560095</v>
      </c>
      <c r="I220">
        <v>0.69787918256362902</v>
      </c>
      <c r="J220">
        <v>0.86613708254185595</v>
      </c>
      <c r="K220">
        <v>0.64888055492012897</v>
      </c>
      <c r="L220">
        <v>3430.3405180013401</v>
      </c>
      <c r="M220">
        <v>63.703509099844702</v>
      </c>
      <c r="O220">
        <v>53.795543440095798</v>
      </c>
      <c r="P220">
        <v>-8.548422203837E-2</v>
      </c>
      <c r="Q220">
        <v>0.711245504425432</v>
      </c>
      <c r="R220">
        <v>0.82546049330151705</v>
      </c>
      <c r="S220" t="s">
        <v>7026</v>
      </c>
      <c r="T220" t="s">
        <v>13610</v>
      </c>
      <c r="U220" t="s">
        <v>13610</v>
      </c>
      <c r="V220" t="s">
        <v>13610</v>
      </c>
      <c r="W220" t="s">
        <v>13825</v>
      </c>
      <c r="X220">
        <v>8</v>
      </c>
      <c r="Y220" t="s">
        <v>20548</v>
      </c>
      <c r="Z220" t="s">
        <v>27075</v>
      </c>
      <c r="AA220">
        <v>0.84496132443307748</v>
      </c>
      <c r="AB220" t="str">
        <f>HYPERLINK("Melting_Curves/meltCurve_B7Z4K6_DNASE2.pdf", "Melting_Curves/meltCurve_B7Z4K6_DNASE2.pdf")</f>
        <v>Melting_Curves/meltCurve_B7Z4K6_DNASE2.pdf</v>
      </c>
    </row>
    <row r="221" spans="1:28" x14ac:dyDescent="0.25">
      <c r="A221" t="s">
        <v>225</v>
      </c>
      <c r="B221">
        <v>0.995954080203443</v>
      </c>
      <c r="C221">
        <v>1.0250184302736201</v>
      </c>
      <c r="D221">
        <v>1.0691450875303901</v>
      </c>
      <c r="E221">
        <v>0.94575393202662605</v>
      </c>
      <c r="F221">
        <v>1.0429386568312</v>
      </c>
      <c r="G221">
        <v>0.80509048457849397</v>
      </c>
      <c r="H221">
        <v>0.78568028147336899</v>
      </c>
      <c r="I221">
        <v>0.92631262629482702</v>
      </c>
      <c r="J221">
        <v>1.1263968824122601</v>
      </c>
      <c r="K221">
        <v>1.08916910692564</v>
      </c>
      <c r="L221">
        <v>15000</v>
      </c>
      <c r="M221">
        <v>228.45017215527801</v>
      </c>
      <c r="O221">
        <v>65.654821496172502</v>
      </c>
      <c r="P221">
        <v>9.4069820210760199E-2</v>
      </c>
      <c r="Q221">
        <v>1.10813973519271</v>
      </c>
      <c r="R221">
        <v>0.16338101946678901</v>
      </c>
      <c r="S221" t="s">
        <v>7027</v>
      </c>
      <c r="T221" t="s">
        <v>13610</v>
      </c>
      <c r="U221" t="s">
        <v>13610</v>
      </c>
      <c r="V221" t="s">
        <v>13610</v>
      </c>
      <c r="W221" t="s">
        <v>13826</v>
      </c>
      <c r="X221">
        <v>5</v>
      </c>
      <c r="Y221" t="s">
        <v>20549</v>
      </c>
      <c r="Z221" t="s">
        <v>27076</v>
      </c>
      <c r="AA221">
        <v>1.0156298966215429</v>
      </c>
      <c r="AB221" t="str">
        <f>HYPERLINK("Melting_Curves/meltCurve_B7Z4R0_ERF.pdf", "Melting_Curves/meltCurve_B7Z4R0_ERF.pdf")</f>
        <v>Melting_Curves/meltCurve_B7Z4R0_ERF.pdf</v>
      </c>
    </row>
    <row r="222" spans="1:28" x14ac:dyDescent="0.25">
      <c r="A222" t="s">
        <v>226</v>
      </c>
      <c r="B222">
        <v>0.995954080203443</v>
      </c>
      <c r="C222">
        <v>0.98819879601125304</v>
      </c>
      <c r="D222">
        <v>1.02670383385562</v>
      </c>
      <c r="E222">
        <v>0.86535329747475298</v>
      </c>
      <c r="F222">
        <v>0.80838150081770299</v>
      </c>
      <c r="G222">
        <v>0.58175949619509804</v>
      </c>
      <c r="H222">
        <v>0.51424340835779703</v>
      </c>
      <c r="I222">
        <v>0.59752127187259296</v>
      </c>
      <c r="J222">
        <v>0.77074499165212995</v>
      </c>
      <c r="K222">
        <v>0.68140853535661805</v>
      </c>
      <c r="L222">
        <v>1602.6314497855301</v>
      </c>
      <c r="M222">
        <v>30.933278631349399</v>
      </c>
      <c r="O222">
        <v>51.5942166167181</v>
      </c>
      <c r="P222">
        <v>-5.5414618327434197E-2</v>
      </c>
      <c r="Q222">
        <v>0.63029365970622797</v>
      </c>
      <c r="R222">
        <v>0.84384103841239999</v>
      </c>
      <c r="S222" t="s">
        <v>7028</v>
      </c>
      <c r="T222" t="s">
        <v>13610</v>
      </c>
      <c r="U222" t="s">
        <v>13610</v>
      </c>
      <c r="V222" t="s">
        <v>13610</v>
      </c>
      <c r="W222" t="s">
        <v>13827</v>
      </c>
      <c r="X222">
        <v>3</v>
      </c>
      <c r="Y222" t="s">
        <v>20550</v>
      </c>
      <c r="Z222" t="s">
        <v>27077</v>
      </c>
      <c r="AA222">
        <v>0.77804192580081699</v>
      </c>
      <c r="AB222" t="str">
        <f>HYPERLINK("Melting_Curves/meltCurve_B7Z588_TNFRSF10B.pdf", "Melting_Curves/meltCurve_B7Z588_TNFRSF10B.pdf")</f>
        <v>Melting_Curves/meltCurve_B7Z588_TNFRSF10B.pdf</v>
      </c>
    </row>
    <row r="223" spans="1:28" x14ac:dyDescent="0.25">
      <c r="A223" t="s">
        <v>227</v>
      </c>
      <c r="B223">
        <v>0.995954080203443</v>
      </c>
      <c r="C223">
        <v>0.85357946905016502</v>
      </c>
      <c r="D223">
        <v>0.85127901610656997</v>
      </c>
      <c r="E223">
        <v>0.79226536627313304</v>
      </c>
      <c r="F223">
        <v>0.73884301130113905</v>
      </c>
      <c r="G223">
        <v>0.51161664266259899</v>
      </c>
      <c r="H223">
        <v>0.45954893240111</v>
      </c>
      <c r="I223">
        <v>0.571755675160734</v>
      </c>
      <c r="J223">
        <v>0.63295854160046405</v>
      </c>
      <c r="K223">
        <v>0.68973752179436398</v>
      </c>
      <c r="L223">
        <v>629.69429153989302</v>
      </c>
      <c r="M223">
        <v>13.052148083815799</v>
      </c>
      <c r="O223">
        <v>47.154143599134599</v>
      </c>
      <c r="P223">
        <v>-2.98039192003106E-2</v>
      </c>
      <c r="Q223">
        <v>0.56937851885806701</v>
      </c>
      <c r="R223">
        <v>0.76643891137828801</v>
      </c>
      <c r="S223" t="s">
        <v>7029</v>
      </c>
      <c r="T223" t="s">
        <v>13610</v>
      </c>
      <c r="U223" t="s">
        <v>13610</v>
      </c>
      <c r="V223" t="s">
        <v>13610</v>
      </c>
      <c r="W223" t="s">
        <v>13828</v>
      </c>
      <c r="X223">
        <v>1</v>
      </c>
      <c r="Y223" t="s">
        <v>20551</v>
      </c>
      <c r="Z223" t="s">
        <v>27078</v>
      </c>
      <c r="AA223">
        <v>0.70198837454245033</v>
      </c>
      <c r="AB223" t="str">
        <f>HYPERLINK("Melting_Curves/meltCurve_B7Z5F4_ETV4.pdf", "Melting_Curves/meltCurve_B7Z5F4_ETV4.pdf")</f>
        <v>Melting_Curves/meltCurve_B7Z5F4_ETV4.pdf</v>
      </c>
    </row>
    <row r="224" spans="1:28" x14ac:dyDescent="0.25">
      <c r="A224" t="s">
        <v>228</v>
      </c>
      <c r="B224">
        <v>0.995954080203443</v>
      </c>
      <c r="C224">
        <v>0.88485707524409796</v>
      </c>
      <c r="D224">
        <v>1.04473082325147</v>
      </c>
      <c r="E224">
        <v>0.85426213855052502</v>
      </c>
      <c r="F224">
        <v>0.93354667852392303</v>
      </c>
      <c r="G224">
        <v>0.73130440525241103</v>
      </c>
      <c r="H224">
        <v>0.71493587013897697</v>
      </c>
      <c r="I224">
        <v>0.83768299513232103</v>
      </c>
      <c r="J224">
        <v>1.0486628182217701</v>
      </c>
      <c r="K224">
        <v>0.98654192410394903</v>
      </c>
      <c r="L224">
        <v>12002.790897159501</v>
      </c>
      <c r="M224">
        <v>250</v>
      </c>
      <c r="O224">
        <v>48.008092165345403</v>
      </c>
      <c r="P224">
        <v>-0.16609321173295799</v>
      </c>
      <c r="Q224">
        <v>0.87241891126312598</v>
      </c>
      <c r="R224">
        <v>0.15675435356902201</v>
      </c>
      <c r="S224" t="s">
        <v>7030</v>
      </c>
      <c r="T224" t="s">
        <v>13610</v>
      </c>
      <c r="U224" t="s">
        <v>13610</v>
      </c>
      <c r="V224" t="s">
        <v>13610</v>
      </c>
      <c r="W224" t="s">
        <v>13829</v>
      </c>
      <c r="X224">
        <v>5</v>
      </c>
      <c r="Y224" t="s">
        <v>20552</v>
      </c>
      <c r="Z224" t="s">
        <v>27079</v>
      </c>
      <c r="AA224">
        <v>0.90649876018787967</v>
      </c>
      <c r="AB224" t="str">
        <f>HYPERLINK("Melting_Curves/meltCurve_B7Z5G4_STMN3.pdf", "Melting_Curves/meltCurve_B7Z5G4_STMN3.pdf")</f>
        <v>Melting_Curves/meltCurve_B7Z5G4_STMN3.pdf</v>
      </c>
    </row>
    <row r="225" spans="1:28" x14ac:dyDescent="0.25">
      <c r="A225" t="s">
        <v>229</v>
      </c>
      <c r="B225">
        <v>0.995954080203443</v>
      </c>
      <c r="C225">
        <v>0.88707062329173003</v>
      </c>
      <c r="D225">
        <v>0.677596304348423</v>
      </c>
      <c r="E225">
        <v>0.488153140423844</v>
      </c>
      <c r="F225">
        <v>0.229724218660489</v>
      </c>
      <c r="G225">
        <v>0.13451204096188399</v>
      </c>
      <c r="H225">
        <v>0.10213866981274899</v>
      </c>
      <c r="I225">
        <v>0.102482924093989</v>
      </c>
      <c r="J225">
        <v>0.102342394982689</v>
      </c>
      <c r="K225">
        <v>6.8175006607658795E-2</v>
      </c>
      <c r="L225">
        <v>744.71283256532899</v>
      </c>
      <c r="M225">
        <v>15.365057171018501</v>
      </c>
      <c r="N225">
        <v>48.938777174919899</v>
      </c>
      <c r="O225">
        <v>47.669223789644597</v>
      </c>
      <c r="P225">
        <v>-7.5051941720310197E-2</v>
      </c>
      <c r="Q225">
        <v>6.87081043714977E-2</v>
      </c>
      <c r="R225">
        <v>0.99256528915389397</v>
      </c>
      <c r="S225" t="s">
        <v>7031</v>
      </c>
      <c r="T225" t="s">
        <v>13610</v>
      </c>
      <c r="U225" t="s">
        <v>13610</v>
      </c>
      <c r="V225" t="s">
        <v>13610</v>
      </c>
      <c r="W225" t="s">
        <v>13830</v>
      </c>
      <c r="X225">
        <v>2</v>
      </c>
      <c r="Y225" t="s">
        <v>20553</v>
      </c>
      <c r="Z225" t="s">
        <v>27080</v>
      </c>
      <c r="AA225">
        <v>0.35397956589758889</v>
      </c>
      <c r="AB225" t="str">
        <f>HYPERLINK("Melting_Curves/meltCurve_B7Z5X7_WARS2.pdf", "Melting_Curves/meltCurve_B7Z5X7_WARS2.pdf")</f>
        <v>Melting_Curves/meltCurve_B7Z5X7_WARS2.pdf</v>
      </c>
    </row>
    <row r="226" spans="1:28" x14ac:dyDescent="0.25">
      <c r="A226" t="s">
        <v>230</v>
      </c>
      <c r="B226">
        <v>0.995954080203443</v>
      </c>
      <c r="C226">
        <v>0.60415752921586396</v>
      </c>
      <c r="D226">
        <v>0.34738824140680202</v>
      </c>
      <c r="E226">
        <v>0.59932803081554997</v>
      </c>
      <c r="F226">
        <v>0.23040179415179199</v>
      </c>
      <c r="G226">
        <v>0.11712803518814401</v>
      </c>
      <c r="H226">
        <v>5.1546363500823603E-2</v>
      </c>
      <c r="I226">
        <v>3.9853381321294103E-2</v>
      </c>
      <c r="J226">
        <v>3.94675230054179E-2</v>
      </c>
      <c r="K226">
        <v>3.5575575331988601E-2</v>
      </c>
      <c r="L226">
        <v>450.11479670741699</v>
      </c>
      <c r="M226">
        <v>9.63825153561314</v>
      </c>
      <c r="N226">
        <v>46.700878519357502</v>
      </c>
      <c r="O226">
        <v>44.823311275026903</v>
      </c>
      <c r="P226">
        <v>-5.3786982993797298E-2</v>
      </c>
      <c r="Q226">
        <v>0</v>
      </c>
      <c r="R226">
        <v>0.85669212746846002</v>
      </c>
      <c r="S226" t="s">
        <v>7032</v>
      </c>
      <c r="T226" t="s">
        <v>13610</v>
      </c>
      <c r="U226" t="s">
        <v>13610</v>
      </c>
      <c r="V226" t="s">
        <v>13610</v>
      </c>
      <c r="W226" t="s">
        <v>13831</v>
      </c>
      <c r="X226">
        <v>14</v>
      </c>
      <c r="Y226" t="s">
        <v>20554</v>
      </c>
      <c r="Z226" t="s">
        <v>27081</v>
      </c>
      <c r="AA226">
        <v>0.28582654179574801</v>
      </c>
      <c r="AB226" t="str">
        <f>HYPERLINK("Melting_Curves/meltCurve_B7Z637_ARMC8.pdf", "Melting_Curves/meltCurve_B7Z637_ARMC8.pdf")</f>
        <v>Melting_Curves/meltCurve_B7Z637_ARMC8.pdf</v>
      </c>
    </row>
    <row r="227" spans="1:28" x14ac:dyDescent="0.25">
      <c r="A227" t="s">
        <v>231</v>
      </c>
      <c r="B227">
        <v>0.995954080203443</v>
      </c>
      <c r="C227">
        <v>0.88047902990375704</v>
      </c>
      <c r="D227">
        <v>0.833289867069126</v>
      </c>
      <c r="E227">
        <v>0.62145785586027402</v>
      </c>
      <c r="F227">
        <v>0.28620397292834898</v>
      </c>
      <c r="G227">
        <v>0.12631995249880401</v>
      </c>
      <c r="H227">
        <v>7.1833348265878297E-2</v>
      </c>
      <c r="I227">
        <v>5.6057112873127701E-2</v>
      </c>
      <c r="J227">
        <v>6.2283587658684601E-2</v>
      </c>
      <c r="K227">
        <v>5.7833237376301902E-2</v>
      </c>
      <c r="L227">
        <v>887.01325878187799</v>
      </c>
      <c r="M227">
        <v>17.577014348243999</v>
      </c>
      <c r="N227">
        <v>50.670984670772299</v>
      </c>
      <c r="O227">
        <v>49.8247826559953</v>
      </c>
      <c r="P227">
        <v>-8.5148790268166297E-2</v>
      </c>
      <c r="Q227">
        <v>3.4582356131326202E-2</v>
      </c>
      <c r="R227">
        <v>0.99034815909117102</v>
      </c>
      <c r="S227" t="s">
        <v>7033</v>
      </c>
      <c r="T227" t="s">
        <v>13610</v>
      </c>
      <c r="U227" t="s">
        <v>13610</v>
      </c>
      <c r="V227" t="s">
        <v>13610</v>
      </c>
      <c r="W227" t="s">
        <v>13832</v>
      </c>
      <c r="X227">
        <v>18</v>
      </c>
      <c r="Y227" t="s">
        <v>20555</v>
      </c>
      <c r="Z227" t="s">
        <v>27082</v>
      </c>
      <c r="AA227">
        <v>0.3884365234662282</v>
      </c>
      <c r="AB227" t="str">
        <f>HYPERLINK("Melting_Curves/meltCurve_B7Z6B8_DECR1.pdf", "Melting_Curves/meltCurve_B7Z6B8_DECR1.pdf")</f>
        <v>Melting_Curves/meltCurve_B7Z6B8_DECR1.pdf</v>
      </c>
    </row>
    <row r="228" spans="1:28" x14ac:dyDescent="0.25">
      <c r="A228" t="s">
        <v>232</v>
      </c>
      <c r="B228">
        <v>0.995954080203443</v>
      </c>
      <c r="C228">
        <v>0.90109575647471696</v>
      </c>
      <c r="D228">
        <v>0.737462865968882</v>
      </c>
      <c r="E228">
        <v>0.52159433269845901</v>
      </c>
      <c r="F228">
        <v>0.25983361657866599</v>
      </c>
      <c r="G228">
        <v>0.17525623332708601</v>
      </c>
      <c r="H228">
        <v>0.139579149581918</v>
      </c>
      <c r="I228">
        <v>0.14978655846914499</v>
      </c>
      <c r="J228">
        <v>0.21050134904062701</v>
      </c>
      <c r="K228">
        <v>0.18823679890690201</v>
      </c>
      <c r="L228">
        <v>868.24102772672097</v>
      </c>
      <c r="M228">
        <v>17.942441731212998</v>
      </c>
      <c r="N228">
        <v>49.406509071555703</v>
      </c>
      <c r="O228">
        <v>47.801260163312001</v>
      </c>
      <c r="P228">
        <v>-7.9363682075993106E-2</v>
      </c>
      <c r="Q228">
        <v>0.15429694342789699</v>
      </c>
      <c r="R228">
        <v>0.98720594063846601</v>
      </c>
      <c r="S228" t="s">
        <v>7034</v>
      </c>
      <c r="T228" t="s">
        <v>13610</v>
      </c>
      <c r="U228" t="s">
        <v>13610</v>
      </c>
      <c r="V228" t="s">
        <v>13610</v>
      </c>
      <c r="W228" t="s">
        <v>13833</v>
      </c>
      <c r="X228">
        <v>5</v>
      </c>
      <c r="Y228" t="s">
        <v>20556</v>
      </c>
      <c r="Z228" t="s">
        <v>27083</v>
      </c>
      <c r="AA228">
        <v>0.40576360578704562</v>
      </c>
      <c r="AB228" t="str">
        <f>HYPERLINK("Melting_Curves/meltCurve_B7Z6M3_DGKZ.pdf", "Melting_Curves/meltCurve_B7Z6M3_DGKZ.pdf")</f>
        <v>Melting_Curves/meltCurve_B7Z6M3_DGKZ.pdf</v>
      </c>
    </row>
    <row r="229" spans="1:28" x14ac:dyDescent="0.25">
      <c r="A229" t="s">
        <v>233</v>
      </c>
      <c r="B229">
        <v>0.995954080203443</v>
      </c>
      <c r="C229">
        <v>0.76770743757869897</v>
      </c>
      <c r="D229">
        <v>1.5271664659589199</v>
      </c>
      <c r="E229">
        <v>0.90036542570663303</v>
      </c>
      <c r="F229">
        <v>1.63946957113472</v>
      </c>
      <c r="G229">
        <v>1.6652617832159899</v>
      </c>
      <c r="H229">
        <v>1.7549254073310001</v>
      </c>
      <c r="I229">
        <v>2.2884641018472198</v>
      </c>
      <c r="J229">
        <v>2.16250988813051</v>
      </c>
      <c r="K229">
        <v>2.6041149117051399</v>
      </c>
      <c r="L229">
        <v>1031.2261987192001</v>
      </c>
      <c r="M229">
        <v>21.524643090287501</v>
      </c>
      <c r="O229">
        <v>47.501302017458897</v>
      </c>
      <c r="P229">
        <v>5.6643594186123199E-2</v>
      </c>
      <c r="Q229">
        <v>1.5</v>
      </c>
      <c r="R229">
        <v>0.15459910669917001</v>
      </c>
      <c r="S229" t="s">
        <v>7035</v>
      </c>
      <c r="T229" t="s">
        <v>13610</v>
      </c>
      <c r="U229" t="s">
        <v>13610</v>
      </c>
      <c r="V229" t="s">
        <v>13610</v>
      </c>
      <c r="W229" t="s">
        <v>13834</v>
      </c>
      <c r="X229">
        <v>2</v>
      </c>
      <c r="Y229" t="s">
        <v>20557</v>
      </c>
      <c r="Z229" t="s">
        <v>27084</v>
      </c>
      <c r="AA229">
        <v>1.362095357384203</v>
      </c>
      <c r="AB229" t="str">
        <f>HYPERLINK("Melting_Curves/meltCurve_B7Z7E1_CNN1.pdf", "Melting_Curves/meltCurve_B7Z7E1_CNN1.pdf")</f>
        <v>Melting_Curves/meltCurve_B7Z7E1_CNN1.pdf</v>
      </c>
    </row>
    <row r="230" spans="1:28" x14ac:dyDescent="0.25">
      <c r="A230" t="s">
        <v>234</v>
      </c>
      <c r="B230">
        <v>0.995954080203443</v>
      </c>
      <c r="C230">
        <v>0.82113207518092302</v>
      </c>
      <c r="D230">
        <v>0.364560650445167</v>
      </c>
      <c r="E230">
        <v>0.244801435189346</v>
      </c>
      <c r="F230">
        <v>0.108694812167254</v>
      </c>
      <c r="G230">
        <v>5.0304356759453502E-2</v>
      </c>
      <c r="H230">
        <v>2.7570415950034202E-2</v>
      </c>
      <c r="I230">
        <v>2.72333115395786E-2</v>
      </c>
      <c r="J230">
        <v>0</v>
      </c>
      <c r="K230">
        <v>1.9854450986096599E-2</v>
      </c>
      <c r="L230">
        <v>953.41004413016299</v>
      </c>
      <c r="M230">
        <v>21.006806445848898</v>
      </c>
      <c r="N230">
        <v>45.540927208012498</v>
      </c>
      <c r="O230">
        <v>44.980483050204299</v>
      </c>
      <c r="P230">
        <v>-0.11272647484897701</v>
      </c>
      <c r="Q230">
        <v>3.4530982641939399E-2</v>
      </c>
      <c r="R230">
        <v>0.98117012903157497</v>
      </c>
      <c r="S230" t="s">
        <v>7036</v>
      </c>
      <c r="T230" t="s">
        <v>13610</v>
      </c>
      <c r="U230" t="s">
        <v>13610</v>
      </c>
      <c r="V230" t="s">
        <v>13610</v>
      </c>
      <c r="W230" t="s">
        <v>13835</v>
      </c>
      <c r="X230">
        <v>2</v>
      </c>
      <c r="Y230" t="s">
        <v>20558</v>
      </c>
      <c r="Z230" t="s">
        <v>27085</v>
      </c>
      <c r="AA230">
        <v>0.22185937714982579</v>
      </c>
      <c r="AB230" t="str">
        <f>HYPERLINK("Melting_Curves/meltCurve_B7Z7N6_PDK1.pdf", "Melting_Curves/meltCurve_B7Z7N6_PDK1.pdf")</f>
        <v>Melting_Curves/meltCurve_B7Z7N6_PDK1.pdf</v>
      </c>
    </row>
    <row r="231" spans="1:28" x14ac:dyDescent="0.25">
      <c r="A231" t="s">
        <v>235</v>
      </c>
      <c r="B231">
        <v>0.995954080203443</v>
      </c>
      <c r="C231">
        <v>0.80078415182468898</v>
      </c>
      <c r="D231">
        <v>0.56178168978207998</v>
      </c>
      <c r="E231">
        <v>0.28357565822410902</v>
      </c>
      <c r="F231">
        <v>0.14535399859349099</v>
      </c>
      <c r="G231">
        <v>9.0148522373407397E-2</v>
      </c>
      <c r="H231">
        <v>6.1684772923797301E-2</v>
      </c>
      <c r="I231">
        <v>5.2676952747341903E-2</v>
      </c>
      <c r="J231">
        <v>6.2154956463782399E-2</v>
      </c>
      <c r="K231">
        <v>5.3828242287656501E-2</v>
      </c>
      <c r="L231">
        <v>811.468566515215</v>
      </c>
      <c r="M231">
        <v>17.456209022293798</v>
      </c>
      <c r="N231">
        <v>46.777655246842599</v>
      </c>
      <c r="O231">
        <v>45.888773549552198</v>
      </c>
      <c r="P231">
        <v>-9.0201389688076603E-2</v>
      </c>
      <c r="Q231">
        <v>5.1569577525691898E-2</v>
      </c>
      <c r="R231">
        <v>0.99703509876233398</v>
      </c>
      <c r="S231" t="s">
        <v>7037</v>
      </c>
      <c r="T231" t="s">
        <v>13610</v>
      </c>
      <c r="U231" t="s">
        <v>13610</v>
      </c>
      <c r="V231" t="s">
        <v>13610</v>
      </c>
      <c r="W231" t="s">
        <v>13836</v>
      </c>
      <c r="X231">
        <v>56</v>
      </c>
      <c r="Y231" t="s">
        <v>20559</v>
      </c>
      <c r="Z231" t="s">
        <v>27086</v>
      </c>
      <c r="AA231">
        <v>0.27588356384279938</v>
      </c>
      <c r="AB231" t="str">
        <f>HYPERLINK("Melting_Curves/meltCurve_B7Z815_USP7.pdf", "Melting_Curves/meltCurve_B7Z815_USP7.pdf")</f>
        <v>Melting_Curves/meltCurve_B7Z815_USP7.pdf</v>
      </c>
    </row>
    <row r="232" spans="1:28" x14ac:dyDescent="0.25">
      <c r="A232" t="s">
        <v>236</v>
      </c>
      <c r="B232">
        <v>0.995954080203443</v>
      </c>
      <c r="C232">
        <v>0.88330158184196095</v>
      </c>
      <c r="D232">
        <v>0.75747377417960904</v>
      </c>
      <c r="E232">
        <v>0.85207228977429705</v>
      </c>
      <c r="F232">
        <v>0.34786870159123001</v>
      </c>
      <c r="G232">
        <v>0.14492419062994799</v>
      </c>
      <c r="H232">
        <v>9.1291680354819105E-2</v>
      </c>
      <c r="I232">
        <v>8.2801202600905996E-2</v>
      </c>
      <c r="J232">
        <v>9.6185395542601998E-2</v>
      </c>
      <c r="K232">
        <v>7.3212340318675198E-2</v>
      </c>
      <c r="L232">
        <v>1855.0366455651199</v>
      </c>
      <c r="M232">
        <v>35.779296909057599</v>
      </c>
      <c r="N232">
        <v>52.125846748829801</v>
      </c>
      <c r="O232">
        <v>51.6854868203135</v>
      </c>
      <c r="P232">
        <v>-0.15797224640848501</v>
      </c>
      <c r="Q232">
        <v>8.7198823460314503E-2</v>
      </c>
      <c r="R232">
        <v>0.94808460483458801</v>
      </c>
      <c r="S232" t="s">
        <v>7038</v>
      </c>
      <c r="T232" t="s">
        <v>13610</v>
      </c>
      <c r="U232" t="s">
        <v>13610</v>
      </c>
      <c r="V232" t="s">
        <v>13610</v>
      </c>
      <c r="W232" t="s">
        <v>13837</v>
      </c>
      <c r="X232">
        <v>2</v>
      </c>
      <c r="Y232" t="s">
        <v>20560</v>
      </c>
      <c r="Z232" t="s">
        <v>27087</v>
      </c>
      <c r="AA232">
        <v>0.45174474667959102</v>
      </c>
      <c r="AB232" t="str">
        <f>HYPERLINK("Melting_Curves/meltCurve_B7Z844_SLC2A14.pdf", "Melting_Curves/meltCurve_B7Z844_SLC2A14.pdf")</f>
        <v>Melting_Curves/meltCurve_B7Z844_SLC2A14.pdf</v>
      </c>
    </row>
    <row r="233" spans="1:28" x14ac:dyDescent="0.25">
      <c r="A233" t="s">
        <v>237</v>
      </c>
      <c r="B233">
        <v>0.995954080203443</v>
      </c>
      <c r="C233">
        <v>1.0742333891123701</v>
      </c>
      <c r="D233">
        <v>1.0046072160185899</v>
      </c>
      <c r="E233">
        <v>0.94860986551360804</v>
      </c>
      <c r="F233">
        <v>0.86777956953124602</v>
      </c>
      <c r="G233">
        <v>0.61850217836799104</v>
      </c>
      <c r="H233">
        <v>0.50154580820105699</v>
      </c>
      <c r="I233">
        <v>0.59308220315153704</v>
      </c>
      <c r="J233">
        <v>0.669152001865159</v>
      </c>
      <c r="K233">
        <v>0.57750966368447298</v>
      </c>
      <c r="L233">
        <v>2300.1814489277099</v>
      </c>
      <c r="M233">
        <v>42.731582042739703</v>
      </c>
      <c r="O233">
        <v>53.711117140886799</v>
      </c>
      <c r="P233">
        <v>-8.2602671745097195E-2</v>
      </c>
      <c r="Q233">
        <v>0.58469361579123202</v>
      </c>
      <c r="R233">
        <v>0.947631943876315</v>
      </c>
      <c r="S233" t="s">
        <v>7039</v>
      </c>
      <c r="T233" t="s">
        <v>13610</v>
      </c>
      <c r="U233" t="s">
        <v>13610</v>
      </c>
      <c r="V233" t="s">
        <v>13610</v>
      </c>
      <c r="X233">
        <v>8</v>
      </c>
      <c r="Z233" t="s">
        <v>27088</v>
      </c>
      <c r="AA233">
        <v>0.77748184740860937</v>
      </c>
      <c r="AB233" t="str">
        <f>HYPERLINK("Melting_Curves/meltCurve_B7Z8R6_.pdf", "Melting_Curves/meltCurve_B7Z8R6_.pdf")</f>
        <v>Melting_Curves/meltCurve_B7Z8R6_.pdf</v>
      </c>
    </row>
    <row r="234" spans="1:28" x14ac:dyDescent="0.25">
      <c r="A234" t="s">
        <v>238</v>
      </c>
      <c r="B234">
        <v>0.995954080203443</v>
      </c>
      <c r="C234">
        <v>0.95157886409069503</v>
      </c>
      <c r="D234">
        <v>0.72129904873237205</v>
      </c>
      <c r="E234">
        <v>0.68832891572732902</v>
      </c>
      <c r="F234">
        <v>0.31041157569483901</v>
      </c>
      <c r="G234">
        <v>0.203126383087362</v>
      </c>
      <c r="H234">
        <v>0.116691255772484</v>
      </c>
      <c r="I234">
        <v>0.12946813940108701</v>
      </c>
      <c r="J234">
        <v>5.7932256075027402E-2</v>
      </c>
      <c r="K234">
        <v>0.119754110644801</v>
      </c>
      <c r="L234">
        <v>735.49532949842103</v>
      </c>
      <c r="M234">
        <v>14.5654061628099</v>
      </c>
      <c r="N234">
        <v>50.9786654117149</v>
      </c>
      <c r="O234">
        <v>49.572844596943597</v>
      </c>
      <c r="P234">
        <v>-6.8731567220039397E-2</v>
      </c>
      <c r="Q234">
        <v>6.4404344981537798E-2</v>
      </c>
      <c r="R234">
        <v>0.97322730455358697</v>
      </c>
      <c r="S234" t="s">
        <v>7040</v>
      </c>
      <c r="T234" t="s">
        <v>13610</v>
      </c>
      <c r="U234" t="s">
        <v>13610</v>
      </c>
      <c r="V234" t="s">
        <v>13610</v>
      </c>
      <c r="W234" t="s">
        <v>13838</v>
      </c>
      <c r="X234">
        <v>3</v>
      </c>
      <c r="Y234" t="s">
        <v>20561</v>
      </c>
      <c r="Z234" t="s">
        <v>27089</v>
      </c>
      <c r="AA234">
        <v>0.41482734202417559</v>
      </c>
      <c r="AB234" t="str">
        <f>HYPERLINK("Melting_Curves/meltCurve_B7ZAB3_B3GAT3.pdf", "Melting_Curves/meltCurve_B7ZAB3_B3GAT3.pdf")</f>
        <v>Melting_Curves/meltCurve_B7ZAB3_B3GAT3.pdf</v>
      </c>
    </row>
    <row r="235" spans="1:28" x14ac:dyDescent="0.25">
      <c r="A235" t="s">
        <v>239</v>
      </c>
      <c r="B235">
        <v>0.995954080203443</v>
      </c>
      <c r="C235">
        <v>0.68082754528580802</v>
      </c>
      <c r="D235">
        <v>1.06971087647038</v>
      </c>
      <c r="E235">
        <v>0.85852256582758601</v>
      </c>
      <c r="F235">
        <v>0.69548400170382296</v>
      </c>
      <c r="G235">
        <v>0.26714874906755598</v>
      </c>
      <c r="H235">
        <v>8.09725529944616E-2</v>
      </c>
      <c r="I235">
        <v>7.0395274538904304E-2</v>
      </c>
      <c r="J235">
        <v>7.1235337121756295E-2</v>
      </c>
      <c r="K235">
        <v>6.7251431372373494E-2</v>
      </c>
      <c r="L235">
        <v>1377.85352194845</v>
      </c>
      <c r="M235">
        <v>25.370204044524801</v>
      </c>
      <c r="N235">
        <v>54.544189292348101</v>
      </c>
      <c r="O235">
        <v>53.975856911054002</v>
      </c>
      <c r="P235">
        <v>-0.111442809729772</v>
      </c>
      <c r="Q235">
        <v>5.1620664252867002E-2</v>
      </c>
      <c r="R235">
        <v>0.92840995961876704</v>
      </c>
      <c r="S235" t="s">
        <v>7041</v>
      </c>
      <c r="T235" t="s">
        <v>13610</v>
      </c>
      <c r="U235" t="s">
        <v>13610</v>
      </c>
      <c r="V235" t="s">
        <v>13610</v>
      </c>
      <c r="W235" t="s">
        <v>13839</v>
      </c>
      <c r="X235">
        <v>16</v>
      </c>
      <c r="Y235" t="s">
        <v>20562</v>
      </c>
      <c r="Z235" t="s">
        <v>27090</v>
      </c>
      <c r="AA235">
        <v>0.51254585002488307</v>
      </c>
      <c r="AB235" t="str">
        <f>HYPERLINK("Melting_Curves/meltCurve_B7ZAX5_GALK2.pdf", "Melting_Curves/meltCurve_B7ZAX5_GALK2.pdf")</f>
        <v>Melting_Curves/meltCurve_B7ZAX5_GALK2.pdf</v>
      </c>
    </row>
    <row r="236" spans="1:28" x14ac:dyDescent="0.25">
      <c r="A236" t="s">
        <v>240</v>
      </c>
      <c r="B236">
        <v>0.995954080203443</v>
      </c>
      <c r="C236">
        <v>0.77291317616258004</v>
      </c>
      <c r="D236">
        <v>0.65205103838454603</v>
      </c>
      <c r="E236">
        <v>0.381070281628413</v>
      </c>
      <c r="F236">
        <v>0.17853219294356701</v>
      </c>
      <c r="G236">
        <v>0.11252436656848799</v>
      </c>
      <c r="H236">
        <v>7.8471040261826899E-2</v>
      </c>
      <c r="I236">
        <v>7.0912585689531002E-2</v>
      </c>
      <c r="J236">
        <v>9.5450056637499794E-2</v>
      </c>
      <c r="K236">
        <v>7.4044302020675801E-2</v>
      </c>
      <c r="L236">
        <v>717.61113893883999</v>
      </c>
      <c r="M236">
        <v>15.163608376234301</v>
      </c>
      <c r="N236">
        <v>47.7175817198518</v>
      </c>
      <c r="O236">
        <v>46.524409435246099</v>
      </c>
      <c r="P236">
        <v>-7.6706114686841104E-2</v>
      </c>
      <c r="Q236">
        <v>5.87042530000874E-2</v>
      </c>
      <c r="R236">
        <v>0.99009063618623405</v>
      </c>
      <c r="S236" t="s">
        <v>7042</v>
      </c>
      <c r="T236" t="s">
        <v>13610</v>
      </c>
      <c r="U236" t="s">
        <v>13610</v>
      </c>
      <c r="V236" t="s">
        <v>13610</v>
      </c>
      <c r="W236" t="s">
        <v>13840</v>
      </c>
      <c r="X236">
        <v>12</v>
      </c>
      <c r="Y236" t="s">
        <v>20563</v>
      </c>
      <c r="Z236" t="s">
        <v>27091</v>
      </c>
      <c r="AA236">
        <v>0.3130596468001659</v>
      </c>
      <c r="AB236" t="str">
        <f>HYPERLINK("Melting_Curves/meltCurve_B7ZKK9_PPP2R5E.pdf", "Melting_Curves/meltCurve_B7ZKK9_PPP2R5E.pdf")</f>
        <v>Melting_Curves/meltCurve_B7ZKK9_PPP2R5E.pdf</v>
      </c>
    </row>
    <row r="237" spans="1:28" x14ac:dyDescent="0.25">
      <c r="A237" t="s">
        <v>241</v>
      </c>
      <c r="B237">
        <v>0.995954080203443</v>
      </c>
      <c r="C237">
        <v>0.59039261551297095</v>
      </c>
      <c r="D237">
        <v>0.34920072941261798</v>
      </c>
      <c r="E237">
        <v>0.364863200676245</v>
      </c>
      <c r="F237">
        <v>0.14146260585946099</v>
      </c>
      <c r="G237">
        <v>0.103652216022254</v>
      </c>
      <c r="H237">
        <v>3.83089641118756E-2</v>
      </c>
      <c r="I237">
        <v>1.9884053756483E-2</v>
      </c>
      <c r="J237">
        <v>2.59542737988376E-2</v>
      </c>
      <c r="K237">
        <v>4.4226250820244201E-2</v>
      </c>
      <c r="L237">
        <v>614.62511856376</v>
      </c>
      <c r="M237">
        <v>13.672517643198701</v>
      </c>
      <c r="N237">
        <v>45.188600965015397</v>
      </c>
      <c r="O237">
        <v>44.024384123866398</v>
      </c>
      <c r="P237">
        <v>-7.4985159253523406E-2</v>
      </c>
      <c r="Q237">
        <v>3.4355830876971499E-2</v>
      </c>
      <c r="R237">
        <v>0.93767298525677201</v>
      </c>
      <c r="S237" t="s">
        <v>7043</v>
      </c>
      <c r="T237" t="s">
        <v>13610</v>
      </c>
      <c r="U237" t="s">
        <v>13610</v>
      </c>
      <c r="V237" t="s">
        <v>13610</v>
      </c>
      <c r="W237" t="s">
        <v>13841</v>
      </c>
      <c r="X237">
        <v>1</v>
      </c>
      <c r="Y237" t="s">
        <v>20564</v>
      </c>
      <c r="Z237" t="s">
        <v>27092</v>
      </c>
      <c r="AA237">
        <v>0.23149076845349781</v>
      </c>
      <c r="AB237" t="str">
        <f>HYPERLINK("Melting_Curves/meltCurve_B7ZKP8_UBXN2A.pdf", "Melting_Curves/meltCurve_B7ZKP8_UBXN2A.pdf")</f>
        <v>Melting_Curves/meltCurve_B7ZKP8_UBXN2A.pdf</v>
      </c>
    </row>
    <row r="238" spans="1:28" x14ac:dyDescent="0.25">
      <c r="A238" t="s">
        <v>242</v>
      </c>
      <c r="B238">
        <v>0.995954080203443</v>
      </c>
      <c r="C238">
        <v>0.95788282721019202</v>
      </c>
      <c r="D238">
        <v>0.77523952243403904</v>
      </c>
      <c r="E238">
        <v>0.44238004719861002</v>
      </c>
      <c r="F238">
        <v>0.37821328689529299</v>
      </c>
      <c r="G238">
        <v>0.265494155830241</v>
      </c>
      <c r="H238">
        <v>0.24355560776282301</v>
      </c>
      <c r="I238">
        <v>0.30446129804237898</v>
      </c>
      <c r="J238">
        <v>0.347530797949748</v>
      </c>
      <c r="K238">
        <v>0.34067153698264602</v>
      </c>
      <c r="L238">
        <v>1206.1839813081799</v>
      </c>
      <c r="M238">
        <v>25.464094282646201</v>
      </c>
      <c r="N238">
        <v>49.165385813281198</v>
      </c>
      <c r="O238">
        <v>47.078782057062</v>
      </c>
      <c r="P238">
        <v>-9.4263221586416701E-2</v>
      </c>
      <c r="Q238">
        <v>0.30290184969595302</v>
      </c>
      <c r="R238">
        <v>0.98624625083411899</v>
      </c>
      <c r="S238" t="s">
        <v>7044</v>
      </c>
      <c r="T238" t="s">
        <v>13610</v>
      </c>
      <c r="U238" t="s">
        <v>13610</v>
      </c>
      <c r="V238" t="s">
        <v>13610</v>
      </c>
      <c r="W238" t="s">
        <v>13842</v>
      </c>
      <c r="X238">
        <v>10</v>
      </c>
      <c r="Y238" t="s">
        <v>20565</v>
      </c>
      <c r="Z238" t="s">
        <v>27093</v>
      </c>
      <c r="AA238">
        <v>0.4800555955071274</v>
      </c>
      <c r="AB238" t="str">
        <f>HYPERLINK("Melting_Curves/meltCurve_B7ZKT6_SOS2.pdf", "Melting_Curves/meltCurve_B7ZKT6_SOS2.pdf")</f>
        <v>Melting_Curves/meltCurve_B7ZKT6_SOS2.pdf</v>
      </c>
    </row>
    <row r="239" spans="1:28" x14ac:dyDescent="0.25">
      <c r="A239" t="s">
        <v>243</v>
      </c>
      <c r="B239">
        <v>0.995954080203443</v>
      </c>
      <c r="C239">
        <v>0.86253761577773602</v>
      </c>
      <c r="D239">
        <v>0.98044862397364696</v>
      </c>
      <c r="E239">
        <v>0.82334241542448205</v>
      </c>
      <c r="F239">
        <v>0.73346702124520502</v>
      </c>
      <c r="G239">
        <v>0.42104923308446601</v>
      </c>
      <c r="H239">
        <v>0.35442079186269398</v>
      </c>
      <c r="I239">
        <v>0.38481245203382403</v>
      </c>
      <c r="J239">
        <v>0.45146757267843102</v>
      </c>
      <c r="K239">
        <v>0.45176560337423199</v>
      </c>
      <c r="L239">
        <v>1324.1073377141699</v>
      </c>
      <c r="M239">
        <v>25.1856346024164</v>
      </c>
      <c r="N239">
        <v>56.132352373218197</v>
      </c>
      <c r="O239">
        <v>52.245821351785999</v>
      </c>
      <c r="P239">
        <v>-7.2465542795787596E-2</v>
      </c>
      <c r="Q239">
        <v>0.39870921125849401</v>
      </c>
      <c r="R239">
        <v>0.938293542730261</v>
      </c>
      <c r="S239" t="s">
        <v>7045</v>
      </c>
      <c r="T239" t="s">
        <v>13610</v>
      </c>
      <c r="U239" t="s">
        <v>13610</v>
      </c>
      <c r="V239" t="s">
        <v>13610</v>
      </c>
      <c r="W239" t="s">
        <v>13843</v>
      </c>
      <c r="X239">
        <v>7</v>
      </c>
      <c r="Y239" t="s">
        <v>20566</v>
      </c>
      <c r="Z239" t="s">
        <v>27094</v>
      </c>
      <c r="AA239">
        <v>0.6561693973201318</v>
      </c>
      <c r="AB239" t="str">
        <f>HYPERLINK("Melting_Curves/meltCurve_B7ZLQ8_CPEB4.pdf", "Melting_Curves/meltCurve_B7ZLQ8_CPEB4.pdf")</f>
        <v>Melting_Curves/meltCurve_B7ZLQ8_CPEB4.pdf</v>
      </c>
    </row>
    <row r="240" spans="1:28" x14ac:dyDescent="0.25">
      <c r="A240" t="s">
        <v>244</v>
      </c>
      <c r="B240">
        <v>0.995954080203443</v>
      </c>
      <c r="C240">
        <v>1.0192350562368799</v>
      </c>
      <c r="D240">
        <v>1.0106963786047201</v>
      </c>
      <c r="E240">
        <v>0.91546985858847296</v>
      </c>
      <c r="F240">
        <v>0.80698543052435401</v>
      </c>
      <c r="G240">
        <v>0.54634152319266105</v>
      </c>
      <c r="H240">
        <v>0.44923506042176398</v>
      </c>
      <c r="I240">
        <v>0.47869111969239098</v>
      </c>
      <c r="J240">
        <v>0.48642094193069901</v>
      </c>
      <c r="K240">
        <v>0.52683958837337497</v>
      </c>
      <c r="L240">
        <v>1674.9333767810499</v>
      </c>
      <c r="M240">
        <v>31.233251815076201</v>
      </c>
      <c r="N240">
        <v>59.9419838225758</v>
      </c>
      <c r="O240">
        <v>53.408216639392897</v>
      </c>
      <c r="P240">
        <v>-7.5822152292055203E-2</v>
      </c>
      <c r="Q240">
        <v>0.481385678264249</v>
      </c>
      <c r="R240">
        <v>0.98862106072610001</v>
      </c>
      <c r="S240" t="s">
        <v>7046</v>
      </c>
      <c r="T240" t="s">
        <v>13610</v>
      </c>
      <c r="U240" t="s">
        <v>13610</v>
      </c>
      <c r="V240" t="s">
        <v>13610</v>
      </c>
      <c r="W240" t="s">
        <v>13844</v>
      </c>
      <c r="X240">
        <v>29</v>
      </c>
      <c r="Y240" t="s">
        <v>20567</v>
      </c>
      <c r="Z240" t="s">
        <v>27095</v>
      </c>
      <c r="AA240">
        <v>0.72008618704862282</v>
      </c>
      <c r="AB240" t="str">
        <f>HYPERLINK("Melting_Curves/meltCurve_B7ZM82_WIZ.pdf", "Melting_Curves/meltCurve_B7ZM82_WIZ.pdf")</f>
        <v>Melting_Curves/meltCurve_B7ZM82_WIZ.pdf</v>
      </c>
    </row>
    <row r="241" spans="1:28" x14ac:dyDescent="0.25">
      <c r="A241" t="s">
        <v>245</v>
      </c>
      <c r="B241">
        <v>0.995954080203443</v>
      </c>
      <c r="C241">
        <v>0.94569373250530897</v>
      </c>
      <c r="D241">
        <v>0.552202411393521</v>
      </c>
      <c r="E241">
        <v>0.65833276353564296</v>
      </c>
      <c r="F241">
        <v>0.38882751621987599</v>
      </c>
      <c r="G241">
        <v>0.21233282243082299</v>
      </c>
      <c r="H241">
        <v>9.8205035431319407E-2</v>
      </c>
      <c r="I241">
        <v>9.1905524750922299E-2</v>
      </c>
      <c r="J241">
        <v>0.117749338002353</v>
      </c>
      <c r="K241">
        <v>6.8344695420677795E-2</v>
      </c>
      <c r="L241">
        <v>537.84826451625202</v>
      </c>
      <c r="M241">
        <v>10.655834491465701</v>
      </c>
      <c r="N241">
        <v>50.584510344876598</v>
      </c>
      <c r="O241">
        <v>48.794239748890803</v>
      </c>
      <c r="P241">
        <v>-5.3991243485316601E-2</v>
      </c>
      <c r="Q241">
        <v>1.14495167626127E-2</v>
      </c>
      <c r="R241">
        <v>0.94312672906214501</v>
      </c>
      <c r="S241" t="s">
        <v>7047</v>
      </c>
      <c r="T241" t="s">
        <v>13610</v>
      </c>
      <c r="U241" t="s">
        <v>13610</v>
      </c>
      <c r="V241" t="s">
        <v>13610</v>
      </c>
      <c r="W241" t="s">
        <v>13845</v>
      </c>
      <c r="X241">
        <v>3</v>
      </c>
      <c r="Y241" t="s">
        <v>20568</v>
      </c>
      <c r="Z241" t="s">
        <v>27096</v>
      </c>
      <c r="AA241">
        <v>0.39607936049434378</v>
      </c>
      <c r="AB241" t="str">
        <f>HYPERLINK("Melting_Curves/meltCurve_B8ZZ99_CCDC115.pdf", "Melting_Curves/meltCurve_B8ZZ99_CCDC115.pdf")</f>
        <v>Melting_Curves/meltCurve_B8ZZ99_CCDC115.pdf</v>
      </c>
    </row>
    <row r="242" spans="1:28" x14ac:dyDescent="0.25">
      <c r="A242" t="s">
        <v>246</v>
      </c>
      <c r="B242">
        <v>0.995954080203443</v>
      </c>
      <c r="C242">
        <v>0.95769094628065798</v>
      </c>
      <c r="D242">
        <v>0.84472996299674497</v>
      </c>
      <c r="E242">
        <v>0.69509448652737005</v>
      </c>
      <c r="F242">
        <v>0.33977087869370898</v>
      </c>
      <c r="G242">
        <v>0.115881532890952</v>
      </c>
      <c r="H242">
        <v>8.4602922324129498E-2</v>
      </c>
      <c r="I242">
        <v>6.7938273453018103E-2</v>
      </c>
      <c r="J242">
        <v>8.47843221016399E-2</v>
      </c>
      <c r="K242">
        <v>7.1317330094895798E-2</v>
      </c>
      <c r="L242">
        <v>1090.36087464293</v>
      </c>
      <c r="M242">
        <v>21.330711512852499</v>
      </c>
      <c r="N242">
        <v>51.409565901192799</v>
      </c>
      <c r="O242">
        <v>50.674036791152197</v>
      </c>
      <c r="P242">
        <v>-9.92217876599399E-2</v>
      </c>
      <c r="Q242">
        <v>5.7163701717649902E-2</v>
      </c>
      <c r="R242">
        <v>0.99193514087054102</v>
      </c>
      <c r="S242" t="s">
        <v>7048</v>
      </c>
      <c r="T242" t="s">
        <v>13610</v>
      </c>
      <c r="U242" t="s">
        <v>13610</v>
      </c>
      <c r="V242" t="s">
        <v>13610</v>
      </c>
      <c r="W242" t="s">
        <v>13846</v>
      </c>
      <c r="X242">
        <v>8</v>
      </c>
      <c r="Y242" t="s">
        <v>20569</v>
      </c>
      <c r="Z242" t="s">
        <v>27097</v>
      </c>
      <c r="AA242">
        <v>0.41813698281923473</v>
      </c>
      <c r="AB242" t="str">
        <f>HYPERLINK("Melting_Curves/meltCurve_B8ZZJ9_EIF4E2.pdf", "Melting_Curves/meltCurve_B8ZZJ9_EIF4E2.pdf")</f>
        <v>Melting_Curves/meltCurve_B8ZZJ9_EIF4E2.pdf</v>
      </c>
    </row>
    <row r="243" spans="1:28" x14ac:dyDescent="0.25">
      <c r="A243" t="s">
        <v>247</v>
      </c>
      <c r="B243">
        <v>0.995954080203443</v>
      </c>
      <c r="C243">
        <v>0.90795158115176999</v>
      </c>
      <c r="D243">
        <v>1.02887053262927</v>
      </c>
      <c r="E243">
        <v>0.68058311723653697</v>
      </c>
      <c r="F243">
        <v>0.45139034511937698</v>
      </c>
      <c r="G243">
        <v>0.23877551809660699</v>
      </c>
      <c r="H243">
        <v>0.15813210764121099</v>
      </c>
      <c r="I243">
        <v>0.16552945212376</v>
      </c>
      <c r="J243">
        <v>0.18436518586046399</v>
      </c>
      <c r="K243">
        <v>0.219237250833661</v>
      </c>
      <c r="L243">
        <v>1306.3912825244599</v>
      </c>
      <c r="M243">
        <v>25.495995114904002</v>
      </c>
      <c r="N243">
        <v>52.147029665574301</v>
      </c>
      <c r="O243">
        <v>50.926978831051002</v>
      </c>
      <c r="P243">
        <v>-0.10272690682810599</v>
      </c>
      <c r="Q243">
        <v>0.17924271650607701</v>
      </c>
      <c r="R243">
        <v>0.98541153452946495</v>
      </c>
      <c r="S243" t="s">
        <v>7049</v>
      </c>
      <c r="T243" t="s">
        <v>13610</v>
      </c>
      <c r="U243" t="s">
        <v>13610</v>
      </c>
      <c r="V243" t="s">
        <v>13610</v>
      </c>
      <c r="W243" t="s">
        <v>13847</v>
      </c>
      <c r="X243">
        <v>4</v>
      </c>
      <c r="Y243" t="s">
        <v>20570</v>
      </c>
      <c r="Z243" t="s">
        <v>27098</v>
      </c>
      <c r="AA243">
        <v>0.49388095399011511</v>
      </c>
      <c r="AB243" t="str">
        <f>HYPERLINK("Melting_Curves/meltCurve_B8ZZK4_RPL31.pdf", "Melting_Curves/meltCurve_B8ZZK4_RPL31.pdf")</f>
        <v>Melting_Curves/meltCurve_B8ZZK4_RPL31.pdf</v>
      </c>
    </row>
    <row r="244" spans="1:28" x14ac:dyDescent="0.25">
      <c r="A244" t="s">
        <v>248</v>
      </c>
      <c r="B244">
        <v>0.995954080203443</v>
      </c>
      <c r="C244">
        <v>0.82951942637679499</v>
      </c>
      <c r="D244">
        <v>1.2679202085261501</v>
      </c>
      <c r="E244">
        <v>0.980750421539199</v>
      </c>
      <c r="F244">
        <v>1.62475997266767</v>
      </c>
      <c r="G244">
        <v>1.61571770225667</v>
      </c>
      <c r="H244">
        <v>1.9499030045628001</v>
      </c>
      <c r="I244">
        <v>2.7230085437832101</v>
      </c>
      <c r="J244">
        <v>2.9544990016269899</v>
      </c>
      <c r="K244">
        <v>3.3846477631241001</v>
      </c>
      <c r="L244">
        <v>12818.5054842796</v>
      </c>
      <c r="M244">
        <v>250</v>
      </c>
      <c r="O244">
        <v>51.270740752167903</v>
      </c>
      <c r="P244">
        <v>0.60950943141662295</v>
      </c>
      <c r="Q244">
        <v>1.5</v>
      </c>
      <c r="R244">
        <v>-2.4729243046495999E-2</v>
      </c>
      <c r="S244" t="s">
        <v>7050</v>
      </c>
      <c r="T244" t="s">
        <v>13610</v>
      </c>
      <c r="U244" t="s">
        <v>13610</v>
      </c>
      <c r="V244" t="s">
        <v>13610</v>
      </c>
      <c r="W244" t="s">
        <v>13848</v>
      </c>
      <c r="X244">
        <v>9</v>
      </c>
      <c r="Y244" t="s">
        <v>20571</v>
      </c>
      <c r="Z244" t="s">
        <v>27099</v>
      </c>
      <c r="AA244">
        <v>1.3120546418261101</v>
      </c>
      <c r="AB244" t="str">
        <f>HYPERLINK("Melting_Curves/meltCurve_B8ZZQ6_PTMA.pdf", "Melting_Curves/meltCurve_B8ZZQ6_PTMA.pdf")</f>
        <v>Melting_Curves/meltCurve_B8ZZQ6_PTMA.pdf</v>
      </c>
    </row>
    <row r="245" spans="1:28" x14ac:dyDescent="0.25">
      <c r="A245" t="s">
        <v>249</v>
      </c>
      <c r="B245">
        <v>0.995954080203443</v>
      </c>
      <c r="C245">
        <v>1.07815605455888</v>
      </c>
      <c r="D245">
        <v>1.0568123109597001</v>
      </c>
      <c r="E245">
        <v>1.0348247129753001</v>
      </c>
      <c r="F245">
        <v>1.0162017073596401</v>
      </c>
      <c r="G245">
        <v>0.74791946082254401</v>
      </c>
      <c r="H245">
        <v>0.73471990124424702</v>
      </c>
      <c r="I245">
        <v>0.85797896942600704</v>
      </c>
      <c r="J245">
        <v>1.0876117683201101</v>
      </c>
      <c r="K245">
        <v>0.99453349939281599</v>
      </c>
      <c r="L245">
        <v>5459.0419501566203</v>
      </c>
      <c r="M245">
        <v>100.316946090413</v>
      </c>
      <c r="O245">
        <v>54.396328472207799</v>
      </c>
      <c r="P245">
        <v>-5.3064242151602298E-2</v>
      </c>
      <c r="Q245">
        <v>0.88490479807279698</v>
      </c>
      <c r="R245">
        <v>0.32094440101038102</v>
      </c>
      <c r="S245" t="s">
        <v>7051</v>
      </c>
      <c r="T245" t="s">
        <v>13610</v>
      </c>
      <c r="U245" t="s">
        <v>13610</v>
      </c>
      <c r="V245" t="s">
        <v>13610</v>
      </c>
      <c r="W245" t="s">
        <v>13849</v>
      </c>
      <c r="X245">
        <v>5</v>
      </c>
      <c r="Y245" t="s">
        <v>20572</v>
      </c>
      <c r="Z245" t="s">
        <v>27100</v>
      </c>
      <c r="AA245">
        <v>0.94028768194321399</v>
      </c>
      <c r="AB245" t="str">
        <f>HYPERLINK("Melting_Curves/meltCurve_B8ZZU6_ATF2.pdf", "Melting_Curves/meltCurve_B8ZZU6_ATF2.pdf")</f>
        <v>Melting_Curves/meltCurve_B8ZZU6_ATF2.pdf</v>
      </c>
    </row>
    <row r="246" spans="1:28" x14ac:dyDescent="0.25">
      <c r="A246" t="s">
        <v>250</v>
      </c>
      <c r="B246">
        <v>0.995954080203443</v>
      </c>
      <c r="C246">
        <v>0.94484173685621498</v>
      </c>
      <c r="D246">
        <v>0.99040856230548902</v>
      </c>
      <c r="E246">
        <v>0.91803175456300001</v>
      </c>
      <c r="F246">
        <v>0.81940444834195303</v>
      </c>
      <c r="G246">
        <v>0.37322354121170997</v>
      </c>
      <c r="H246">
        <v>0.137352018841496</v>
      </c>
      <c r="I246">
        <v>9.5307864557609007E-2</v>
      </c>
      <c r="J246">
        <v>0.105572728637496</v>
      </c>
      <c r="K246">
        <v>0.102237286366945</v>
      </c>
      <c r="L246">
        <v>1580.9784999859701</v>
      </c>
      <c r="M246">
        <v>28.531370946625799</v>
      </c>
      <c r="N246">
        <v>55.791913059431501</v>
      </c>
      <c r="O246">
        <v>55.141839236441001</v>
      </c>
      <c r="P246">
        <v>-0.117933201539816</v>
      </c>
      <c r="Q246">
        <v>8.8301113112638302E-2</v>
      </c>
      <c r="R246">
        <v>0.99637524399877397</v>
      </c>
      <c r="S246" t="s">
        <v>7052</v>
      </c>
      <c r="T246" t="s">
        <v>13610</v>
      </c>
      <c r="U246" t="s">
        <v>13610</v>
      </c>
      <c r="V246" t="s">
        <v>13610</v>
      </c>
      <c r="W246" t="s">
        <v>13850</v>
      </c>
      <c r="X246">
        <v>14</v>
      </c>
      <c r="Y246" t="s">
        <v>20573</v>
      </c>
      <c r="Z246" t="s">
        <v>27101</v>
      </c>
      <c r="AA246">
        <v>0.56332417989804273</v>
      </c>
      <c r="AB246" t="str">
        <f>HYPERLINK("Melting_Curves/meltCurve_B8ZZU8_TCEB2.pdf", "Melting_Curves/meltCurve_B8ZZU8_TCEB2.pdf")</f>
        <v>Melting_Curves/meltCurve_B8ZZU8_TCEB2.pdf</v>
      </c>
    </row>
    <row r="247" spans="1:28" x14ac:dyDescent="0.25">
      <c r="A247" t="s">
        <v>251</v>
      </c>
      <c r="B247">
        <v>0.995954080203443</v>
      </c>
      <c r="C247">
        <v>0.83187702816546105</v>
      </c>
      <c r="D247">
        <v>0.69974063568821099</v>
      </c>
      <c r="E247">
        <v>0.662386080092635</v>
      </c>
      <c r="F247">
        <v>0.49364469321793403</v>
      </c>
      <c r="G247">
        <v>0.42119942978716002</v>
      </c>
      <c r="H247">
        <v>0.31647417260170801</v>
      </c>
      <c r="I247">
        <v>0.31793690368342198</v>
      </c>
      <c r="J247">
        <v>0.32226991946521699</v>
      </c>
      <c r="K247">
        <v>0.29691998988620599</v>
      </c>
      <c r="L247">
        <v>484.06384841123599</v>
      </c>
      <c r="M247">
        <v>9.8099490880522193</v>
      </c>
      <c r="N247">
        <v>53.1590690887394</v>
      </c>
      <c r="O247">
        <v>47.424822453662998</v>
      </c>
      <c r="P247">
        <v>-3.86655961251385E-2</v>
      </c>
      <c r="Q247">
        <v>0.25269751935652601</v>
      </c>
      <c r="R247">
        <v>0.97581247253118097</v>
      </c>
      <c r="S247" t="s">
        <v>7053</v>
      </c>
      <c r="T247" t="s">
        <v>13610</v>
      </c>
      <c r="U247" t="s">
        <v>13610</v>
      </c>
      <c r="V247" t="s">
        <v>13610</v>
      </c>
      <c r="W247" t="s">
        <v>13851</v>
      </c>
      <c r="X247">
        <v>2</v>
      </c>
      <c r="Y247" t="s">
        <v>20574</v>
      </c>
      <c r="Z247" t="s">
        <v>27102</v>
      </c>
      <c r="AA247">
        <v>0.52204718489618551</v>
      </c>
      <c r="AB247" t="str">
        <f>HYPERLINK("Melting_Curves/meltCurve_B8ZZW9_C7orf41.pdf", "Melting_Curves/meltCurve_B8ZZW9_C7orf41.pdf")</f>
        <v>Melting_Curves/meltCurve_B8ZZW9_C7orf41.pdf</v>
      </c>
    </row>
    <row r="248" spans="1:28" x14ac:dyDescent="0.25">
      <c r="A248" t="s">
        <v>252</v>
      </c>
      <c r="B248">
        <v>0.995954080203443</v>
      </c>
      <c r="C248">
        <v>0.99502342960989398</v>
      </c>
      <c r="D248">
        <v>1.0616247023219001</v>
      </c>
      <c r="E248">
        <v>0.86215995421396097</v>
      </c>
      <c r="F248">
        <v>0.22762482833349601</v>
      </c>
      <c r="G248">
        <v>0.13082563448221701</v>
      </c>
      <c r="H248">
        <v>8.5735854944196596E-2</v>
      </c>
      <c r="I248">
        <v>7.5718799594056196E-2</v>
      </c>
      <c r="J248">
        <v>8.6558643229843898E-2</v>
      </c>
      <c r="K248">
        <v>8.1170988010651896E-2</v>
      </c>
      <c r="L248">
        <v>3042.80376067622</v>
      </c>
      <c r="M248">
        <v>59.133984813768102</v>
      </c>
      <c r="N248">
        <v>51.631876388897602</v>
      </c>
      <c r="O248">
        <v>51.397353188642597</v>
      </c>
      <c r="P248">
        <v>-0.26140625437869602</v>
      </c>
      <c r="Q248">
        <v>9.1177008837143095E-2</v>
      </c>
      <c r="R248">
        <v>0.99689396027036503</v>
      </c>
      <c r="S248" t="s">
        <v>7054</v>
      </c>
      <c r="T248" t="s">
        <v>13610</v>
      </c>
      <c r="U248" t="s">
        <v>13610</v>
      </c>
      <c r="V248" t="s">
        <v>13610</v>
      </c>
      <c r="W248" t="s">
        <v>13852</v>
      </c>
      <c r="X248">
        <v>24</v>
      </c>
      <c r="Y248" t="s">
        <v>20575</v>
      </c>
      <c r="Z248" t="s">
        <v>27103</v>
      </c>
      <c r="AA248">
        <v>0.43970139854281609</v>
      </c>
      <c r="AB248" t="str">
        <f>HYPERLINK("Melting_Curves/meltCurve_B9A018_USP39.pdf", "Melting_Curves/meltCurve_B9A018_USP39.pdf")</f>
        <v>Melting_Curves/meltCurve_B9A018_USP39.pdf</v>
      </c>
    </row>
    <row r="249" spans="1:28" x14ac:dyDescent="0.25">
      <c r="A249" t="s">
        <v>253</v>
      </c>
      <c r="B249">
        <v>0.995954080203443</v>
      </c>
      <c r="C249">
        <v>0.79509964174383296</v>
      </c>
      <c r="D249">
        <v>1.0981888762110501</v>
      </c>
      <c r="E249">
        <v>0.704099787958264</v>
      </c>
      <c r="F249">
        <v>1.0650157511954099</v>
      </c>
      <c r="G249">
        <v>0.877158888655863</v>
      </c>
      <c r="H249">
        <v>0.838523102003778</v>
      </c>
      <c r="I249">
        <v>1.2591161702992999</v>
      </c>
      <c r="J249">
        <v>1.32240691312954</v>
      </c>
      <c r="K249">
        <v>1.50594993894471</v>
      </c>
      <c r="L249">
        <v>15000</v>
      </c>
      <c r="M249">
        <v>234.888211302907</v>
      </c>
      <c r="O249">
        <v>63.855554261719803</v>
      </c>
      <c r="P249">
        <v>0.38088950431957502</v>
      </c>
      <c r="Q249">
        <v>1.4141868730584</v>
      </c>
      <c r="R249">
        <v>0.65879458411051095</v>
      </c>
      <c r="S249" t="s">
        <v>7055</v>
      </c>
      <c r="T249" t="s">
        <v>13610</v>
      </c>
      <c r="U249" t="s">
        <v>13610</v>
      </c>
      <c r="V249" t="s">
        <v>13610</v>
      </c>
      <c r="W249" t="s">
        <v>13853</v>
      </c>
      <c r="X249">
        <v>2</v>
      </c>
      <c r="Y249" t="s">
        <v>20576</v>
      </c>
      <c r="Z249" t="s">
        <v>27104</v>
      </c>
      <c r="AA249">
        <v>1.084715378589352</v>
      </c>
      <c r="AB249" t="str">
        <f>HYPERLINK("Melting_Curves/meltCurve_B9A057_COA5.pdf", "Melting_Curves/meltCurve_B9A057_COA5.pdf")</f>
        <v>Melting_Curves/meltCurve_B9A057_COA5.pdf</v>
      </c>
    </row>
    <row r="250" spans="1:28" x14ac:dyDescent="0.25">
      <c r="A250" t="s">
        <v>254</v>
      </c>
      <c r="B250">
        <v>0.995954080203443</v>
      </c>
      <c r="C250">
        <v>0.97644529810462999</v>
      </c>
      <c r="D250">
        <v>0.93720730603325297</v>
      </c>
      <c r="E250">
        <v>0.74934604398280702</v>
      </c>
      <c r="F250">
        <v>0.49603706435452899</v>
      </c>
      <c r="G250">
        <v>0.35712215085070798</v>
      </c>
      <c r="H250">
        <v>0.28577962873333701</v>
      </c>
      <c r="I250">
        <v>0.30531203730091899</v>
      </c>
      <c r="J250">
        <v>0.35751387419060199</v>
      </c>
      <c r="K250">
        <v>0.34889306535685199</v>
      </c>
      <c r="L250">
        <v>1334.0532065647301</v>
      </c>
      <c r="M250">
        <v>26.211136213534299</v>
      </c>
      <c r="N250">
        <v>52.970067521203099</v>
      </c>
      <c r="O250">
        <v>50.602941891130698</v>
      </c>
      <c r="P250">
        <v>-8.7953583882948896E-2</v>
      </c>
      <c r="Q250">
        <v>0.320798541928147</v>
      </c>
      <c r="R250">
        <v>0.99343357285884004</v>
      </c>
      <c r="S250" t="s">
        <v>7056</v>
      </c>
      <c r="T250" t="s">
        <v>13610</v>
      </c>
      <c r="U250" t="s">
        <v>13610</v>
      </c>
      <c r="V250" t="s">
        <v>13610</v>
      </c>
      <c r="W250" t="s">
        <v>13854</v>
      </c>
      <c r="X250">
        <v>23</v>
      </c>
      <c r="Y250" t="s">
        <v>20577</v>
      </c>
      <c r="Z250" t="s">
        <v>27105</v>
      </c>
      <c r="AA250">
        <v>0.5730756536276902</v>
      </c>
      <c r="AB250" t="str">
        <f>HYPERLINK("Melting_Curves/meltCurve_B9EGH5_PLCB2.pdf", "Melting_Curves/meltCurve_B9EGH5_PLCB2.pdf")</f>
        <v>Melting_Curves/meltCurve_B9EGH5_PLCB2.pdf</v>
      </c>
    </row>
    <row r="251" spans="1:28" x14ac:dyDescent="0.25">
      <c r="A251" t="s">
        <v>255</v>
      </c>
      <c r="B251">
        <v>0.995954080203443</v>
      </c>
      <c r="C251">
        <v>0.90255361374885701</v>
      </c>
      <c r="D251">
        <v>1.5933018273917201</v>
      </c>
      <c r="E251">
        <v>0.88882219760238101</v>
      </c>
      <c r="F251">
        <v>1.4823032720171301</v>
      </c>
      <c r="G251">
        <v>1.0606626831306201</v>
      </c>
      <c r="H251">
        <v>0.57626179447083703</v>
      </c>
      <c r="I251">
        <v>0.70353938348413703</v>
      </c>
      <c r="J251">
        <v>0.68579454196465395</v>
      </c>
      <c r="K251">
        <v>0.74369219259715702</v>
      </c>
      <c r="L251">
        <v>6075.3726543801804</v>
      </c>
      <c r="M251">
        <v>103.300676956083</v>
      </c>
      <c r="O251">
        <v>58.790490618606299</v>
      </c>
      <c r="P251">
        <v>-0.14205599996974999</v>
      </c>
      <c r="Q251">
        <v>0.67661236010329795</v>
      </c>
      <c r="R251">
        <v>0.38873094661781099</v>
      </c>
      <c r="S251" t="s">
        <v>7057</v>
      </c>
      <c r="T251" t="s">
        <v>13610</v>
      </c>
      <c r="U251" t="s">
        <v>13610</v>
      </c>
      <c r="V251" t="s">
        <v>13610</v>
      </c>
      <c r="W251" t="s">
        <v>13855</v>
      </c>
      <c r="X251">
        <v>3</v>
      </c>
      <c r="Y251" t="s">
        <v>20578</v>
      </c>
      <c r="Z251" t="s">
        <v>27106</v>
      </c>
      <c r="AA251">
        <v>0.87959923230781278</v>
      </c>
      <c r="AB251" t="str">
        <f>HYPERLINK("Melting_Curves/meltCurve_B9ZVT1_RBM12B.pdf", "Melting_Curves/meltCurve_B9ZVT1_RBM12B.pdf")</f>
        <v>Melting_Curves/meltCurve_B9ZVT1_RBM12B.pdf</v>
      </c>
    </row>
    <row r="252" spans="1:28" x14ac:dyDescent="0.25">
      <c r="A252" t="s">
        <v>256</v>
      </c>
      <c r="B252">
        <v>0.995954080203443</v>
      </c>
      <c r="C252">
        <v>0.77840391697299005</v>
      </c>
      <c r="D252">
        <v>0.71770859237200901</v>
      </c>
      <c r="E252">
        <v>0.90478416572458398</v>
      </c>
      <c r="F252">
        <v>0.84284045865395296</v>
      </c>
      <c r="G252">
        <v>0.70537730486768002</v>
      </c>
      <c r="H252">
        <v>0.40689198024168299</v>
      </c>
      <c r="I252">
        <v>0.43453080775744302</v>
      </c>
      <c r="J252">
        <v>0.283781790385921</v>
      </c>
      <c r="K252">
        <v>0.37673434419568802</v>
      </c>
      <c r="L252">
        <v>375.90287336890799</v>
      </c>
      <c r="M252">
        <v>6.1227305156346903</v>
      </c>
      <c r="N252">
        <v>61.394646228320099</v>
      </c>
      <c r="O252">
        <v>55.8126888851084</v>
      </c>
      <c r="P252">
        <v>-2.75079636273814E-2</v>
      </c>
      <c r="Q252">
        <v>0</v>
      </c>
      <c r="R252">
        <v>0.80718170659002397</v>
      </c>
      <c r="S252" t="s">
        <v>7058</v>
      </c>
      <c r="T252" t="s">
        <v>13610</v>
      </c>
      <c r="U252" t="s">
        <v>13610</v>
      </c>
      <c r="V252" t="s">
        <v>13610</v>
      </c>
      <c r="W252" t="s">
        <v>13856</v>
      </c>
      <c r="X252">
        <v>8</v>
      </c>
      <c r="Y252" t="s">
        <v>20579</v>
      </c>
      <c r="Z252" t="s">
        <v>27107</v>
      </c>
      <c r="AA252">
        <v>0.66201348281280947</v>
      </c>
      <c r="AB252" t="str">
        <f>HYPERLINK("Melting_Curves/meltCurve_B9ZVU2_DNPEP.pdf", "Melting_Curves/meltCurve_B9ZVU2_DNPEP.pdf")</f>
        <v>Melting_Curves/meltCurve_B9ZVU2_DNPEP.pdf</v>
      </c>
    </row>
    <row r="253" spans="1:28" x14ac:dyDescent="0.25">
      <c r="A253" t="s">
        <v>257</v>
      </c>
      <c r="B253">
        <v>0.995954080203443</v>
      </c>
      <c r="C253">
        <v>0.84108027601240698</v>
      </c>
      <c r="D253">
        <v>0.76332892060268698</v>
      </c>
      <c r="E253">
        <v>0.74469980932015301</v>
      </c>
      <c r="F253">
        <v>0.583937225842588</v>
      </c>
      <c r="G253">
        <v>0.43865286056754599</v>
      </c>
      <c r="H253">
        <v>0.34345635137119801</v>
      </c>
      <c r="I253">
        <v>0.37683386501107602</v>
      </c>
      <c r="J253">
        <v>0.37552318980396798</v>
      </c>
      <c r="K253">
        <v>0.40266789032258898</v>
      </c>
      <c r="L253">
        <v>512.39131499459199</v>
      </c>
      <c r="M253">
        <v>10.218104766249001</v>
      </c>
      <c r="N253">
        <v>55.6052666301469</v>
      </c>
      <c r="O253">
        <v>48.338631177320103</v>
      </c>
      <c r="P253">
        <v>-3.6127887412833203E-2</v>
      </c>
      <c r="Q253">
        <v>0.31666747116789901</v>
      </c>
      <c r="R253">
        <v>0.95499207031202205</v>
      </c>
      <c r="S253" t="s">
        <v>7059</v>
      </c>
      <c r="T253" t="s">
        <v>13610</v>
      </c>
      <c r="U253" t="s">
        <v>13610</v>
      </c>
      <c r="V253" t="s">
        <v>13610</v>
      </c>
      <c r="W253" t="s">
        <v>13857</v>
      </c>
      <c r="X253">
        <v>11</v>
      </c>
      <c r="Y253" t="s">
        <v>20580</v>
      </c>
      <c r="Z253" t="s">
        <v>27108</v>
      </c>
      <c r="AA253">
        <v>0.57740384801777001</v>
      </c>
      <c r="AB253" t="str">
        <f>HYPERLINK("Melting_Curves/meltCurve_C4AMC7_WASH3P.pdf", "Melting_Curves/meltCurve_C4AMC7_WASH3P.pdf")</f>
        <v>Melting_Curves/meltCurve_C4AMC7_WASH3P.pdf</v>
      </c>
    </row>
    <row r="254" spans="1:28" x14ac:dyDescent="0.25">
      <c r="A254" t="s">
        <v>258</v>
      </c>
      <c r="B254">
        <v>0.995954080203443</v>
      </c>
      <c r="C254">
        <v>0.892566252078693</v>
      </c>
      <c r="D254">
        <v>0.88230070031788199</v>
      </c>
      <c r="E254">
        <v>0.738438209872606</v>
      </c>
      <c r="F254">
        <v>0.77988266527932004</v>
      </c>
      <c r="G254">
        <v>0.48950186729374601</v>
      </c>
      <c r="H254">
        <v>0.42500561553074201</v>
      </c>
      <c r="I254">
        <v>0.58249312218188698</v>
      </c>
      <c r="J254">
        <v>0.57766513724828805</v>
      </c>
      <c r="K254">
        <v>0.593534010552622</v>
      </c>
      <c r="L254">
        <v>692.409863721222</v>
      </c>
      <c r="M254">
        <v>13.9622782713333</v>
      </c>
      <c r="O254">
        <v>48.607401521124899</v>
      </c>
      <c r="P254">
        <v>-3.4159972963796303E-2</v>
      </c>
      <c r="Q254">
        <v>0.52437403160076601</v>
      </c>
      <c r="R254">
        <v>0.83961816762862496</v>
      </c>
      <c r="S254" t="s">
        <v>7060</v>
      </c>
      <c r="T254" t="s">
        <v>13610</v>
      </c>
      <c r="U254" t="s">
        <v>13610</v>
      </c>
      <c r="V254" t="s">
        <v>13610</v>
      </c>
      <c r="W254" t="s">
        <v>13858</v>
      </c>
      <c r="X254">
        <v>6</v>
      </c>
      <c r="Y254" t="s">
        <v>20581</v>
      </c>
      <c r="Z254" t="s">
        <v>27109</v>
      </c>
      <c r="AA254">
        <v>0.68950626879949506</v>
      </c>
      <c r="AB254" t="str">
        <f>HYPERLINK("Melting_Curves/meltCurve_C6G496_MAZ.pdf", "Melting_Curves/meltCurve_C6G496_MAZ.pdf")</f>
        <v>Melting_Curves/meltCurve_C6G496_MAZ.pdf</v>
      </c>
    </row>
    <row r="255" spans="1:28" x14ac:dyDescent="0.25">
      <c r="A255" t="s">
        <v>259</v>
      </c>
      <c r="B255">
        <v>0.995954080203443</v>
      </c>
      <c r="C255">
        <v>0.91730761170381203</v>
      </c>
      <c r="D255">
        <v>0.73964151549499602</v>
      </c>
      <c r="E255">
        <v>0.79151872901911102</v>
      </c>
      <c r="F255">
        <v>0.56046506282730701</v>
      </c>
      <c r="G255">
        <v>0.30163832506242899</v>
      </c>
      <c r="H255">
        <v>8.6858802581908603E-2</v>
      </c>
      <c r="I255">
        <v>7.4992242259465006E-2</v>
      </c>
      <c r="J255">
        <v>7.1095950733217894E-2</v>
      </c>
      <c r="K255">
        <v>7.4115646447399097E-2</v>
      </c>
      <c r="L255">
        <v>691.25915519832597</v>
      </c>
      <c r="M255">
        <v>12.960165134212399</v>
      </c>
      <c r="N255">
        <v>53.337221280350299</v>
      </c>
      <c r="O255">
        <v>52.115243229948902</v>
      </c>
      <c r="P255">
        <v>-6.2181817993316499E-2</v>
      </c>
      <c r="Q255">
        <v>0</v>
      </c>
      <c r="R255">
        <v>0.96881969329582496</v>
      </c>
      <c r="S255" t="s">
        <v>7061</v>
      </c>
      <c r="T255" t="s">
        <v>13610</v>
      </c>
      <c r="U255" t="s">
        <v>13610</v>
      </c>
      <c r="V255" t="s">
        <v>13610</v>
      </c>
      <c r="W255" t="s">
        <v>13859</v>
      </c>
      <c r="X255">
        <v>4</v>
      </c>
      <c r="Y255" t="s">
        <v>20582</v>
      </c>
      <c r="Z255" t="s">
        <v>27110</v>
      </c>
      <c r="AA255">
        <v>0.47002248671683478</v>
      </c>
      <c r="AB255" t="str">
        <f>HYPERLINK("Melting_Curves/meltCurve_C6GKU9_MED30S.pdf", "Melting_Curves/meltCurve_C6GKU9_MED30S.pdf")</f>
        <v>Melting_Curves/meltCurve_C6GKU9_MED30S.pdf</v>
      </c>
    </row>
    <row r="256" spans="1:28" x14ac:dyDescent="0.25">
      <c r="A256" t="s">
        <v>260</v>
      </c>
      <c r="B256">
        <v>0.995954080203443</v>
      </c>
      <c r="C256">
        <v>0.88592583053962604</v>
      </c>
      <c r="D256">
        <v>0.58206635165979204</v>
      </c>
      <c r="E256">
        <v>0.34458752258817299</v>
      </c>
      <c r="F256">
        <v>0.189773987166166</v>
      </c>
      <c r="G256">
        <v>0.10072223252800699</v>
      </c>
      <c r="H256">
        <v>7.2291321338757403E-2</v>
      </c>
      <c r="I256">
        <v>7.31356498713185E-2</v>
      </c>
      <c r="J256">
        <v>5.9902598205631201E-2</v>
      </c>
      <c r="K256">
        <v>5.6256891456319402E-2</v>
      </c>
      <c r="L256">
        <v>812.55180690566101</v>
      </c>
      <c r="M256">
        <v>17.2263635891888</v>
      </c>
      <c r="N256">
        <v>47.513520820390902</v>
      </c>
      <c r="O256">
        <v>46.5471886599653</v>
      </c>
      <c r="P256">
        <v>-8.7095331234628204E-2</v>
      </c>
      <c r="Q256">
        <v>5.8697319013763002E-2</v>
      </c>
      <c r="R256">
        <v>0.995217618739617</v>
      </c>
      <c r="S256" t="s">
        <v>7062</v>
      </c>
      <c r="T256" t="s">
        <v>13610</v>
      </c>
      <c r="U256" t="s">
        <v>13610</v>
      </c>
      <c r="V256" t="s">
        <v>13610</v>
      </c>
      <c r="W256" t="s">
        <v>13860</v>
      </c>
      <c r="X256">
        <v>2</v>
      </c>
      <c r="Y256" t="s">
        <v>20583</v>
      </c>
      <c r="Z256" t="s">
        <v>27111</v>
      </c>
      <c r="AA256">
        <v>0.30257659269176512</v>
      </c>
      <c r="AB256" t="str">
        <f>HYPERLINK("Melting_Curves/meltCurve_C9IYZ1_ASNSD1.pdf", "Melting_Curves/meltCurve_C9IYZ1_ASNSD1.pdf")</f>
        <v>Melting_Curves/meltCurve_C9IYZ1_ASNSD1.pdf</v>
      </c>
    </row>
    <row r="257" spans="1:28" x14ac:dyDescent="0.25">
      <c r="A257" t="s">
        <v>261</v>
      </c>
      <c r="B257">
        <v>0.995954080203443</v>
      </c>
      <c r="C257">
        <v>0.75600681864348895</v>
      </c>
      <c r="D257">
        <v>0.784622969479006</v>
      </c>
      <c r="E257">
        <v>0.57205671948030101</v>
      </c>
      <c r="F257">
        <v>0.47574958076220297</v>
      </c>
      <c r="G257">
        <v>0.410879737298673</v>
      </c>
      <c r="H257">
        <v>0.38557441406898502</v>
      </c>
      <c r="I257">
        <v>0.52906844927657604</v>
      </c>
      <c r="J257">
        <v>0.69826528954598499</v>
      </c>
      <c r="K257">
        <v>0.61250435858251495</v>
      </c>
      <c r="L257">
        <v>846.63078955105698</v>
      </c>
      <c r="M257">
        <v>18.9719498033534</v>
      </c>
      <c r="O257">
        <v>44.1384633195212</v>
      </c>
      <c r="P257">
        <v>-5.17056840271473E-2</v>
      </c>
      <c r="Q257">
        <v>0.51884377583666896</v>
      </c>
      <c r="R257">
        <v>0.70428118559903397</v>
      </c>
      <c r="S257" t="s">
        <v>7063</v>
      </c>
      <c r="T257" t="s">
        <v>13610</v>
      </c>
      <c r="U257" t="s">
        <v>13610</v>
      </c>
      <c r="V257" t="s">
        <v>13610</v>
      </c>
      <c r="W257" t="s">
        <v>13861</v>
      </c>
      <c r="X257">
        <v>27</v>
      </c>
      <c r="Y257" t="s">
        <v>20584</v>
      </c>
      <c r="Z257" t="s">
        <v>27112</v>
      </c>
      <c r="AA257">
        <v>0.60266090105158532</v>
      </c>
      <c r="AB257" t="str">
        <f>HYPERLINK("Melting_Curves/meltCurve_C9IZE4_PSMD6.pdf", "Melting_Curves/meltCurve_C9IZE4_PSMD6.pdf")</f>
        <v>Melting_Curves/meltCurve_C9IZE4_PSMD6.pdf</v>
      </c>
    </row>
    <row r="258" spans="1:28" x14ac:dyDescent="0.25">
      <c r="A258" t="s">
        <v>262</v>
      </c>
      <c r="B258">
        <v>0.995954080203443</v>
      </c>
      <c r="C258">
        <v>0.84690460282286695</v>
      </c>
      <c r="D258">
        <v>0.79743287564382204</v>
      </c>
      <c r="E258">
        <v>0.65648149004709899</v>
      </c>
      <c r="F258">
        <v>0.60758975733226805</v>
      </c>
      <c r="G258">
        <v>0.45210234156815599</v>
      </c>
      <c r="H258">
        <v>0.43173236197083098</v>
      </c>
      <c r="I258">
        <v>0.47321937090813798</v>
      </c>
      <c r="J258">
        <v>0.54893762180769801</v>
      </c>
      <c r="K258">
        <v>0.58011739259407002</v>
      </c>
      <c r="L258">
        <v>700.42174261337698</v>
      </c>
      <c r="M258">
        <v>14.944179687899499</v>
      </c>
      <c r="N258">
        <v>66.612233621866395</v>
      </c>
      <c r="O258">
        <v>46.053961636696101</v>
      </c>
      <c r="P258">
        <v>-4.1049434110920303E-2</v>
      </c>
      <c r="Q258">
        <v>0.49403840073895</v>
      </c>
      <c r="R258">
        <v>0.91239453544159399</v>
      </c>
      <c r="S258" t="s">
        <v>7064</v>
      </c>
      <c r="T258" t="s">
        <v>13610</v>
      </c>
      <c r="U258" t="s">
        <v>13610</v>
      </c>
      <c r="V258" t="s">
        <v>13610</v>
      </c>
      <c r="W258" t="s">
        <v>13862</v>
      </c>
      <c r="X258">
        <v>4</v>
      </c>
      <c r="Y258" t="s">
        <v>20585</v>
      </c>
      <c r="Z258" t="s">
        <v>27113</v>
      </c>
      <c r="AA258">
        <v>0.6238587351401631</v>
      </c>
      <c r="AB258" t="str">
        <f>HYPERLINK("Melting_Curves/meltCurve_C9IZI4_ARHGAP19.pdf", "Melting_Curves/meltCurve_C9IZI4_ARHGAP19.pdf")</f>
        <v>Melting_Curves/meltCurve_C9IZI4_ARHGAP19.pdf</v>
      </c>
    </row>
    <row r="259" spans="1:28" x14ac:dyDescent="0.25">
      <c r="A259" t="s">
        <v>263</v>
      </c>
      <c r="B259">
        <v>0.995954080203443</v>
      </c>
      <c r="C259">
        <v>0.92675029672581699</v>
      </c>
      <c r="D259">
        <v>1.0183397112107599</v>
      </c>
      <c r="E259">
        <v>0.88839111195453502</v>
      </c>
      <c r="F259">
        <v>0.94204829801097101</v>
      </c>
      <c r="G259">
        <v>0.85976381096069798</v>
      </c>
      <c r="H259">
        <v>1.14930758903827</v>
      </c>
      <c r="I259">
        <v>1.9057721467325699</v>
      </c>
      <c r="J259">
        <v>2.0108087018555998</v>
      </c>
      <c r="K259">
        <v>2.1955717537317501</v>
      </c>
      <c r="L259">
        <v>15000</v>
      </c>
      <c r="M259">
        <v>245.048166602169</v>
      </c>
      <c r="O259">
        <v>61.208374832753798</v>
      </c>
      <c r="P259">
        <v>0.50043836552601995</v>
      </c>
      <c r="Q259">
        <v>1.5</v>
      </c>
      <c r="R259">
        <v>0.61949387449842297</v>
      </c>
      <c r="S259" t="s">
        <v>7065</v>
      </c>
      <c r="T259" t="s">
        <v>13610</v>
      </c>
      <c r="U259" t="s">
        <v>13610</v>
      </c>
      <c r="V259" t="s">
        <v>13610</v>
      </c>
      <c r="W259" t="s">
        <v>13863</v>
      </c>
      <c r="X259">
        <v>5</v>
      </c>
      <c r="Y259" t="s">
        <v>20586</v>
      </c>
      <c r="Z259" t="s">
        <v>27114</v>
      </c>
      <c r="AA259">
        <v>1.146403167826171</v>
      </c>
      <c r="AB259" t="str">
        <f>HYPERLINK("Melting_Curves/meltCurve_C9J0A7_CHMP2B.pdf", "Melting_Curves/meltCurve_C9J0A7_CHMP2B.pdf")</f>
        <v>Melting_Curves/meltCurve_C9J0A7_CHMP2B.pdf</v>
      </c>
    </row>
    <row r="260" spans="1:28" x14ac:dyDescent="0.25">
      <c r="A260" t="s">
        <v>264</v>
      </c>
      <c r="B260">
        <v>0.995954080203443</v>
      </c>
      <c r="C260">
        <v>0.923602425956221</v>
      </c>
      <c r="D260">
        <v>0.62022289032955402</v>
      </c>
      <c r="E260">
        <v>0.45445904446991298</v>
      </c>
      <c r="F260">
        <v>0.29255725525293202</v>
      </c>
      <c r="G260">
        <v>0.197006244555362</v>
      </c>
      <c r="H260">
        <v>0.152912627016139</v>
      </c>
      <c r="I260">
        <v>0.15750389037786899</v>
      </c>
      <c r="J260">
        <v>0.18491029679446799</v>
      </c>
      <c r="K260">
        <v>0.18228589073552601</v>
      </c>
      <c r="L260">
        <v>796.49960231802595</v>
      </c>
      <c r="M260">
        <v>16.793357626036201</v>
      </c>
      <c r="N260">
        <v>48.560558170854797</v>
      </c>
      <c r="O260">
        <v>46.772184350591999</v>
      </c>
      <c r="P260">
        <v>-7.5237045453070403E-2</v>
      </c>
      <c r="Q260">
        <v>0.16186516767505099</v>
      </c>
      <c r="R260">
        <v>0.98797287266192502</v>
      </c>
      <c r="S260" t="s">
        <v>7066</v>
      </c>
      <c r="T260" t="s">
        <v>13610</v>
      </c>
      <c r="U260" t="s">
        <v>13610</v>
      </c>
      <c r="V260" t="s">
        <v>13610</v>
      </c>
      <c r="W260" t="s">
        <v>13864</v>
      </c>
      <c r="X260">
        <v>13</v>
      </c>
      <c r="Y260" t="s">
        <v>20587</v>
      </c>
      <c r="Z260" t="s">
        <v>27115</v>
      </c>
      <c r="AA260">
        <v>0.3870068528898612</v>
      </c>
      <c r="AB260" t="str">
        <f>HYPERLINK("Melting_Curves/meltCurve_C9J0I9_ZC3HC1.pdf", "Melting_Curves/meltCurve_C9J0I9_ZC3HC1.pdf")</f>
        <v>Melting_Curves/meltCurve_C9J0I9_ZC3HC1.pdf</v>
      </c>
    </row>
    <row r="261" spans="1:28" x14ac:dyDescent="0.25">
      <c r="A261" t="s">
        <v>265</v>
      </c>
      <c r="B261">
        <v>0.995954080203443</v>
      </c>
      <c r="C261">
        <v>1.07825367901019</v>
      </c>
      <c r="D261">
        <v>1.07305979249342</v>
      </c>
      <c r="E261">
        <v>1.0166487642072799</v>
      </c>
      <c r="F261">
        <v>0.83991281900953196</v>
      </c>
      <c r="G261">
        <v>0.46531549189871502</v>
      </c>
      <c r="H261">
        <v>0.15332493744363901</v>
      </c>
      <c r="I261">
        <v>0.11211160106281499</v>
      </c>
      <c r="J261">
        <v>0.10507916408251999</v>
      </c>
      <c r="K261">
        <v>9.6762901044956301E-2</v>
      </c>
      <c r="L261">
        <v>1653.97859990958</v>
      </c>
      <c r="M261">
        <v>29.440912392527</v>
      </c>
      <c r="N261">
        <v>56.560346912717897</v>
      </c>
      <c r="O261">
        <v>55.922313512153501</v>
      </c>
      <c r="P261">
        <v>-0.119784859265006</v>
      </c>
      <c r="Q261">
        <v>8.98924155713242E-2</v>
      </c>
      <c r="R261">
        <v>0.99183458826091098</v>
      </c>
      <c r="S261" t="s">
        <v>7067</v>
      </c>
      <c r="T261" t="s">
        <v>13610</v>
      </c>
      <c r="U261" t="s">
        <v>13610</v>
      </c>
      <c r="V261" t="s">
        <v>13610</v>
      </c>
      <c r="W261" t="s">
        <v>13865</v>
      </c>
      <c r="X261">
        <v>12</v>
      </c>
      <c r="Y261" t="s">
        <v>20588</v>
      </c>
      <c r="Z261" t="s">
        <v>27116</v>
      </c>
      <c r="AA261">
        <v>0.58701316332004772</v>
      </c>
      <c r="AB261" t="str">
        <f>HYPERLINK("Melting_Curves/meltCurve_C9J0K6_SRI.pdf", "Melting_Curves/meltCurve_C9J0K6_SRI.pdf")</f>
        <v>Melting_Curves/meltCurve_C9J0K6_SRI.pdf</v>
      </c>
    </row>
    <row r="262" spans="1:28" x14ac:dyDescent="0.25">
      <c r="A262" t="s">
        <v>266</v>
      </c>
      <c r="B262">
        <v>0.995954080203443</v>
      </c>
      <c r="C262">
        <v>0.90419500260672603</v>
      </c>
      <c r="D262">
        <v>0.91297627052230701</v>
      </c>
      <c r="E262">
        <v>0.83171188716114997</v>
      </c>
      <c r="F262">
        <v>0.87395511845406104</v>
      </c>
      <c r="G262">
        <v>0.74793259246486599</v>
      </c>
      <c r="H262">
        <v>0.73423483922801303</v>
      </c>
      <c r="I262">
        <v>0.88263936578993196</v>
      </c>
      <c r="J262">
        <v>1.02188485813216</v>
      </c>
      <c r="K262">
        <v>1.03919165403523</v>
      </c>
      <c r="L262">
        <v>2365.13674264577</v>
      </c>
      <c r="M262">
        <v>56.399648683912403</v>
      </c>
      <c r="O262">
        <v>41.882702720168098</v>
      </c>
      <c r="P262">
        <v>-4.0319781734178002E-2</v>
      </c>
      <c r="Q262">
        <v>0.88023330414023304</v>
      </c>
      <c r="R262">
        <v>0.12026945768943501</v>
      </c>
      <c r="S262" t="s">
        <v>7068</v>
      </c>
      <c r="T262" t="s">
        <v>13610</v>
      </c>
      <c r="U262" t="s">
        <v>13610</v>
      </c>
      <c r="V262" t="s">
        <v>13610</v>
      </c>
      <c r="W262" t="s">
        <v>13866</v>
      </c>
      <c r="X262">
        <v>5</v>
      </c>
      <c r="Y262" t="s">
        <v>20589</v>
      </c>
      <c r="Z262" t="s">
        <v>27117</v>
      </c>
      <c r="AA262">
        <v>0.88829864914487511</v>
      </c>
      <c r="AB262" t="str">
        <f>HYPERLINK("Melting_Curves/meltCurve_C9J1C6_RNF181.pdf", "Melting_Curves/meltCurve_C9J1C6_RNF181.pdf")</f>
        <v>Melting_Curves/meltCurve_C9J1C6_RNF181.pdf</v>
      </c>
    </row>
    <row r="263" spans="1:28" x14ac:dyDescent="0.25">
      <c r="A263" t="s">
        <v>267</v>
      </c>
      <c r="B263">
        <v>0.995954080203443</v>
      </c>
      <c r="C263">
        <v>0.95642525539433298</v>
      </c>
      <c r="D263">
        <v>0.91734832538602396</v>
      </c>
      <c r="E263">
        <v>0.80767422584753101</v>
      </c>
      <c r="F263">
        <v>0.48251233865111698</v>
      </c>
      <c r="G263">
        <v>0.33716261167046901</v>
      </c>
      <c r="H263">
        <v>0.31189946845350303</v>
      </c>
      <c r="I263">
        <v>0.33770354233326599</v>
      </c>
      <c r="J263">
        <v>0.39679624930746099</v>
      </c>
      <c r="K263">
        <v>0.35443742219093299</v>
      </c>
      <c r="L263">
        <v>1833.1373407767501</v>
      </c>
      <c r="M263">
        <v>35.870029360915503</v>
      </c>
      <c r="N263">
        <v>52.8196582551559</v>
      </c>
      <c r="O263">
        <v>50.946930422890098</v>
      </c>
      <c r="P263">
        <v>-0.115476119942641</v>
      </c>
      <c r="Q263">
        <v>0.343949831156036</v>
      </c>
      <c r="R263">
        <v>0.98479698570493401</v>
      </c>
      <c r="S263" t="s">
        <v>7069</v>
      </c>
      <c r="T263" t="s">
        <v>13610</v>
      </c>
      <c r="U263" t="s">
        <v>13610</v>
      </c>
      <c r="V263" t="s">
        <v>13610</v>
      </c>
      <c r="W263" t="s">
        <v>13867</v>
      </c>
      <c r="X263">
        <v>2</v>
      </c>
      <c r="Y263" t="s">
        <v>20590</v>
      </c>
      <c r="Z263" t="s">
        <v>27118</v>
      </c>
      <c r="AA263">
        <v>0.58968334738319661</v>
      </c>
      <c r="AB263" t="str">
        <f>HYPERLINK("Melting_Curves/meltCurve_C9J1J0_ADCY1.pdf", "Melting_Curves/meltCurve_C9J1J0_ADCY1.pdf")</f>
        <v>Melting_Curves/meltCurve_C9J1J0_ADCY1.pdf</v>
      </c>
    </row>
    <row r="264" spans="1:28" x14ac:dyDescent="0.25">
      <c r="A264" t="s">
        <v>268</v>
      </c>
      <c r="B264">
        <v>0.995954080203443</v>
      </c>
      <c r="C264">
        <v>0.85218695796379496</v>
      </c>
      <c r="D264">
        <v>0.67792024071541701</v>
      </c>
      <c r="E264">
        <v>0.59037045881360495</v>
      </c>
      <c r="F264">
        <v>0.46491884724821703</v>
      </c>
      <c r="G264">
        <v>0.33095336944689102</v>
      </c>
      <c r="H264">
        <v>0.27801491042569898</v>
      </c>
      <c r="I264">
        <v>0.29470879198366601</v>
      </c>
      <c r="J264">
        <v>0.32491862592572501</v>
      </c>
      <c r="K264">
        <v>0.25166391354319601</v>
      </c>
      <c r="L264">
        <v>572.82040892939301</v>
      </c>
      <c r="M264">
        <v>11.875470536398099</v>
      </c>
      <c r="N264">
        <v>51.282789783197998</v>
      </c>
      <c r="O264">
        <v>46.928815122934303</v>
      </c>
      <c r="P264">
        <v>-4.7263024539875097E-2</v>
      </c>
      <c r="Q264">
        <v>0.25310202130592901</v>
      </c>
      <c r="R264">
        <v>0.98015903491977097</v>
      </c>
      <c r="S264" t="s">
        <v>7070</v>
      </c>
      <c r="T264" t="s">
        <v>13610</v>
      </c>
      <c r="U264" t="s">
        <v>13610</v>
      </c>
      <c r="V264" t="s">
        <v>13610</v>
      </c>
      <c r="W264" t="s">
        <v>13868</v>
      </c>
      <c r="X264">
        <v>12</v>
      </c>
      <c r="Y264" t="s">
        <v>20591</v>
      </c>
      <c r="Z264" t="s">
        <v>27119</v>
      </c>
      <c r="AA264">
        <v>0.48744914236084852</v>
      </c>
      <c r="AB264" t="str">
        <f>HYPERLINK("Melting_Curves/meltCurve_C9J1X0_WDR91.pdf", "Melting_Curves/meltCurve_C9J1X0_WDR91.pdf")</f>
        <v>Melting_Curves/meltCurve_C9J1X0_WDR91.pdf</v>
      </c>
    </row>
    <row r="265" spans="1:28" x14ac:dyDescent="0.25">
      <c r="A265" t="s">
        <v>269</v>
      </c>
      <c r="B265">
        <v>0.995954080203443</v>
      </c>
      <c r="C265">
        <v>1.0055957891576099</v>
      </c>
      <c r="D265">
        <v>1.03403264203797</v>
      </c>
      <c r="E265">
        <v>0.911682172063359</v>
      </c>
      <c r="F265">
        <v>0.863825116839953</v>
      </c>
      <c r="G265">
        <v>0.42252641078193298</v>
      </c>
      <c r="H265">
        <v>0.16621953641798401</v>
      </c>
      <c r="I265">
        <v>0.14569143871926099</v>
      </c>
      <c r="J265">
        <v>0.14117636740175801</v>
      </c>
      <c r="K265">
        <v>0.14213898531636601</v>
      </c>
      <c r="L265">
        <v>1704.7740950228499</v>
      </c>
      <c r="M265">
        <v>30.6070374772519</v>
      </c>
      <c r="N265">
        <v>56.252320253034299</v>
      </c>
      <c r="O265">
        <v>55.4626341175085</v>
      </c>
      <c r="P265">
        <v>-0.12002361781264501</v>
      </c>
      <c r="Q265">
        <v>0.13003231437548099</v>
      </c>
      <c r="R265">
        <v>0.99603369683893905</v>
      </c>
      <c r="S265" t="s">
        <v>7071</v>
      </c>
      <c r="T265" t="s">
        <v>13610</v>
      </c>
      <c r="U265" t="s">
        <v>13610</v>
      </c>
      <c r="V265" t="s">
        <v>13610</v>
      </c>
      <c r="W265" t="s">
        <v>13869</v>
      </c>
      <c r="X265">
        <v>10</v>
      </c>
      <c r="Y265" t="s">
        <v>20592</v>
      </c>
      <c r="Z265" t="s">
        <v>27120</v>
      </c>
      <c r="AA265">
        <v>0.5908632761013789</v>
      </c>
      <c r="AB265" t="str">
        <f>HYPERLINK("Melting_Curves/meltCurve_C9J212_UBE2F.pdf", "Melting_Curves/meltCurve_C9J212_UBE2F.pdf")</f>
        <v>Melting_Curves/meltCurve_C9J212_UBE2F.pdf</v>
      </c>
    </row>
    <row r="266" spans="1:28" x14ac:dyDescent="0.25">
      <c r="A266" t="s">
        <v>270</v>
      </c>
      <c r="B266">
        <v>0.995954080203443</v>
      </c>
      <c r="C266">
        <v>1.05889381618269</v>
      </c>
      <c r="D266">
        <v>0.98675216608736105</v>
      </c>
      <c r="E266">
        <v>0.4320178029658</v>
      </c>
      <c r="F266">
        <v>0.126860999333167</v>
      </c>
      <c r="G266">
        <v>8.2693757419373598E-2</v>
      </c>
      <c r="H266">
        <v>5.3852592183136802E-2</v>
      </c>
      <c r="I266">
        <v>5.4487259624218701E-2</v>
      </c>
      <c r="J266">
        <v>5.1340692883125302E-2</v>
      </c>
      <c r="K266">
        <v>4.94762910771828E-2</v>
      </c>
      <c r="L266">
        <v>2194.26868021463</v>
      </c>
      <c r="M266">
        <v>44.282187768035001</v>
      </c>
      <c r="N266">
        <v>49.6961085761588</v>
      </c>
      <c r="O266">
        <v>49.451211320258302</v>
      </c>
      <c r="P266">
        <v>-0.21037503295027299</v>
      </c>
      <c r="Q266">
        <v>6.02735445711527E-2</v>
      </c>
      <c r="R266">
        <v>0.99729590588327499</v>
      </c>
      <c r="S266" t="s">
        <v>7072</v>
      </c>
      <c r="T266" t="s">
        <v>13610</v>
      </c>
      <c r="U266" t="s">
        <v>13610</v>
      </c>
      <c r="V266" t="s">
        <v>13610</v>
      </c>
      <c r="W266" t="s">
        <v>13870</v>
      </c>
      <c r="X266">
        <v>5</v>
      </c>
      <c r="Y266" t="s">
        <v>20593</v>
      </c>
      <c r="Z266" t="s">
        <v>27121</v>
      </c>
      <c r="AA266">
        <v>0.36210398498128987</v>
      </c>
      <c r="AB266" t="str">
        <f>HYPERLINK("Melting_Curves/meltCurve_C9J2P0_UBE2E1.pdf", "Melting_Curves/meltCurve_C9J2P0_UBE2E1.pdf")</f>
        <v>Melting_Curves/meltCurve_C9J2P0_UBE2E1.pdf</v>
      </c>
    </row>
    <row r="267" spans="1:28" x14ac:dyDescent="0.25">
      <c r="A267" t="s">
        <v>271</v>
      </c>
      <c r="B267">
        <v>0.995954080203443</v>
      </c>
      <c r="C267">
        <v>0.95448636154253996</v>
      </c>
      <c r="D267">
        <v>0.76195215051075205</v>
      </c>
      <c r="E267">
        <v>0.77544233687894204</v>
      </c>
      <c r="F267">
        <v>0.76068882783858205</v>
      </c>
      <c r="G267">
        <v>0.456407458802988</v>
      </c>
      <c r="H267">
        <v>0.40765788536282199</v>
      </c>
      <c r="I267">
        <v>0.29435220404495199</v>
      </c>
      <c r="J267">
        <v>0.43551313543303999</v>
      </c>
      <c r="K267">
        <v>0.44233912701516998</v>
      </c>
      <c r="L267">
        <v>574.68827994093704</v>
      </c>
      <c r="M267">
        <v>11.0047574814269</v>
      </c>
      <c r="N267">
        <v>57.881373352622198</v>
      </c>
      <c r="O267">
        <v>50.5862567066699</v>
      </c>
      <c r="P267">
        <v>-3.6476683696515702E-2</v>
      </c>
      <c r="Q267">
        <v>0.32952710094771298</v>
      </c>
      <c r="R267">
        <v>0.90001335333485499</v>
      </c>
      <c r="S267" t="s">
        <v>7073</v>
      </c>
      <c r="T267" t="s">
        <v>13610</v>
      </c>
      <c r="U267" t="s">
        <v>13610</v>
      </c>
      <c r="V267" t="s">
        <v>13610</v>
      </c>
      <c r="W267" t="s">
        <v>13871</v>
      </c>
      <c r="X267">
        <v>13</v>
      </c>
      <c r="Y267" t="s">
        <v>20594</v>
      </c>
      <c r="Z267" t="s">
        <v>27122</v>
      </c>
      <c r="AA267">
        <v>0.62509610638185364</v>
      </c>
      <c r="AB267" t="str">
        <f>HYPERLINK("Melting_Curves/meltCurve_C9J2V2_IKBKG.pdf", "Melting_Curves/meltCurve_C9J2V2_IKBKG.pdf")</f>
        <v>Melting_Curves/meltCurve_C9J2V2_IKBKG.pdf</v>
      </c>
    </row>
    <row r="268" spans="1:28" x14ac:dyDescent="0.25">
      <c r="A268" t="s">
        <v>272</v>
      </c>
      <c r="B268">
        <v>0.995954080203443</v>
      </c>
      <c r="C268">
        <v>0.55228051505878295</v>
      </c>
      <c r="D268">
        <v>0.36240826666520498</v>
      </c>
      <c r="E268">
        <v>0.32327398489952902</v>
      </c>
      <c r="F268">
        <v>0.20016978805754199</v>
      </c>
      <c r="G268">
        <v>0.11091351521918499</v>
      </c>
      <c r="H268">
        <v>6.2410002276678499E-2</v>
      </c>
      <c r="I268">
        <v>5.1116334087699097E-2</v>
      </c>
      <c r="J268">
        <v>5.7970711124037802E-2</v>
      </c>
      <c r="K268">
        <v>5.3483755442747902E-2</v>
      </c>
      <c r="L268">
        <v>642.30188943552503</v>
      </c>
      <c r="M268">
        <v>14.4442861295854</v>
      </c>
      <c r="N268">
        <v>44.915699903235001</v>
      </c>
      <c r="O268">
        <v>43.641285612050098</v>
      </c>
      <c r="P268">
        <v>-7.7200575992779005E-2</v>
      </c>
      <c r="Q268">
        <v>6.7108535141657905E-2</v>
      </c>
      <c r="R268">
        <v>0.93849374659949503</v>
      </c>
      <c r="S268" t="s">
        <v>7074</v>
      </c>
      <c r="T268" t="s">
        <v>13610</v>
      </c>
      <c r="U268" t="s">
        <v>13610</v>
      </c>
      <c r="V268" t="s">
        <v>13610</v>
      </c>
      <c r="W268" t="s">
        <v>13872</v>
      </c>
      <c r="X268">
        <v>24</v>
      </c>
      <c r="Y268" t="s">
        <v>20595</v>
      </c>
      <c r="Z268" t="s">
        <v>27123</v>
      </c>
      <c r="AA268">
        <v>0.24046180692199909</v>
      </c>
      <c r="AB268" t="str">
        <f>HYPERLINK("Melting_Curves/meltCurve_C9J2Y9_POLR2B.pdf", "Melting_Curves/meltCurve_C9J2Y9_POLR2B.pdf")</f>
        <v>Melting_Curves/meltCurve_C9J2Y9_POLR2B.pdf</v>
      </c>
    </row>
    <row r="269" spans="1:28" x14ac:dyDescent="0.25">
      <c r="A269" t="s">
        <v>273</v>
      </c>
      <c r="B269">
        <v>0.995954080203443</v>
      </c>
      <c r="C269">
        <v>0.79952985465278803</v>
      </c>
      <c r="D269">
        <v>0.56479491581535501</v>
      </c>
      <c r="E269">
        <v>0.62874820368205597</v>
      </c>
      <c r="F269">
        <v>0.32011137174015503</v>
      </c>
      <c r="G269">
        <v>0.15526180279596599</v>
      </c>
      <c r="H269">
        <v>0.16525289092446499</v>
      </c>
      <c r="I269">
        <v>0.101478951088785</v>
      </c>
      <c r="J269">
        <v>0.142098655508303</v>
      </c>
      <c r="K269">
        <v>0.13982036989477301</v>
      </c>
      <c r="L269">
        <v>529.64219111394902</v>
      </c>
      <c r="M269">
        <v>10.880071874969801</v>
      </c>
      <c r="N269">
        <v>49.389106307248902</v>
      </c>
      <c r="O269">
        <v>47.122130182139401</v>
      </c>
      <c r="P269">
        <v>-5.35677670680407E-2</v>
      </c>
      <c r="Q269">
        <v>7.2308174851559506E-2</v>
      </c>
      <c r="R269">
        <v>0.942828812958597</v>
      </c>
      <c r="S269" t="s">
        <v>7075</v>
      </c>
      <c r="T269" t="s">
        <v>13610</v>
      </c>
      <c r="U269" t="s">
        <v>13610</v>
      </c>
      <c r="V269" t="s">
        <v>13610</v>
      </c>
      <c r="W269" t="s">
        <v>13873</v>
      </c>
      <c r="X269">
        <v>3</v>
      </c>
      <c r="Y269" t="s">
        <v>20596</v>
      </c>
      <c r="Z269" t="s">
        <v>27124</v>
      </c>
      <c r="AA269">
        <v>0.38158533648544568</v>
      </c>
      <c r="AB269" t="str">
        <f>HYPERLINK("Melting_Curves/meltCurve_C9J384_CMSS1.pdf", "Melting_Curves/meltCurve_C9J384_CMSS1.pdf")</f>
        <v>Melting_Curves/meltCurve_C9J384_CMSS1.pdf</v>
      </c>
    </row>
    <row r="270" spans="1:28" x14ac:dyDescent="0.25">
      <c r="A270" t="s">
        <v>274</v>
      </c>
      <c r="B270">
        <v>0.995954080203443</v>
      </c>
      <c r="C270">
        <v>0.94799240968307996</v>
      </c>
      <c r="D270">
        <v>0.75026447137831598</v>
      </c>
      <c r="E270">
        <v>1.00828898070552</v>
      </c>
      <c r="F270">
        <v>0.38383301832732503</v>
      </c>
      <c r="G270">
        <v>0.117598474205395</v>
      </c>
      <c r="H270">
        <v>8.1543332029081303E-2</v>
      </c>
      <c r="I270">
        <v>5.6004438133401599E-2</v>
      </c>
      <c r="J270">
        <v>7.9885975753768795E-2</v>
      </c>
      <c r="K270">
        <v>4.4306213391017701E-2</v>
      </c>
      <c r="L270">
        <v>13213.242876410801</v>
      </c>
      <c r="M270">
        <v>250</v>
      </c>
      <c r="N270">
        <v>52.887775778060202</v>
      </c>
      <c r="O270">
        <v>52.849610745891702</v>
      </c>
      <c r="P270">
        <v>-1.09288020250741</v>
      </c>
      <c r="Q270">
        <v>7.5867681587991995E-2</v>
      </c>
      <c r="R270">
        <v>0.95871360503874403</v>
      </c>
      <c r="S270" t="s">
        <v>7076</v>
      </c>
      <c r="T270" t="s">
        <v>13610</v>
      </c>
      <c r="U270" t="s">
        <v>13610</v>
      </c>
      <c r="V270" t="s">
        <v>13610</v>
      </c>
      <c r="W270" t="s">
        <v>13874</v>
      </c>
      <c r="X270">
        <v>2</v>
      </c>
      <c r="Y270" t="s">
        <v>20597</v>
      </c>
      <c r="Z270" t="s">
        <v>27125</v>
      </c>
      <c r="AA270">
        <v>0.47188161240338322</v>
      </c>
      <c r="AB270" t="str">
        <f>HYPERLINK("Melting_Curves/meltCurve_C9J3L8_SSR1.pdf", "Melting_Curves/meltCurve_C9J3L8_SSR1.pdf")</f>
        <v>Melting_Curves/meltCurve_C9J3L8_SSR1.pdf</v>
      </c>
    </row>
    <row r="271" spans="1:28" x14ac:dyDescent="0.25">
      <c r="A271" t="s">
        <v>275</v>
      </c>
      <c r="B271">
        <v>0.995954080203443</v>
      </c>
      <c r="C271">
        <v>0.90946498185485802</v>
      </c>
      <c r="D271">
        <v>1.2449617186353299</v>
      </c>
      <c r="E271">
        <v>0.92177479672006002</v>
      </c>
      <c r="F271">
        <v>1.3395705086426499</v>
      </c>
      <c r="G271">
        <v>1.3762207836118201</v>
      </c>
      <c r="H271">
        <v>1.5630066883520799</v>
      </c>
      <c r="I271">
        <v>2.3903469557260801</v>
      </c>
      <c r="J271">
        <v>2.2095903066332898</v>
      </c>
      <c r="K271">
        <v>2.72372055565714</v>
      </c>
      <c r="L271">
        <v>13210.259293759</v>
      </c>
      <c r="M271">
        <v>250</v>
      </c>
      <c r="O271">
        <v>52.837657316987901</v>
      </c>
      <c r="P271">
        <v>0.59143426449716097</v>
      </c>
      <c r="Q271">
        <v>1.5</v>
      </c>
      <c r="R271">
        <v>0.23925405899327601</v>
      </c>
      <c r="S271" t="s">
        <v>7077</v>
      </c>
      <c r="T271" t="s">
        <v>13610</v>
      </c>
      <c r="U271" t="s">
        <v>13610</v>
      </c>
      <c r="V271" t="s">
        <v>13610</v>
      </c>
      <c r="W271" t="s">
        <v>13875</v>
      </c>
      <c r="X271">
        <v>14</v>
      </c>
      <c r="Y271" t="s">
        <v>20598</v>
      </c>
      <c r="Z271" t="s">
        <v>27126</v>
      </c>
      <c r="AA271">
        <v>1.285936346150476</v>
      </c>
      <c r="AB271" t="str">
        <f>HYPERLINK("Melting_Curves/meltCurve_C9J3R0_RCC1.pdf", "Melting_Curves/meltCurve_C9J3R0_RCC1.pdf")</f>
        <v>Melting_Curves/meltCurve_C9J3R0_RCC1.pdf</v>
      </c>
    </row>
    <row r="272" spans="1:28" x14ac:dyDescent="0.25">
      <c r="A272" t="s">
        <v>276</v>
      </c>
      <c r="B272">
        <v>0.995954080203443</v>
      </c>
      <c r="C272">
        <v>0.948871017020537</v>
      </c>
      <c r="D272">
        <v>0.91847056183620801</v>
      </c>
      <c r="E272">
        <v>0.71870865081562496</v>
      </c>
      <c r="F272">
        <v>0.696226635368973</v>
      </c>
      <c r="G272">
        <v>0.46868305009934103</v>
      </c>
      <c r="H272">
        <v>0.40313759641581298</v>
      </c>
      <c r="I272">
        <v>0.44177068996976898</v>
      </c>
      <c r="J272">
        <v>0.53900763473691704</v>
      </c>
      <c r="K272">
        <v>0.49554608519816301</v>
      </c>
      <c r="L272">
        <v>891.35479714398105</v>
      </c>
      <c r="M272">
        <v>17.6809830766061</v>
      </c>
      <c r="N272">
        <v>58.5841385855908</v>
      </c>
      <c r="O272">
        <v>49.781575588495301</v>
      </c>
      <c r="P272">
        <v>-4.8169150382304099E-2</v>
      </c>
      <c r="Q272">
        <v>0.45753942459754599</v>
      </c>
      <c r="R272">
        <v>0.94773081581125795</v>
      </c>
      <c r="S272" t="s">
        <v>7078</v>
      </c>
      <c r="T272" t="s">
        <v>13610</v>
      </c>
      <c r="U272" t="s">
        <v>13610</v>
      </c>
      <c r="V272" t="s">
        <v>13610</v>
      </c>
      <c r="W272" t="s">
        <v>13876</v>
      </c>
      <c r="X272">
        <v>2</v>
      </c>
      <c r="Y272" t="s">
        <v>20599</v>
      </c>
      <c r="Z272" t="s">
        <v>27127</v>
      </c>
      <c r="AA272">
        <v>0.65534445920156514</v>
      </c>
      <c r="AB272" t="str">
        <f>HYPERLINK("Melting_Curves/meltCurve_C9J3R1_ZNF639.pdf", "Melting_Curves/meltCurve_C9J3R1_ZNF639.pdf")</f>
        <v>Melting_Curves/meltCurve_C9J3R1_ZNF639.pdf</v>
      </c>
    </row>
    <row r="273" spans="1:28" x14ac:dyDescent="0.25">
      <c r="A273" t="s">
        <v>277</v>
      </c>
      <c r="B273">
        <v>0.995954080203443</v>
      </c>
      <c r="C273">
        <v>1.07322072131618</v>
      </c>
      <c r="D273">
        <v>0.97990379327382304</v>
      </c>
      <c r="E273">
        <v>0.93844098064496095</v>
      </c>
      <c r="F273">
        <v>0.65906328151690396</v>
      </c>
      <c r="G273">
        <v>0.28228758315796998</v>
      </c>
      <c r="H273">
        <v>0.12975982248937001</v>
      </c>
      <c r="I273">
        <v>0.119405449862829</v>
      </c>
      <c r="J273">
        <v>0.136781470138607</v>
      </c>
      <c r="K273">
        <v>0.112466950470708</v>
      </c>
      <c r="L273">
        <v>1586.8725197937099</v>
      </c>
      <c r="M273">
        <v>29.416670805200201</v>
      </c>
      <c r="N273">
        <v>54.4364141787851</v>
      </c>
      <c r="O273">
        <v>53.697215397032103</v>
      </c>
      <c r="P273">
        <v>-0.12097726871431599</v>
      </c>
      <c r="Q273">
        <v>0.11667820795608901</v>
      </c>
      <c r="R273">
        <v>0.99571695212460198</v>
      </c>
      <c r="S273" t="s">
        <v>7079</v>
      </c>
      <c r="T273" t="s">
        <v>13610</v>
      </c>
      <c r="U273" t="s">
        <v>13610</v>
      </c>
      <c r="V273" t="s">
        <v>13610</v>
      </c>
      <c r="W273" t="s">
        <v>13877</v>
      </c>
      <c r="X273">
        <v>1</v>
      </c>
      <c r="Y273" t="s">
        <v>20600</v>
      </c>
      <c r="Z273" t="s">
        <v>27128</v>
      </c>
      <c r="AA273">
        <v>0.53328794136174129</v>
      </c>
      <c r="AB273" t="str">
        <f>HYPERLINK("Melting_Curves/meltCurve_C9J3Y0_TMEM98.pdf", "Melting_Curves/meltCurve_C9J3Y0_TMEM98.pdf")</f>
        <v>Melting_Curves/meltCurve_C9J3Y0_TMEM98.pdf</v>
      </c>
    </row>
    <row r="274" spans="1:28" x14ac:dyDescent="0.25">
      <c r="A274" t="s">
        <v>278</v>
      </c>
      <c r="B274">
        <v>0.995954080203443</v>
      </c>
      <c r="C274">
        <v>0.91016889546991198</v>
      </c>
      <c r="D274">
        <v>0.86011028371411902</v>
      </c>
      <c r="E274">
        <v>0.66068776668499896</v>
      </c>
      <c r="F274">
        <v>0.48894893572736797</v>
      </c>
      <c r="G274">
        <v>0.32502966855278198</v>
      </c>
      <c r="H274">
        <v>0.48149548902380601</v>
      </c>
      <c r="I274">
        <v>0.75576069602505302</v>
      </c>
      <c r="J274">
        <v>0.79254604055858402</v>
      </c>
      <c r="K274">
        <v>0.88717307334376905</v>
      </c>
      <c r="L274">
        <v>1628.84318536407</v>
      </c>
      <c r="M274">
        <v>35.1150709873707</v>
      </c>
      <c r="O274">
        <v>46.236211203918103</v>
      </c>
      <c r="P274">
        <v>-7.1462925914493103E-2</v>
      </c>
      <c r="Q274">
        <v>0.62361879706023604</v>
      </c>
      <c r="R274">
        <v>0.42690743819346799</v>
      </c>
      <c r="S274" t="s">
        <v>7080</v>
      </c>
      <c r="T274" t="s">
        <v>13610</v>
      </c>
      <c r="U274" t="s">
        <v>13610</v>
      </c>
      <c r="V274" t="s">
        <v>13610</v>
      </c>
      <c r="W274" t="s">
        <v>13878</v>
      </c>
      <c r="X274">
        <v>5</v>
      </c>
      <c r="Y274" t="s">
        <v>20601</v>
      </c>
      <c r="Z274" t="s">
        <v>27129</v>
      </c>
      <c r="AA274">
        <v>0.70534959538829589</v>
      </c>
      <c r="AB274" t="str">
        <f>HYPERLINK("Melting_Curves/meltCurve_C9J4K0_C2orf49.pdf", "Melting_Curves/meltCurve_C9J4K0_C2orf49.pdf")</f>
        <v>Melting_Curves/meltCurve_C9J4K0_C2orf49.pdf</v>
      </c>
    </row>
    <row r="275" spans="1:28" x14ac:dyDescent="0.25">
      <c r="A275" t="s">
        <v>279</v>
      </c>
      <c r="B275">
        <v>0.995954080203443</v>
      </c>
      <c r="C275">
        <v>1.0409685509406601</v>
      </c>
      <c r="D275">
        <v>0.96409312193589403</v>
      </c>
      <c r="E275">
        <v>0.86522397607351098</v>
      </c>
      <c r="F275">
        <v>0.81241056360811004</v>
      </c>
      <c r="G275">
        <v>0.59823983729663799</v>
      </c>
      <c r="H275">
        <v>0.54863891013231203</v>
      </c>
      <c r="I275">
        <v>0.62188490909953698</v>
      </c>
      <c r="J275">
        <v>0.77364880669528302</v>
      </c>
      <c r="K275">
        <v>0.69138042919549803</v>
      </c>
      <c r="L275">
        <v>1440.6672105529599</v>
      </c>
      <c r="M275">
        <v>27.986421648533199</v>
      </c>
      <c r="O275">
        <v>51.216685280061498</v>
      </c>
      <c r="P275">
        <v>-4.8080772970177398E-2</v>
      </c>
      <c r="Q275">
        <v>0.64804122518204699</v>
      </c>
      <c r="R275">
        <v>0.85314564759035505</v>
      </c>
      <c r="S275" t="s">
        <v>7081</v>
      </c>
      <c r="T275" t="s">
        <v>13610</v>
      </c>
      <c r="U275" t="s">
        <v>13610</v>
      </c>
      <c r="V275" t="s">
        <v>13610</v>
      </c>
      <c r="W275" t="s">
        <v>13879</v>
      </c>
      <c r="X275">
        <v>2</v>
      </c>
      <c r="Y275" t="s">
        <v>20602</v>
      </c>
      <c r="Z275" t="s">
        <v>27130</v>
      </c>
      <c r="AA275">
        <v>0.7852535606446861</v>
      </c>
      <c r="AB275" t="str">
        <f>HYPERLINK("Melting_Curves/meltCurve_C9J4L5_CREB1.pdf", "Melting_Curves/meltCurve_C9J4L5_CREB1.pdf")</f>
        <v>Melting_Curves/meltCurve_C9J4L5_CREB1.pdf</v>
      </c>
    </row>
    <row r="276" spans="1:28" x14ac:dyDescent="0.25">
      <c r="A276" t="s">
        <v>280</v>
      </c>
      <c r="B276">
        <v>0.995954080203443</v>
      </c>
      <c r="C276">
        <v>0.89094599803225805</v>
      </c>
      <c r="D276">
        <v>0.77509452579092097</v>
      </c>
      <c r="E276">
        <v>0.61665150740842301</v>
      </c>
      <c r="F276">
        <v>0.46994322597593202</v>
      </c>
      <c r="G276">
        <v>0.34671570591505002</v>
      </c>
      <c r="H276">
        <v>0.27354218117220402</v>
      </c>
      <c r="I276">
        <v>0.29785800459495099</v>
      </c>
      <c r="J276">
        <v>0.383296096960205</v>
      </c>
      <c r="K276">
        <v>0.32672034121849802</v>
      </c>
      <c r="L276">
        <v>720.14291669883198</v>
      </c>
      <c r="M276">
        <v>14.801641260902</v>
      </c>
      <c r="N276">
        <v>51.897895000253698</v>
      </c>
      <c r="O276">
        <v>47.7907510910618</v>
      </c>
      <c r="P276">
        <v>-5.4064589667480803E-2</v>
      </c>
      <c r="Q276">
        <v>0.30183088853454199</v>
      </c>
      <c r="R276">
        <v>0.979709195529196</v>
      </c>
      <c r="S276" t="s">
        <v>7082</v>
      </c>
      <c r="T276" t="s">
        <v>13610</v>
      </c>
      <c r="U276" t="s">
        <v>13610</v>
      </c>
      <c r="V276" t="s">
        <v>13610</v>
      </c>
      <c r="W276" t="s">
        <v>13880</v>
      </c>
      <c r="X276">
        <v>4</v>
      </c>
      <c r="Y276" t="s">
        <v>20603</v>
      </c>
      <c r="Z276" t="s">
        <v>27131</v>
      </c>
      <c r="AA276">
        <v>0.52111792465673612</v>
      </c>
      <c r="AB276" t="str">
        <f>HYPERLINK("Melting_Curves/meltCurve_C9J4X5_ING2.pdf", "Melting_Curves/meltCurve_C9J4X5_ING2.pdf")</f>
        <v>Melting_Curves/meltCurve_C9J4X5_ING2.pdf</v>
      </c>
    </row>
    <row r="277" spans="1:28" x14ac:dyDescent="0.25">
      <c r="A277" t="s">
        <v>281</v>
      </c>
      <c r="B277">
        <v>0.995954080203443</v>
      </c>
      <c r="C277">
        <v>1.02683687824901</v>
      </c>
      <c r="D277">
        <v>0.97822442310106394</v>
      </c>
      <c r="E277">
        <v>0.83586804036345597</v>
      </c>
      <c r="F277">
        <v>0.743205696807829</v>
      </c>
      <c r="G277">
        <v>0.56270625500940596</v>
      </c>
      <c r="H277">
        <v>0.35758712354852801</v>
      </c>
      <c r="I277">
        <v>0.123144836922437</v>
      </c>
      <c r="J277">
        <v>6.2554294299252897E-2</v>
      </c>
      <c r="K277">
        <v>5.2798328973210899E-2</v>
      </c>
      <c r="L277">
        <v>830.925309798586</v>
      </c>
      <c r="M277">
        <v>14.4923937399879</v>
      </c>
      <c r="N277">
        <v>57.335270162127799</v>
      </c>
      <c r="O277">
        <v>56.276763325063698</v>
      </c>
      <c r="P277">
        <v>-6.4387449966789495E-2</v>
      </c>
      <c r="Q277">
        <v>0</v>
      </c>
      <c r="R277">
        <v>0.98844221387757603</v>
      </c>
      <c r="S277" t="s">
        <v>7083</v>
      </c>
      <c r="T277" t="s">
        <v>13610</v>
      </c>
      <c r="U277" t="s">
        <v>13610</v>
      </c>
      <c r="V277" t="s">
        <v>13610</v>
      </c>
      <c r="W277" t="s">
        <v>13881</v>
      </c>
      <c r="X277">
        <v>11</v>
      </c>
      <c r="Y277" t="s">
        <v>20604</v>
      </c>
      <c r="Z277" t="s">
        <v>27132</v>
      </c>
      <c r="AA277">
        <v>0.59313115028201391</v>
      </c>
      <c r="AB277" t="str">
        <f>HYPERLINK("Melting_Curves/meltCurve_C9J5C3_PDCD10.pdf", "Melting_Curves/meltCurve_C9J5C3_PDCD10.pdf")</f>
        <v>Melting_Curves/meltCurve_C9J5C3_PDCD10.pdf</v>
      </c>
    </row>
    <row r="278" spans="1:28" x14ac:dyDescent="0.25">
      <c r="A278" t="s">
        <v>282</v>
      </c>
      <c r="B278">
        <v>0.995954080203443</v>
      </c>
      <c r="C278">
        <v>0.97851056907108203</v>
      </c>
      <c r="D278">
        <v>0.87446697309626498</v>
      </c>
      <c r="E278">
        <v>0.77046873832774498</v>
      </c>
      <c r="F278">
        <v>0.62009384169235005</v>
      </c>
      <c r="G278">
        <v>0.375112372477935</v>
      </c>
      <c r="H278">
        <v>0.30495205396931602</v>
      </c>
      <c r="I278">
        <v>0.28013626510186901</v>
      </c>
      <c r="J278">
        <v>0.40303806534636299</v>
      </c>
      <c r="K278">
        <v>0.31749147228226099</v>
      </c>
      <c r="L278">
        <v>928.80220702604095</v>
      </c>
      <c r="M278">
        <v>17.952314765065399</v>
      </c>
      <c r="N278">
        <v>54.584486816156797</v>
      </c>
      <c r="O278">
        <v>51.108029413933103</v>
      </c>
      <c r="P278">
        <v>-6.1123317068698099E-2</v>
      </c>
      <c r="Q278">
        <v>0.30399247511306199</v>
      </c>
      <c r="R278">
        <v>0.97574466734946397</v>
      </c>
      <c r="S278" t="s">
        <v>7084</v>
      </c>
      <c r="T278" t="s">
        <v>13610</v>
      </c>
      <c r="U278" t="s">
        <v>13610</v>
      </c>
      <c r="V278" t="s">
        <v>13610</v>
      </c>
      <c r="W278" t="s">
        <v>13882</v>
      </c>
      <c r="X278">
        <v>8</v>
      </c>
      <c r="Y278" t="s">
        <v>20605</v>
      </c>
      <c r="Z278" t="s">
        <v>27133</v>
      </c>
      <c r="AA278">
        <v>0.58797438914980016</v>
      </c>
      <c r="AB278" t="str">
        <f>HYPERLINK("Melting_Curves/meltCurve_C9J5J4_LIN9.pdf", "Melting_Curves/meltCurve_C9J5J4_LIN9.pdf")</f>
        <v>Melting_Curves/meltCurve_C9J5J4_LIN9.pdf</v>
      </c>
    </row>
    <row r="279" spans="1:28" x14ac:dyDescent="0.25">
      <c r="A279" t="s">
        <v>283</v>
      </c>
      <c r="B279">
        <v>0.995954080203443</v>
      </c>
      <c r="C279">
        <v>1.10607904694985</v>
      </c>
      <c r="D279">
        <v>0.75251705147974102</v>
      </c>
      <c r="E279">
        <v>0.75253473552594297</v>
      </c>
      <c r="F279">
        <v>0.41065997300422902</v>
      </c>
      <c r="G279">
        <v>0.23097783306674799</v>
      </c>
      <c r="H279">
        <v>0.148344508570141</v>
      </c>
      <c r="I279">
        <v>0.15526087469034799</v>
      </c>
      <c r="J279">
        <v>0.140581754409427</v>
      </c>
      <c r="K279">
        <v>0.14875923262776899</v>
      </c>
      <c r="L279">
        <v>930.92296507321703</v>
      </c>
      <c r="M279">
        <v>18.134915952427502</v>
      </c>
      <c r="N279">
        <v>52.144575169900897</v>
      </c>
      <c r="O279">
        <v>50.7212026165125</v>
      </c>
      <c r="P279">
        <v>-7.8400575235745396E-2</v>
      </c>
      <c r="Q279">
        <v>0.122933688666897</v>
      </c>
      <c r="R279">
        <v>0.96219281061136297</v>
      </c>
      <c r="S279" t="s">
        <v>7085</v>
      </c>
      <c r="T279" t="s">
        <v>13610</v>
      </c>
      <c r="U279" t="s">
        <v>13610</v>
      </c>
      <c r="V279" t="s">
        <v>13610</v>
      </c>
      <c r="W279" t="s">
        <v>13883</v>
      </c>
      <c r="X279">
        <v>2</v>
      </c>
      <c r="Y279" t="s">
        <v>20606</v>
      </c>
      <c r="Z279" t="s">
        <v>27134</v>
      </c>
      <c r="AA279">
        <v>0.46879172781967388</v>
      </c>
      <c r="AB279" t="str">
        <f>HYPERLINK("Melting_Curves/meltCurve_C9J5W6_TAGLN3.pdf", "Melting_Curves/meltCurve_C9J5W6_TAGLN3.pdf")</f>
        <v>Melting_Curves/meltCurve_C9J5W6_TAGLN3.pdf</v>
      </c>
    </row>
    <row r="280" spans="1:28" x14ac:dyDescent="0.25">
      <c r="A280" t="s">
        <v>284</v>
      </c>
      <c r="B280">
        <v>0.995954080203443</v>
      </c>
      <c r="C280">
        <v>0.86005495870470405</v>
      </c>
      <c r="D280">
        <v>0.60678437297842702</v>
      </c>
      <c r="E280">
        <v>0.71121581600267603</v>
      </c>
      <c r="F280">
        <v>0.45906433567217098</v>
      </c>
      <c r="G280">
        <v>0.29066723345130102</v>
      </c>
      <c r="H280">
        <v>8.5673390663345506E-2</v>
      </c>
      <c r="I280">
        <v>5.12147237022966E-2</v>
      </c>
      <c r="J280">
        <v>7.1796048819844305E-2</v>
      </c>
      <c r="K280">
        <v>3.4176824562872299E-2</v>
      </c>
      <c r="L280">
        <v>539.408453250364</v>
      </c>
      <c r="M280">
        <v>10.4938466173141</v>
      </c>
      <c r="N280">
        <v>51.402339851910199</v>
      </c>
      <c r="O280">
        <v>49.640930157284799</v>
      </c>
      <c r="P280">
        <v>-5.2870133289299799E-2</v>
      </c>
      <c r="Q280">
        <v>0</v>
      </c>
      <c r="R280">
        <v>0.94741454373085299</v>
      </c>
      <c r="S280" t="s">
        <v>7086</v>
      </c>
      <c r="T280" t="s">
        <v>13610</v>
      </c>
      <c r="U280" t="s">
        <v>13610</v>
      </c>
      <c r="V280" t="s">
        <v>13610</v>
      </c>
      <c r="W280" t="s">
        <v>13884</v>
      </c>
      <c r="X280">
        <v>3</v>
      </c>
      <c r="Y280" t="s">
        <v>20607</v>
      </c>
      <c r="Z280" t="s">
        <v>27135</v>
      </c>
      <c r="AA280">
        <v>0.41795821576216602</v>
      </c>
      <c r="AB280" t="str">
        <f>HYPERLINK("Melting_Curves/meltCurve_C9J5X9_FANCB.pdf", "Melting_Curves/meltCurve_C9J5X9_FANCB.pdf")</f>
        <v>Melting_Curves/meltCurve_C9J5X9_FANCB.pdf</v>
      </c>
    </row>
    <row r="281" spans="1:28" x14ac:dyDescent="0.25">
      <c r="A281" t="s">
        <v>285</v>
      </c>
      <c r="B281">
        <v>0.995954080203443</v>
      </c>
      <c r="C281">
        <v>0.99700985454453195</v>
      </c>
      <c r="D281">
        <v>1.11530444349875</v>
      </c>
      <c r="E281">
        <v>0.90176228015049098</v>
      </c>
      <c r="F281">
        <v>1.0897404948917599</v>
      </c>
      <c r="G281">
        <v>0.94473634221791503</v>
      </c>
      <c r="H281">
        <v>0.83838257961120999</v>
      </c>
      <c r="I281">
        <v>0.74308532151840001</v>
      </c>
      <c r="J281">
        <v>0.31932965887275599</v>
      </c>
      <c r="K281">
        <v>0.162625888042945</v>
      </c>
      <c r="L281">
        <v>1853.0337321520201</v>
      </c>
      <c r="M281">
        <v>28.214738904699999</v>
      </c>
      <c r="N281">
        <v>65.676086892453895</v>
      </c>
      <c r="O281">
        <v>65.348827460738903</v>
      </c>
      <c r="P281">
        <v>-0.107939863439191</v>
      </c>
      <c r="Q281">
        <v>0</v>
      </c>
      <c r="R281">
        <v>0.95393085552996904</v>
      </c>
      <c r="S281" t="s">
        <v>7087</v>
      </c>
      <c r="T281" t="s">
        <v>13610</v>
      </c>
      <c r="U281" t="s">
        <v>13610</v>
      </c>
      <c r="V281" t="s">
        <v>13610</v>
      </c>
      <c r="W281" t="s">
        <v>13885</v>
      </c>
      <c r="X281">
        <v>8</v>
      </c>
      <c r="Y281" t="s">
        <v>20608</v>
      </c>
      <c r="Z281" t="s">
        <v>27136</v>
      </c>
      <c r="AA281">
        <v>0.8495916920233334</v>
      </c>
      <c r="AB281" t="str">
        <f>HYPERLINK("Melting_Curves/meltCurve_C9J6N9_UFD1L.pdf", "Melting_Curves/meltCurve_C9J6N9_UFD1L.pdf")</f>
        <v>Melting_Curves/meltCurve_C9J6N9_UFD1L.pdf</v>
      </c>
    </row>
    <row r="282" spans="1:28" x14ac:dyDescent="0.25">
      <c r="A282" t="s">
        <v>286</v>
      </c>
      <c r="B282">
        <v>0.995954080203443</v>
      </c>
      <c r="C282">
        <v>0.97386245525068804</v>
      </c>
      <c r="D282">
        <v>0.61758145993014602</v>
      </c>
      <c r="E282">
        <v>0.44171026083963999</v>
      </c>
      <c r="F282">
        <v>0.190807811484075</v>
      </c>
      <c r="G282">
        <v>0.103407477441851</v>
      </c>
      <c r="H282">
        <v>3.9211815531757101E-2</v>
      </c>
      <c r="I282">
        <v>5.1988219946033802E-2</v>
      </c>
      <c r="J282">
        <v>0</v>
      </c>
      <c r="K282">
        <v>7.81951697510508E-2</v>
      </c>
      <c r="L282">
        <v>809.97568659649301</v>
      </c>
      <c r="M282">
        <v>16.765333303147099</v>
      </c>
      <c r="N282">
        <v>48.491206986759799</v>
      </c>
      <c r="O282">
        <v>47.640869467351301</v>
      </c>
      <c r="P282">
        <v>-8.5348283958269905E-2</v>
      </c>
      <c r="Q282">
        <v>2.9950436144652499E-2</v>
      </c>
      <c r="R282">
        <v>0.98322925672384398</v>
      </c>
      <c r="S282" t="s">
        <v>7088</v>
      </c>
      <c r="T282" t="s">
        <v>13610</v>
      </c>
      <c r="U282" t="s">
        <v>13610</v>
      </c>
      <c r="V282" t="s">
        <v>13610</v>
      </c>
      <c r="W282" t="s">
        <v>13886</v>
      </c>
      <c r="X282">
        <v>34</v>
      </c>
      <c r="Y282" t="s">
        <v>20609</v>
      </c>
      <c r="Z282" t="s">
        <v>27137</v>
      </c>
      <c r="AA282">
        <v>0.31846145521623082</v>
      </c>
      <c r="AB282" t="str">
        <f>HYPERLINK("Melting_Curves/meltCurve_C9J7E5_TNPO3.pdf", "Melting_Curves/meltCurve_C9J7E5_TNPO3.pdf")</f>
        <v>Melting_Curves/meltCurve_C9J7E5_TNPO3.pdf</v>
      </c>
    </row>
    <row r="283" spans="1:28" x14ac:dyDescent="0.25">
      <c r="A283" t="s">
        <v>287</v>
      </c>
      <c r="B283">
        <v>0.995954080203443</v>
      </c>
      <c r="C283">
        <v>1.0084291438417201</v>
      </c>
      <c r="D283">
        <v>0.96920840688162502</v>
      </c>
      <c r="E283">
        <v>1.0649132843500799</v>
      </c>
      <c r="F283">
        <v>0.83837670201007497</v>
      </c>
      <c r="G283">
        <v>0.61139646553620297</v>
      </c>
      <c r="H283">
        <v>0.55451068014285199</v>
      </c>
      <c r="I283">
        <v>0.72744623942362396</v>
      </c>
      <c r="J283">
        <v>0.57552911111782601</v>
      </c>
      <c r="K283">
        <v>0.83080300799214402</v>
      </c>
      <c r="L283">
        <v>13255.2460849661</v>
      </c>
      <c r="M283">
        <v>250</v>
      </c>
      <c r="O283">
        <v>53.017607513797202</v>
      </c>
      <c r="P283">
        <v>-0.40088451673581099</v>
      </c>
      <c r="Q283">
        <v>0.65993709612504503</v>
      </c>
      <c r="R283">
        <v>0.82018746854168401</v>
      </c>
      <c r="S283" t="s">
        <v>7089</v>
      </c>
      <c r="T283" t="s">
        <v>13610</v>
      </c>
      <c r="U283" t="s">
        <v>13610</v>
      </c>
      <c r="V283" t="s">
        <v>13610</v>
      </c>
      <c r="W283" t="s">
        <v>13868</v>
      </c>
      <c r="X283">
        <v>2</v>
      </c>
      <c r="Z283" t="s">
        <v>27138</v>
      </c>
      <c r="AA283">
        <v>0.80756719751659178</v>
      </c>
      <c r="AB283" t="str">
        <f>HYPERLINK("Melting_Curves/meltCurve_C9J7I0_.pdf", "Melting_Curves/meltCurve_C9J7I0_.pdf")</f>
        <v>Melting_Curves/meltCurve_C9J7I0_.pdf</v>
      </c>
    </row>
    <row r="284" spans="1:28" x14ac:dyDescent="0.25">
      <c r="A284" t="s">
        <v>288</v>
      </c>
      <c r="B284">
        <v>0.995954080203443</v>
      </c>
      <c r="C284">
        <v>0.93428135972827597</v>
      </c>
      <c r="D284">
        <v>0.86287479746943296</v>
      </c>
      <c r="E284">
        <v>0.75596908053690903</v>
      </c>
      <c r="F284">
        <v>0.62837973196333197</v>
      </c>
      <c r="G284">
        <v>0.444441572350672</v>
      </c>
      <c r="H284">
        <v>0.36876125931902298</v>
      </c>
      <c r="I284">
        <v>0.33306055967071801</v>
      </c>
      <c r="J284">
        <v>0.416556784926015</v>
      </c>
      <c r="K284">
        <v>0.36698902976119002</v>
      </c>
      <c r="L284">
        <v>719.40108682127197</v>
      </c>
      <c r="M284">
        <v>13.991319468974201</v>
      </c>
      <c r="N284">
        <v>55.855896816472402</v>
      </c>
      <c r="O284">
        <v>50.401466106119798</v>
      </c>
      <c r="P284">
        <v>-4.6121705586463203E-2</v>
      </c>
      <c r="Q284">
        <v>0.33550423685569097</v>
      </c>
      <c r="R284">
        <v>0.98324576800885</v>
      </c>
      <c r="S284" t="s">
        <v>7090</v>
      </c>
      <c r="T284" t="s">
        <v>13610</v>
      </c>
      <c r="U284" t="s">
        <v>13610</v>
      </c>
      <c r="V284" t="s">
        <v>13610</v>
      </c>
      <c r="W284" t="s">
        <v>13887</v>
      </c>
      <c r="X284">
        <v>1</v>
      </c>
      <c r="Y284" t="s">
        <v>20610</v>
      </c>
      <c r="Z284" t="s">
        <v>27139</v>
      </c>
      <c r="AA284">
        <v>0.60530053162507946</v>
      </c>
      <c r="AB284" t="str">
        <f>HYPERLINK("Melting_Curves/meltCurve_C9J8B6_NRCAM.pdf", "Melting_Curves/meltCurve_C9J8B6_NRCAM.pdf")</f>
        <v>Melting_Curves/meltCurve_C9J8B6_NRCAM.pdf</v>
      </c>
    </row>
    <row r="285" spans="1:28" x14ac:dyDescent="0.25">
      <c r="A285" t="s">
        <v>289</v>
      </c>
      <c r="B285">
        <v>0.995954080203443</v>
      </c>
      <c r="C285">
        <v>0.87293585039240795</v>
      </c>
      <c r="D285">
        <v>0.79982233398876201</v>
      </c>
      <c r="E285">
        <v>0.55701983012157796</v>
      </c>
      <c r="F285">
        <v>0.42952039638301998</v>
      </c>
      <c r="G285">
        <v>0.193399012244479</v>
      </c>
      <c r="H285">
        <v>9.6658258225543303E-2</v>
      </c>
      <c r="I285">
        <v>9.6207427746092297E-2</v>
      </c>
      <c r="J285">
        <v>8.8313973851135694E-2</v>
      </c>
      <c r="K285">
        <v>8.3836268840279504E-2</v>
      </c>
      <c r="L285">
        <v>652.40948367757801</v>
      </c>
      <c r="M285">
        <v>12.865218213175501</v>
      </c>
      <c r="N285">
        <v>50.995301347441398</v>
      </c>
      <c r="O285">
        <v>49.532746019624099</v>
      </c>
      <c r="P285">
        <v>-6.2698175761123506E-2</v>
      </c>
      <c r="Q285">
        <v>3.45934241415011E-2</v>
      </c>
      <c r="R285">
        <v>0.99389776814281505</v>
      </c>
      <c r="S285" t="s">
        <v>7091</v>
      </c>
      <c r="T285" t="s">
        <v>13610</v>
      </c>
      <c r="U285" t="s">
        <v>13610</v>
      </c>
      <c r="V285" t="s">
        <v>13610</v>
      </c>
      <c r="W285" t="s">
        <v>13888</v>
      </c>
      <c r="X285">
        <v>4</v>
      </c>
      <c r="Y285" t="s">
        <v>20611</v>
      </c>
      <c r="Z285" t="s">
        <v>27140</v>
      </c>
      <c r="AA285">
        <v>0.40812979769035601</v>
      </c>
      <c r="AB285" t="str">
        <f>HYPERLINK("Melting_Curves/meltCurve_C9J8B8_HDAC10.pdf", "Melting_Curves/meltCurve_C9J8B8_HDAC10.pdf")</f>
        <v>Melting_Curves/meltCurve_C9J8B8_HDAC10.pdf</v>
      </c>
    </row>
    <row r="286" spans="1:28" x14ac:dyDescent="0.25">
      <c r="A286" t="s">
        <v>290</v>
      </c>
      <c r="B286">
        <v>0.995954080203443</v>
      </c>
      <c r="C286">
        <v>1.0760054510221799</v>
      </c>
      <c r="D286">
        <v>1.21937022886605</v>
      </c>
      <c r="E286">
        <v>0.80261636262175395</v>
      </c>
      <c r="F286">
        <v>0.60520502032333501</v>
      </c>
      <c r="G286">
        <v>0.36667245184139602</v>
      </c>
      <c r="H286">
        <v>0.23923210288803301</v>
      </c>
      <c r="I286">
        <v>0.26170335997260702</v>
      </c>
      <c r="J286">
        <v>0.29693536194566</v>
      </c>
      <c r="K286">
        <v>0.26187945968420601</v>
      </c>
      <c r="L286">
        <v>1493.66453032359</v>
      </c>
      <c r="M286">
        <v>28.4104481196599</v>
      </c>
      <c r="N286">
        <v>54.0201178048667</v>
      </c>
      <c r="O286">
        <v>52.316074031532601</v>
      </c>
      <c r="P286">
        <v>-9.9619202473843205E-2</v>
      </c>
      <c r="Q286">
        <v>0.26623573573986298</v>
      </c>
      <c r="R286">
        <v>0.94903824823499106</v>
      </c>
      <c r="S286" t="s">
        <v>7092</v>
      </c>
      <c r="T286" t="s">
        <v>13610</v>
      </c>
      <c r="U286" t="s">
        <v>13610</v>
      </c>
      <c r="V286" t="s">
        <v>13610</v>
      </c>
      <c r="W286" t="s">
        <v>13889</v>
      </c>
      <c r="X286">
        <v>2</v>
      </c>
      <c r="Y286" t="s">
        <v>20612</v>
      </c>
      <c r="Z286" t="s">
        <v>27141</v>
      </c>
      <c r="AA286">
        <v>0.57905498818064738</v>
      </c>
      <c r="AB286" t="str">
        <f>HYPERLINK("Melting_Curves/meltCurve_C9J8L0_CDCA7L.pdf", "Melting_Curves/meltCurve_C9J8L0_CDCA7L.pdf")</f>
        <v>Melting_Curves/meltCurve_C9J8L0_CDCA7L.pdf</v>
      </c>
    </row>
    <row r="287" spans="1:28" x14ac:dyDescent="0.25">
      <c r="A287" t="s">
        <v>291</v>
      </c>
      <c r="B287">
        <v>0.995954080203443</v>
      </c>
      <c r="C287">
        <v>0.838938478593379</v>
      </c>
      <c r="D287">
        <v>0.495734211091376</v>
      </c>
      <c r="E287">
        <v>0.249763852300386</v>
      </c>
      <c r="F287">
        <v>0.118816301662311</v>
      </c>
      <c r="G287">
        <v>6.5099100399396606E-2</v>
      </c>
      <c r="H287">
        <v>3.7089949900778699E-2</v>
      </c>
      <c r="I287">
        <v>2.2578250364254499E-2</v>
      </c>
      <c r="J287">
        <v>2.5600353906243701E-2</v>
      </c>
      <c r="K287">
        <v>2.5918929973490198E-2</v>
      </c>
      <c r="L287">
        <v>879.40681317588701</v>
      </c>
      <c r="M287">
        <v>19.019721573802499</v>
      </c>
      <c r="N287">
        <v>46.389296661390503</v>
      </c>
      <c r="O287">
        <v>45.734524928667902</v>
      </c>
      <c r="P287">
        <v>-0.100816820417403</v>
      </c>
      <c r="Q287">
        <v>3.0347806863845202E-2</v>
      </c>
      <c r="R287">
        <v>0.99533703096794801</v>
      </c>
      <c r="S287" t="s">
        <v>7093</v>
      </c>
      <c r="T287" t="s">
        <v>13610</v>
      </c>
      <c r="U287" t="s">
        <v>13610</v>
      </c>
      <c r="V287" t="s">
        <v>13610</v>
      </c>
      <c r="W287" t="s">
        <v>13890</v>
      </c>
      <c r="X287">
        <v>3</v>
      </c>
      <c r="Y287" t="s">
        <v>20613</v>
      </c>
      <c r="Z287" t="s">
        <v>27142</v>
      </c>
      <c r="AA287">
        <v>0.24845981658586519</v>
      </c>
      <c r="AB287" t="str">
        <f>HYPERLINK("Melting_Curves/meltCurve_C9J8R7_GTPBP10.pdf", "Melting_Curves/meltCurve_C9J8R7_GTPBP10.pdf")</f>
        <v>Melting_Curves/meltCurve_C9J8R7_GTPBP10.pdf</v>
      </c>
    </row>
    <row r="288" spans="1:28" x14ac:dyDescent="0.25">
      <c r="A288" t="s">
        <v>292</v>
      </c>
      <c r="B288">
        <v>0.995954080203443</v>
      </c>
      <c r="C288">
        <v>0.87759413286738197</v>
      </c>
      <c r="D288">
        <v>0.56240075756154895</v>
      </c>
      <c r="E288">
        <v>0.31915769550676198</v>
      </c>
      <c r="F288">
        <v>0.12311111731169599</v>
      </c>
      <c r="G288">
        <v>7.3839680132152793E-2</v>
      </c>
      <c r="H288">
        <v>4.6260392403857903E-2</v>
      </c>
      <c r="I288">
        <v>3.8307266573548798E-2</v>
      </c>
      <c r="J288">
        <v>3.8931709178180403E-2</v>
      </c>
      <c r="K288">
        <v>3.61999218262756E-2</v>
      </c>
      <c r="L288">
        <v>855.08744673422405</v>
      </c>
      <c r="M288">
        <v>18.208535713638302</v>
      </c>
      <c r="N288">
        <v>47.144342681553297</v>
      </c>
      <c r="O288">
        <v>46.4053775323544</v>
      </c>
      <c r="P288">
        <v>-9.4742896445960401E-2</v>
      </c>
      <c r="Q288">
        <v>3.4217213587769198E-2</v>
      </c>
      <c r="R288">
        <v>0.99495285124009902</v>
      </c>
      <c r="S288" t="s">
        <v>7094</v>
      </c>
      <c r="T288" t="s">
        <v>13610</v>
      </c>
      <c r="U288" t="s">
        <v>13610</v>
      </c>
      <c r="V288" t="s">
        <v>13610</v>
      </c>
      <c r="W288" t="s">
        <v>13891</v>
      </c>
      <c r="X288">
        <v>11</v>
      </c>
      <c r="Y288" t="s">
        <v>20614</v>
      </c>
      <c r="Z288" t="s">
        <v>27143</v>
      </c>
      <c r="AA288">
        <v>0.27571443665570478</v>
      </c>
      <c r="AB288" t="str">
        <f>HYPERLINK("Melting_Curves/meltCurve_C9J9K3_RPSA.pdf", "Melting_Curves/meltCurve_C9J9K3_RPSA.pdf")</f>
        <v>Melting_Curves/meltCurve_C9J9K3_RPSA.pdf</v>
      </c>
    </row>
    <row r="289" spans="1:28" x14ac:dyDescent="0.25">
      <c r="A289" t="s">
        <v>293</v>
      </c>
      <c r="B289">
        <v>0.995954080203443</v>
      </c>
      <c r="C289">
        <v>0.92444828759855702</v>
      </c>
      <c r="D289">
        <v>0.70237064711628305</v>
      </c>
      <c r="E289">
        <v>0.92278391429134199</v>
      </c>
      <c r="F289">
        <v>0.35176120792884802</v>
      </c>
      <c r="G289">
        <v>0.165507942300125</v>
      </c>
      <c r="H289">
        <v>9.6669356034031304E-2</v>
      </c>
      <c r="I289">
        <v>9.7593155369886206E-2</v>
      </c>
      <c r="J289">
        <v>0.131479066277117</v>
      </c>
      <c r="K289">
        <v>9.4484383034615399E-2</v>
      </c>
      <c r="L289">
        <v>2787.9318217714599</v>
      </c>
      <c r="M289">
        <v>53.572707327322398</v>
      </c>
      <c r="N289">
        <v>52.294315503837602</v>
      </c>
      <c r="O289">
        <v>51.967791186341699</v>
      </c>
      <c r="P289">
        <v>-0.22817858861704801</v>
      </c>
      <c r="Q289">
        <v>0.114629062708746</v>
      </c>
      <c r="R289">
        <v>0.92948235652769096</v>
      </c>
      <c r="S289" t="s">
        <v>7095</v>
      </c>
      <c r="T289" t="s">
        <v>13610</v>
      </c>
      <c r="U289" t="s">
        <v>13610</v>
      </c>
      <c r="V289" t="s">
        <v>13610</v>
      </c>
      <c r="W289" t="s">
        <v>13892</v>
      </c>
      <c r="X289">
        <v>1</v>
      </c>
      <c r="Y289" t="s">
        <v>20615</v>
      </c>
      <c r="Z289" t="s">
        <v>27144</v>
      </c>
      <c r="AA289">
        <v>0.4717314161810961</v>
      </c>
      <c r="AB289" t="str">
        <f>HYPERLINK("Melting_Curves/meltCurve_C9JA28_SSR3.pdf", "Melting_Curves/meltCurve_C9JA28_SSR3.pdf")</f>
        <v>Melting_Curves/meltCurve_C9JA28_SSR3.pdf</v>
      </c>
    </row>
    <row r="290" spans="1:28" x14ac:dyDescent="0.25">
      <c r="A290" t="s">
        <v>294</v>
      </c>
      <c r="B290">
        <v>0.995954080203443</v>
      </c>
      <c r="C290">
        <v>0.877127609328199</v>
      </c>
      <c r="D290">
        <v>0.92096680055009805</v>
      </c>
      <c r="E290">
        <v>0.67973611955666802</v>
      </c>
      <c r="F290">
        <v>0.73573910288708699</v>
      </c>
      <c r="G290">
        <v>0.61161874340800004</v>
      </c>
      <c r="H290">
        <v>0.65000582950716301</v>
      </c>
      <c r="I290">
        <v>0.91664733940832799</v>
      </c>
      <c r="J290">
        <v>0.97951782197827597</v>
      </c>
      <c r="K290">
        <v>1.00588975649752</v>
      </c>
      <c r="L290">
        <v>1143.3729399592801</v>
      </c>
      <c r="M290">
        <v>26.423959345687098</v>
      </c>
      <c r="O290">
        <v>43.024765154623204</v>
      </c>
      <c r="P290">
        <v>-3.00402876369785E-2</v>
      </c>
      <c r="Q290">
        <v>0.80434993133330401</v>
      </c>
      <c r="R290">
        <v>0.16472734806282799</v>
      </c>
      <c r="S290" t="s">
        <v>7096</v>
      </c>
      <c r="T290" t="s">
        <v>13610</v>
      </c>
      <c r="U290" t="s">
        <v>13610</v>
      </c>
      <c r="V290" t="s">
        <v>13610</v>
      </c>
      <c r="W290" t="s">
        <v>13893</v>
      </c>
      <c r="X290">
        <v>8</v>
      </c>
      <c r="Y290" t="s">
        <v>20616</v>
      </c>
      <c r="Z290" t="s">
        <v>27145</v>
      </c>
      <c r="AA290">
        <v>0.82796456523617545</v>
      </c>
      <c r="AB290" t="str">
        <f>HYPERLINK("Melting_Curves/meltCurve_C9JA69_BBX.pdf", "Melting_Curves/meltCurve_C9JA69_BBX.pdf")</f>
        <v>Melting_Curves/meltCurve_C9JA69_BBX.pdf</v>
      </c>
    </row>
    <row r="291" spans="1:28" x14ac:dyDescent="0.25">
      <c r="A291" t="s">
        <v>295</v>
      </c>
      <c r="B291">
        <v>0.995954080203443</v>
      </c>
      <c r="C291">
        <v>0.87638456523035801</v>
      </c>
      <c r="D291">
        <v>0.88350431997371304</v>
      </c>
      <c r="E291">
        <v>0.759123712207872</v>
      </c>
      <c r="F291">
        <v>0.705927921016965</v>
      </c>
      <c r="G291">
        <v>0.50489018844928502</v>
      </c>
      <c r="H291">
        <v>0.483255127662086</v>
      </c>
      <c r="I291">
        <v>0.57079468909198505</v>
      </c>
      <c r="J291">
        <v>0.69733535151708503</v>
      </c>
      <c r="K291">
        <v>0.44269375303814101</v>
      </c>
      <c r="L291">
        <v>647.70788302098094</v>
      </c>
      <c r="M291">
        <v>13.120549770336799</v>
      </c>
      <c r="O291">
        <v>48.2613877178199</v>
      </c>
      <c r="P291">
        <v>-3.2635594938286799E-2</v>
      </c>
      <c r="Q291">
        <v>0.51990709666269597</v>
      </c>
      <c r="R291">
        <v>0.83007909468026297</v>
      </c>
      <c r="S291" t="s">
        <v>7097</v>
      </c>
      <c r="T291" t="s">
        <v>13610</v>
      </c>
      <c r="U291" t="s">
        <v>13610</v>
      </c>
      <c r="V291" t="s">
        <v>13610</v>
      </c>
      <c r="W291" t="s">
        <v>13894</v>
      </c>
      <c r="X291">
        <v>3</v>
      </c>
      <c r="Y291" t="s">
        <v>20617</v>
      </c>
      <c r="Z291" t="s">
        <v>27146</v>
      </c>
      <c r="AA291">
        <v>0.68464106891555709</v>
      </c>
      <c r="AB291" t="str">
        <f>HYPERLINK("Melting_Curves/meltCurve_C9JAX3_ZNF467.pdf", "Melting_Curves/meltCurve_C9JAX3_ZNF467.pdf")</f>
        <v>Melting_Curves/meltCurve_C9JAX3_ZNF467.pdf</v>
      </c>
    </row>
    <row r="292" spans="1:28" x14ac:dyDescent="0.25">
      <c r="A292" t="s">
        <v>296</v>
      </c>
      <c r="B292">
        <v>0.995954080203443</v>
      </c>
      <c r="C292">
        <v>0.98018433099150704</v>
      </c>
      <c r="D292">
        <v>1.0003918514754699</v>
      </c>
      <c r="E292">
        <v>0.86867889720831104</v>
      </c>
      <c r="F292">
        <v>0.85099825602894397</v>
      </c>
      <c r="G292">
        <v>0.63488117442797698</v>
      </c>
      <c r="H292">
        <v>0.621888539123577</v>
      </c>
      <c r="I292">
        <v>0.788695294083823</v>
      </c>
      <c r="J292">
        <v>0.92608387582060803</v>
      </c>
      <c r="K292">
        <v>0.91645207192962297</v>
      </c>
      <c r="L292">
        <v>1847.38487409249</v>
      </c>
      <c r="M292">
        <v>37.175943912788703</v>
      </c>
      <c r="O292">
        <v>49.549889200035999</v>
      </c>
      <c r="P292">
        <v>-4.0360984189535903E-2</v>
      </c>
      <c r="Q292">
        <v>0.78482035936995298</v>
      </c>
      <c r="R292">
        <v>0.48042107146104801</v>
      </c>
      <c r="S292" t="s">
        <v>7098</v>
      </c>
      <c r="T292" t="s">
        <v>13610</v>
      </c>
      <c r="U292" t="s">
        <v>13610</v>
      </c>
      <c r="V292" t="s">
        <v>13610</v>
      </c>
      <c r="W292" t="s">
        <v>13895</v>
      </c>
      <c r="X292">
        <v>12</v>
      </c>
      <c r="Y292" t="s">
        <v>20618</v>
      </c>
      <c r="Z292" t="s">
        <v>27147</v>
      </c>
      <c r="AA292">
        <v>0.85520247570209562</v>
      </c>
      <c r="AB292" t="str">
        <f>HYPERLINK("Melting_Curves/meltCurve_C9JB13_BSDC1.pdf", "Melting_Curves/meltCurve_C9JB13_BSDC1.pdf")</f>
        <v>Melting_Curves/meltCurve_C9JB13_BSDC1.pdf</v>
      </c>
    </row>
    <row r="293" spans="1:28" x14ac:dyDescent="0.25">
      <c r="A293" t="s">
        <v>297</v>
      </c>
      <c r="B293">
        <v>0.995954080203443</v>
      </c>
      <c r="C293">
        <v>1.1017828699055601</v>
      </c>
      <c r="D293">
        <v>1.0792068102916099</v>
      </c>
      <c r="E293">
        <v>0.89776644563044705</v>
      </c>
      <c r="F293">
        <v>0.83210848690591899</v>
      </c>
      <c r="G293">
        <v>0.58527011868822199</v>
      </c>
      <c r="H293">
        <v>0.57576309360408096</v>
      </c>
      <c r="I293">
        <v>0.66711350699924099</v>
      </c>
      <c r="J293">
        <v>0.85614098528042903</v>
      </c>
      <c r="K293">
        <v>0.737905807282769</v>
      </c>
      <c r="L293">
        <v>1971.94692879436</v>
      </c>
      <c r="M293">
        <v>37.982430067387902</v>
      </c>
      <c r="O293">
        <v>51.774058460776303</v>
      </c>
      <c r="P293">
        <v>-5.7274391459801802E-2</v>
      </c>
      <c r="Q293">
        <v>0.687716649035641</v>
      </c>
      <c r="R293">
        <v>0.762996527311818</v>
      </c>
      <c r="S293" t="s">
        <v>7099</v>
      </c>
      <c r="T293" t="s">
        <v>13610</v>
      </c>
      <c r="U293" t="s">
        <v>13610</v>
      </c>
      <c r="V293" t="s">
        <v>13610</v>
      </c>
      <c r="W293" t="s">
        <v>13896</v>
      </c>
      <c r="X293">
        <v>1</v>
      </c>
      <c r="Y293" t="s">
        <v>20619</v>
      </c>
      <c r="Z293" t="s">
        <v>27148</v>
      </c>
      <c r="AA293">
        <v>0.81301263936614632</v>
      </c>
      <c r="AB293" t="str">
        <f>HYPERLINK("Melting_Curves/meltCurve_C9JCN8_FOSL2.pdf", "Melting_Curves/meltCurve_C9JCN8_FOSL2.pdf")</f>
        <v>Melting_Curves/meltCurve_C9JCN8_FOSL2.pdf</v>
      </c>
    </row>
    <row r="294" spans="1:28" x14ac:dyDescent="0.25">
      <c r="A294" t="s">
        <v>298</v>
      </c>
      <c r="B294">
        <v>0.995954080203443</v>
      </c>
      <c r="C294">
        <v>0.86340367127650597</v>
      </c>
      <c r="D294">
        <v>0.32714214045684897</v>
      </c>
      <c r="E294">
        <v>0.40458489643217099</v>
      </c>
      <c r="F294">
        <v>0.21972919451877301</v>
      </c>
      <c r="G294">
        <v>7.9875090215750302E-2</v>
      </c>
      <c r="H294">
        <v>7.8094011043840506E-2</v>
      </c>
      <c r="I294">
        <v>2.1904210536062702E-2</v>
      </c>
      <c r="J294">
        <v>2.4970282204465601E-2</v>
      </c>
      <c r="K294">
        <v>2.84238359037896E-2</v>
      </c>
      <c r="L294">
        <v>671.28384666104398</v>
      </c>
      <c r="M294">
        <v>14.5025235690911</v>
      </c>
      <c r="N294">
        <v>46.525185466559499</v>
      </c>
      <c r="O294">
        <v>45.433995152816003</v>
      </c>
      <c r="P294">
        <v>-7.6958142092484194E-2</v>
      </c>
      <c r="Q294">
        <v>3.5722918486342098E-2</v>
      </c>
      <c r="R294">
        <v>0.92853477424901698</v>
      </c>
      <c r="S294" t="s">
        <v>7100</v>
      </c>
      <c r="T294" t="s">
        <v>13610</v>
      </c>
      <c r="U294" t="s">
        <v>13610</v>
      </c>
      <c r="V294" t="s">
        <v>13610</v>
      </c>
      <c r="W294" t="s">
        <v>13897</v>
      </c>
      <c r="X294">
        <v>2</v>
      </c>
      <c r="Y294" t="s">
        <v>20620</v>
      </c>
      <c r="Z294" t="s">
        <v>27149</v>
      </c>
      <c r="AA294">
        <v>0.26733885201026658</v>
      </c>
      <c r="AB294" t="str">
        <f>HYPERLINK("Melting_Curves/meltCurve_C9JCR1_SETD6.pdf", "Melting_Curves/meltCurve_C9JCR1_SETD6.pdf")</f>
        <v>Melting_Curves/meltCurve_C9JCR1_SETD6.pdf</v>
      </c>
    </row>
    <row r="295" spans="1:28" x14ac:dyDescent="0.25">
      <c r="A295" t="s">
        <v>299</v>
      </c>
      <c r="B295">
        <v>0.995954080203443</v>
      </c>
      <c r="C295">
        <v>0.73961940321877895</v>
      </c>
      <c r="D295">
        <v>0.40392273197983303</v>
      </c>
      <c r="E295">
        <v>0.33284053426570198</v>
      </c>
      <c r="F295">
        <v>0.24177892470701301</v>
      </c>
      <c r="G295">
        <v>0.16122132090447799</v>
      </c>
      <c r="H295">
        <v>0.13449777093471599</v>
      </c>
      <c r="I295">
        <v>0.151983811677561</v>
      </c>
      <c r="J295">
        <v>0.18475876253038101</v>
      </c>
      <c r="K295">
        <v>0.16729154926370701</v>
      </c>
      <c r="L295">
        <v>940.51017864128801</v>
      </c>
      <c r="M295">
        <v>21.111541329421701</v>
      </c>
      <c r="N295">
        <v>45.472451375103098</v>
      </c>
      <c r="O295">
        <v>44.155632584288703</v>
      </c>
      <c r="P295">
        <v>-9.8704291158716095E-2</v>
      </c>
      <c r="Q295">
        <v>0.17424578809163799</v>
      </c>
      <c r="R295">
        <v>0.97611137776122403</v>
      </c>
      <c r="S295" t="s">
        <v>7101</v>
      </c>
      <c r="T295" t="s">
        <v>13610</v>
      </c>
      <c r="U295" t="s">
        <v>13610</v>
      </c>
      <c r="V295" t="s">
        <v>13610</v>
      </c>
      <c r="W295" t="s">
        <v>13898</v>
      </c>
      <c r="X295">
        <v>24</v>
      </c>
      <c r="Y295" t="s">
        <v>20621</v>
      </c>
      <c r="Z295" t="s">
        <v>27150</v>
      </c>
      <c r="AA295">
        <v>0.31249602003536492</v>
      </c>
      <c r="AB295" t="str">
        <f>HYPERLINK("Melting_Curves/meltCurve_C9JDG0_DIAPH3.pdf", "Melting_Curves/meltCurve_C9JDG0_DIAPH3.pdf")</f>
        <v>Melting_Curves/meltCurve_C9JDG0_DIAPH3.pdf</v>
      </c>
    </row>
    <row r="296" spans="1:28" x14ac:dyDescent="0.25">
      <c r="A296" t="s">
        <v>300</v>
      </c>
      <c r="B296">
        <v>0.995954080203443</v>
      </c>
      <c r="C296">
        <v>0.96781520684758804</v>
      </c>
      <c r="D296">
        <v>0.97988808293506102</v>
      </c>
      <c r="E296">
        <v>0.86934786328911895</v>
      </c>
      <c r="F296">
        <v>0.70262415826214597</v>
      </c>
      <c r="G296">
        <v>0.54510198054917303</v>
      </c>
      <c r="H296">
        <v>0.41548316613310998</v>
      </c>
      <c r="I296">
        <v>0.49858533484986101</v>
      </c>
      <c r="J296">
        <v>0.53412047786172501</v>
      </c>
      <c r="K296">
        <v>0.62649671873359802</v>
      </c>
      <c r="L296">
        <v>1543.1973727331299</v>
      </c>
      <c r="M296">
        <v>29.7487937139156</v>
      </c>
      <c r="O296">
        <v>51.641569969754897</v>
      </c>
      <c r="P296">
        <v>-6.9407321903516603E-2</v>
      </c>
      <c r="Q296">
        <v>0.51806057954685703</v>
      </c>
      <c r="R296">
        <v>0.94214244685007997</v>
      </c>
      <c r="S296" t="s">
        <v>7102</v>
      </c>
      <c r="T296" t="s">
        <v>13610</v>
      </c>
      <c r="U296" t="s">
        <v>13610</v>
      </c>
      <c r="V296" t="s">
        <v>13610</v>
      </c>
      <c r="W296" t="s">
        <v>13899</v>
      </c>
      <c r="X296">
        <v>2</v>
      </c>
      <c r="Y296" t="s">
        <v>20622</v>
      </c>
      <c r="Z296" t="s">
        <v>27151</v>
      </c>
      <c r="AA296">
        <v>0.71194168318097606</v>
      </c>
      <c r="AB296" t="str">
        <f>HYPERLINK("Melting_Curves/meltCurve_C9JE12_TMUB1.pdf", "Melting_Curves/meltCurve_C9JE12_TMUB1.pdf")</f>
        <v>Melting_Curves/meltCurve_C9JE12_TMUB1.pdf</v>
      </c>
    </row>
    <row r="297" spans="1:28" x14ac:dyDescent="0.25">
      <c r="A297" t="s">
        <v>301</v>
      </c>
      <c r="B297">
        <v>0.995954080203443</v>
      </c>
      <c r="C297">
        <v>0.90825415760833705</v>
      </c>
      <c r="D297">
        <v>0.974495528399836</v>
      </c>
      <c r="E297">
        <v>0.84073395962401098</v>
      </c>
      <c r="F297">
        <v>0.85672997356935199</v>
      </c>
      <c r="G297">
        <v>0.64142212560634104</v>
      </c>
      <c r="H297">
        <v>0.59348256548670597</v>
      </c>
      <c r="I297">
        <v>0.71960233728245304</v>
      </c>
      <c r="J297">
        <v>0.84841785314348095</v>
      </c>
      <c r="K297">
        <v>0.83628430891780203</v>
      </c>
      <c r="L297">
        <v>1141.6394114602499</v>
      </c>
      <c r="M297">
        <v>23.017447161319701</v>
      </c>
      <c r="O297">
        <v>49.229046273908601</v>
      </c>
      <c r="P297">
        <v>-3.0922485721292799E-2</v>
      </c>
      <c r="Q297">
        <v>0.73546048608739201</v>
      </c>
      <c r="R297">
        <v>0.56961684422736503</v>
      </c>
      <c r="S297" t="s">
        <v>7103</v>
      </c>
      <c r="T297" t="s">
        <v>13610</v>
      </c>
      <c r="U297" t="s">
        <v>13610</v>
      </c>
      <c r="V297" t="s">
        <v>13610</v>
      </c>
      <c r="W297" t="s">
        <v>13900</v>
      </c>
      <c r="X297">
        <v>50</v>
      </c>
      <c r="Y297" t="s">
        <v>20623</v>
      </c>
      <c r="Z297" t="s">
        <v>27152</v>
      </c>
      <c r="AA297">
        <v>0.82288741587993142</v>
      </c>
      <c r="AB297" t="str">
        <f>HYPERLINK("Melting_Curves/meltCurve_C9JE98_NCOR2.pdf", "Melting_Curves/meltCurve_C9JE98_NCOR2.pdf")</f>
        <v>Melting_Curves/meltCurve_C9JE98_NCOR2.pdf</v>
      </c>
    </row>
    <row r="298" spans="1:28" x14ac:dyDescent="0.25">
      <c r="A298" t="s">
        <v>302</v>
      </c>
      <c r="B298">
        <v>0.995954080203443</v>
      </c>
      <c r="C298">
        <v>0.82148197396822598</v>
      </c>
      <c r="D298">
        <v>0.71021999859776597</v>
      </c>
      <c r="E298">
        <v>0.82052153602111799</v>
      </c>
      <c r="F298">
        <v>0.61921759170531498</v>
      </c>
      <c r="G298">
        <v>0.28438927969934202</v>
      </c>
      <c r="H298">
        <v>9.99122065892456E-2</v>
      </c>
      <c r="I298">
        <v>8.42705820148726E-2</v>
      </c>
      <c r="J298">
        <v>9.1472279135916504E-2</v>
      </c>
      <c r="K298">
        <v>8.7173960729365493E-2</v>
      </c>
      <c r="L298">
        <v>640.71444342505197</v>
      </c>
      <c r="M298">
        <v>11.971478428261699</v>
      </c>
      <c r="N298">
        <v>53.520075781698402</v>
      </c>
      <c r="O298">
        <v>52.0922789252512</v>
      </c>
      <c r="P298">
        <v>-5.74672070469706E-2</v>
      </c>
      <c r="Q298">
        <v>0</v>
      </c>
      <c r="R298">
        <v>0.93470955781958498</v>
      </c>
      <c r="S298" t="s">
        <v>7104</v>
      </c>
      <c r="T298" t="s">
        <v>13610</v>
      </c>
      <c r="U298" t="s">
        <v>13610</v>
      </c>
      <c r="V298" t="s">
        <v>13610</v>
      </c>
      <c r="W298" t="s">
        <v>13901</v>
      </c>
      <c r="X298">
        <v>25</v>
      </c>
      <c r="Y298" t="s">
        <v>20624</v>
      </c>
      <c r="Z298" t="s">
        <v>27153</v>
      </c>
      <c r="AA298">
        <v>0.47801593299907802</v>
      </c>
      <c r="AB298" t="str">
        <f>HYPERLINK("Melting_Curves/meltCurve_C9JFE4_GPS1.pdf", "Melting_Curves/meltCurve_C9JFE4_GPS1.pdf")</f>
        <v>Melting_Curves/meltCurve_C9JFE4_GPS1.pdf</v>
      </c>
    </row>
    <row r="299" spans="1:28" x14ac:dyDescent="0.25">
      <c r="A299" t="s">
        <v>303</v>
      </c>
      <c r="B299">
        <v>0.995954080203443</v>
      </c>
      <c r="C299">
        <v>0.68099072096866897</v>
      </c>
      <c r="D299">
        <v>0.70920437776837997</v>
      </c>
      <c r="E299">
        <v>0.64257326744738497</v>
      </c>
      <c r="F299">
        <v>0.73492893759356004</v>
      </c>
      <c r="G299">
        <v>0.71772636282258895</v>
      </c>
      <c r="H299">
        <v>0.66854674310264794</v>
      </c>
      <c r="I299">
        <v>0.89664090024917997</v>
      </c>
      <c r="J299">
        <v>1.0891840568972999</v>
      </c>
      <c r="K299">
        <v>1.0940569854065501</v>
      </c>
      <c r="L299">
        <v>10154.336288496799</v>
      </c>
      <c r="M299">
        <v>250</v>
      </c>
      <c r="O299">
        <v>40.614746142991599</v>
      </c>
      <c r="P299">
        <v>-0.301981791517064</v>
      </c>
      <c r="Q299">
        <v>0.80376138050335799</v>
      </c>
      <c r="R299">
        <v>0.115420393913455</v>
      </c>
      <c r="S299" t="s">
        <v>7105</v>
      </c>
      <c r="T299" t="s">
        <v>13610</v>
      </c>
      <c r="U299" t="s">
        <v>13610</v>
      </c>
      <c r="V299" t="s">
        <v>13610</v>
      </c>
      <c r="W299" t="s">
        <v>13902</v>
      </c>
      <c r="X299">
        <v>15</v>
      </c>
      <c r="Y299" t="s">
        <v>20625</v>
      </c>
      <c r="Z299" t="s">
        <v>27154</v>
      </c>
      <c r="AA299">
        <v>0.80783495557856055</v>
      </c>
      <c r="AB299" t="str">
        <f>HYPERLINK("Melting_Curves/meltCurve_C9JFK9_BAG3.pdf", "Melting_Curves/meltCurve_C9JFK9_BAG3.pdf")</f>
        <v>Melting_Curves/meltCurve_C9JFK9_BAG3.pdf</v>
      </c>
    </row>
    <row r="300" spans="1:28" x14ac:dyDescent="0.25">
      <c r="A300" t="s">
        <v>304</v>
      </c>
      <c r="B300">
        <v>0.995954080203443</v>
      </c>
      <c r="C300">
        <v>1.0207259917231699</v>
      </c>
      <c r="D300">
        <v>1.00282410202911</v>
      </c>
      <c r="E300">
        <v>0.98130079907197298</v>
      </c>
      <c r="F300">
        <v>0.699203104207478</v>
      </c>
      <c r="G300">
        <v>0.40535634620997901</v>
      </c>
      <c r="H300">
        <v>0.26803000717172798</v>
      </c>
      <c r="I300">
        <v>0.22690076401349399</v>
      </c>
      <c r="J300">
        <v>0.24383973900664299</v>
      </c>
      <c r="K300">
        <v>0.24131974191977101</v>
      </c>
      <c r="L300">
        <v>1558.0193669139601</v>
      </c>
      <c r="M300">
        <v>28.792088425569599</v>
      </c>
      <c r="N300">
        <v>55.353530718009402</v>
      </c>
      <c r="O300">
        <v>53.853736607174802</v>
      </c>
      <c r="P300">
        <v>-0.101879490755396</v>
      </c>
      <c r="Q300">
        <v>0.23776989336392401</v>
      </c>
      <c r="R300">
        <v>0.99610345842973003</v>
      </c>
      <c r="S300" t="s">
        <v>7106</v>
      </c>
      <c r="T300" t="s">
        <v>13610</v>
      </c>
      <c r="U300" t="s">
        <v>13610</v>
      </c>
      <c r="V300" t="s">
        <v>13610</v>
      </c>
      <c r="W300" t="s">
        <v>13903</v>
      </c>
      <c r="X300">
        <v>4</v>
      </c>
      <c r="Y300" t="s">
        <v>20626</v>
      </c>
      <c r="Z300" t="s">
        <v>27155</v>
      </c>
      <c r="AA300">
        <v>0.60176600001347991</v>
      </c>
      <c r="AB300" t="str">
        <f>HYPERLINK("Melting_Curves/meltCurve_C9JFM5_STX4.pdf", "Melting_Curves/meltCurve_C9JFM5_STX4.pdf")</f>
        <v>Melting_Curves/meltCurve_C9JFM5_STX4.pdf</v>
      </c>
    </row>
    <row r="301" spans="1:28" x14ac:dyDescent="0.25">
      <c r="A301" t="s">
        <v>305</v>
      </c>
      <c r="B301">
        <v>0.995954080203443</v>
      </c>
      <c r="C301">
        <v>1.1011515422824101</v>
      </c>
      <c r="D301">
        <v>1.3387590521680199</v>
      </c>
      <c r="E301">
        <v>1.1297430159545501</v>
      </c>
      <c r="F301">
        <v>1.2395621042529099</v>
      </c>
      <c r="G301">
        <v>1.2236812756605799</v>
      </c>
      <c r="H301">
        <v>1.14839546293221</v>
      </c>
      <c r="I301">
        <v>1.3346357399643001</v>
      </c>
      <c r="J301">
        <v>1.6524293445645499</v>
      </c>
      <c r="K301">
        <v>1.57724174870157</v>
      </c>
      <c r="L301">
        <v>363.64341265621601</v>
      </c>
      <c r="M301">
        <v>6.9042219775324698</v>
      </c>
      <c r="O301">
        <v>48.783116959302703</v>
      </c>
      <c r="P301">
        <v>1.7725611040708099E-2</v>
      </c>
      <c r="Q301">
        <v>1.5</v>
      </c>
      <c r="R301">
        <v>0.51284264821132697</v>
      </c>
      <c r="S301" t="s">
        <v>7107</v>
      </c>
      <c r="T301" t="s">
        <v>13610</v>
      </c>
      <c r="U301" t="s">
        <v>13610</v>
      </c>
      <c r="V301" t="s">
        <v>13610</v>
      </c>
      <c r="W301" t="s">
        <v>13904</v>
      </c>
      <c r="X301">
        <v>13</v>
      </c>
      <c r="Y301" t="s">
        <v>20627</v>
      </c>
      <c r="Z301" t="s">
        <v>27156</v>
      </c>
      <c r="AA301">
        <v>1.2651849546166349</v>
      </c>
      <c r="AB301" t="str">
        <f>HYPERLINK("Melting_Curves/meltCurve_C9JFR7_CYCS.pdf", "Melting_Curves/meltCurve_C9JFR7_CYCS.pdf")</f>
        <v>Melting_Curves/meltCurve_C9JFR7_CYCS.pdf</v>
      </c>
    </row>
    <row r="302" spans="1:28" x14ac:dyDescent="0.25">
      <c r="A302" t="s">
        <v>306</v>
      </c>
      <c r="B302">
        <v>0.995954080203443</v>
      </c>
      <c r="C302">
        <v>0.92339328162075596</v>
      </c>
      <c r="D302">
        <v>1.25017953880762</v>
      </c>
      <c r="E302">
        <v>0.91463190471834099</v>
      </c>
      <c r="F302">
        <v>1.359398712493</v>
      </c>
      <c r="G302">
        <v>1.2571126564216</v>
      </c>
      <c r="H302">
        <v>1.40373834272653</v>
      </c>
      <c r="I302">
        <v>1.7962756702902101</v>
      </c>
      <c r="J302">
        <v>1.92300882204598</v>
      </c>
      <c r="K302">
        <v>2.19995113511402</v>
      </c>
      <c r="L302">
        <v>1449.7578047787899</v>
      </c>
      <c r="M302">
        <v>27.155027690833201</v>
      </c>
      <c r="O302">
        <v>53.101184833367398</v>
      </c>
      <c r="P302">
        <v>6.39234653953617E-2</v>
      </c>
      <c r="Q302">
        <v>1.5</v>
      </c>
      <c r="R302">
        <v>0.48065344915499097</v>
      </c>
      <c r="S302" t="s">
        <v>7108</v>
      </c>
      <c r="T302" t="s">
        <v>13610</v>
      </c>
      <c r="U302" t="s">
        <v>13610</v>
      </c>
      <c r="V302" t="s">
        <v>13610</v>
      </c>
      <c r="W302" t="s">
        <v>13905</v>
      </c>
      <c r="X302">
        <v>4</v>
      </c>
      <c r="Y302" t="s">
        <v>20628</v>
      </c>
      <c r="Z302" t="s">
        <v>27157</v>
      </c>
      <c r="AA302">
        <v>1.272913570137322</v>
      </c>
      <c r="AB302" t="str">
        <f>HYPERLINK("Melting_Curves/meltCurve_C9JG15_ATAD2B.pdf", "Melting_Curves/meltCurve_C9JG15_ATAD2B.pdf")</f>
        <v>Melting_Curves/meltCurve_C9JG15_ATAD2B.pdf</v>
      </c>
    </row>
    <row r="303" spans="1:28" x14ac:dyDescent="0.25">
      <c r="A303" t="s">
        <v>307</v>
      </c>
      <c r="B303">
        <v>0.995954080203443</v>
      </c>
      <c r="C303">
        <v>1.0208189767057601</v>
      </c>
      <c r="D303">
        <v>1.06114180133924</v>
      </c>
      <c r="E303">
        <v>0.88163290992894305</v>
      </c>
      <c r="F303">
        <v>0.89101797268415595</v>
      </c>
      <c r="G303">
        <v>0.70379622255749597</v>
      </c>
      <c r="H303">
        <v>0.29568081538708801</v>
      </c>
      <c r="I303">
        <v>0.14589477668540601</v>
      </c>
      <c r="J303">
        <v>0.144384603679337</v>
      </c>
      <c r="K303">
        <v>0.13694501378761001</v>
      </c>
      <c r="L303">
        <v>1459.3381348014</v>
      </c>
      <c r="M303">
        <v>25.094220809613802</v>
      </c>
      <c r="N303">
        <v>58.677395418562703</v>
      </c>
      <c r="O303">
        <v>57.788817424625499</v>
      </c>
      <c r="P303">
        <v>-9.7681276244504706E-2</v>
      </c>
      <c r="Q303">
        <v>0.100221418469696</v>
      </c>
      <c r="R303">
        <v>0.98565292331045695</v>
      </c>
      <c r="S303" t="s">
        <v>7109</v>
      </c>
      <c r="T303" t="s">
        <v>13610</v>
      </c>
      <c r="U303" t="s">
        <v>13610</v>
      </c>
      <c r="V303" t="s">
        <v>13610</v>
      </c>
      <c r="W303" t="s">
        <v>13906</v>
      </c>
      <c r="X303">
        <v>11</v>
      </c>
      <c r="Y303" t="s">
        <v>20629</v>
      </c>
      <c r="Z303" t="s">
        <v>27158</v>
      </c>
      <c r="AA303">
        <v>0.65244746411328924</v>
      </c>
      <c r="AB303" t="str">
        <f>HYPERLINK("Melting_Curves/meltCurve_C9JG97_AAMP.pdf", "Melting_Curves/meltCurve_C9JG97_AAMP.pdf")</f>
        <v>Melting_Curves/meltCurve_C9JG97_AAMP.pdf</v>
      </c>
    </row>
    <row r="304" spans="1:28" x14ac:dyDescent="0.25">
      <c r="A304" t="s">
        <v>308</v>
      </c>
      <c r="B304">
        <v>0.995954080203443</v>
      </c>
      <c r="C304">
        <v>1.6796021302587101</v>
      </c>
      <c r="D304">
        <v>0.66318492332837997</v>
      </c>
      <c r="E304">
        <v>0.62293086960897304</v>
      </c>
      <c r="F304">
        <v>0.45243823501721903</v>
      </c>
      <c r="G304">
        <v>0.30477886553109501</v>
      </c>
      <c r="H304">
        <v>0.26556488746895501</v>
      </c>
      <c r="I304">
        <v>0.30352833136313101</v>
      </c>
      <c r="J304">
        <v>0.392412920521306</v>
      </c>
      <c r="K304">
        <v>0.23500926428673399</v>
      </c>
      <c r="L304">
        <v>1219.7784404302499</v>
      </c>
      <c r="M304">
        <v>24.743454661443501</v>
      </c>
      <c r="N304">
        <v>51.211873609592999</v>
      </c>
      <c r="O304">
        <v>48.978409272361702</v>
      </c>
      <c r="P304">
        <v>-8.8186084847234003E-2</v>
      </c>
      <c r="Q304">
        <v>0.301770432313476</v>
      </c>
      <c r="R304">
        <v>0.69156678617902001</v>
      </c>
      <c r="S304" t="s">
        <v>7110</v>
      </c>
      <c r="T304" t="s">
        <v>13610</v>
      </c>
      <c r="U304" t="s">
        <v>13610</v>
      </c>
      <c r="V304" t="s">
        <v>13610</v>
      </c>
      <c r="W304" t="s">
        <v>13907</v>
      </c>
      <c r="X304">
        <v>1</v>
      </c>
      <c r="Y304" t="s">
        <v>20630</v>
      </c>
      <c r="Z304" t="s">
        <v>27159</v>
      </c>
      <c r="AA304">
        <v>0.52448479386152003</v>
      </c>
      <c r="AB304" t="str">
        <f>HYPERLINK("Melting_Curves/meltCurve_C9JHB1_ZSCAN31.pdf", "Melting_Curves/meltCurve_C9JHB1_ZSCAN31.pdf")</f>
        <v>Melting_Curves/meltCurve_C9JHB1_ZSCAN31.pdf</v>
      </c>
    </row>
    <row r="305" spans="1:28" x14ac:dyDescent="0.25">
      <c r="A305" t="s">
        <v>309</v>
      </c>
      <c r="B305">
        <v>0.995954080203443</v>
      </c>
      <c r="C305">
        <v>1.0435995889454499</v>
      </c>
      <c r="D305">
        <v>0.91937170630435305</v>
      </c>
      <c r="E305">
        <v>0.66849397397110499</v>
      </c>
      <c r="F305">
        <v>0.45895447475684997</v>
      </c>
      <c r="G305">
        <v>0.30400391068419802</v>
      </c>
      <c r="H305">
        <v>0.24854161348645901</v>
      </c>
      <c r="I305">
        <v>0.23344109271969901</v>
      </c>
      <c r="J305">
        <v>0.29403999141431503</v>
      </c>
      <c r="K305">
        <v>0.22753309355463999</v>
      </c>
      <c r="L305">
        <v>1138.5538939400001</v>
      </c>
      <c r="M305">
        <v>22.483048840397</v>
      </c>
      <c r="N305">
        <v>52.2088650437586</v>
      </c>
      <c r="O305">
        <v>50.245026739506699</v>
      </c>
      <c r="P305">
        <v>-8.4403527451372903E-2</v>
      </c>
      <c r="Q305">
        <v>0.245516805968373</v>
      </c>
      <c r="R305">
        <v>0.99368858865688703</v>
      </c>
      <c r="S305" t="s">
        <v>7111</v>
      </c>
      <c r="T305" t="s">
        <v>13610</v>
      </c>
      <c r="U305" t="s">
        <v>13610</v>
      </c>
      <c r="V305" t="s">
        <v>13610</v>
      </c>
      <c r="W305" t="s">
        <v>13908</v>
      </c>
      <c r="X305">
        <v>4</v>
      </c>
      <c r="Y305" t="s">
        <v>20631</v>
      </c>
      <c r="Z305" t="s">
        <v>27160</v>
      </c>
      <c r="AA305">
        <v>0.52148673227728493</v>
      </c>
      <c r="AB305" t="str">
        <f>HYPERLINK("Melting_Curves/meltCurve_C9JIE5_EP400NL.pdf", "Melting_Curves/meltCurve_C9JIE5_EP400NL.pdf")</f>
        <v>Melting_Curves/meltCurve_C9JIE5_EP400NL.pdf</v>
      </c>
    </row>
    <row r="306" spans="1:28" x14ac:dyDescent="0.25">
      <c r="A306" t="s">
        <v>310</v>
      </c>
      <c r="B306">
        <v>0.995954080203443</v>
      </c>
      <c r="C306">
        <v>0.89962510162005804</v>
      </c>
      <c r="D306">
        <v>0.73371465991434504</v>
      </c>
      <c r="E306">
        <v>0.70225098209194503</v>
      </c>
      <c r="F306">
        <v>0.62363947271068498</v>
      </c>
      <c r="G306">
        <v>0.331773744012894</v>
      </c>
      <c r="H306">
        <v>0.123120807210354</v>
      </c>
      <c r="I306">
        <v>8.9599878103348907E-2</v>
      </c>
      <c r="J306">
        <v>9.8767378703459599E-2</v>
      </c>
      <c r="K306">
        <v>9.4854696156266599E-2</v>
      </c>
      <c r="L306">
        <v>582.95389830645502</v>
      </c>
      <c r="M306">
        <v>10.9325966195257</v>
      </c>
      <c r="N306">
        <v>53.322545944606901</v>
      </c>
      <c r="O306">
        <v>51.631555921349197</v>
      </c>
      <c r="P306">
        <v>-5.2953909959959397E-2</v>
      </c>
      <c r="Q306">
        <v>0</v>
      </c>
      <c r="R306">
        <v>0.96849095424771303</v>
      </c>
      <c r="S306" t="s">
        <v>7112</v>
      </c>
      <c r="T306" t="s">
        <v>13610</v>
      </c>
      <c r="U306" t="s">
        <v>13610</v>
      </c>
      <c r="V306" t="s">
        <v>13610</v>
      </c>
      <c r="W306" t="s">
        <v>13909</v>
      </c>
      <c r="X306">
        <v>3</v>
      </c>
      <c r="Y306" t="s">
        <v>20632</v>
      </c>
      <c r="Z306" t="s">
        <v>27161</v>
      </c>
      <c r="AA306">
        <v>0.47453090050446328</v>
      </c>
      <c r="AB306" t="str">
        <f>HYPERLINK("Melting_Curves/meltCurve_C9JIM0_PBLD.pdf", "Melting_Curves/meltCurve_C9JIM0_PBLD.pdf")</f>
        <v>Melting_Curves/meltCurve_C9JIM0_PBLD.pdf</v>
      </c>
    </row>
    <row r="307" spans="1:28" x14ac:dyDescent="0.25">
      <c r="A307" t="s">
        <v>311</v>
      </c>
      <c r="B307">
        <v>0.995954080203443</v>
      </c>
      <c r="C307">
        <v>0.85731855701972404</v>
      </c>
      <c r="D307">
        <v>0.71144400710130695</v>
      </c>
      <c r="E307">
        <v>0.75515345574054504</v>
      </c>
      <c r="F307">
        <v>0.27913643077046302</v>
      </c>
      <c r="G307">
        <v>0.123989044613853</v>
      </c>
      <c r="H307">
        <v>8.9603728682262906E-2</v>
      </c>
      <c r="I307">
        <v>7.1933715722285005E-2</v>
      </c>
      <c r="J307">
        <v>9.4547675996668204E-2</v>
      </c>
      <c r="K307">
        <v>8.1802323109068695E-2</v>
      </c>
      <c r="L307">
        <v>726.41560948476103</v>
      </c>
      <c r="M307">
        <v>14.3518187643954</v>
      </c>
      <c r="N307">
        <v>50.836766231669998</v>
      </c>
      <c r="O307">
        <v>49.6626210530628</v>
      </c>
      <c r="P307">
        <v>-7.0061625882618994E-2</v>
      </c>
      <c r="Q307">
        <v>3.0359507973924098E-2</v>
      </c>
      <c r="R307">
        <v>0.94521166630166698</v>
      </c>
      <c r="S307" t="s">
        <v>7113</v>
      </c>
      <c r="T307" t="s">
        <v>13610</v>
      </c>
      <c r="U307" t="s">
        <v>13610</v>
      </c>
      <c r="V307" t="s">
        <v>13610</v>
      </c>
      <c r="W307" t="s">
        <v>13910</v>
      </c>
      <c r="X307">
        <v>4</v>
      </c>
      <c r="Y307" t="s">
        <v>20633</v>
      </c>
      <c r="Z307" t="s">
        <v>27162</v>
      </c>
      <c r="AA307">
        <v>0.39786998637181897</v>
      </c>
      <c r="AB307" t="str">
        <f>HYPERLINK("Melting_Curves/meltCurve_C9JIS1_GNB2.pdf", "Melting_Curves/meltCurve_C9JIS1_GNB2.pdf")</f>
        <v>Melting_Curves/meltCurve_C9JIS1_GNB2.pdf</v>
      </c>
    </row>
    <row r="308" spans="1:28" x14ac:dyDescent="0.25">
      <c r="A308" t="s">
        <v>312</v>
      </c>
      <c r="B308">
        <v>0.995954080203443</v>
      </c>
      <c r="C308">
        <v>0.99359690810435197</v>
      </c>
      <c r="D308">
        <v>0.80461062767250302</v>
      </c>
      <c r="E308">
        <v>0.57913680812408197</v>
      </c>
      <c r="F308">
        <v>0.30750630164526999</v>
      </c>
      <c r="G308">
        <v>0.21945669394933701</v>
      </c>
      <c r="H308">
        <v>0.10408042199822901</v>
      </c>
      <c r="I308">
        <v>7.4399793478959406E-2</v>
      </c>
      <c r="J308">
        <v>7.4798651069873698E-2</v>
      </c>
      <c r="K308">
        <v>7.4229753543016294E-2</v>
      </c>
      <c r="L308">
        <v>839.95989385522796</v>
      </c>
      <c r="M308">
        <v>16.7003235117663</v>
      </c>
      <c r="N308">
        <v>50.7048940084508</v>
      </c>
      <c r="O308">
        <v>49.591459425849898</v>
      </c>
      <c r="P308">
        <v>-7.88911211499084E-2</v>
      </c>
      <c r="Q308">
        <v>6.2996208927159403E-2</v>
      </c>
      <c r="R308">
        <v>0.99490777658483698</v>
      </c>
      <c r="S308" t="s">
        <v>7114</v>
      </c>
      <c r="T308" t="s">
        <v>13610</v>
      </c>
      <c r="U308" t="s">
        <v>13610</v>
      </c>
      <c r="V308" t="s">
        <v>13610</v>
      </c>
      <c r="W308" t="s">
        <v>13911</v>
      </c>
      <c r="X308">
        <v>1</v>
      </c>
      <c r="Y308" t="s">
        <v>20634</v>
      </c>
      <c r="Z308" t="s">
        <v>27163</v>
      </c>
      <c r="AA308">
        <v>0.40285913578524352</v>
      </c>
      <c r="AB308" t="str">
        <f>HYPERLINK("Melting_Curves/meltCurve_C9JJM7_HACL1.pdf", "Melting_Curves/meltCurve_C9JJM7_HACL1.pdf")</f>
        <v>Melting_Curves/meltCurve_C9JJM7_HACL1.pdf</v>
      </c>
    </row>
    <row r="309" spans="1:28" x14ac:dyDescent="0.25">
      <c r="A309" t="s">
        <v>313</v>
      </c>
      <c r="B309">
        <v>0.995954080203443</v>
      </c>
      <c r="C309">
        <v>1.0433414775899199</v>
      </c>
      <c r="D309">
        <v>0.80047301255409897</v>
      </c>
      <c r="E309">
        <v>1.1104288308066801</v>
      </c>
      <c r="F309">
        <v>0.35856658681847697</v>
      </c>
      <c r="G309">
        <v>0.111126120672374</v>
      </c>
      <c r="H309">
        <v>3.2798068206315797E-2</v>
      </c>
      <c r="I309">
        <v>3.4719743485780698E-2</v>
      </c>
      <c r="J309">
        <v>4.3858110769053202E-2</v>
      </c>
      <c r="K309">
        <v>4.4284958314311201E-2</v>
      </c>
      <c r="L309">
        <v>13210.636576342</v>
      </c>
      <c r="M309">
        <v>250</v>
      </c>
      <c r="N309">
        <v>52.866410062390003</v>
      </c>
      <c r="O309">
        <v>52.839167357719099</v>
      </c>
      <c r="P309">
        <v>-1.1197218031104701</v>
      </c>
      <c r="Q309">
        <v>5.3357364120165202E-2</v>
      </c>
      <c r="R309">
        <v>0.971023025781796</v>
      </c>
      <c r="S309" t="s">
        <v>7115</v>
      </c>
      <c r="T309" t="s">
        <v>13610</v>
      </c>
      <c r="U309" t="s">
        <v>13610</v>
      </c>
      <c r="V309" t="s">
        <v>13610</v>
      </c>
      <c r="W309" t="s">
        <v>13912</v>
      </c>
      <c r="X309">
        <v>1</v>
      </c>
      <c r="Y309" t="s">
        <v>20635</v>
      </c>
      <c r="Z309" t="s">
        <v>27164</v>
      </c>
      <c r="AA309">
        <v>0.45868854991689678</v>
      </c>
      <c r="AB309" t="str">
        <f>HYPERLINK("Melting_Curves/meltCurve_C9JJV6_MYADM.pdf", "Melting_Curves/meltCurve_C9JJV6_MYADM.pdf")</f>
        <v>Melting_Curves/meltCurve_C9JJV6_MYADM.pdf</v>
      </c>
    </row>
    <row r="310" spans="1:28" x14ac:dyDescent="0.25">
      <c r="A310" t="s">
        <v>314</v>
      </c>
      <c r="B310">
        <v>0.995954080203443</v>
      </c>
      <c r="C310">
        <v>0.87537507451457397</v>
      </c>
      <c r="D310">
        <v>0.79235406536720698</v>
      </c>
      <c r="E310">
        <v>0.71728447867982204</v>
      </c>
      <c r="F310">
        <v>0.52131750442192804</v>
      </c>
      <c r="G310">
        <v>0.235308274542155</v>
      </c>
      <c r="H310">
        <v>0.14156861860084899</v>
      </c>
      <c r="I310">
        <v>0.121399029833811</v>
      </c>
      <c r="J310">
        <v>0.162315514517027</v>
      </c>
      <c r="K310">
        <v>0.13092637736778301</v>
      </c>
      <c r="L310">
        <v>665.26158100191105</v>
      </c>
      <c r="M310">
        <v>12.7946607656982</v>
      </c>
      <c r="N310">
        <v>52.586333811359502</v>
      </c>
      <c r="O310">
        <v>50.774202032639899</v>
      </c>
      <c r="P310">
        <v>-5.8789538231422203E-2</v>
      </c>
      <c r="Q310">
        <v>6.6976136301868897E-2</v>
      </c>
      <c r="R310">
        <v>0.97809245628270103</v>
      </c>
      <c r="S310" t="s">
        <v>7116</v>
      </c>
      <c r="T310" t="s">
        <v>13610</v>
      </c>
      <c r="U310" t="s">
        <v>13610</v>
      </c>
      <c r="V310" t="s">
        <v>13610</v>
      </c>
      <c r="W310" t="s">
        <v>13913</v>
      </c>
      <c r="X310">
        <v>6</v>
      </c>
      <c r="Y310" t="s">
        <v>20636</v>
      </c>
      <c r="Z310" t="s">
        <v>27165</v>
      </c>
      <c r="AA310">
        <v>0.4662824304094661</v>
      </c>
      <c r="AB310" t="str">
        <f>HYPERLINK("Melting_Curves/meltCurve_C9JLU1_POLR2H.pdf", "Melting_Curves/meltCurve_C9JLU1_POLR2H.pdf")</f>
        <v>Melting_Curves/meltCurve_C9JLU1_POLR2H.pdf</v>
      </c>
    </row>
    <row r="311" spans="1:28" x14ac:dyDescent="0.25">
      <c r="A311" t="s">
        <v>315</v>
      </c>
      <c r="B311">
        <v>0.995954080203443</v>
      </c>
      <c r="C311">
        <v>0.46087531487792799</v>
      </c>
      <c r="D311">
        <v>0.25475331370326298</v>
      </c>
      <c r="E311">
        <v>0.28560022911960198</v>
      </c>
      <c r="F311">
        <v>0.166309028798384</v>
      </c>
      <c r="G311">
        <v>9.3872780680204798E-2</v>
      </c>
      <c r="H311">
        <v>6.7477518072089404E-2</v>
      </c>
      <c r="I311">
        <v>6.3641704891608503E-2</v>
      </c>
      <c r="J311">
        <v>6.04086752876445E-2</v>
      </c>
      <c r="K311">
        <v>6.2209973059215003E-2</v>
      </c>
      <c r="L311">
        <v>1504.60235149355</v>
      </c>
      <c r="M311">
        <v>35.305925550387698</v>
      </c>
      <c r="N311">
        <v>42.950572399689896</v>
      </c>
      <c r="O311">
        <v>42.480115824999501</v>
      </c>
      <c r="P311">
        <v>-0.18280766883316699</v>
      </c>
      <c r="Q311">
        <v>0.12018570842382199</v>
      </c>
      <c r="R311">
        <v>0.92897756616178595</v>
      </c>
      <c r="S311" t="s">
        <v>7117</v>
      </c>
      <c r="T311" t="s">
        <v>13610</v>
      </c>
      <c r="U311" t="s">
        <v>13610</v>
      </c>
      <c r="V311" t="s">
        <v>13610</v>
      </c>
      <c r="W311" t="s">
        <v>13914</v>
      </c>
      <c r="X311">
        <v>2</v>
      </c>
      <c r="Y311" t="s">
        <v>20637</v>
      </c>
      <c r="Z311" t="s">
        <v>27166</v>
      </c>
      <c r="AA311">
        <v>0.20305051654256351</v>
      </c>
      <c r="AB311" t="str">
        <f>HYPERLINK("Melting_Curves/meltCurve_C9JLV4_APAF1.pdf", "Melting_Curves/meltCurve_C9JLV4_APAF1.pdf")</f>
        <v>Melting_Curves/meltCurve_C9JLV4_APAF1.pdf</v>
      </c>
    </row>
    <row r="312" spans="1:28" x14ac:dyDescent="0.25">
      <c r="A312" t="s">
        <v>316</v>
      </c>
      <c r="B312">
        <v>0.995954080203443</v>
      </c>
      <c r="C312">
        <v>0.92878679013653798</v>
      </c>
      <c r="D312">
        <v>0.70911368512147799</v>
      </c>
      <c r="E312">
        <v>0.59563788414887298</v>
      </c>
      <c r="F312">
        <v>0.36071906017763899</v>
      </c>
      <c r="G312">
        <v>0.20429718725413101</v>
      </c>
      <c r="H312">
        <v>0.14808946175506199</v>
      </c>
      <c r="I312">
        <v>0.141602959147516</v>
      </c>
      <c r="J312">
        <v>0.18210859524638401</v>
      </c>
      <c r="K312">
        <v>0.20704101703046701</v>
      </c>
      <c r="L312">
        <v>733.40729565130403</v>
      </c>
      <c r="M312">
        <v>14.8899409490352</v>
      </c>
      <c r="N312">
        <v>50.388005599154603</v>
      </c>
      <c r="O312">
        <v>48.392404985249797</v>
      </c>
      <c r="P312">
        <v>-6.5988298359186404E-2</v>
      </c>
      <c r="Q312">
        <v>0.14223958293776401</v>
      </c>
      <c r="R312">
        <v>0.981993880001097</v>
      </c>
      <c r="S312" t="s">
        <v>7118</v>
      </c>
      <c r="T312" t="s">
        <v>13610</v>
      </c>
      <c r="U312" t="s">
        <v>13610</v>
      </c>
      <c r="V312" t="s">
        <v>13610</v>
      </c>
      <c r="W312" t="s">
        <v>13915</v>
      </c>
      <c r="X312">
        <v>4</v>
      </c>
      <c r="Y312" t="s">
        <v>20638</v>
      </c>
      <c r="Z312" t="s">
        <v>27167</v>
      </c>
      <c r="AA312">
        <v>0.42812704021995129</v>
      </c>
      <c r="AB312" t="str">
        <f>HYPERLINK("Melting_Curves/meltCurve_C9JMG3_AP4M1.pdf", "Melting_Curves/meltCurve_C9JMG3_AP4M1.pdf")</f>
        <v>Melting_Curves/meltCurve_C9JMG3_AP4M1.pdf</v>
      </c>
    </row>
    <row r="313" spans="1:28" x14ac:dyDescent="0.25">
      <c r="A313" t="s">
        <v>317</v>
      </c>
      <c r="B313">
        <v>0.995954080203443</v>
      </c>
      <c r="C313">
        <v>0.82949671967739802</v>
      </c>
      <c r="D313">
        <v>0.72219708600064403</v>
      </c>
      <c r="E313">
        <v>0.31935722174089998</v>
      </c>
      <c r="F313">
        <v>0.22162581520173799</v>
      </c>
      <c r="G313">
        <v>0.14118999156412301</v>
      </c>
      <c r="H313">
        <v>9.7237825469119701E-2</v>
      </c>
      <c r="I313">
        <v>9.08751855211197E-2</v>
      </c>
      <c r="J313">
        <v>0.10235370583603901</v>
      </c>
      <c r="K313">
        <v>9.9231817230901603E-2</v>
      </c>
      <c r="L313">
        <v>863.402802391146</v>
      </c>
      <c r="M313">
        <v>18.178504495160801</v>
      </c>
      <c r="N313">
        <v>48.0255926493072</v>
      </c>
      <c r="O313">
        <v>46.932213969596098</v>
      </c>
      <c r="P313">
        <v>-8.8040642174694997E-2</v>
      </c>
      <c r="Q313">
        <v>9.0849706014429904E-2</v>
      </c>
      <c r="R313">
        <v>0.99318401871541795</v>
      </c>
      <c r="S313" t="s">
        <v>7119</v>
      </c>
      <c r="T313" t="s">
        <v>13610</v>
      </c>
      <c r="U313" t="s">
        <v>13610</v>
      </c>
      <c r="V313" t="s">
        <v>13610</v>
      </c>
      <c r="W313" t="s">
        <v>13916</v>
      </c>
      <c r="X313">
        <v>7</v>
      </c>
      <c r="Y313" t="s">
        <v>20639</v>
      </c>
      <c r="Z313" t="s">
        <v>27168</v>
      </c>
      <c r="AA313">
        <v>0.33408089522801449</v>
      </c>
      <c r="AB313" t="str">
        <f>HYPERLINK("Melting_Curves/meltCurve_C9JNE2_OARD1.pdf", "Melting_Curves/meltCurve_C9JNE2_OARD1.pdf")</f>
        <v>Melting_Curves/meltCurve_C9JNE2_OARD1.pdf</v>
      </c>
    </row>
    <row r="314" spans="1:28" x14ac:dyDescent="0.25">
      <c r="A314" t="s">
        <v>318</v>
      </c>
      <c r="B314">
        <v>0.995954080203443</v>
      </c>
      <c r="C314">
        <v>0.905953157319911</v>
      </c>
      <c r="D314">
        <v>0.81223764480775396</v>
      </c>
      <c r="E314">
        <v>0.76465212022239204</v>
      </c>
      <c r="F314">
        <v>0.53231439464754804</v>
      </c>
      <c r="G314">
        <v>0.31000318301521901</v>
      </c>
      <c r="H314">
        <v>0.21547633312411599</v>
      </c>
      <c r="I314">
        <v>0.26238924183483098</v>
      </c>
      <c r="J314">
        <v>0.27130459820635999</v>
      </c>
      <c r="K314">
        <v>0.35674764103497197</v>
      </c>
      <c r="L314">
        <v>828.43265657511699</v>
      </c>
      <c r="M314">
        <v>16.239693901607701</v>
      </c>
      <c r="N314">
        <v>53.2714086178486</v>
      </c>
      <c r="O314">
        <v>50.258116732567501</v>
      </c>
      <c r="P314">
        <v>-6.0684141071064901E-2</v>
      </c>
      <c r="Q314">
        <v>0.248841832190344</v>
      </c>
      <c r="R314">
        <v>0.95515112066782704</v>
      </c>
      <c r="S314" t="s">
        <v>7120</v>
      </c>
      <c r="T314" t="s">
        <v>13610</v>
      </c>
      <c r="U314" t="s">
        <v>13610</v>
      </c>
      <c r="V314" t="s">
        <v>13610</v>
      </c>
      <c r="W314" t="s">
        <v>13917</v>
      </c>
      <c r="X314">
        <v>9</v>
      </c>
      <c r="Y314" t="s">
        <v>20640</v>
      </c>
      <c r="Z314" t="s">
        <v>27169</v>
      </c>
      <c r="AA314">
        <v>0.53976015756092977</v>
      </c>
      <c r="AB314" t="str">
        <f>HYPERLINK("Melting_Curves/meltCurve_C9JNI7_HSPBP1.pdf", "Melting_Curves/meltCurve_C9JNI7_HSPBP1.pdf")</f>
        <v>Melting_Curves/meltCurve_C9JNI7_HSPBP1.pdf</v>
      </c>
    </row>
    <row r="315" spans="1:28" x14ac:dyDescent="0.25">
      <c r="A315" t="s">
        <v>319</v>
      </c>
      <c r="B315">
        <v>0.995954080203443</v>
      </c>
      <c r="C315">
        <v>0.98013808692642501</v>
      </c>
      <c r="D315">
        <v>1.00267521518779</v>
      </c>
      <c r="E315">
        <v>0.80277103660546001</v>
      </c>
      <c r="F315">
        <v>0.62420560207939102</v>
      </c>
      <c r="G315">
        <v>0.38168915269903297</v>
      </c>
      <c r="H315">
        <v>0.302445441332649</v>
      </c>
      <c r="I315">
        <v>0.33031592902578299</v>
      </c>
      <c r="J315">
        <v>0.35015999290051503</v>
      </c>
      <c r="K315">
        <v>0.34770652900791599</v>
      </c>
      <c r="L315">
        <v>1313.9815016960299</v>
      </c>
      <c r="M315">
        <v>25.1911486275961</v>
      </c>
      <c r="N315">
        <v>54.434501202527997</v>
      </c>
      <c r="O315">
        <v>51.835076927690999</v>
      </c>
      <c r="P315">
        <v>-8.1956852243050604E-2</v>
      </c>
      <c r="Q315">
        <v>0.32544809596570401</v>
      </c>
      <c r="R315">
        <v>0.99377698168391604</v>
      </c>
      <c r="S315" t="s">
        <v>7121</v>
      </c>
      <c r="T315" t="s">
        <v>13610</v>
      </c>
      <c r="U315" t="s">
        <v>13610</v>
      </c>
      <c r="V315" t="s">
        <v>13610</v>
      </c>
      <c r="W315" t="s">
        <v>13918</v>
      </c>
      <c r="X315">
        <v>11</v>
      </c>
      <c r="Y315" t="s">
        <v>20641</v>
      </c>
      <c r="Z315" t="s">
        <v>27170</v>
      </c>
      <c r="AA315">
        <v>0.60495442375459108</v>
      </c>
      <c r="AB315" t="str">
        <f>HYPERLINK("Melting_Curves/meltCurve_C9JP00_MBNL1.pdf", "Melting_Curves/meltCurve_C9JP00_MBNL1.pdf")</f>
        <v>Melting_Curves/meltCurve_C9JP00_MBNL1.pdf</v>
      </c>
    </row>
    <row r="316" spans="1:28" x14ac:dyDescent="0.25">
      <c r="A316" t="s">
        <v>320</v>
      </c>
      <c r="B316">
        <v>0.995954080203443</v>
      </c>
      <c r="C316">
        <v>1.0434116460187099</v>
      </c>
      <c r="D316">
        <v>0.92594612977926305</v>
      </c>
      <c r="E316">
        <v>0.82948867202271703</v>
      </c>
      <c r="F316">
        <v>0.79464270345630195</v>
      </c>
      <c r="G316">
        <v>0.54911836917525803</v>
      </c>
      <c r="H316">
        <v>0.492786683293926</v>
      </c>
      <c r="I316">
        <v>0.56737568565127905</v>
      </c>
      <c r="J316">
        <v>0.59818973254289998</v>
      </c>
      <c r="K316">
        <v>0.64006139291944997</v>
      </c>
      <c r="L316">
        <v>1154.3634328651799</v>
      </c>
      <c r="M316">
        <v>22.3536101686216</v>
      </c>
      <c r="O316">
        <v>51.233072443776301</v>
      </c>
      <c r="P316">
        <v>-4.7537210369925101E-2</v>
      </c>
      <c r="Q316">
        <v>0.56419992350913895</v>
      </c>
      <c r="R316">
        <v>0.92086511042529196</v>
      </c>
      <c r="S316" t="s">
        <v>7122</v>
      </c>
      <c r="T316" t="s">
        <v>13610</v>
      </c>
      <c r="U316" t="s">
        <v>13610</v>
      </c>
      <c r="V316" t="s">
        <v>13610</v>
      </c>
      <c r="W316" t="s">
        <v>13919</v>
      </c>
      <c r="X316">
        <v>5</v>
      </c>
      <c r="Y316" t="s">
        <v>20642</v>
      </c>
      <c r="Z316" t="s">
        <v>27171</v>
      </c>
      <c r="AA316">
        <v>0.73821724743406314</v>
      </c>
      <c r="AB316" t="str">
        <f>HYPERLINK("Melting_Curves/meltCurve_C9JPC9_USP42.pdf", "Melting_Curves/meltCurve_C9JPC9_USP42.pdf")</f>
        <v>Melting_Curves/meltCurve_C9JPC9_USP42.pdf</v>
      </c>
    </row>
    <row r="317" spans="1:28" x14ac:dyDescent="0.25">
      <c r="A317" t="s">
        <v>321</v>
      </c>
      <c r="B317">
        <v>0.995954080203443</v>
      </c>
      <c r="C317">
        <v>0.94478065260909605</v>
      </c>
      <c r="D317">
        <v>0.54725493101536005</v>
      </c>
      <c r="E317">
        <v>0.21017610702459599</v>
      </c>
      <c r="F317">
        <v>5.8014978398457401E-2</v>
      </c>
      <c r="G317">
        <v>3.1691134852496403E-2</v>
      </c>
      <c r="H317">
        <v>0</v>
      </c>
      <c r="I317">
        <v>0</v>
      </c>
      <c r="J317">
        <v>0</v>
      </c>
      <c r="K317">
        <v>0</v>
      </c>
      <c r="L317">
        <v>1115.38238407519</v>
      </c>
      <c r="M317">
        <v>23.893117987601901</v>
      </c>
      <c r="N317">
        <v>46.7043096073402</v>
      </c>
      <c r="O317">
        <v>46.358844342534702</v>
      </c>
      <c r="P317">
        <v>-0.128124971722229</v>
      </c>
      <c r="Q317">
        <v>5.6333895860772899E-3</v>
      </c>
      <c r="R317">
        <v>0.99557486714110399</v>
      </c>
      <c r="S317" t="s">
        <v>7123</v>
      </c>
      <c r="T317" t="s">
        <v>13610</v>
      </c>
      <c r="U317" t="s">
        <v>13610</v>
      </c>
      <c r="V317" t="s">
        <v>13610</v>
      </c>
      <c r="W317" t="s">
        <v>13920</v>
      </c>
      <c r="X317">
        <v>3</v>
      </c>
      <c r="Y317" t="s">
        <v>20643</v>
      </c>
      <c r="Z317" t="s">
        <v>27172</v>
      </c>
      <c r="AA317">
        <v>0.23701777789460471</v>
      </c>
      <c r="AB317" t="str">
        <f>HYPERLINK("Melting_Curves/meltCurve_C9JPL0_CCNL1.pdf", "Melting_Curves/meltCurve_C9JPL0_CCNL1.pdf")</f>
        <v>Melting_Curves/meltCurve_C9JPL0_CCNL1.pdf</v>
      </c>
    </row>
    <row r="318" spans="1:28" x14ac:dyDescent="0.25">
      <c r="A318" t="s">
        <v>322</v>
      </c>
      <c r="B318">
        <v>0.995954080203443</v>
      </c>
      <c r="C318">
        <v>0.68510022874743404</v>
      </c>
      <c r="D318">
        <v>0.53363883118534405</v>
      </c>
      <c r="E318">
        <v>0.32180280004705503</v>
      </c>
      <c r="F318">
        <v>0.19557194868570901</v>
      </c>
      <c r="G318">
        <v>8.9182057670687806E-2</v>
      </c>
      <c r="H318">
        <v>5.6647047234125697E-2</v>
      </c>
      <c r="I318">
        <v>4.8375339243065703E-2</v>
      </c>
      <c r="J318">
        <v>5.60701483482407E-2</v>
      </c>
      <c r="K318">
        <v>5.7378132477076703E-2</v>
      </c>
      <c r="L318">
        <v>634.74294809388698</v>
      </c>
      <c r="M318">
        <v>13.713563738111899</v>
      </c>
      <c r="N318">
        <v>46.548570602086002</v>
      </c>
      <c r="O318">
        <v>45.334839442089702</v>
      </c>
      <c r="P318">
        <v>-7.2817233977652496E-2</v>
      </c>
      <c r="Q318">
        <v>3.7249981080133797E-2</v>
      </c>
      <c r="R318">
        <v>0.98365173002209005</v>
      </c>
      <c r="S318" t="s">
        <v>7124</v>
      </c>
      <c r="T318" t="s">
        <v>13610</v>
      </c>
      <c r="U318" t="s">
        <v>13610</v>
      </c>
      <c r="V318" t="s">
        <v>13610</v>
      </c>
      <c r="W318" t="s">
        <v>13921</v>
      </c>
      <c r="X318">
        <v>1</v>
      </c>
      <c r="Y318" t="s">
        <v>20644</v>
      </c>
      <c r="Z318" t="s">
        <v>27173</v>
      </c>
      <c r="AA318">
        <v>0.27200620285236798</v>
      </c>
      <c r="AB318" t="str">
        <f>HYPERLINK("Melting_Curves/meltCurve_C9JPP2_NKIRAS2.pdf", "Melting_Curves/meltCurve_C9JPP2_NKIRAS2.pdf")</f>
        <v>Melting_Curves/meltCurve_C9JPP2_NKIRAS2.pdf</v>
      </c>
    </row>
    <row r="319" spans="1:28" x14ac:dyDescent="0.25">
      <c r="A319" t="s">
        <v>323</v>
      </c>
      <c r="B319">
        <v>0.995954080203443</v>
      </c>
      <c r="C319">
        <v>1.0460479665943601</v>
      </c>
      <c r="D319">
        <v>1.0156179615204799</v>
      </c>
      <c r="E319">
        <v>0.97824947186976396</v>
      </c>
      <c r="F319">
        <v>0.93233918779381197</v>
      </c>
      <c r="G319">
        <v>0.75085385895606005</v>
      </c>
      <c r="H319">
        <v>0.68566686883067596</v>
      </c>
      <c r="I319">
        <v>0.746808489226085</v>
      </c>
      <c r="J319">
        <v>0.86391400210329405</v>
      </c>
      <c r="K319">
        <v>0.73395010739947697</v>
      </c>
      <c r="L319">
        <v>4777.1233039273502</v>
      </c>
      <c r="M319">
        <v>89.183487570619803</v>
      </c>
      <c r="O319">
        <v>53.538193920626199</v>
      </c>
      <c r="P319">
        <v>-0.101600835390578</v>
      </c>
      <c r="Q319">
        <v>0.75602995965958397</v>
      </c>
      <c r="R319">
        <v>0.87878850663113595</v>
      </c>
      <c r="S319" t="s">
        <v>7125</v>
      </c>
      <c r="T319" t="s">
        <v>13610</v>
      </c>
      <c r="U319" t="s">
        <v>13610</v>
      </c>
      <c r="V319" t="s">
        <v>13610</v>
      </c>
      <c r="W319" t="s">
        <v>13922</v>
      </c>
      <c r="X319">
        <v>10</v>
      </c>
      <c r="Y319" t="s">
        <v>20645</v>
      </c>
      <c r="Z319" t="s">
        <v>27174</v>
      </c>
      <c r="AA319">
        <v>0.86652646683309564</v>
      </c>
      <c r="AB319" t="str">
        <f>HYPERLINK("Melting_Curves/meltCurve_C9JQ41_CCDC58.pdf", "Melting_Curves/meltCurve_C9JQ41_CCDC58.pdf")</f>
        <v>Melting_Curves/meltCurve_C9JQ41_CCDC58.pdf</v>
      </c>
    </row>
    <row r="320" spans="1:28" x14ac:dyDescent="0.25">
      <c r="A320" t="s">
        <v>324</v>
      </c>
      <c r="B320">
        <v>0.995954080203443</v>
      </c>
      <c r="C320">
        <v>0.97272625741819896</v>
      </c>
      <c r="D320">
        <v>0.86202277540352101</v>
      </c>
      <c r="E320">
        <v>0.80486165159361001</v>
      </c>
      <c r="F320">
        <v>0.61016156948266198</v>
      </c>
      <c r="G320">
        <v>0.42661442400508598</v>
      </c>
      <c r="H320">
        <v>0.232233701461796</v>
      </c>
      <c r="I320">
        <v>0.13143933709056699</v>
      </c>
      <c r="J320">
        <v>8.4701258393331494E-2</v>
      </c>
      <c r="K320">
        <v>0.11871396273672299</v>
      </c>
      <c r="L320">
        <v>664.85434574050601</v>
      </c>
      <c r="M320">
        <v>12.068297508369399</v>
      </c>
      <c r="N320">
        <v>55.135166264993302</v>
      </c>
      <c r="O320">
        <v>53.643747520518303</v>
      </c>
      <c r="P320">
        <v>-5.5985329263268997E-2</v>
      </c>
      <c r="Q320">
        <v>4.8124788104419204E-3</v>
      </c>
      <c r="R320">
        <v>0.99356111823887305</v>
      </c>
      <c r="S320" t="s">
        <v>7126</v>
      </c>
      <c r="T320" t="s">
        <v>13610</v>
      </c>
      <c r="U320" t="s">
        <v>13610</v>
      </c>
      <c r="V320" t="s">
        <v>13610</v>
      </c>
      <c r="W320" t="s">
        <v>13923</v>
      </c>
      <c r="X320">
        <v>4</v>
      </c>
      <c r="Y320" t="s">
        <v>20646</v>
      </c>
      <c r="Z320" t="s">
        <v>27175</v>
      </c>
      <c r="AA320">
        <v>0.5284152014769099</v>
      </c>
      <c r="AB320" t="str">
        <f>HYPERLINK("Melting_Curves/meltCurve_C9JQB1_NME6.pdf", "Melting_Curves/meltCurve_C9JQB1_NME6.pdf")</f>
        <v>Melting_Curves/meltCurve_C9JQB1_NME6.pdf</v>
      </c>
    </row>
    <row r="321" spans="1:28" x14ac:dyDescent="0.25">
      <c r="A321" t="s">
        <v>325</v>
      </c>
      <c r="B321">
        <v>0.995954080203443</v>
      </c>
      <c r="C321">
        <v>1.09024546128149</v>
      </c>
      <c r="D321">
        <v>0.94067200008284202</v>
      </c>
      <c r="E321">
        <v>0.88320135937394595</v>
      </c>
      <c r="F321">
        <v>0.72313179860228105</v>
      </c>
      <c r="G321">
        <v>0.57592874820439399</v>
      </c>
      <c r="H321">
        <v>0.56424542834809699</v>
      </c>
      <c r="I321">
        <v>0.64657827902739295</v>
      </c>
      <c r="J321">
        <v>0.57467882045394703</v>
      </c>
      <c r="K321">
        <v>0.74387945807859701</v>
      </c>
      <c r="L321">
        <v>1779.8429951860501</v>
      </c>
      <c r="M321">
        <v>34.7862938796628</v>
      </c>
      <c r="O321">
        <v>50.996866399246997</v>
      </c>
      <c r="P321">
        <v>-6.4630495302904295E-2</v>
      </c>
      <c r="Q321">
        <v>0.62100698840867796</v>
      </c>
      <c r="R321">
        <v>0.89297451274137696</v>
      </c>
      <c r="S321" t="s">
        <v>7127</v>
      </c>
      <c r="T321" t="s">
        <v>13610</v>
      </c>
      <c r="U321" t="s">
        <v>13610</v>
      </c>
      <c r="V321" t="s">
        <v>13610</v>
      </c>
      <c r="W321" t="s">
        <v>13924</v>
      </c>
      <c r="X321">
        <v>1</v>
      </c>
      <c r="Y321" t="s">
        <v>20647</v>
      </c>
      <c r="Z321" t="s">
        <v>27176</v>
      </c>
      <c r="AA321">
        <v>0.76383168366218446</v>
      </c>
      <c r="AB321" t="str">
        <f>HYPERLINK("Melting_Curves/meltCurve_C9JQV0_C7orf50.pdf", "Melting_Curves/meltCurve_C9JQV0_C7orf50.pdf")</f>
        <v>Melting_Curves/meltCurve_C9JQV0_C7orf50.pdf</v>
      </c>
    </row>
    <row r="322" spans="1:28" x14ac:dyDescent="0.25">
      <c r="A322" t="s">
        <v>326</v>
      </c>
      <c r="B322">
        <v>0.995954080203443</v>
      </c>
      <c r="C322">
        <v>1.00122459746444</v>
      </c>
      <c r="D322">
        <v>0.83427229986400098</v>
      </c>
      <c r="E322">
        <v>0.61823935472998104</v>
      </c>
      <c r="F322">
        <v>0.37526683752665901</v>
      </c>
      <c r="G322">
        <v>0.23600886149647399</v>
      </c>
      <c r="H322">
        <v>0.156366271927916</v>
      </c>
      <c r="I322">
        <v>0.14143126899373901</v>
      </c>
      <c r="J322">
        <v>0.14140375851062101</v>
      </c>
      <c r="K322">
        <v>0.140578815523036</v>
      </c>
      <c r="L322">
        <v>898.18032408117006</v>
      </c>
      <c r="M322">
        <v>17.803782548158999</v>
      </c>
      <c r="N322">
        <v>51.297487390137903</v>
      </c>
      <c r="O322">
        <v>49.825293419476097</v>
      </c>
      <c r="P322">
        <v>-7.79399145749161E-2</v>
      </c>
      <c r="Q322">
        <v>0.12756090824246599</v>
      </c>
      <c r="R322">
        <v>0.99720691965741604</v>
      </c>
      <c r="S322" t="s">
        <v>7128</v>
      </c>
      <c r="T322" t="s">
        <v>13610</v>
      </c>
      <c r="U322" t="s">
        <v>13610</v>
      </c>
      <c r="V322" t="s">
        <v>13610</v>
      </c>
      <c r="W322" t="s">
        <v>13925</v>
      </c>
      <c r="X322">
        <v>11</v>
      </c>
      <c r="Y322" t="s">
        <v>20648</v>
      </c>
      <c r="Z322" t="s">
        <v>27177</v>
      </c>
      <c r="AA322">
        <v>0.44652584963621972</v>
      </c>
      <c r="AB322" t="str">
        <f>HYPERLINK("Melting_Curves/meltCurve_C9JQV3_STK11IP.pdf", "Melting_Curves/meltCurve_C9JQV3_STK11IP.pdf")</f>
        <v>Melting_Curves/meltCurve_C9JQV3_STK11IP.pdf</v>
      </c>
    </row>
    <row r="323" spans="1:28" x14ac:dyDescent="0.25">
      <c r="A323" t="s">
        <v>327</v>
      </c>
      <c r="B323">
        <v>0.995954080203443</v>
      </c>
      <c r="C323">
        <v>1.0354166483199401</v>
      </c>
      <c r="D323">
        <v>1.05801061894753</v>
      </c>
      <c r="E323">
        <v>0.97428316528406</v>
      </c>
      <c r="F323">
        <v>0.91696491376905598</v>
      </c>
      <c r="G323">
        <v>0.66876713971758095</v>
      </c>
      <c r="H323">
        <v>0.52743659221158901</v>
      </c>
      <c r="I323">
        <v>0.52822138852264899</v>
      </c>
      <c r="J323">
        <v>0.57718034123336703</v>
      </c>
      <c r="K323">
        <v>0.56719309726720601</v>
      </c>
      <c r="L323">
        <v>2015.0339156905</v>
      </c>
      <c r="M323">
        <v>36.475736701268303</v>
      </c>
      <c r="O323">
        <v>55.077879518505597</v>
      </c>
      <c r="P323">
        <v>-7.4917434075952E-2</v>
      </c>
      <c r="Q323">
        <v>0.54750406485319503</v>
      </c>
      <c r="R323">
        <v>0.98318965856621898</v>
      </c>
      <c r="S323" t="s">
        <v>7129</v>
      </c>
      <c r="T323" t="s">
        <v>13610</v>
      </c>
      <c r="U323" t="s">
        <v>13610</v>
      </c>
      <c r="V323" t="s">
        <v>13610</v>
      </c>
      <c r="W323" t="s">
        <v>13926</v>
      </c>
      <c r="X323">
        <v>16</v>
      </c>
      <c r="Y323" t="s">
        <v>20649</v>
      </c>
      <c r="Z323" t="s">
        <v>27178</v>
      </c>
      <c r="AA323">
        <v>0.77948343184949109</v>
      </c>
      <c r="AB323" t="str">
        <f>HYPERLINK("Melting_Curves/meltCurve_C9JR56_SATB2.pdf", "Melting_Curves/meltCurve_C9JR56_SATB2.pdf")</f>
        <v>Melting_Curves/meltCurve_C9JR56_SATB2.pdf</v>
      </c>
    </row>
    <row r="324" spans="1:28" x14ac:dyDescent="0.25">
      <c r="A324" t="s">
        <v>328</v>
      </c>
      <c r="B324">
        <v>0.995954080203443</v>
      </c>
      <c r="C324">
        <v>0.94716283698813297</v>
      </c>
      <c r="D324">
        <v>0.830168933831958</v>
      </c>
      <c r="E324">
        <v>0.60252310676364595</v>
      </c>
      <c r="F324">
        <v>0.228961152085699</v>
      </c>
      <c r="G324">
        <v>0.17722782741690599</v>
      </c>
      <c r="H324">
        <v>0.110755544801761</v>
      </c>
      <c r="I324">
        <v>0.103418468004532</v>
      </c>
      <c r="J324">
        <v>0.10279103920754</v>
      </c>
      <c r="K324">
        <v>0.108665598371982</v>
      </c>
      <c r="L324">
        <v>1050.12306499288</v>
      </c>
      <c r="M324">
        <v>21.053642405199501</v>
      </c>
      <c r="N324">
        <v>50.388848193462898</v>
      </c>
      <c r="O324">
        <v>49.4349877297132</v>
      </c>
      <c r="P324">
        <v>-9.62500139389693E-2</v>
      </c>
      <c r="Q324">
        <v>9.6024811187546105E-2</v>
      </c>
      <c r="R324">
        <v>0.99083398194681604</v>
      </c>
      <c r="S324" t="s">
        <v>7130</v>
      </c>
      <c r="T324" t="s">
        <v>13610</v>
      </c>
      <c r="U324" t="s">
        <v>13610</v>
      </c>
      <c r="V324" t="s">
        <v>13610</v>
      </c>
      <c r="W324" t="s">
        <v>13927</v>
      </c>
      <c r="X324">
        <v>7</v>
      </c>
      <c r="Y324" t="s">
        <v>20650</v>
      </c>
      <c r="Z324" t="s">
        <v>27179</v>
      </c>
      <c r="AA324">
        <v>0.40506682664589139</v>
      </c>
      <c r="AB324" t="str">
        <f>HYPERLINK("Melting_Curves/meltCurve_C9JS27_NDUFAF7.pdf", "Melting_Curves/meltCurve_C9JS27_NDUFAF7.pdf")</f>
        <v>Melting_Curves/meltCurve_C9JS27_NDUFAF7.pdf</v>
      </c>
    </row>
    <row r="325" spans="1:28" x14ac:dyDescent="0.25">
      <c r="A325" t="s">
        <v>329</v>
      </c>
      <c r="B325">
        <v>0.995954080203443</v>
      </c>
      <c r="C325">
        <v>0.71444990960766896</v>
      </c>
      <c r="D325">
        <v>0.47898435013486401</v>
      </c>
      <c r="E325">
        <v>0.35377198938781701</v>
      </c>
      <c r="F325">
        <v>0.14184943676747699</v>
      </c>
      <c r="G325">
        <v>6.90284284144312E-2</v>
      </c>
      <c r="H325">
        <v>3.76930064522535E-2</v>
      </c>
      <c r="I325">
        <v>3.9965983213556697E-2</v>
      </c>
      <c r="J325">
        <v>3.2613086489493001E-2</v>
      </c>
      <c r="K325">
        <v>2.42589344119938E-2</v>
      </c>
      <c r="L325">
        <v>647.33637315236103</v>
      </c>
      <c r="M325">
        <v>13.9827572113667</v>
      </c>
      <c r="N325">
        <v>46.406434229735702</v>
      </c>
      <c r="O325">
        <v>45.379274327637802</v>
      </c>
      <c r="P325">
        <v>-7.57747291762354E-2</v>
      </c>
      <c r="Q325">
        <v>1.64614924386004E-2</v>
      </c>
      <c r="R325">
        <v>0.98081982626754105</v>
      </c>
      <c r="S325" t="s">
        <v>7131</v>
      </c>
      <c r="T325" t="s">
        <v>13610</v>
      </c>
      <c r="U325" t="s">
        <v>13610</v>
      </c>
      <c r="V325" t="s">
        <v>13610</v>
      </c>
      <c r="W325" t="s">
        <v>13928</v>
      </c>
      <c r="X325">
        <v>2</v>
      </c>
      <c r="Y325" t="s">
        <v>20651</v>
      </c>
      <c r="Z325" t="s">
        <v>27180</v>
      </c>
      <c r="AA325">
        <v>0.25527796078092652</v>
      </c>
      <c r="AB325" t="str">
        <f>HYPERLINK("Melting_Curves/meltCurve_C9JT95_NABP2.pdf", "Melting_Curves/meltCurve_C9JT95_NABP2.pdf")</f>
        <v>Melting_Curves/meltCurve_C9JT95_NABP2.pdf</v>
      </c>
    </row>
    <row r="326" spans="1:28" x14ac:dyDescent="0.25">
      <c r="A326" t="s">
        <v>330</v>
      </c>
      <c r="B326">
        <v>0.995954080203443</v>
      </c>
      <c r="C326">
        <v>0.87011122156432996</v>
      </c>
      <c r="D326">
        <v>0.90040323147435097</v>
      </c>
      <c r="E326">
        <v>0.67306036588044904</v>
      </c>
      <c r="F326">
        <v>0.55227344299903802</v>
      </c>
      <c r="G326">
        <v>0.32436265350105498</v>
      </c>
      <c r="H326">
        <v>0.269866940175292</v>
      </c>
      <c r="I326">
        <v>0.27372186792894398</v>
      </c>
      <c r="J326">
        <v>0.27106177556699801</v>
      </c>
      <c r="K326">
        <v>0.28794673462284698</v>
      </c>
      <c r="L326">
        <v>770.26653245801504</v>
      </c>
      <c r="M326">
        <v>15.119958860650801</v>
      </c>
      <c r="N326">
        <v>53.275939297906298</v>
      </c>
      <c r="O326">
        <v>50.077470765278399</v>
      </c>
      <c r="P326">
        <v>-5.7216627327563697E-2</v>
      </c>
      <c r="Q326">
        <v>0.242065514408249</v>
      </c>
      <c r="R326">
        <v>0.98222762551980303</v>
      </c>
      <c r="S326" t="s">
        <v>7132</v>
      </c>
      <c r="T326" t="s">
        <v>13610</v>
      </c>
      <c r="U326" t="s">
        <v>13610</v>
      </c>
      <c r="V326" t="s">
        <v>13610</v>
      </c>
      <c r="W326" t="s">
        <v>13929</v>
      </c>
      <c r="X326">
        <v>10</v>
      </c>
      <c r="Y326" t="s">
        <v>20652</v>
      </c>
      <c r="Z326" t="s">
        <v>27181</v>
      </c>
      <c r="AA326">
        <v>0.5358643302270415</v>
      </c>
      <c r="AB326" t="str">
        <f>HYPERLINK("Melting_Curves/meltCurve_C9JTM9_IKZF2.pdf", "Melting_Curves/meltCurve_C9JTM9_IKZF2.pdf")</f>
        <v>Melting_Curves/meltCurve_C9JTM9_IKZF2.pdf</v>
      </c>
    </row>
    <row r="327" spans="1:28" x14ac:dyDescent="0.25">
      <c r="A327" t="s">
        <v>331</v>
      </c>
      <c r="B327">
        <v>0.995954080203443</v>
      </c>
      <c r="C327">
        <v>0.82008844568769401</v>
      </c>
      <c r="D327">
        <v>0.88431132054536898</v>
      </c>
      <c r="E327">
        <v>0.75808404711948396</v>
      </c>
      <c r="F327">
        <v>0.66924505537126699</v>
      </c>
      <c r="G327">
        <v>0.457522856540446</v>
      </c>
      <c r="H327">
        <v>0.225256566949639</v>
      </c>
      <c r="I327">
        <v>0.15608319742669199</v>
      </c>
      <c r="J327">
        <v>0.15857172277704201</v>
      </c>
      <c r="K327">
        <v>0.145881673887369</v>
      </c>
      <c r="L327">
        <v>561.16455500984102</v>
      </c>
      <c r="M327">
        <v>10.1241872257373</v>
      </c>
      <c r="N327">
        <v>55.428109186210101</v>
      </c>
      <c r="O327">
        <v>53.395969967321598</v>
      </c>
      <c r="P327">
        <v>-4.7423449698508098E-2</v>
      </c>
      <c r="Q327">
        <v>0</v>
      </c>
      <c r="R327">
        <v>0.97211855437769601</v>
      </c>
      <c r="S327" t="s">
        <v>7133</v>
      </c>
      <c r="T327" t="s">
        <v>13610</v>
      </c>
      <c r="U327" t="s">
        <v>13610</v>
      </c>
      <c r="V327" t="s">
        <v>13610</v>
      </c>
      <c r="W327" t="s">
        <v>13930</v>
      </c>
      <c r="X327">
        <v>12</v>
      </c>
      <c r="Y327" t="s">
        <v>20653</v>
      </c>
      <c r="Z327" t="s">
        <v>27182</v>
      </c>
      <c r="AA327">
        <v>0.53808400658714939</v>
      </c>
      <c r="AB327" t="str">
        <f>HYPERLINK("Melting_Curves/meltCurve_C9JV49_HARS2.pdf", "Melting_Curves/meltCurve_C9JV49_HARS2.pdf")</f>
        <v>Melting_Curves/meltCurve_C9JV49_HARS2.pdf</v>
      </c>
    </row>
    <row r="328" spans="1:28" x14ac:dyDescent="0.25">
      <c r="A328" t="s">
        <v>332</v>
      </c>
      <c r="B328">
        <v>0.995954080203443</v>
      </c>
      <c r="C328">
        <v>0.91711872315197895</v>
      </c>
      <c r="D328">
        <v>0.87515975967633197</v>
      </c>
      <c r="E328">
        <v>0.91181847285295203</v>
      </c>
      <c r="F328">
        <v>0.31688095092818902</v>
      </c>
      <c r="G328">
        <v>0.14435165077492901</v>
      </c>
      <c r="H328">
        <v>8.7653763035520096E-2</v>
      </c>
      <c r="I328">
        <v>8.24206240180166E-2</v>
      </c>
      <c r="J328">
        <v>0.15883710327665099</v>
      </c>
      <c r="K328">
        <v>4.4200769100845E-2</v>
      </c>
      <c r="L328">
        <v>2899.4956671283799</v>
      </c>
      <c r="M328">
        <v>55.840457601905598</v>
      </c>
      <c r="N328">
        <v>52.136970753181998</v>
      </c>
      <c r="O328">
        <v>51.858172819268198</v>
      </c>
      <c r="P328">
        <v>-0.24182005994512601</v>
      </c>
      <c r="Q328">
        <v>0.101702232441127</v>
      </c>
      <c r="R328">
        <v>0.97994859094095299</v>
      </c>
      <c r="S328" t="s">
        <v>7134</v>
      </c>
      <c r="T328" t="s">
        <v>13610</v>
      </c>
      <c r="U328" t="s">
        <v>13610</v>
      </c>
      <c r="V328" t="s">
        <v>13610</v>
      </c>
      <c r="W328" t="s">
        <v>13931</v>
      </c>
      <c r="X328">
        <v>2</v>
      </c>
      <c r="Y328" t="s">
        <v>20654</v>
      </c>
      <c r="Z328" t="s">
        <v>27183</v>
      </c>
      <c r="AA328">
        <v>0.46041254792782121</v>
      </c>
      <c r="AB328" t="str">
        <f>HYPERLINK("Melting_Curves/meltCurve_C9JV50_SACM1L.pdf", "Melting_Curves/meltCurve_C9JV50_SACM1L.pdf")</f>
        <v>Melting_Curves/meltCurve_C9JV50_SACM1L.pdf</v>
      </c>
    </row>
    <row r="329" spans="1:28" x14ac:dyDescent="0.25">
      <c r="A329" t="s">
        <v>333</v>
      </c>
      <c r="B329">
        <v>0.995954080203443</v>
      </c>
      <c r="C329">
        <v>0.97851658003588105</v>
      </c>
      <c r="D329">
        <v>0.96134494438441997</v>
      </c>
      <c r="E329">
        <v>0.83954560286355195</v>
      </c>
      <c r="F329">
        <v>0.63821355295323601</v>
      </c>
      <c r="G329">
        <v>0.36566121658057699</v>
      </c>
      <c r="H329">
        <v>0.21263892475875301</v>
      </c>
      <c r="I329">
        <v>0.201711092619554</v>
      </c>
      <c r="J329">
        <v>0.232547987880631</v>
      </c>
      <c r="K329">
        <v>0.20850415903678499</v>
      </c>
      <c r="L329">
        <v>1147.89712745919</v>
      </c>
      <c r="M329">
        <v>21.504109922581499</v>
      </c>
      <c r="N329">
        <v>54.631228459991299</v>
      </c>
      <c r="O329">
        <v>52.925167249080801</v>
      </c>
      <c r="P329">
        <v>-8.1831927790412706E-2</v>
      </c>
      <c r="Q329">
        <v>0.19441211187468199</v>
      </c>
      <c r="R329">
        <v>0.99741709452778005</v>
      </c>
      <c r="S329" t="s">
        <v>7135</v>
      </c>
      <c r="T329" t="s">
        <v>13610</v>
      </c>
      <c r="U329" t="s">
        <v>13610</v>
      </c>
      <c r="V329" t="s">
        <v>13610</v>
      </c>
      <c r="W329" t="s">
        <v>13932</v>
      </c>
      <c r="X329">
        <v>3</v>
      </c>
      <c r="Y329" t="s">
        <v>20655</v>
      </c>
      <c r="Z329" t="s">
        <v>27184</v>
      </c>
      <c r="AA329">
        <v>0.56346796887164929</v>
      </c>
      <c r="AB329" t="str">
        <f>HYPERLINK("Melting_Curves/meltCurve_C9JVP0_FOXJ3.pdf", "Melting_Curves/meltCurve_C9JVP0_FOXJ3.pdf")</f>
        <v>Melting_Curves/meltCurve_C9JVP0_FOXJ3.pdf</v>
      </c>
    </row>
    <row r="330" spans="1:28" x14ac:dyDescent="0.25">
      <c r="A330" t="s">
        <v>334</v>
      </c>
      <c r="B330">
        <v>0.995954080203443</v>
      </c>
      <c r="C330">
        <v>1.0521927885501401</v>
      </c>
      <c r="D330">
        <v>0.85574083678458701</v>
      </c>
      <c r="E330">
        <v>0.76500888453692595</v>
      </c>
      <c r="F330">
        <v>0.51364906748223005</v>
      </c>
      <c r="G330">
        <v>0.33419543040505501</v>
      </c>
      <c r="H330">
        <v>0.24657780767433801</v>
      </c>
      <c r="I330">
        <v>0.245122640459319</v>
      </c>
      <c r="J330">
        <v>0.216690154505816</v>
      </c>
      <c r="K330">
        <v>0.203704258918563</v>
      </c>
      <c r="L330">
        <v>915.620401683919</v>
      </c>
      <c r="M330">
        <v>17.645196595601099</v>
      </c>
      <c r="N330">
        <v>53.450170035161001</v>
      </c>
      <c r="O330">
        <v>51.237904701026402</v>
      </c>
      <c r="P330">
        <v>-6.8775702165524796E-2</v>
      </c>
      <c r="Q330">
        <v>0.20120230376189499</v>
      </c>
      <c r="R330">
        <v>0.98889371506490098</v>
      </c>
      <c r="S330" t="s">
        <v>7136</v>
      </c>
      <c r="T330" t="s">
        <v>13610</v>
      </c>
      <c r="U330" t="s">
        <v>13610</v>
      </c>
      <c r="V330" t="s">
        <v>13610</v>
      </c>
      <c r="W330" t="s">
        <v>13933</v>
      </c>
      <c r="X330">
        <v>2</v>
      </c>
      <c r="Y330" t="s">
        <v>20656</v>
      </c>
      <c r="Z330" t="s">
        <v>27185</v>
      </c>
      <c r="AA330">
        <v>0.53158219344554491</v>
      </c>
      <c r="AB330" t="str">
        <f>HYPERLINK("Melting_Curves/meltCurve_C9JVU9_ARHGAP23.pdf", "Melting_Curves/meltCurve_C9JVU9_ARHGAP23.pdf")</f>
        <v>Melting_Curves/meltCurve_C9JVU9_ARHGAP23.pdf</v>
      </c>
    </row>
    <row r="331" spans="1:28" x14ac:dyDescent="0.25">
      <c r="A331" t="s">
        <v>335</v>
      </c>
      <c r="B331">
        <v>0.995954080203443</v>
      </c>
      <c r="C331">
        <v>0.92988858884541203</v>
      </c>
      <c r="D331">
        <v>0.866738920472789</v>
      </c>
      <c r="E331">
        <v>0.48906739372310298</v>
      </c>
      <c r="F331">
        <v>0.35002392344149702</v>
      </c>
      <c r="G331">
        <v>0.25731241363062302</v>
      </c>
      <c r="H331">
        <v>0.19860536766805301</v>
      </c>
      <c r="I331">
        <v>0.25312989418432402</v>
      </c>
      <c r="J331">
        <v>0.27316382561564601</v>
      </c>
      <c r="K331">
        <v>0.235537801438607</v>
      </c>
      <c r="L331">
        <v>1153.37011024258</v>
      </c>
      <c r="M331">
        <v>23.698822182480502</v>
      </c>
      <c r="N331">
        <v>50.035192760276502</v>
      </c>
      <c r="O331">
        <v>48.325291836618</v>
      </c>
      <c r="P331">
        <v>-9.3378858904313106E-2</v>
      </c>
      <c r="Q331">
        <v>0.238361592535457</v>
      </c>
      <c r="R331">
        <v>0.99359840843179703</v>
      </c>
      <c r="S331" t="s">
        <v>7137</v>
      </c>
      <c r="T331" t="s">
        <v>13610</v>
      </c>
      <c r="U331" t="s">
        <v>13610</v>
      </c>
      <c r="V331" t="s">
        <v>13610</v>
      </c>
      <c r="W331" t="s">
        <v>13934</v>
      </c>
      <c r="X331">
        <v>3</v>
      </c>
      <c r="Y331" t="s">
        <v>20657</v>
      </c>
      <c r="Z331" t="s">
        <v>27186</v>
      </c>
      <c r="AA331">
        <v>0.4659495531283715</v>
      </c>
      <c r="AB331" t="str">
        <f>HYPERLINK("Melting_Curves/meltCurve_C9JWC5_TRIM22.pdf", "Melting_Curves/meltCurve_C9JWC5_TRIM22.pdf")</f>
        <v>Melting_Curves/meltCurve_C9JWC5_TRIM22.pdf</v>
      </c>
    </row>
    <row r="332" spans="1:28" x14ac:dyDescent="0.25">
      <c r="A332" t="s">
        <v>336</v>
      </c>
      <c r="B332">
        <v>0.995954080203443</v>
      </c>
      <c r="C332">
        <v>0.96770153608405496</v>
      </c>
      <c r="D332">
        <v>0.81528502182587703</v>
      </c>
      <c r="E332">
        <v>0.800175940228676</v>
      </c>
      <c r="F332">
        <v>0.61974838021117695</v>
      </c>
      <c r="G332">
        <v>0.44963729105609201</v>
      </c>
      <c r="H332">
        <v>0.33415305185747601</v>
      </c>
      <c r="I332">
        <v>0.47339976330362799</v>
      </c>
      <c r="J332">
        <v>0.44099265329531201</v>
      </c>
      <c r="K332">
        <v>0.47351154412665603</v>
      </c>
      <c r="L332">
        <v>806.54748989362497</v>
      </c>
      <c r="M332">
        <v>15.958549400166699</v>
      </c>
      <c r="N332">
        <v>56.6723602616335</v>
      </c>
      <c r="O332">
        <v>49.766525554921103</v>
      </c>
      <c r="P332">
        <v>-4.7216330866445402E-2</v>
      </c>
      <c r="Q332">
        <v>0.41107264885393602</v>
      </c>
      <c r="R332">
        <v>0.93776213828068</v>
      </c>
      <c r="S332" t="s">
        <v>7138</v>
      </c>
      <c r="T332" t="s">
        <v>13610</v>
      </c>
      <c r="U332" t="s">
        <v>13610</v>
      </c>
      <c r="V332" t="s">
        <v>13610</v>
      </c>
      <c r="W332" t="s">
        <v>13935</v>
      </c>
      <c r="X332">
        <v>4</v>
      </c>
      <c r="Y332" t="s">
        <v>20658</v>
      </c>
      <c r="Z332" t="s">
        <v>27187</v>
      </c>
      <c r="AA332">
        <v>0.63038389203854495</v>
      </c>
      <c r="AB332" t="str">
        <f>HYPERLINK("Melting_Curves/meltCurve_C9JXB8_RPL24.pdf", "Melting_Curves/meltCurve_C9JXB8_RPL24.pdf")</f>
        <v>Melting_Curves/meltCurve_C9JXB8_RPL24.pdf</v>
      </c>
    </row>
    <row r="333" spans="1:28" x14ac:dyDescent="0.25">
      <c r="A333" t="s">
        <v>337</v>
      </c>
      <c r="B333">
        <v>0.995954080203443</v>
      </c>
      <c r="C333">
        <v>0.81158935450450598</v>
      </c>
      <c r="D333">
        <v>0.65291912698782295</v>
      </c>
      <c r="E333">
        <v>0.71021791184314498</v>
      </c>
      <c r="F333">
        <v>0.47027041943315001</v>
      </c>
      <c r="G333">
        <v>0.35850903897681602</v>
      </c>
      <c r="H333">
        <v>0.30568966330651298</v>
      </c>
      <c r="I333">
        <v>0.340147663625121</v>
      </c>
      <c r="J333">
        <v>0.33632357513095201</v>
      </c>
      <c r="K333">
        <v>0.40535047559955001</v>
      </c>
      <c r="L333">
        <v>536.67599659968096</v>
      </c>
      <c r="M333">
        <v>11.215930008567099</v>
      </c>
      <c r="N333">
        <v>52.413282596701698</v>
      </c>
      <c r="O333">
        <v>46.403972568432103</v>
      </c>
      <c r="P333">
        <v>-4.1603389849562397E-2</v>
      </c>
      <c r="Q333">
        <v>0.31170811395903902</v>
      </c>
      <c r="R333">
        <v>0.91693519619906105</v>
      </c>
      <c r="S333" t="s">
        <v>7139</v>
      </c>
      <c r="T333" t="s">
        <v>13610</v>
      </c>
      <c r="U333" t="s">
        <v>13610</v>
      </c>
      <c r="V333" t="s">
        <v>13610</v>
      </c>
      <c r="W333" t="s">
        <v>13936</v>
      </c>
      <c r="X333">
        <v>7</v>
      </c>
      <c r="Y333" t="s">
        <v>20659</v>
      </c>
      <c r="Z333" t="s">
        <v>27188</v>
      </c>
      <c r="AA333">
        <v>0.52239713748045136</v>
      </c>
      <c r="AB333" t="str">
        <f>HYPERLINK("Melting_Curves/meltCurve_C9JXB9_DNAJB2.pdf", "Melting_Curves/meltCurve_C9JXB9_DNAJB2.pdf")</f>
        <v>Melting_Curves/meltCurve_C9JXB9_DNAJB2.pdf</v>
      </c>
    </row>
    <row r="334" spans="1:28" x14ac:dyDescent="0.25">
      <c r="A334" t="s">
        <v>338</v>
      </c>
      <c r="B334">
        <v>0.995954080203443</v>
      </c>
      <c r="C334">
        <v>0.8063831717387</v>
      </c>
      <c r="D334">
        <v>0.53785478797383701</v>
      </c>
      <c r="E334">
        <v>0.47626501565152102</v>
      </c>
      <c r="F334">
        <v>0.305457184690551</v>
      </c>
      <c r="G334">
        <v>0.18607889008878201</v>
      </c>
      <c r="H334">
        <v>0.13009100048012501</v>
      </c>
      <c r="I334">
        <v>0.10559448712161</v>
      </c>
      <c r="J334">
        <v>9.0695904202109406E-2</v>
      </c>
      <c r="K334">
        <v>7.5311815729505197E-2</v>
      </c>
      <c r="L334">
        <v>545.29658133031398</v>
      </c>
      <c r="M334">
        <v>11.387293898790601</v>
      </c>
      <c r="N334">
        <v>48.406631024915299</v>
      </c>
      <c r="O334">
        <v>46.480948386967498</v>
      </c>
      <c r="P334">
        <v>-5.7736800198505599E-2</v>
      </c>
      <c r="Q334">
        <v>5.7592031742196202E-2</v>
      </c>
      <c r="R334">
        <v>0.97800833827287403</v>
      </c>
      <c r="S334" t="s">
        <v>7140</v>
      </c>
      <c r="T334" t="s">
        <v>13610</v>
      </c>
      <c r="U334" t="s">
        <v>13610</v>
      </c>
      <c r="V334" t="s">
        <v>13610</v>
      </c>
      <c r="W334" t="s">
        <v>13937</v>
      </c>
      <c r="X334">
        <v>3</v>
      </c>
      <c r="Y334" t="s">
        <v>20660</v>
      </c>
      <c r="Z334" t="s">
        <v>27189</v>
      </c>
      <c r="AA334">
        <v>0.3460495169021473</v>
      </c>
      <c r="AB334" t="str">
        <f>HYPERLINK("Melting_Curves/meltCurve_C9JXP4_ZBED1.pdf", "Melting_Curves/meltCurve_C9JXP4_ZBED1.pdf")</f>
        <v>Melting_Curves/meltCurve_C9JXP4_ZBED1.pdf</v>
      </c>
    </row>
    <row r="335" spans="1:28" x14ac:dyDescent="0.25">
      <c r="A335" t="s">
        <v>339</v>
      </c>
      <c r="B335">
        <v>0.995954080203443</v>
      </c>
      <c r="C335">
        <v>0.75426691452093297</v>
      </c>
      <c r="D335">
        <v>0.56230147293795296</v>
      </c>
      <c r="E335">
        <v>0.40221290803104798</v>
      </c>
      <c r="F335">
        <v>0.26772116996037798</v>
      </c>
      <c r="G335">
        <v>0.181647635160474</v>
      </c>
      <c r="H335">
        <v>0.21698819928184601</v>
      </c>
      <c r="I335">
        <v>0.17184189055430199</v>
      </c>
      <c r="J335">
        <v>0.178886376681514</v>
      </c>
      <c r="K335">
        <v>0.164917483597291</v>
      </c>
      <c r="L335">
        <v>698.25815228579302</v>
      </c>
      <c r="M335">
        <v>15.181204904363</v>
      </c>
      <c r="N335">
        <v>47.2881900572267</v>
      </c>
      <c r="O335">
        <v>45.218950920499701</v>
      </c>
      <c r="P335">
        <v>-6.9678974037551994E-2</v>
      </c>
      <c r="Q335">
        <v>0.16989247574295499</v>
      </c>
      <c r="R335">
        <v>0.98558069597629305</v>
      </c>
      <c r="S335" t="s">
        <v>7141</v>
      </c>
      <c r="T335" t="s">
        <v>13610</v>
      </c>
      <c r="U335" t="s">
        <v>13610</v>
      </c>
      <c r="V335" t="s">
        <v>13610</v>
      </c>
      <c r="W335" t="s">
        <v>13938</v>
      </c>
      <c r="X335">
        <v>1</v>
      </c>
      <c r="Y335" t="s">
        <v>20661</v>
      </c>
      <c r="Z335" t="s">
        <v>27190</v>
      </c>
      <c r="AA335">
        <v>0.3594203747007268</v>
      </c>
      <c r="AB335" t="str">
        <f>HYPERLINK("Melting_Curves/meltCurve_C9JYD0_PCGF3.pdf", "Melting_Curves/meltCurve_C9JYD0_PCGF3.pdf")</f>
        <v>Melting_Curves/meltCurve_C9JYD0_PCGF3.pdf</v>
      </c>
    </row>
    <row r="336" spans="1:28" x14ac:dyDescent="0.25">
      <c r="A336" t="s">
        <v>340</v>
      </c>
      <c r="B336">
        <v>0.995954080203443</v>
      </c>
      <c r="C336">
        <v>0.96719774452681995</v>
      </c>
      <c r="D336">
        <v>0.91058754667482</v>
      </c>
      <c r="E336">
        <v>0.73239265763891703</v>
      </c>
      <c r="F336">
        <v>0.63686433726166103</v>
      </c>
      <c r="G336">
        <v>0.411885567460267</v>
      </c>
      <c r="H336">
        <v>0.24905921930012101</v>
      </c>
      <c r="I336">
        <v>0.19262175974921</v>
      </c>
      <c r="J336">
        <v>0.23144903194224001</v>
      </c>
      <c r="K336">
        <v>0.21453044772061799</v>
      </c>
      <c r="L336">
        <v>747.11573796428797</v>
      </c>
      <c r="M336">
        <v>14.0166963502536</v>
      </c>
      <c r="N336">
        <v>54.814550626035597</v>
      </c>
      <c r="O336">
        <v>52.252081518443902</v>
      </c>
      <c r="P336">
        <v>-5.6313946213165197E-2</v>
      </c>
      <c r="Q336">
        <v>0.16039177679833</v>
      </c>
      <c r="R336">
        <v>0.99314233451178302</v>
      </c>
      <c r="S336" t="s">
        <v>7142</v>
      </c>
      <c r="T336" t="s">
        <v>13610</v>
      </c>
      <c r="U336" t="s">
        <v>13610</v>
      </c>
      <c r="V336" t="s">
        <v>13610</v>
      </c>
      <c r="W336" t="s">
        <v>13939</v>
      </c>
      <c r="X336">
        <v>2</v>
      </c>
      <c r="Y336" t="s">
        <v>20662</v>
      </c>
      <c r="Z336" t="s">
        <v>27191</v>
      </c>
      <c r="AA336">
        <v>0.55214961546946129</v>
      </c>
      <c r="AB336" t="str">
        <f>HYPERLINK("Melting_Curves/meltCurve_C9JYJ6_FILIP1L.pdf", "Melting_Curves/meltCurve_C9JYJ6_FILIP1L.pdf")</f>
        <v>Melting_Curves/meltCurve_C9JYJ6_FILIP1L.pdf</v>
      </c>
    </row>
    <row r="337" spans="1:28" x14ac:dyDescent="0.25">
      <c r="A337" t="s">
        <v>341</v>
      </c>
      <c r="B337">
        <v>0.995954080203443</v>
      </c>
      <c r="C337">
        <v>0.83502443327978304</v>
      </c>
      <c r="D337">
        <v>0.67009338052081102</v>
      </c>
      <c r="E337">
        <v>0.74293650953133195</v>
      </c>
      <c r="F337">
        <v>0.48919320496348301</v>
      </c>
      <c r="G337">
        <v>0.30758235425150698</v>
      </c>
      <c r="H337">
        <v>0.137383214718311</v>
      </c>
      <c r="I337">
        <v>8.0386634508738106E-2</v>
      </c>
      <c r="J337">
        <v>6.2126271715557499E-2</v>
      </c>
      <c r="K337">
        <v>5.7301717638713799E-2</v>
      </c>
      <c r="L337">
        <v>541.86186436130004</v>
      </c>
      <c r="M337">
        <v>10.3803677884365</v>
      </c>
      <c r="N337">
        <v>52.200635791298303</v>
      </c>
      <c r="O337">
        <v>50.3747908148382</v>
      </c>
      <c r="P337">
        <v>-5.1537409790909698E-2</v>
      </c>
      <c r="Q337">
        <v>0</v>
      </c>
      <c r="R337">
        <v>0.95877941316262905</v>
      </c>
      <c r="S337" t="s">
        <v>7143</v>
      </c>
      <c r="T337" t="s">
        <v>13610</v>
      </c>
      <c r="U337" t="s">
        <v>13610</v>
      </c>
      <c r="V337" t="s">
        <v>13610</v>
      </c>
      <c r="W337" t="s">
        <v>13940</v>
      </c>
      <c r="X337">
        <v>4</v>
      </c>
      <c r="Y337" t="s">
        <v>20663</v>
      </c>
      <c r="Z337" t="s">
        <v>27192</v>
      </c>
      <c r="AA337">
        <v>0.44245870446917013</v>
      </c>
      <c r="AB337" t="str">
        <f>HYPERLINK("Melting_Curves/meltCurve_C9JYM0_POP7.pdf", "Melting_Curves/meltCurve_C9JYM0_POP7.pdf")</f>
        <v>Melting_Curves/meltCurve_C9JYM0_POP7.pdf</v>
      </c>
    </row>
    <row r="338" spans="1:28" x14ac:dyDescent="0.25">
      <c r="A338" t="s">
        <v>342</v>
      </c>
      <c r="B338">
        <v>0.995954080203443</v>
      </c>
      <c r="C338">
        <v>0</v>
      </c>
      <c r="D338">
        <v>0.209893142055113</v>
      </c>
      <c r="E338">
        <v>0</v>
      </c>
      <c r="F338">
        <v>0</v>
      </c>
      <c r="G338">
        <v>0</v>
      </c>
      <c r="H338">
        <v>0.22401512319303801</v>
      </c>
      <c r="I338">
        <v>0</v>
      </c>
      <c r="J338">
        <v>0</v>
      </c>
      <c r="K338">
        <v>0</v>
      </c>
      <c r="L338">
        <v>10217.507173027499</v>
      </c>
      <c r="M338">
        <v>250</v>
      </c>
      <c r="N338">
        <v>40.886611343624203</v>
      </c>
      <c r="O338">
        <v>40.867413297263496</v>
      </c>
      <c r="P338">
        <v>-1.4556045239839499</v>
      </c>
      <c r="Q338">
        <v>4.8211334621752901E-2</v>
      </c>
      <c r="R338">
        <v>0.91684473028708002</v>
      </c>
      <c r="S338" t="s">
        <v>7144</v>
      </c>
      <c r="T338" t="s">
        <v>13610</v>
      </c>
      <c r="U338" t="s">
        <v>13610</v>
      </c>
      <c r="V338" t="s">
        <v>13610</v>
      </c>
      <c r="W338" t="s">
        <v>13941</v>
      </c>
      <c r="X338">
        <v>1</v>
      </c>
      <c r="Y338" t="s">
        <v>20664</v>
      </c>
      <c r="Z338" t="s">
        <v>27193</v>
      </c>
      <c r="AA338">
        <v>7.5903779816806932E-2</v>
      </c>
      <c r="AB338" t="str">
        <f>HYPERLINK("Melting_Curves/meltCurve_C9JZE9_CPA5.pdf", "Melting_Curves/meltCurve_C9JZE9_CPA5.pdf")</f>
        <v>Melting_Curves/meltCurve_C9JZE9_CPA5.pdf</v>
      </c>
    </row>
    <row r="339" spans="1:28" x14ac:dyDescent="0.25">
      <c r="A339" t="s">
        <v>343</v>
      </c>
      <c r="B339">
        <v>0.995954080203443</v>
      </c>
      <c r="C339">
        <v>0.89754337315005295</v>
      </c>
      <c r="D339">
        <v>0.80477058741590701</v>
      </c>
      <c r="E339">
        <v>0.724509413790838</v>
      </c>
      <c r="F339">
        <v>0.64622703282966398</v>
      </c>
      <c r="G339">
        <v>0.41007397528559297</v>
      </c>
      <c r="H339">
        <v>0.39347681222880698</v>
      </c>
      <c r="I339">
        <v>0.47544612703303601</v>
      </c>
      <c r="J339">
        <v>0.60059111004537702</v>
      </c>
      <c r="K339">
        <v>0.52659460310746997</v>
      </c>
      <c r="L339">
        <v>720.36129789070401</v>
      </c>
      <c r="M339">
        <v>14.9097701605343</v>
      </c>
      <c r="N339">
        <v>60.979724344019097</v>
      </c>
      <c r="O339">
        <v>47.470562127534102</v>
      </c>
      <c r="P339">
        <v>-4.1039420448343501E-2</v>
      </c>
      <c r="Q339">
        <v>0.47739962975932598</v>
      </c>
      <c r="R339">
        <v>0.87325160309660099</v>
      </c>
      <c r="S339" t="s">
        <v>7145</v>
      </c>
      <c r="T339" t="s">
        <v>13610</v>
      </c>
      <c r="U339" t="s">
        <v>13610</v>
      </c>
      <c r="V339" t="s">
        <v>13610</v>
      </c>
      <c r="W339" t="s">
        <v>13942</v>
      </c>
      <c r="X339">
        <v>15</v>
      </c>
      <c r="Y339" t="s">
        <v>20665</v>
      </c>
      <c r="Z339" t="s">
        <v>27194</v>
      </c>
      <c r="AA339">
        <v>0.63565683520932581</v>
      </c>
      <c r="AB339" t="str">
        <f>HYPERLINK("Melting_Curves/meltCurve_C9JZR4_ARFGAP3.pdf", "Melting_Curves/meltCurve_C9JZR4_ARFGAP3.pdf")</f>
        <v>Melting_Curves/meltCurve_C9JZR4_ARFGAP3.pdf</v>
      </c>
    </row>
    <row r="340" spans="1:28" x14ac:dyDescent="0.25">
      <c r="A340" t="s">
        <v>344</v>
      </c>
      <c r="B340">
        <v>0.995954080203443</v>
      </c>
      <c r="C340">
        <v>1.1555960510296399</v>
      </c>
      <c r="D340">
        <v>0.96029035834029297</v>
      </c>
      <c r="E340">
        <v>0.75632812191840304</v>
      </c>
      <c r="F340">
        <v>0.38136569185626001</v>
      </c>
      <c r="G340">
        <v>0.285511988552691</v>
      </c>
      <c r="H340">
        <v>0.21976034145779799</v>
      </c>
      <c r="I340">
        <v>0.26197730420870102</v>
      </c>
      <c r="J340">
        <v>0.183085120018878</v>
      </c>
      <c r="K340">
        <v>0.29481569440043198</v>
      </c>
      <c r="L340">
        <v>1904.6498487598601</v>
      </c>
      <c r="M340">
        <v>37.380245183234898</v>
      </c>
      <c r="N340">
        <v>51.886556382063098</v>
      </c>
      <c r="O340">
        <v>50.808212147756201</v>
      </c>
      <c r="P340">
        <v>-0.13891605259562601</v>
      </c>
      <c r="Q340">
        <v>0.24472870135330599</v>
      </c>
      <c r="R340">
        <v>0.97375713606749403</v>
      </c>
      <c r="S340" t="s">
        <v>7146</v>
      </c>
      <c r="T340" t="s">
        <v>13610</v>
      </c>
      <c r="U340" t="s">
        <v>13610</v>
      </c>
      <c r="V340" t="s">
        <v>13610</v>
      </c>
      <c r="W340" t="s">
        <v>13943</v>
      </c>
      <c r="X340">
        <v>3</v>
      </c>
      <c r="Y340" t="s">
        <v>20666</v>
      </c>
      <c r="Z340" t="s">
        <v>27195</v>
      </c>
      <c r="AA340">
        <v>0.52353672633163917</v>
      </c>
      <c r="AB340" t="str">
        <f>HYPERLINK("Melting_Curves/meltCurve_C9JZY3_PCBP4.pdf", "Melting_Curves/meltCurve_C9JZY3_PCBP4.pdf")</f>
        <v>Melting_Curves/meltCurve_C9JZY3_PCBP4.pdf</v>
      </c>
    </row>
    <row r="341" spans="1:28" x14ac:dyDescent="0.25">
      <c r="A341" t="s">
        <v>345</v>
      </c>
      <c r="B341">
        <v>0.995954080203443</v>
      </c>
      <c r="C341">
        <v>0.94951918526454504</v>
      </c>
      <c r="D341">
        <v>0.98349393515934702</v>
      </c>
      <c r="E341">
        <v>0.621200409259417</v>
      </c>
      <c r="F341">
        <v>0.43172606014062798</v>
      </c>
      <c r="G341">
        <v>0.257417157992404</v>
      </c>
      <c r="H341">
        <v>0.147629474697518</v>
      </c>
      <c r="I341">
        <v>0.13704946914080399</v>
      </c>
      <c r="J341">
        <v>0.156713155355277</v>
      </c>
      <c r="K341">
        <v>0.16144679919467</v>
      </c>
      <c r="L341">
        <v>1070.72604914765</v>
      </c>
      <c r="M341">
        <v>20.986188732999899</v>
      </c>
      <c r="N341">
        <v>51.870413745182198</v>
      </c>
      <c r="O341">
        <v>50.5640230535897</v>
      </c>
      <c r="P341">
        <v>-8.8667444879494003E-2</v>
      </c>
      <c r="Q341">
        <v>0.14548330863055001</v>
      </c>
      <c r="R341">
        <v>0.99272197838681797</v>
      </c>
      <c r="S341" t="s">
        <v>7147</v>
      </c>
      <c r="T341" t="s">
        <v>13610</v>
      </c>
      <c r="U341" t="s">
        <v>13610</v>
      </c>
      <c r="V341" t="s">
        <v>13610</v>
      </c>
      <c r="W341" t="s">
        <v>13944</v>
      </c>
      <c r="X341">
        <v>5</v>
      </c>
      <c r="Y341" t="s">
        <v>20667</v>
      </c>
      <c r="Z341" t="s">
        <v>27196</v>
      </c>
      <c r="AA341">
        <v>0.47022361160666198</v>
      </c>
      <c r="AB341" t="str">
        <f>HYPERLINK("Melting_Curves/meltCurve_D3YTB1_RPL32.pdf", "Melting_Curves/meltCurve_D3YTB1_RPL32.pdf")</f>
        <v>Melting_Curves/meltCurve_D3YTB1_RPL32.pdf</v>
      </c>
    </row>
    <row r="342" spans="1:28" x14ac:dyDescent="0.25">
      <c r="A342" t="s">
        <v>346</v>
      </c>
      <c r="B342">
        <v>0.995954080203443</v>
      </c>
      <c r="C342">
        <v>0.94522497965895302</v>
      </c>
      <c r="D342">
        <v>0.87879858364070595</v>
      </c>
      <c r="E342">
        <v>0.85894845340075099</v>
      </c>
      <c r="F342">
        <v>0.73236339167304398</v>
      </c>
      <c r="G342">
        <v>0.54360094997894604</v>
      </c>
      <c r="H342">
        <v>0.50717046672396504</v>
      </c>
      <c r="I342">
        <v>0.59194263770617706</v>
      </c>
      <c r="J342">
        <v>0.72669104141755403</v>
      </c>
      <c r="K342">
        <v>0.68707969167945004</v>
      </c>
      <c r="L342">
        <v>994.15083612870399</v>
      </c>
      <c r="M342">
        <v>19.900743205674999</v>
      </c>
      <c r="O342">
        <v>49.459267825069801</v>
      </c>
      <c r="P342">
        <v>-3.9138131512207297E-2</v>
      </c>
      <c r="Q342">
        <v>0.61093349438699396</v>
      </c>
      <c r="R342">
        <v>0.80307044296940899</v>
      </c>
      <c r="S342" t="s">
        <v>7148</v>
      </c>
      <c r="T342" t="s">
        <v>13610</v>
      </c>
      <c r="U342" t="s">
        <v>13610</v>
      </c>
      <c r="V342" t="s">
        <v>13610</v>
      </c>
      <c r="W342" t="s">
        <v>13945</v>
      </c>
      <c r="X342">
        <v>19</v>
      </c>
      <c r="Y342" t="s">
        <v>20668</v>
      </c>
      <c r="Z342" t="s">
        <v>27197</v>
      </c>
      <c r="AA342">
        <v>0.74551489365504275</v>
      </c>
      <c r="AB342" t="str">
        <f>HYPERLINK("Melting_Curves/meltCurve_D3YTE0_KRI1.pdf", "Melting_Curves/meltCurve_D3YTE0_KRI1.pdf")</f>
        <v>Melting_Curves/meltCurve_D3YTE0_KRI1.pdf</v>
      </c>
    </row>
    <row r="343" spans="1:28" x14ac:dyDescent="0.25">
      <c r="A343" t="s">
        <v>347</v>
      </c>
      <c r="B343">
        <v>0.995954080203443</v>
      </c>
      <c r="C343">
        <v>0.95857594691284898</v>
      </c>
      <c r="D343">
        <v>0.88568490155740298</v>
      </c>
      <c r="E343">
        <v>0.83403767436796095</v>
      </c>
      <c r="F343">
        <v>0.74676742569460497</v>
      </c>
      <c r="G343">
        <v>0.54030568073053997</v>
      </c>
      <c r="H343">
        <v>0.48801909505839097</v>
      </c>
      <c r="I343">
        <v>0.54711934975371201</v>
      </c>
      <c r="J343">
        <v>0.66974604125599702</v>
      </c>
      <c r="K343">
        <v>0.64858639056202805</v>
      </c>
      <c r="L343">
        <v>964.00269860518904</v>
      </c>
      <c r="M343">
        <v>19.1092114465369</v>
      </c>
      <c r="O343">
        <v>49.904298322767502</v>
      </c>
      <c r="P343">
        <v>-4.0693712125768097E-2</v>
      </c>
      <c r="Q343">
        <v>0.57492499923986995</v>
      </c>
      <c r="R343">
        <v>0.870812167294577</v>
      </c>
      <c r="S343" t="s">
        <v>7149</v>
      </c>
      <c r="T343" t="s">
        <v>13610</v>
      </c>
      <c r="U343" t="s">
        <v>13610</v>
      </c>
      <c r="V343" t="s">
        <v>13610</v>
      </c>
      <c r="W343" t="s">
        <v>13946</v>
      </c>
      <c r="X343">
        <v>5</v>
      </c>
      <c r="Y343" t="s">
        <v>20669</v>
      </c>
      <c r="Z343" t="s">
        <v>27198</v>
      </c>
      <c r="AA343">
        <v>0.7293949278919184</v>
      </c>
      <c r="AB343" t="str">
        <f>HYPERLINK("Melting_Curves/meltCurve_D3YTE1_PHF20L1.pdf", "Melting_Curves/meltCurve_D3YTE1_PHF20L1.pdf")</f>
        <v>Melting_Curves/meltCurve_D3YTE1_PHF20L1.pdf</v>
      </c>
    </row>
    <row r="344" spans="1:28" x14ac:dyDescent="0.25">
      <c r="A344" t="s">
        <v>348</v>
      </c>
      <c r="B344">
        <v>0.995954080203443</v>
      </c>
      <c r="C344">
        <v>0.97694299687781005</v>
      </c>
      <c r="D344">
        <v>0.85340262575082204</v>
      </c>
      <c r="E344">
        <v>0.52022449435535001</v>
      </c>
      <c r="F344">
        <v>0.385685006589434</v>
      </c>
      <c r="G344">
        <v>0.232062311244147</v>
      </c>
      <c r="H344">
        <v>0.130857368586318</v>
      </c>
      <c r="I344">
        <v>0.15626847850678799</v>
      </c>
      <c r="J344">
        <v>0.17494076971657399</v>
      </c>
      <c r="K344">
        <v>0.155323697753213</v>
      </c>
      <c r="L344">
        <v>926.52302540911205</v>
      </c>
      <c r="M344">
        <v>18.6328716345899</v>
      </c>
      <c r="N344">
        <v>50.676651000860801</v>
      </c>
      <c r="O344">
        <v>49.163051059645497</v>
      </c>
      <c r="P344">
        <v>-8.07690009041067E-2</v>
      </c>
      <c r="Q344">
        <v>0.147596834157804</v>
      </c>
      <c r="R344">
        <v>0.99562065078600803</v>
      </c>
      <c r="S344" t="s">
        <v>7150</v>
      </c>
      <c r="T344" t="s">
        <v>13610</v>
      </c>
      <c r="U344" t="s">
        <v>13610</v>
      </c>
      <c r="V344" t="s">
        <v>13610</v>
      </c>
      <c r="W344" t="s">
        <v>13947</v>
      </c>
      <c r="X344">
        <v>7</v>
      </c>
      <c r="Y344" t="s">
        <v>20670</v>
      </c>
      <c r="Z344" t="s">
        <v>27199</v>
      </c>
      <c r="AA344">
        <v>0.43757056778591941</v>
      </c>
      <c r="AB344" t="str">
        <f>HYPERLINK("Melting_Curves/meltCurve_D3YTG6_NDOR1.pdf", "Melting_Curves/meltCurve_D3YTG6_NDOR1.pdf")</f>
        <v>Melting_Curves/meltCurve_D3YTG6_NDOR1.pdf</v>
      </c>
    </row>
    <row r="345" spans="1:28" x14ac:dyDescent="0.25">
      <c r="A345" t="s">
        <v>349</v>
      </c>
      <c r="B345">
        <v>0.995954080203443</v>
      </c>
      <c r="C345">
        <v>0.86492227140627997</v>
      </c>
      <c r="D345">
        <v>0.51020412543205196</v>
      </c>
      <c r="E345">
        <v>0.274120528944157</v>
      </c>
      <c r="F345">
        <v>0.14932612454174099</v>
      </c>
      <c r="G345">
        <v>7.11837011778991E-2</v>
      </c>
      <c r="H345">
        <v>5.6067858597352999E-2</v>
      </c>
      <c r="I345">
        <v>5.4933246848673699E-2</v>
      </c>
      <c r="J345">
        <v>6.1940257920482099E-2</v>
      </c>
      <c r="K345">
        <v>5.4983913911270103E-2</v>
      </c>
      <c r="L345">
        <v>905.52288849083197</v>
      </c>
      <c r="M345">
        <v>19.554374584906601</v>
      </c>
      <c r="N345">
        <v>46.601182041652997</v>
      </c>
      <c r="O345">
        <v>45.8318059313712</v>
      </c>
      <c r="P345">
        <v>-0.10049276841348601</v>
      </c>
      <c r="Q345">
        <v>5.7888482968279899E-2</v>
      </c>
      <c r="R345">
        <v>0.99428417695040205</v>
      </c>
      <c r="S345" t="s">
        <v>7151</v>
      </c>
      <c r="T345" t="s">
        <v>13610</v>
      </c>
      <c r="U345" t="s">
        <v>13610</v>
      </c>
      <c r="V345" t="s">
        <v>13610</v>
      </c>
      <c r="W345" t="s">
        <v>13948</v>
      </c>
      <c r="X345">
        <v>2</v>
      </c>
      <c r="Y345" t="s">
        <v>20671</v>
      </c>
      <c r="Z345" t="s">
        <v>27200</v>
      </c>
      <c r="AA345">
        <v>0.27100306065800689</v>
      </c>
      <c r="AB345" t="str">
        <f>HYPERLINK("Melting_Curves/meltCurve_D6R992_RELB.pdf", "Melting_Curves/meltCurve_D6R992_RELB.pdf")</f>
        <v>Melting_Curves/meltCurve_D6R992_RELB.pdf</v>
      </c>
    </row>
    <row r="346" spans="1:28" x14ac:dyDescent="0.25">
      <c r="A346" t="s">
        <v>350</v>
      </c>
      <c r="B346">
        <v>0.995954080203443</v>
      </c>
      <c r="C346">
        <v>0.93862096719179799</v>
      </c>
      <c r="D346">
        <v>0.84073826557089903</v>
      </c>
      <c r="E346">
        <v>0.633284481209067</v>
      </c>
      <c r="F346">
        <v>0.46638244879941998</v>
      </c>
      <c r="G346">
        <v>0.25699643255226501</v>
      </c>
      <c r="H346">
        <v>0.15592925284117901</v>
      </c>
      <c r="I346">
        <v>0.14367859089486701</v>
      </c>
      <c r="J346">
        <v>0.124753317090011</v>
      </c>
      <c r="K346">
        <v>0.13149237822194099</v>
      </c>
      <c r="L346">
        <v>731.619636570887</v>
      </c>
      <c r="M346">
        <v>14.2557331735091</v>
      </c>
      <c r="N346">
        <v>52.071466548970903</v>
      </c>
      <c r="O346">
        <v>50.342894339353499</v>
      </c>
      <c r="P346">
        <v>-6.4227738812108304E-2</v>
      </c>
      <c r="Q346">
        <v>9.2853091818957206E-2</v>
      </c>
      <c r="R346">
        <v>0.99839104200797102</v>
      </c>
      <c r="S346" t="s">
        <v>7152</v>
      </c>
      <c r="T346" t="s">
        <v>13610</v>
      </c>
      <c r="U346" t="s">
        <v>13610</v>
      </c>
      <c r="V346" t="s">
        <v>13610</v>
      </c>
      <c r="W346" t="s">
        <v>13949</v>
      </c>
      <c r="X346">
        <v>4</v>
      </c>
      <c r="Y346" t="s">
        <v>20672</v>
      </c>
      <c r="Z346" t="s">
        <v>27201</v>
      </c>
      <c r="AA346">
        <v>0.45767662410249199</v>
      </c>
      <c r="AB346" t="str">
        <f>HYPERLINK("Melting_Curves/meltCurve_D6R9E3_MND1.pdf", "Melting_Curves/meltCurve_D6R9E3_MND1.pdf")</f>
        <v>Melting_Curves/meltCurve_D6R9E3_MND1.pdf</v>
      </c>
    </row>
    <row r="347" spans="1:28" x14ac:dyDescent="0.25">
      <c r="A347" t="s">
        <v>351</v>
      </c>
      <c r="B347">
        <v>0.995954080203443</v>
      </c>
      <c r="C347">
        <v>0.97910211482813603</v>
      </c>
      <c r="D347">
        <v>1.76806990963764</v>
      </c>
      <c r="E347">
        <v>1.1676437852750099</v>
      </c>
      <c r="F347">
        <v>1.77474665783216</v>
      </c>
      <c r="G347">
        <v>1.6072797917661701</v>
      </c>
      <c r="H347">
        <v>1.69972186592795</v>
      </c>
      <c r="I347">
        <v>2.01967875958431</v>
      </c>
      <c r="J347">
        <v>2.6533394310879599</v>
      </c>
      <c r="K347">
        <v>2.6007266103459301</v>
      </c>
      <c r="L347">
        <v>11044.172955891299</v>
      </c>
      <c r="M347">
        <v>250</v>
      </c>
      <c r="O347">
        <v>44.173864507696798</v>
      </c>
      <c r="P347">
        <v>0.70743187566258503</v>
      </c>
      <c r="Q347">
        <v>1.5</v>
      </c>
      <c r="R347">
        <v>3.6143676623239299E-3</v>
      </c>
      <c r="S347" t="s">
        <v>7153</v>
      </c>
      <c r="T347" t="s">
        <v>13610</v>
      </c>
      <c r="U347" t="s">
        <v>13610</v>
      </c>
      <c r="V347" t="s">
        <v>13610</v>
      </c>
      <c r="W347" t="s">
        <v>13950</v>
      </c>
      <c r="X347">
        <v>7</v>
      </c>
      <c r="Y347" t="s">
        <v>20673</v>
      </c>
      <c r="Z347" t="s">
        <v>27202</v>
      </c>
      <c r="AA347">
        <v>1.4303497049039271</v>
      </c>
      <c r="AB347" t="str">
        <f>HYPERLINK("Melting_Curves/meltCurve_D6R9J8_MEF2C.pdf", "Melting_Curves/meltCurve_D6R9J8_MEF2C.pdf")</f>
        <v>Melting_Curves/meltCurve_D6R9J8_MEF2C.pdf</v>
      </c>
    </row>
    <row r="348" spans="1:28" x14ac:dyDescent="0.25">
      <c r="A348" t="s">
        <v>352</v>
      </c>
      <c r="B348">
        <v>0.995954080203443</v>
      </c>
      <c r="C348">
        <v>0.95053508703537104</v>
      </c>
      <c r="D348">
        <v>0.87504723765895698</v>
      </c>
      <c r="E348">
        <v>0.86761086551655298</v>
      </c>
      <c r="F348">
        <v>0.72659956674709802</v>
      </c>
      <c r="G348">
        <v>0.48684564126320201</v>
      </c>
      <c r="H348">
        <v>0.40215084810833801</v>
      </c>
      <c r="I348">
        <v>0.43845492317339102</v>
      </c>
      <c r="J348">
        <v>0.64930972426090805</v>
      </c>
      <c r="K348">
        <v>0.49812817618905098</v>
      </c>
      <c r="L348">
        <v>1319.59950901157</v>
      </c>
      <c r="M348">
        <v>25.363505805164198</v>
      </c>
      <c r="N348">
        <v>60.768542439806097</v>
      </c>
      <c r="O348">
        <v>51.707279527085198</v>
      </c>
      <c r="P348">
        <v>-6.2912210364942406E-2</v>
      </c>
      <c r="Q348">
        <v>0.48698269839743602</v>
      </c>
      <c r="R348">
        <v>0.87655262654002797</v>
      </c>
      <c r="S348" t="s">
        <v>7154</v>
      </c>
      <c r="T348" t="s">
        <v>13610</v>
      </c>
      <c r="U348" t="s">
        <v>13610</v>
      </c>
      <c r="V348" t="s">
        <v>13610</v>
      </c>
      <c r="W348" t="s">
        <v>13951</v>
      </c>
      <c r="X348">
        <v>7</v>
      </c>
      <c r="Y348" t="s">
        <v>20674</v>
      </c>
      <c r="Z348" t="s">
        <v>27203</v>
      </c>
      <c r="AA348">
        <v>0.69721578973513387</v>
      </c>
      <c r="AB348" t="str">
        <f>HYPERLINK("Melting_Curves/meltCurve_D6R9P3_HNRNPAB.pdf", "Melting_Curves/meltCurve_D6R9P3_HNRNPAB.pdf")</f>
        <v>Melting_Curves/meltCurve_D6R9P3_HNRNPAB.pdf</v>
      </c>
    </row>
    <row r="349" spans="1:28" x14ac:dyDescent="0.25">
      <c r="A349" t="s">
        <v>353</v>
      </c>
      <c r="B349">
        <v>0.995954080203443</v>
      </c>
      <c r="C349">
        <v>1.0039680046166899</v>
      </c>
      <c r="D349">
        <v>0.97822700126795603</v>
      </c>
      <c r="E349">
        <v>0.91946671739053898</v>
      </c>
      <c r="F349">
        <v>0.88703588204417705</v>
      </c>
      <c r="G349">
        <v>0.71634853476387705</v>
      </c>
      <c r="H349">
        <v>0.65708798979006899</v>
      </c>
      <c r="I349">
        <v>0.78510062551803295</v>
      </c>
      <c r="J349">
        <v>1.04167974264241</v>
      </c>
      <c r="K349">
        <v>0.95248883251065897</v>
      </c>
      <c r="L349">
        <v>1824.2035036185</v>
      </c>
      <c r="M349">
        <v>36.3348835501805</v>
      </c>
      <c r="O349">
        <v>50.053946562205098</v>
      </c>
      <c r="P349">
        <v>-2.9898940968197701E-2</v>
      </c>
      <c r="Q349">
        <v>0.83524863336844601</v>
      </c>
      <c r="R349">
        <v>0.31245438232308298</v>
      </c>
      <c r="S349" t="s">
        <v>7155</v>
      </c>
      <c r="T349" t="s">
        <v>13610</v>
      </c>
      <c r="U349" t="s">
        <v>13610</v>
      </c>
      <c r="V349" t="s">
        <v>13610</v>
      </c>
      <c r="W349" t="s">
        <v>13952</v>
      </c>
      <c r="X349">
        <v>6</v>
      </c>
      <c r="Y349" t="s">
        <v>20675</v>
      </c>
      <c r="Z349" t="s">
        <v>27204</v>
      </c>
      <c r="AA349">
        <v>0.89198747018233226</v>
      </c>
      <c r="AB349" t="str">
        <f>HYPERLINK("Melting_Curves/meltCurve_D6R9S4_MLF1IP.pdf", "Melting_Curves/meltCurve_D6R9S4_MLF1IP.pdf")</f>
        <v>Melting_Curves/meltCurve_D6R9S4_MLF1IP.pdf</v>
      </c>
    </row>
    <row r="350" spans="1:28" x14ac:dyDescent="0.25">
      <c r="A350" t="s">
        <v>354</v>
      </c>
      <c r="B350">
        <v>0.995954080203443</v>
      </c>
      <c r="C350">
        <v>0.93785794611706097</v>
      </c>
      <c r="D350">
        <v>0.93447660832191703</v>
      </c>
      <c r="E350">
        <v>0.98811840740274004</v>
      </c>
      <c r="F350">
        <v>0.86002290964524897</v>
      </c>
      <c r="G350">
        <v>0.679330288482342</v>
      </c>
      <c r="H350">
        <v>0.60108615302747803</v>
      </c>
      <c r="I350">
        <v>0.67656982271265997</v>
      </c>
      <c r="J350">
        <v>0.72638223442765704</v>
      </c>
      <c r="K350">
        <v>0.88660620341994401</v>
      </c>
      <c r="L350">
        <v>6899.5344569475501</v>
      </c>
      <c r="M350">
        <v>130.138040303076</v>
      </c>
      <c r="O350">
        <v>53.004528975621703</v>
      </c>
      <c r="P350">
        <v>-0.17555360198918099</v>
      </c>
      <c r="Q350">
        <v>0.71399182597748101</v>
      </c>
      <c r="R350">
        <v>0.71568035514309203</v>
      </c>
      <c r="S350" t="s">
        <v>7156</v>
      </c>
      <c r="T350" t="s">
        <v>13610</v>
      </c>
      <c r="U350" t="s">
        <v>13610</v>
      </c>
      <c r="V350" t="s">
        <v>13610</v>
      </c>
      <c r="W350" t="s">
        <v>13953</v>
      </c>
      <c r="X350">
        <v>3</v>
      </c>
      <c r="Y350" t="s">
        <v>20676</v>
      </c>
      <c r="Z350" t="s">
        <v>27205</v>
      </c>
      <c r="AA350">
        <v>0.83818947503835206</v>
      </c>
      <c r="AB350" t="str">
        <f>HYPERLINK("Melting_Curves/meltCurve_D6R9U7_POLR3G.pdf", "Melting_Curves/meltCurve_D6R9U7_POLR3G.pdf")</f>
        <v>Melting_Curves/meltCurve_D6R9U7_POLR3G.pdf</v>
      </c>
    </row>
    <row r="351" spans="1:28" x14ac:dyDescent="0.25">
      <c r="A351" t="s">
        <v>355</v>
      </c>
      <c r="B351">
        <v>0.995954080203443</v>
      </c>
      <c r="C351">
        <v>0.88086598685792805</v>
      </c>
      <c r="D351">
        <v>0.88745255377280996</v>
      </c>
      <c r="E351">
        <v>0.73001117164246798</v>
      </c>
      <c r="F351">
        <v>0.52251752500700399</v>
      </c>
      <c r="G351">
        <v>0.43352003626851798</v>
      </c>
      <c r="H351">
        <v>0.55431391705185296</v>
      </c>
      <c r="I351">
        <v>0.72707392021287098</v>
      </c>
      <c r="J351">
        <v>0.86066564154847103</v>
      </c>
      <c r="K351">
        <v>0.73198395726027099</v>
      </c>
      <c r="L351">
        <v>1279.35891954267</v>
      </c>
      <c r="M351">
        <v>27.458628419039801</v>
      </c>
      <c r="O351">
        <v>46.347218973741903</v>
      </c>
      <c r="P351">
        <v>-5.2805270434719498E-2</v>
      </c>
      <c r="Q351">
        <v>0.64348477666669501</v>
      </c>
      <c r="R351">
        <v>0.51746352129754003</v>
      </c>
      <c r="S351" t="s">
        <v>7157</v>
      </c>
      <c r="T351" t="s">
        <v>13610</v>
      </c>
      <c r="U351" t="s">
        <v>13610</v>
      </c>
      <c r="V351" t="s">
        <v>13610</v>
      </c>
      <c r="W351" t="s">
        <v>13954</v>
      </c>
      <c r="X351">
        <v>9</v>
      </c>
      <c r="Y351" t="s">
        <v>20677</v>
      </c>
      <c r="Z351" t="s">
        <v>27206</v>
      </c>
      <c r="AA351">
        <v>0.72443370920991201</v>
      </c>
      <c r="AB351" t="str">
        <f>HYPERLINK("Melting_Curves/meltCurve_D6R9V8_CDV3.pdf", "Melting_Curves/meltCurve_D6R9V8_CDV3.pdf")</f>
        <v>Melting_Curves/meltCurve_D6R9V8_CDV3.pdf</v>
      </c>
    </row>
    <row r="352" spans="1:28" x14ac:dyDescent="0.25">
      <c r="A352" t="s">
        <v>356</v>
      </c>
      <c r="B352">
        <v>0.995954080203443</v>
      </c>
      <c r="C352">
        <v>1.04813661677824</v>
      </c>
      <c r="D352">
        <v>1.1022456602871</v>
      </c>
      <c r="E352">
        <v>1.02555860571097</v>
      </c>
      <c r="F352">
        <v>0.93470378378192398</v>
      </c>
      <c r="G352">
        <v>0.65534913538305695</v>
      </c>
      <c r="H352">
        <v>0.464721710166285</v>
      </c>
      <c r="I352">
        <v>0.31609821007262401</v>
      </c>
      <c r="J352">
        <v>0.21118871567170699</v>
      </c>
      <c r="K352">
        <v>6.9261779946476296E-2</v>
      </c>
      <c r="L352">
        <v>977.46199789939101</v>
      </c>
      <c r="M352">
        <v>16.228803650806299</v>
      </c>
      <c r="N352">
        <v>60.366450101716502</v>
      </c>
      <c r="O352">
        <v>59.337829376533897</v>
      </c>
      <c r="P352">
        <v>-6.7148858507964204E-2</v>
      </c>
      <c r="Q352">
        <v>1.79999024845699E-2</v>
      </c>
      <c r="R352">
        <v>0.98062938153778201</v>
      </c>
      <c r="S352" t="s">
        <v>7158</v>
      </c>
      <c r="T352" t="s">
        <v>13610</v>
      </c>
      <c r="U352" t="s">
        <v>13610</v>
      </c>
      <c r="V352" t="s">
        <v>13610</v>
      </c>
      <c r="W352" t="s">
        <v>13955</v>
      </c>
      <c r="X352">
        <v>28</v>
      </c>
      <c r="Y352" t="s">
        <v>20678</v>
      </c>
      <c r="Z352" t="s">
        <v>27207</v>
      </c>
      <c r="AA352">
        <v>0.68697430760890421</v>
      </c>
      <c r="AB352" t="str">
        <f>HYPERLINK("Melting_Curves/meltCurve_D6RA32_MAP1B.pdf", "Melting_Curves/meltCurve_D6RA32_MAP1B.pdf")</f>
        <v>Melting_Curves/meltCurve_D6RA32_MAP1B.pdf</v>
      </c>
    </row>
    <row r="353" spans="1:28" x14ac:dyDescent="0.25">
      <c r="A353" t="s">
        <v>357</v>
      </c>
      <c r="B353">
        <v>0.995954080203443</v>
      </c>
      <c r="C353">
        <v>0.95857817485410002</v>
      </c>
      <c r="D353">
        <v>0.92062548638365405</v>
      </c>
      <c r="E353">
        <v>0.77832118858728805</v>
      </c>
      <c r="F353">
        <v>0.64962196494539404</v>
      </c>
      <c r="G353">
        <v>0.39841465208691601</v>
      </c>
      <c r="H353">
        <v>0.33047178564351098</v>
      </c>
      <c r="I353">
        <v>0.336868390818512</v>
      </c>
      <c r="J353">
        <v>0.41541613444328901</v>
      </c>
      <c r="K353">
        <v>0.43430967177487401</v>
      </c>
      <c r="L353">
        <v>1091.9580011144401</v>
      </c>
      <c r="M353">
        <v>21.148438288227702</v>
      </c>
      <c r="N353">
        <v>55.0666503225195</v>
      </c>
      <c r="O353">
        <v>51.178024263504398</v>
      </c>
      <c r="P353">
        <v>-6.5472662319254596E-2</v>
      </c>
      <c r="Q353">
        <v>0.36625599028338901</v>
      </c>
      <c r="R353">
        <v>0.972286876013985</v>
      </c>
      <c r="S353" t="s">
        <v>7159</v>
      </c>
      <c r="T353" t="s">
        <v>13610</v>
      </c>
      <c r="U353" t="s">
        <v>13610</v>
      </c>
      <c r="V353" t="s">
        <v>13610</v>
      </c>
      <c r="W353" t="s">
        <v>13956</v>
      </c>
      <c r="X353">
        <v>1</v>
      </c>
      <c r="Y353" t="s">
        <v>20679</v>
      </c>
      <c r="Z353" t="s">
        <v>27208</v>
      </c>
      <c r="AA353">
        <v>0.61992602053706114</v>
      </c>
      <c r="AB353" t="str">
        <f>HYPERLINK("Melting_Curves/meltCurve_D6RAG3_CPLX1.pdf", "Melting_Curves/meltCurve_D6RAG3_CPLX1.pdf")</f>
        <v>Melting_Curves/meltCurve_D6RAG3_CPLX1.pdf</v>
      </c>
    </row>
    <row r="354" spans="1:28" x14ac:dyDescent="0.25">
      <c r="A354" t="s">
        <v>358</v>
      </c>
      <c r="B354">
        <v>0.995954080203443</v>
      </c>
      <c r="C354">
        <v>0.980280498435249</v>
      </c>
      <c r="D354">
        <v>0.90778639366186697</v>
      </c>
      <c r="E354">
        <v>0.74209344935705202</v>
      </c>
      <c r="F354">
        <v>0.65831171863426796</v>
      </c>
      <c r="G354">
        <v>0.241405956426746</v>
      </c>
      <c r="H354">
        <v>0.16461146878924099</v>
      </c>
      <c r="I354">
        <v>4.7872138507514803E-2</v>
      </c>
      <c r="J354">
        <v>4.1948668900024903E-2</v>
      </c>
      <c r="K354">
        <v>4.7571429272006797E-2</v>
      </c>
      <c r="L354">
        <v>862.89000827451196</v>
      </c>
      <c r="M354">
        <v>15.9747240318957</v>
      </c>
      <c r="N354">
        <v>54.015957494180199</v>
      </c>
      <c r="O354">
        <v>53.190758381178703</v>
      </c>
      <c r="P354">
        <v>-7.50881601795024E-2</v>
      </c>
      <c r="Q354">
        <v>0</v>
      </c>
      <c r="R354">
        <v>0.98992525741925896</v>
      </c>
      <c r="S354" t="s">
        <v>7160</v>
      </c>
      <c r="T354" t="s">
        <v>13610</v>
      </c>
      <c r="U354" t="s">
        <v>13610</v>
      </c>
      <c r="V354" t="s">
        <v>13610</v>
      </c>
      <c r="W354" t="s">
        <v>13957</v>
      </c>
      <c r="X354">
        <v>1</v>
      </c>
      <c r="Y354" t="s">
        <v>20680</v>
      </c>
      <c r="Z354" t="s">
        <v>27209</v>
      </c>
      <c r="AA354">
        <v>0.4861101743917321</v>
      </c>
      <c r="AB354" t="str">
        <f>HYPERLINK("Melting_Curves/meltCurve_D6RAL3_SH3RF1.pdf", "Melting_Curves/meltCurve_D6RAL3_SH3RF1.pdf")</f>
        <v>Melting_Curves/meltCurve_D6RAL3_SH3RF1.pdf</v>
      </c>
    </row>
    <row r="355" spans="1:28" x14ac:dyDescent="0.25">
      <c r="A355" t="s">
        <v>359</v>
      </c>
      <c r="B355">
        <v>0.995954080203443</v>
      </c>
      <c r="C355">
        <v>1.0264477098810301</v>
      </c>
      <c r="D355">
        <v>0.94540225412963996</v>
      </c>
      <c r="E355">
        <v>0.76654942063127895</v>
      </c>
      <c r="F355">
        <v>0.476701597090678</v>
      </c>
      <c r="G355">
        <v>0.28729161168768003</v>
      </c>
      <c r="H355">
        <v>0.186172500745589</v>
      </c>
      <c r="I355">
        <v>0.162329373474772</v>
      </c>
      <c r="J355">
        <v>0.181119335618457</v>
      </c>
      <c r="K355">
        <v>0.15599650466919099</v>
      </c>
      <c r="L355">
        <v>1157.16367129378</v>
      </c>
      <c r="M355">
        <v>22.254952360163799</v>
      </c>
      <c r="N355">
        <v>52.923741609819999</v>
      </c>
      <c r="O355">
        <v>51.581420786287701</v>
      </c>
      <c r="P355">
        <v>-9.0440426330398602E-2</v>
      </c>
      <c r="Q355">
        <v>0.161544604273965</v>
      </c>
      <c r="R355">
        <v>0.997959646382508</v>
      </c>
      <c r="S355" t="s">
        <v>7161</v>
      </c>
      <c r="T355" t="s">
        <v>13610</v>
      </c>
      <c r="U355" t="s">
        <v>13610</v>
      </c>
      <c r="V355" t="s">
        <v>13610</v>
      </c>
      <c r="W355" t="s">
        <v>13958</v>
      </c>
      <c r="X355">
        <v>13</v>
      </c>
      <c r="Y355" t="s">
        <v>20681</v>
      </c>
      <c r="Z355" t="s">
        <v>27210</v>
      </c>
      <c r="AA355">
        <v>0.50635183446476839</v>
      </c>
      <c r="AB355" t="str">
        <f>HYPERLINK("Melting_Curves/meltCurve_D6RAM3_DOK3.pdf", "Melting_Curves/meltCurve_D6RAM3_DOK3.pdf")</f>
        <v>Melting_Curves/meltCurve_D6RAM3_DOK3.pdf</v>
      </c>
    </row>
    <row r="356" spans="1:28" x14ac:dyDescent="0.25">
      <c r="A356" t="s">
        <v>360</v>
      </c>
      <c r="B356">
        <v>0.995954080203443</v>
      </c>
      <c r="C356">
        <v>0.65081941302139801</v>
      </c>
      <c r="D356">
        <v>0.44096400063984498</v>
      </c>
      <c r="E356">
        <v>0.46335518204348702</v>
      </c>
      <c r="F356">
        <v>0.26684855987855999</v>
      </c>
      <c r="G356">
        <v>0.14206569989055301</v>
      </c>
      <c r="H356">
        <v>9.8392718525962403E-2</v>
      </c>
      <c r="I356">
        <v>8.2306397802457701E-2</v>
      </c>
      <c r="J356">
        <v>9.9082715419927803E-2</v>
      </c>
      <c r="K356">
        <v>7.4908025295911507E-2</v>
      </c>
      <c r="L356">
        <v>505.34428016356298</v>
      </c>
      <c r="M356">
        <v>10.8989050653008</v>
      </c>
      <c r="N356">
        <v>46.858890810957902</v>
      </c>
      <c r="O356">
        <v>44.887523823421098</v>
      </c>
      <c r="P356">
        <v>-5.74370842888762E-2</v>
      </c>
      <c r="Q356">
        <v>5.4104545480875198E-2</v>
      </c>
      <c r="R356">
        <v>0.94069554661733201</v>
      </c>
      <c r="S356" t="s">
        <v>7162</v>
      </c>
      <c r="T356" t="s">
        <v>13610</v>
      </c>
      <c r="U356" t="s">
        <v>13610</v>
      </c>
      <c r="V356" t="s">
        <v>13610</v>
      </c>
      <c r="W356" t="s">
        <v>13959</v>
      </c>
      <c r="X356">
        <v>5</v>
      </c>
      <c r="Y356" t="s">
        <v>20682</v>
      </c>
      <c r="Z356" t="s">
        <v>27211</v>
      </c>
      <c r="AA356">
        <v>0.30444370869393927</v>
      </c>
      <c r="AB356" t="str">
        <f>HYPERLINK("Melting_Curves/meltCurve_D6RAN4_RPL9.pdf", "Melting_Curves/meltCurve_D6RAN4_RPL9.pdf")</f>
        <v>Melting_Curves/meltCurve_D6RAN4_RPL9.pdf</v>
      </c>
    </row>
    <row r="357" spans="1:28" x14ac:dyDescent="0.25">
      <c r="A357" t="s">
        <v>361</v>
      </c>
      <c r="B357">
        <v>0.995954080203443</v>
      </c>
      <c r="C357">
        <v>0.87399978761866204</v>
      </c>
      <c r="D357">
        <v>0.66862662806336803</v>
      </c>
      <c r="E357">
        <v>0.74050498578926005</v>
      </c>
      <c r="F357">
        <v>0.72386338412413498</v>
      </c>
      <c r="G357">
        <v>0.629164783021535</v>
      </c>
      <c r="H357">
        <v>0.667731490475309</v>
      </c>
      <c r="I357">
        <v>0.78191662081614299</v>
      </c>
      <c r="J357">
        <v>0.94278190772873505</v>
      </c>
      <c r="K357">
        <v>0.96454036698180901</v>
      </c>
      <c r="L357">
        <v>10718.824935115499</v>
      </c>
      <c r="M357">
        <v>250</v>
      </c>
      <c r="O357">
        <v>42.872556019598598</v>
      </c>
      <c r="P357">
        <v>-0.34274363230073801</v>
      </c>
      <c r="Q357">
        <v>0.76489127113320898</v>
      </c>
      <c r="R357">
        <v>0.32564434164703998</v>
      </c>
      <c r="S357" t="s">
        <v>7163</v>
      </c>
      <c r="T357" t="s">
        <v>13610</v>
      </c>
      <c r="U357" t="s">
        <v>13610</v>
      </c>
      <c r="V357" t="s">
        <v>13610</v>
      </c>
      <c r="W357" t="s">
        <v>13960</v>
      </c>
      <c r="X357">
        <v>1</v>
      </c>
      <c r="Y357" t="s">
        <v>20683</v>
      </c>
      <c r="Z357" t="s">
        <v>27212</v>
      </c>
      <c r="AA357">
        <v>0.78744256425782799</v>
      </c>
      <c r="AB357" t="str">
        <f>HYPERLINK("Melting_Curves/meltCurve_D6RAV1_NEIL3.pdf", "Melting_Curves/meltCurve_D6RAV1_NEIL3.pdf")</f>
        <v>Melting_Curves/meltCurve_D6RAV1_NEIL3.pdf</v>
      </c>
    </row>
    <row r="358" spans="1:28" x14ac:dyDescent="0.25">
      <c r="A358" t="s">
        <v>362</v>
      </c>
      <c r="B358">
        <v>0.995954080203443</v>
      </c>
      <c r="C358">
        <v>1.0370337679923201</v>
      </c>
      <c r="D358">
        <v>0.961717746223123</v>
      </c>
      <c r="E358">
        <v>0.89050453032132704</v>
      </c>
      <c r="F358">
        <v>0.81332848338735297</v>
      </c>
      <c r="G358">
        <v>0.68670934982256804</v>
      </c>
      <c r="H358">
        <v>0.62328012151234902</v>
      </c>
      <c r="I358">
        <v>0.71371791356234204</v>
      </c>
      <c r="J358">
        <v>0.84520396012570598</v>
      </c>
      <c r="K358">
        <v>0.74227371936956699</v>
      </c>
      <c r="L358">
        <v>1508.2895910304001</v>
      </c>
      <c r="M358">
        <v>29.660544906778799</v>
      </c>
      <c r="O358">
        <v>50.622243232747998</v>
      </c>
      <c r="P358">
        <v>-4.0517570577690301E-2</v>
      </c>
      <c r="Q358">
        <v>0.723393310538615</v>
      </c>
      <c r="R358">
        <v>0.82530831741945598</v>
      </c>
      <c r="S358" t="s">
        <v>7164</v>
      </c>
      <c r="T358" t="s">
        <v>13610</v>
      </c>
      <c r="U358" t="s">
        <v>13610</v>
      </c>
      <c r="V358" t="s">
        <v>13610</v>
      </c>
      <c r="W358" t="s">
        <v>13961</v>
      </c>
      <c r="X358">
        <v>3</v>
      </c>
      <c r="Y358" t="s">
        <v>20684</v>
      </c>
      <c r="Z358" t="s">
        <v>27213</v>
      </c>
      <c r="AA358">
        <v>0.82522350911454212</v>
      </c>
      <c r="AB358" t="str">
        <f>HYPERLINK("Melting_Curves/meltCurve_D6RBE0_CXXC5.pdf", "Melting_Curves/meltCurve_D6RBE0_CXXC5.pdf")</f>
        <v>Melting_Curves/meltCurve_D6RBE0_CXXC5.pdf</v>
      </c>
    </row>
    <row r="359" spans="1:28" x14ac:dyDescent="0.25">
      <c r="A359" t="s">
        <v>363</v>
      </c>
      <c r="B359">
        <v>0.995954080203443</v>
      </c>
      <c r="C359">
        <v>0.923258958123919</v>
      </c>
      <c r="D359">
        <v>0.96100222193684204</v>
      </c>
      <c r="E359">
        <v>0.84260211201151802</v>
      </c>
      <c r="F359">
        <v>0.96037146423183595</v>
      </c>
      <c r="G359">
        <v>0.66281772599530298</v>
      </c>
      <c r="H359">
        <v>0.69672225356779005</v>
      </c>
      <c r="I359">
        <v>0.90542399879317803</v>
      </c>
      <c r="J359">
        <v>1.2672079239578999</v>
      </c>
      <c r="K359">
        <v>1.02442107966295</v>
      </c>
      <c r="L359">
        <v>2846.1920668222001</v>
      </c>
      <c r="M359">
        <v>68.406014438587903</v>
      </c>
      <c r="O359">
        <v>41.571822188175503</v>
      </c>
      <c r="P359">
        <v>-3.5001583083147499E-2</v>
      </c>
      <c r="Q359">
        <v>0.91491513179337502</v>
      </c>
      <c r="R359">
        <v>2.2179428115556499E-2</v>
      </c>
      <c r="S359" t="s">
        <v>7165</v>
      </c>
      <c r="T359" t="s">
        <v>13610</v>
      </c>
      <c r="U359" t="s">
        <v>13610</v>
      </c>
      <c r="V359" t="s">
        <v>13610</v>
      </c>
      <c r="W359" t="s">
        <v>13962</v>
      </c>
      <c r="X359">
        <v>6</v>
      </c>
      <c r="Y359" t="s">
        <v>20685</v>
      </c>
      <c r="Z359" t="s">
        <v>27214</v>
      </c>
      <c r="AA359">
        <v>0.91965321498651853</v>
      </c>
      <c r="AB359" t="str">
        <f>HYPERLINK("Melting_Curves/meltCurve_D6RBN5_OCIAD1.pdf", "Melting_Curves/meltCurve_D6RBN5_OCIAD1.pdf")</f>
        <v>Melting_Curves/meltCurve_D6RBN5_OCIAD1.pdf</v>
      </c>
    </row>
    <row r="360" spans="1:28" x14ac:dyDescent="0.25">
      <c r="A360" t="s">
        <v>364</v>
      </c>
      <c r="B360">
        <v>0.995954080203443</v>
      </c>
      <c r="C360">
        <v>0.85237649309045105</v>
      </c>
      <c r="D360">
        <v>0.66548160807634005</v>
      </c>
      <c r="E360">
        <v>0.60861582757388</v>
      </c>
      <c r="F360">
        <v>0.36218287781861702</v>
      </c>
      <c r="G360">
        <v>0.198993149748808</v>
      </c>
      <c r="H360">
        <v>0.18247090209261799</v>
      </c>
      <c r="I360">
        <v>0.17384229737475501</v>
      </c>
      <c r="J360">
        <v>0.2451555548371</v>
      </c>
      <c r="K360">
        <v>0.214877353378125</v>
      </c>
      <c r="L360">
        <v>642.48315471458102</v>
      </c>
      <c r="M360">
        <v>13.238935641453599</v>
      </c>
      <c r="N360">
        <v>50.069883663321598</v>
      </c>
      <c r="O360">
        <v>47.462635349428297</v>
      </c>
      <c r="P360">
        <v>-5.80803211862779E-2</v>
      </c>
      <c r="Q360">
        <v>0.16724679730500799</v>
      </c>
      <c r="R360">
        <v>0.96595206831809799</v>
      </c>
      <c r="S360" t="s">
        <v>7166</v>
      </c>
      <c r="T360" t="s">
        <v>13610</v>
      </c>
      <c r="U360" t="s">
        <v>13610</v>
      </c>
      <c r="V360" t="s">
        <v>13610</v>
      </c>
      <c r="W360" t="s">
        <v>13963</v>
      </c>
      <c r="X360">
        <v>1</v>
      </c>
      <c r="Y360" t="s">
        <v>20686</v>
      </c>
      <c r="Z360" t="s">
        <v>27215</v>
      </c>
      <c r="AA360">
        <v>0.43048525454642578</v>
      </c>
      <c r="AB360" t="str">
        <f>HYPERLINK("Melting_Curves/meltCurve_D6RC71_STX18.pdf", "Melting_Curves/meltCurve_D6RC71_STX18.pdf")</f>
        <v>Melting_Curves/meltCurve_D6RC71_STX18.pdf</v>
      </c>
    </row>
    <row r="361" spans="1:28" x14ac:dyDescent="0.25">
      <c r="A361" t="s">
        <v>365</v>
      </c>
      <c r="B361">
        <v>0.995954080203443</v>
      </c>
      <c r="C361">
        <v>0.87715308970469996</v>
      </c>
      <c r="D361">
        <v>0.76873081079771799</v>
      </c>
      <c r="E361">
        <v>0.65388679187004295</v>
      </c>
      <c r="F361">
        <v>0.44041979559925198</v>
      </c>
      <c r="G361">
        <v>0.22170870418625099</v>
      </c>
      <c r="H361">
        <v>0.116530708601029</v>
      </c>
      <c r="I361">
        <v>8.7722780399924205E-2</v>
      </c>
      <c r="J361">
        <v>8.8898536346327106E-2</v>
      </c>
      <c r="K361">
        <v>9.1980869308059598E-2</v>
      </c>
      <c r="L361">
        <v>618.182694819875</v>
      </c>
      <c r="M361">
        <v>12.0065192268163</v>
      </c>
      <c r="N361">
        <v>51.648880089728003</v>
      </c>
      <c r="O361">
        <v>50.121341334500201</v>
      </c>
      <c r="P361">
        <v>-5.8797215984523699E-2</v>
      </c>
      <c r="Q361">
        <v>1.8437694772411601E-2</v>
      </c>
      <c r="R361">
        <v>0.99031876635162697</v>
      </c>
      <c r="S361" t="s">
        <v>7167</v>
      </c>
      <c r="T361" t="s">
        <v>13610</v>
      </c>
      <c r="U361" t="s">
        <v>13610</v>
      </c>
      <c r="V361" t="s">
        <v>13610</v>
      </c>
      <c r="W361" t="s">
        <v>13964</v>
      </c>
      <c r="X361">
        <v>6</v>
      </c>
      <c r="Y361" t="s">
        <v>20687</v>
      </c>
      <c r="Z361" t="s">
        <v>27216</v>
      </c>
      <c r="AA361">
        <v>0.4253228854951091</v>
      </c>
      <c r="AB361" t="str">
        <f>HYPERLINK("Melting_Curves/meltCurve_D6RCD0_HSD17B11.pdf", "Melting_Curves/meltCurve_D6RCD0_HSD17B11.pdf")</f>
        <v>Melting_Curves/meltCurve_D6RCD0_HSD17B11.pdf</v>
      </c>
    </row>
    <row r="362" spans="1:28" x14ac:dyDescent="0.25">
      <c r="A362" t="s">
        <v>366</v>
      </c>
      <c r="B362">
        <v>0.995954080203443</v>
      </c>
      <c r="C362">
        <v>0.829245690030748</v>
      </c>
      <c r="D362">
        <v>0.76196118060924201</v>
      </c>
      <c r="E362">
        <v>0.623607823174673</v>
      </c>
      <c r="F362">
        <v>0.38713867834508497</v>
      </c>
      <c r="G362">
        <v>0.208551242191956</v>
      </c>
      <c r="H362">
        <v>7.0089208012189499E-2</v>
      </c>
      <c r="I362">
        <v>5.7691172042138E-2</v>
      </c>
      <c r="J362">
        <v>3.6948745719684199E-2</v>
      </c>
      <c r="K362">
        <v>4.5755829117385398E-2</v>
      </c>
      <c r="L362">
        <v>625.08194208940097</v>
      </c>
      <c r="M362">
        <v>12.2704831425721</v>
      </c>
      <c r="N362">
        <v>50.941901469557202</v>
      </c>
      <c r="O362">
        <v>49.645586555134699</v>
      </c>
      <c r="P362">
        <v>-6.1804065163268203E-2</v>
      </c>
      <c r="Q362">
        <v>0</v>
      </c>
      <c r="R362">
        <v>0.98777665967944095</v>
      </c>
      <c r="S362" t="s">
        <v>7168</v>
      </c>
      <c r="T362" t="s">
        <v>13610</v>
      </c>
      <c r="U362" t="s">
        <v>13610</v>
      </c>
      <c r="V362" t="s">
        <v>13610</v>
      </c>
      <c r="W362" t="s">
        <v>13965</v>
      </c>
      <c r="X362">
        <v>3</v>
      </c>
      <c r="Y362" t="s">
        <v>20688</v>
      </c>
      <c r="Z362" t="s">
        <v>27217</v>
      </c>
      <c r="AA362">
        <v>0.39641916634764329</v>
      </c>
      <c r="AB362" t="str">
        <f>HYPERLINK("Melting_Curves/meltCurve_D6RD24_UBE3D.pdf", "Melting_Curves/meltCurve_D6RD24_UBE3D.pdf")</f>
        <v>Melting_Curves/meltCurve_D6RD24_UBE3D.pdf</v>
      </c>
    </row>
    <row r="363" spans="1:28" x14ac:dyDescent="0.25">
      <c r="A363" t="s">
        <v>367</v>
      </c>
      <c r="B363">
        <v>0.995954080203443</v>
      </c>
      <c r="C363">
        <v>0.76591213989013995</v>
      </c>
      <c r="D363">
        <v>0.65525024340754701</v>
      </c>
      <c r="E363">
        <v>0.457032254596556</v>
      </c>
      <c r="F363">
        <v>0.358989013093716</v>
      </c>
      <c r="G363">
        <v>0.26047514745200301</v>
      </c>
      <c r="H363">
        <v>0.22946832939909201</v>
      </c>
      <c r="I363">
        <v>0.25690335693956601</v>
      </c>
      <c r="J363">
        <v>0.301112205852135</v>
      </c>
      <c r="K363">
        <v>0.29269842825539599</v>
      </c>
      <c r="L363">
        <v>703.23038901341499</v>
      </c>
      <c r="M363">
        <v>15.2195970691266</v>
      </c>
      <c r="N363">
        <v>48.511030571730203</v>
      </c>
      <c r="O363">
        <v>45.429914812828599</v>
      </c>
      <c r="P363">
        <v>-6.2199007466832601E-2</v>
      </c>
      <c r="Q363">
        <v>0.25742424396282299</v>
      </c>
      <c r="R363">
        <v>0.97780654734221695</v>
      </c>
      <c r="S363" t="s">
        <v>7169</v>
      </c>
      <c r="T363" t="s">
        <v>13610</v>
      </c>
      <c r="U363" t="s">
        <v>13610</v>
      </c>
      <c r="V363" t="s">
        <v>13610</v>
      </c>
      <c r="W363" t="s">
        <v>13966</v>
      </c>
      <c r="X363">
        <v>3</v>
      </c>
      <c r="Y363" t="s">
        <v>20689</v>
      </c>
      <c r="Z363" t="s">
        <v>27218</v>
      </c>
      <c r="AA363">
        <v>0.4317163003823602</v>
      </c>
      <c r="AB363" t="str">
        <f>HYPERLINK("Melting_Curves/meltCurve_D6RD47_RPS23.pdf", "Melting_Curves/meltCurve_D6RD47_RPS23.pdf")</f>
        <v>Melting_Curves/meltCurve_D6RD47_RPS23.pdf</v>
      </c>
    </row>
    <row r="364" spans="1:28" x14ac:dyDescent="0.25">
      <c r="A364" t="s">
        <v>368</v>
      </c>
      <c r="B364">
        <v>0.995954080203443</v>
      </c>
      <c r="C364">
        <v>0.97512074709282803</v>
      </c>
      <c r="D364">
        <v>0.91541596623177302</v>
      </c>
      <c r="E364">
        <v>0.60831202862226297</v>
      </c>
      <c r="F364">
        <v>0.32202786264032601</v>
      </c>
      <c r="G364">
        <v>0.16026750683603999</v>
      </c>
      <c r="H364">
        <v>8.06094333471227E-2</v>
      </c>
      <c r="I364">
        <v>7.2122361502823404E-2</v>
      </c>
      <c r="J364">
        <v>7.4287224043574906E-2</v>
      </c>
      <c r="K364">
        <v>5.9277255376208003E-2</v>
      </c>
      <c r="L364">
        <v>1097.18693316696</v>
      </c>
      <c r="M364">
        <v>21.619226792102499</v>
      </c>
      <c r="N364">
        <v>51.071804301826901</v>
      </c>
      <c r="O364">
        <v>50.322298162916603</v>
      </c>
      <c r="P364">
        <v>-0.10057745630807099</v>
      </c>
      <c r="Q364">
        <v>6.3580570766068906E-2</v>
      </c>
      <c r="R364">
        <v>0.99960699986244494</v>
      </c>
      <c r="S364" t="s">
        <v>7170</v>
      </c>
      <c r="T364" t="s">
        <v>13610</v>
      </c>
      <c r="U364" t="s">
        <v>13610</v>
      </c>
      <c r="V364" t="s">
        <v>13610</v>
      </c>
      <c r="W364" t="s">
        <v>13967</v>
      </c>
      <c r="X364">
        <v>3</v>
      </c>
      <c r="Y364" t="s">
        <v>20690</v>
      </c>
      <c r="Z364" t="s">
        <v>27219</v>
      </c>
      <c r="AA364">
        <v>0.4103560335720618</v>
      </c>
      <c r="AB364" t="str">
        <f>HYPERLINK("Melting_Curves/meltCurve_D6RDX3_ATG10.pdf", "Melting_Curves/meltCurve_D6RDX3_ATG10.pdf")</f>
        <v>Melting_Curves/meltCurve_D6RDX3_ATG10.pdf</v>
      </c>
    </row>
    <row r="365" spans="1:28" x14ac:dyDescent="0.25">
      <c r="A365" t="s">
        <v>369</v>
      </c>
      <c r="B365">
        <v>0.995954080203443</v>
      </c>
      <c r="C365">
        <v>0.88106922086220296</v>
      </c>
      <c r="D365">
        <v>0.72109173009534699</v>
      </c>
      <c r="E365">
        <v>0.69663989978278595</v>
      </c>
      <c r="F365">
        <v>0.48771857563620902</v>
      </c>
      <c r="G365">
        <v>0.234673377543444</v>
      </c>
      <c r="H365">
        <v>9.6184017492406404E-2</v>
      </c>
      <c r="I365">
        <v>7.5947025978882504E-2</v>
      </c>
      <c r="J365">
        <v>9.8140191374261596E-2</v>
      </c>
      <c r="K365">
        <v>8.5517456997355898E-2</v>
      </c>
      <c r="L365">
        <v>590.03996744080098</v>
      </c>
      <c r="M365">
        <v>11.3483439844616</v>
      </c>
      <c r="N365">
        <v>51.993476373574197</v>
      </c>
      <c r="O365">
        <v>50.457484977215202</v>
      </c>
      <c r="P365">
        <v>-5.6244059986495898E-2</v>
      </c>
      <c r="Q365">
        <v>0</v>
      </c>
      <c r="R365">
        <v>0.97677895656523395</v>
      </c>
      <c r="S365" t="s">
        <v>7171</v>
      </c>
      <c r="T365" t="s">
        <v>13610</v>
      </c>
      <c r="U365" t="s">
        <v>13610</v>
      </c>
      <c r="V365" t="s">
        <v>13610</v>
      </c>
      <c r="W365" t="s">
        <v>13968</v>
      </c>
      <c r="X365">
        <v>3</v>
      </c>
      <c r="Y365" t="s">
        <v>20691</v>
      </c>
      <c r="Z365" t="s">
        <v>27220</v>
      </c>
      <c r="AA365">
        <v>0.43261924348353092</v>
      </c>
      <c r="AB365" t="str">
        <f>HYPERLINK("Melting_Curves/meltCurve_D6REB5_IDUA.pdf", "Melting_Curves/meltCurve_D6REB5_IDUA.pdf")</f>
        <v>Melting_Curves/meltCurve_D6REB5_IDUA.pdf</v>
      </c>
    </row>
    <row r="366" spans="1:28" x14ac:dyDescent="0.25">
      <c r="A366" t="s">
        <v>370</v>
      </c>
      <c r="B366">
        <v>0.995954080203443</v>
      </c>
      <c r="C366">
        <v>0.94636630514309605</v>
      </c>
      <c r="D366">
        <v>0.89060388039440797</v>
      </c>
      <c r="E366">
        <v>0.91865908927320605</v>
      </c>
      <c r="F366">
        <v>0.734394554549193</v>
      </c>
      <c r="G366">
        <v>0.60383226349155195</v>
      </c>
      <c r="H366">
        <v>0.33118781732514102</v>
      </c>
      <c r="I366">
        <v>0.199518067748858</v>
      </c>
      <c r="J366">
        <v>0.228006679750343</v>
      </c>
      <c r="K366">
        <v>0.20699237585809999</v>
      </c>
      <c r="L366">
        <v>806.25155686847404</v>
      </c>
      <c r="M366">
        <v>14.2188104838431</v>
      </c>
      <c r="N366">
        <v>57.812748729099702</v>
      </c>
      <c r="O366">
        <v>55.616942377743101</v>
      </c>
      <c r="P366">
        <v>-5.6288666738424899E-2</v>
      </c>
      <c r="Q366">
        <v>0.119416165391995</v>
      </c>
      <c r="R366">
        <v>0.98022040289076295</v>
      </c>
      <c r="S366" t="s">
        <v>7172</v>
      </c>
      <c r="T366" t="s">
        <v>13610</v>
      </c>
      <c r="U366" t="s">
        <v>13610</v>
      </c>
      <c r="V366" t="s">
        <v>13610</v>
      </c>
      <c r="W366" t="s">
        <v>13969</v>
      </c>
      <c r="X366">
        <v>11</v>
      </c>
      <c r="Y366" t="s">
        <v>20692</v>
      </c>
      <c r="Z366" t="s">
        <v>27221</v>
      </c>
      <c r="AA366">
        <v>0.6246450804089333</v>
      </c>
      <c r="AB366" t="str">
        <f>HYPERLINK("Melting_Curves/meltCurve_D6REL5_FAM175A.pdf", "Melting_Curves/meltCurve_D6REL5_FAM175A.pdf")</f>
        <v>Melting_Curves/meltCurve_D6REL5_FAM175A.pdf</v>
      </c>
    </row>
    <row r="367" spans="1:28" x14ac:dyDescent="0.25">
      <c r="A367" t="s">
        <v>371</v>
      </c>
      <c r="B367">
        <v>0.995954080203443</v>
      </c>
      <c r="C367">
        <v>0.97802396121861901</v>
      </c>
      <c r="D367">
        <v>0.78846228081504499</v>
      </c>
      <c r="E367">
        <v>0.60229279120742896</v>
      </c>
      <c r="F367">
        <v>0.41378518544239901</v>
      </c>
      <c r="G367">
        <v>0.26588877885210899</v>
      </c>
      <c r="H367">
        <v>0.176273964666574</v>
      </c>
      <c r="I367">
        <v>0.22876575564951501</v>
      </c>
      <c r="J367">
        <v>0.238621581038195</v>
      </c>
      <c r="K367">
        <v>0.29612413648064501</v>
      </c>
      <c r="L367">
        <v>880.63778989300397</v>
      </c>
      <c r="M367">
        <v>17.8220838199226</v>
      </c>
      <c r="N367">
        <v>51.099901065932201</v>
      </c>
      <c r="O367">
        <v>48.803207330117402</v>
      </c>
      <c r="P367">
        <v>-7.0994772198981398E-2</v>
      </c>
      <c r="Q367">
        <v>0.22240410303556599</v>
      </c>
      <c r="R367">
        <v>0.98384446739816001</v>
      </c>
      <c r="S367" t="s">
        <v>7173</v>
      </c>
      <c r="T367" t="s">
        <v>13610</v>
      </c>
      <c r="U367" t="s">
        <v>13610</v>
      </c>
      <c r="V367" t="s">
        <v>13610</v>
      </c>
      <c r="W367" t="s">
        <v>13970</v>
      </c>
      <c r="X367">
        <v>1</v>
      </c>
      <c r="Y367" t="s">
        <v>20693</v>
      </c>
      <c r="Z367" t="s">
        <v>27222</v>
      </c>
      <c r="AA367">
        <v>0.4800154409305481</v>
      </c>
      <c r="AB367" t="str">
        <f>HYPERLINK("Melting_Curves/meltCurve_D6REW1_PRELID1.pdf", "Melting_Curves/meltCurve_D6REW1_PRELID1.pdf")</f>
        <v>Melting_Curves/meltCurve_D6REW1_PRELID1.pdf</v>
      </c>
    </row>
    <row r="368" spans="1:28" x14ac:dyDescent="0.25">
      <c r="A368" t="s">
        <v>372</v>
      </c>
      <c r="B368">
        <v>0.995954080203443</v>
      </c>
      <c r="C368">
        <v>0.90422297642535299</v>
      </c>
      <c r="D368">
        <v>0.76560139634122104</v>
      </c>
      <c r="E368">
        <v>0.76698465697387497</v>
      </c>
      <c r="F368">
        <v>0.69966905005461699</v>
      </c>
      <c r="G368">
        <v>0.52176593615878497</v>
      </c>
      <c r="H368">
        <v>0.47896752310310398</v>
      </c>
      <c r="I368">
        <v>0.61909683540909199</v>
      </c>
      <c r="J368">
        <v>0.78399708805478496</v>
      </c>
      <c r="K368">
        <v>0.694061918259538</v>
      </c>
      <c r="L368">
        <v>787.23932277345602</v>
      </c>
      <c r="M368">
        <v>17.244997917181401</v>
      </c>
      <c r="O368">
        <v>45.049705567153701</v>
      </c>
      <c r="P368">
        <v>-3.5338854074097897E-2</v>
      </c>
      <c r="Q368">
        <v>0.63075391779854495</v>
      </c>
      <c r="R368">
        <v>0.67216124996844495</v>
      </c>
      <c r="S368" t="s">
        <v>7174</v>
      </c>
      <c r="T368" t="s">
        <v>13610</v>
      </c>
      <c r="U368" t="s">
        <v>13610</v>
      </c>
      <c r="V368" t="s">
        <v>13610</v>
      </c>
      <c r="W368" t="s">
        <v>13971</v>
      </c>
      <c r="X368">
        <v>1</v>
      </c>
      <c r="Y368" t="s">
        <v>20694</v>
      </c>
      <c r="Z368" t="s">
        <v>27223</v>
      </c>
      <c r="AA368">
        <v>0.70851227685613549</v>
      </c>
      <c r="AB368" t="str">
        <f>HYPERLINK("Melting_Curves/meltCurve_D6RF85_ZNF652.pdf", "Melting_Curves/meltCurve_D6RF85_ZNF652.pdf")</f>
        <v>Melting_Curves/meltCurve_D6RF85_ZNF652.pdf</v>
      </c>
    </row>
    <row r="369" spans="1:28" x14ac:dyDescent="0.25">
      <c r="A369" t="s">
        <v>373</v>
      </c>
      <c r="B369">
        <v>0.995954080203443</v>
      </c>
      <c r="C369">
        <v>2.66326109259641</v>
      </c>
      <c r="D369">
        <v>2.3021335769040099</v>
      </c>
      <c r="E369">
        <v>2.4342368730474702</v>
      </c>
      <c r="F369">
        <v>1.20060682409398</v>
      </c>
      <c r="G369">
        <v>0.59671070658264402</v>
      </c>
      <c r="H369">
        <v>0.51874563237403304</v>
      </c>
      <c r="I369">
        <v>0.42714860040578201</v>
      </c>
      <c r="J369">
        <v>0.49463339477042201</v>
      </c>
      <c r="K369">
        <v>0.59554376883949101</v>
      </c>
      <c r="L369">
        <v>14163.0286656186</v>
      </c>
      <c r="M369">
        <v>250</v>
      </c>
      <c r="O369">
        <v>56.648489373571103</v>
      </c>
      <c r="P369">
        <v>-0.54169820822398396</v>
      </c>
      <c r="Q369">
        <v>0.50901783811185697</v>
      </c>
      <c r="R369">
        <v>8.7462175837858203E-2</v>
      </c>
      <c r="S369" t="s">
        <v>7175</v>
      </c>
      <c r="T369" t="s">
        <v>13610</v>
      </c>
      <c r="U369" t="s">
        <v>13610</v>
      </c>
      <c r="V369" t="s">
        <v>13610</v>
      </c>
      <c r="W369" t="s">
        <v>13972</v>
      </c>
      <c r="X369">
        <v>2</v>
      </c>
      <c r="Y369" t="s">
        <v>20695</v>
      </c>
      <c r="Z369" t="s">
        <v>27224</v>
      </c>
      <c r="AA369">
        <v>0.78159636188224191</v>
      </c>
      <c r="AB369" t="str">
        <f>HYPERLINK("Melting_Curves/meltCurve_D6RFH4_CYB5B.pdf", "Melting_Curves/meltCurve_D6RFH4_CYB5B.pdf")</f>
        <v>Melting_Curves/meltCurve_D6RFH4_CYB5B.pdf</v>
      </c>
    </row>
    <row r="370" spans="1:28" x14ac:dyDescent="0.25">
      <c r="A370" t="s">
        <v>374</v>
      </c>
      <c r="B370">
        <v>0.995954080203443</v>
      </c>
      <c r="C370">
        <v>0.92076550749834896</v>
      </c>
      <c r="D370">
        <v>0.77035842400610199</v>
      </c>
      <c r="E370">
        <v>0.95602022147212695</v>
      </c>
      <c r="F370">
        <v>0.65337712481918397</v>
      </c>
      <c r="G370">
        <v>0.325360577696507</v>
      </c>
      <c r="H370">
        <v>0.192855532407948</v>
      </c>
      <c r="I370">
        <v>0.12029999454083801</v>
      </c>
      <c r="J370">
        <v>7.9587820795783901E-2</v>
      </c>
      <c r="K370">
        <v>7.2025470990749796E-2</v>
      </c>
      <c r="L370">
        <v>997.47893907590696</v>
      </c>
      <c r="M370">
        <v>18.241675001911901</v>
      </c>
      <c r="N370">
        <v>55.017708507708903</v>
      </c>
      <c r="O370">
        <v>54.036889918965599</v>
      </c>
      <c r="P370">
        <v>-7.9944928949087807E-2</v>
      </c>
      <c r="Q370">
        <v>5.2768371211323002E-2</v>
      </c>
      <c r="R370">
        <v>0.95784459482265505</v>
      </c>
      <c r="S370" t="s">
        <v>7176</v>
      </c>
      <c r="T370" t="s">
        <v>13610</v>
      </c>
      <c r="U370" t="s">
        <v>13610</v>
      </c>
      <c r="V370" t="s">
        <v>13610</v>
      </c>
      <c r="W370" t="s">
        <v>13973</v>
      </c>
      <c r="X370">
        <v>28</v>
      </c>
      <c r="Y370" t="s">
        <v>20696</v>
      </c>
      <c r="Z370" t="s">
        <v>27225</v>
      </c>
      <c r="AA370">
        <v>0.53087970913046667</v>
      </c>
      <c r="AB370" t="str">
        <f>HYPERLINK("Melting_Curves/meltCurve_D6RGI3_SEPT11.pdf", "Melting_Curves/meltCurve_D6RGI3_SEPT11.pdf")</f>
        <v>Melting_Curves/meltCurve_D6RGI3_SEPT11.pdf</v>
      </c>
    </row>
    <row r="371" spans="1:28" x14ac:dyDescent="0.25">
      <c r="A371" t="s">
        <v>375</v>
      </c>
      <c r="B371">
        <v>0.995954080203443</v>
      </c>
      <c r="C371">
        <v>0.90204411242114202</v>
      </c>
      <c r="D371">
        <v>0.70114246445497597</v>
      </c>
      <c r="E371">
        <v>0.71637174440249696</v>
      </c>
      <c r="F371">
        <v>0.28736382920085202</v>
      </c>
      <c r="G371">
        <v>0.14876528246114001</v>
      </c>
      <c r="H371">
        <v>9.4723278903888902E-2</v>
      </c>
      <c r="I371">
        <v>9.0840746546211396E-2</v>
      </c>
      <c r="J371">
        <v>7.1417598096805396E-2</v>
      </c>
      <c r="K371">
        <v>9.7585474087749105E-2</v>
      </c>
      <c r="L371">
        <v>718.44591972485296</v>
      </c>
      <c r="M371">
        <v>14.2405481998765</v>
      </c>
      <c r="N371">
        <v>50.739973763414902</v>
      </c>
      <c r="O371">
        <v>49.487117995912797</v>
      </c>
      <c r="P371">
        <v>-6.91445065669644E-2</v>
      </c>
      <c r="Q371">
        <v>3.89866060649771E-2</v>
      </c>
      <c r="R371">
        <v>0.96078789990501001</v>
      </c>
      <c r="S371" t="s">
        <v>7177</v>
      </c>
      <c r="T371" t="s">
        <v>13610</v>
      </c>
      <c r="U371" t="s">
        <v>13610</v>
      </c>
      <c r="V371" t="s">
        <v>13610</v>
      </c>
      <c r="W371" t="s">
        <v>13974</v>
      </c>
      <c r="X371">
        <v>2</v>
      </c>
      <c r="Y371" t="s">
        <v>20697</v>
      </c>
      <c r="Z371" t="s">
        <v>27226</v>
      </c>
      <c r="AA371">
        <v>0.39843467642323438</v>
      </c>
      <c r="AB371" t="str">
        <f>HYPERLINK("Melting_Curves/meltCurve_D6RGX2_UFSP2.pdf", "Melting_Curves/meltCurve_D6RGX2_UFSP2.pdf")</f>
        <v>Melting_Curves/meltCurve_D6RGX2_UFSP2.pdf</v>
      </c>
    </row>
    <row r="372" spans="1:28" x14ac:dyDescent="0.25">
      <c r="A372" t="s">
        <v>376</v>
      </c>
      <c r="B372">
        <v>0.995954080203443</v>
      </c>
      <c r="C372">
        <v>0.77123172039644405</v>
      </c>
      <c r="D372">
        <v>0.52092010013385504</v>
      </c>
      <c r="E372">
        <v>0.48255503047703702</v>
      </c>
      <c r="F372">
        <v>0.278359432071</v>
      </c>
      <c r="G372">
        <v>0.15543142450594599</v>
      </c>
      <c r="H372">
        <v>0.13861495632988599</v>
      </c>
      <c r="I372">
        <v>0.109139198395654</v>
      </c>
      <c r="J372">
        <v>0.115329843326041</v>
      </c>
      <c r="K372">
        <v>0.103162484397805</v>
      </c>
      <c r="L372">
        <v>567.56742528552502</v>
      </c>
      <c r="M372">
        <v>12.0228567744066</v>
      </c>
      <c r="N372">
        <v>47.924149837141996</v>
      </c>
      <c r="O372">
        <v>45.958259445325901</v>
      </c>
      <c r="P372">
        <v>-6.0033473675401003E-2</v>
      </c>
      <c r="Q372">
        <v>8.2290160831185302E-2</v>
      </c>
      <c r="R372">
        <v>0.97100055764840498</v>
      </c>
      <c r="S372" t="s">
        <v>7178</v>
      </c>
      <c r="T372" t="s">
        <v>13610</v>
      </c>
      <c r="U372" t="s">
        <v>13610</v>
      </c>
      <c r="V372" t="s">
        <v>13610</v>
      </c>
      <c r="W372" t="s">
        <v>13975</v>
      </c>
      <c r="X372">
        <v>14</v>
      </c>
      <c r="Y372" t="s">
        <v>20698</v>
      </c>
      <c r="Z372" t="s">
        <v>27227</v>
      </c>
      <c r="AA372">
        <v>0.34057608417043972</v>
      </c>
      <c r="AB372" t="str">
        <f>HYPERLINK("Melting_Curves/meltCurve_D6RHC4_ANKHD1.pdf", "Melting_Curves/meltCurve_D6RHC4_ANKHD1.pdf")</f>
        <v>Melting_Curves/meltCurve_D6RHC4_ANKHD1.pdf</v>
      </c>
    </row>
    <row r="373" spans="1:28" x14ac:dyDescent="0.25">
      <c r="A373" t="s">
        <v>377</v>
      </c>
      <c r="B373">
        <v>0.995954080203443</v>
      </c>
      <c r="C373">
        <v>0.85458391004590994</v>
      </c>
      <c r="D373">
        <v>0.80058535183753399</v>
      </c>
      <c r="E373">
        <v>0.50173897052723004</v>
      </c>
      <c r="F373">
        <v>0.30435547110663003</v>
      </c>
      <c r="G373">
        <v>0.15598770609281701</v>
      </c>
      <c r="H373">
        <v>7.3692199038983497E-2</v>
      </c>
      <c r="I373">
        <v>6.3430743382876104E-2</v>
      </c>
      <c r="J373">
        <v>6.2674737405709502E-2</v>
      </c>
      <c r="K373">
        <v>5.50272915867238E-2</v>
      </c>
      <c r="L373">
        <v>728.827871195689</v>
      </c>
      <c r="M373">
        <v>14.657769111966401</v>
      </c>
      <c r="N373">
        <v>49.9377723607818</v>
      </c>
      <c r="O373">
        <v>48.824986451453398</v>
      </c>
      <c r="P373">
        <v>-7.2767739989907002E-2</v>
      </c>
      <c r="Q373">
        <v>3.0550692914202399E-2</v>
      </c>
      <c r="R373">
        <v>0.99566883443836895</v>
      </c>
      <c r="S373" t="s">
        <v>7179</v>
      </c>
      <c r="T373" t="s">
        <v>13610</v>
      </c>
      <c r="U373" t="s">
        <v>13610</v>
      </c>
      <c r="V373" t="s">
        <v>13610</v>
      </c>
      <c r="W373" t="s">
        <v>13976</v>
      </c>
      <c r="X373">
        <v>5</v>
      </c>
      <c r="Y373" t="s">
        <v>20699</v>
      </c>
      <c r="Z373" t="s">
        <v>27228</v>
      </c>
      <c r="AA373">
        <v>0.36906217966130789</v>
      </c>
      <c r="AB373" t="str">
        <f>HYPERLINK("Melting_Curves/meltCurve_D6RHD3_CENPK.pdf", "Melting_Curves/meltCurve_D6RHD3_CENPK.pdf")</f>
        <v>Melting_Curves/meltCurve_D6RHD3_CENPK.pdf</v>
      </c>
    </row>
    <row r="374" spans="1:28" x14ac:dyDescent="0.25">
      <c r="A374" t="s">
        <v>378</v>
      </c>
      <c r="B374">
        <v>0.995954080203443</v>
      </c>
      <c r="C374">
        <v>1.00894176795818</v>
      </c>
      <c r="D374">
        <v>0.98924020562507597</v>
      </c>
      <c r="E374">
        <v>0.87507367012897297</v>
      </c>
      <c r="F374">
        <v>0.81315442733548604</v>
      </c>
      <c r="G374">
        <v>0.61239810899950597</v>
      </c>
      <c r="H374">
        <v>0.45169107066342201</v>
      </c>
      <c r="I374">
        <v>0.34369608483677899</v>
      </c>
      <c r="J374">
        <v>0.34271747714245998</v>
      </c>
      <c r="K374">
        <v>0.32399129914668401</v>
      </c>
      <c r="L374">
        <v>861.93625382250298</v>
      </c>
      <c r="M374">
        <v>15.312128905865499</v>
      </c>
      <c r="N374">
        <v>59.428011009994997</v>
      </c>
      <c r="O374">
        <v>55.357173605108699</v>
      </c>
      <c r="P374">
        <v>-4.9988589746960299E-2</v>
      </c>
      <c r="Q374">
        <v>0.27718237281321301</v>
      </c>
      <c r="R374">
        <v>0.99606955351071502</v>
      </c>
      <c r="S374" t="s">
        <v>7180</v>
      </c>
      <c r="T374" t="s">
        <v>13610</v>
      </c>
      <c r="U374" t="s">
        <v>13610</v>
      </c>
      <c r="V374" t="s">
        <v>13610</v>
      </c>
      <c r="W374" t="s">
        <v>13977</v>
      </c>
      <c r="X374">
        <v>8</v>
      </c>
      <c r="Y374" t="s">
        <v>20700</v>
      </c>
      <c r="Z374" t="s">
        <v>27229</v>
      </c>
      <c r="AA374">
        <v>0.68194671439423993</v>
      </c>
      <c r="AB374" t="str">
        <f>HYPERLINK("Melting_Curves/meltCurve_D6RHI9_RNASET2.pdf", "Melting_Curves/meltCurve_D6RHI9_RNASET2.pdf")</f>
        <v>Melting_Curves/meltCurve_D6RHI9_RNASET2.pdf</v>
      </c>
    </row>
    <row r="375" spans="1:28" x14ac:dyDescent="0.25">
      <c r="A375" t="s">
        <v>379</v>
      </c>
      <c r="B375">
        <v>0.995954080203443</v>
      </c>
      <c r="C375">
        <v>0.78727684340454496</v>
      </c>
      <c r="D375">
        <v>0.48755068322357997</v>
      </c>
      <c r="E375">
        <v>0.40013935847684701</v>
      </c>
      <c r="F375">
        <v>0.19241988883368</v>
      </c>
      <c r="G375">
        <v>9.9266074441090493E-2</v>
      </c>
      <c r="H375">
        <v>6.1855288252406299E-2</v>
      </c>
      <c r="I375">
        <v>6.6612876013764005E-2</v>
      </c>
      <c r="J375">
        <v>8.9962488624617601E-2</v>
      </c>
      <c r="K375">
        <v>6.8216071708209897E-2</v>
      </c>
      <c r="L375">
        <v>671.19298876647497</v>
      </c>
      <c r="M375">
        <v>14.411438595451999</v>
      </c>
      <c r="N375">
        <v>46.969076511614901</v>
      </c>
      <c r="O375">
        <v>45.7044114243675</v>
      </c>
      <c r="P375">
        <v>-7.4334734421553597E-2</v>
      </c>
      <c r="Q375">
        <v>5.7131223539751301E-2</v>
      </c>
      <c r="R375">
        <v>0.97841333817106302</v>
      </c>
      <c r="S375" t="s">
        <v>7181</v>
      </c>
      <c r="T375" t="s">
        <v>13610</v>
      </c>
      <c r="U375" t="s">
        <v>13610</v>
      </c>
      <c r="V375" t="s">
        <v>13610</v>
      </c>
      <c r="W375" t="s">
        <v>13978</v>
      </c>
      <c r="X375">
        <v>7</v>
      </c>
      <c r="Y375" t="s">
        <v>20701</v>
      </c>
      <c r="Z375" t="s">
        <v>27230</v>
      </c>
      <c r="AA375">
        <v>0.29235596509176881</v>
      </c>
      <c r="AB375" t="str">
        <f>HYPERLINK("Melting_Curves/meltCurve_D6RIY1_TAF9.pdf", "Melting_Curves/meltCurve_D6RIY1_TAF9.pdf")</f>
        <v>Melting_Curves/meltCurve_D6RIY1_TAF9.pdf</v>
      </c>
    </row>
    <row r="376" spans="1:28" x14ac:dyDescent="0.25">
      <c r="A376" t="s">
        <v>380</v>
      </c>
      <c r="B376">
        <v>0.995954080203443</v>
      </c>
      <c r="C376">
        <v>0.86809527932017805</v>
      </c>
      <c r="D376">
        <v>1.14331521394475</v>
      </c>
      <c r="E376">
        <v>0.37955307874520999</v>
      </c>
      <c r="F376">
        <v>0.25343533985903099</v>
      </c>
      <c r="G376">
        <v>0.149077491184782</v>
      </c>
      <c r="H376">
        <v>7.6477619926450705E-2</v>
      </c>
      <c r="I376">
        <v>0.18559092188988999</v>
      </c>
      <c r="J376">
        <v>4.5258347262051198E-2</v>
      </c>
      <c r="K376">
        <v>6.4289399994016699E-2</v>
      </c>
      <c r="L376">
        <v>3887.18065866401</v>
      </c>
      <c r="M376">
        <v>78.617894926380004</v>
      </c>
      <c r="N376">
        <v>49.6300788522733</v>
      </c>
      <c r="O376">
        <v>49.412017574720103</v>
      </c>
      <c r="P376">
        <v>-0.346986290352712</v>
      </c>
      <c r="Q376">
        <v>0.12766499461118899</v>
      </c>
      <c r="R376">
        <v>0.95580372912217504</v>
      </c>
      <c r="S376" t="s">
        <v>7182</v>
      </c>
      <c r="T376" t="s">
        <v>13610</v>
      </c>
      <c r="U376" t="s">
        <v>13610</v>
      </c>
      <c r="V376" t="s">
        <v>13610</v>
      </c>
      <c r="W376" t="s">
        <v>13979</v>
      </c>
      <c r="X376">
        <v>2</v>
      </c>
      <c r="Y376" t="s">
        <v>20702</v>
      </c>
      <c r="Z376" t="s">
        <v>27231</v>
      </c>
      <c r="AA376">
        <v>0.40304209872587787</v>
      </c>
      <c r="AB376" t="str">
        <f>HYPERLINK("Melting_Curves/meltCurve_D6RIZ4_MFSD10.pdf", "Melting_Curves/meltCurve_D6RIZ4_MFSD10.pdf")</f>
        <v>Melting_Curves/meltCurve_D6RIZ4_MFSD10.pdf</v>
      </c>
    </row>
    <row r="377" spans="1:28" x14ac:dyDescent="0.25">
      <c r="A377" t="s">
        <v>381</v>
      </c>
      <c r="B377">
        <v>0.995954080203443</v>
      </c>
      <c r="C377">
        <v>0.86774865490847797</v>
      </c>
      <c r="D377">
        <v>0.88268509990687705</v>
      </c>
      <c r="E377">
        <v>0.70164564357687698</v>
      </c>
      <c r="F377">
        <v>0.63824817496480302</v>
      </c>
      <c r="G377">
        <v>0.49257477659759302</v>
      </c>
      <c r="H377">
        <v>0.34204272521164902</v>
      </c>
      <c r="I377">
        <v>0.42181779764368799</v>
      </c>
      <c r="J377">
        <v>0.53246574920685696</v>
      </c>
      <c r="K377">
        <v>0.45594106020163</v>
      </c>
      <c r="L377">
        <v>689.43381508670097</v>
      </c>
      <c r="M377">
        <v>13.859694273889</v>
      </c>
      <c r="N377">
        <v>57.398624536371003</v>
      </c>
      <c r="O377">
        <v>48.7425327396572</v>
      </c>
      <c r="P377">
        <v>-4.1146632233658699E-2</v>
      </c>
      <c r="Q377">
        <v>0.42125275846950899</v>
      </c>
      <c r="R377">
        <v>0.92470970907969796</v>
      </c>
      <c r="S377" t="s">
        <v>7183</v>
      </c>
      <c r="T377" t="s">
        <v>13610</v>
      </c>
      <c r="U377" t="s">
        <v>13610</v>
      </c>
      <c r="V377" t="s">
        <v>13610</v>
      </c>
      <c r="W377" t="s">
        <v>13980</v>
      </c>
      <c r="X377">
        <v>1</v>
      </c>
      <c r="Y377" t="s">
        <v>20703</v>
      </c>
      <c r="Z377" t="s">
        <v>27232</v>
      </c>
      <c r="AA377">
        <v>0.62522954773263217</v>
      </c>
      <c r="AB377" t="str">
        <f>HYPERLINK("Melting_Curves/meltCurve_D6RJG9_SNX14.pdf", "Melting_Curves/meltCurve_D6RJG9_SNX14.pdf")</f>
        <v>Melting_Curves/meltCurve_D6RJG9_SNX14.pdf</v>
      </c>
    </row>
    <row r="378" spans="1:28" x14ac:dyDescent="0.25">
      <c r="A378" t="s">
        <v>382</v>
      </c>
      <c r="B378">
        <v>0.995954080203443</v>
      </c>
      <c r="C378">
        <v>0.77965663051433298</v>
      </c>
      <c r="D378">
        <v>0.42945517453179299</v>
      </c>
      <c r="E378">
        <v>0.35747074831967102</v>
      </c>
      <c r="F378">
        <v>0.137814311665513</v>
      </c>
      <c r="G378">
        <v>8.5359672034533707E-2</v>
      </c>
      <c r="H378">
        <v>3.9744288351704501E-2</v>
      </c>
      <c r="I378">
        <v>2.9777493430097401E-2</v>
      </c>
      <c r="J378">
        <v>2.70948669500789E-2</v>
      </c>
      <c r="K378">
        <v>3.0778959083271398E-2</v>
      </c>
      <c r="L378">
        <v>694.65268433318897</v>
      </c>
      <c r="M378">
        <v>15.0338280928614</v>
      </c>
      <c r="N378">
        <v>46.369790908457098</v>
      </c>
      <c r="O378">
        <v>45.411557885285397</v>
      </c>
      <c r="P378">
        <v>-8.0631868643810903E-2</v>
      </c>
      <c r="Q378">
        <v>2.5862984087950101E-2</v>
      </c>
      <c r="R378">
        <v>0.97576945358215506</v>
      </c>
      <c r="S378" t="s">
        <v>7184</v>
      </c>
      <c r="T378" t="s">
        <v>13610</v>
      </c>
      <c r="U378" t="s">
        <v>13610</v>
      </c>
      <c r="V378" t="s">
        <v>13610</v>
      </c>
      <c r="W378" t="s">
        <v>13981</v>
      </c>
      <c r="X378">
        <v>5</v>
      </c>
      <c r="Y378" t="s">
        <v>20704</v>
      </c>
      <c r="Z378" t="s">
        <v>27233</v>
      </c>
      <c r="AA378">
        <v>0.25522802641549402</v>
      </c>
      <c r="AB378" t="str">
        <f>HYPERLINK("Melting_Curves/meltCurve_E1P5Q0_TRPC4AP.pdf", "Melting_Curves/meltCurve_E1P5Q0_TRPC4AP.pdf")</f>
        <v>Melting_Curves/meltCurve_E1P5Q0_TRPC4AP.pdf</v>
      </c>
    </row>
    <row r="379" spans="1:28" x14ac:dyDescent="0.25">
      <c r="A379" t="s">
        <v>383</v>
      </c>
      <c r="B379">
        <v>0.995954080203443</v>
      </c>
      <c r="C379">
        <v>0.99667530843054297</v>
      </c>
      <c r="D379">
        <v>0.85935448246511403</v>
      </c>
      <c r="E379">
        <v>0.66658120316627301</v>
      </c>
      <c r="F379">
        <v>0.22986617565113501</v>
      </c>
      <c r="G379">
        <v>0.10299296576323699</v>
      </c>
      <c r="H379">
        <v>6.0773165766704502E-2</v>
      </c>
      <c r="I379">
        <v>4.7342753683036899E-2</v>
      </c>
      <c r="J379">
        <v>5.8401862229760799E-2</v>
      </c>
      <c r="K379">
        <v>5.1382953269041798E-2</v>
      </c>
      <c r="L379">
        <v>1371.53644787241</v>
      </c>
      <c r="M379">
        <v>27.0424358590477</v>
      </c>
      <c r="N379">
        <v>50.908679490562299</v>
      </c>
      <c r="O379">
        <v>50.443021482246003</v>
      </c>
      <c r="P379">
        <v>-0.12756872172876599</v>
      </c>
      <c r="Q379">
        <v>4.8179186602042803E-2</v>
      </c>
      <c r="R379">
        <v>0.99243223114600698</v>
      </c>
      <c r="S379" t="s">
        <v>7185</v>
      </c>
      <c r="T379" t="s">
        <v>13610</v>
      </c>
      <c r="U379" t="s">
        <v>13610</v>
      </c>
      <c r="V379" t="s">
        <v>13610</v>
      </c>
      <c r="W379" t="s">
        <v>13982</v>
      </c>
      <c r="X379">
        <v>14</v>
      </c>
      <c r="Y379" t="s">
        <v>20705</v>
      </c>
      <c r="Z379" t="s">
        <v>27234</v>
      </c>
      <c r="AA379">
        <v>0.39556406951072109</v>
      </c>
      <c r="AB379" t="str">
        <f>HYPERLINK("Melting_Curves/meltCurve_E2QRD4_MMS22L.pdf", "Melting_Curves/meltCurve_E2QRD4_MMS22L.pdf")</f>
        <v>Melting_Curves/meltCurve_E2QRD4_MMS22L.pdf</v>
      </c>
    </row>
    <row r="380" spans="1:28" x14ac:dyDescent="0.25">
      <c r="A380" t="s">
        <v>384</v>
      </c>
      <c r="B380">
        <v>0.995954080203443</v>
      </c>
      <c r="C380">
        <v>1.0203100542436601</v>
      </c>
      <c r="D380">
        <v>1.0472812542538099</v>
      </c>
      <c r="E380">
        <v>0.90520435695764301</v>
      </c>
      <c r="F380">
        <v>0.82448633140188199</v>
      </c>
      <c r="G380">
        <v>0.60811961369724898</v>
      </c>
      <c r="H380">
        <v>0.59030984491267802</v>
      </c>
      <c r="I380">
        <v>0.603180200689169</v>
      </c>
      <c r="J380">
        <v>0.98695428864427603</v>
      </c>
      <c r="K380">
        <v>0.80914491739251704</v>
      </c>
      <c r="L380">
        <v>2029.15168516275</v>
      </c>
      <c r="M380">
        <v>39.51324804763</v>
      </c>
      <c r="O380">
        <v>51.222698733222401</v>
      </c>
      <c r="P380">
        <v>-5.3298201062036497E-2</v>
      </c>
      <c r="Q380">
        <v>0.72362973774459405</v>
      </c>
      <c r="R380">
        <v>0.56962732696373097</v>
      </c>
      <c r="S380" t="s">
        <v>7186</v>
      </c>
      <c r="T380" t="s">
        <v>13610</v>
      </c>
      <c r="U380" t="s">
        <v>13610</v>
      </c>
      <c r="V380" t="s">
        <v>13610</v>
      </c>
      <c r="W380" t="s">
        <v>13983</v>
      </c>
      <c r="X380">
        <v>7</v>
      </c>
      <c r="Y380" t="s">
        <v>20706</v>
      </c>
      <c r="Z380" t="s">
        <v>27235</v>
      </c>
      <c r="AA380">
        <v>0.82922927009662883</v>
      </c>
      <c r="AB380" t="str">
        <f>HYPERLINK("Melting_Curves/meltCurve_E2QRF9_GMNN.pdf", "Melting_Curves/meltCurve_E2QRF9_GMNN.pdf")</f>
        <v>Melting_Curves/meltCurve_E2QRF9_GMNN.pdf</v>
      </c>
    </row>
    <row r="381" spans="1:28" x14ac:dyDescent="0.25">
      <c r="A381" t="s">
        <v>385</v>
      </c>
      <c r="B381">
        <v>0.995954080203443</v>
      </c>
      <c r="C381">
        <v>1.09635994623335</v>
      </c>
      <c r="D381">
        <v>1.0900132431752401</v>
      </c>
      <c r="E381">
        <v>0.92362295204223099</v>
      </c>
      <c r="F381">
        <v>0.895377569461553</v>
      </c>
      <c r="G381">
        <v>0.57455797669481601</v>
      </c>
      <c r="H381">
        <v>0.27613459871458901</v>
      </c>
      <c r="I381">
        <v>0.213276297381091</v>
      </c>
      <c r="J381">
        <v>0.219934209192235</v>
      </c>
      <c r="K381">
        <v>0.12316536658418301</v>
      </c>
      <c r="L381">
        <v>1392.92543796428</v>
      </c>
      <c r="M381">
        <v>24.462558298713599</v>
      </c>
      <c r="N381">
        <v>57.808107170057603</v>
      </c>
      <c r="O381">
        <v>56.564693547240502</v>
      </c>
      <c r="P381">
        <v>-9.1517023620182006E-2</v>
      </c>
      <c r="Q381">
        <v>0.15355434990907199</v>
      </c>
      <c r="R381">
        <v>0.98311827787891504</v>
      </c>
      <c r="S381" t="s">
        <v>7187</v>
      </c>
      <c r="T381" t="s">
        <v>13610</v>
      </c>
      <c r="U381" t="s">
        <v>13610</v>
      </c>
      <c r="V381" t="s">
        <v>13610</v>
      </c>
      <c r="W381" t="s">
        <v>13984</v>
      </c>
      <c r="X381">
        <v>1</v>
      </c>
      <c r="Y381" t="s">
        <v>20707</v>
      </c>
      <c r="Z381" t="s">
        <v>27236</v>
      </c>
      <c r="AA381">
        <v>0.63944172357935514</v>
      </c>
      <c r="AB381" t="str">
        <f>HYPERLINK("Melting_Curves/meltCurve_E5RFI2_MRPL13.pdf", "Melting_Curves/meltCurve_E5RFI2_MRPL13.pdf")</f>
        <v>Melting_Curves/meltCurve_E5RFI2_MRPL13.pdf</v>
      </c>
    </row>
    <row r="382" spans="1:28" x14ac:dyDescent="0.25">
      <c r="A382" t="s">
        <v>386</v>
      </c>
      <c r="B382">
        <v>0.995954080203443</v>
      </c>
      <c r="C382">
        <v>0.80150411788086895</v>
      </c>
      <c r="D382">
        <v>0.70770093008948898</v>
      </c>
      <c r="E382">
        <v>0.64828540388843603</v>
      </c>
      <c r="F382">
        <v>0.45080706462724801</v>
      </c>
      <c r="G382">
        <v>0.31583574721875901</v>
      </c>
      <c r="H382">
        <v>0.26265322333181301</v>
      </c>
      <c r="I382">
        <v>0.33777996644860703</v>
      </c>
      <c r="J382">
        <v>0.35797945602828402</v>
      </c>
      <c r="K382">
        <v>0.32168396601468902</v>
      </c>
      <c r="L382">
        <v>581.73285164602396</v>
      </c>
      <c r="M382">
        <v>12.1262537834286</v>
      </c>
      <c r="N382">
        <v>51.5796799073157</v>
      </c>
      <c r="O382">
        <v>46.724264489651802</v>
      </c>
      <c r="P382">
        <v>-4.6346371453665297E-2</v>
      </c>
      <c r="Q382">
        <v>0.285847389983379</v>
      </c>
      <c r="R382">
        <v>0.95052407149313001</v>
      </c>
      <c r="S382" t="s">
        <v>7188</v>
      </c>
      <c r="T382" t="s">
        <v>13610</v>
      </c>
      <c r="U382" t="s">
        <v>13610</v>
      </c>
      <c r="V382" t="s">
        <v>13610</v>
      </c>
      <c r="W382" t="s">
        <v>13985</v>
      </c>
      <c r="X382">
        <v>6</v>
      </c>
      <c r="Y382" t="s">
        <v>20708</v>
      </c>
      <c r="Z382" t="s">
        <v>27237</v>
      </c>
      <c r="AA382">
        <v>0.50312717113704108</v>
      </c>
      <c r="AB382" t="str">
        <f>HYPERLINK("Melting_Curves/meltCurve_E5RFJ1_NSMCE2.pdf", "Melting_Curves/meltCurve_E5RFJ1_NSMCE2.pdf")</f>
        <v>Melting_Curves/meltCurve_E5RFJ1_NSMCE2.pdf</v>
      </c>
    </row>
    <row r="383" spans="1:28" x14ac:dyDescent="0.25">
      <c r="A383" t="s">
        <v>387</v>
      </c>
      <c r="B383">
        <v>0.995954080203443</v>
      </c>
      <c r="C383">
        <v>1.1413972332446201</v>
      </c>
      <c r="D383">
        <v>1.00961583900868</v>
      </c>
      <c r="E383">
        <v>0.99387648821599195</v>
      </c>
      <c r="F383">
        <v>0.98115397032692697</v>
      </c>
      <c r="G383">
        <v>0.76011813720046395</v>
      </c>
      <c r="H383">
        <v>0.793648754887606</v>
      </c>
      <c r="I383">
        <v>1.00844168338229</v>
      </c>
      <c r="J383">
        <v>1.3222189924850201</v>
      </c>
      <c r="K383">
        <v>1.2397363426055801</v>
      </c>
      <c r="L383">
        <v>15000</v>
      </c>
      <c r="M383">
        <v>231.01680139181801</v>
      </c>
      <c r="O383">
        <v>64.925463382311307</v>
      </c>
      <c r="P383">
        <v>0.25001220725176498</v>
      </c>
      <c r="Q383">
        <v>1.2810559499169201</v>
      </c>
      <c r="R383">
        <v>0.55046414600943205</v>
      </c>
      <c r="S383" t="s">
        <v>7189</v>
      </c>
      <c r="T383" t="s">
        <v>13610</v>
      </c>
      <c r="U383" t="s">
        <v>13610</v>
      </c>
      <c r="V383" t="s">
        <v>13610</v>
      </c>
      <c r="W383" t="s">
        <v>13986</v>
      </c>
      <c r="X383">
        <v>1</v>
      </c>
      <c r="Y383" t="s">
        <v>20709</v>
      </c>
      <c r="Z383" t="s">
        <v>27238</v>
      </c>
      <c r="AA383">
        <v>1.0474577405792189</v>
      </c>
      <c r="AB383" t="str">
        <f>HYPERLINK("Melting_Curves/meltCurve_E5RG73_TMEM232.pdf", "Melting_Curves/meltCurve_E5RG73_TMEM232.pdf")</f>
        <v>Melting_Curves/meltCurve_E5RG73_TMEM232.pdf</v>
      </c>
    </row>
    <row r="384" spans="1:28" x14ac:dyDescent="0.25">
      <c r="A384" t="s">
        <v>388</v>
      </c>
      <c r="B384">
        <v>0.995954080203443</v>
      </c>
      <c r="C384">
        <v>1.07586555089407</v>
      </c>
      <c r="D384">
        <v>1.0195532561833001</v>
      </c>
      <c r="E384">
        <v>0.99559228124642596</v>
      </c>
      <c r="F384">
        <v>0.81552893264192905</v>
      </c>
      <c r="G384">
        <v>0.61266252941072497</v>
      </c>
      <c r="H384">
        <v>0.416306103598787</v>
      </c>
      <c r="I384">
        <v>0.32828102000146803</v>
      </c>
      <c r="J384">
        <v>0.25591590620667298</v>
      </c>
      <c r="K384">
        <v>0.26357758017154898</v>
      </c>
      <c r="L384">
        <v>1087.5510771699201</v>
      </c>
      <c r="M384">
        <v>19.110125271686801</v>
      </c>
      <c r="N384">
        <v>58.891485593931002</v>
      </c>
      <c r="O384">
        <v>56.297491490594702</v>
      </c>
      <c r="P384">
        <v>-6.4738142555652203E-2</v>
      </c>
      <c r="Q384">
        <v>0.237168155383329</v>
      </c>
      <c r="R384">
        <v>0.98953519598613804</v>
      </c>
      <c r="S384" t="s">
        <v>7190</v>
      </c>
      <c r="T384" t="s">
        <v>13610</v>
      </c>
      <c r="U384" t="s">
        <v>13610</v>
      </c>
      <c r="V384" t="s">
        <v>13610</v>
      </c>
      <c r="W384" t="s">
        <v>13987</v>
      </c>
      <c r="X384">
        <v>5</v>
      </c>
      <c r="Y384" t="s">
        <v>20710</v>
      </c>
      <c r="Z384" t="s">
        <v>27239</v>
      </c>
      <c r="AA384">
        <v>0.67704187451702014</v>
      </c>
      <c r="AB384" t="str">
        <f>HYPERLINK("Melting_Curves/meltCurve_E5RGQ3_RWDD1.pdf", "Melting_Curves/meltCurve_E5RGQ3_RWDD1.pdf")</f>
        <v>Melting_Curves/meltCurve_E5RGQ3_RWDD1.pdf</v>
      </c>
    </row>
    <row r="385" spans="1:28" x14ac:dyDescent="0.25">
      <c r="A385" t="s">
        <v>389</v>
      </c>
      <c r="B385">
        <v>0.995954080203443</v>
      </c>
      <c r="C385">
        <v>0.96834199120798603</v>
      </c>
      <c r="D385">
        <v>1.28036913926012</v>
      </c>
      <c r="E385">
        <v>0.98143846755817998</v>
      </c>
      <c r="F385">
        <v>1.0575986203205201</v>
      </c>
      <c r="G385">
        <v>1.11908042642007</v>
      </c>
      <c r="H385">
        <v>1.0908195470236799</v>
      </c>
      <c r="I385">
        <v>1.1959014636351499</v>
      </c>
      <c r="J385">
        <v>1.68436797813953</v>
      </c>
      <c r="K385">
        <v>1.49873099568826</v>
      </c>
      <c r="L385">
        <v>15000</v>
      </c>
      <c r="M385">
        <v>233.93555936995</v>
      </c>
      <c r="O385">
        <v>64.115557483099096</v>
      </c>
      <c r="P385">
        <v>0.45608204796306701</v>
      </c>
      <c r="Q385">
        <v>1.5</v>
      </c>
      <c r="R385">
        <v>0.72632597817542899</v>
      </c>
      <c r="S385" t="s">
        <v>7191</v>
      </c>
      <c r="T385" t="s">
        <v>13610</v>
      </c>
      <c r="U385" t="s">
        <v>13610</v>
      </c>
      <c r="V385" t="s">
        <v>13610</v>
      </c>
      <c r="W385" t="s">
        <v>13829</v>
      </c>
      <c r="X385">
        <v>9</v>
      </c>
      <c r="Y385" t="s">
        <v>20711</v>
      </c>
      <c r="Z385" t="s">
        <v>27240</v>
      </c>
      <c r="AA385">
        <v>1.0979320402356729</v>
      </c>
      <c r="AB385" t="str">
        <f>HYPERLINK("Melting_Curves/meltCurve_E5RGX5_STMN2.pdf", "Melting_Curves/meltCurve_E5RGX5_STMN2.pdf")</f>
        <v>Melting_Curves/meltCurve_E5RGX5_STMN2.pdf</v>
      </c>
    </row>
    <row r="386" spans="1:28" x14ac:dyDescent="0.25">
      <c r="A386" t="s">
        <v>390</v>
      </c>
      <c r="B386">
        <v>0.995954080203443</v>
      </c>
      <c r="C386">
        <v>0.77230740312320501</v>
      </c>
      <c r="D386">
        <v>1.61977338930792</v>
      </c>
      <c r="E386">
        <v>1.1593624248932799</v>
      </c>
      <c r="F386">
        <v>1.9323910231780701</v>
      </c>
      <c r="G386">
        <v>2.0414070302126901</v>
      </c>
      <c r="H386">
        <v>1.5759237718688801</v>
      </c>
      <c r="I386">
        <v>1.4043961214362599</v>
      </c>
      <c r="J386">
        <v>0.40913616396977798</v>
      </c>
      <c r="K386">
        <v>0.36599108229338201</v>
      </c>
      <c r="L386">
        <v>15000</v>
      </c>
      <c r="M386">
        <v>226.40937264115101</v>
      </c>
      <c r="N386">
        <v>66.6353706144737</v>
      </c>
      <c r="O386">
        <v>66.246494441049904</v>
      </c>
      <c r="P386">
        <v>-0.54321710088508401</v>
      </c>
      <c r="Q386">
        <v>0.364227125329464</v>
      </c>
      <c r="R386">
        <v>7.3996906756657696E-2</v>
      </c>
      <c r="S386" t="s">
        <v>7192</v>
      </c>
      <c r="T386" t="s">
        <v>13610</v>
      </c>
      <c r="U386" t="s">
        <v>13610</v>
      </c>
      <c r="V386" t="s">
        <v>13610</v>
      </c>
      <c r="W386" t="s">
        <v>13988</v>
      </c>
      <c r="X386">
        <v>2</v>
      </c>
      <c r="Y386" t="s">
        <v>20712</v>
      </c>
      <c r="Z386" t="s">
        <v>27241</v>
      </c>
      <c r="AA386">
        <v>0.92065396695196877</v>
      </c>
      <c r="AB386" t="str">
        <f>HYPERLINK("Melting_Curves/meltCurve_E5RH89_ZNF354B.pdf", "Melting_Curves/meltCurve_E5RH89_ZNF354B.pdf")</f>
        <v>Melting_Curves/meltCurve_E5RH89_ZNF354B.pdf</v>
      </c>
    </row>
    <row r="387" spans="1:28" x14ac:dyDescent="0.25">
      <c r="A387" t="s">
        <v>391</v>
      </c>
      <c r="B387">
        <v>0.995954080203443</v>
      </c>
      <c r="C387">
        <v>0.65749054947589403</v>
      </c>
      <c r="D387">
        <v>1.1545851734716099</v>
      </c>
      <c r="E387">
        <v>0.80644632941368499</v>
      </c>
      <c r="F387">
        <v>0.69543208499173703</v>
      </c>
      <c r="G387">
        <v>0.29846751390294202</v>
      </c>
      <c r="H387">
        <v>8.6558674872615607E-2</v>
      </c>
      <c r="I387">
        <v>6.3064956927545698E-2</v>
      </c>
      <c r="J387">
        <v>6.3129813752778097E-2</v>
      </c>
      <c r="K387">
        <v>6.2742319987238906E-2</v>
      </c>
      <c r="L387">
        <v>1210.40891968746</v>
      </c>
      <c r="M387">
        <v>22.234488427862999</v>
      </c>
      <c r="N387">
        <v>54.6289604258506</v>
      </c>
      <c r="O387">
        <v>54.003759412111499</v>
      </c>
      <c r="P387">
        <v>-9.9090771290237398E-2</v>
      </c>
      <c r="Q387">
        <v>3.7323040521733297E-2</v>
      </c>
      <c r="R387">
        <v>0.90500218021708101</v>
      </c>
      <c r="S387" t="s">
        <v>7193</v>
      </c>
      <c r="T387" t="s">
        <v>13610</v>
      </c>
      <c r="U387" t="s">
        <v>13610</v>
      </c>
      <c r="V387" t="s">
        <v>13610</v>
      </c>
      <c r="W387" t="s">
        <v>13989</v>
      </c>
      <c r="X387">
        <v>7</v>
      </c>
      <c r="Y387" t="s">
        <v>20713</v>
      </c>
      <c r="Z387" t="s">
        <v>27242</v>
      </c>
      <c r="AA387">
        <v>0.51156967966207356</v>
      </c>
      <c r="AB387" t="str">
        <f>HYPERLINK("Melting_Curves/meltCurve_E5RHG8_TCEB1.pdf", "Melting_Curves/meltCurve_E5RHG8_TCEB1.pdf")</f>
        <v>Melting_Curves/meltCurve_E5RHG8_TCEB1.pdf</v>
      </c>
    </row>
    <row r="388" spans="1:28" x14ac:dyDescent="0.25">
      <c r="A388" t="s">
        <v>392</v>
      </c>
      <c r="B388">
        <v>0.995954080203443</v>
      </c>
      <c r="C388">
        <v>0.97560019386066998</v>
      </c>
      <c r="D388">
        <v>0.98877652264216098</v>
      </c>
      <c r="E388">
        <v>0.80589322746559899</v>
      </c>
      <c r="F388">
        <v>0.66584420672905897</v>
      </c>
      <c r="G388">
        <v>0.34151692845014298</v>
      </c>
      <c r="H388">
        <v>0.15849870612082501</v>
      </c>
      <c r="I388">
        <v>0.110476517832621</v>
      </c>
      <c r="J388">
        <v>0.124883022093587</v>
      </c>
      <c r="K388">
        <v>0.105820243448194</v>
      </c>
      <c r="L388">
        <v>1029.7317122315701</v>
      </c>
      <c r="M388">
        <v>19.005005359273799</v>
      </c>
      <c r="N388">
        <v>54.697237666707402</v>
      </c>
      <c r="O388">
        <v>53.592928298654499</v>
      </c>
      <c r="P388">
        <v>-8.1393836721241494E-2</v>
      </c>
      <c r="Q388">
        <v>8.1934257792640006E-2</v>
      </c>
      <c r="R388">
        <v>0.99692462448999897</v>
      </c>
      <c r="S388" t="s">
        <v>7194</v>
      </c>
      <c r="T388" t="s">
        <v>13610</v>
      </c>
      <c r="U388" t="s">
        <v>13610</v>
      </c>
      <c r="V388" t="s">
        <v>13610</v>
      </c>
      <c r="W388" t="s">
        <v>13990</v>
      </c>
      <c r="X388">
        <v>7</v>
      </c>
      <c r="Y388" t="s">
        <v>20714</v>
      </c>
      <c r="Z388" t="s">
        <v>27243</v>
      </c>
      <c r="AA388">
        <v>0.52941035162542838</v>
      </c>
      <c r="AB388" t="str">
        <f>HYPERLINK("Melting_Curves/meltCurve_E5RHI2_SORBS3.pdf", "Melting_Curves/meltCurve_E5RHI2_SORBS3.pdf")</f>
        <v>Melting_Curves/meltCurve_E5RHI2_SORBS3.pdf</v>
      </c>
    </row>
    <row r="389" spans="1:28" x14ac:dyDescent="0.25">
      <c r="A389" t="s">
        <v>393</v>
      </c>
      <c r="B389">
        <v>0.995954080203443</v>
      </c>
      <c r="C389">
        <v>0.95250888120322397</v>
      </c>
      <c r="D389">
        <v>1.31724911342574</v>
      </c>
      <c r="E389">
        <v>0.96930043615913797</v>
      </c>
      <c r="F389">
        <v>1.32938825241564</v>
      </c>
      <c r="G389">
        <v>1.1159994491007501</v>
      </c>
      <c r="H389">
        <v>1.25592476087601</v>
      </c>
      <c r="I389">
        <v>1.4987585605273701</v>
      </c>
      <c r="J389">
        <v>1.8985001809586</v>
      </c>
      <c r="K389">
        <v>1.6861926167246</v>
      </c>
      <c r="L389">
        <v>955.54956049422697</v>
      </c>
      <c r="M389">
        <v>17.147666483904999</v>
      </c>
      <c r="O389">
        <v>54.983461768839803</v>
      </c>
      <c r="P389">
        <v>3.8986023115007901E-2</v>
      </c>
      <c r="Q389">
        <v>1.5</v>
      </c>
      <c r="R389">
        <v>0.54075896567839798</v>
      </c>
      <c r="S389" t="s">
        <v>7195</v>
      </c>
      <c r="T389" t="s">
        <v>13610</v>
      </c>
      <c r="U389" t="s">
        <v>13610</v>
      </c>
      <c r="V389" t="s">
        <v>13610</v>
      </c>
      <c r="W389" t="s">
        <v>13991</v>
      </c>
      <c r="X389">
        <v>2</v>
      </c>
      <c r="Y389" t="s">
        <v>20715</v>
      </c>
      <c r="Z389" t="s">
        <v>27244</v>
      </c>
      <c r="AA389">
        <v>1.229995683583627</v>
      </c>
      <c r="AB389" t="str">
        <f>HYPERLINK("Melting_Curves/meltCurve_E5RHN9_RAD54B.pdf", "Melting_Curves/meltCurve_E5RHN9_RAD54B.pdf")</f>
        <v>Melting_Curves/meltCurve_E5RHN9_RAD54B.pdf</v>
      </c>
    </row>
    <row r="390" spans="1:28" x14ac:dyDescent="0.25">
      <c r="A390" t="s">
        <v>394</v>
      </c>
      <c r="B390">
        <v>0.995954080203443</v>
      </c>
      <c r="C390">
        <v>0.90466474390032403</v>
      </c>
      <c r="D390">
        <v>0.72918577580839905</v>
      </c>
      <c r="E390">
        <v>0.82253571951533999</v>
      </c>
      <c r="F390">
        <v>0.36179389548137397</v>
      </c>
      <c r="G390">
        <v>0.13937972091419701</v>
      </c>
      <c r="H390">
        <v>0.125845038297696</v>
      </c>
      <c r="I390">
        <v>0.116170938679401</v>
      </c>
      <c r="J390">
        <v>0.13351601562370999</v>
      </c>
      <c r="K390">
        <v>0.13756450051676</v>
      </c>
      <c r="L390">
        <v>950.01110138381</v>
      </c>
      <c r="M390">
        <v>18.514609767033399</v>
      </c>
      <c r="N390">
        <v>51.883836516937798</v>
      </c>
      <c r="O390">
        <v>50.724070323045297</v>
      </c>
      <c r="P390">
        <v>-8.2826061442787799E-2</v>
      </c>
      <c r="Q390">
        <v>9.2373092607966598E-2</v>
      </c>
      <c r="R390">
        <v>0.93914072302376705</v>
      </c>
      <c r="S390" t="s">
        <v>7196</v>
      </c>
      <c r="T390" t="s">
        <v>13610</v>
      </c>
      <c r="U390" t="s">
        <v>13610</v>
      </c>
      <c r="V390" t="s">
        <v>13610</v>
      </c>
      <c r="W390" t="s">
        <v>13992</v>
      </c>
      <c r="X390">
        <v>5</v>
      </c>
      <c r="Y390" t="s">
        <v>20716</v>
      </c>
      <c r="Z390" t="s">
        <v>27245</v>
      </c>
      <c r="AA390">
        <v>0.44908120574946142</v>
      </c>
      <c r="AB390" t="str">
        <f>HYPERLINK("Melting_Curves/meltCurve_E5RHW4_ERLIN2.pdf", "Melting_Curves/meltCurve_E5RHW4_ERLIN2.pdf")</f>
        <v>Melting_Curves/meltCurve_E5RHW4_ERLIN2.pdf</v>
      </c>
    </row>
    <row r="391" spans="1:28" x14ac:dyDescent="0.25">
      <c r="A391" t="s">
        <v>395</v>
      </c>
      <c r="B391">
        <v>0.995954080203443</v>
      </c>
      <c r="C391">
        <v>0.90662662002667205</v>
      </c>
      <c r="D391">
        <v>0.68386658601166095</v>
      </c>
      <c r="E391">
        <v>0.489281596878401</v>
      </c>
      <c r="F391">
        <v>0.226469443403646</v>
      </c>
      <c r="G391">
        <v>0.11886396288639201</v>
      </c>
      <c r="H391">
        <v>8.0872985085149604E-2</v>
      </c>
      <c r="I391">
        <v>5.6849672665692998E-2</v>
      </c>
      <c r="J391">
        <v>4.9787880739897102E-2</v>
      </c>
      <c r="K391">
        <v>5.2583078413705998E-2</v>
      </c>
      <c r="L391">
        <v>745.36477916128604</v>
      </c>
      <c r="M391">
        <v>15.258805397674699</v>
      </c>
      <c r="N391">
        <v>49.069464382744499</v>
      </c>
      <c r="O391">
        <v>48.0322337605676</v>
      </c>
      <c r="P391">
        <v>-7.6786203576602097E-2</v>
      </c>
      <c r="Q391">
        <v>3.3249494262313203E-2</v>
      </c>
      <c r="R391">
        <v>0.99410432512399305</v>
      </c>
      <c r="S391" t="s">
        <v>7197</v>
      </c>
      <c r="T391" t="s">
        <v>13610</v>
      </c>
      <c r="U391" t="s">
        <v>13610</v>
      </c>
      <c r="V391" t="s">
        <v>13610</v>
      </c>
      <c r="W391" t="s">
        <v>13993</v>
      </c>
      <c r="X391">
        <v>3</v>
      </c>
      <c r="Y391" t="s">
        <v>20717</v>
      </c>
      <c r="Z391" t="s">
        <v>27246</v>
      </c>
      <c r="AA391">
        <v>0.34161068864141358</v>
      </c>
      <c r="AB391" t="str">
        <f>HYPERLINK("Melting_Curves/meltCurve_E5RI99_RPL30.pdf", "Melting_Curves/meltCurve_E5RI99_RPL30.pdf")</f>
        <v>Melting_Curves/meltCurve_E5RI99_RPL30.pdf</v>
      </c>
    </row>
    <row r="392" spans="1:28" x14ac:dyDescent="0.25">
      <c r="A392" t="s">
        <v>396</v>
      </c>
      <c r="B392">
        <v>0.995954080203443</v>
      </c>
      <c r="C392">
        <v>0.58819007331356898</v>
      </c>
      <c r="D392">
        <v>0.29008670449242302</v>
      </c>
      <c r="E392">
        <v>0.27933292775627699</v>
      </c>
      <c r="F392">
        <v>0.161778584939541</v>
      </c>
      <c r="G392">
        <v>8.3190723720484694E-2</v>
      </c>
      <c r="H392">
        <v>5.63167030556294E-2</v>
      </c>
      <c r="I392">
        <v>5.22132518767498E-2</v>
      </c>
      <c r="J392">
        <v>5.6847611406908298E-2</v>
      </c>
      <c r="K392">
        <v>6.8592381640637995E-2</v>
      </c>
      <c r="L392">
        <v>925.35059829274496</v>
      </c>
      <c r="M392">
        <v>21.138828131055998</v>
      </c>
      <c r="N392">
        <v>44.180062669461797</v>
      </c>
      <c r="O392">
        <v>43.388818298110301</v>
      </c>
      <c r="P392">
        <v>-0.111070325940775</v>
      </c>
      <c r="Q392">
        <v>8.8107599515019397E-2</v>
      </c>
      <c r="R392">
        <v>0.95435989211897698</v>
      </c>
      <c r="S392" t="s">
        <v>7198</v>
      </c>
      <c r="T392" t="s">
        <v>13610</v>
      </c>
      <c r="U392" t="s">
        <v>13610</v>
      </c>
      <c r="V392" t="s">
        <v>13610</v>
      </c>
      <c r="W392" t="s">
        <v>13994</v>
      </c>
      <c r="X392">
        <v>5</v>
      </c>
      <c r="Y392" t="s">
        <v>20718</v>
      </c>
      <c r="Z392" t="s">
        <v>27247</v>
      </c>
      <c r="AA392">
        <v>0.2190773334689062</v>
      </c>
      <c r="AB392" t="str">
        <f>HYPERLINK("Melting_Curves/meltCurve_E5RIH5_TTI2.pdf", "Melting_Curves/meltCurve_E5RIH5_TTI2.pdf")</f>
        <v>Melting_Curves/meltCurve_E5RIH5_TTI2.pdf</v>
      </c>
    </row>
    <row r="393" spans="1:28" x14ac:dyDescent="0.25">
      <c r="A393" t="s">
        <v>397</v>
      </c>
      <c r="B393">
        <v>0.995954080203443</v>
      </c>
      <c r="C393">
        <v>1.05281861439672</v>
      </c>
      <c r="D393">
        <v>1.11511410070118</v>
      </c>
      <c r="E393">
        <v>0.893384460563449</v>
      </c>
      <c r="F393">
        <v>0.79591649198274195</v>
      </c>
      <c r="G393">
        <v>0.47584175400263201</v>
      </c>
      <c r="H393">
        <v>0.38457031745532899</v>
      </c>
      <c r="I393">
        <v>0.33370023735293902</v>
      </c>
      <c r="J393">
        <v>0.35469614094350399</v>
      </c>
      <c r="K393">
        <v>0.32094907218110602</v>
      </c>
      <c r="L393">
        <v>1425.5625799903501</v>
      </c>
      <c r="M393">
        <v>26.207698780467801</v>
      </c>
      <c r="N393">
        <v>56.767008277302303</v>
      </c>
      <c r="O393">
        <v>54.081065726243999</v>
      </c>
      <c r="P393">
        <v>-8.0837216489320296E-2</v>
      </c>
      <c r="Q393">
        <v>0.332758858909045</v>
      </c>
      <c r="R393">
        <v>0.97847793081704304</v>
      </c>
      <c r="S393" t="s">
        <v>7199</v>
      </c>
      <c r="T393" t="s">
        <v>13610</v>
      </c>
      <c r="U393" t="s">
        <v>13610</v>
      </c>
      <c r="V393" t="s">
        <v>13610</v>
      </c>
      <c r="W393" t="s">
        <v>13995</v>
      </c>
      <c r="X393">
        <v>2</v>
      </c>
      <c r="Y393" t="s">
        <v>20719</v>
      </c>
      <c r="Z393" t="s">
        <v>27248</v>
      </c>
      <c r="AA393">
        <v>0.65859075788807309</v>
      </c>
      <c r="AB393" t="str">
        <f>HYPERLINK("Melting_Curves/meltCurve_E5RJ08_CHCHD7.pdf", "Melting_Curves/meltCurve_E5RJ08_CHCHD7.pdf")</f>
        <v>Melting_Curves/meltCurve_E5RJ08_CHCHD7.pdf</v>
      </c>
    </row>
    <row r="394" spans="1:28" x14ac:dyDescent="0.25">
      <c r="A394" t="s">
        <v>398</v>
      </c>
      <c r="B394">
        <v>0.995954080203443</v>
      </c>
      <c r="C394">
        <v>0.81334075630761604</v>
      </c>
      <c r="D394">
        <v>0.65954183622641105</v>
      </c>
      <c r="E394">
        <v>0.42821111753051599</v>
      </c>
      <c r="F394">
        <v>0.22163366488050601</v>
      </c>
      <c r="G394">
        <v>0.108380439661223</v>
      </c>
      <c r="H394">
        <v>6.0813068220391002E-2</v>
      </c>
      <c r="I394">
        <v>5.2170397805103103E-2</v>
      </c>
      <c r="J394">
        <v>5.5686957588667797E-2</v>
      </c>
      <c r="K394">
        <v>5.13358904925523E-2</v>
      </c>
      <c r="L394">
        <v>675.53338874286999</v>
      </c>
      <c r="M394">
        <v>14.025829852108799</v>
      </c>
      <c r="N394">
        <v>48.3445159456029</v>
      </c>
      <c r="O394">
        <v>47.2161554472546</v>
      </c>
      <c r="P394">
        <v>-7.2373962991718097E-2</v>
      </c>
      <c r="Q394">
        <v>2.55774085353042E-2</v>
      </c>
      <c r="R394">
        <v>0.99444019011380402</v>
      </c>
      <c r="S394" t="s">
        <v>7200</v>
      </c>
      <c r="T394" t="s">
        <v>13610</v>
      </c>
      <c r="U394" t="s">
        <v>13610</v>
      </c>
      <c r="V394" t="s">
        <v>13610</v>
      </c>
      <c r="W394" t="s">
        <v>13996</v>
      </c>
      <c r="X394">
        <v>39</v>
      </c>
      <c r="Y394" t="s">
        <v>20720</v>
      </c>
      <c r="Z394" t="s">
        <v>27249</v>
      </c>
      <c r="AA394">
        <v>0.31907810712954671</v>
      </c>
      <c r="AB394" t="str">
        <f>HYPERLINK("Melting_Curves/meltCurve_E5RJ68_AP3B1.pdf", "Melting_Curves/meltCurve_E5RJ68_AP3B1.pdf")</f>
        <v>Melting_Curves/meltCurve_E5RJ68_AP3B1.pdf</v>
      </c>
    </row>
    <row r="395" spans="1:28" x14ac:dyDescent="0.25">
      <c r="A395" t="s">
        <v>399</v>
      </c>
      <c r="B395">
        <v>0.995954080203443</v>
      </c>
      <c r="C395">
        <v>0.94933991408680996</v>
      </c>
      <c r="D395">
        <v>0.980981466301038</v>
      </c>
      <c r="E395">
        <v>0.74379160107043996</v>
      </c>
      <c r="F395">
        <v>0.52677117547435204</v>
      </c>
      <c r="G395">
        <v>0.33294470574136198</v>
      </c>
      <c r="H395">
        <v>0.248192667380184</v>
      </c>
      <c r="I395">
        <v>0.196598960826143</v>
      </c>
      <c r="J395">
        <v>0.23685869776168</v>
      </c>
      <c r="K395">
        <v>0.18627851026855799</v>
      </c>
      <c r="L395">
        <v>1025.1943769678001</v>
      </c>
      <c r="M395">
        <v>19.6894122232016</v>
      </c>
      <c r="N395">
        <v>53.445741304981702</v>
      </c>
      <c r="O395">
        <v>51.540144182197203</v>
      </c>
      <c r="P395">
        <v>-7.65038306952181E-2</v>
      </c>
      <c r="Q395">
        <v>0.198984584771835</v>
      </c>
      <c r="R395">
        <v>0.995595776875001</v>
      </c>
      <c r="S395" t="s">
        <v>7201</v>
      </c>
      <c r="T395" t="s">
        <v>13610</v>
      </c>
      <c r="U395" t="s">
        <v>13610</v>
      </c>
      <c r="V395" t="s">
        <v>13610</v>
      </c>
      <c r="W395" t="s">
        <v>13997</v>
      </c>
      <c r="X395">
        <v>4</v>
      </c>
      <c r="Y395" t="s">
        <v>20721</v>
      </c>
      <c r="Z395" t="s">
        <v>27250</v>
      </c>
      <c r="AA395">
        <v>0.53260956448984931</v>
      </c>
      <c r="AB395" t="str">
        <f>HYPERLINK("Melting_Curves/meltCurve_E5RJ97_TRPS1.pdf", "Melting_Curves/meltCurve_E5RJ97_TRPS1.pdf")</f>
        <v>Melting_Curves/meltCurve_E5RJ97_TRPS1.pdf</v>
      </c>
    </row>
    <row r="396" spans="1:28" x14ac:dyDescent="0.25">
      <c r="A396" t="s">
        <v>400</v>
      </c>
      <c r="B396">
        <v>0.995954080203443</v>
      </c>
      <c r="C396">
        <v>1.02253158819352</v>
      </c>
      <c r="D396">
        <v>0.95872985680998402</v>
      </c>
      <c r="E396">
        <v>0.75346745276755001</v>
      </c>
      <c r="F396">
        <v>0.43833143293805998</v>
      </c>
      <c r="G396">
        <v>0.28065045258580701</v>
      </c>
      <c r="H396">
        <v>0.221311945315254</v>
      </c>
      <c r="I396">
        <v>0.20741865062828199</v>
      </c>
      <c r="J396">
        <v>0.220557001330522</v>
      </c>
      <c r="K396">
        <v>0.20177695187426101</v>
      </c>
      <c r="L396">
        <v>1394.6092472554101</v>
      </c>
      <c r="M396">
        <v>27.148711286653299</v>
      </c>
      <c r="N396">
        <v>52.431538426675502</v>
      </c>
      <c r="O396">
        <v>51.092976313307403</v>
      </c>
      <c r="P396">
        <v>-0.10474019454988601</v>
      </c>
      <c r="Q396">
        <v>0.21153734092948101</v>
      </c>
      <c r="R396">
        <v>0.99866448669098595</v>
      </c>
      <c r="S396" t="s">
        <v>7202</v>
      </c>
      <c r="T396" t="s">
        <v>13610</v>
      </c>
      <c r="U396" t="s">
        <v>13610</v>
      </c>
      <c r="V396" t="s">
        <v>13610</v>
      </c>
      <c r="W396" t="s">
        <v>13998</v>
      </c>
      <c r="X396">
        <v>13</v>
      </c>
      <c r="Y396" t="s">
        <v>20722</v>
      </c>
      <c r="Z396" t="s">
        <v>27251</v>
      </c>
      <c r="AA396">
        <v>0.51642716482696005</v>
      </c>
      <c r="AB396" t="str">
        <f>HYPERLINK("Melting_Curves/meltCurve_E5RJ99_ZFAND1.pdf", "Melting_Curves/meltCurve_E5RJ99_ZFAND1.pdf")</f>
        <v>Melting_Curves/meltCurve_E5RJ99_ZFAND1.pdf</v>
      </c>
    </row>
    <row r="397" spans="1:28" x14ac:dyDescent="0.25">
      <c r="A397" t="s">
        <v>401</v>
      </c>
      <c r="B397">
        <v>0.995954080203443</v>
      </c>
      <c r="C397">
        <v>0.97680128386323395</v>
      </c>
      <c r="D397">
        <v>0.94891876601037894</v>
      </c>
      <c r="E397">
        <v>0.91119842642767901</v>
      </c>
      <c r="F397">
        <v>0.85066782914818695</v>
      </c>
      <c r="G397">
        <v>0.71242454638034003</v>
      </c>
      <c r="H397">
        <v>0.689107475387157</v>
      </c>
      <c r="I397">
        <v>0.837419772010768</v>
      </c>
      <c r="J397">
        <v>0.91192275512586696</v>
      </c>
      <c r="K397">
        <v>0.73822317419401695</v>
      </c>
      <c r="L397">
        <v>1365.598717287</v>
      </c>
      <c r="M397">
        <v>27.081332044909601</v>
      </c>
      <c r="O397">
        <v>50.153283301022</v>
      </c>
      <c r="P397">
        <v>-2.9683310229850299E-2</v>
      </c>
      <c r="Q397">
        <v>0.78011409003390697</v>
      </c>
      <c r="R397">
        <v>0.64852779677302796</v>
      </c>
      <c r="S397" t="s">
        <v>7203</v>
      </c>
      <c r="T397" t="s">
        <v>13610</v>
      </c>
      <c r="U397" t="s">
        <v>13610</v>
      </c>
      <c r="V397" t="s">
        <v>13610</v>
      </c>
      <c r="W397" t="s">
        <v>13999</v>
      </c>
      <c r="X397">
        <v>23</v>
      </c>
      <c r="Y397" t="s">
        <v>20723</v>
      </c>
      <c r="Z397" t="s">
        <v>27252</v>
      </c>
      <c r="AA397">
        <v>0.85821296807255365</v>
      </c>
      <c r="AB397" t="str">
        <f>HYPERLINK("Melting_Curves/meltCurve_E5RJR5_SKP1.pdf", "Melting_Curves/meltCurve_E5RJR5_SKP1.pdf")</f>
        <v>Melting_Curves/meltCurve_E5RJR5_SKP1.pdf</v>
      </c>
    </row>
    <row r="398" spans="1:28" x14ac:dyDescent="0.25">
      <c r="A398" t="s">
        <v>402</v>
      </c>
      <c r="B398">
        <v>0.995954080203443</v>
      </c>
      <c r="C398">
        <v>0.90729402823542205</v>
      </c>
      <c r="D398">
        <v>0.70117411135035401</v>
      </c>
      <c r="E398">
        <v>0.46258923729359402</v>
      </c>
      <c r="F398">
        <v>0.245175672872048</v>
      </c>
      <c r="G398">
        <v>0.15905491539578001</v>
      </c>
      <c r="H398">
        <v>0.123198259190127</v>
      </c>
      <c r="I398">
        <v>0.12379418151539801</v>
      </c>
      <c r="J398">
        <v>0.146207076644147</v>
      </c>
      <c r="K398">
        <v>0.16693378233474801</v>
      </c>
      <c r="L398">
        <v>849.99235696987705</v>
      </c>
      <c r="M398">
        <v>17.6847732624014</v>
      </c>
      <c r="N398">
        <v>48.8686244812544</v>
      </c>
      <c r="O398">
        <v>47.461609786064102</v>
      </c>
      <c r="P398">
        <v>-8.1384963778090499E-2</v>
      </c>
      <c r="Q398">
        <v>0.126377239944966</v>
      </c>
      <c r="R398">
        <v>0.99421788498284902</v>
      </c>
      <c r="S398" t="s">
        <v>7204</v>
      </c>
      <c r="T398" t="s">
        <v>13610</v>
      </c>
      <c r="U398" t="s">
        <v>13610</v>
      </c>
      <c r="V398" t="s">
        <v>13610</v>
      </c>
      <c r="W398" t="s">
        <v>14000</v>
      </c>
      <c r="X398">
        <v>4</v>
      </c>
      <c r="Y398" t="s">
        <v>20724</v>
      </c>
      <c r="Z398" t="s">
        <v>27253</v>
      </c>
      <c r="AA398">
        <v>0.37724257963931029</v>
      </c>
      <c r="AB398" t="str">
        <f>HYPERLINK("Melting_Curves/meltCurve_E5RK28_SGK3.pdf", "Melting_Curves/meltCurve_E5RK28_SGK3.pdf")</f>
        <v>Melting_Curves/meltCurve_E5RK28_SGK3.pdf</v>
      </c>
    </row>
    <row r="399" spans="1:28" x14ac:dyDescent="0.25">
      <c r="A399" t="s">
        <v>403</v>
      </c>
      <c r="B399">
        <v>0.995954080203443</v>
      </c>
      <c r="C399">
        <v>0.89868043255237096</v>
      </c>
      <c r="D399">
        <v>1.05682969979496</v>
      </c>
      <c r="E399">
        <v>0.85323765329131795</v>
      </c>
      <c r="F399">
        <v>0.84883842557809497</v>
      </c>
      <c r="G399">
        <v>0.85993828781813397</v>
      </c>
      <c r="H399">
        <v>0.73578065741405596</v>
      </c>
      <c r="I399">
        <v>0.96459756083246995</v>
      </c>
      <c r="J399">
        <v>0.84816225008851098</v>
      </c>
      <c r="K399">
        <v>1.2465921339314501</v>
      </c>
      <c r="L399">
        <v>15000</v>
      </c>
      <c r="M399">
        <v>214.25812774716201</v>
      </c>
      <c r="Q399">
        <v>1.5</v>
      </c>
      <c r="R399">
        <v>7.0382993392051493E-2</v>
      </c>
      <c r="S399" t="s">
        <v>7205</v>
      </c>
      <c r="T399" t="s">
        <v>13610</v>
      </c>
      <c r="U399" t="s">
        <v>13610</v>
      </c>
      <c r="V399" t="s">
        <v>13610</v>
      </c>
      <c r="W399" t="s">
        <v>14001</v>
      </c>
      <c r="X399">
        <v>3</v>
      </c>
      <c r="Y399" t="s">
        <v>20725</v>
      </c>
      <c r="Z399" t="s">
        <v>27254</v>
      </c>
      <c r="AA399">
        <v>1.0036590044943861</v>
      </c>
      <c r="AB399" t="str">
        <f>HYPERLINK("Melting_Curves/meltCurve_E5RK82_CETN3.pdf", "Melting_Curves/meltCurve_E5RK82_CETN3.pdf")</f>
        <v>Melting_Curves/meltCurve_E5RK82_CETN3.pdf</v>
      </c>
    </row>
    <row r="400" spans="1:28" x14ac:dyDescent="0.25">
      <c r="A400" t="s">
        <v>404</v>
      </c>
      <c r="B400">
        <v>0.995954080203443</v>
      </c>
      <c r="C400">
        <v>0.83330470185577898</v>
      </c>
      <c r="D400">
        <v>0.64973265300102601</v>
      </c>
      <c r="E400">
        <v>0.86049702956950003</v>
      </c>
      <c r="F400">
        <v>0.60606296621009303</v>
      </c>
      <c r="G400">
        <v>0.26994710493179203</v>
      </c>
      <c r="H400">
        <v>8.0032229141657904E-2</v>
      </c>
      <c r="I400">
        <v>5.63407556619255E-2</v>
      </c>
      <c r="J400">
        <v>5.7885763197113999E-2</v>
      </c>
      <c r="K400">
        <v>5.1565763234650501E-2</v>
      </c>
      <c r="L400">
        <v>698.904491165835</v>
      </c>
      <c r="M400">
        <v>13.0862492709586</v>
      </c>
      <c r="N400">
        <v>53.407551035466398</v>
      </c>
      <c r="O400">
        <v>52.2065800991044</v>
      </c>
      <c r="P400">
        <v>-6.2676525182980197E-2</v>
      </c>
      <c r="Q400">
        <v>0</v>
      </c>
      <c r="R400">
        <v>0.91260711946635498</v>
      </c>
      <c r="S400" t="s">
        <v>7206</v>
      </c>
      <c r="T400" t="s">
        <v>13610</v>
      </c>
      <c r="U400" t="s">
        <v>13610</v>
      </c>
      <c r="V400" t="s">
        <v>13610</v>
      </c>
      <c r="W400" t="s">
        <v>14002</v>
      </c>
      <c r="X400">
        <v>13</v>
      </c>
      <c r="Y400" t="s">
        <v>20726</v>
      </c>
      <c r="Z400" t="s">
        <v>27255</v>
      </c>
      <c r="AA400">
        <v>0.4719622795896779</v>
      </c>
      <c r="AB400" t="str">
        <f>HYPERLINK("Melting_Curves/meltCurve_E7EM64_COPS6.pdf", "Melting_Curves/meltCurve_E7EM64_COPS6.pdf")</f>
        <v>Melting_Curves/meltCurve_E7EM64_COPS6.pdf</v>
      </c>
    </row>
    <row r="401" spans="1:28" x14ac:dyDescent="0.25">
      <c r="A401" t="s">
        <v>405</v>
      </c>
      <c r="B401">
        <v>0.995954080203443</v>
      </c>
      <c r="C401">
        <v>0.73555127032310696</v>
      </c>
      <c r="D401">
        <v>0.405781202694461</v>
      </c>
      <c r="E401">
        <v>0.34912349076086502</v>
      </c>
      <c r="F401">
        <v>0.26691859693708803</v>
      </c>
      <c r="G401">
        <v>0.16943670027385599</v>
      </c>
      <c r="H401">
        <v>0.10653185395475399</v>
      </c>
      <c r="I401">
        <v>0.12054928625584201</v>
      </c>
      <c r="J401">
        <v>0.141741484738721</v>
      </c>
      <c r="K401">
        <v>0.19480442633238601</v>
      </c>
      <c r="L401">
        <v>822.10002416132204</v>
      </c>
      <c r="M401">
        <v>18.3515929629705</v>
      </c>
      <c r="N401">
        <v>45.750240035492801</v>
      </c>
      <c r="O401">
        <v>44.275436927762101</v>
      </c>
      <c r="P401">
        <v>-8.71653514511843E-2</v>
      </c>
      <c r="Q401">
        <v>0.15885065693481701</v>
      </c>
      <c r="R401">
        <v>0.96288560896320696</v>
      </c>
      <c r="S401" t="s">
        <v>7207</v>
      </c>
      <c r="T401" t="s">
        <v>13610</v>
      </c>
      <c r="U401" t="s">
        <v>13610</v>
      </c>
      <c r="V401" t="s">
        <v>13610</v>
      </c>
      <c r="W401" t="s">
        <v>14003</v>
      </c>
      <c r="X401">
        <v>3</v>
      </c>
      <c r="Y401" t="s">
        <v>20727</v>
      </c>
      <c r="Z401" t="s">
        <v>27256</v>
      </c>
      <c r="AA401">
        <v>0.31113524962999062</v>
      </c>
      <c r="AB401" t="str">
        <f>HYPERLINK("Melting_Curves/meltCurve_E7EMD6_AKAP10.pdf", "Melting_Curves/meltCurve_E7EMD6_AKAP10.pdf")</f>
        <v>Melting_Curves/meltCurve_E7EMD6_AKAP10.pdf</v>
      </c>
    </row>
    <row r="402" spans="1:28" x14ac:dyDescent="0.25">
      <c r="A402" t="s">
        <v>406</v>
      </c>
      <c r="B402">
        <v>0.995954080203443</v>
      </c>
      <c r="C402">
        <v>0.995551386335911</v>
      </c>
      <c r="D402">
        <v>0.93158704481447296</v>
      </c>
      <c r="E402">
        <v>0.94337391176505303</v>
      </c>
      <c r="F402">
        <v>0.82049223550905503</v>
      </c>
      <c r="G402">
        <v>0.57050867624789803</v>
      </c>
      <c r="H402">
        <v>0.48631961279777902</v>
      </c>
      <c r="I402">
        <v>0.59253239262108304</v>
      </c>
      <c r="J402">
        <v>0.71007481357405999</v>
      </c>
      <c r="K402">
        <v>0.59206016541395601</v>
      </c>
      <c r="L402">
        <v>2593.8261000707698</v>
      </c>
      <c r="M402">
        <v>48.799123682141698</v>
      </c>
      <c r="O402">
        <v>53.0640945725618</v>
      </c>
      <c r="P402">
        <v>-9.4675349485387694E-2</v>
      </c>
      <c r="Q402">
        <v>0.58820104013696295</v>
      </c>
      <c r="R402">
        <v>0.90560484793505802</v>
      </c>
      <c r="S402" t="s">
        <v>7208</v>
      </c>
      <c r="T402" t="s">
        <v>13610</v>
      </c>
      <c r="U402" t="s">
        <v>13610</v>
      </c>
      <c r="V402" t="s">
        <v>13610</v>
      </c>
      <c r="W402" t="s">
        <v>14004</v>
      </c>
      <c r="X402">
        <v>14</v>
      </c>
      <c r="Y402" t="s">
        <v>20728</v>
      </c>
      <c r="Z402" t="s">
        <v>27257</v>
      </c>
      <c r="AA402">
        <v>0.76976287641064867</v>
      </c>
      <c r="AB402" t="str">
        <f>HYPERLINK("Melting_Curves/meltCurve_E7EMM4_ASAH1.pdf", "Melting_Curves/meltCurve_E7EMM4_ASAH1.pdf")</f>
        <v>Melting_Curves/meltCurve_E7EMM4_ASAH1.pdf</v>
      </c>
    </row>
    <row r="403" spans="1:28" x14ac:dyDescent="0.25">
      <c r="A403" t="s">
        <v>407</v>
      </c>
      <c r="B403">
        <v>0.995954080203443</v>
      </c>
      <c r="C403">
        <v>0.84033995945819295</v>
      </c>
      <c r="D403">
        <v>0.46518843275751898</v>
      </c>
      <c r="E403">
        <v>0.36431952233660903</v>
      </c>
      <c r="F403">
        <v>0.253777787761435</v>
      </c>
      <c r="G403">
        <v>0.18314544326025001</v>
      </c>
      <c r="H403">
        <v>0.142187800225727</v>
      </c>
      <c r="I403">
        <v>0.15909361564397101</v>
      </c>
      <c r="J403">
        <v>0.14572736674338499</v>
      </c>
      <c r="K403">
        <v>0.14872354129481499</v>
      </c>
      <c r="L403">
        <v>850.24444351522902</v>
      </c>
      <c r="M403">
        <v>18.628721946832901</v>
      </c>
      <c r="N403">
        <v>46.604628412363503</v>
      </c>
      <c r="O403">
        <v>45.125392202069598</v>
      </c>
      <c r="P403">
        <v>-8.6721391039421794E-2</v>
      </c>
      <c r="Q403">
        <v>0.15975596091702801</v>
      </c>
      <c r="R403">
        <v>0.97935521005255</v>
      </c>
      <c r="S403" t="s">
        <v>7209</v>
      </c>
      <c r="T403" t="s">
        <v>13610</v>
      </c>
      <c r="U403" t="s">
        <v>13610</v>
      </c>
      <c r="V403" t="s">
        <v>13610</v>
      </c>
      <c r="W403" t="s">
        <v>14005</v>
      </c>
      <c r="X403">
        <v>6</v>
      </c>
      <c r="Y403" t="s">
        <v>20729</v>
      </c>
      <c r="Z403" t="s">
        <v>27258</v>
      </c>
      <c r="AA403">
        <v>0.33348523654220402</v>
      </c>
      <c r="AB403" t="str">
        <f>HYPERLINK("Melting_Curves/meltCurve_E7EMP6_C3orf37.pdf", "Melting_Curves/meltCurve_E7EMP6_C3orf37.pdf")</f>
        <v>Melting_Curves/meltCurve_E7EMP6_C3orf37.pdf</v>
      </c>
    </row>
    <row r="404" spans="1:28" x14ac:dyDescent="0.25">
      <c r="A404" t="s">
        <v>408</v>
      </c>
      <c r="B404">
        <v>0.995954080203443</v>
      </c>
      <c r="C404">
        <v>0.69241224321227002</v>
      </c>
      <c r="D404">
        <v>0.48280487768887598</v>
      </c>
      <c r="E404">
        <v>0.83170358930409005</v>
      </c>
      <c r="F404">
        <v>0.60436471374581702</v>
      </c>
      <c r="G404">
        <v>0.30551447931536102</v>
      </c>
      <c r="H404">
        <v>0.11917360918016</v>
      </c>
      <c r="I404">
        <v>9.0503119118215999E-2</v>
      </c>
      <c r="J404">
        <v>9.8297780806946802E-2</v>
      </c>
      <c r="K404">
        <v>8.87537645121E-2</v>
      </c>
      <c r="L404">
        <v>417.97912083520401</v>
      </c>
      <c r="M404">
        <v>8.0841855392230109</v>
      </c>
      <c r="N404">
        <v>51.703302953199902</v>
      </c>
      <c r="O404">
        <v>48.8278921874114</v>
      </c>
      <c r="P404">
        <v>-4.1436245127809697E-2</v>
      </c>
      <c r="Q404">
        <v>0</v>
      </c>
      <c r="R404">
        <v>0.80359998026531798</v>
      </c>
      <c r="S404" t="s">
        <v>7210</v>
      </c>
      <c r="T404" t="s">
        <v>13610</v>
      </c>
      <c r="U404" t="s">
        <v>13610</v>
      </c>
      <c r="V404" t="s">
        <v>13610</v>
      </c>
      <c r="W404" t="s">
        <v>14006</v>
      </c>
      <c r="X404">
        <v>35</v>
      </c>
      <c r="Y404" t="s">
        <v>20730</v>
      </c>
      <c r="Z404" t="s">
        <v>27259</v>
      </c>
      <c r="AA404">
        <v>0.43862693169038081</v>
      </c>
      <c r="AB404" t="str">
        <f>HYPERLINK("Melting_Curves/meltCurve_E7EMW7_UBR5.pdf", "Melting_Curves/meltCurve_E7EMW7_UBR5.pdf")</f>
        <v>Melting_Curves/meltCurve_E7EMW7_UBR5.pdf</v>
      </c>
    </row>
    <row r="405" spans="1:28" x14ac:dyDescent="0.25">
      <c r="A405" t="s">
        <v>409</v>
      </c>
      <c r="B405">
        <v>0.995954080203443</v>
      </c>
      <c r="C405">
        <v>1.0260012791801301</v>
      </c>
      <c r="D405">
        <v>0.85287575400452698</v>
      </c>
      <c r="E405">
        <v>0.956074983224797</v>
      </c>
      <c r="F405">
        <v>0.515815643797636</v>
      </c>
      <c r="G405">
        <v>0.29726214171583698</v>
      </c>
      <c r="H405">
        <v>0.25290482229764999</v>
      </c>
      <c r="I405">
        <v>0.227769568674377</v>
      </c>
      <c r="J405">
        <v>0.21972830535245799</v>
      </c>
      <c r="K405">
        <v>0.193935298573222</v>
      </c>
      <c r="L405">
        <v>2532.3895089604998</v>
      </c>
      <c r="M405">
        <v>48.263575985260402</v>
      </c>
      <c r="N405">
        <v>53.163970928767</v>
      </c>
      <c r="O405">
        <v>52.380148856685899</v>
      </c>
      <c r="P405">
        <v>-0.17651767047963701</v>
      </c>
      <c r="Q405">
        <v>0.23370677683811</v>
      </c>
      <c r="R405">
        <v>0.97700675852305296</v>
      </c>
      <c r="S405" t="s">
        <v>7211</v>
      </c>
      <c r="T405" t="s">
        <v>13610</v>
      </c>
      <c r="U405" t="s">
        <v>13610</v>
      </c>
      <c r="V405" t="s">
        <v>13610</v>
      </c>
      <c r="W405" t="s">
        <v>14007</v>
      </c>
      <c r="X405">
        <v>2</v>
      </c>
      <c r="Y405" t="s">
        <v>20731</v>
      </c>
      <c r="Z405" t="s">
        <v>27260</v>
      </c>
      <c r="AA405">
        <v>0.55413313251032803</v>
      </c>
      <c r="AB405" t="str">
        <f>HYPERLINK("Melting_Curves/meltCurve_E7ENA9_NCSTN.pdf", "Melting_Curves/meltCurve_E7ENA9_NCSTN.pdf")</f>
        <v>Melting_Curves/meltCurve_E7ENA9_NCSTN.pdf</v>
      </c>
    </row>
    <row r="406" spans="1:28" x14ac:dyDescent="0.25">
      <c r="A406" t="s">
        <v>410</v>
      </c>
      <c r="B406">
        <v>0.995954080203443</v>
      </c>
      <c r="C406">
        <v>0.86797703581109997</v>
      </c>
      <c r="D406">
        <v>0.76603301742334295</v>
      </c>
      <c r="E406">
        <v>0.71832901700000995</v>
      </c>
      <c r="F406">
        <v>0.65410258833870105</v>
      </c>
      <c r="G406">
        <v>0.46975110065134501</v>
      </c>
      <c r="H406">
        <v>0.44434412456815697</v>
      </c>
      <c r="I406">
        <v>0.48176628922877901</v>
      </c>
      <c r="J406">
        <v>0.58489051849616003</v>
      </c>
      <c r="K406">
        <v>0.56557604005427298</v>
      </c>
      <c r="L406">
        <v>619.592737382731</v>
      </c>
      <c r="M406">
        <v>13.088492379137399</v>
      </c>
      <c r="O406">
        <v>46.274571794938701</v>
      </c>
      <c r="P406">
        <v>-3.5214508735147802E-2</v>
      </c>
      <c r="Q406">
        <v>0.50207986832543205</v>
      </c>
      <c r="R406">
        <v>0.89346028185662396</v>
      </c>
      <c r="S406" t="s">
        <v>7212</v>
      </c>
      <c r="T406" t="s">
        <v>13610</v>
      </c>
      <c r="U406" t="s">
        <v>13610</v>
      </c>
      <c r="V406" t="s">
        <v>13610</v>
      </c>
      <c r="W406" t="s">
        <v>14008</v>
      </c>
      <c r="X406">
        <v>8</v>
      </c>
      <c r="Y406" t="s">
        <v>20732</v>
      </c>
      <c r="Z406" t="s">
        <v>27261</v>
      </c>
      <c r="AA406">
        <v>0.64123356352147454</v>
      </c>
      <c r="AB406" t="str">
        <f>HYPERLINK("Melting_Curves/meltCurve_E7ENF1_C12orf43.pdf", "Melting_Curves/meltCurve_E7ENF1_C12orf43.pdf")</f>
        <v>Melting_Curves/meltCurve_E7ENF1_C12orf43.pdf</v>
      </c>
    </row>
    <row r="407" spans="1:28" x14ac:dyDescent="0.25">
      <c r="A407" t="s">
        <v>411</v>
      </c>
      <c r="B407">
        <v>0.995954080203443</v>
      </c>
      <c r="C407">
        <v>1.0334626857176801</v>
      </c>
      <c r="D407">
        <v>1.0514339989928301</v>
      </c>
      <c r="E407">
        <v>0.896874860577759</v>
      </c>
      <c r="F407">
        <v>0.72709797521080799</v>
      </c>
      <c r="G407">
        <v>0.32149879538960102</v>
      </c>
      <c r="H407">
        <v>0.13717165364328199</v>
      </c>
      <c r="I407">
        <v>0.13074910204679599</v>
      </c>
      <c r="J407">
        <v>0.13759564135053901</v>
      </c>
      <c r="K407">
        <v>0.12658840632351401</v>
      </c>
      <c r="L407">
        <v>1495.4503753449101</v>
      </c>
      <c r="M407">
        <v>27.469622427684399</v>
      </c>
      <c r="N407">
        <v>54.980017356878498</v>
      </c>
      <c r="O407">
        <v>54.154089220684</v>
      </c>
      <c r="P407">
        <v>-0.111823054084475</v>
      </c>
      <c r="Q407">
        <v>0.11820853687831299</v>
      </c>
      <c r="R407">
        <v>0.99590921248384601</v>
      </c>
      <c r="S407" t="s">
        <v>7213</v>
      </c>
      <c r="T407" t="s">
        <v>13610</v>
      </c>
      <c r="U407" t="s">
        <v>13610</v>
      </c>
      <c r="V407" t="s">
        <v>13610</v>
      </c>
      <c r="W407" t="s">
        <v>14009</v>
      </c>
      <c r="X407">
        <v>16</v>
      </c>
      <c r="Y407" t="s">
        <v>20733</v>
      </c>
      <c r="Z407" t="s">
        <v>27262</v>
      </c>
      <c r="AA407">
        <v>0.54952195195163955</v>
      </c>
      <c r="AB407" t="str">
        <f>HYPERLINK("Melting_Curves/meltCurve_E7ENK0_CALCOCO2.pdf", "Melting_Curves/meltCurve_E7ENK0_CALCOCO2.pdf")</f>
        <v>Melting_Curves/meltCurve_E7ENK0_CALCOCO2.pdf</v>
      </c>
    </row>
    <row r="408" spans="1:28" x14ac:dyDescent="0.25">
      <c r="A408" t="s">
        <v>412</v>
      </c>
      <c r="B408">
        <v>0.995954080203443</v>
      </c>
      <c r="C408">
        <v>0.98837448431832098</v>
      </c>
      <c r="D408">
        <v>0.85447941178876397</v>
      </c>
      <c r="E408">
        <v>0.41984804050637597</v>
      </c>
      <c r="F408">
        <v>0.14834175335725</v>
      </c>
      <c r="G408">
        <v>8.7396681902324205E-2</v>
      </c>
      <c r="H408">
        <v>5.4002319046498097E-2</v>
      </c>
      <c r="I408">
        <v>4.0441815907393E-2</v>
      </c>
      <c r="J408">
        <v>4.9664603576531699E-2</v>
      </c>
      <c r="K408">
        <v>4.1179458562336499E-2</v>
      </c>
      <c r="L408">
        <v>1297.62871581885</v>
      </c>
      <c r="M408">
        <v>26.431979834531099</v>
      </c>
      <c r="N408">
        <v>49.273005611024701</v>
      </c>
      <c r="O408">
        <v>48.814712066548097</v>
      </c>
      <c r="P408">
        <v>-0.12914463018001099</v>
      </c>
      <c r="Q408">
        <v>4.5990497052716899E-2</v>
      </c>
      <c r="R408">
        <v>0.999418027202994</v>
      </c>
      <c r="S408" t="s">
        <v>7214</v>
      </c>
      <c r="T408" t="s">
        <v>13610</v>
      </c>
      <c r="U408" t="s">
        <v>13610</v>
      </c>
      <c r="V408" t="s">
        <v>13610</v>
      </c>
      <c r="W408" t="s">
        <v>14010</v>
      </c>
      <c r="X408">
        <v>5</v>
      </c>
      <c r="Y408" t="s">
        <v>20734</v>
      </c>
      <c r="Z408" t="s">
        <v>27263</v>
      </c>
      <c r="AA408">
        <v>0.34269911892127097</v>
      </c>
      <c r="AB408" t="str">
        <f>HYPERLINK("Melting_Curves/meltCurve_E7ENN3_SYNE1.pdf", "Melting_Curves/meltCurve_E7ENN3_SYNE1.pdf")</f>
        <v>Melting_Curves/meltCurve_E7ENN3_SYNE1.pdf</v>
      </c>
    </row>
    <row r="409" spans="1:28" x14ac:dyDescent="0.25">
      <c r="A409" t="s">
        <v>413</v>
      </c>
      <c r="B409">
        <v>0.995954080203443</v>
      </c>
      <c r="C409">
        <v>0.89761859266580502</v>
      </c>
      <c r="D409">
        <v>0.87795747028401805</v>
      </c>
      <c r="E409">
        <v>0.77590846810773595</v>
      </c>
      <c r="F409">
        <v>0.51472933853434499</v>
      </c>
      <c r="G409">
        <v>0.30171097364577998</v>
      </c>
      <c r="H409">
        <v>0.25287948755018502</v>
      </c>
      <c r="I409">
        <v>0.24255851181684501</v>
      </c>
      <c r="J409">
        <v>0.350809311277688</v>
      </c>
      <c r="K409">
        <v>0.30520511048747601</v>
      </c>
      <c r="L409">
        <v>1108.0534426873801</v>
      </c>
      <c r="M409">
        <v>21.6230598955615</v>
      </c>
      <c r="N409">
        <v>53.173099698307503</v>
      </c>
      <c r="O409">
        <v>50.811808842820703</v>
      </c>
      <c r="P409">
        <v>-7.7471975350135003E-2</v>
      </c>
      <c r="Q409">
        <v>0.271814897204463</v>
      </c>
      <c r="R409">
        <v>0.96809987700270494</v>
      </c>
      <c r="S409" t="s">
        <v>7215</v>
      </c>
      <c r="T409" t="s">
        <v>13610</v>
      </c>
      <c r="U409" t="s">
        <v>13610</v>
      </c>
      <c r="V409" t="s">
        <v>13610</v>
      </c>
      <c r="W409" t="s">
        <v>14011</v>
      </c>
      <c r="X409">
        <v>5</v>
      </c>
      <c r="Y409" t="s">
        <v>20735</v>
      </c>
      <c r="Z409" t="s">
        <v>27264</v>
      </c>
      <c r="AA409">
        <v>0.55346711086889755</v>
      </c>
      <c r="AB409" t="str">
        <f>HYPERLINK("Melting_Curves/meltCurve_E7ENW2_CBLB.pdf", "Melting_Curves/meltCurve_E7ENW2_CBLB.pdf")</f>
        <v>Melting_Curves/meltCurve_E7ENW2_CBLB.pdf</v>
      </c>
    </row>
    <row r="410" spans="1:28" x14ac:dyDescent="0.25">
      <c r="A410" t="s">
        <v>414</v>
      </c>
      <c r="B410">
        <v>0.995954080203443</v>
      </c>
      <c r="C410">
        <v>0.97883662615085298</v>
      </c>
      <c r="D410">
        <v>0.91803425898279001</v>
      </c>
      <c r="E410">
        <v>0.76163536726068104</v>
      </c>
      <c r="F410">
        <v>0.68683061761397901</v>
      </c>
      <c r="G410">
        <v>0.46160465019007602</v>
      </c>
      <c r="H410">
        <v>0.34427949604795199</v>
      </c>
      <c r="I410">
        <v>0.38796873800376602</v>
      </c>
      <c r="J410">
        <v>0.46876926610014102</v>
      </c>
      <c r="K410">
        <v>0.470232202847013</v>
      </c>
      <c r="L410">
        <v>975.27980986086504</v>
      </c>
      <c r="M410">
        <v>18.951257884938201</v>
      </c>
      <c r="N410">
        <v>56.470603856206701</v>
      </c>
      <c r="O410">
        <v>50.8997940256425</v>
      </c>
      <c r="P410">
        <v>-5.5210912426269299E-2</v>
      </c>
      <c r="Q410">
        <v>0.40687610991533002</v>
      </c>
      <c r="R410">
        <v>0.96201807331406697</v>
      </c>
      <c r="S410" t="s">
        <v>7216</v>
      </c>
      <c r="T410" t="s">
        <v>13610</v>
      </c>
      <c r="U410" t="s">
        <v>13610</v>
      </c>
      <c r="V410" t="s">
        <v>13610</v>
      </c>
      <c r="W410" t="s">
        <v>14012</v>
      </c>
      <c r="X410">
        <v>5</v>
      </c>
      <c r="Y410" t="s">
        <v>20736</v>
      </c>
      <c r="Z410" t="s">
        <v>27265</v>
      </c>
      <c r="AA410">
        <v>0.64256856160021703</v>
      </c>
      <c r="AB410" t="str">
        <f>HYPERLINK("Melting_Curves/meltCurve_E7EP17_DNAH9.pdf", "Melting_Curves/meltCurve_E7EP17_DNAH9.pdf")</f>
        <v>Melting_Curves/meltCurve_E7EP17_DNAH9.pdf</v>
      </c>
    </row>
    <row r="411" spans="1:28" x14ac:dyDescent="0.25">
      <c r="A411" t="s">
        <v>415</v>
      </c>
      <c r="B411">
        <v>0.995954080203443</v>
      </c>
      <c r="C411">
        <v>0.73724301263264402</v>
      </c>
      <c r="D411">
        <v>0.457063649661893</v>
      </c>
      <c r="E411">
        <v>0.574369681369989</v>
      </c>
      <c r="F411">
        <v>0.266476870796785</v>
      </c>
      <c r="G411">
        <v>0.129480180443172</v>
      </c>
      <c r="H411">
        <v>7.4596677971241698E-2</v>
      </c>
      <c r="I411">
        <v>5.8056901382745801E-2</v>
      </c>
      <c r="J411">
        <v>6.8401686499945796E-2</v>
      </c>
      <c r="K411">
        <v>5.4346379607773998E-2</v>
      </c>
      <c r="L411">
        <v>485.42717796334398</v>
      </c>
      <c r="M411">
        <v>10.1065160264491</v>
      </c>
      <c r="N411">
        <v>48.031110012125801</v>
      </c>
      <c r="O411">
        <v>46.264371474212901</v>
      </c>
      <c r="P411">
        <v>-5.4638354523796999E-2</v>
      </c>
      <c r="Q411">
        <v>0</v>
      </c>
      <c r="R411">
        <v>0.93074964491882595</v>
      </c>
      <c r="S411" t="s">
        <v>7217</v>
      </c>
      <c r="T411" t="s">
        <v>13610</v>
      </c>
      <c r="U411" t="s">
        <v>13610</v>
      </c>
      <c r="V411" t="s">
        <v>13610</v>
      </c>
      <c r="W411" t="s">
        <v>14013</v>
      </c>
      <c r="X411">
        <v>3</v>
      </c>
      <c r="Y411" t="s">
        <v>20737</v>
      </c>
      <c r="Z411" t="s">
        <v>27266</v>
      </c>
      <c r="AA411">
        <v>0.31967718874923529</v>
      </c>
      <c r="AB411" t="str">
        <f>HYPERLINK("Melting_Curves/meltCurve_E7EPB3_RPL14.pdf", "Melting_Curves/meltCurve_E7EPB3_RPL14.pdf")</f>
        <v>Melting_Curves/meltCurve_E7EPB3_RPL14.pdf</v>
      </c>
    </row>
    <row r="412" spans="1:28" x14ac:dyDescent="0.25">
      <c r="A412" t="s">
        <v>416</v>
      </c>
      <c r="B412">
        <v>0.995954080203443</v>
      </c>
      <c r="C412">
        <v>1.00757112368201</v>
      </c>
      <c r="D412">
        <v>0.93059714622219702</v>
      </c>
      <c r="E412">
        <v>0.833994542144464</v>
      </c>
      <c r="F412">
        <v>0.52905534824049305</v>
      </c>
      <c r="G412">
        <v>0.31682466708936802</v>
      </c>
      <c r="H412">
        <v>0.22915885609539599</v>
      </c>
      <c r="I412">
        <v>0.240827317702212</v>
      </c>
      <c r="J412">
        <v>0.23339316056992301</v>
      </c>
      <c r="K412">
        <v>0.228529658420036</v>
      </c>
      <c r="L412">
        <v>1346.87645305151</v>
      </c>
      <c r="M412">
        <v>25.7900323841674</v>
      </c>
      <c r="N412">
        <v>53.480256981424503</v>
      </c>
      <c r="O412">
        <v>51.913728409878601</v>
      </c>
      <c r="P412">
        <v>-9.5993531237579394E-2</v>
      </c>
      <c r="Q412">
        <v>0.22709319588684801</v>
      </c>
      <c r="R412">
        <v>0.99699163114890199</v>
      </c>
      <c r="S412" t="s">
        <v>7218</v>
      </c>
      <c r="T412" t="s">
        <v>13610</v>
      </c>
      <c r="U412" t="s">
        <v>13610</v>
      </c>
      <c r="V412" t="s">
        <v>13610</v>
      </c>
      <c r="W412" t="s">
        <v>14014</v>
      </c>
      <c r="X412">
        <v>12</v>
      </c>
      <c r="Y412" t="s">
        <v>20738</v>
      </c>
      <c r="Z412" t="s">
        <v>27267</v>
      </c>
      <c r="AA412">
        <v>0.54870534357054834</v>
      </c>
      <c r="AB412" t="str">
        <f>HYPERLINK("Melting_Curves/meltCurve_E7EPD0_TOM1.pdf", "Melting_Curves/meltCurve_E7EPD0_TOM1.pdf")</f>
        <v>Melting_Curves/meltCurve_E7EPD0_TOM1.pdf</v>
      </c>
    </row>
    <row r="413" spans="1:28" x14ac:dyDescent="0.25">
      <c r="A413" t="s">
        <v>417</v>
      </c>
      <c r="B413">
        <v>0.995954080203443</v>
      </c>
      <c r="C413">
        <v>0.92036540669067601</v>
      </c>
      <c r="D413">
        <v>0.82231634521685104</v>
      </c>
      <c r="E413">
        <v>0.769935031935013</v>
      </c>
      <c r="F413">
        <v>0.50376628235607801</v>
      </c>
      <c r="G413">
        <v>0.29782896728031799</v>
      </c>
      <c r="H413">
        <v>0.234357112399564</v>
      </c>
      <c r="I413">
        <v>0.25774174624638202</v>
      </c>
      <c r="J413">
        <v>0.32541601285497102</v>
      </c>
      <c r="K413">
        <v>0.298465107538398</v>
      </c>
      <c r="L413">
        <v>901.249977152621</v>
      </c>
      <c r="M413">
        <v>17.687002890559899</v>
      </c>
      <c r="N413">
        <v>53.084478060083697</v>
      </c>
      <c r="O413">
        <v>50.317512440936902</v>
      </c>
      <c r="P413">
        <v>-6.5558172238653997E-2</v>
      </c>
      <c r="Q413">
        <v>0.25401736476341202</v>
      </c>
      <c r="R413">
        <v>0.96620733921489099</v>
      </c>
      <c r="S413" t="s">
        <v>7219</v>
      </c>
      <c r="T413" t="s">
        <v>13610</v>
      </c>
      <c r="U413" t="s">
        <v>13610</v>
      </c>
      <c r="V413" t="s">
        <v>13610</v>
      </c>
      <c r="W413" t="s">
        <v>14015</v>
      </c>
      <c r="X413">
        <v>15</v>
      </c>
      <c r="Y413" t="s">
        <v>20739</v>
      </c>
      <c r="Z413" t="s">
        <v>27268</v>
      </c>
      <c r="AA413">
        <v>0.53941728988583904</v>
      </c>
      <c r="AB413" t="str">
        <f>HYPERLINK("Melting_Curves/meltCurve_E7EPI0_IBTK.pdf", "Melting_Curves/meltCurve_E7EPI0_IBTK.pdf")</f>
        <v>Melting_Curves/meltCurve_E7EPI0_IBTK.pdf</v>
      </c>
    </row>
    <row r="414" spans="1:28" x14ac:dyDescent="0.25">
      <c r="A414" t="s">
        <v>418</v>
      </c>
      <c r="B414">
        <v>0.995954080203443</v>
      </c>
      <c r="C414">
        <v>0.80856739013118895</v>
      </c>
      <c r="D414">
        <v>0.37874524342813098</v>
      </c>
      <c r="E414">
        <v>0.29273556676600498</v>
      </c>
      <c r="F414">
        <v>0.17866324626802699</v>
      </c>
      <c r="G414">
        <v>0.11683205291625599</v>
      </c>
      <c r="H414">
        <v>9.4019995206573198E-2</v>
      </c>
      <c r="I414">
        <v>9.2807396792327204E-2</v>
      </c>
      <c r="J414">
        <v>0.107980499680589</v>
      </c>
      <c r="K414">
        <v>0.10110757798244099</v>
      </c>
      <c r="L414">
        <v>1030.8865846532999</v>
      </c>
      <c r="M414">
        <v>22.924259798703002</v>
      </c>
      <c r="N414">
        <v>45.501720195525102</v>
      </c>
      <c r="O414">
        <v>44.631240302335598</v>
      </c>
      <c r="P414">
        <v>-0.113304237078104</v>
      </c>
      <c r="Q414">
        <v>0.117648706465136</v>
      </c>
      <c r="R414">
        <v>0.97955959541750504</v>
      </c>
      <c r="S414" t="s">
        <v>7220</v>
      </c>
      <c r="T414" t="s">
        <v>13610</v>
      </c>
      <c r="U414" t="s">
        <v>13610</v>
      </c>
      <c r="V414" t="s">
        <v>13610</v>
      </c>
      <c r="W414" t="s">
        <v>14016</v>
      </c>
      <c r="X414">
        <v>23</v>
      </c>
      <c r="Y414" t="s">
        <v>20740</v>
      </c>
      <c r="Z414" t="s">
        <v>27269</v>
      </c>
      <c r="AA414">
        <v>0.27465997816554588</v>
      </c>
      <c r="AB414" t="str">
        <f>HYPERLINK("Melting_Curves/meltCurve_E7EPL4_PDXDC1.pdf", "Melting_Curves/meltCurve_E7EPL4_PDXDC1.pdf")</f>
        <v>Melting_Curves/meltCurve_E7EPL4_PDXDC1.pdf</v>
      </c>
    </row>
    <row r="415" spans="1:28" x14ac:dyDescent="0.25">
      <c r="A415" t="s">
        <v>419</v>
      </c>
      <c r="B415">
        <v>0.995954080203443</v>
      </c>
      <c r="C415">
        <v>0.98528198887934904</v>
      </c>
      <c r="D415">
        <v>0.81763841601737497</v>
      </c>
      <c r="E415">
        <v>0.61817027166226601</v>
      </c>
      <c r="F415">
        <v>0.44806902337696197</v>
      </c>
      <c r="G415">
        <v>0.285095800435401</v>
      </c>
      <c r="H415">
        <v>0.228199838249807</v>
      </c>
      <c r="I415">
        <v>0.23485540244382599</v>
      </c>
      <c r="J415">
        <v>0.28834469529077</v>
      </c>
      <c r="K415">
        <v>0.27205632701546301</v>
      </c>
      <c r="L415">
        <v>890.58423473621303</v>
      </c>
      <c r="M415">
        <v>17.915331874945799</v>
      </c>
      <c r="N415">
        <v>51.612730710774997</v>
      </c>
      <c r="O415">
        <v>49.103771245737398</v>
      </c>
      <c r="P415">
        <v>-6.91758636988756E-2</v>
      </c>
      <c r="Q415">
        <v>0.241627210799567</v>
      </c>
      <c r="R415">
        <v>0.99121300917839605</v>
      </c>
      <c r="S415" t="s">
        <v>7221</v>
      </c>
      <c r="T415" t="s">
        <v>13610</v>
      </c>
      <c r="U415" t="s">
        <v>13610</v>
      </c>
      <c r="V415" t="s">
        <v>13610</v>
      </c>
      <c r="W415" t="s">
        <v>14017</v>
      </c>
      <c r="X415">
        <v>7</v>
      </c>
      <c r="Y415" t="s">
        <v>20741</v>
      </c>
      <c r="Z415" t="s">
        <v>27270</v>
      </c>
      <c r="AA415">
        <v>0.50020807904397835</v>
      </c>
      <c r="AB415" t="str">
        <f>HYPERLINK("Melting_Curves/meltCurve_E7EPP7_STXBP4.pdf", "Melting_Curves/meltCurve_E7EPP7_STXBP4.pdf")</f>
        <v>Melting_Curves/meltCurve_E7EPP7_STXBP4.pdf</v>
      </c>
    </row>
    <row r="416" spans="1:28" x14ac:dyDescent="0.25">
      <c r="A416" t="s">
        <v>420</v>
      </c>
      <c r="B416">
        <v>0.995954080203443</v>
      </c>
      <c r="C416">
        <v>0.98875392841816201</v>
      </c>
      <c r="D416">
        <v>0.977590469670224</v>
      </c>
      <c r="E416">
        <v>0.88740806037254705</v>
      </c>
      <c r="F416">
        <v>0.502208586442498</v>
      </c>
      <c r="G416">
        <v>0.109169586863179</v>
      </c>
      <c r="H416">
        <v>6.8945150526762006E-2</v>
      </c>
      <c r="I416">
        <v>5.6836535952354397E-2</v>
      </c>
      <c r="J416">
        <v>6.5302017621956407E-2</v>
      </c>
      <c r="K416">
        <v>5.7358977962259299E-2</v>
      </c>
      <c r="L416">
        <v>1916.90303418336</v>
      </c>
      <c r="M416">
        <v>36.2998187914692</v>
      </c>
      <c r="N416">
        <v>52.987207407820101</v>
      </c>
      <c r="O416">
        <v>52.648011220821601</v>
      </c>
      <c r="P416">
        <v>-0.16238794744778101</v>
      </c>
      <c r="Q416">
        <v>5.7915252602962701E-2</v>
      </c>
      <c r="R416">
        <v>0.99962524365944805</v>
      </c>
      <c r="S416" t="s">
        <v>7222</v>
      </c>
      <c r="T416" t="s">
        <v>13610</v>
      </c>
      <c r="U416" t="s">
        <v>13610</v>
      </c>
      <c r="V416" t="s">
        <v>13610</v>
      </c>
      <c r="W416" t="s">
        <v>14018</v>
      </c>
      <c r="X416">
        <v>15</v>
      </c>
      <c r="Y416" t="s">
        <v>20742</v>
      </c>
      <c r="Z416" t="s">
        <v>27271</v>
      </c>
      <c r="AA416">
        <v>0.46428060889090461</v>
      </c>
      <c r="AB416" t="str">
        <f>HYPERLINK("Melting_Curves/meltCurve_E7EQ69_NAA50.pdf", "Melting_Curves/meltCurve_E7EQ69_NAA50.pdf")</f>
        <v>Melting_Curves/meltCurve_E7EQ69_NAA50.pdf</v>
      </c>
    </row>
    <row r="417" spans="1:28" x14ac:dyDescent="0.25">
      <c r="A417" t="s">
        <v>421</v>
      </c>
      <c r="B417">
        <v>0.995954080203443</v>
      </c>
      <c r="C417">
        <v>1.04369708136551</v>
      </c>
      <c r="D417">
        <v>1.0114647738651299</v>
      </c>
      <c r="E417">
        <v>0.90031602399338595</v>
      </c>
      <c r="F417">
        <v>0.70702222077923904</v>
      </c>
      <c r="G417">
        <v>0.33345327776597899</v>
      </c>
      <c r="H417">
        <v>9.4639208418150697E-2</v>
      </c>
      <c r="I417">
        <v>7.3029420016028801E-2</v>
      </c>
      <c r="J417">
        <v>8.9082990363666195E-2</v>
      </c>
      <c r="K417">
        <v>7.8063310434398195E-2</v>
      </c>
      <c r="L417">
        <v>1352.3613657076701</v>
      </c>
      <c r="M417">
        <v>24.718163487084102</v>
      </c>
      <c r="N417">
        <v>54.998054699624497</v>
      </c>
      <c r="O417">
        <v>54.356936107798802</v>
      </c>
      <c r="P417">
        <v>-0.106811382967142</v>
      </c>
      <c r="Q417">
        <v>6.0471328917348403E-2</v>
      </c>
      <c r="R417">
        <v>0.99715231757807699</v>
      </c>
      <c r="S417" t="s">
        <v>7223</v>
      </c>
      <c r="T417" t="s">
        <v>13610</v>
      </c>
      <c r="U417" t="s">
        <v>13610</v>
      </c>
      <c r="V417" t="s">
        <v>13610</v>
      </c>
      <c r="W417" t="s">
        <v>14019</v>
      </c>
      <c r="X417">
        <v>22</v>
      </c>
      <c r="Y417" t="s">
        <v>20743</v>
      </c>
      <c r="Z417" t="s">
        <v>27272</v>
      </c>
      <c r="AA417">
        <v>0.53006706816813975</v>
      </c>
      <c r="AB417" t="str">
        <f>HYPERLINK("Melting_Curves/meltCurve_E7EQG2_EIF4A2.pdf", "Melting_Curves/meltCurve_E7EQG2_EIF4A2.pdf")</f>
        <v>Melting_Curves/meltCurve_E7EQG2_EIF4A2.pdf</v>
      </c>
    </row>
    <row r="418" spans="1:28" x14ac:dyDescent="0.25">
      <c r="A418" t="s">
        <v>422</v>
      </c>
      <c r="B418">
        <v>0.995954080203443</v>
      </c>
      <c r="C418">
        <v>0.96010990410926</v>
      </c>
      <c r="D418">
        <v>1.4357647449823101</v>
      </c>
      <c r="E418">
        <v>0</v>
      </c>
      <c r="F418">
        <v>1.4792694651368301</v>
      </c>
      <c r="G418">
        <v>1.1429253410781499</v>
      </c>
      <c r="H418">
        <v>1.0917838428194799</v>
      </c>
      <c r="I418">
        <v>1.26651053910108</v>
      </c>
      <c r="J418">
        <v>1.6788619551331201</v>
      </c>
      <c r="K418">
        <v>1.5556924828527099</v>
      </c>
      <c r="L418">
        <v>15000</v>
      </c>
      <c r="M418">
        <v>234.507450268214</v>
      </c>
      <c r="O418">
        <v>63.959200421364798</v>
      </c>
      <c r="P418">
        <v>0.45831453445251003</v>
      </c>
      <c r="Q418">
        <v>1.5</v>
      </c>
      <c r="R418">
        <v>0.26930842753357598</v>
      </c>
      <c r="S418" t="s">
        <v>7224</v>
      </c>
      <c r="T418" t="s">
        <v>13610</v>
      </c>
      <c r="U418" t="s">
        <v>13610</v>
      </c>
      <c r="V418" t="s">
        <v>13610</v>
      </c>
      <c r="W418" t="s">
        <v>14020</v>
      </c>
      <c r="X418">
        <v>4</v>
      </c>
      <c r="Y418" t="s">
        <v>20744</v>
      </c>
      <c r="Z418" t="s">
        <v>27273</v>
      </c>
      <c r="AA418">
        <v>1.100538664682627</v>
      </c>
      <c r="AB418" t="str">
        <f>HYPERLINK("Melting_Curves/meltCurve_E7EQL8_TUBGCP6.pdf", "Melting_Curves/meltCurve_E7EQL8_TUBGCP6.pdf")</f>
        <v>Melting_Curves/meltCurve_E7EQL8_TUBGCP6.pdf</v>
      </c>
    </row>
    <row r="419" spans="1:28" x14ac:dyDescent="0.25">
      <c r="A419" t="s">
        <v>423</v>
      </c>
      <c r="B419">
        <v>0.995954080203443</v>
      </c>
      <c r="C419">
        <v>0.93844367960345199</v>
      </c>
      <c r="D419">
        <v>0.97022713019776496</v>
      </c>
      <c r="E419">
        <v>0.84174758758953505</v>
      </c>
      <c r="F419">
        <v>0.85983188633888596</v>
      </c>
      <c r="G419">
        <v>0.62039202635854795</v>
      </c>
      <c r="H419">
        <v>0.58991677753226401</v>
      </c>
      <c r="I419">
        <v>0.69814559331695802</v>
      </c>
      <c r="J419">
        <v>0.82352821666207598</v>
      </c>
      <c r="K419">
        <v>0.81248332734225004</v>
      </c>
      <c r="L419">
        <v>1201.52532220073</v>
      </c>
      <c r="M419">
        <v>23.943348859480501</v>
      </c>
      <c r="O419">
        <v>49.835887522339398</v>
      </c>
      <c r="P419">
        <v>-3.4067256660565398E-2</v>
      </c>
      <c r="Q419">
        <v>0.71637302303218697</v>
      </c>
      <c r="R419">
        <v>0.65730000527052201</v>
      </c>
      <c r="S419" t="s">
        <v>7225</v>
      </c>
      <c r="T419" t="s">
        <v>13610</v>
      </c>
      <c r="U419" t="s">
        <v>13610</v>
      </c>
      <c r="V419" t="s">
        <v>13610</v>
      </c>
      <c r="W419" t="s">
        <v>14021</v>
      </c>
      <c r="X419">
        <v>12</v>
      </c>
      <c r="Y419" t="s">
        <v>20745</v>
      </c>
      <c r="Z419" t="s">
        <v>27274</v>
      </c>
      <c r="AA419">
        <v>0.81540478929408711</v>
      </c>
      <c r="AB419" t="str">
        <f>HYPERLINK("Melting_Curves/meltCurve_E7ER32_MKL1.pdf", "Melting_Curves/meltCurve_E7ER32_MKL1.pdf")</f>
        <v>Melting_Curves/meltCurve_E7ER32_MKL1.pdf</v>
      </c>
    </row>
    <row r="420" spans="1:28" x14ac:dyDescent="0.25">
      <c r="A420" t="s">
        <v>424</v>
      </c>
      <c r="B420">
        <v>0.995954080203443</v>
      </c>
      <c r="C420">
        <v>0.96342645960954398</v>
      </c>
      <c r="D420">
        <v>0.94477182908383595</v>
      </c>
      <c r="E420">
        <v>0.86307484579308502</v>
      </c>
      <c r="F420">
        <v>0.75307339189355804</v>
      </c>
      <c r="G420">
        <v>0.53135645260180497</v>
      </c>
      <c r="H420">
        <v>0.52184892433112495</v>
      </c>
      <c r="I420">
        <v>0.60687893227331502</v>
      </c>
      <c r="J420">
        <v>0.636669115929132</v>
      </c>
      <c r="K420">
        <v>0.69214813606610004</v>
      </c>
      <c r="L420">
        <v>1521.5776139944301</v>
      </c>
      <c r="M420">
        <v>29.652509405838401</v>
      </c>
      <c r="O420">
        <v>51.081946759281003</v>
      </c>
      <c r="P420">
        <v>-5.82207304373221E-2</v>
      </c>
      <c r="Q420">
        <v>0.598818783087115</v>
      </c>
      <c r="R420">
        <v>0.90049137357763398</v>
      </c>
      <c r="S420" t="s">
        <v>7226</v>
      </c>
      <c r="T420" t="s">
        <v>13610</v>
      </c>
      <c r="U420" t="s">
        <v>13610</v>
      </c>
      <c r="V420" t="s">
        <v>13610</v>
      </c>
      <c r="W420" t="s">
        <v>14022</v>
      </c>
      <c r="X420">
        <v>7</v>
      </c>
      <c r="Y420" t="s">
        <v>20746</v>
      </c>
      <c r="Z420" t="s">
        <v>27275</v>
      </c>
      <c r="AA420">
        <v>0.75270752173631839</v>
      </c>
      <c r="AB420" t="str">
        <f>HYPERLINK("Melting_Curves/meltCurve_E7ERL6_MAST2.pdf", "Melting_Curves/meltCurve_E7ERL6_MAST2.pdf")</f>
        <v>Melting_Curves/meltCurve_E7ERL6_MAST2.pdf</v>
      </c>
    </row>
    <row r="421" spans="1:28" x14ac:dyDescent="0.25">
      <c r="A421" t="s">
        <v>425</v>
      </c>
      <c r="B421">
        <v>0.995954080203443</v>
      </c>
      <c r="C421">
        <v>0.98896041247285005</v>
      </c>
      <c r="D421">
        <v>1.0354175704709201</v>
      </c>
      <c r="E421">
        <v>0.898679527061922</v>
      </c>
      <c r="F421">
        <v>0.83529702563874597</v>
      </c>
      <c r="G421">
        <v>0.58067151065879297</v>
      </c>
      <c r="H421">
        <v>0.46115274921474902</v>
      </c>
      <c r="I421">
        <v>0.49551493104244398</v>
      </c>
      <c r="J421">
        <v>0.69321230237195997</v>
      </c>
      <c r="K421">
        <v>0.61219081079416604</v>
      </c>
      <c r="L421">
        <v>1897.1214132156499</v>
      </c>
      <c r="M421">
        <v>35.586468557311299</v>
      </c>
      <c r="O421">
        <v>53.142687821985199</v>
      </c>
      <c r="P421">
        <v>-7.3376001117976902E-2</v>
      </c>
      <c r="Q421">
        <v>0.56170025378765998</v>
      </c>
      <c r="R421">
        <v>0.90069702519267403</v>
      </c>
      <c r="S421" t="s">
        <v>7227</v>
      </c>
      <c r="T421" t="s">
        <v>13610</v>
      </c>
      <c r="U421" t="s">
        <v>13610</v>
      </c>
      <c r="V421" t="s">
        <v>13610</v>
      </c>
      <c r="W421" t="s">
        <v>14023</v>
      </c>
      <c r="X421">
        <v>13</v>
      </c>
      <c r="Y421" t="s">
        <v>20747</v>
      </c>
      <c r="Z421" t="s">
        <v>27276</v>
      </c>
      <c r="AA421">
        <v>0.75819964868480227</v>
      </c>
      <c r="AB421" t="str">
        <f>HYPERLINK("Melting_Curves/meltCurve_E7ES08_HMGB3.pdf", "Melting_Curves/meltCurve_E7ES08_HMGB3.pdf")</f>
        <v>Melting_Curves/meltCurve_E7ES08_HMGB3.pdf</v>
      </c>
    </row>
    <row r="422" spans="1:28" x14ac:dyDescent="0.25">
      <c r="A422" t="s">
        <v>426</v>
      </c>
      <c r="B422">
        <v>0.995954080203443</v>
      </c>
      <c r="C422">
        <v>0.93603086248159195</v>
      </c>
      <c r="D422">
        <v>0.76603092140066398</v>
      </c>
      <c r="E422">
        <v>0.74587992809743797</v>
      </c>
      <c r="F422">
        <v>0.48402536626097198</v>
      </c>
      <c r="G422">
        <v>0.46917191320110702</v>
      </c>
      <c r="H422">
        <v>0.41899939273988601</v>
      </c>
      <c r="I422">
        <v>0.37750856589971898</v>
      </c>
      <c r="J422">
        <v>0.83607263889633698</v>
      </c>
      <c r="K422">
        <v>0.73709189561437705</v>
      </c>
      <c r="L422">
        <v>1028.5405727913501</v>
      </c>
      <c r="M422">
        <v>22.2134136160828</v>
      </c>
      <c r="O422">
        <v>45.9323318295015</v>
      </c>
      <c r="P422">
        <v>-5.2882563739123402E-2</v>
      </c>
      <c r="Q422">
        <v>0.56261259045246803</v>
      </c>
      <c r="R422">
        <v>0.56356187831774796</v>
      </c>
      <c r="S422" t="s">
        <v>7228</v>
      </c>
      <c r="T422" t="s">
        <v>13610</v>
      </c>
      <c r="U422" t="s">
        <v>13610</v>
      </c>
      <c r="V422" t="s">
        <v>13610</v>
      </c>
      <c r="W422" t="s">
        <v>14024</v>
      </c>
      <c r="X422">
        <v>4</v>
      </c>
      <c r="Y422" t="s">
        <v>20748</v>
      </c>
      <c r="Z422" t="s">
        <v>27277</v>
      </c>
      <c r="AA422">
        <v>0.65972197970685242</v>
      </c>
      <c r="AB422" t="str">
        <f>HYPERLINK("Melting_Curves/meltCurve_E7ES21_HEPH.pdf", "Melting_Curves/meltCurve_E7ES21_HEPH.pdf")</f>
        <v>Melting_Curves/meltCurve_E7ES21_HEPH.pdf</v>
      </c>
    </row>
    <row r="423" spans="1:28" x14ac:dyDescent="0.25">
      <c r="A423" t="s">
        <v>427</v>
      </c>
      <c r="B423">
        <v>0.995954080203443</v>
      </c>
      <c r="C423">
        <v>0.864320196859102</v>
      </c>
      <c r="D423">
        <v>0.70965151756895695</v>
      </c>
      <c r="E423">
        <v>0.831516835929481</v>
      </c>
      <c r="F423">
        <v>0.43494855772895702</v>
      </c>
      <c r="G423">
        <v>0.116297734275746</v>
      </c>
      <c r="H423">
        <v>7.2629345227685493E-2</v>
      </c>
      <c r="I423">
        <v>6.1797339958092501E-2</v>
      </c>
      <c r="J423">
        <v>7.1101348084041005E-2</v>
      </c>
      <c r="K423">
        <v>5.9501520841047602E-2</v>
      </c>
      <c r="L423">
        <v>775.74914449995595</v>
      </c>
      <c r="M423">
        <v>14.886836761257801</v>
      </c>
      <c r="N423">
        <v>52.115982181929901</v>
      </c>
      <c r="O423">
        <v>51.196551214935297</v>
      </c>
      <c r="P423">
        <v>-7.2637549480865496E-2</v>
      </c>
      <c r="Q423">
        <v>8.8780283419545602E-4</v>
      </c>
      <c r="R423">
        <v>0.93895550507700498</v>
      </c>
      <c r="S423" t="s">
        <v>7229</v>
      </c>
      <c r="T423" t="s">
        <v>13610</v>
      </c>
      <c r="U423" t="s">
        <v>13610</v>
      </c>
      <c r="V423" t="s">
        <v>13610</v>
      </c>
      <c r="W423" t="s">
        <v>14025</v>
      </c>
      <c r="X423">
        <v>46</v>
      </c>
      <c r="Y423" t="s">
        <v>20749</v>
      </c>
      <c r="Z423" t="s">
        <v>27278</v>
      </c>
      <c r="AA423">
        <v>0.4266938020298251</v>
      </c>
      <c r="AB423" t="str">
        <f>HYPERLINK("Melting_Curves/meltCurve_E7ESC6_XPO7.pdf", "Melting_Curves/meltCurve_E7ESC6_XPO7.pdf")</f>
        <v>Melting_Curves/meltCurve_E7ESC6_XPO7.pdf</v>
      </c>
    </row>
    <row r="424" spans="1:28" x14ac:dyDescent="0.25">
      <c r="A424" t="s">
        <v>428</v>
      </c>
      <c r="B424">
        <v>0.995954080203443</v>
      </c>
      <c r="C424">
        <v>0.83280934516710903</v>
      </c>
      <c r="D424">
        <v>0.84811704942875898</v>
      </c>
      <c r="E424">
        <v>0.89410422470929696</v>
      </c>
      <c r="F424">
        <v>0.85524002032838997</v>
      </c>
      <c r="G424">
        <v>0.67884701527134905</v>
      </c>
      <c r="H424">
        <v>0.82350437611001304</v>
      </c>
      <c r="I424">
        <v>0.947544332524629</v>
      </c>
      <c r="J424">
        <v>1.2232204687814101</v>
      </c>
      <c r="K424">
        <v>0.97845946233480297</v>
      </c>
      <c r="L424">
        <v>10127.463904659</v>
      </c>
      <c r="M424">
        <v>250</v>
      </c>
      <c r="O424">
        <v>40.507264401221697</v>
      </c>
      <c r="P424">
        <v>-0.157405529963973</v>
      </c>
      <c r="Q424">
        <v>0.89798292427366699</v>
      </c>
      <c r="R424">
        <v>4.6570100146965901E-2</v>
      </c>
      <c r="S424" t="s">
        <v>7230</v>
      </c>
      <c r="T424" t="s">
        <v>13610</v>
      </c>
      <c r="U424" t="s">
        <v>13610</v>
      </c>
      <c r="V424" t="s">
        <v>13610</v>
      </c>
      <c r="W424" t="s">
        <v>14026</v>
      </c>
      <c r="X424">
        <v>2</v>
      </c>
      <c r="Y424" t="s">
        <v>20750</v>
      </c>
      <c r="Z424" t="s">
        <v>27279</v>
      </c>
      <c r="AA424">
        <v>0.89974555337593753</v>
      </c>
      <c r="AB424" t="str">
        <f>HYPERLINK("Melting_Curves/meltCurve_E7ESJ3_ANKRD26.pdf", "Melting_Curves/meltCurve_E7ESJ3_ANKRD26.pdf")</f>
        <v>Melting_Curves/meltCurve_E7ESJ3_ANKRD26.pdf</v>
      </c>
    </row>
    <row r="425" spans="1:28" x14ac:dyDescent="0.25">
      <c r="A425" t="s">
        <v>429</v>
      </c>
      <c r="B425">
        <v>0.995954080203443</v>
      </c>
      <c r="C425">
        <v>1.0817462435927201</v>
      </c>
      <c r="D425">
        <v>1.061049327091</v>
      </c>
      <c r="E425">
        <v>0.88027452085404001</v>
      </c>
      <c r="F425">
        <v>0.64307789444157604</v>
      </c>
      <c r="G425">
        <v>0.225035028013301</v>
      </c>
      <c r="H425">
        <v>0.131933006564562</v>
      </c>
      <c r="I425">
        <v>0.12512972014500601</v>
      </c>
      <c r="J425">
        <v>0.141508904306965</v>
      </c>
      <c r="K425">
        <v>0.14060579897169201</v>
      </c>
      <c r="L425">
        <v>1696.3335103356701</v>
      </c>
      <c r="M425">
        <v>31.715637078080999</v>
      </c>
      <c r="N425">
        <v>53.987156637595099</v>
      </c>
      <c r="O425">
        <v>53.274434900666499</v>
      </c>
      <c r="P425">
        <v>-0.12984527352038799</v>
      </c>
      <c r="Q425">
        <v>0.127572848573865</v>
      </c>
      <c r="R425">
        <v>0.99205500927175705</v>
      </c>
      <c r="S425" t="s">
        <v>7231</v>
      </c>
      <c r="T425" t="s">
        <v>13610</v>
      </c>
      <c r="U425" t="s">
        <v>13610</v>
      </c>
      <c r="V425" t="s">
        <v>13610</v>
      </c>
      <c r="W425" t="s">
        <v>14027</v>
      </c>
      <c r="X425">
        <v>2</v>
      </c>
      <c r="Y425" t="s">
        <v>20751</v>
      </c>
      <c r="Z425" t="s">
        <v>27280</v>
      </c>
      <c r="AA425">
        <v>0.52485783008387421</v>
      </c>
      <c r="AB425" t="str">
        <f>HYPERLINK("Melting_Curves/meltCurve_E7ESM1_NDRG1.pdf", "Melting_Curves/meltCurve_E7ESM1_NDRG1.pdf")</f>
        <v>Melting_Curves/meltCurve_E7ESM1_NDRG1.pdf</v>
      </c>
    </row>
    <row r="426" spans="1:28" x14ac:dyDescent="0.25">
      <c r="A426" t="s">
        <v>430</v>
      </c>
      <c r="B426">
        <v>0.995954080203443</v>
      </c>
      <c r="C426">
        <v>0.93303282425873302</v>
      </c>
      <c r="D426">
        <v>0.80829794175288205</v>
      </c>
      <c r="E426">
        <v>0.71021723244045099</v>
      </c>
      <c r="F426">
        <v>0.49639654055999399</v>
      </c>
      <c r="G426">
        <v>0.314643709304542</v>
      </c>
      <c r="H426">
        <v>0.23675229224562599</v>
      </c>
      <c r="I426">
        <v>0.266219115857938</v>
      </c>
      <c r="J426">
        <v>0.26453279582296302</v>
      </c>
      <c r="K426">
        <v>0.27692423908331598</v>
      </c>
      <c r="L426">
        <v>758.83933546345099</v>
      </c>
      <c r="M426">
        <v>14.9819650441673</v>
      </c>
      <c r="N426">
        <v>52.807002978565599</v>
      </c>
      <c r="O426">
        <v>49.773494080127598</v>
      </c>
      <c r="P426">
        <v>-5.8035933493147798E-2</v>
      </c>
      <c r="Q426">
        <v>0.22884401489655801</v>
      </c>
      <c r="R426">
        <v>0.98559287707796095</v>
      </c>
      <c r="S426" t="s">
        <v>7232</v>
      </c>
      <c r="T426" t="s">
        <v>13610</v>
      </c>
      <c r="U426" t="s">
        <v>13610</v>
      </c>
      <c r="V426" t="s">
        <v>13610</v>
      </c>
      <c r="W426" t="s">
        <v>14028</v>
      </c>
      <c r="X426">
        <v>5</v>
      </c>
      <c r="Y426" t="s">
        <v>20752</v>
      </c>
      <c r="Z426" t="s">
        <v>27281</v>
      </c>
      <c r="AA426">
        <v>0.52066042598033535</v>
      </c>
      <c r="AB426" t="str">
        <f>HYPERLINK("Melting_Curves/meltCurve_E7ET07_ING3.pdf", "Melting_Curves/meltCurve_E7ET07_ING3.pdf")</f>
        <v>Melting_Curves/meltCurve_E7ET07_ING3.pdf</v>
      </c>
    </row>
    <row r="427" spans="1:28" x14ac:dyDescent="0.25">
      <c r="A427" t="s">
        <v>431</v>
      </c>
      <c r="B427">
        <v>0.995954080203443</v>
      </c>
      <c r="C427">
        <v>0.91596055584898695</v>
      </c>
      <c r="D427">
        <v>0.87714067587279099</v>
      </c>
      <c r="E427">
        <v>0.77518924703580006</v>
      </c>
      <c r="F427">
        <v>0.50804106703461205</v>
      </c>
      <c r="G427">
        <v>0.29182782793385897</v>
      </c>
      <c r="H427">
        <v>0.255874750783601</v>
      </c>
      <c r="I427">
        <v>0.30232886488222199</v>
      </c>
      <c r="J427">
        <v>0.37183970202740002</v>
      </c>
      <c r="K427">
        <v>0.35253230613194902</v>
      </c>
      <c r="L427">
        <v>1277.68645921184</v>
      </c>
      <c r="M427">
        <v>25.045151610552001</v>
      </c>
      <c r="N427">
        <v>53.0138592209397</v>
      </c>
      <c r="O427">
        <v>50.693415898650102</v>
      </c>
      <c r="P427">
        <v>-8.5781144806683807E-2</v>
      </c>
      <c r="Q427">
        <v>0.30549733313312699</v>
      </c>
      <c r="R427">
        <v>0.96436776865465801</v>
      </c>
      <c r="S427" t="s">
        <v>7233</v>
      </c>
      <c r="T427" t="s">
        <v>13610</v>
      </c>
      <c r="U427" t="s">
        <v>13610</v>
      </c>
      <c r="V427" t="s">
        <v>13610</v>
      </c>
      <c r="W427" t="s">
        <v>14029</v>
      </c>
      <c r="X427">
        <v>40</v>
      </c>
      <c r="Y427" t="s">
        <v>20753</v>
      </c>
      <c r="Z427" t="s">
        <v>27282</v>
      </c>
      <c r="AA427">
        <v>0.56675592373407568</v>
      </c>
      <c r="AB427" t="str">
        <f>HYPERLINK("Melting_Curves/meltCurve_E7ET15_U2SURP.pdf", "Melting_Curves/meltCurve_E7ET15_U2SURP.pdf")</f>
        <v>Melting_Curves/meltCurve_E7ET15_U2SURP.pdf</v>
      </c>
    </row>
    <row r="428" spans="1:28" x14ac:dyDescent="0.25">
      <c r="A428" t="s">
        <v>432</v>
      </c>
      <c r="B428">
        <v>0.995954080203443</v>
      </c>
      <c r="C428">
        <v>1.0524614892817099</v>
      </c>
      <c r="D428">
        <v>0.974427742549131</v>
      </c>
      <c r="E428">
        <v>0.943783543516307</v>
      </c>
      <c r="F428">
        <v>0.71920572989226395</v>
      </c>
      <c r="G428">
        <v>0.39929901281970598</v>
      </c>
      <c r="H428">
        <v>0.20908981002900101</v>
      </c>
      <c r="I428">
        <v>0.154915232031233</v>
      </c>
      <c r="J428">
        <v>0.13280130508726501</v>
      </c>
      <c r="K428">
        <v>0.13209087679713</v>
      </c>
      <c r="L428">
        <v>1259.99457568047</v>
      </c>
      <c r="M428">
        <v>22.925264938205501</v>
      </c>
      <c r="N428">
        <v>55.651815528913097</v>
      </c>
      <c r="O428">
        <v>54.547883660690601</v>
      </c>
      <c r="P428">
        <v>-9.2059195557108703E-2</v>
      </c>
      <c r="Q428">
        <v>0.12384177618218201</v>
      </c>
      <c r="R428">
        <v>0.99708647093080804</v>
      </c>
      <c r="S428" t="s">
        <v>7234</v>
      </c>
      <c r="T428" t="s">
        <v>13610</v>
      </c>
      <c r="U428" t="s">
        <v>13610</v>
      </c>
      <c r="V428" t="s">
        <v>13610</v>
      </c>
      <c r="X428">
        <v>4</v>
      </c>
      <c r="Z428" t="s">
        <v>27283</v>
      </c>
      <c r="AA428">
        <v>0.57018371814346536</v>
      </c>
      <c r="AB428" t="str">
        <f>HYPERLINK("Melting_Curves/meltCurve_E7ET33_.pdf", "Melting_Curves/meltCurve_E7ET33_.pdf")</f>
        <v>Melting_Curves/meltCurve_E7ET33_.pdf</v>
      </c>
    </row>
    <row r="429" spans="1:28" x14ac:dyDescent="0.25">
      <c r="A429" t="s">
        <v>433</v>
      </c>
      <c r="B429">
        <v>0.995954080203443</v>
      </c>
      <c r="C429">
        <v>0.90006194212899204</v>
      </c>
      <c r="D429">
        <v>0.85983320003511199</v>
      </c>
      <c r="E429">
        <v>0.73016881182237603</v>
      </c>
      <c r="F429">
        <v>0.58974079694534198</v>
      </c>
      <c r="G429">
        <v>0.38634746495816302</v>
      </c>
      <c r="H429">
        <v>0.31664318713602002</v>
      </c>
      <c r="I429">
        <v>0.33342642878063899</v>
      </c>
      <c r="J429">
        <v>0.46413439442293097</v>
      </c>
      <c r="K429">
        <v>0.395725435781492</v>
      </c>
      <c r="L429">
        <v>804.66875420016697</v>
      </c>
      <c r="M429">
        <v>15.990493845353001</v>
      </c>
      <c r="N429">
        <v>54.563493614563299</v>
      </c>
      <c r="O429">
        <v>49.554410918523601</v>
      </c>
      <c r="P429">
        <v>-5.1975998014533398E-2</v>
      </c>
      <c r="Q429">
        <v>0.355757862414947</v>
      </c>
      <c r="R429">
        <v>0.952459174050584</v>
      </c>
      <c r="S429" t="s">
        <v>7235</v>
      </c>
      <c r="T429" t="s">
        <v>13610</v>
      </c>
      <c r="U429" t="s">
        <v>13610</v>
      </c>
      <c r="V429" t="s">
        <v>13610</v>
      </c>
      <c r="W429" t="s">
        <v>14030</v>
      </c>
      <c r="X429">
        <v>13</v>
      </c>
      <c r="Y429" t="s">
        <v>20754</v>
      </c>
      <c r="Z429" t="s">
        <v>27284</v>
      </c>
      <c r="AA429">
        <v>0.59100050583133679</v>
      </c>
      <c r="AB429" t="str">
        <f>HYPERLINK("Melting_Curves/meltCurve_E7ET96_TNIP1.pdf", "Melting_Curves/meltCurve_E7ET96_TNIP1.pdf")</f>
        <v>Melting_Curves/meltCurve_E7ET96_TNIP1.pdf</v>
      </c>
    </row>
    <row r="430" spans="1:28" x14ac:dyDescent="0.25">
      <c r="A430" t="s">
        <v>434</v>
      </c>
      <c r="B430">
        <v>0.995954080203443</v>
      </c>
      <c r="C430">
        <v>1.00148182014135</v>
      </c>
      <c r="D430">
        <v>0.96944827597943195</v>
      </c>
      <c r="E430">
        <v>0.85279077948778803</v>
      </c>
      <c r="F430">
        <v>0.721176129560261</v>
      </c>
      <c r="G430">
        <v>0.52087414349729599</v>
      </c>
      <c r="H430">
        <v>0.46068566910536901</v>
      </c>
      <c r="I430">
        <v>0.50479053737776503</v>
      </c>
      <c r="J430">
        <v>0.57151903799105097</v>
      </c>
      <c r="K430">
        <v>0.56287876318425001</v>
      </c>
      <c r="L430">
        <v>1425.88577292327</v>
      </c>
      <c r="M430">
        <v>27.508422765961502</v>
      </c>
      <c r="O430">
        <v>51.562908026467603</v>
      </c>
      <c r="P430">
        <v>-6.4238905242143596E-2</v>
      </c>
      <c r="Q430">
        <v>0.51835635531443702</v>
      </c>
      <c r="R430">
        <v>0.97225185906408695</v>
      </c>
      <c r="S430" t="s">
        <v>7236</v>
      </c>
      <c r="T430" t="s">
        <v>13610</v>
      </c>
      <c r="U430" t="s">
        <v>13610</v>
      </c>
      <c r="V430" t="s">
        <v>13610</v>
      </c>
      <c r="W430" t="s">
        <v>14031</v>
      </c>
      <c r="X430">
        <v>52</v>
      </c>
      <c r="Y430" t="s">
        <v>20755</v>
      </c>
      <c r="Z430" t="s">
        <v>27285</v>
      </c>
      <c r="AA430">
        <v>0.71200014556613644</v>
      </c>
      <c r="AB430" t="str">
        <f>HYPERLINK("Melting_Curves/meltCurve_E7ETA6_PCM1.pdf", "Melting_Curves/meltCurve_E7ETA6_PCM1.pdf")</f>
        <v>Melting_Curves/meltCurve_E7ETA6_PCM1.pdf</v>
      </c>
    </row>
    <row r="431" spans="1:28" x14ac:dyDescent="0.25">
      <c r="A431" t="s">
        <v>435</v>
      </c>
      <c r="B431">
        <v>0.995954080203443</v>
      </c>
      <c r="C431">
        <v>0.80923234869829996</v>
      </c>
      <c r="D431">
        <v>0.63401635522088895</v>
      </c>
      <c r="E431">
        <v>0.74852487972113102</v>
      </c>
      <c r="F431">
        <v>0.54260252265596498</v>
      </c>
      <c r="G431">
        <v>0.29279820055435901</v>
      </c>
      <c r="H431">
        <v>0.19016877275261901</v>
      </c>
      <c r="I431">
        <v>0.180968353475087</v>
      </c>
      <c r="J431">
        <v>0.24238469589036599</v>
      </c>
      <c r="K431">
        <v>0.21790001469996001</v>
      </c>
      <c r="L431">
        <v>449.16571809121899</v>
      </c>
      <c r="M431">
        <v>8.7309316465517206</v>
      </c>
      <c r="N431">
        <v>52.585837856586799</v>
      </c>
      <c r="O431">
        <v>48.960436816736099</v>
      </c>
      <c r="P431">
        <v>-4.0769338785444802E-2</v>
      </c>
      <c r="Q431">
        <v>8.6255579266242097E-2</v>
      </c>
      <c r="R431">
        <v>0.91770974499030999</v>
      </c>
      <c r="S431" t="s">
        <v>7237</v>
      </c>
      <c r="T431" t="s">
        <v>13610</v>
      </c>
      <c r="U431" t="s">
        <v>13610</v>
      </c>
      <c r="V431" t="s">
        <v>13610</v>
      </c>
      <c r="W431" t="s">
        <v>14032</v>
      </c>
      <c r="X431">
        <v>1</v>
      </c>
      <c r="Y431" t="s">
        <v>20756</v>
      </c>
      <c r="Z431" t="s">
        <v>27286</v>
      </c>
      <c r="AA431">
        <v>0.47727569389261593</v>
      </c>
      <c r="AB431" t="str">
        <f>HYPERLINK("Melting_Curves/meltCurve_E7ETU5_RBMS1.pdf", "Melting_Curves/meltCurve_E7ETU5_RBMS1.pdf")</f>
        <v>Melting_Curves/meltCurve_E7ETU5_RBMS1.pdf</v>
      </c>
    </row>
    <row r="432" spans="1:28" x14ac:dyDescent="0.25">
      <c r="A432" t="s">
        <v>436</v>
      </c>
      <c r="B432">
        <v>0.995954080203443</v>
      </c>
      <c r="C432">
        <v>0.821792347724288</v>
      </c>
      <c r="D432">
        <v>0.49044872736670198</v>
      </c>
      <c r="E432">
        <v>0.35727438122440303</v>
      </c>
      <c r="F432">
        <v>0.173498440617287</v>
      </c>
      <c r="G432">
        <v>9.9187197256908902E-2</v>
      </c>
      <c r="H432">
        <v>6.7920902161774002E-2</v>
      </c>
      <c r="I432">
        <v>5.6353925646617301E-2</v>
      </c>
      <c r="J432">
        <v>7.31912564300293E-2</v>
      </c>
      <c r="K432">
        <v>6.5377162363466398E-2</v>
      </c>
      <c r="L432">
        <v>742.10156882686499</v>
      </c>
      <c r="M432">
        <v>15.972490839887399</v>
      </c>
      <c r="N432">
        <v>46.831533644205599</v>
      </c>
      <c r="O432">
        <v>45.751250316847603</v>
      </c>
      <c r="P432">
        <v>-8.2107780058521304E-2</v>
      </c>
      <c r="Q432">
        <v>5.9323413960289499E-2</v>
      </c>
      <c r="R432">
        <v>0.98571438409614898</v>
      </c>
      <c r="S432" t="s">
        <v>7238</v>
      </c>
      <c r="T432" t="s">
        <v>13610</v>
      </c>
      <c r="U432" t="s">
        <v>13610</v>
      </c>
      <c r="V432" t="s">
        <v>13610</v>
      </c>
      <c r="W432" t="s">
        <v>14033</v>
      </c>
      <c r="X432">
        <v>8</v>
      </c>
      <c r="Y432" t="s">
        <v>20757</v>
      </c>
      <c r="Z432" t="s">
        <v>27287</v>
      </c>
      <c r="AA432">
        <v>0.28512893156230062</v>
      </c>
      <c r="AB432" t="str">
        <f>HYPERLINK("Melting_Curves/meltCurve_E7ETU9_PLOD2.pdf", "Melting_Curves/meltCurve_E7ETU9_PLOD2.pdf")</f>
        <v>Melting_Curves/meltCurve_E7ETU9_PLOD2.pdf</v>
      </c>
    </row>
    <row r="433" spans="1:28" x14ac:dyDescent="0.25">
      <c r="A433" t="s">
        <v>437</v>
      </c>
      <c r="B433">
        <v>0.995954080203443</v>
      </c>
      <c r="C433">
        <v>0.91809559586873601</v>
      </c>
      <c r="D433">
        <v>1.2316311976861301</v>
      </c>
      <c r="E433">
        <v>0.90081918304014197</v>
      </c>
      <c r="F433">
        <v>0.38245818952457</v>
      </c>
      <c r="G433">
        <v>0.100189405391996</v>
      </c>
      <c r="H433">
        <v>5.70400582357425E-2</v>
      </c>
      <c r="I433">
        <v>4.55787020651491E-2</v>
      </c>
      <c r="J433">
        <v>4.9884736885758098E-2</v>
      </c>
      <c r="K433">
        <v>4.5532513171688403E-2</v>
      </c>
      <c r="L433">
        <v>2476.4936015948902</v>
      </c>
      <c r="M433">
        <v>47.349764906640097</v>
      </c>
      <c r="N433">
        <v>52.4317242799059</v>
      </c>
      <c r="O433">
        <v>52.209094080207002</v>
      </c>
      <c r="P433">
        <v>-0.21421103894756299</v>
      </c>
      <c r="Q433">
        <v>5.5222133391932299E-2</v>
      </c>
      <c r="R433">
        <v>0.97041867527081804</v>
      </c>
      <c r="S433" t="s">
        <v>7239</v>
      </c>
      <c r="T433" t="s">
        <v>13610</v>
      </c>
      <c r="U433" t="s">
        <v>13610</v>
      </c>
      <c r="V433" t="s">
        <v>13610</v>
      </c>
      <c r="W433" t="s">
        <v>14034</v>
      </c>
      <c r="X433">
        <v>27</v>
      </c>
      <c r="Y433" t="s">
        <v>20758</v>
      </c>
      <c r="Z433" t="s">
        <v>27288</v>
      </c>
      <c r="AA433">
        <v>0.44507983217272851</v>
      </c>
      <c r="AB433" t="str">
        <f>HYPERLINK("Melting_Curves/meltCurve_E7ETZ4_BZW2.pdf", "Melting_Curves/meltCurve_E7ETZ4_BZW2.pdf")</f>
        <v>Melting_Curves/meltCurve_E7ETZ4_BZW2.pdf</v>
      </c>
    </row>
    <row r="434" spans="1:28" x14ac:dyDescent="0.25">
      <c r="A434" t="s">
        <v>438</v>
      </c>
      <c r="B434">
        <v>0.995954080203443</v>
      </c>
      <c r="C434">
        <v>0.77887073047956601</v>
      </c>
      <c r="D434">
        <v>0.76551811071045694</v>
      </c>
      <c r="E434">
        <v>0.67826140745851604</v>
      </c>
      <c r="F434">
        <v>0.60119012426046303</v>
      </c>
      <c r="G434">
        <v>0.46572059021210499</v>
      </c>
      <c r="H434">
        <v>0.42352961502677999</v>
      </c>
      <c r="I434">
        <v>0.482894306749442</v>
      </c>
      <c r="J434">
        <v>0.51473636507569898</v>
      </c>
      <c r="K434">
        <v>0.54415426468246997</v>
      </c>
      <c r="L434">
        <v>559.317353008758</v>
      </c>
      <c r="M434">
        <v>12.024769676164</v>
      </c>
      <c r="N434">
        <v>61.450344295617903</v>
      </c>
      <c r="O434">
        <v>45.283380615238102</v>
      </c>
      <c r="P434">
        <v>-3.4986643638533502E-2</v>
      </c>
      <c r="Q434">
        <v>0.47310934297071799</v>
      </c>
      <c r="R434">
        <v>0.90399198867244701</v>
      </c>
      <c r="S434" t="s">
        <v>7240</v>
      </c>
      <c r="T434" t="s">
        <v>13610</v>
      </c>
      <c r="U434" t="s">
        <v>13610</v>
      </c>
      <c r="V434" t="s">
        <v>13610</v>
      </c>
      <c r="W434" t="s">
        <v>14035</v>
      </c>
      <c r="X434">
        <v>8</v>
      </c>
      <c r="Y434" t="s">
        <v>20759</v>
      </c>
      <c r="Z434" t="s">
        <v>27289</v>
      </c>
      <c r="AA434">
        <v>0.61039324292737518</v>
      </c>
      <c r="AB434" t="str">
        <f>HYPERLINK("Melting_Curves/meltCurve_E7EU24_CBFA2T3.pdf", "Melting_Curves/meltCurve_E7EU24_CBFA2T3.pdf")</f>
        <v>Melting_Curves/meltCurve_E7EU24_CBFA2T3.pdf</v>
      </c>
    </row>
    <row r="435" spans="1:28" x14ac:dyDescent="0.25">
      <c r="A435" t="s">
        <v>439</v>
      </c>
      <c r="B435">
        <v>0.995954080203443</v>
      </c>
      <c r="C435">
        <v>0.77232865592493904</v>
      </c>
      <c r="D435">
        <v>0.61215918349448295</v>
      </c>
      <c r="E435">
        <v>0.59511747345591104</v>
      </c>
      <c r="F435">
        <v>0.368916114862606</v>
      </c>
      <c r="G435">
        <v>0.13845970935162899</v>
      </c>
      <c r="H435">
        <v>7.8786840666228597E-2</v>
      </c>
      <c r="I435">
        <v>7.2304444704029802E-2</v>
      </c>
      <c r="J435">
        <v>8.0264061959422997E-2</v>
      </c>
      <c r="K435">
        <v>6.7055672544828193E-2</v>
      </c>
      <c r="L435">
        <v>515.31842745414497</v>
      </c>
      <c r="M435">
        <v>10.3923443168768</v>
      </c>
      <c r="N435">
        <v>49.586352523577098</v>
      </c>
      <c r="O435">
        <v>47.855704626473504</v>
      </c>
      <c r="P435">
        <v>-5.4312785786149197E-2</v>
      </c>
      <c r="Q435">
        <v>0</v>
      </c>
      <c r="R435">
        <v>0.96460293350664095</v>
      </c>
      <c r="S435" t="s">
        <v>7241</v>
      </c>
      <c r="T435" t="s">
        <v>13610</v>
      </c>
      <c r="U435" t="s">
        <v>13610</v>
      </c>
      <c r="V435" t="s">
        <v>13610</v>
      </c>
      <c r="W435" t="s">
        <v>14036</v>
      </c>
      <c r="X435">
        <v>17</v>
      </c>
      <c r="Y435" t="s">
        <v>20760</v>
      </c>
      <c r="Z435" t="s">
        <v>27290</v>
      </c>
      <c r="AA435">
        <v>0.3637676788211639</v>
      </c>
      <c r="AB435" t="str">
        <f>HYPERLINK("Melting_Curves/meltCurve_E7EU96_CSNK2A1.pdf", "Melting_Curves/meltCurve_E7EU96_CSNK2A1.pdf")</f>
        <v>Melting_Curves/meltCurve_E7EU96_CSNK2A1.pdf</v>
      </c>
    </row>
    <row r="436" spans="1:28" x14ac:dyDescent="0.25">
      <c r="A436" t="s">
        <v>440</v>
      </c>
      <c r="B436">
        <v>0.995954080203443</v>
      </c>
      <c r="C436">
        <v>0.70774384830752102</v>
      </c>
      <c r="D436">
        <v>0.446944050878188</v>
      </c>
      <c r="E436">
        <v>0.37484541824869799</v>
      </c>
      <c r="F436">
        <v>0.229815400178843</v>
      </c>
      <c r="G436">
        <v>0.14799408835334499</v>
      </c>
      <c r="H436">
        <v>0.106438861741882</v>
      </c>
      <c r="I436">
        <v>8.5188748654080507E-2</v>
      </c>
      <c r="J436">
        <v>9.8716908216522001E-2</v>
      </c>
      <c r="K436">
        <v>9.7812920024186498E-2</v>
      </c>
      <c r="L436">
        <v>641.42175741705898</v>
      </c>
      <c r="M436">
        <v>14.040861307257201</v>
      </c>
      <c r="N436">
        <v>46.361551960205396</v>
      </c>
      <c r="O436">
        <v>44.785802313261001</v>
      </c>
      <c r="P436">
        <v>-7.1102562653743206E-2</v>
      </c>
      <c r="Q436">
        <v>9.2942065530757997E-2</v>
      </c>
      <c r="R436">
        <v>0.97133612448629703</v>
      </c>
      <c r="S436" t="s">
        <v>7242</v>
      </c>
      <c r="T436" t="s">
        <v>13610</v>
      </c>
      <c r="U436" t="s">
        <v>13610</v>
      </c>
      <c r="V436" t="s">
        <v>13610</v>
      </c>
      <c r="W436" t="s">
        <v>14037</v>
      </c>
      <c r="X436">
        <v>9</v>
      </c>
      <c r="Y436" t="s">
        <v>20761</v>
      </c>
      <c r="Z436" t="s">
        <v>27291</v>
      </c>
      <c r="AA436">
        <v>0.29598735176949781</v>
      </c>
      <c r="AB436" t="str">
        <f>HYPERLINK("Melting_Curves/meltCurve_E7EUH9_NCAPG2.pdf", "Melting_Curves/meltCurve_E7EUH9_NCAPG2.pdf")</f>
        <v>Melting_Curves/meltCurve_E7EUH9_NCAPG2.pdf</v>
      </c>
    </row>
    <row r="437" spans="1:28" x14ac:dyDescent="0.25">
      <c r="A437" t="s">
        <v>441</v>
      </c>
      <c r="B437">
        <v>0.995954080203443</v>
      </c>
      <c r="C437">
        <v>0.87672871924148899</v>
      </c>
      <c r="D437">
        <v>0.92698859182287896</v>
      </c>
      <c r="E437">
        <v>0.63265131004651298</v>
      </c>
      <c r="F437">
        <v>0.62345401405367895</v>
      </c>
      <c r="G437">
        <v>0.402820309809785</v>
      </c>
      <c r="H437">
        <v>0.34188635109667298</v>
      </c>
      <c r="I437">
        <v>0.36575436901347502</v>
      </c>
      <c r="J437">
        <v>0.51163893358485202</v>
      </c>
      <c r="K437">
        <v>0.46955133913095798</v>
      </c>
      <c r="L437">
        <v>900.29188289756803</v>
      </c>
      <c r="M437">
        <v>18.224113695207599</v>
      </c>
      <c r="N437">
        <v>54.605797916006097</v>
      </c>
      <c r="O437">
        <v>48.817834812387503</v>
      </c>
      <c r="P437">
        <v>-5.4881152888614899E-2</v>
      </c>
      <c r="Q437">
        <v>0.411976310463324</v>
      </c>
      <c r="R437">
        <v>0.91590806615337295</v>
      </c>
      <c r="S437" t="s">
        <v>7243</v>
      </c>
      <c r="T437" t="s">
        <v>13610</v>
      </c>
      <c r="U437" t="s">
        <v>13610</v>
      </c>
      <c r="V437" t="s">
        <v>13610</v>
      </c>
      <c r="W437" t="s">
        <v>14038</v>
      </c>
      <c r="X437">
        <v>23</v>
      </c>
      <c r="Y437" t="s">
        <v>20762</v>
      </c>
      <c r="Z437" t="s">
        <v>27292</v>
      </c>
      <c r="AA437">
        <v>0.60611826988742368</v>
      </c>
      <c r="AB437" t="str">
        <f>HYPERLINK("Melting_Curves/meltCurve_E7EUI8_G6PD.pdf", "Melting_Curves/meltCurve_E7EUI8_G6PD.pdf")</f>
        <v>Melting_Curves/meltCurve_E7EUI8_G6PD.pdf</v>
      </c>
    </row>
    <row r="438" spans="1:28" x14ac:dyDescent="0.25">
      <c r="A438" t="s">
        <v>442</v>
      </c>
      <c r="B438">
        <v>0.995954080203443</v>
      </c>
      <c r="C438">
        <v>0.97564735794530799</v>
      </c>
      <c r="D438">
        <v>0.76869222079219601</v>
      </c>
      <c r="E438">
        <v>0.31128952026702</v>
      </c>
      <c r="F438">
        <v>0.144235663882334</v>
      </c>
      <c r="G438">
        <v>8.5472075881727894E-2</v>
      </c>
      <c r="H438">
        <v>6.2149369961205903E-2</v>
      </c>
      <c r="I438">
        <v>5.8997448180338599E-2</v>
      </c>
      <c r="J438">
        <v>7.6172941104090897E-2</v>
      </c>
      <c r="K438">
        <v>5.7431404906512697E-2</v>
      </c>
      <c r="L438">
        <v>1246.53973782816</v>
      </c>
      <c r="M438">
        <v>25.954366968334199</v>
      </c>
      <c r="N438">
        <v>48.284529076113202</v>
      </c>
      <c r="O438">
        <v>47.7457405112971</v>
      </c>
      <c r="P438">
        <v>-0.12715198424400501</v>
      </c>
      <c r="Q438">
        <v>6.4374155143958597E-2</v>
      </c>
      <c r="R438">
        <v>0.99958407827742202</v>
      </c>
      <c r="S438" t="s">
        <v>7244</v>
      </c>
      <c r="T438" t="s">
        <v>13610</v>
      </c>
      <c r="U438" t="s">
        <v>13610</v>
      </c>
      <c r="V438" t="s">
        <v>13610</v>
      </c>
      <c r="W438" t="s">
        <v>14039</v>
      </c>
      <c r="X438">
        <v>19</v>
      </c>
      <c r="Y438" t="s">
        <v>20763</v>
      </c>
      <c r="Z438" t="s">
        <v>27293</v>
      </c>
      <c r="AA438">
        <v>0.32238976140889719</v>
      </c>
      <c r="AB438" t="str">
        <f>HYPERLINK("Melting_Curves/meltCurve_E7EUM5_NUP54.pdf", "Melting_Curves/meltCurve_E7EUM5_NUP54.pdf")</f>
        <v>Melting_Curves/meltCurve_E7EUM5_NUP54.pdf</v>
      </c>
    </row>
    <row r="439" spans="1:28" x14ac:dyDescent="0.25">
      <c r="A439" t="s">
        <v>443</v>
      </c>
      <c r="B439">
        <v>0.995954080203443</v>
      </c>
      <c r="C439">
        <v>0.82091485257570596</v>
      </c>
      <c r="D439">
        <v>0.65441426899192801</v>
      </c>
      <c r="E439">
        <v>0.62179154186262497</v>
      </c>
      <c r="F439">
        <v>0.27221790328766998</v>
      </c>
      <c r="G439">
        <v>0.128596619975135</v>
      </c>
      <c r="H439">
        <v>7.7559383248791802E-2</v>
      </c>
      <c r="I439">
        <v>7.7830353857762505E-2</v>
      </c>
      <c r="J439">
        <v>8.4837252190041304E-2</v>
      </c>
      <c r="K439">
        <v>8.0905818386442202E-2</v>
      </c>
      <c r="L439">
        <v>604.78190101680605</v>
      </c>
      <c r="M439">
        <v>12.227943801613501</v>
      </c>
      <c r="N439">
        <v>49.637209934328297</v>
      </c>
      <c r="O439">
        <v>48.191988177786001</v>
      </c>
      <c r="P439">
        <v>-6.20851092895486E-2</v>
      </c>
      <c r="Q439">
        <v>2.14755474435494E-2</v>
      </c>
      <c r="R439">
        <v>0.96693685632750503</v>
      </c>
      <c r="S439" t="s">
        <v>7245</v>
      </c>
      <c r="T439" t="s">
        <v>13610</v>
      </c>
      <c r="U439" t="s">
        <v>13610</v>
      </c>
      <c r="V439" t="s">
        <v>13610</v>
      </c>
      <c r="W439" t="s">
        <v>14040</v>
      </c>
      <c r="X439">
        <v>20</v>
      </c>
      <c r="Y439" t="s">
        <v>20764</v>
      </c>
      <c r="Z439" t="s">
        <v>27294</v>
      </c>
      <c r="AA439">
        <v>0.36391779211907299</v>
      </c>
      <c r="AB439" t="str">
        <f>HYPERLINK("Melting_Curves/meltCurve_E7EV10_MTA3.pdf", "Melting_Curves/meltCurve_E7EV10_MTA3.pdf")</f>
        <v>Melting_Curves/meltCurve_E7EV10_MTA3.pdf</v>
      </c>
    </row>
    <row r="440" spans="1:28" x14ac:dyDescent="0.25">
      <c r="A440" t="s">
        <v>444</v>
      </c>
      <c r="B440">
        <v>0.995954080203443</v>
      </c>
      <c r="C440">
        <v>1.0316022302049299</v>
      </c>
      <c r="D440">
        <v>1.1658810833864801</v>
      </c>
      <c r="E440">
        <v>0.87677205518878598</v>
      </c>
      <c r="F440">
        <v>0.59002644890378297</v>
      </c>
      <c r="G440">
        <v>0.33288647544914801</v>
      </c>
      <c r="H440">
        <v>0.26427673301718202</v>
      </c>
      <c r="I440">
        <v>0.28277652959863298</v>
      </c>
      <c r="J440">
        <v>0.30636520761269898</v>
      </c>
      <c r="K440">
        <v>0.31026268601158102</v>
      </c>
      <c r="L440">
        <v>1906.9201022739701</v>
      </c>
      <c r="M440">
        <v>36.336978751510301</v>
      </c>
      <c r="N440">
        <v>53.769780126535501</v>
      </c>
      <c r="O440">
        <v>52.320591903370499</v>
      </c>
      <c r="P440">
        <v>-0.123095087094254</v>
      </c>
      <c r="Q440">
        <v>0.29103757541127301</v>
      </c>
      <c r="R440">
        <v>0.97299340082235497</v>
      </c>
      <c r="S440" t="s">
        <v>7246</v>
      </c>
      <c r="T440" t="s">
        <v>13610</v>
      </c>
      <c r="U440" t="s">
        <v>13610</v>
      </c>
      <c r="V440" t="s">
        <v>13610</v>
      </c>
      <c r="W440" t="s">
        <v>14041</v>
      </c>
      <c r="X440">
        <v>7</v>
      </c>
      <c r="Y440" t="s">
        <v>20765</v>
      </c>
      <c r="Z440" t="s">
        <v>27295</v>
      </c>
      <c r="AA440">
        <v>0.58905301844899605</v>
      </c>
      <c r="AB440" t="str">
        <f>HYPERLINK("Melting_Curves/meltCurve_E7EV62_ARFGAP1.pdf", "Melting_Curves/meltCurve_E7EV62_ARFGAP1.pdf")</f>
        <v>Melting_Curves/meltCurve_E7EV62_ARFGAP1.pdf</v>
      </c>
    </row>
    <row r="441" spans="1:28" x14ac:dyDescent="0.25">
      <c r="A441" t="s">
        <v>445</v>
      </c>
      <c r="B441">
        <v>0.995954080203443</v>
      </c>
      <c r="C441">
        <v>1.2462484301139001</v>
      </c>
      <c r="D441">
        <v>1.2919389222520701</v>
      </c>
      <c r="E441">
        <v>1.15298216449639</v>
      </c>
      <c r="F441">
        <v>0.73079429327977197</v>
      </c>
      <c r="G441">
        <v>0.40066814361119801</v>
      </c>
      <c r="H441">
        <v>0.23029102873905399</v>
      </c>
      <c r="I441">
        <v>0.17190370587763401</v>
      </c>
      <c r="J441">
        <v>0.174005987781302</v>
      </c>
      <c r="K441">
        <v>0.117822332343756</v>
      </c>
      <c r="L441">
        <v>1747.1231605881801</v>
      </c>
      <c r="M441">
        <v>31.7411455516581</v>
      </c>
      <c r="N441">
        <v>55.737032273310298</v>
      </c>
      <c r="O441">
        <v>54.825754388702201</v>
      </c>
      <c r="P441">
        <v>-0.121106125891143</v>
      </c>
      <c r="Q441">
        <v>0.16326899696738101</v>
      </c>
      <c r="R441">
        <v>0.90981262312418798</v>
      </c>
      <c r="S441" t="s">
        <v>7247</v>
      </c>
      <c r="T441" t="s">
        <v>13610</v>
      </c>
      <c r="U441" t="s">
        <v>13610</v>
      </c>
      <c r="V441" t="s">
        <v>13610</v>
      </c>
      <c r="W441" t="s">
        <v>14042</v>
      </c>
      <c r="X441">
        <v>1</v>
      </c>
      <c r="Y441" t="s">
        <v>20766</v>
      </c>
      <c r="Z441" t="s">
        <v>27296</v>
      </c>
      <c r="AA441">
        <v>0.58781709149920824</v>
      </c>
      <c r="AB441" t="str">
        <f>HYPERLINK("Melting_Curves/meltCurve_E7EV87_DEPTOR.pdf", "Melting_Curves/meltCurve_E7EV87_DEPTOR.pdf")</f>
        <v>Melting_Curves/meltCurve_E7EV87_DEPTOR.pdf</v>
      </c>
    </row>
    <row r="442" spans="1:28" x14ac:dyDescent="0.25">
      <c r="A442" t="s">
        <v>446</v>
      </c>
      <c r="B442">
        <v>0.995954080203443</v>
      </c>
      <c r="C442">
        <v>0.74088329620328097</v>
      </c>
      <c r="D442">
        <v>1.41258723591089</v>
      </c>
      <c r="E442">
        <v>0.98196556511175204</v>
      </c>
      <c r="F442">
        <v>1.3218989081300501</v>
      </c>
      <c r="G442">
        <v>0.65925795393894204</v>
      </c>
      <c r="H442">
        <v>0.90599893209750104</v>
      </c>
      <c r="I442">
        <v>1.32155152348886</v>
      </c>
      <c r="J442">
        <v>1.31537664207546</v>
      </c>
      <c r="K442">
        <v>1.4765888866608201</v>
      </c>
      <c r="L442">
        <v>15000</v>
      </c>
      <c r="M442">
        <v>235.837637289572</v>
      </c>
      <c r="O442">
        <v>63.598505479739003</v>
      </c>
      <c r="P442">
        <v>0.367109104935189</v>
      </c>
      <c r="Q442">
        <v>1.3959943087578599</v>
      </c>
      <c r="R442">
        <v>0.376040903350295</v>
      </c>
      <c r="S442" t="s">
        <v>7248</v>
      </c>
      <c r="T442" t="s">
        <v>13610</v>
      </c>
      <c r="U442" t="s">
        <v>13610</v>
      </c>
      <c r="V442" t="s">
        <v>13610</v>
      </c>
      <c r="W442" t="s">
        <v>14043</v>
      </c>
      <c r="X442">
        <v>19</v>
      </c>
      <c r="Y442" t="s">
        <v>20755</v>
      </c>
      <c r="Z442" t="s">
        <v>27297</v>
      </c>
      <c r="AA442">
        <v>1.084388465339615</v>
      </c>
      <c r="AB442" t="str">
        <f>HYPERLINK("Melting_Curves/meltCurve_E7EV93_PCM1.pdf", "Melting_Curves/meltCurve_E7EV93_PCM1.pdf")</f>
        <v>Melting_Curves/meltCurve_E7EV93_PCM1.pdf</v>
      </c>
    </row>
    <row r="443" spans="1:28" x14ac:dyDescent="0.25">
      <c r="A443" t="s">
        <v>447</v>
      </c>
      <c r="B443">
        <v>0.995954080203443</v>
      </c>
      <c r="C443">
        <v>1.0333693221368301</v>
      </c>
      <c r="D443">
        <v>1.0597461068764999</v>
      </c>
      <c r="E443">
        <v>0.98083646150495896</v>
      </c>
      <c r="F443">
        <v>0.98855463753004902</v>
      </c>
      <c r="G443">
        <v>0.79742834364080495</v>
      </c>
      <c r="H443">
        <v>0.79971216678049095</v>
      </c>
      <c r="I443">
        <v>0.96562483349858097</v>
      </c>
      <c r="J443">
        <v>1.2918823526741701</v>
      </c>
      <c r="K443">
        <v>1.1676718605785299</v>
      </c>
      <c r="L443">
        <v>15000</v>
      </c>
      <c r="M443">
        <v>229.40935306724401</v>
      </c>
      <c r="O443">
        <v>65.380338710606793</v>
      </c>
      <c r="P443">
        <v>0.201743761830668</v>
      </c>
      <c r="Q443">
        <v>1.2299832032184399</v>
      </c>
      <c r="R443">
        <v>0.52309696575924902</v>
      </c>
      <c r="S443" t="s">
        <v>7249</v>
      </c>
      <c r="T443" t="s">
        <v>13610</v>
      </c>
      <c r="U443" t="s">
        <v>13610</v>
      </c>
      <c r="V443" t="s">
        <v>13610</v>
      </c>
      <c r="W443" t="s">
        <v>14044</v>
      </c>
      <c r="X443">
        <v>85</v>
      </c>
      <c r="Y443" t="s">
        <v>20767</v>
      </c>
      <c r="Z443" t="s">
        <v>27298</v>
      </c>
      <c r="AA443">
        <v>1.035345420763897</v>
      </c>
      <c r="AB443" t="str">
        <f>HYPERLINK("Melting_Curves/meltCurve_E7EVA0_MAP4.pdf", "Melting_Curves/meltCurve_E7EVA0_MAP4.pdf")</f>
        <v>Melting_Curves/meltCurve_E7EVA0_MAP4.pdf</v>
      </c>
    </row>
    <row r="444" spans="1:28" x14ac:dyDescent="0.25">
      <c r="A444" t="s">
        <v>448</v>
      </c>
      <c r="B444">
        <v>0.995954080203443</v>
      </c>
      <c r="C444">
        <v>0.883074234739745</v>
      </c>
      <c r="D444">
        <v>0.71803566322734902</v>
      </c>
      <c r="E444">
        <v>0.82737979045620202</v>
      </c>
      <c r="F444">
        <v>0.38008489693428299</v>
      </c>
      <c r="G444">
        <v>0.168105263547076</v>
      </c>
      <c r="H444">
        <v>0.15344700696635299</v>
      </c>
      <c r="I444">
        <v>0.14880401928636799</v>
      </c>
      <c r="J444">
        <v>0.179475871636257</v>
      </c>
      <c r="K444">
        <v>0.132071472461609</v>
      </c>
      <c r="L444">
        <v>769.40543883843202</v>
      </c>
      <c r="M444">
        <v>15.034984673814501</v>
      </c>
      <c r="N444">
        <v>51.951469078732103</v>
      </c>
      <c r="O444">
        <v>50.2946347182857</v>
      </c>
      <c r="P444">
        <v>-6.7215284604312003E-2</v>
      </c>
      <c r="Q444">
        <v>0.100702831033294</v>
      </c>
      <c r="R444">
        <v>0.92983328360141204</v>
      </c>
      <c r="S444" t="s">
        <v>7250</v>
      </c>
      <c r="T444" t="s">
        <v>13610</v>
      </c>
      <c r="U444" t="s">
        <v>13610</v>
      </c>
      <c r="V444" t="s">
        <v>13610</v>
      </c>
      <c r="W444" t="s">
        <v>14045</v>
      </c>
      <c r="X444">
        <v>19</v>
      </c>
      <c r="Y444" t="s">
        <v>20768</v>
      </c>
      <c r="Z444" t="s">
        <v>27299</v>
      </c>
      <c r="AA444">
        <v>0.45625628443324329</v>
      </c>
      <c r="AB444" t="str">
        <f>HYPERLINK("Melting_Curves/meltCurve_E7EVJ5_CYFIP2.pdf", "Melting_Curves/meltCurve_E7EVJ5_CYFIP2.pdf")</f>
        <v>Melting_Curves/meltCurve_E7EVJ5_CYFIP2.pdf</v>
      </c>
    </row>
    <row r="445" spans="1:28" x14ac:dyDescent="0.25">
      <c r="A445" t="s">
        <v>449</v>
      </c>
      <c r="B445">
        <v>0.995954080203443</v>
      </c>
      <c r="C445">
        <v>0.97659590808829699</v>
      </c>
      <c r="D445">
        <v>0.89318082125493403</v>
      </c>
      <c r="E445">
        <v>0.73549471259080701</v>
      </c>
      <c r="F445">
        <v>0.39701726058544401</v>
      </c>
      <c r="G445">
        <v>0.13176452898253499</v>
      </c>
      <c r="H445">
        <v>8.3694499268938904E-2</v>
      </c>
      <c r="I445">
        <v>7.7145019249808905E-2</v>
      </c>
      <c r="J445">
        <v>9.8609423167909993E-2</v>
      </c>
      <c r="K445">
        <v>7.9563022308039702E-2</v>
      </c>
      <c r="L445">
        <v>1255.38261068611</v>
      </c>
      <c r="M445">
        <v>24.307663405910699</v>
      </c>
      <c r="N445">
        <v>51.974901941928898</v>
      </c>
      <c r="O445">
        <v>51.299815042514602</v>
      </c>
      <c r="P445">
        <v>-0.110005493412783</v>
      </c>
      <c r="Q445">
        <v>7.1374900089145502E-2</v>
      </c>
      <c r="R445">
        <v>0.99594160920988295</v>
      </c>
      <c r="S445" t="s">
        <v>7251</v>
      </c>
      <c r="T445" t="s">
        <v>13610</v>
      </c>
      <c r="U445" t="s">
        <v>13610</v>
      </c>
      <c r="V445" t="s">
        <v>13610</v>
      </c>
      <c r="W445" t="s">
        <v>14046</v>
      </c>
      <c r="X445">
        <v>16</v>
      </c>
      <c r="Y445" t="s">
        <v>20769</v>
      </c>
      <c r="Z445" t="s">
        <v>27300</v>
      </c>
      <c r="AA445">
        <v>0.4407720797878561</v>
      </c>
      <c r="AB445" t="str">
        <f>HYPERLINK("Melting_Curves/meltCurve_E7EVY7_POR.pdf", "Melting_Curves/meltCurve_E7EVY7_POR.pdf")</f>
        <v>Melting_Curves/meltCurve_E7EVY7_POR.pdf</v>
      </c>
    </row>
    <row r="446" spans="1:28" x14ac:dyDescent="0.25">
      <c r="A446" t="s">
        <v>450</v>
      </c>
      <c r="B446">
        <v>0.995954080203443</v>
      </c>
      <c r="C446">
        <v>0.95092219580210202</v>
      </c>
      <c r="D446">
        <v>0.72277132258375798</v>
      </c>
      <c r="E446">
        <v>0.79530824501214303</v>
      </c>
      <c r="F446">
        <v>0.35594837982681898</v>
      </c>
      <c r="G446">
        <v>0.158267227289868</v>
      </c>
      <c r="H446">
        <v>0.10412478630125301</v>
      </c>
      <c r="I446">
        <v>3.7414288481566103E-2</v>
      </c>
      <c r="J446">
        <v>3.3340288552451497E-2</v>
      </c>
      <c r="K446">
        <v>2.7528701177157899E-2</v>
      </c>
      <c r="L446">
        <v>792.96715488487905</v>
      </c>
      <c r="M446">
        <v>15.304631641694</v>
      </c>
      <c r="N446">
        <v>51.812222600838098</v>
      </c>
      <c r="O446">
        <v>50.951817660306098</v>
      </c>
      <c r="P446">
        <v>-7.5100662642161906E-2</v>
      </c>
      <c r="Q446">
        <v>0</v>
      </c>
      <c r="R446">
        <v>0.96312582309706896</v>
      </c>
      <c r="S446" t="s">
        <v>7252</v>
      </c>
      <c r="T446" t="s">
        <v>13610</v>
      </c>
      <c r="U446" t="s">
        <v>13610</v>
      </c>
      <c r="V446" t="s">
        <v>13610</v>
      </c>
      <c r="W446" t="s">
        <v>14047</v>
      </c>
      <c r="X446">
        <v>1</v>
      </c>
      <c r="Y446" t="s">
        <v>20770</v>
      </c>
      <c r="Z446" t="s">
        <v>27301</v>
      </c>
      <c r="AA446">
        <v>0.41554677135909712</v>
      </c>
      <c r="AB446" t="str">
        <f>HYPERLINK("Melting_Curves/meltCurve_E7EVZ5_PCYOX1L.pdf", "Melting_Curves/meltCurve_E7EVZ5_PCYOX1L.pdf")</f>
        <v>Melting_Curves/meltCurve_E7EVZ5_PCYOX1L.pdf</v>
      </c>
    </row>
    <row r="447" spans="1:28" x14ac:dyDescent="0.25">
      <c r="A447" t="s">
        <v>451</v>
      </c>
      <c r="B447">
        <v>0.995954080203443</v>
      </c>
      <c r="C447">
        <v>0.97987205175764602</v>
      </c>
      <c r="D447">
        <v>0.90149450667882203</v>
      </c>
      <c r="E447">
        <v>0.83647919436267004</v>
      </c>
      <c r="F447">
        <v>0.80599873852927395</v>
      </c>
      <c r="G447">
        <v>0.577864911879581</v>
      </c>
      <c r="H447">
        <v>0.55084213723513697</v>
      </c>
      <c r="I447">
        <v>0.61273327060492899</v>
      </c>
      <c r="J447">
        <v>0.84467060917993597</v>
      </c>
      <c r="K447">
        <v>0.79441419685682801</v>
      </c>
      <c r="L447">
        <v>1028.6521020209</v>
      </c>
      <c r="M447">
        <v>20.9055152591649</v>
      </c>
      <c r="O447">
        <v>48.761223476969903</v>
      </c>
      <c r="P447">
        <v>-3.3885249692709098E-2</v>
      </c>
      <c r="Q447">
        <v>0.68386502416202799</v>
      </c>
      <c r="R447">
        <v>0.63725295200186804</v>
      </c>
      <c r="S447" t="s">
        <v>7253</v>
      </c>
      <c r="T447" t="s">
        <v>13610</v>
      </c>
      <c r="U447" t="s">
        <v>13610</v>
      </c>
      <c r="V447" t="s">
        <v>13610</v>
      </c>
      <c r="W447" t="s">
        <v>14048</v>
      </c>
      <c r="X447">
        <v>4</v>
      </c>
      <c r="Y447" t="s">
        <v>20771</v>
      </c>
      <c r="Z447" t="s">
        <v>27302</v>
      </c>
      <c r="AA447">
        <v>0.78490587164182746</v>
      </c>
      <c r="AB447" t="str">
        <f>HYPERLINK("Melting_Curves/meltCurve_E7EW59_SALL2.pdf", "Melting_Curves/meltCurve_E7EW59_SALL2.pdf")</f>
        <v>Melting_Curves/meltCurve_E7EW59_SALL2.pdf</v>
      </c>
    </row>
    <row r="448" spans="1:28" x14ac:dyDescent="0.25">
      <c r="A448" t="s">
        <v>452</v>
      </c>
      <c r="B448">
        <v>0.995954080203443</v>
      </c>
      <c r="C448">
        <v>0.90346422068483401</v>
      </c>
      <c r="D448">
        <v>0.73475096328380696</v>
      </c>
      <c r="E448">
        <v>0.88323412139032997</v>
      </c>
      <c r="F448">
        <v>0.57210969892786601</v>
      </c>
      <c r="G448">
        <v>0.25092970697825101</v>
      </c>
      <c r="H448">
        <v>9.4166781070482694E-2</v>
      </c>
      <c r="I448">
        <v>7.1909483928087506E-2</v>
      </c>
      <c r="J448">
        <v>0.15177802864590501</v>
      </c>
      <c r="K448">
        <v>8.1654760265370593E-2</v>
      </c>
      <c r="L448">
        <v>959.44445976858105</v>
      </c>
      <c r="M448">
        <v>17.982787445033701</v>
      </c>
      <c r="N448">
        <v>53.711683244044401</v>
      </c>
      <c r="O448">
        <v>52.706838210584699</v>
      </c>
      <c r="P448">
        <v>-8.0480815549793305E-2</v>
      </c>
      <c r="Q448">
        <v>5.6502485433402597E-2</v>
      </c>
      <c r="R448">
        <v>0.94400984329969295</v>
      </c>
      <c r="S448" t="s">
        <v>7254</v>
      </c>
      <c r="T448" t="s">
        <v>13610</v>
      </c>
      <c r="U448" t="s">
        <v>13610</v>
      </c>
      <c r="V448" t="s">
        <v>13610</v>
      </c>
      <c r="W448" t="s">
        <v>14049</v>
      </c>
      <c r="X448">
        <v>7</v>
      </c>
      <c r="Y448" t="s">
        <v>20772</v>
      </c>
      <c r="Z448" t="s">
        <v>27303</v>
      </c>
      <c r="AA448">
        <v>0.49182942306199517</v>
      </c>
      <c r="AB448" t="str">
        <f>HYPERLINK("Melting_Curves/meltCurve_E7EW69_SEPT10.pdf", "Melting_Curves/meltCurve_E7EW69_SEPT10.pdf")</f>
        <v>Melting_Curves/meltCurve_E7EW69_SEPT10.pdf</v>
      </c>
    </row>
    <row r="449" spans="1:28" x14ac:dyDescent="0.25">
      <c r="A449" t="s">
        <v>453</v>
      </c>
      <c r="B449">
        <v>0.995954080203443</v>
      </c>
      <c r="C449">
        <v>0.69760158402442896</v>
      </c>
      <c r="D449">
        <v>0.41740759001584099</v>
      </c>
      <c r="E449">
        <v>0.27019699952105403</v>
      </c>
      <c r="F449">
        <v>0.17580691429157999</v>
      </c>
      <c r="G449">
        <v>9.8948896919847498E-2</v>
      </c>
      <c r="H449">
        <v>7.7506020604192899E-2</v>
      </c>
      <c r="I449">
        <v>6.9290825803811795E-2</v>
      </c>
      <c r="J449">
        <v>7.9689284707201505E-2</v>
      </c>
      <c r="K449">
        <v>7.3133390981100499E-2</v>
      </c>
      <c r="L449">
        <v>789.59560617062402</v>
      </c>
      <c r="M449">
        <v>17.5353933727901</v>
      </c>
      <c r="N449">
        <v>45.491320099349402</v>
      </c>
      <c r="O449">
        <v>44.455312313616098</v>
      </c>
      <c r="P449">
        <v>-9.0563680830578502E-2</v>
      </c>
      <c r="Q449">
        <v>8.1670669637971594E-2</v>
      </c>
      <c r="R449">
        <v>0.98412596622732496</v>
      </c>
      <c r="S449" t="s">
        <v>7255</v>
      </c>
      <c r="T449" t="s">
        <v>13610</v>
      </c>
      <c r="U449" t="s">
        <v>13610</v>
      </c>
      <c r="V449" t="s">
        <v>13610</v>
      </c>
      <c r="W449" t="s">
        <v>14050</v>
      </c>
      <c r="X449">
        <v>12</v>
      </c>
      <c r="Y449" t="s">
        <v>20773</v>
      </c>
      <c r="Z449" t="s">
        <v>27304</v>
      </c>
      <c r="AA449">
        <v>0.25654334169915027</v>
      </c>
      <c r="AB449" t="str">
        <f>HYPERLINK("Melting_Curves/meltCurve_E7EW84_EXOC6.pdf", "Melting_Curves/meltCurve_E7EW84_EXOC6.pdf")</f>
        <v>Melting_Curves/meltCurve_E7EW84_EXOC6.pdf</v>
      </c>
    </row>
    <row r="450" spans="1:28" x14ac:dyDescent="0.25">
      <c r="A450" t="s">
        <v>454</v>
      </c>
      <c r="B450">
        <v>0.995954080203443</v>
      </c>
      <c r="C450">
        <v>0.94362546021128602</v>
      </c>
      <c r="D450">
        <v>0.98764981988484302</v>
      </c>
      <c r="E450">
        <v>0.86377510193260898</v>
      </c>
      <c r="F450">
        <v>0.82450307278049095</v>
      </c>
      <c r="G450">
        <v>0.61955721046569801</v>
      </c>
      <c r="H450">
        <v>0.58766431996204405</v>
      </c>
      <c r="I450">
        <v>0.68684197351067</v>
      </c>
      <c r="J450">
        <v>0.89806299457295102</v>
      </c>
      <c r="K450">
        <v>0.80730248939969196</v>
      </c>
      <c r="L450">
        <v>1570.2149291759899</v>
      </c>
      <c r="M450">
        <v>31.171927136652499</v>
      </c>
      <c r="O450">
        <v>50.1667899477061</v>
      </c>
      <c r="P450">
        <v>-4.2597026088598597E-2</v>
      </c>
      <c r="Q450">
        <v>0.72578615567473903</v>
      </c>
      <c r="R450">
        <v>0.60949815682624198</v>
      </c>
      <c r="S450" t="s">
        <v>7256</v>
      </c>
      <c r="T450" t="s">
        <v>13610</v>
      </c>
      <c r="U450" t="s">
        <v>13610</v>
      </c>
      <c r="V450" t="s">
        <v>13610</v>
      </c>
      <c r="W450" t="s">
        <v>14051</v>
      </c>
      <c r="X450">
        <v>16</v>
      </c>
      <c r="Y450" t="s">
        <v>20774</v>
      </c>
      <c r="Z450" t="s">
        <v>27305</v>
      </c>
      <c r="AA450">
        <v>0.8221771665753782</v>
      </c>
      <c r="AB450" t="str">
        <f>HYPERLINK("Melting_Curves/meltCurve_E7EWD6_ASXL2.pdf", "Melting_Curves/meltCurve_E7EWD6_ASXL2.pdf")</f>
        <v>Melting_Curves/meltCurve_E7EWD6_ASXL2.pdf</v>
      </c>
    </row>
    <row r="451" spans="1:28" x14ac:dyDescent="0.25">
      <c r="A451" t="s">
        <v>455</v>
      </c>
      <c r="B451">
        <v>0.995954080203443</v>
      </c>
      <c r="C451">
        <v>0.94651003754049201</v>
      </c>
      <c r="D451">
        <v>0.89151251039489299</v>
      </c>
      <c r="E451">
        <v>0.76256274773528698</v>
      </c>
      <c r="F451">
        <v>0.738319929784514</v>
      </c>
      <c r="G451">
        <v>0.56591283346862498</v>
      </c>
      <c r="H451">
        <v>0.49495457766908202</v>
      </c>
      <c r="I451">
        <v>0.61320803165103699</v>
      </c>
      <c r="J451">
        <v>0.78875233522161903</v>
      </c>
      <c r="K451">
        <v>0.70458622568005302</v>
      </c>
      <c r="L451">
        <v>957.77320901187602</v>
      </c>
      <c r="M451">
        <v>19.9200345638417</v>
      </c>
      <c r="O451">
        <v>47.604212488576103</v>
      </c>
      <c r="P451">
        <v>-3.7781501093737797E-2</v>
      </c>
      <c r="Q451">
        <v>0.63885622330268399</v>
      </c>
      <c r="R451">
        <v>0.74928910692453399</v>
      </c>
      <c r="S451" t="s">
        <v>7257</v>
      </c>
      <c r="T451" t="s">
        <v>13610</v>
      </c>
      <c r="U451" t="s">
        <v>13610</v>
      </c>
      <c r="V451" t="s">
        <v>13610</v>
      </c>
      <c r="W451" t="s">
        <v>14052</v>
      </c>
      <c r="X451">
        <v>1</v>
      </c>
      <c r="Y451" t="s">
        <v>20775</v>
      </c>
      <c r="Z451" t="s">
        <v>27306</v>
      </c>
      <c r="AA451">
        <v>0.74130269338595234</v>
      </c>
      <c r="AB451" t="str">
        <f>HYPERLINK("Melting_Curves/meltCurve_E7EX48_NEK4.pdf", "Melting_Curves/meltCurve_E7EX48_NEK4.pdf")</f>
        <v>Melting_Curves/meltCurve_E7EX48_NEK4.pdf</v>
      </c>
    </row>
    <row r="452" spans="1:28" x14ac:dyDescent="0.25">
      <c r="A452" t="s">
        <v>456</v>
      </c>
      <c r="B452">
        <v>0.995954080203443</v>
      </c>
      <c r="C452">
        <v>0.68274010063538604</v>
      </c>
      <c r="D452">
        <v>0.37051510434622897</v>
      </c>
      <c r="E452">
        <v>0.34329507668753401</v>
      </c>
      <c r="F452">
        <v>0.14590121307925299</v>
      </c>
      <c r="G452">
        <v>6.5295275280478696E-2</v>
      </c>
      <c r="H452">
        <v>1.8699595332584001E-2</v>
      </c>
      <c r="I452">
        <v>1.19704852956835E-2</v>
      </c>
      <c r="J452">
        <v>1.22003610852631E-2</v>
      </c>
      <c r="K452">
        <v>4.9451340262581696E-3</v>
      </c>
      <c r="L452">
        <v>634.37289748437195</v>
      </c>
      <c r="M452">
        <v>13.895474246656599</v>
      </c>
      <c r="N452">
        <v>45.6968193075325</v>
      </c>
      <c r="O452">
        <v>44.738843618464799</v>
      </c>
      <c r="P452">
        <v>-7.7146694385518702E-2</v>
      </c>
      <c r="Q452">
        <v>6.5877327308110998E-3</v>
      </c>
      <c r="R452">
        <v>0.96272062960732496</v>
      </c>
      <c r="S452" t="s">
        <v>7258</v>
      </c>
      <c r="T452" t="s">
        <v>13610</v>
      </c>
      <c r="U452" t="s">
        <v>13610</v>
      </c>
      <c r="V452" t="s">
        <v>13610</v>
      </c>
      <c r="W452" t="s">
        <v>14053</v>
      </c>
      <c r="X452">
        <v>2</v>
      </c>
      <c r="Y452" t="s">
        <v>20776</v>
      </c>
      <c r="Z452" t="s">
        <v>27307</v>
      </c>
      <c r="AA452">
        <v>0.2288191650495508</v>
      </c>
      <c r="AB452" t="str">
        <f>HYPERLINK("Melting_Curves/meltCurve_E7EX53_RPL15.pdf", "Melting_Curves/meltCurve_E7EX53_RPL15.pdf")</f>
        <v>Melting_Curves/meltCurve_E7EX53_RPL15.pdf</v>
      </c>
    </row>
    <row r="453" spans="1:28" x14ac:dyDescent="0.25">
      <c r="A453" t="s">
        <v>457</v>
      </c>
      <c r="B453">
        <v>0.995954080203443</v>
      </c>
      <c r="C453">
        <v>0.76076793232047601</v>
      </c>
      <c r="D453">
        <v>1.61260957723472</v>
      </c>
      <c r="E453">
        <v>0.75236735663870002</v>
      </c>
      <c r="F453">
        <v>1.7511298017258601</v>
      </c>
      <c r="G453">
        <v>1.87082856528537</v>
      </c>
      <c r="H453">
        <v>2.0147258309764</v>
      </c>
      <c r="I453">
        <v>3.0615090727466598</v>
      </c>
      <c r="J453">
        <v>3.2606026738340601</v>
      </c>
      <c r="K453">
        <v>3.6313599090668198</v>
      </c>
      <c r="L453">
        <v>1077.9122515905699</v>
      </c>
      <c r="M453">
        <v>23.133362835989399</v>
      </c>
      <c r="O453">
        <v>46.251592669096603</v>
      </c>
      <c r="P453">
        <v>6.25216242874755E-2</v>
      </c>
      <c r="Q453">
        <v>1.5</v>
      </c>
      <c r="R453">
        <v>-0.16125457050429001</v>
      </c>
      <c r="S453" t="s">
        <v>7259</v>
      </c>
      <c r="T453" t="s">
        <v>13610</v>
      </c>
      <c r="U453" t="s">
        <v>13610</v>
      </c>
      <c r="V453" t="s">
        <v>13610</v>
      </c>
      <c r="W453" t="s">
        <v>14054</v>
      </c>
      <c r="X453">
        <v>68</v>
      </c>
      <c r="Y453" t="s">
        <v>20777</v>
      </c>
      <c r="Z453" t="s">
        <v>27308</v>
      </c>
      <c r="AA453">
        <v>1.3847036722275281</v>
      </c>
      <c r="AB453" t="str">
        <f>HYPERLINK("Melting_Curves/meltCurve_E7EX73_EIF4G1.pdf", "Melting_Curves/meltCurve_E7EX73_EIF4G1.pdf")</f>
        <v>Melting_Curves/meltCurve_E7EX73_EIF4G1.pdf</v>
      </c>
    </row>
    <row r="454" spans="1:28" x14ac:dyDescent="0.25">
      <c r="A454" t="s">
        <v>458</v>
      </c>
      <c r="B454">
        <v>0.995954080203443</v>
      </c>
      <c r="C454">
        <v>0.96283256912664805</v>
      </c>
      <c r="D454">
        <v>0.88498643190266202</v>
      </c>
      <c r="E454">
        <v>0.61592730341302904</v>
      </c>
      <c r="F454">
        <v>0.31960716860086402</v>
      </c>
      <c r="G454">
        <v>0.201159359480546</v>
      </c>
      <c r="H454">
        <v>0.14934389371057</v>
      </c>
      <c r="I454">
        <v>0.14013389364494899</v>
      </c>
      <c r="J454">
        <v>0.16360209814855001</v>
      </c>
      <c r="K454">
        <v>0.14542729838047699</v>
      </c>
      <c r="L454">
        <v>1131.19320899679</v>
      </c>
      <c r="M454">
        <v>22.5302217262171</v>
      </c>
      <c r="N454">
        <v>50.963192631440897</v>
      </c>
      <c r="O454">
        <v>49.817293059247397</v>
      </c>
      <c r="P454">
        <v>-9.7016209166985598E-2</v>
      </c>
      <c r="Q454">
        <v>0.14195485946863401</v>
      </c>
      <c r="R454">
        <v>0.99807016011304595</v>
      </c>
      <c r="S454" t="s">
        <v>7260</v>
      </c>
      <c r="T454" t="s">
        <v>13610</v>
      </c>
      <c r="U454" t="s">
        <v>13610</v>
      </c>
      <c r="V454" t="s">
        <v>13610</v>
      </c>
      <c r="W454" t="s">
        <v>14055</v>
      </c>
      <c r="X454">
        <v>20</v>
      </c>
      <c r="Y454" t="s">
        <v>20778</v>
      </c>
      <c r="Z454" t="s">
        <v>27309</v>
      </c>
      <c r="AA454">
        <v>0.44336731395858198</v>
      </c>
      <c r="AB454" t="str">
        <f>HYPERLINK("Melting_Curves/meltCurve_E9PAU2_RAVER1.pdf", "Melting_Curves/meltCurve_E9PAU2_RAVER1.pdf")</f>
        <v>Melting_Curves/meltCurve_E9PAU2_RAVER1.pdf</v>
      </c>
    </row>
    <row r="455" spans="1:28" x14ac:dyDescent="0.25">
      <c r="A455" t="s">
        <v>459</v>
      </c>
      <c r="B455">
        <v>0.995954080203443</v>
      </c>
      <c r="C455">
        <v>1.9310322200721699</v>
      </c>
      <c r="D455">
        <v>1.6337216344604599</v>
      </c>
      <c r="E455">
        <v>1.5432931542238899</v>
      </c>
      <c r="F455">
        <v>1.2103450402236</v>
      </c>
      <c r="G455">
        <v>0.77558912162341997</v>
      </c>
      <c r="H455">
        <v>0.67478663570795705</v>
      </c>
      <c r="I455">
        <v>0.60053609495447902</v>
      </c>
      <c r="J455">
        <v>0.721768784327947</v>
      </c>
      <c r="K455">
        <v>0.65557871242427301</v>
      </c>
      <c r="L455">
        <v>14210.600310864</v>
      </c>
      <c r="M455">
        <v>250</v>
      </c>
      <c r="O455">
        <v>56.838767305670402</v>
      </c>
      <c r="P455">
        <v>-0.37038152641679101</v>
      </c>
      <c r="Q455">
        <v>0.66316755139193195</v>
      </c>
      <c r="R455">
        <v>0.21751088909278901</v>
      </c>
      <c r="S455" t="s">
        <v>7261</v>
      </c>
      <c r="T455" t="s">
        <v>13610</v>
      </c>
      <c r="U455" t="s">
        <v>13610</v>
      </c>
      <c r="V455" t="s">
        <v>13610</v>
      </c>
      <c r="W455" t="s">
        <v>14056</v>
      </c>
      <c r="X455">
        <v>4</v>
      </c>
      <c r="Y455" t="s">
        <v>20779</v>
      </c>
      <c r="Z455" t="s">
        <v>27310</v>
      </c>
      <c r="AA455">
        <v>0.8523033946739621</v>
      </c>
      <c r="AB455" t="str">
        <f>HYPERLINK("Melting_Curves/meltCurve_E9PB14_PDHX.pdf", "Melting_Curves/meltCurve_E9PB14_PDHX.pdf")</f>
        <v>Melting_Curves/meltCurve_E9PB14_PDHX.pdf</v>
      </c>
    </row>
    <row r="456" spans="1:28" x14ac:dyDescent="0.25">
      <c r="A456" t="s">
        <v>460</v>
      </c>
      <c r="B456">
        <v>0.995954080203443</v>
      </c>
      <c r="C456">
        <v>0.95780117261426401</v>
      </c>
      <c r="D456">
        <v>0.90378843700543199</v>
      </c>
      <c r="E456">
        <v>0.87382446373675504</v>
      </c>
      <c r="F456">
        <v>0.748672388466748</v>
      </c>
      <c r="G456">
        <v>0.57175819451417897</v>
      </c>
      <c r="H456">
        <v>0.48926039764941698</v>
      </c>
      <c r="I456">
        <v>0.56983974555514205</v>
      </c>
      <c r="J456">
        <v>0.62228506194771604</v>
      </c>
      <c r="K456">
        <v>0.64392713641613897</v>
      </c>
      <c r="L456">
        <v>1222.8947798249999</v>
      </c>
      <c r="M456">
        <v>23.730876230653699</v>
      </c>
      <c r="O456">
        <v>51.170054001302702</v>
      </c>
      <c r="P456">
        <v>-4.9494314091610703E-2</v>
      </c>
      <c r="Q456">
        <v>0.57311567179446898</v>
      </c>
      <c r="R456">
        <v>0.91469146818007796</v>
      </c>
      <c r="S456" t="s">
        <v>7262</v>
      </c>
      <c r="T456" t="s">
        <v>13610</v>
      </c>
      <c r="U456" t="s">
        <v>13610</v>
      </c>
      <c r="V456" t="s">
        <v>13610</v>
      </c>
      <c r="W456" t="s">
        <v>14057</v>
      </c>
      <c r="X456">
        <v>11</v>
      </c>
      <c r="Y456" t="s">
        <v>20780</v>
      </c>
      <c r="Z456" t="s">
        <v>27311</v>
      </c>
      <c r="AA456">
        <v>0.74149709027223132</v>
      </c>
      <c r="AB456" t="str">
        <f>HYPERLINK("Melting_Curves/meltCurve_E9PB61_ALYREF.pdf", "Melting_Curves/meltCurve_E9PB61_ALYREF.pdf")</f>
        <v>Melting_Curves/meltCurve_E9PB61_ALYREF.pdf</v>
      </c>
    </row>
    <row r="457" spans="1:28" x14ac:dyDescent="0.25">
      <c r="A457" t="s">
        <v>461</v>
      </c>
      <c r="B457">
        <v>0.995954080203443</v>
      </c>
      <c r="C457">
        <v>1.09618158772421</v>
      </c>
      <c r="D457">
        <v>1.0313996618147301</v>
      </c>
      <c r="E457">
        <v>1.0248679159573599</v>
      </c>
      <c r="F457">
        <v>0.87975106818027604</v>
      </c>
      <c r="G457">
        <v>0.46192791056298399</v>
      </c>
      <c r="H457">
        <v>0.28464579412879099</v>
      </c>
      <c r="I457">
        <v>0.203441498113409</v>
      </c>
      <c r="J457">
        <v>0.160268382414952</v>
      </c>
      <c r="K457">
        <v>0.16479134798337899</v>
      </c>
      <c r="L457">
        <v>1714.62812269542</v>
      </c>
      <c r="M457">
        <v>30.616013471190801</v>
      </c>
      <c r="N457">
        <v>56.8214376852684</v>
      </c>
      <c r="O457">
        <v>55.766984489066601</v>
      </c>
      <c r="P457">
        <v>-0.11280969687462999</v>
      </c>
      <c r="Q457">
        <v>0.17807472636225199</v>
      </c>
      <c r="R457">
        <v>0.98958637164959895</v>
      </c>
      <c r="S457" t="s">
        <v>7263</v>
      </c>
      <c r="T457" t="s">
        <v>13610</v>
      </c>
      <c r="U457" t="s">
        <v>13610</v>
      </c>
      <c r="V457" t="s">
        <v>13610</v>
      </c>
      <c r="W457" t="s">
        <v>14058</v>
      </c>
      <c r="X457">
        <v>2</v>
      </c>
      <c r="Y457" t="s">
        <v>20781</v>
      </c>
      <c r="Z457" t="s">
        <v>27312</v>
      </c>
      <c r="AA457">
        <v>0.62183228357497811</v>
      </c>
      <c r="AB457" t="str">
        <f>HYPERLINK("Melting_Curves/meltCurve_E9PBG3_TRIM36.pdf", "Melting_Curves/meltCurve_E9PBG3_TRIM36.pdf")</f>
        <v>Melting_Curves/meltCurve_E9PBG3_TRIM36.pdf</v>
      </c>
    </row>
    <row r="458" spans="1:28" x14ac:dyDescent="0.25">
      <c r="A458" t="s">
        <v>462</v>
      </c>
      <c r="B458">
        <v>0.995954080203443</v>
      </c>
      <c r="C458">
        <v>0.80202589194167895</v>
      </c>
      <c r="D458">
        <v>0.93561470647784795</v>
      </c>
      <c r="E458">
        <v>0.75970577834317699</v>
      </c>
      <c r="F458">
        <v>0.66665676043743005</v>
      </c>
      <c r="G458">
        <v>0.46486909930252901</v>
      </c>
      <c r="H458">
        <v>0.398411886374687</v>
      </c>
      <c r="I458">
        <v>0.48974054035404402</v>
      </c>
      <c r="J458">
        <v>0.54336193400975896</v>
      </c>
      <c r="K458">
        <v>0.57234734911501595</v>
      </c>
      <c r="L458">
        <v>787.44183254439395</v>
      </c>
      <c r="M458">
        <v>15.810829933740401</v>
      </c>
      <c r="N458">
        <v>62.8359331816335</v>
      </c>
      <c r="O458">
        <v>49.027651001913704</v>
      </c>
      <c r="P458">
        <v>-4.1832608736556899E-2</v>
      </c>
      <c r="Q458">
        <v>0.48116926437271501</v>
      </c>
      <c r="R458">
        <v>0.84373280884212198</v>
      </c>
      <c r="S458" t="s">
        <v>7264</v>
      </c>
      <c r="T458" t="s">
        <v>13610</v>
      </c>
      <c r="U458" t="s">
        <v>13610</v>
      </c>
      <c r="V458" t="s">
        <v>13610</v>
      </c>
      <c r="W458" t="s">
        <v>14059</v>
      </c>
      <c r="X458">
        <v>5</v>
      </c>
      <c r="Y458" t="s">
        <v>20782</v>
      </c>
      <c r="Z458" t="s">
        <v>27313</v>
      </c>
      <c r="AA458">
        <v>0.66203962683995121</v>
      </c>
      <c r="AB458" t="str">
        <f>HYPERLINK("Melting_Curves/meltCurve_E9PBP4_MLLT10.pdf", "Melting_Curves/meltCurve_E9PBP4_MLLT10.pdf")</f>
        <v>Melting_Curves/meltCurve_E9PBP4_MLLT10.pdf</v>
      </c>
    </row>
    <row r="459" spans="1:28" x14ac:dyDescent="0.25">
      <c r="A459" t="s">
        <v>463</v>
      </c>
      <c r="B459">
        <v>0.995954080203443</v>
      </c>
      <c r="C459">
        <v>0.97386254402732897</v>
      </c>
      <c r="D459">
        <v>1.1769895401831001</v>
      </c>
      <c r="E459">
        <v>0.84487232626744002</v>
      </c>
      <c r="F459">
        <v>0.88648639116592598</v>
      </c>
      <c r="G459">
        <v>0.614364609295733</v>
      </c>
      <c r="H459">
        <v>0.47564111361503802</v>
      </c>
      <c r="I459">
        <v>0.47617925868725902</v>
      </c>
      <c r="J459">
        <v>0.42794001731846099</v>
      </c>
      <c r="K459">
        <v>0.44272164609969</v>
      </c>
      <c r="L459">
        <v>1234.94317065221</v>
      </c>
      <c r="M459">
        <v>22.344352758488601</v>
      </c>
      <c r="N459">
        <v>60.595832283026802</v>
      </c>
      <c r="O459">
        <v>54.831719947895202</v>
      </c>
      <c r="P459">
        <v>-5.80836557865669E-2</v>
      </c>
      <c r="Q459">
        <v>0.42987654461749802</v>
      </c>
      <c r="R459">
        <v>0.92926286001496206</v>
      </c>
      <c r="S459" t="s">
        <v>7265</v>
      </c>
      <c r="T459" t="s">
        <v>13610</v>
      </c>
      <c r="U459" t="s">
        <v>13610</v>
      </c>
      <c r="V459" t="s">
        <v>13610</v>
      </c>
      <c r="W459" t="s">
        <v>14060</v>
      </c>
      <c r="X459">
        <v>5</v>
      </c>
      <c r="Y459" t="s">
        <v>20783</v>
      </c>
      <c r="Z459" t="s">
        <v>27314</v>
      </c>
      <c r="AA459">
        <v>0.72639927968799123</v>
      </c>
      <c r="AB459" t="str">
        <f>HYPERLINK("Melting_Curves/meltCurve_E9PC26_BUB1.pdf", "Melting_Curves/meltCurve_E9PC26_BUB1.pdf")</f>
        <v>Melting_Curves/meltCurve_E9PC26_BUB1.pdf</v>
      </c>
    </row>
    <row r="460" spans="1:28" x14ac:dyDescent="0.25">
      <c r="A460" t="s">
        <v>464</v>
      </c>
      <c r="B460">
        <v>0.995954080203443</v>
      </c>
      <c r="C460">
        <v>0.94494347564272096</v>
      </c>
      <c r="D460">
        <v>0.86893170476355397</v>
      </c>
      <c r="E460">
        <v>0.74056893853286399</v>
      </c>
      <c r="F460">
        <v>0.50144675123746696</v>
      </c>
      <c r="G460">
        <v>0.23607665928225699</v>
      </c>
      <c r="H460">
        <v>0.118950401912347</v>
      </c>
      <c r="I460">
        <v>0.10505062045291</v>
      </c>
      <c r="J460">
        <v>0.108560555166637</v>
      </c>
      <c r="K460">
        <v>0.10595971433949899</v>
      </c>
      <c r="L460">
        <v>890.48833544485001</v>
      </c>
      <c r="M460">
        <v>17.011971637075899</v>
      </c>
      <c r="N460">
        <v>52.822240385771501</v>
      </c>
      <c r="O460">
        <v>51.637564207526196</v>
      </c>
      <c r="P460">
        <v>-7.6497753530089502E-2</v>
      </c>
      <c r="Q460">
        <v>7.1262445233135505E-2</v>
      </c>
      <c r="R460">
        <v>0.99490387768144595</v>
      </c>
      <c r="S460" t="s">
        <v>7266</v>
      </c>
      <c r="T460" t="s">
        <v>13610</v>
      </c>
      <c r="U460" t="s">
        <v>13610</v>
      </c>
      <c r="V460" t="s">
        <v>13610</v>
      </c>
      <c r="W460" t="s">
        <v>14061</v>
      </c>
      <c r="X460">
        <v>12</v>
      </c>
      <c r="Y460" t="s">
        <v>20784</v>
      </c>
      <c r="Z460" t="s">
        <v>27315</v>
      </c>
      <c r="AA460">
        <v>0.47030489832807121</v>
      </c>
      <c r="AB460" t="str">
        <f>HYPERLINK("Melting_Curves/meltCurve_E9PC62_CELF2.pdf", "Melting_Curves/meltCurve_E9PC62_CELF2.pdf")</f>
        <v>Melting_Curves/meltCurve_E9PC62_CELF2.pdf</v>
      </c>
    </row>
    <row r="461" spans="1:28" x14ac:dyDescent="0.25">
      <c r="A461" t="s">
        <v>465</v>
      </c>
      <c r="B461">
        <v>0.995954080203443</v>
      </c>
      <c r="C461">
        <v>0.696613967949538</v>
      </c>
      <c r="D461">
        <v>0.46126490108234303</v>
      </c>
      <c r="E461">
        <v>0.33895600925007002</v>
      </c>
      <c r="F461">
        <v>0.17308963853324899</v>
      </c>
      <c r="G461">
        <v>0.109507377768871</v>
      </c>
      <c r="H461">
        <v>7.9783781424744099E-2</v>
      </c>
      <c r="I461">
        <v>8.6378555561768502E-2</v>
      </c>
      <c r="J461">
        <v>7.1275125535990497E-2</v>
      </c>
      <c r="K461">
        <v>9.2812744129046498E-2</v>
      </c>
      <c r="L461">
        <v>692.10188218331496</v>
      </c>
      <c r="M461">
        <v>15.1906930817277</v>
      </c>
      <c r="N461">
        <v>46.069241224777201</v>
      </c>
      <c r="O461">
        <v>44.793234816303404</v>
      </c>
      <c r="P461">
        <v>-7.8248034980651401E-2</v>
      </c>
      <c r="Q461">
        <v>7.7159780174205994E-2</v>
      </c>
      <c r="R461">
        <v>0.97928623226817402</v>
      </c>
      <c r="S461" t="s">
        <v>7267</v>
      </c>
      <c r="T461" t="s">
        <v>13610</v>
      </c>
      <c r="U461" t="s">
        <v>13610</v>
      </c>
      <c r="V461" t="s">
        <v>13610</v>
      </c>
      <c r="W461" t="s">
        <v>14062</v>
      </c>
      <c r="X461">
        <v>18</v>
      </c>
      <c r="Y461" t="s">
        <v>20785</v>
      </c>
      <c r="Z461" t="s">
        <v>27316</v>
      </c>
      <c r="AA461">
        <v>0.2754982073669005</v>
      </c>
      <c r="AB461" t="str">
        <f>HYPERLINK("Melting_Curves/meltCurve_E9PC74_EIF2B5.pdf", "Melting_Curves/meltCurve_E9PC74_EIF2B5.pdf")</f>
        <v>Melting_Curves/meltCurve_E9PC74_EIF2B5.pdf</v>
      </c>
    </row>
    <row r="462" spans="1:28" x14ac:dyDescent="0.25">
      <c r="A462" t="s">
        <v>466</v>
      </c>
      <c r="B462">
        <v>0.995954080203443</v>
      </c>
      <c r="C462">
        <v>0.94984870114883402</v>
      </c>
      <c r="D462">
        <v>0.84191700224583299</v>
      </c>
      <c r="E462">
        <v>0.62447668985946203</v>
      </c>
      <c r="F462">
        <v>0.30386658796022398</v>
      </c>
      <c r="G462">
        <v>0.13066614081289499</v>
      </c>
      <c r="H462">
        <v>8.5080603804329205E-2</v>
      </c>
      <c r="I462">
        <v>8.2648586248337694E-2</v>
      </c>
      <c r="J462">
        <v>8.5141138802830696E-2</v>
      </c>
      <c r="K462">
        <v>8.4970501997692294E-2</v>
      </c>
      <c r="L462">
        <v>1005.46285548662</v>
      </c>
      <c r="M462">
        <v>19.918981850803601</v>
      </c>
      <c r="N462">
        <v>50.838639416374299</v>
      </c>
      <c r="O462">
        <v>49.977118516133999</v>
      </c>
      <c r="P462">
        <v>-9.3072260421164801E-2</v>
      </c>
      <c r="Q462">
        <v>6.5950304794399797E-2</v>
      </c>
      <c r="R462">
        <v>0.99570187026810697</v>
      </c>
      <c r="S462" t="s">
        <v>7268</v>
      </c>
      <c r="T462" t="s">
        <v>13610</v>
      </c>
      <c r="U462" t="s">
        <v>13610</v>
      </c>
      <c r="V462" t="s">
        <v>13610</v>
      </c>
      <c r="W462" t="s">
        <v>14063</v>
      </c>
      <c r="X462">
        <v>14</v>
      </c>
      <c r="Y462" t="s">
        <v>20786</v>
      </c>
      <c r="Z462" t="s">
        <v>27317</v>
      </c>
      <c r="AA462">
        <v>0.40525534146516162</v>
      </c>
      <c r="AB462" t="str">
        <f>HYPERLINK("Melting_Curves/meltCurve_E9PCE5_SMG7.pdf", "Melting_Curves/meltCurve_E9PCE5_SMG7.pdf")</f>
        <v>Melting_Curves/meltCurve_E9PCE5_SMG7.pdf</v>
      </c>
    </row>
    <row r="463" spans="1:28" x14ac:dyDescent="0.25">
      <c r="A463" t="s">
        <v>467</v>
      </c>
      <c r="B463">
        <v>0.995954080203443</v>
      </c>
      <c r="C463">
        <v>0.70448010380049897</v>
      </c>
      <c r="D463">
        <v>0.51468001619452497</v>
      </c>
      <c r="E463">
        <v>0.79003516105754201</v>
      </c>
      <c r="F463">
        <v>0.55639732607224801</v>
      </c>
      <c r="G463">
        <v>0.197792796663319</v>
      </c>
      <c r="H463">
        <v>0.10363344669100701</v>
      </c>
      <c r="I463">
        <v>9.6391846557842303E-2</v>
      </c>
      <c r="J463">
        <v>0.118860312443234</v>
      </c>
      <c r="K463">
        <v>0.10123373347284199</v>
      </c>
      <c r="L463">
        <v>430.44049490961402</v>
      </c>
      <c r="M463">
        <v>8.43399672147617</v>
      </c>
      <c r="N463">
        <v>51.036351358266202</v>
      </c>
      <c r="O463">
        <v>48.409350223868799</v>
      </c>
      <c r="P463">
        <v>-4.3596032141878099E-2</v>
      </c>
      <c r="Q463">
        <v>0</v>
      </c>
      <c r="R463">
        <v>0.83936608357056597</v>
      </c>
      <c r="S463" t="s">
        <v>7269</v>
      </c>
      <c r="T463" t="s">
        <v>13610</v>
      </c>
      <c r="U463" t="s">
        <v>13610</v>
      </c>
      <c r="V463" t="s">
        <v>13610</v>
      </c>
      <c r="W463" t="s">
        <v>14064</v>
      </c>
      <c r="X463">
        <v>17</v>
      </c>
      <c r="Y463" t="s">
        <v>20787</v>
      </c>
      <c r="Z463" t="s">
        <v>27318</v>
      </c>
      <c r="AA463">
        <v>0.4182296659398459</v>
      </c>
      <c r="AB463" t="str">
        <f>HYPERLINK("Melting_Curves/meltCurve_E9PCR4_ANAPC4.pdf", "Melting_Curves/meltCurve_E9PCR4_ANAPC4.pdf")</f>
        <v>Melting_Curves/meltCurve_E9PCR4_ANAPC4.pdf</v>
      </c>
    </row>
    <row r="464" spans="1:28" x14ac:dyDescent="0.25">
      <c r="A464" t="s">
        <v>468</v>
      </c>
      <c r="B464">
        <v>0.995954080203443</v>
      </c>
      <c r="C464">
        <v>0.88189720542835903</v>
      </c>
      <c r="D464">
        <v>0.64267967219237798</v>
      </c>
      <c r="E464">
        <v>0.86376027362587504</v>
      </c>
      <c r="F464">
        <v>0.56575110299051301</v>
      </c>
      <c r="G464">
        <v>0.419936366183011</v>
      </c>
      <c r="H464">
        <v>0.236917375522195</v>
      </c>
      <c r="I464">
        <v>0.242098190905536</v>
      </c>
      <c r="J464">
        <v>0.11458713378032701</v>
      </c>
      <c r="K464">
        <v>0.14002656965006599</v>
      </c>
      <c r="L464">
        <v>470.26903197165302</v>
      </c>
      <c r="M464">
        <v>8.6148324050358092</v>
      </c>
      <c r="N464">
        <v>54.588297179180799</v>
      </c>
      <c r="O464">
        <v>51.885790874584501</v>
      </c>
      <c r="P464">
        <v>-4.1544185690695797E-2</v>
      </c>
      <c r="Q464">
        <v>0</v>
      </c>
      <c r="R464">
        <v>0.92174025994945596</v>
      </c>
      <c r="S464" t="s">
        <v>7270</v>
      </c>
      <c r="T464" t="s">
        <v>13610</v>
      </c>
      <c r="U464" t="s">
        <v>13610</v>
      </c>
      <c r="V464" t="s">
        <v>13610</v>
      </c>
      <c r="W464" t="s">
        <v>14065</v>
      </c>
      <c r="X464">
        <v>4</v>
      </c>
      <c r="Y464" t="s">
        <v>20788</v>
      </c>
      <c r="Z464" t="s">
        <v>27319</v>
      </c>
      <c r="AA464">
        <v>0.51574949013823712</v>
      </c>
      <c r="AB464" t="str">
        <f>HYPERLINK("Melting_Curves/meltCurve_E9PCV0_GUSB.pdf", "Melting_Curves/meltCurve_E9PCV0_GUSB.pdf")</f>
        <v>Melting_Curves/meltCurve_E9PCV0_GUSB.pdf</v>
      </c>
    </row>
    <row r="465" spans="1:28" x14ac:dyDescent="0.25">
      <c r="A465" t="s">
        <v>469</v>
      </c>
      <c r="B465">
        <v>0.995954080203443</v>
      </c>
      <c r="C465">
        <v>0.88485046140902202</v>
      </c>
      <c r="D465">
        <v>0.92422740087399302</v>
      </c>
      <c r="E465">
        <v>0.80025872317167701</v>
      </c>
      <c r="F465">
        <v>0.76996486529605601</v>
      </c>
      <c r="G465">
        <v>0.58191305798849902</v>
      </c>
      <c r="H465">
        <v>0.51462420641267603</v>
      </c>
      <c r="I465">
        <v>0.52610931690539997</v>
      </c>
      <c r="J465">
        <v>0.56598806178683103</v>
      </c>
      <c r="K465">
        <v>0.44198116236745899</v>
      </c>
      <c r="L465">
        <v>532.49732713390301</v>
      </c>
      <c r="M465">
        <v>10.0180284323467</v>
      </c>
      <c r="N465">
        <v>66.2932852392249</v>
      </c>
      <c r="O465">
        <v>51.166162194122499</v>
      </c>
      <c r="P465">
        <v>-2.7848031736963999E-2</v>
      </c>
      <c r="Q465">
        <v>0.43134959047940002</v>
      </c>
      <c r="R465">
        <v>0.94988049478621295</v>
      </c>
      <c r="S465" t="s">
        <v>7271</v>
      </c>
      <c r="T465" t="s">
        <v>13610</v>
      </c>
      <c r="U465" t="s">
        <v>13610</v>
      </c>
      <c r="V465" t="s">
        <v>13610</v>
      </c>
      <c r="W465" t="s">
        <v>14066</v>
      </c>
      <c r="X465">
        <v>8</v>
      </c>
      <c r="Y465" t="s">
        <v>20789</v>
      </c>
      <c r="Z465" t="s">
        <v>27320</v>
      </c>
      <c r="AA465">
        <v>0.69976580743684758</v>
      </c>
      <c r="AB465" t="str">
        <f>HYPERLINK("Melting_Curves/meltCurve_E9PCW1_GOSR1.pdf", "Melting_Curves/meltCurve_E9PCW1_GOSR1.pdf")</f>
        <v>Melting_Curves/meltCurve_E9PCW1_GOSR1.pdf</v>
      </c>
    </row>
    <row r="466" spans="1:28" x14ac:dyDescent="0.25">
      <c r="A466" t="s">
        <v>470</v>
      </c>
      <c r="B466">
        <v>0.995954080203443</v>
      </c>
      <c r="C466">
        <v>1.0310709197183801</v>
      </c>
      <c r="D466">
        <v>1.0828584386546101</v>
      </c>
      <c r="E466">
        <v>1.0872387247920601</v>
      </c>
      <c r="F466">
        <v>0.96762749737305498</v>
      </c>
      <c r="G466">
        <v>0.77577536963259996</v>
      </c>
      <c r="H466">
        <v>0.76106501836769402</v>
      </c>
      <c r="I466">
        <v>0.94030744388572196</v>
      </c>
      <c r="J466">
        <v>0.79609287229776604</v>
      </c>
      <c r="K466">
        <v>1.1490294153537299</v>
      </c>
      <c r="L466">
        <v>13300.011862793701</v>
      </c>
      <c r="M466">
        <v>250</v>
      </c>
      <c r="O466">
        <v>53.196624539000098</v>
      </c>
      <c r="P466">
        <v>-0.13575336801843299</v>
      </c>
      <c r="Q466">
        <v>0.88445402464314105</v>
      </c>
      <c r="R466">
        <v>0.29136802384303001</v>
      </c>
      <c r="S466" t="s">
        <v>7272</v>
      </c>
      <c r="T466" t="s">
        <v>13610</v>
      </c>
      <c r="U466" t="s">
        <v>13610</v>
      </c>
      <c r="V466" t="s">
        <v>13610</v>
      </c>
      <c r="W466" t="s">
        <v>14067</v>
      </c>
      <c r="X466">
        <v>1</v>
      </c>
      <c r="Y466" t="s">
        <v>20790</v>
      </c>
      <c r="Z466" t="s">
        <v>27321</v>
      </c>
      <c r="AA466">
        <v>0.9353052245393898</v>
      </c>
      <c r="AB466" t="str">
        <f>HYPERLINK("Melting_Curves/meltCurve_E9PD53_SMC4.pdf", "Melting_Curves/meltCurve_E9PD53_SMC4.pdf")</f>
        <v>Melting_Curves/meltCurve_E9PD53_SMC4.pdf</v>
      </c>
    </row>
    <row r="467" spans="1:28" x14ac:dyDescent="0.25">
      <c r="A467" t="s">
        <v>471</v>
      </c>
      <c r="B467">
        <v>0.995954080203443</v>
      </c>
      <c r="C467">
        <v>0.97236119854892999</v>
      </c>
      <c r="D467">
        <v>0.85039126055244096</v>
      </c>
      <c r="E467">
        <v>0.74639478813253102</v>
      </c>
      <c r="F467">
        <v>0.469382424680725</v>
      </c>
      <c r="G467">
        <v>0.261614611462341</v>
      </c>
      <c r="H467">
        <v>0.17791219752677001</v>
      </c>
      <c r="I467">
        <v>0.17264565402841101</v>
      </c>
      <c r="J467">
        <v>0.17285133190312199</v>
      </c>
      <c r="K467">
        <v>0.19002869791400601</v>
      </c>
      <c r="L467">
        <v>946.56068776655104</v>
      </c>
      <c r="M467">
        <v>18.343427002805701</v>
      </c>
      <c r="N467">
        <v>52.656680518631902</v>
      </c>
      <c r="O467">
        <v>51.000622692379402</v>
      </c>
      <c r="P467">
        <v>-7.6099412627164797E-2</v>
      </c>
      <c r="Q467">
        <v>0.15371545139356599</v>
      </c>
      <c r="R467">
        <v>0.99209183763629705</v>
      </c>
      <c r="S467" t="s">
        <v>7273</v>
      </c>
      <c r="T467" t="s">
        <v>13610</v>
      </c>
      <c r="U467" t="s">
        <v>13610</v>
      </c>
      <c r="V467" t="s">
        <v>13610</v>
      </c>
      <c r="W467" t="s">
        <v>14068</v>
      </c>
      <c r="X467">
        <v>5</v>
      </c>
      <c r="Y467" t="s">
        <v>20791</v>
      </c>
      <c r="Z467" t="s">
        <v>27322</v>
      </c>
      <c r="AA467">
        <v>0.49470210320426472</v>
      </c>
      <c r="AB467" t="str">
        <f>HYPERLINK("Melting_Curves/meltCurve_E9PD90_CKAP2.pdf", "Melting_Curves/meltCurve_E9PD90_CKAP2.pdf")</f>
        <v>Melting_Curves/meltCurve_E9PD90_CKAP2.pdf</v>
      </c>
    </row>
    <row r="468" spans="1:28" x14ac:dyDescent="0.25">
      <c r="A468" t="s">
        <v>472</v>
      </c>
      <c r="B468">
        <v>0.995954080203443</v>
      </c>
      <c r="C468">
        <v>0.86781197932887599</v>
      </c>
      <c r="D468">
        <v>0.98717055813313304</v>
      </c>
      <c r="E468">
        <v>0.69174901242325904</v>
      </c>
      <c r="F468">
        <v>0.70469869315366196</v>
      </c>
      <c r="G468">
        <v>0.53328903539002503</v>
      </c>
      <c r="H468">
        <v>0.51062956673865101</v>
      </c>
      <c r="I468">
        <v>0.595257643243982</v>
      </c>
      <c r="J468">
        <v>0.68017204192624503</v>
      </c>
      <c r="K468">
        <v>0.69247315015341804</v>
      </c>
      <c r="L468">
        <v>1627.1055778668299</v>
      </c>
      <c r="M468">
        <v>33.471631708931902</v>
      </c>
      <c r="O468">
        <v>48.438933969248097</v>
      </c>
      <c r="P468">
        <v>-6.7116333990368204E-2</v>
      </c>
      <c r="Q468">
        <v>0.61148820474440901</v>
      </c>
      <c r="R468">
        <v>0.80523519889304396</v>
      </c>
      <c r="S468" t="s">
        <v>7274</v>
      </c>
      <c r="T468" t="s">
        <v>13610</v>
      </c>
      <c r="U468" t="s">
        <v>13610</v>
      </c>
      <c r="V468" t="s">
        <v>13610</v>
      </c>
      <c r="W468" t="s">
        <v>14069</v>
      </c>
      <c r="X468">
        <v>1</v>
      </c>
      <c r="Y468" t="s">
        <v>20792</v>
      </c>
      <c r="Z468" t="s">
        <v>27323</v>
      </c>
      <c r="AA468">
        <v>0.72488981271843067</v>
      </c>
      <c r="AB468" t="str">
        <f>HYPERLINK("Melting_Curves/meltCurve_E9PDC3_ARVCF.pdf", "Melting_Curves/meltCurve_E9PDC3_ARVCF.pdf")</f>
        <v>Melting_Curves/meltCurve_E9PDC3_ARVCF.pdf</v>
      </c>
    </row>
    <row r="469" spans="1:28" x14ac:dyDescent="0.25">
      <c r="A469" t="s">
        <v>473</v>
      </c>
      <c r="B469">
        <v>0.995954080203443</v>
      </c>
      <c r="C469">
        <v>0.94197896778994195</v>
      </c>
      <c r="D469">
        <v>1.0133938795034101</v>
      </c>
      <c r="E469">
        <v>0.88783887230563197</v>
      </c>
      <c r="F469">
        <v>0.96766811557480803</v>
      </c>
      <c r="G469">
        <v>0.77218097959237098</v>
      </c>
      <c r="H469">
        <v>0.79972793303643297</v>
      </c>
      <c r="I469">
        <v>1.0204466766479201</v>
      </c>
      <c r="J469">
        <v>1.2852278483194499</v>
      </c>
      <c r="K469">
        <v>1.20197282934178</v>
      </c>
      <c r="L469">
        <v>15000</v>
      </c>
      <c r="M469">
        <v>231.99330784838199</v>
      </c>
      <c r="O469">
        <v>64.652232975083706</v>
      </c>
      <c r="P469">
        <v>0.21855040909189899</v>
      </c>
      <c r="Q469">
        <v>1.2436237840747</v>
      </c>
      <c r="R469">
        <v>0.51113670718825999</v>
      </c>
      <c r="S469" t="s">
        <v>7275</v>
      </c>
      <c r="T469" t="s">
        <v>13610</v>
      </c>
      <c r="U469" t="s">
        <v>13610</v>
      </c>
      <c r="V469" t="s">
        <v>13610</v>
      </c>
      <c r="W469" t="s">
        <v>14070</v>
      </c>
      <c r="X469">
        <v>28</v>
      </c>
      <c r="Y469" t="s">
        <v>20793</v>
      </c>
      <c r="Z469" t="s">
        <v>27324</v>
      </c>
      <c r="AA469">
        <v>1.0433569880823601</v>
      </c>
      <c r="AB469" t="str">
        <f>HYPERLINK("Melting_Curves/meltCurve_E9PDE4_CAST.pdf", "Melting_Curves/meltCurve_E9PDE4_CAST.pdf")</f>
        <v>Melting_Curves/meltCurve_E9PDE4_CAST.pdf</v>
      </c>
    </row>
    <row r="470" spans="1:28" x14ac:dyDescent="0.25">
      <c r="A470" t="s">
        <v>474</v>
      </c>
      <c r="B470">
        <v>0.995954080203443</v>
      </c>
      <c r="C470">
        <v>0.63277144357280501</v>
      </c>
      <c r="D470">
        <v>0.23093546376578999</v>
      </c>
      <c r="E470">
        <v>0.31449235550231203</v>
      </c>
      <c r="F470">
        <v>0.15716302299287899</v>
      </c>
      <c r="G470">
        <v>8.6403199383729895E-2</v>
      </c>
      <c r="H470">
        <v>3.5029717749335901E-2</v>
      </c>
      <c r="I470">
        <v>9.6945723180088594E-2</v>
      </c>
      <c r="J470">
        <v>0</v>
      </c>
      <c r="K470">
        <v>0</v>
      </c>
      <c r="L470">
        <v>1025.8801993745101</v>
      </c>
      <c r="M470">
        <v>23.4257546863514</v>
      </c>
      <c r="N470">
        <v>44.118587716976002</v>
      </c>
      <c r="O470">
        <v>43.477457618466303</v>
      </c>
      <c r="P470">
        <v>-0.12400532685442101</v>
      </c>
      <c r="Q470">
        <v>7.9416383637449905E-2</v>
      </c>
      <c r="R470">
        <v>0.92821978075737199</v>
      </c>
      <c r="S470" t="s">
        <v>7276</v>
      </c>
      <c r="T470" t="s">
        <v>13610</v>
      </c>
      <c r="U470" t="s">
        <v>13610</v>
      </c>
      <c r="V470" t="s">
        <v>13610</v>
      </c>
      <c r="W470" t="s">
        <v>14071</v>
      </c>
      <c r="X470">
        <v>1</v>
      </c>
      <c r="Y470" t="s">
        <v>20794</v>
      </c>
      <c r="Z470" t="s">
        <v>27325</v>
      </c>
      <c r="AA470">
        <v>0.20862407120744009</v>
      </c>
      <c r="AB470" t="str">
        <f>HYPERLINK("Melting_Curves/meltCurve_E9PDG2_IFT122.pdf", "Melting_Curves/meltCurve_E9PDG2_IFT122.pdf")</f>
        <v>Melting_Curves/meltCurve_E9PDG2_IFT122.pdf</v>
      </c>
    </row>
    <row r="471" spans="1:28" x14ac:dyDescent="0.25">
      <c r="A471" t="s">
        <v>475</v>
      </c>
      <c r="B471">
        <v>0.995954080203443</v>
      </c>
      <c r="C471">
        <v>0.98536477529042299</v>
      </c>
      <c r="D471">
        <v>0.79575173445994996</v>
      </c>
      <c r="E471">
        <v>0.71309910201423399</v>
      </c>
      <c r="F471">
        <v>0.59121322639769802</v>
      </c>
      <c r="G471">
        <v>0.353921752398138</v>
      </c>
      <c r="H471">
        <v>0.29780287759287699</v>
      </c>
      <c r="I471">
        <v>0.41135757851246701</v>
      </c>
      <c r="J471">
        <v>0.50295258721875502</v>
      </c>
      <c r="K471">
        <v>0.477591704617779</v>
      </c>
      <c r="L471">
        <v>873.47292253705302</v>
      </c>
      <c r="M471">
        <v>17.724820263230701</v>
      </c>
      <c r="N471">
        <v>54.355519525983503</v>
      </c>
      <c r="O471">
        <v>48.665218262638099</v>
      </c>
      <c r="P471">
        <v>-5.4228511709954602E-2</v>
      </c>
      <c r="Q471">
        <v>0.40447261154770903</v>
      </c>
      <c r="R471">
        <v>0.91066169999234003</v>
      </c>
      <c r="S471" t="s">
        <v>7277</v>
      </c>
      <c r="T471" t="s">
        <v>13610</v>
      </c>
      <c r="U471" t="s">
        <v>13610</v>
      </c>
      <c r="V471" t="s">
        <v>13610</v>
      </c>
      <c r="W471" t="s">
        <v>14072</v>
      </c>
      <c r="X471">
        <v>3</v>
      </c>
      <c r="Y471" t="s">
        <v>20795</v>
      </c>
      <c r="Z471" t="s">
        <v>27326</v>
      </c>
      <c r="AA471">
        <v>0.59926125591422863</v>
      </c>
      <c r="AB471" t="str">
        <f>HYPERLINK("Melting_Curves/meltCurve_E9PDK2_UNKL.pdf", "Melting_Curves/meltCurve_E9PDK2_UNKL.pdf")</f>
        <v>Melting_Curves/meltCurve_E9PDK2_UNKL.pdf</v>
      </c>
    </row>
    <row r="472" spans="1:28" x14ac:dyDescent="0.25">
      <c r="A472" t="s">
        <v>476</v>
      </c>
      <c r="B472">
        <v>0.995954080203443</v>
      </c>
      <c r="C472">
        <v>0.99131752664454298</v>
      </c>
      <c r="D472">
        <v>0.93344297368885099</v>
      </c>
      <c r="E472">
        <v>0.81547104203228504</v>
      </c>
      <c r="F472">
        <v>0.62241196249309305</v>
      </c>
      <c r="G472">
        <v>0.46723836965344201</v>
      </c>
      <c r="H472">
        <v>0.422649076571812</v>
      </c>
      <c r="I472">
        <v>0.490442558871169</v>
      </c>
      <c r="J472">
        <v>0.50675954381624999</v>
      </c>
      <c r="K472">
        <v>0.55580910952470097</v>
      </c>
      <c r="L472">
        <v>1463.88612758473</v>
      </c>
      <c r="M472">
        <v>28.760990560083801</v>
      </c>
      <c r="N472">
        <v>58.009456015260199</v>
      </c>
      <c r="O472">
        <v>50.654162867063398</v>
      </c>
      <c r="P472">
        <v>-7.3063346874810697E-2</v>
      </c>
      <c r="Q472">
        <v>0.48528420356079699</v>
      </c>
      <c r="R472">
        <v>0.97116802088868404</v>
      </c>
      <c r="S472" t="s">
        <v>7278</v>
      </c>
      <c r="T472" t="s">
        <v>13610</v>
      </c>
      <c r="U472" t="s">
        <v>13610</v>
      </c>
      <c r="V472" t="s">
        <v>13610</v>
      </c>
      <c r="W472" t="s">
        <v>14073</v>
      </c>
      <c r="X472">
        <v>5</v>
      </c>
      <c r="Y472" t="s">
        <v>20796</v>
      </c>
      <c r="Z472" t="s">
        <v>27327</v>
      </c>
      <c r="AA472">
        <v>0.67578438854591905</v>
      </c>
      <c r="AB472" t="str">
        <f>HYPERLINK("Melting_Curves/meltCurve_E9PDL4_ICA1.pdf", "Melting_Curves/meltCurve_E9PDL4_ICA1.pdf")</f>
        <v>Melting_Curves/meltCurve_E9PDL4_ICA1.pdf</v>
      </c>
    </row>
    <row r="473" spans="1:28" x14ac:dyDescent="0.25">
      <c r="A473" t="s">
        <v>477</v>
      </c>
      <c r="B473">
        <v>0.995954080203443</v>
      </c>
      <c r="C473">
        <v>0.88124912831194302</v>
      </c>
      <c r="D473">
        <v>0.75595644786471405</v>
      </c>
      <c r="E473">
        <v>0.57962667158043202</v>
      </c>
      <c r="F473">
        <v>0.33193152427039901</v>
      </c>
      <c r="G473">
        <v>0.198210668256216</v>
      </c>
      <c r="H473">
        <v>0.12111189762317</v>
      </c>
      <c r="I473">
        <v>0.10216023267147301</v>
      </c>
      <c r="J473">
        <v>0.11262971787956701</v>
      </c>
      <c r="K473">
        <v>0.109999532217549</v>
      </c>
      <c r="L473">
        <v>691.94383600398999</v>
      </c>
      <c r="M473">
        <v>13.8813656565416</v>
      </c>
      <c r="N473">
        <v>50.413291156749899</v>
      </c>
      <c r="O473">
        <v>48.846640527200002</v>
      </c>
      <c r="P473">
        <v>-6.5925522085111404E-2</v>
      </c>
      <c r="Q473">
        <v>7.2195086437315106E-2</v>
      </c>
      <c r="R473">
        <v>0.99398864330244796</v>
      </c>
      <c r="S473" t="s">
        <v>7279</v>
      </c>
      <c r="T473" t="s">
        <v>13610</v>
      </c>
      <c r="U473" t="s">
        <v>13610</v>
      </c>
      <c r="V473" t="s">
        <v>13610</v>
      </c>
      <c r="W473" t="s">
        <v>14074</v>
      </c>
      <c r="X473">
        <v>7</v>
      </c>
      <c r="Y473" t="s">
        <v>20797</v>
      </c>
      <c r="Z473" t="s">
        <v>27328</v>
      </c>
      <c r="AA473">
        <v>0.40220660102335731</v>
      </c>
      <c r="AB473" t="str">
        <f>HYPERLINK("Melting_Curves/meltCurve_E9PE19_BPTF.pdf", "Melting_Curves/meltCurve_E9PE19_BPTF.pdf")</f>
        <v>Melting_Curves/meltCurve_E9PE19_BPTF.pdf</v>
      </c>
    </row>
    <row r="474" spans="1:28" x14ac:dyDescent="0.25">
      <c r="A474" t="s">
        <v>478</v>
      </c>
      <c r="B474">
        <v>0.995954080203443</v>
      </c>
      <c r="C474">
        <v>0.93488150315279905</v>
      </c>
      <c r="D474">
        <v>0.78323725798196997</v>
      </c>
      <c r="E474">
        <v>0.83002586642012399</v>
      </c>
      <c r="F474">
        <v>0.731274648824489</v>
      </c>
      <c r="G474">
        <v>0.45452948280799899</v>
      </c>
      <c r="H474">
        <v>0.41074891555543902</v>
      </c>
      <c r="I474">
        <v>0.50142028315259901</v>
      </c>
      <c r="J474">
        <v>0.52548043866844396</v>
      </c>
      <c r="K474">
        <v>0.51807126670896098</v>
      </c>
      <c r="L474">
        <v>634.81700790220304</v>
      </c>
      <c r="M474">
        <v>12.557995997181701</v>
      </c>
      <c r="N474">
        <v>62.276157064566803</v>
      </c>
      <c r="O474">
        <v>49.320342370707998</v>
      </c>
      <c r="P474">
        <v>-3.4826605562511603E-2</v>
      </c>
      <c r="Q474">
        <v>0.45299778860103301</v>
      </c>
      <c r="R474">
        <v>0.87917811010978797</v>
      </c>
      <c r="S474" t="s">
        <v>7280</v>
      </c>
      <c r="T474" t="s">
        <v>13610</v>
      </c>
      <c r="U474" t="s">
        <v>13610</v>
      </c>
      <c r="V474" t="s">
        <v>13610</v>
      </c>
      <c r="W474" t="s">
        <v>14075</v>
      </c>
      <c r="X474">
        <v>61</v>
      </c>
      <c r="Y474" t="s">
        <v>20798</v>
      </c>
      <c r="Z474" t="s">
        <v>27329</v>
      </c>
      <c r="AA474">
        <v>0.66248433421765418</v>
      </c>
      <c r="AB474" t="str">
        <f>HYPERLINK("Melting_Curves/meltCurve_E9PEB9_DST.pdf", "Melting_Curves/meltCurve_E9PEB9_DST.pdf")</f>
        <v>Melting_Curves/meltCurve_E9PEB9_DST.pdf</v>
      </c>
    </row>
    <row r="475" spans="1:28" x14ac:dyDescent="0.25">
      <c r="A475" t="s">
        <v>479</v>
      </c>
      <c r="B475">
        <v>0.995954080203443</v>
      </c>
      <c r="C475">
        <v>0.94202037720631404</v>
      </c>
      <c r="D475">
        <v>0.90896255602016596</v>
      </c>
      <c r="E475">
        <v>0.84721772086446201</v>
      </c>
      <c r="F475">
        <v>0.72466184717375703</v>
      </c>
      <c r="G475">
        <v>0.498774863653283</v>
      </c>
      <c r="H475">
        <v>0.40717662073467198</v>
      </c>
      <c r="I475">
        <v>0.44300631429758802</v>
      </c>
      <c r="J475">
        <v>0.51912428161680502</v>
      </c>
      <c r="K475">
        <v>0.52132630879127395</v>
      </c>
      <c r="L475">
        <v>1151.55888162981</v>
      </c>
      <c r="M475">
        <v>22.0972242175045</v>
      </c>
      <c r="N475">
        <v>59.030068290335798</v>
      </c>
      <c r="O475">
        <v>51.692114030014402</v>
      </c>
      <c r="P475">
        <v>-5.7447777784573703E-2</v>
      </c>
      <c r="Q475">
        <v>0.462460641400957</v>
      </c>
      <c r="R475">
        <v>0.95164189250059505</v>
      </c>
      <c r="S475" t="s">
        <v>7281</v>
      </c>
      <c r="T475" t="s">
        <v>13610</v>
      </c>
      <c r="U475" t="s">
        <v>13610</v>
      </c>
      <c r="V475" t="s">
        <v>13610</v>
      </c>
      <c r="W475" t="s">
        <v>14076</v>
      </c>
      <c r="X475">
        <v>9</v>
      </c>
      <c r="Y475" t="s">
        <v>20799</v>
      </c>
      <c r="Z475" t="s">
        <v>27330</v>
      </c>
      <c r="AA475">
        <v>0.68570794829390824</v>
      </c>
      <c r="AB475" t="str">
        <f>HYPERLINK("Melting_Curves/meltCurve_E9PEI0_CDCA2.pdf", "Melting_Curves/meltCurve_E9PEI0_CDCA2.pdf")</f>
        <v>Melting_Curves/meltCurve_E9PEI0_CDCA2.pdf</v>
      </c>
    </row>
    <row r="476" spans="1:28" x14ac:dyDescent="0.25">
      <c r="A476" t="s">
        <v>480</v>
      </c>
      <c r="B476">
        <v>0.995954080203443</v>
      </c>
      <c r="C476">
        <v>0.95968909158681803</v>
      </c>
      <c r="D476">
        <v>0.76941190441449503</v>
      </c>
      <c r="E476">
        <v>0.37391992730590501</v>
      </c>
      <c r="F476">
        <v>0.17881260603781801</v>
      </c>
      <c r="G476">
        <v>0.114276107064869</v>
      </c>
      <c r="H476">
        <v>7.7112589106867399E-2</v>
      </c>
      <c r="I476">
        <v>7.6586615087549006E-2</v>
      </c>
      <c r="J476">
        <v>8.9922952625659996E-2</v>
      </c>
      <c r="K476">
        <v>8.5127919899218599E-2</v>
      </c>
      <c r="L476">
        <v>1106.88659393436</v>
      </c>
      <c r="M476">
        <v>22.926579625440901</v>
      </c>
      <c r="N476">
        <v>48.6496909613602</v>
      </c>
      <c r="O476">
        <v>47.916809538013801</v>
      </c>
      <c r="P476">
        <v>-0.11004708877127301</v>
      </c>
      <c r="Q476">
        <v>8.0018823796267596E-2</v>
      </c>
      <c r="R476">
        <v>0.99959963172322797</v>
      </c>
      <c r="S476" t="s">
        <v>7282</v>
      </c>
      <c r="T476" t="s">
        <v>13610</v>
      </c>
      <c r="U476" t="s">
        <v>13610</v>
      </c>
      <c r="V476" t="s">
        <v>13610</v>
      </c>
      <c r="W476" t="s">
        <v>13835</v>
      </c>
      <c r="X476">
        <v>17</v>
      </c>
      <c r="Y476" t="s">
        <v>20800</v>
      </c>
      <c r="Z476" t="s">
        <v>27331</v>
      </c>
      <c r="AA476">
        <v>0.34367897961939098</v>
      </c>
      <c r="AB476" t="str">
        <f>HYPERLINK("Melting_Curves/meltCurve_E9PER6_PDPK1.pdf", "Melting_Curves/meltCurve_E9PER6_PDPK1.pdf")</f>
        <v>Melting_Curves/meltCurve_E9PER6_PDPK1.pdf</v>
      </c>
    </row>
    <row r="477" spans="1:28" x14ac:dyDescent="0.25">
      <c r="A477" t="s">
        <v>481</v>
      </c>
      <c r="B477">
        <v>0.995954080203443</v>
      </c>
      <c r="C477">
        <v>0.97322383637557897</v>
      </c>
      <c r="D477">
        <v>0.67971547308805003</v>
      </c>
      <c r="E477">
        <v>0.40366283891376997</v>
      </c>
      <c r="F477">
        <v>0.18922669954708199</v>
      </c>
      <c r="G477">
        <v>0.11691831374261</v>
      </c>
      <c r="H477">
        <v>8.5860570977254302E-2</v>
      </c>
      <c r="I477">
        <v>7.9978940157176201E-2</v>
      </c>
      <c r="J477">
        <v>9.3508110031231606E-2</v>
      </c>
      <c r="K477">
        <v>8.6911311853877501E-2</v>
      </c>
      <c r="L477">
        <v>950.15343711524997</v>
      </c>
      <c r="M477">
        <v>19.788103215330899</v>
      </c>
      <c r="N477">
        <v>48.444657442260798</v>
      </c>
      <c r="O477">
        <v>47.534086067414798</v>
      </c>
      <c r="P477">
        <v>-9.5725213794054104E-2</v>
      </c>
      <c r="Q477">
        <v>8.0244121018772693E-2</v>
      </c>
      <c r="R477">
        <v>0.99452230208681702</v>
      </c>
      <c r="S477" t="s">
        <v>7283</v>
      </c>
      <c r="T477" t="s">
        <v>13610</v>
      </c>
      <c r="U477" t="s">
        <v>13610</v>
      </c>
      <c r="V477" t="s">
        <v>13610</v>
      </c>
      <c r="W477" t="s">
        <v>14077</v>
      </c>
      <c r="X477">
        <v>60</v>
      </c>
      <c r="Y477" t="s">
        <v>20801</v>
      </c>
      <c r="Z477" t="s">
        <v>27332</v>
      </c>
      <c r="AA477">
        <v>0.33937977570754391</v>
      </c>
      <c r="AB477" t="str">
        <f>HYPERLINK("Melting_Curves/meltCurve_E9PEZ3_DIAPH1.pdf", "Melting_Curves/meltCurve_E9PEZ3_DIAPH1.pdf")</f>
        <v>Melting_Curves/meltCurve_E9PEZ3_DIAPH1.pdf</v>
      </c>
    </row>
    <row r="478" spans="1:28" x14ac:dyDescent="0.25">
      <c r="A478" t="s">
        <v>482</v>
      </c>
      <c r="B478">
        <v>0.995954080203443</v>
      </c>
      <c r="C478">
        <v>0.98545640866873396</v>
      </c>
      <c r="D478">
        <v>0.72451908069357396</v>
      </c>
      <c r="E478">
        <v>0.77378396699970897</v>
      </c>
      <c r="F478">
        <v>0.54631814392025102</v>
      </c>
      <c r="G478">
        <v>0.32573173702779201</v>
      </c>
      <c r="H478">
        <v>0.21006073477044901</v>
      </c>
      <c r="I478">
        <v>0.249243802279601</v>
      </c>
      <c r="J478">
        <v>0.33534012432265797</v>
      </c>
      <c r="K478">
        <v>0.31433740992856302</v>
      </c>
      <c r="L478">
        <v>733.47649995045595</v>
      </c>
      <c r="M478">
        <v>14.406483404454001</v>
      </c>
      <c r="N478">
        <v>53.387222264106903</v>
      </c>
      <c r="O478">
        <v>49.962108465974801</v>
      </c>
      <c r="P478">
        <v>-5.4536577800653803E-2</v>
      </c>
      <c r="Q478">
        <v>0.24355167958912199</v>
      </c>
      <c r="R478">
        <v>0.93498599279577199</v>
      </c>
      <c r="S478" t="s">
        <v>7284</v>
      </c>
      <c r="T478" t="s">
        <v>13610</v>
      </c>
      <c r="U478" t="s">
        <v>13610</v>
      </c>
      <c r="V478" t="s">
        <v>13610</v>
      </c>
      <c r="W478" t="s">
        <v>14078</v>
      </c>
      <c r="X478">
        <v>5</v>
      </c>
      <c r="Y478" t="s">
        <v>20802</v>
      </c>
      <c r="Z478" t="s">
        <v>27333</v>
      </c>
      <c r="AA478">
        <v>0.53745051607222982</v>
      </c>
      <c r="AB478" t="str">
        <f>HYPERLINK("Melting_Curves/meltCurve_E9PEZ8_FAM193B.pdf", "Melting_Curves/meltCurve_E9PEZ8_FAM193B.pdf")</f>
        <v>Melting_Curves/meltCurve_E9PEZ8_FAM193B.pdf</v>
      </c>
    </row>
    <row r="479" spans="1:28" x14ac:dyDescent="0.25">
      <c r="A479" t="s">
        <v>483</v>
      </c>
      <c r="B479">
        <v>0.995954080203443</v>
      </c>
      <c r="C479">
        <v>0.78885555522850703</v>
      </c>
      <c r="D479">
        <v>0.37847895725251701</v>
      </c>
      <c r="E479">
        <v>0.23771319223065701</v>
      </c>
      <c r="F479">
        <v>0.15521208680325699</v>
      </c>
      <c r="G479">
        <v>9.1451576451612296E-2</v>
      </c>
      <c r="H479">
        <v>7.1348553849706703E-2</v>
      </c>
      <c r="I479">
        <v>8.5248778563409303E-2</v>
      </c>
      <c r="J479">
        <v>0.100513950642888</v>
      </c>
      <c r="K479">
        <v>9.8927811175519006E-2</v>
      </c>
      <c r="L479">
        <v>1092.0932325664601</v>
      </c>
      <c r="M479">
        <v>24.347247043683101</v>
      </c>
      <c r="N479">
        <v>45.281355702366298</v>
      </c>
      <c r="O479">
        <v>44.555585774913901</v>
      </c>
      <c r="P479">
        <v>-0.12261679954410599</v>
      </c>
      <c r="Q479">
        <v>0.102455939539982</v>
      </c>
      <c r="R479">
        <v>0.98909089024243302</v>
      </c>
      <c r="S479" t="s">
        <v>7285</v>
      </c>
      <c r="T479" t="s">
        <v>13610</v>
      </c>
      <c r="U479" t="s">
        <v>13610</v>
      </c>
      <c r="V479" t="s">
        <v>13610</v>
      </c>
      <c r="W479" t="s">
        <v>14079</v>
      </c>
      <c r="X479">
        <v>8</v>
      </c>
      <c r="Y479" t="s">
        <v>20803</v>
      </c>
      <c r="Z479" t="s">
        <v>27334</v>
      </c>
      <c r="AA479">
        <v>0.25738804666447612</v>
      </c>
      <c r="AB479" t="str">
        <f>HYPERLINK("Melting_Curves/meltCurve_E9PF10_NUP155.pdf", "Melting_Curves/meltCurve_E9PF10_NUP155.pdf")</f>
        <v>Melting_Curves/meltCurve_E9PF10_NUP155.pdf</v>
      </c>
    </row>
    <row r="480" spans="1:28" x14ac:dyDescent="0.25">
      <c r="A480" t="s">
        <v>484</v>
      </c>
      <c r="B480">
        <v>0.995954080203443</v>
      </c>
      <c r="C480">
        <v>0.82647152734142004</v>
      </c>
      <c r="D480">
        <v>0.28691069343639602</v>
      </c>
      <c r="E480">
        <v>0.19982117741041799</v>
      </c>
      <c r="F480">
        <v>0.148721518259222</v>
      </c>
      <c r="G480">
        <v>0.11352577782510299</v>
      </c>
      <c r="H480">
        <v>0.11282229084647501</v>
      </c>
      <c r="I480">
        <v>0.134167961938879</v>
      </c>
      <c r="J480">
        <v>0.150187254674713</v>
      </c>
      <c r="K480">
        <v>0.164617073748099</v>
      </c>
      <c r="L480">
        <v>1860.0168725988001</v>
      </c>
      <c r="M480">
        <v>42.002066583747499</v>
      </c>
      <c r="N480">
        <v>44.646542993579303</v>
      </c>
      <c r="O480">
        <v>44.183910010979801</v>
      </c>
      <c r="P480">
        <v>-0.20331016242056599</v>
      </c>
      <c r="Q480">
        <v>0.14451617678898501</v>
      </c>
      <c r="R480">
        <v>0.99471351205371905</v>
      </c>
      <c r="S480" t="s">
        <v>7286</v>
      </c>
      <c r="T480" t="s">
        <v>13610</v>
      </c>
      <c r="U480" t="s">
        <v>13610</v>
      </c>
      <c r="V480" t="s">
        <v>13610</v>
      </c>
      <c r="W480" t="s">
        <v>14080</v>
      </c>
      <c r="X480">
        <v>2</v>
      </c>
      <c r="Y480" t="s">
        <v>20804</v>
      </c>
      <c r="Z480" t="s">
        <v>27335</v>
      </c>
      <c r="AA480">
        <v>0.26931157779735287</v>
      </c>
      <c r="AB480" t="str">
        <f>HYPERLINK("Melting_Curves/meltCurve_E9PF16_ACSF2.pdf", "Melting_Curves/meltCurve_E9PF16_ACSF2.pdf")</f>
        <v>Melting_Curves/meltCurve_E9PF16_ACSF2.pdf</v>
      </c>
    </row>
    <row r="481" spans="1:28" x14ac:dyDescent="0.25">
      <c r="A481" t="s">
        <v>485</v>
      </c>
      <c r="B481">
        <v>0.995954080203443</v>
      </c>
      <c r="C481">
        <v>0.90782546580827495</v>
      </c>
      <c r="D481">
        <v>1.0712744606186599</v>
      </c>
      <c r="E481">
        <v>0.56019570006058805</v>
      </c>
      <c r="F481">
        <v>0.32760411913842002</v>
      </c>
      <c r="G481">
        <v>0.20292996766611099</v>
      </c>
      <c r="H481">
        <v>0.168969798441192</v>
      </c>
      <c r="I481">
        <v>0.18296601859176201</v>
      </c>
      <c r="J481">
        <v>0.19349132841904601</v>
      </c>
      <c r="K481">
        <v>0.20695002844281499</v>
      </c>
      <c r="L481">
        <v>1942.7312020398699</v>
      </c>
      <c r="M481">
        <v>38.890744033946</v>
      </c>
      <c r="N481">
        <v>50.604048153291401</v>
      </c>
      <c r="O481">
        <v>49.8220341742757</v>
      </c>
      <c r="P481">
        <v>-0.15676130212089701</v>
      </c>
      <c r="Q481">
        <v>0.19670875633777299</v>
      </c>
      <c r="R481">
        <v>0.98161734620177399</v>
      </c>
      <c r="S481" t="s">
        <v>7287</v>
      </c>
      <c r="T481" t="s">
        <v>13610</v>
      </c>
      <c r="U481" t="s">
        <v>13610</v>
      </c>
      <c r="V481" t="s">
        <v>13610</v>
      </c>
      <c r="W481" t="s">
        <v>14081</v>
      </c>
      <c r="X481">
        <v>5</v>
      </c>
      <c r="Y481" t="s">
        <v>20805</v>
      </c>
      <c r="Z481" t="s">
        <v>27336</v>
      </c>
      <c r="AA481">
        <v>0.46616588929740099</v>
      </c>
      <c r="AB481" t="str">
        <f>HYPERLINK("Melting_Curves/meltCurve_E9PF19_TBL2.pdf", "Melting_Curves/meltCurve_E9PF19_TBL2.pdf")</f>
        <v>Melting_Curves/meltCurve_E9PF19_TBL2.pdf</v>
      </c>
    </row>
    <row r="482" spans="1:28" x14ac:dyDescent="0.25">
      <c r="A482" t="s">
        <v>486</v>
      </c>
      <c r="B482">
        <v>0.995954080203443</v>
      </c>
      <c r="C482">
        <v>0.94874638791747801</v>
      </c>
      <c r="D482">
        <v>0.94148475981017499</v>
      </c>
      <c r="E482">
        <v>0.85200145950556905</v>
      </c>
      <c r="F482">
        <v>0.77508072732561795</v>
      </c>
      <c r="G482">
        <v>0.56904951496273504</v>
      </c>
      <c r="H482">
        <v>0.51141848986273297</v>
      </c>
      <c r="I482">
        <v>0.580591366456785</v>
      </c>
      <c r="J482">
        <v>0.68986482310144603</v>
      </c>
      <c r="K482">
        <v>0.68303879318426597</v>
      </c>
      <c r="L482">
        <v>1281.26543366548</v>
      </c>
      <c r="M482">
        <v>25.0128490240029</v>
      </c>
      <c r="O482">
        <v>50.900238947949397</v>
      </c>
      <c r="P482">
        <v>-4.8415381601296097E-2</v>
      </c>
      <c r="Q482">
        <v>0.60591111989458701</v>
      </c>
      <c r="R482">
        <v>0.87420403796063795</v>
      </c>
      <c r="S482" t="s">
        <v>7288</v>
      </c>
      <c r="T482" t="s">
        <v>13610</v>
      </c>
      <c r="U482" t="s">
        <v>13610</v>
      </c>
      <c r="V482" t="s">
        <v>13610</v>
      </c>
      <c r="W482" t="s">
        <v>14082</v>
      </c>
      <c r="X482">
        <v>29</v>
      </c>
      <c r="Y482" t="s">
        <v>20806</v>
      </c>
      <c r="Z482" t="s">
        <v>27337</v>
      </c>
      <c r="AA482">
        <v>0.75692198957798196</v>
      </c>
      <c r="AB482" t="str">
        <f>HYPERLINK("Melting_Curves/meltCurve_E9PF99_CEP192.pdf", "Melting_Curves/meltCurve_E9PF99_CEP192.pdf")</f>
        <v>Melting_Curves/meltCurve_E9PF99_CEP192.pdf</v>
      </c>
    </row>
    <row r="483" spans="1:28" x14ac:dyDescent="0.25">
      <c r="A483" t="s">
        <v>487</v>
      </c>
      <c r="B483">
        <v>0.995954080203443</v>
      </c>
      <c r="C483">
        <v>0.90806798925565102</v>
      </c>
      <c r="D483">
        <v>0.76099025027995104</v>
      </c>
      <c r="E483">
        <v>0.71106211793882201</v>
      </c>
      <c r="F483">
        <v>0.63319100401310302</v>
      </c>
      <c r="G483">
        <v>0.46942077733101101</v>
      </c>
      <c r="H483">
        <v>0.44330329889582398</v>
      </c>
      <c r="I483">
        <v>0.50597235392417395</v>
      </c>
      <c r="J483">
        <v>0.63532814167163898</v>
      </c>
      <c r="K483">
        <v>0.61046178827048803</v>
      </c>
      <c r="L483">
        <v>754.82770367113096</v>
      </c>
      <c r="M483">
        <v>16.144735597956501</v>
      </c>
      <c r="O483">
        <v>46.054136171837598</v>
      </c>
      <c r="P483">
        <v>-4.0642530117065499E-2</v>
      </c>
      <c r="Q483">
        <v>0.53629097067189102</v>
      </c>
      <c r="R483">
        <v>0.86235832109427202</v>
      </c>
      <c r="S483" t="s">
        <v>7289</v>
      </c>
      <c r="T483" t="s">
        <v>13610</v>
      </c>
      <c r="U483" t="s">
        <v>13610</v>
      </c>
      <c r="V483" t="s">
        <v>13610</v>
      </c>
      <c r="W483" t="s">
        <v>14083</v>
      </c>
      <c r="X483">
        <v>22</v>
      </c>
      <c r="Y483" t="s">
        <v>20807</v>
      </c>
      <c r="Z483" t="s">
        <v>27338</v>
      </c>
      <c r="AA483">
        <v>0.65165115185058531</v>
      </c>
      <c r="AB483" t="str">
        <f>HYPERLINK("Melting_Curves/meltCurve_E9PFK5_NOP14.pdf", "Melting_Curves/meltCurve_E9PFK5_NOP14.pdf")</f>
        <v>Melting_Curves/meltCurve_E9PFK5_NOP14.pdf</v>
      </c>
    </row>
    <row r="484" spans="1:28" x14ac:dyDescent="0.25">
      <c r="A484" t="s">
        <v>488</v>
      </c>
      <c r="B484">
        <v>0.995954080203443</v>
      </c>
      <c r="C484">
        <v>0.80658548941072095</v>
      </c>
      <c r="D484">
        <v>0.54041146229592296</v>
      </c>
      <c r="E484">
        <v>0.32642935143222801</v>
      </c>
      <c r="F484">
        <v>0.13991838472222401</v>
      </c>
      <c r="G484">
        <v>9.0304524931779401E-2</v>
      </c>
      <c r="H484">
        <v>6.7398198606291204E-2</v>
      </c>
      <c r="I484">
        <v>7.4792749214805096E-2</v>
      </c>
      <c r="J484">
        <v>8.3147363503673299E-2</v>
      </c>
      <c r="K484">
        <v>8.3822256133241305E-2</v>
      </c>
      <c r="L484">
        <v>806.35219891630402</v>
      </c>
      <c r="M484">
        <v>17.381393406557599</v>
      </c>
      <c r="N484">
        <v>46.787332676454</v>
      </c>
      <c r="O484">
        <v>45.790664298390901</v>
      </c>
      <c r="P484">
        <v>-8.8415290275654299E-2</v>
      </c>
      <c r="Q484">
        <v>6.83447036270102E-2</v>
      </c>
      <c r="R484">
        <v>0.99306811053150801</v>
      </c>
      <c r="S484" t="s">
        <v>7290</v>
      </c>
      <c r="T484" t="s">
        <v>13610</v>
      </c>
      <c r="U484" t="s">
        <v>13610</v>
      </c>
      <c r="V484" t="s">
        <v>13610</v>
      </c>
      <c r="W484" t="s">
        <v>14084</v>
      </c>
      <c r="X484">
        <v>24</v>
      </c>
      <c r="Y484" t="s">
        <v>20808</v>
      </c>
      <c r="Z484" t="s">
        <v>27339</v>
      </c>
      <c r="AA484">
        <v>0.28606171135959368</v>
      </c>
      <c r="AB484" t="str">
        <f>HYPERLINK("Melting_Curves/meltCurve_E9PFR3_PPP2R5D.pdf", "Melting_Curves/meltCurve_E9PFR3_PPP2R5D.pdf")</f>
        <v>Melting_Curves/meltCurve_E9PFR3_PPP2R5D.pdf</v>
      </c>
    </row>
    <row r="485" spans="1:28" x14ac:dyDescent="0.25">
      <c r="A485" t="s">
        <v>489</v>
      </c>
      <c r="B485">
        <v>0.995954080203443</v>
      </c>
      <c r="C485">
        <v>0.97172123024697499</v>
      </c>
      <c r="D485">
        <v>0.99509698744721398</v>
      </c>
      <c r="E485">
        <v>0.71258403454422903</v>
      </c>
      <c r="F485">
        <v>0.53237030887555004</v>
      </c>
      <c r="G485">
        <v>0.332539833800997</v>
      </c>
      <c r="H485">
        <v>0.258340789583071</v>
      </c>
      <c r="I485">
        <v>0.282478192328592</v>
      </c>
      <c r="J485">
        <v>0.29481954134232102</v>
      </c>
      <c r="K485">
        <v>0.30243633476866599</v>
      </c>
      <c r="L485">
        <v>1223.85318139432</v>
      </c>
      <c r="M485">
        <v>23.886372858391699</v>
      </c>
      <c r="N485">
        <v>53.056976473123598</v>
      </c>
      <c r="O485">
        <v>50.881399193476298</v>
      </c>
      <c r="P485">
        <v>-8.4538365088471804E-2</v>
      </c>
      <c r="Q485">
        <v>0.27969624817439598</v>
      </c>
      <c r="R485">
        <v>0.99373613164252605</v>
      </c>
      <c r="S485" t="s">
        <v>7291</v>
      </c>
      <c r="T485" t="s">
        <v>13610</v>
      </c>
      <c r="U485" t="s">
        <v>13610</v>
      </c>
      <c r="V485" t="s">
        <v>13610</v>
      </c>
      <c r="W485" t="s">
        <v>14085</v>
      </c>
      <c r="X485">
        <v>10</v>
      </c>
      <c r="Y485" t="s">
        <v>20809</v>
      </c>
      <c r="Z485" t="s">
        <v>27340</v>
      </c>
      <c r="AA485">
        <v>0.55661512840167715</v>
      </c>
      <c r="AB485" t="str">
        <f>HYPERLINK("Melting_Curves/meltCurve_E9PG22_CEP97.pdf", "Melting_Curves/meltCurve_E9PG22_CEP97.pdf")</f>
        <v>Melting_Curves/meltCurve_E9PG22_CEP97.pdf</v>
      </c>
    </row>
    <row r="486" spans="1:28" x14ac:dyDescent="0.25">
      <c r="A486" t="s">
        <v>490</v>
      </c>
      <c r="B486">
        <v>0.995954080203443</v>
      </c>
      <c r="C486">
        <v>0.84442472272397295</v>
      </c>
      <c r="D486">
        <v>0.79440692657064005</v>
      </c>
      <c r="E486">
        <v>0.82813048803643696</v>
      </c>
      <c r="F486">
        <v>0.669851531895859</v>
      </c>
      <c r="G486">
        <v>0.51186436721165196</v>
      </c>
      <c r="H486">
        <v>0.302025262438475</v>
      </c>
      <c r="I486">
        <v>0.18156663137627699</v>
      </c>
      <c r="J486">
        <v>8.6015235427573999E-2</v>
      </c>
      <c r="K486">
        <v>6.8222634440928007E-2</v>
      </c>
      <c r="L486">
        <v>600.22511011936695</v>
      </c>
      <c r="M486">
        <v>10.7173935086594</v>
      </c>
      <c r="N486">
        <v>56.004786601617099</v>
      </c>
      <c r="O486">
        <v>54.160574608520001</v>
      </c>
      <c r="P486">
        <v>-4.94889056721294E-2</v>
      </c>
      <c r="Q486">
        <v>0</v>
      </c>
      <c r="R486">
        <v>0.963196772933263</v>
      </c>
      <c r="S486" t="s">
        <v>7292</v>
      </c>
      <c r="T486" t="s">
        <v>13610</v>
      </c>
      <c r="U486" t="s">
        <v>13610</v>
      </c>
      <c r="V486" t="s">
        <v>13610</v>
      </c>
      <c r="W486" t="s">
        <v>14086</v>
      </c>
      <c r="X486">
        <v>20</v>
      </c>
      <c r="Y486" t="s">
        <v>20810</v>
      </c>
      <c r="Z486" t="s">
        <v>27341</v>
      </c>
      <c r="AA486">
        <v>0.55447840611630639</v>
      </c>
      <c r="AB486" t="str">
        <f>HYPERLINK("Melting_Curves/meltCurve_E9PGT1_TSN.pdf", "Melting_Curves/meltCurve_E9PGT1_TSN.pdf")</f>
        <v>Melting_Curves/meltCurve_E9PGT1_TSN.pdf</v>
      </c>
    </row>
    <row r="487" spans="1:28" x14ac:dyDescent="0.25">
      <c r="A487" t="s">
        <v>491</v>
      </c>
      <c r="B487">
        <v>0.995954080203443</v>
      </c>
      <c r="C487">
        <v>0.82830866860853603</v>
      </c>
      <c r="D487">
        <v>0.69610621687037</v>
      </c>
      <c r="E487">
        <v>0.82320791729121001</v>
      </c>
      <c r="F487">
        <v>0.61120610251326501</v>
      </c>
      <c r="G487">
        <v>0.34476964899906298</v>
      </c>
      <c r="H487">
        <v>0.32722492714538698</v>
      </c>
      <c r="I487">
        <v>0.26297450053062998</v>
      </c>
      <c r="J487">
        <v>0.12667940856318599</v>
      </c>
      <c r="K487">
        <v>0.104587082197259</v>
      </c>
      <c r="L487">
        <v>453.73679839077698</v>
      </c>
      <c r="M487">
        <v>8.2970028451320594</v>
      </c>
      <c r="N487">
        <v>54.686831676177299</v>
      </c>
      <c r="O487">
        <v>51.786262586972001</v>
      </c>
      <c r="P487">
        <v>-4.00935924071271E-2</v>
      </c>
      <c r="Q487">
        <v>0</v>
      </c>
      <c r="R487">
        <v>0.93720875029315598</v>
      </c>
      <c r="S487" t="s">
        <v>7293</v>
      </c>
      <c r="T487" t="s">
        <v>13610</v>
      </c>
      <c r="U487" t="s">
        <v>13610</v>
      </c>
      <c r="V487" t="s">
        <v>13610</v>
      </c>
      <c r="W487" t="s">
        <v>14087</v>
      </c>
      <c r="X487">
        <v>8</v>
      </c>
      <c r="Y487" t="s">
        <v>20811</v>
      </c>
      <c r="Z487" t="s">
        <v>27342</v>
      </c>
      <c r="AA487">
        <v>0.51871465849928877</v>
      </c>
      <c r="AB487" t="str">
        <f>HYPERLINK("Melting_Curves/meltCurve_E9PGT6_COPS8.pdf", "Melting_Curves/meltCurve_E9PGT6_COPS8.pdf")</f>
        <v>Melting_Curves/meltCurve_E9PGT6_COPS8.pdf</v>
      </c>
    </row>
    <row r="488" spans="1:28" x14ac:dyDescent="0.25">
      <c r="A488" t="s">
        <v>492</v>
      </c>
      <c r="B488">
        <v>0.995954080203443</v>
      </c>
      <c r="C488">
        <v>0.79339868628690202</v>
      </c>
      <c r="D488">
        <v>0.77792101229806399</v>
      </c>
      <c r="E488">
        <v>0.69304167927319904</v>
      </c>
      <c r="F488">
        <v>0.58743562896669499</v>
      </c>
      <c r="G488">
        <v>0.34752762483812699</v>
      </c>
      <c r="H488">
        <v>0.15115588747872699</v>
      </c>
      <c r="I488">
        <v>0.13859108353334401</v>
      </c>
      <c r="J488">
        <v>0.16575916969443699</v>
      </c>
      <c r="K488">
        <v>0.14150681838281501</v>
      </c>
      <c r="L488">
        <v>484.073980473993</v>
      </c>
      <c r="M488">
        <v>9.0836259978230007</v>
      </c>
      <c r="N488">
        <v>53.290830577036097</v>
      </c>
      <c r="O488">
        <v>50.898471518112501</v>
      </c>
      <c r="P488">
        <v>-4.4647685021509502E-2</v>
      </c>
      <c r="Q488">
        <v>0</v>
      </c>
      <c r="R488">
        <v>0.96444358447376199</v>
      </c>
      <c r="S488" t="s">
        <v>7294</v>
      </c>
      <c r="T488" t="s">
        <v>13610</v>
      </c>
      <c r="U488" t="s">
        <v>13610</v>
      </c>
      <c r="V488" t="s">
        <v>13610</v>
      </c>
      <c r="W488" t="s">
        <v>14088</v>
      </c>
      <c r="X488">
        <v>6</v>
      </c>
      <c r="Y488" t="s">
        <v>20812</v>
      </c>
      <c r="Z488" t="s">
        <v>27343</v>
      </c>
      <c r="AA488">
        <v>0.47869877669222932</v>
      </c>
      <c r="AB488" t="str">
        <f>HYPERLINK("Melting_Curves/meltCurve_E9PGW7_MED22.pdf", "Melting_Curves/meltCurve_E9PGW7_MED22.pdf")</f>
        <v>Melting_Curves/meltCurve_E9PGW7_MED22.pdf</v>
      </c>
    </row>
    <row r="489" spans="1:28" x14ac:dyDescent="0.25">
      <c r="A489" t="s">
        <v>493</v>
      </c>
      <c r="B489">
        <v>0.995954080203443</v>
      </c>
      <c r="C489">
        <v>0.93445563030897505</v>
      </c>
      <c r="D489">
        <v>0.81228626431872497</v>
      </c>
      <c r="E489">
        <v>0.65575827629517203</v>
      </c>
      <c r="F489">
        <v>0.39730948996538601</v>
      </c>
      <c r="G489">
        <v>0.16810452572821599</v>
      </c>
      <c r="H489">
        <v>9.1138673900371003E-2</v>
      </c>
      <c r="I489">
        <v>6.7408418709671306E-2</v>
      </c>
      <c r="J489">
        <v>5.9064871399329297E-2</v>
      </c>
      <c r="K489">
        <v>4.9571329860447502E-2</v>
      </c>
      <c r="L489">
        <v>774.89931189926597</v>
      </c>
      <c r="M489">
        <v>15.0868454450182</v>
      </c>
      <c r="N489">
        <v>51.497597223875601</v>
      </c>
      <c r="O489">
        <v>50.485526833699502</v>
      </c>
      <c r="P489">
        <v>-7.3267297308723195E-2</v>
      </c>
      <c r="Q489">
        <v>1.93913515087011E-2</v>
      </c>
      <c r="R489">
        <v>0.99569932741876499</v>
      </c>
      <c r="S489" t="s">
        <v>7295</v>
      </c>
      <c r="T489" t="s">
        <v>13610</v>
      </c>
      <c r="U489" t="s">
        <v>13610</v>
      </c>
      <c r="V489" t="s">
        <v>13610</v>
      </c>
      <c r="W489" t="s">
        <v>14089</v>
      </c>
      <c r="X489">
        <v>10</v>
      </c>
      <c r="Y489" t="s">
        <v>20813</v>
      </c>
      <c r="Z489" t="s">
        <v>27344</v>
      </c>
      <c r="AA489">
        <v>0.41298812026973619</v>
      </c>
      <c r="AB489" t="str">
        <f>HYPERLINK("Melting_Curves/meltCurve_E9PH29_PRDX3.pdf", "Melting_Curves/meltCurve_E9PH29_PRDX3.pdf")</f>
        <v>Melting_Curves/meltCurve_E9PH29_PRDX3.pdf</v>
      </c>
    </row>
    <row r="490" spans="1:28" x14ac:dyDescent="0.25">
      <c r="A490" t="s">
        <v>494</v>
      </c>
      <c r="B490">
        <v>0.995954080203443</v>
      </c>
      <c r="C490">
        <v>0.95839743690106705</v>
      </c>
      <c r="D490">
        <v>0.66856909412735299</v>
      </c>
      <c r="E490">
        <v>0.70741303492150798</v>
      </c>
      <c r="F490">
        <v>0.62469576152544504</v>
      </c>
      <c r="G490">
        <v>0.44198446261381402</v>
      </c>
      <c r="H490">
        <v>0.403596446081605</v>
      </c>
      <c r="I490">
        <v>0.62690517025562098</v>
      </c>
      <c r="J490">
        <v>0.63972294625819104</v>
      </c>
      <c r="K490">
        <v>0.60546504033508497</v>
      </c>
      <c r="L490">
        <v>1117.13254139726</v>
      </c>
      <c r="M490">
        <v>24.6915752018365</v>
      </c>
      <c r="O490">
        <v>44.949841005456797</v>
      </c>
      <c r="P490">
        <v>-5.97336724113295E-2</v>
      </c>
      <c r="Q490">
        <v>0.56503690557782305</v>
      </c>
      <c r="R490">
        <v>0.77150743962323098</v>
      </c>
      <c r="S490" t="s">
        <v>7296</v>
      </c>
      <c r="T490" t="s">
        <v>13610</v>
      </c>
      <c r="U490" t="s">
        <v>13610</v>
      </c>
      <c r="V490" t="s">
        <v>13610</v>
      </c>
      <c r="W490" t="s">
        <v>14090</v>
      </c>
      <c r="X490">
        <v>1</v>
      </c>
      <c r="Y490" t="s">
        <v>20814</v>
      </c>
      <c r="Z490" t="s">
        <v>27345</v>
      </c>
      <c r="AA490">
        <v>0.64542131238924294</v>
      </c>
      <c r="AB490" t="str">
        <f>HYPERLINK("Melting_Curves/meltCurve_E9PH58_TTLL4.pdf", "Melting_Curves/meltCurve_E9PH58_TTLL4.pdf")</f>
        <v>Melting_Curves/meltCurve_E9PH58_TTLL4.pdf</v>
      </c>
    </row>
    <row r="491" spans="1:28" x14ac:dyDescent="0.25">
      <c r="A491" t="s">
        <v>495</v>
      </c>
      <c r="B491">
        <v>0.995954080203443</v>
      </c>
      <c r="C491">
        <v>0.81954899370525602</v>
      </c>
      <c r="D491">
        <v>0.95455202345075696</v>
      </c>
      <c r="E491">
        <v>0.85136515315566597</v>
      </c>
      <c r="F491">
        <v>0.84271533341617499</v>
      </c>
      <c r="G491">
        <v>0.65313160534704295</v>
      </c>
      <c r="H491">
        <v>0.59050476951645103</v>
      </c>
      <c r="I491">
        <v>0.70672393797033695</v>
      </c>
      <c r="J491">
        <v>0.85082737690148202</v>
      </c>
      <c r="K491">
        <v>0.86301151496472395</v>
      </c>
      <c r="L491">
        <v>574.95512273945496</v>
      </c>
      <c r="M491">
        <v>12.3418821916905</v>
      </c>
      <c r="O491">
        <v>45.413325200680397</v>
      </c>
      <c r="P491">
        <v>-1.76726607866943E-2</v>
      </c>
      <c r="Q491">
        <v>0.73994215578743505</v>
      </c>
      <c r="R491">
        <v>0.39052625395312002</v>
      </c>
      <c r="S491" t="s">
        <v>7297</v>
      </c>
      <c r="T491" t="s">
        <v>13610</v>
      </c>
      <c r="U491" t="s">
        <v>13610</v>
      </c>
      <c r="V491" t="s">
        <v>13610</v>
      </c>
      <c r="W491" t="s">
        <v>14091</v>
      </c>
      <c r="X491">
        <v>19</v>
      </c>
      <c r="Y491" t="s">
        <v>20815</v>
      </c>
      <c r="Z491" t="s">
        <v>27346</v>
      </c>
      <c r="AA491">
        <v>0.8077281237153684</v>
      </c>
      <c r="AB491" t="str">
        <f>HYPERLINK("Melting_Curves/meltCurve_E9PH62_STAU2.pdf", "Melting_Curves/meltCurve_E9PH62_STAU2.pdf")</f>
        <v>Melting_Curves/meltCurve_E9PH62_STAU2.pdf</v>
      </c>
    </row>
    <row r="492" spans="1:28" x14ac:dyDescent="0.25">
      <c r="A492" t="s">
        <v>496</v>
      </c>
      <c r="B492">
        <v>0.995954080203443</v>
      </c>
      <c r="C492">
        <v>0.97507125848432896</v>
      </c>
      <c r="D492">
        <v>0.84073868944989405</v>
      </c>
      <c r="E492">
        <v>0.790760839225779</v>
      </c>
      <c r="F492">
        <v>0.65237612117117205</v>
      </c>
      <c r="G492">
        <v>0.323786620738585</v>
      </c>
      <c r="H492">
        <v>0.16104124943380799</v>
      </c>
      <c r="I492">
        <v>0.114471908940459</v>
      </c>
      <c r="J492">
        <v>0.120126175976486</v>
      </c>
      <c r="K492">
        <v>0.122033526778418</v>
      </c>
      <c r="L492">
        <v>823.97505872252702</v>
      </c>
      <c r="M492">
        <v>15.2739236178837</v>
      </c>
      <c r="N492">
        <v>54.398867088902499</v>
      </c>
      <c r="O492">
        <v>53.047148194219801</v>
      </c>
      <c r="P492">
        <v>-6.7696429777787295E-2</v>
      </c>
      <c r="Q492">
        <v>5.9635187868110402E-2</v>
      </c>
      <c r="R492">
        <v>0.98689578151920199</v>
      </c>
      <c r="S492" t="s">
        <v>7298</v>
      </c>
      <c r="T492" t="s">
        <v>13610</v>
      </c>
      <c r="U492" t="s">
        <v>13610</v>
      </c>
      <c r="V492" t="s">
        <v>13610</v>
      </c>
      <c r="W492" t="s">
        <v>14092</v>
      </c>
      <c r="X492">
        <v>3</v>
      </c>
      <c r="Y492" t="s">
        <v>20816</v>
      </c>
      <c r="Z492" t="s">
        <v>27347</v>
      </c>
      <c r="AA492">
        <v>0.51570862273642637</v>
      </c>
      <c r="AB492" t="str">
        <f>HYPERLINK("Melting_Curves/meltCurve_E9PHK0_CLEC3B.pdf", "Melting_Curves/meltCurve_E9PHK0_CLEC3B.pdf")</f>
        <v>Melting_Curves/meltCurve_E9PHK0_CLEC3B.pdf</v>
      </c>
    </row>
    <row r="493" spans="1:28" x14ac:dyDescent="0.25">
      <c r="A493" t="s">
        <v>497</v>
      </c>
      <c r="B493">
        <v>0.995954080203443</v>
      </c>
      <c r="C493">
        <v>0.93765644268686898</v>
      </c>
      <c r="D493">
        <v>0.85863781164041497</v>
      </c>
      <c r="E493">
        <v>0.58320159994626397</v>
      </c>
      <c r="F493">
        <v>0.1757388421552</v>
      </c>
      <c r="G493">
        <v>0.113480559363276</v>
      </c>
      <c r="H493">
        <v>8.4375534928745596E-2</v>
      </c>
      <c r="I493">
        <v>8.0460510565536505E-2</v>
      </c>
      <c r="J493">
        <v>0.108980900804377</v>
      </c>
      <c r="K493">
        <v>9.2154407408999203E-2</v>
      </c>
      <c r="L493">
        <v>1331.711762828</v>
      </c>
      <c r="M493">
        <v>26.699708225110399</v>
      </c>
      <c r="N493">
        <v>50.212565367404302</v>
      </c>
      <c r="O493">
        <v>49.600115994605197</v>
      </c>
      <c r="P493">
        <v>-0.123591958050128</v>
      </c>
      <c r="Q493">
        <v>8.1621181473589405E-2</v>
      </c>
      <c r="R493">
        <v>0.99026990098971801</v>
      </c>
      <c r="S493" t="s">
        <v>7299</v>
      </c>
      <c r="T493" t="s">
        <v>13610</v>
      </c>
      <c r="U493" t="s">
        <v>13610</v>
      </c>
      <c r="V493" t="s">
        <v>13610</v>
      </c>
      <c r="W493" t="s">
        <v>14093</v>
      </c>
      <c r="X493">
        <v>18</v>
      </c>
      <c r="Y493" t="s">
        <v>20817</v>
      </c>
      <c r="Z493" t="s">
        <v>27348</v>
      </c>
      <c r="AA493">
        <v>0.39117227084194078</v>
      </c>
      <c r="AB493" t="str">
        <f>HYPERLINK("Melting_Curves/meltCurve_E9PHM2_LARS2.pdf", "Melting_Curves/meltCurve_E9PHM2_LARS2.pdf")</f>
        <v>Melting_Curves/meltCurve_E9PHM2_LARS2.pdf</v>
      </c>
    </row>
    <row r="494" spans="1:28" x14ac:dyDescent="0.25">
      <c r="A494" t="s">
        <v>498</v>
      </c>
      <c r="B494">
        <v>0.995954080203443</v>
      </c>
      <c r="C494">
        <v>0.97772218198165295</v>
      </c>
      <c r="D494">
        <v>0.98317412811105898</v>
      </c>
      <c r="E494">
        <v>0.77828846759627102</v>
      </c>
      <c r="F494">
        <v>0.73065498087518499</v>
      </c>
      <c r="G494">
        <v>0.53473347715046204</v>
      </c>
      <c r="H494">
        <v>0.48566071857676701</v>
      </c>
      <c r="I494">
        <v>0.57875315211720502</v>
      </c>
      <c r="J494">
        <v>0.58040630765274603</v>
      </c>
      <c r="K494">
        <v>0.688534448985754</v>
      </c>
      <c r="L494">
        <v>1290.30675210287</v>
      </c>
      <c r="M494">
        <v>25.601864834739199</v>
      </c>
      <c r="O494">
        <v>50.094468070506302</v>
      </c>
      <c r="P494">
        <v>-5.4221766033311601E-2</v>
      </c>
      <c r="Q494">
        <v>0.57562825923954297</v>
      </c>
      <c r="R494">
        <v>0.910278385771492</v>
      </c>
      <c r="S494" t="s">
        <v>7300</v>
      </c>
      <c r="T494" t="s">
        <v>13610</v>
      </c>
      <c r="U494" t="s">
        <v>13610</v>
      </c>
      <c r="V494" t="s">
        <v>13610</v>
      </c>
      <c r="W494" t="s">
        <v>14094</v>
      </c>
      <c r="X494">
        <v>13</v>
      </c>
      <c r="Y494" t="s">
        <v>20818</v>
      </c>
      <c r="Z494" t="s">
        <v>27349</v>
      </c>
      <c r="AA494">
        <v>0.7263609512826168</v>
      </c>
      <c r="AB494" t="str">
        <f>HYPERLINK("Melting_Curves/meltCurve_E9PHV5_SSFA2.pdf", "Melting_Curves/meltCurve_E9PHV5_SSFA2.pdf")</f>
        <v>Melting_Curves/meltCurve_E9PHV5_SSFA2.pdf</v>
      </c>
    </row>
    <row r="495" spans="1:28" x14ac:dyDescent="0.25">
      <c r="A495" t="s">
        <v>499</v>
      </c>
      <c r="B495">
        <v>0.995954080203443</v>
      </c>
      <c r="C495">
        <v>1.0380751171881399</v>
      </c>
      <c r="D495">
        <v>1.1102159847497399</v>
      </c>
      <c r="E495">
        <v>0.89878412254839901</v>
      </c>
      <c r="F495">
        <v>0.65061597569393503</v>
      </c>
      <c r="G495">
        <v>0.39098063305543801</v>
      </c>
      <c r="H495">
        <v>0.33410475175746901</v>
      </c>
      <c r="I495">
        <v>0.436627053142076</v>
      </c>
      <c r="J495">
        <v>0.58118060379692704</v>
      </c>
      <c r="K495">
        <v>0.53825740641070996</v>
      </c>
      <c r="L495">
        <v>2299.66275695894</v>
      </c>
      <c r="M495">
        <v>44.153400281967997</v>
      </c>
      <c r="N495">
        <v>55.126492827081201</v>
      </c>
      <c r="O495">
        <v>51.976980989339502</v>
      </c>
      <c r="P495">
        <v>-0.115465572001598</v>
      </c>
      <c r="Q495">
        <v>0.45630068407747998</v>
      </c>
      <c r="R495">
        <v>0.92154315352628602</v>
      </c>
      <c r="S495" t="s">
        <v>7301</v>
      </c>
      <c r="T495" t="s">
        <v>13610</v>
      </c>
      <c r="U495" t="s">
        <v>13610</v>
      </c>
      <c r="V495" t="s">
        <v>13610</v>
      </c>
      <c r="W495" t="s">
        <v>14095</v>
      </c>
      <c r="X495">
        <v>1</v>
      </c>
      <c r="Y495" t="s">
        <v>20819</v>
      </c>
      <c r="Z495" t="s">
        <v>27350</v>
      </c>
      <c r="AA495">
        <v>0.67689723463133278</v>
      </c>
      <c r="AB495" t="str">
        <f>HYPERLINK("Melting_Curves/meltCurve_E9PHX8_MERTK.pdf", "Melting_Curves/meltCurve_E9PHX8_MERTK.pdf")</f>
        <v>Melting_Curves/meltCurve_E9PHX8_MERTK.pdf</v>
      </c>
    </row>
    <row r="496" spans="1:28" x14ac:dyDescent="0.25">
      <c r="A496" t="s">
        <v>500</v>
      </c>
      <c r="B496">
        <v>0.995954080203443</v>
      </c>
      <c r="C496">
        <v>0.96312012728303997</v>
      </c>
      <c r="D496">
        <v>0.97770537451433503</v>
      </c>
      <c r="E496">
        <v>0.89737325921595401</v>
      </c>
      <c r="F496">
        <v>0.88466684241726601</v>
      </c>
      <c r="G496">
        <v>0.693700307140383</v>
      </c>
      <c r="H496">
        <v>0.67084794371629797</v>
      </c>
      <c r="I496">
        <v>0.81786463912232699</v>
      </c>
      <c r="J496">
        <v>1.04394160834685</v>
      </c>
      <c r="K496">
        <v>0.951055514133613</v>
      </c>
      <c r="L496">
        <v>1598.09470454602</v>
      </c>
      <c r="M496">
        <v>32.608802134949698</v>
      </c>
      <c r="O496">
        <v>48.824868988296103</v>
      </c>
      <c r="P496">
        <v>-2.6519974112834799E-2</v>
      </c>
      <c r="Q496">
        <v>0.84116825890106794</v>
      </c>
      <c r="R496">
        <v>0.25238756580240002</v>
      </c>
      <c r="S496" t="s">
        <v>7302</v>
      </c>
      <c r="T496" t="s">
        <v>13610</v>
      </c>
      <c r="U496" t="s">
        <v>13610</v>
      </c>
      <c r="V496" t="s">
        <v>13610</v>
      </c>
      <c r="W496" t="s">
        <v>14096</v>
      </c>
      <c r="X496">
        <v>54</v>
      </c>
      <c r="Y496" t="s">
        <v>20820</v>
      </c>
      <c r="Z496" t="s">
        <v>27351</v>
      </c>
      <c r="AA496">
        <v>0.88967632968538546</v>
      </c>
      <c r="AB496" t="str">
        <f>HYPERLINK("Melting_Curves/meltCurve_E9PHY5_EPB41L2.pdf", "Melting_Curves/meltCurve_E9PHY5_EPB41L2.pdf")</f>
        <v>Melting_Curves/meltCurve_E9PHY5_EPB41L2.pdf</v>
      </c>
    </row>
    <row r="497" spans="1:28" x14ac:dyDescent="0.25">
      <c r="A497" t="s">
        <v>501</v>
      </c>
      <c r="B497">
        <v>0.995954080203443</v>
      </c>
      <c r="C497">
        <v>0.81230946447007502</v>
      </c>
      <c r="D497">
        <v>0.67699521981427202</v>
      </c>
      <c r="E497">
        <v>0.58683802442132804</v>
      </c>
      <c r="F497">
        <v>0.455021184816985</v>
      </c>
      <c r="G497">
        <v>0.19322628762070401</v>
      </c>
      <c r="H497">
        <v>0.103345124637061</v>
      </c>
      <c r="I497">
        <v>9.7016436430673994E-2</v>
      </c>
      <c r="J497">
        <v>0.118144114791009</v>
      </c>
      <c r="K497">
        <v>0.10864227732746</v>
      </c>
      <c r="L497">
        <v>514.33601362373997</v>
      </c>
      <c r="M497">
        <v>10.188406879916201</v>
      </c>
      <c r="N497">
        <v>50.639647850111302</v>
      </c>
      <c r="O497">
        <v>48.653538008546597</v>
      </c>
      <c r="P497">
        <v>-5.1560420828858901E-2</v>
      </c>
      <c r="Q497">
        <v>1.55629381707625E-2</v>
      </c>
      <c r="R497">
        <v>0.97515878959257096</v>
      </c>
      <c r="S497" t="s">
        <v>7303</v>
      </c>
      <c r="T497" t="s">
        <v>13610</v>
      </c>
      <c r="U497" t="s">
        <v>13610</v>
      </c>
      <c r="V497" t="s">
        <v>13610</v>
      </c>
      <c r="W497" t="s">
        <v>14097</v>
      </c>
      <c r="X497">
        <v>1</v>
      </c>
      <c r="Y497" t="s">
        <v>20821</v>
      </c>
      <c r="Z497" t="s">
        <v>27352</v>
      </c>
      <c r="AA497">
        <v>0.4012820624658166</v>
      </c>
      <c r="AB497" t="str">
        <f>HYPERLINK("Melting_Curves/meltCurve_E9PI10_TBRG1.pdf", "Melting_Curves/meltCurve_E9PI10_TBRG1.pdf")</f>
        <v>Melting_Curves/meltCurve_E9PI10_TBRG1.pdf</v>
      </c>
    </row>
    <row r="498" spans="1:28" x14ac:dyDescent="0.25">
      <c r="A498" t="s">
        <v>502</v>
      </c>
      <c r="B498">
        <v>0.995954080203443</v>
      </c>
      <c r="C498">
        <v>1.0469470889211601</v>
      </c>
      <c r="D498">
        <v>0.96285949569777296</v>
      </c>
      <c r="E498">
        <v>0.96756088557946995</v>
      </c>
      <c r="F498">
        <v>0.95204194144091303</v>
      </c>
      <c r="G498">
        <v>0.70362552549897495</v>
      </c>
      <c r="H498">
        <v>0.54571893506722302</v>
      </c>
      <c r="I498">
        <v>0.62652913595347604</v>
      </c>
      <c r="J498">
        <v>0.65723309321450096</v>
      </c>
      <c r="K498">
        <v>0.63810472837805099</v>
      </c>
      <c r="L498">
        <v>2585.0570605585599</v>
      </c>
      <c r="M498">
        <v>46.736624270895199</v>
      </c>
      <c r="O498">
        <v>55.210166823738597</v>
      </c>
      <c r="P498">
        <v>-8.0955155806692505E-2</v>
      </c>
      <c r="Q498">
        <v>0.61746967435397004</v>
      </c>
      <c r="R498">
        <v>0.96167666884428404</v>
      </c>
      <c r="S498" t="s">
        <v>7304</v>
      </c>
      <c r="T498" t="s">
        <v>13610</v>
      </c>
      <c r="U498" t="s">
        <v>13610</v>
      </c>
      <c r="V498" t="s">
        <v>13610</v>
      </c>
      <c r="W498" t="s">
        <v>14098</v>
      </c>
      <c r="X498">
        <v>3</v>
      </c>
      <c r="Y498" t="s">
        <v>20822</v>
      </c>
      <c r="Z498" t="s">
        <v>27353</v>
      </c>
      <c r="AA498">
        <v>0.81377013025358214</v>
      </c>
      <c r="AB498" t="str">
        <f>HYPERLINK("Melting_Curves/meltCurve_E9PIP3_GPSM3.pdf", "Melting_Curves/meltCurve_E9PIP3_GPSM3.pdf")</f>
        <v>Melting_Curves/meltCurve_E9PIP3_GPSM3.pdf</v>
      </c>
    </row>
    <row r="499" spans="1:28" x14ac:dyDescent="0.25">
      <c r="A499" t="s">
        <v>503</v>
      </c>
      <c r="B499">
        <v>0.995954080203443</v>
      </c>
      <c r="C499">
        <v>0.86405256902891703</v>
      </c>
      <c r="D499">
        <v>0.97582656181192395</v>
      </c>
      <c r="E499">
        <v>0.90904618861864095</v>
      </c>
      <c r="F499">
        <v>0.91434248438445598</v>
      </c>
      <c r="G499">
        <v>0.740028562212105</v>
      </c>
      <c r="H499">
        <v>0.65712783141117304</v>
      </c>
      <c r="I499">
        <v>0.72224669912996198</v>
      </c>
      <c r="J499">
        <v>1.0220712593040799</v>
      </c>
      <c r="K499">
        <v>0.73369136607325203</v>
      </c>
      <c r="L499">
        <v>663.68716088783799</v>
      </c>
      <c r="M499">
        <v>13.2929594250595</v>
      </c>
      <c r="O499">
        <v>48.8383816036851</v>
      </c>
      <c r="P499">
        <v>-1.53802007524848E-2</v>
      </c>
      <c r="Q499">
        <v>0.77400894958572097</v>
      </c>
      <c r="R499">
        <v>0.30806824354748602</v>
      </c>
      <c r="S499" t="s">
        <v>7305</v>
      </c>
      <c r="T499" t="s">
        <v>13610</v>
      </c>
      <c r="U499" t="s">
        <v>13610</v>
      </c>
      <c r="V499" t="s">
        <v>13610</v>
      </c>
      <c r="W499" t="s">
        <v>14099</v>
      </c>
      <c r="X499">
        <v>24</v>
      </c>
      <c r="Y499" t="s">
        <v>20823</v>
      </c>
      <c r="Z499" t="s">
        <v>27354</v>
      </c>
      <c r="AA499">
        <v>0.85544984134484692</v>
      </c>
      <c r="AB499" t="str">
        <f>HYPERLINK("Melting_Curves/meltCurve_E9PJ04_SF3B2.pdf", "Melting_Curves/meltCurve_E9PJ04_SF3B2.pdf")</f>
        <v>Melting_Curves/meltCurve_E9PJ04_SF3B2.pdf</v>
      </c>
    </row>
    <row r="500" spans="1:28" x14ac:dyDescent="0.25">
      <c r="A500" t="s">
        <v>504</v>
      </c>
      <c r="B500">
        <v>0.995954080203443</v>
      </c>
      <c r="C500">
        <v>0.72743511568039698</v>
      </c>
      <c r="D500">
        <v>1.3968993324557</v>
      </c>
      <c r="E500">
        <v>0.79317202935219899</v>
      </c>
      <c r="F500">
        <v>1.20457859830574</v>
      </c>
      <c r="G500">
        <v>1.0527947421130099</v>
      </c>
      <c r="H500">
        <v>1.10524159592347</v>
      </c>
      <c r="I500">
        <v>1.24821553762354</v>
      </c>
      <c r="J500">
        <v>1.7038254157741399</v>
      </c>
      <c r="K500">
        <v>1.7549201032656701</v>
      </c>
      <c r="L500">
        <v>15000</v>
      </c>
      <c r="M500">
        <v>234.36094002139799</v>
      </c>
      <c r="O500">
        <v>63.999178942838697</v>
      </c>
      <c r="P500">
        <v>0.45774208425516399</v>
      </c>
      <c r="Q500">
        <v>1.5</v>
      </c>
      <c r="R500">
        <v>0.58940280811064905</v>
      </c>
      <c r="S500" t="s">
        <v>7306</v>
      </c>
      <c r="T500" t="s">
        <v>13610</v>
      </c>
      <c r="U500" t="s">
        <v>13610</v>
      </c>
      <c r="V500" t="s">
        <v>13610</v>
      </c>
      <c r="W500" t="s">
        <v>14100</v>
      </c>
      <c r="X500">
        <v>1</v>
      </c>
      <c r="Y500" t="s">
        <v>20824</v>
      </c>
      <c r="Z500" t="s">
        <v>27355</v>
      </c>
      <c r="AA500">
        <v>1.099872097162458</v>
      </c>
      <c r="AB500" t="str">
        <f>HYPERLINK("Melting_Curves/meltCurve_E9PJ07_C10orf137.pdf", "Melting_Curves/meltCurve_E9PJ07_C10orf137.pdf")</f>
        <v>Melting_Curves/meltCurve_E9PJ07_C10orf137.pdf</v>
      </c>
    </row>
    <row r="501" spans="1:28" x14ac:dyDescent="0.25">
      <c r="A501" t="s">
        <v>505</v>
      </c>
      <c r="B501">
        <v>0.995954080203443</v>
      </c>
      <c r="C501">
        <v>1.0265039184979501</v>
      </c>
      <c r="D501">
        <v>1.0455558958417499</v>
      </c>
      <c r="E501">
        <v>0.94843782515855501</v>
      </c>
      <c r="F501">
        <v>0.88670270406769303</v>
      </c>
      <c r="G501">
        <v>0.70830536579838699</v>
      </c>
      <c r="H501">
        <v>0.61721080827375296</v>
      </c>
      <c r="I501">
        <v>0.739365853799267</v>
      </c>
      <c r="J501">
        <v>0.82110863178449101</v>
      </c>
      <c r="K501">
        <v>0.82706865635361504</v>
      </c>
      <c r="L501">
        <v>2803.4648627946799</v>
      </c>
      <c r="M501">
        <v>52.817052046194704</v>
      </c>
      <c r="O501">
        <v>53.002856456196099</v>
      </c>
      <c r="P501">
        <v>-6.4233469112248601E-2</v>
      </c>
      <c r="Q501">
        <v>0.74216243598466303</v>
      </c>
      <c r="R501">
        <v>0.81173024459448895</v>
      </c>
      <c r="S501" t="s">
        <v>7307</v>
      </c>
      <c r="T501" t="s">
        <v>13610</v>
      </c>
      <c r="U501" t="s">
        <v>13610</v>
      </c>
      <c r="V501" t="s">
        <v>13610</v>
      </c>
      <c r="W501" t="s">
        <v>14101</v>
      </c>
      <c r="X501">
        <v>18</v>
      </c>
      <c r="Y501" t="s">
        <v>20825</v>
      </c>
      <c r="Z501" t="s">
        <v>27356</v>
      </c>
      <c r="AA501">
        <v>0.85510979979854063</v>
      </c>
      <c r="AB501" t="str">
        <f>HYPERLINK("Melting_Curves/meltCurve_E9PJ24_PHRF1.pdf", "Melting_Curves/meltCurve_E9PJ24_PHRF1.pdf")</f>
        <v>Melting_Curves/meltCurve_E9PJ24_PHRF1.pdf</v>
      </c>
    </row>
    <row r="502" spans="1:28" x14ac:dyDescent="0.25">
      <c r="A502" t="s">
        <v>506</v>
      </c>
      <c r="B502">
        <v>0.995954080203443</v>
      </c>
      <c r="C502">
        <v>0.96326245984692704</v>
      </c>
      <c r="D502">
        <v>0.98349930330031499</v>
      </c>
      <c r="E502">
        <v>0.90679113104783005</v>
      </c>
      <c r="F502">
        <v>0.84969569085784902</v>
      </c>
      <c r="G502">
        <v>0.68486461447357805</v>
      </c>
      <c r="H502">
        <v>0.67804509319089901</v>
      </c>
      <c r="I502">
        <v>0.89658360099072798</v>
      </c>
      <c r="J502">
        <v>1.0367773972952901</v>
      </c>
      <c r="K502">
        <v>1.0525558334443901</v>
      </c>
      <c r="L502">
        <v>2714.5192504485099</v>
      </c>
      <c r="M502">
        <v>55.267037563739301</v>
      </c>
      <c r="O502">
        <v>49.0522433276914</v>
      </c>
      <c r="P502">
        <v>-3.7604371588618901E-2</v>
      </c>
      <c r="Q502">
        <v>0.86649708065002595</v>
      </c>
      <c r="R502">
        <v>0.15680320990568</v>
      </c>
      <c r="S502" t="s">
        <v>7308</v>
      </c>
      <c r="T502" t="s">
        <v>13610</v>
      </c>
      <c r="U502" t="s">
        <v>13610</v>
      </c>
      <c r="V502" t="s">
        <v>13610</v>
      </c>
      <c r="W502" t="s">
        <v>14102</v>
      </c>
      <c r="X502">
        <v>20</v>
      </c>
      <c r="Y502" t="s">
        <v>20826</v>
      </c>
      <c r="Z502" t="s">
        <v>27357</v>
      </c>
      <c r="AA502">
        <v>0.90730255817620387</v>
      </c>
      <c r="AB502" t="str">
        <f>HYPERLINK("Melting_Curves/meltCurve_E9PJ81_UBXN1.pdf", "Melting_Curves/meltCurve_E9PJ81_UBXN1.pdf")</f>
        <v>Melting_Curves/meltCurve_E9PJ81_UBXN1.pdf</v>
      </c>
    </row>
    <row r="503" spans="1:28" x14ac:dyDescent="0.25">
      <c r="A503" t="s">
        <v>507</v>
      </c>
      <c r="B503">
        <v>0.995954080203443</v>
      </c>
      <c r="C503">
        <v>0.93279157053887896</v>
      </c>
      <c r="D503">
        <v>1.1127291360338201</v>
      </c>
      <c r="E503">
        <v>0.82436392550756499</v>
      </c>
      <c r="F503">
        <v>0.60321371568398197</v>
      </c>
      <c r="G503">
        <v>0.389195900730819</v>
      </c>
      <c r="H503">
        <v>0.17424766018000001</v>
      </c>
      <c r="I503">
        <v>0.122573052974514</v>
      </c>
      <c r="J503">
        <v>0.114024428263099</v>
      </c>
      <c r="K503">
        <v>0.111007863969073</v>
      </c>
      <c r="L503">
        <v>1041.4061311876401</v>
      </c>
      <c r="M503">
        <v>19.238632326439799</v>
      </c>
      <c r="N503">
        <v>54.717780080284797</v>
      </c>
      <c r="O503">
        <v>53.556321413310798</v>
      </c>
      <c r="P503">
        <v>-8.1437711384736503E-2</v>
      </c>
      <c r="Q503">
        <v>9.3212559419716706E-2</v>
      </c>
      <c r="R503">
        <v>0.98081323870289105</v>
      </c>
      <c r="S503" t="s">
        <v>7309</v>
      </c>
      <c r="T503" t="s">
        <v>13610</v>
      </c>
      <c r="U503" t="s">
        <v>13610</v>
      </c>
      <c r="V503" t="s">
        <v>13610</v>
      </c>
      <c r="W503" t="s">
        <v>14103</v>
      </c>
      <c r="X503">
        <v>11</v>
      </c>
      <c r="Y503" t="s">
        <v>20827</v>
      </c>
      <c r="Z503" t="s">
        <v>27358</v>
      </c>
      <c r="AA503">
        <v>0.53341215789800833</v>
      </c>
      <c r="AB503" t="str">
        <f>HYPERLINK("Melting_Curves/meltCurve_E9PJD7_CYHR1.pdf", "Melting_Curves/meltCurve_E9PJD7_CYHR1.pdf")</f>
        <v>Melting_Curves/meltCurve_E9PJD7_CYHR1.pdf</v>
      </c>
    </row>
    <row r="504" spans="1:28" x14ac:dyDescent="0.25">
      <c r="A504" t="s">
        <v>508</v>
      </c>
      <c r="B504">
        <v>0.995954080203443</v>
      </c>
      <c r="C504">
        <v>0.87431534201510497</v>
      </c>
      <c r="D504">
        <v>0.71720103083535502</v>
      </c>
      <c r="E504">
        <v>0.57068425996696304</v>
      </c>
      <c r="F504">
        <v>0.212058666101371</v>
      </c>
      <c r="G504">
        <v>0.13151019928202201</v>
      </c>
      <c r="H504">
        <v>9.2104812200440297E-2</v>
      </c>
      <c r="I504">
        <v>7.9722220055849599E-2</v>
      </c>
      <c r="J504">
        <v>9.0512254845834306E-2</v>
      </c>
      <c r="K504">
        <v>9.0993934419146494E-2</v>
      </c>
      <c r="L504">
        <v>762.21691100558803</v>
      </c>
      <c r="M504">
        <v>15.516381858975601</v>
      </c>
      <c r="N504">
        <v>49.511894855312001</v>
      </c>
      <c r="O504">
        <v>48.329122756675197</v>
      </c>
      <c r="P504">
        <v>-7.5670135078277106E-2</v>
      </c>
      <c r="Q504">
        <v>5.7319463123393602E-2</v>
      </c>
      <c r="R504">
        <v>0.98197112512229801</v>
      </c>
      <c r="S504" t="s">
        <v>7310</v>
      </c>
      <c r="T504" t="s">
        <v>13610</v>
      </c>
      <c r="U504" t="s">
        <v>13610</v>
      </c>
      <c r="V504" t="s">
        <v>13610</v>
      </c>
      <c r="W504" t="s">
        <v>14104</v>
      </c>
      <c r="X504">
        <v>8</v>
      </c>
      <c r="Y504" t="s">
        <v>20828</v>
      </c>
      <c r="Z504" t="s">
        <v>27359</v>
      </c>
      <c r="AA504">
        <v>0.36573212520900372</v>
      </c>
      <c r="AB504" t="str">
        <f>HYPERLINK("Melting_Curves/meltCurve_E9PJF5_BRMS1.pdf", "Melting_Curves/meltCurve_E9PJF5_BRMS1.pdf")</f>
        <v>Melting_Curves/meltCurve_E9PJF5_BRMS1.pdf</v>
      </c>
    </row>
    <row r="505" spans="1:28" x14ac:dyDescent="0.25">
      <c r="A505" t="s">
        <v>509</v>
      </c>
      <c r="B505">
        <v>0.995954080203443</v>
      </c>
      <c r="C505">
        <v>0.95566797828126904</v>
      </c>
      <c r="D505">
        <v>0.88378494562656895</v>
      </c>
      <c r="E505">
        <v>1.1207113650557901</v>
      </c>
      <c r="F505">
        <v>0.35596380412134199</v>
      </c>
      <c r="G505">
        <v>0.13800984994609899</v>
      </c>
      <c r="H505">
        <v>0.104314776558462</v>
      </c>
      <c r="I505">
        <v>4.4509820613217399E-2</v>
      </c>
      <c r="J505">
        <v>4.0964244123499E-2</v>
      </c>
      <c r="K505">
        <v>4.2832622309911798E-2</v>
      </c>
      <c r="L505">
        <v>13206.1996510228</v>
      </c>
      <c r="M505">
        <v>250</v>
      </c>
      <c r="N505">
        <v>52.858712540545199</v>
      </c>
      <c r="O505">
        <v>52.821438659361696</v>
      </c>
      <c r="P505">
        <v>-1.09552362152908</v>
      </c>
      <c r="Q505">
        <v>7.4126217709704706E-2</v>
      </c>
      <c r="R505">
        <v>0.98011786210530405</v>
      </c>
      <c r="S505" t="s">
        <v>7311</v>
      </c>
      <c r="T505" t="s">
        <v>13610</v>
      </c>
      <c r="U505" t="s">
        <v>13610</v>
      </c>
      <c r="V505" t="s">
        <v>13610</v>
      </c>
      <c r="W505" t="s">
        <v>14105</v>
      </c>
      <c r="X505">
        <v>1</v>
      </c>
      <c r="Y505" t="s">
        <v>20829</v>
      </c>
      <c r="Z505" t="s">
        <v>27360</v>
      </c>
      <c r="AA505">
        <v>0.47001687876817588</v>
      </c>
      <c r="AB505" t="str">
        <f>HYPERLINK("Melting_Curves/meltCurve_E9PJK1_CD81.pdf", "Melting_Curves/meltCurve_E9PJK1_CD81.pdf")</f>
        <v>Melting_Curves/meltCurve_E9PJK1_CD81.pdf</v>
      </c>
    </row>
    <row r="506" spans="1:28" x14ac:dyDescent="0.25">
      <c r="A506" t="s">
        <v>510</v>
      </c>
      <c r="B506">
        <v>0.995954080203443</v>
      </c>
      <c r="C506">
        <v>0.778626017350878</v>
      </c>
      <c r="D506">
        <v>0.77792874174038895</v>
      </c>
      <c r="E506">
        <v>0.62025157366971895</v>
      </c>
      <c r="F506">
        <v>0.66356961891011801</v>
      </c>
      <c r="G506">
        <v>0.49006816980635598</v>
      </c>
      <c r="H506">
        <v>0.47426736252892998</v>
      </c>
      <c r="I506">
        <v>0.53275694170787002</v>
      </c>
      <c r="J506">
        <v>0.77780572655901004</v>
      </c>
      <c r="K506">
        <v>0.66778493707000397</v>
      </c>
      <c r="L506">
        <v>813.96591991243702</v>
      </c>
      <c r="M506">
        <v>18.487485042545099</v>
      </c>
      <c r="O506">
        <v>43.522493490476997</v>
      </c>
      <c r="P506">
        <v>-4.2786488761844099E-2</v>
      </c>
      <c r="Q506">
        <v>0.59711286672284603</v>
      </c>
      <c r="R506">
        <v>0.64342650410475499</v>
      </c>
      <c r="S506" t="s">
        <v>7312</v>
      </c>
      <c r="T506" t="s">
        <v>13610</v>
      </c>
      <c r="U506" t="s">
        <v>13610</v>
      </c>
      <c r="V506" t="s">
        <v>13610</v>
      </c>
      <c r="W506" t="s">
        <v>14106</v>
      </c>
      <c r="X506">
        <v>7</v>
      </c>
      <c r="Y506" t="s">
        <v>20830</v>
      </c>
      <c r="Z506" t="s">
        <v>27361</v>
      </c>
      <c r="AA506">
        <v>0.66052205341533987</v>
      </c>
      <c r="AB506" t="str">
        <f>HYPERLINK("Melting_Curves/meltCurve_E9PK05_C2CD2L.pdf", "Melting_Curves/meltCurve_E9PK05_C2CD2L.pdf")</f>
        <v>Melting_Curves/meltCurve_E9PK05_C2CD2L.pdf</v>
      </c>
    </row>
    <row r="507" spans="1:28" x14ac:dyDescent="0.25">
      <c r="A507" t="s">
        <v>511</v>
      </c>
      <c r="B507">
        <v>0.995954080203443</v>
      </c>
      <c r="C507">
        <v>0.95259758463216704</v>
      </c>
      <c r="D507">
        <v>0.91980477835482299</v>
      </c>
      <c r="E507">
        <v>0.895170692355853</v>
      </c>
      <c r="F507">
        <v>0.84975964075914301</v>
      </c>
      <c r="G507">
        <v>0.57644175700423905</v>
      </c>
      <c r="H507">
        <v>0.40393197392432001</v>
      </c>
      <c r="I507">
        <v>0.33931693443518501</v>
      </c>
      <c r="J507">
        <v>0.31974319273309898</v>
      </c>
      <c r="K507">
        <v>0.16646144236163499</v>
      </c>
      <c r="L507">
        <v>708.72592759641304</v>
      </c>
      <c r="M507">
        <v>12.1845501500382</v>
      </c>
      <c r="N507">
        <v>59.362578374231298</v>
      </c>
      <c r="O507">
        <v>56.665745147860498</v>
      </c>
      <c r="P507">
        <v>-4.7913694295322301E-2</v>
      </c>
      <c r="Q507">
        <v>0.108888759274147</v>
      </c>
      <c r="R507">
        <v>0.98374600270102397</v>
      </c>
      <c r="S507" t="s">
        <v>7313</v>
      </c>
      <c r="T507" t="s">
        <v>13610</v>
      </c>
      <c r="U507" t="s">
        <v>13610</v>
      </c>
      <c r="V507" t="s">
        <v>13610</v>
      </c>
      <c r="W507" t="s">
        <v>14107</v>
      </c>
      <c r="X507">
        <v>8</v>
      </c>
      <c r="Y507" t="s">
        <v>20831</v>
      </c>
      <c r="Z507" t="s">
        <v>27362</v>
      </c>
      <c r="AA507">
        <v>0.65928321770559151</v>
      </c>
      <c r="AB507" t="str">
        <f>HYPERLINK("Melting_Curves/meltCurve_E9PKB7_TEAD1.pdf", "Melting_Curves/meltCurve_E9PKB7_TEAD1.pdf")</f>
        <v>Melting_Curves/meltCurve_E9PKB7_TEAD1.pdf</v>
      </c>
    </row>
    <row r="508" spans="1:28" x14ac:dyDescent="0.25">
      <c r="A508" t="s">
        <v>512</v>
      </c>
      <c r="B508">
        <v>0.995954080203443</v>
      </c>
      <c r="C508">
        <v>0.98144940331859198</v>
      </c>
      <c r="D508">
        <v>0.90933495056324198</v>
      </c>
      <c r="E508">
        <v>0.835887735118926</v>
      </c>
      <c r="F508">
        <v>0.69529179572146205</v>
      </c>
      <c r="G508">
        <v>0.46809092057062801</v>
      </c>
      <c r="H508">
        <v>0.382409348735125</v>
      </c>
      <c r="I508">
        <v>0.407274687186575</v>
      </c>
      <c r="J508">
        <v>0.45498944555241499</v>
      </c>
      <c r="K508">
        <v>0.50836999362232205</v>
      </c>
      <c r="L508">
        <v>1183.0682745480401</v>
      </c>
      <c r="M508">
        <v>22.7261595340469</v>
      </c>
      <c r="N508">
        <v>56.933067461866997</v>
      </c>
      <c r="O508">
        <v>51.659508726183603</v>
      </c>
      <c r="P508">
        <v>-6.2845151969126295E-2</v>
      </c>
      <c r="Q508">
        <v>0.42859048521811299</v>
      </c>
      <c r="R508">
        <v>0.96668290153661096</v>
      </c>
      <c r="S508" t="s">
        <v>7314</v>
      </c>
      <c r="T508" t="s">
        <v>13610</v>
      </c>
      <c r="U508" t="s">
        <v>13610</v>
      </c>
      <c r="V508" t="s">
        <v>13610</v>
      </c>
      <c r="W508" t="s">
        <v>14108</v>
      </c>
      <c r="X508">
        <v>2</v>
      </c>
      <c r="Y508" t="s">
        <v>20832</v>
      </c>
      <c r="Z508" t="s">
        <v>27363</v>
      </c>
      <c r="AA508">
        <v>0.66450588563779289</v>
      </c>
      <c r="AB508" t="str">
        <f>HYPERLINK("Melting_Curves/meltCurve_E9PKB9_SNX19.pdf", "Melting_Curves/meltCurve_E9PKB9_SNX19.pdf")</f>
        <v>Melting_Curves/meltCurve_E9PKB9_SNX19.pdf</v>
      </c>
    </row>
    <row r="509" spans="1:28" x14ac:dyDescent="0.25">
      <c r="A509" t="s">
        <v>513</v>
      </c>
      <c r="B509">
        <v>0.995954080203443</v>
      </c>
      <c r="C509">
        <v>0.84389631131949105</v>
      </c>
      <c r="D509">
        <v>0.65448844096765602</v>
      </c>
      <c r="E509">
        <v>0.51334439155928202</v>
      </c>
      <c r="F509">
        <v>0.14250270058556699</v>
      </c>
      <c r="G509">
        <v>8.4799155919327296E-2</v>
      </c>
      <c r="H509">
        <v>4.9035227809596897E-2</v>
      </c>
      <c r="I509">
        <v>3.8440623397165197E-2</v>
      </c>
      <c r="J509">
        <v>4.3478211181007698E-2</v>
      </c>
      <c r="K509">
        <v>3.6399113899293699E-2</v>
      </c>
      <c r="L509">
        <v>720.02649304773297</v>
      </c>
      <c r="M509">
        <v>14.8382583638498</v>
      </c>
      <c r="N509">
        <v>48.583969569161901</v>
      </c>
      <c r="O509">
        <v>47.669242973656601</v>
      </c>
      <c r="P509">
        <v>-7.7132506130623807E-2</v>
      </c>
      <c r="Q509">
        <v>8.9244197552806499E-3</v>
      </c>
      <c r="R509">
        <v>0.97949675388181001</v>
      </c>
      <c r="S509" t="s">
        <v>7315</v>
      </c>
      <c r="T509" t="s">
        <v>13610</v>
      </c>
      <c r="U509" t="s">
        <v>13610</v>
      </c>
      <c r="V509" t="s">
        <v>13610</v>
      </c>
      <c r="W509" t="s">
        <v>14109</v>
      </c>
      <c r="X509">
        <v>20</v>
      </c>
      <c r="Y509" t="s">
        <v>20833</v>
      </c>
      <c r="Z509" t="s">
        <v>27364</v>
      </c>
      <c r="AA509">
        <v>0.31600058472503573</v>
      </c>
      <c r="AB509" t="str">
        <f>HYPERLINK("Melting_Curves/meltCurve_E9PKG1_PRMT1.pdf", "Melting_Curves/meltCurve_E9PKG1_PRMT1.pdf")</f>
        <v>Melting_Curves/meltCurve_E9PKG1_PRMT1.pdf</v>
      </c>
    </row>
    <row r="510" spans="1:28" x14ac:dyDescent="0.25">
      <c r="A510" t="s">
        <v>514</v>
      </c>
      <c r="B510">
        <v>0.995954080203443</v>
      </c>
      <c r="C510">
        <v>0.94174369955624104</v>
      </c>
      <c r="D510">
        <v>0.93631195916231702</v>
      </c>
      <c r="E510">
        <v>0.63417047153211104</v>
      </c>
      <c r="F510">
        <v>0.285445023341516</v>
      </c>
      <c r="G510">
        <v>0.13442309166660099</v>
      </c>
      <c r="H510">
        <v>8.9129860901141902E-2</v>
      </c>
      <c r="I510">
        <v>7.5112468829761303E-2</v>
      </c>
      <c r="J510">
        <v>8.8899421195760803E-2</v>
      </c>
      <c r="K510">
        <v>9.6626075608625198E-2</v>
      </c>
      <c r="L510">
        <v>1364.3166372582</v>
      </c>
      <c r="M510">
        <v>26.930861603218801</v>
      </c>
      <c r="N510">
        <v>51.008466205240701</v>
      </c>
      <c r="O510">
        <v>50.383110080798801</v>
      </c>
      <c r="P510">
        <v>-0.12240265499558201</v>
      </c>
      <c r="Q510">
        <v>8.4030044882354105E-2</v>
      </c>
      <c r="R510">
        <v>0.99769584827044899</v>
      </c>
      <c r="S510" t="s">
        <v>7316</v>
      </c>
      <c r="T510" t="s">
        <v>13610</v>
      </c>
      <c r="U510" t="s">
        <v>13610</v>
      </c>
      <c r="V510" t="s">
        <v>13610</v>
      </c>
      <c r="W510" t="s">
        <v>14110</v>
      </c>
      <c r="X510">
        <v>6</v>
      </c>
      <c r="Y510" t="s">
        <v>20834</v>
      </c>
      <c r="Z510" t="s">
        <v>27365</v>
      </c>
      <c r="AA510">
        <v>0.41661355412008472</v>
      </c>
      <c r="AB510" t="str">
        <f>HYPERLINK("Melting_Curves/meltCurve_E9PKV8_TTC9C.pdf", "Melting_Curves/meltCurve_E9PKV8_TTC9C.pdf")</f>
        <v>Melting_Curves/meltCurve_E9PKV8_TTC9C.pdf</v>
      </c>
    </row>
    <row r="511" spans="1:28" x14ac:dyDescent="0.25">
      <c r="A511" t="s">
        <v>515</v>
      </c>
      <c r="B511">
        <v>0.995954080203443</v>
      </c>
      <c r="C511">
        <v>0.79333724675457495</v>
      </c>
      <c r="D511">
        <v>0.84017652890889805</v>
      </c>
      <c r="E511">
        <v>0.78999498185774797</v>
      </c>
      <c r="F511">
        <v>0.76955220548314296</v>
      </c>
      <c r="G511">
        <v>0.43973158167600501</v>
      </c>
      <c r="H511">
        <v>0.31308506268950598</v>
      </c>
      <c r="I511">
        <v>0.31433417239179701</v>
      </c>
      <c r="J511">
        <v>0.30699436314464701</v>
      </c>
      <c r="K511">
        <v>0.31026213186400597</v>
      </c>
      <c r="L511">
        <v>484.63756590507802</v>
      </c>
      <c r="M511">
        <v>8.8379016033078592</v>
      </c>
      <c r="N511">
        <v>57.116282032914597</v>
      </c>
      <c r="O511">
        <v>52.246387908907103</v>
      </c>
      <c r="P511">
        <v>-3.6031585013360803E-2</v>
      </c>
      <c r="Q511">
        <v>0.14864054367919699</v>
      </c>
      <c r="R511">
        <v>0.91938307698243404</v>
      </c>
      <c r="S511" t="s">
        <v>7317</v>
      </c>
      <c r="T511" t="s">
        <v>13610</v>
      </c>
      <c r="U511" t="s">
        <v>13610</v>
      </c>
      <c r="V511" t="s">
        <v>13610</v>
      </c>
      <c r="W511" t="s">
        <v>14111</v>
      </c>
      <c r="X511">
        <v>6</v>
      </c>
      <c r="Y511" t="s">
        <v>20835</v>
      </c>
      <c r="Z511" t="s">
        <v>27366</v>
      </c>
      <c r="AA511">
        <v>0.59333125309753043</v>
      </c>
      <c r="AB511" t="str">
        <f>HYPERLINK("Melting_Curves/meltCurve_E9PKZ0_RPL8.pdf", "Melting_Curves/meltCurve_E9PKZ0_RPL8.pdf")</f>
        <v>Melting_Curves/meltCurve_E9PKZ0_RPL8.pdf</v>
      </c>
    </row>
    <row r="512" spans="1:28" x14ac:dyDescent="0.25">
      <c r="A512" t="s">
        <v>516</v>
      </c>
      <c r="B512">
        <v>0.995954080203443</v>
      </c>
      <c r="C512">
        <v>0.84412769882662297</v>
      </c>
      <c r="D512">
        <v>0.75593289581939305</v>
      </c>
      <c r="E512">
        <v>0.83358800110502196</v>
      </c>
      <c r="F512">
        <v>0.30198519262563001</v>
      </c>
      <c r="G512">
        <v>7.3495541812862497E-2</v>
      </c>
      <c r="H512">
        <v>4.6201939139648401E-2</v>
      </c>
      <c r="I512">
        <v>3.4739220954656098E-2</v>
      </c>
      <c r="J512">
        <v>4.6827234752643797E-2</v>
      </c>
      <c r="K512">
        <v>3.2861171222827001E-2</v>
      </c>
      <c r="L512">
        <v>1958.6867356114799</v>
      </c>
      <c r="M512">
        <v>37.8394587320306</v>
      </c>
      <c r="N512">
        <v>51.873443413756497</v>
      </c>
      <c r="O512">
        <v>51.619137441801499</v>
      </c>
      <c r="P512">
        <v>-0.17617523425171699</v>
      </c>
      <c r="Q512">
        <v>3.8676513117000599E-2</v>
      </c>
      <c r="R512">
        <v>0.94576853548037698</v>
      </c>
      <c r="S512" t="s">
        <v>7318</v>
      </c>
      <c r="T512" t="s">
        <v>13610</v>
      </c>
      <c r="U512" t="s">
        <v>13610</v>
      </c>
      <c r="V512" t="s">
        <v>13610</v>
      </c>
      <c r="W512" t="s">
        <v>14112</v>
      </c>
      <c r="X512">
        <v>5</v>
      </c>
      <c r="Y512" t="s">
        <v>20836</v>
      </c>
      <c r="Z512" t="s">
        <v>27367</v>
      </c>
      <c r="AA512">
        <v>0.41945846340739013</v>
      </c>
      <c r="AB512" t="str">
        <f>HYPERLINK("Melting_Curves/meltCurve_E9PL01_SPCS2.pdf", "Melting_Curves/meltCurve_E9PL01_SPCS2.pdf")</f>
        <v>Melting_Curves/meltCurve_E9PL01_SPCS2.pdf</v>
      </c>
    </row>
    <row r="513" spans="1:28" x14ac:dyDescent="0.25">
      <c r="A513" t="s">
        <v>517</v>
      </c>
      <c r="B513">
        <v>0.995954080203443</v>
      </c>
      <c r="C513">
        <v>0.98732077265360296</v>
      </c>
      <c r="D513">
        <v>1.01479245278652</v>
      </c>
      <c r="E513">
        <v>0.82528999903938405</v>
      </c>
      <c r="F513">
        <v>0.85314127789745298</v>
      </c>
      <c r="G513">
        <v>0.61732694725745896</v>
      </c>
      <c r="H513">
        <v>0.55302965489065503</v>
      </c>
      <c r="I513">
        <v>0.53869580180396603</v>
      </c>
      <c r="J513">
        <v>0.59514150161943402</v>
      </c>
      <c r="K513">
        <v>0.47276326071300001</v>
      </c>
      <c r="L513">
        <v>905.07420516503601</v>
      </c>
      <c r="M513">
        <v>16.8071730437299</v>
      </c>
      <c r="O513">
        <v>53.105456560142997</v>
      </c>
      <c r="P513">
        <v>-3.8879816555364599E-2</v>
      </c>
      <c r="Q513">
        <v>0.50863908367030597</v>
      </c>
      <c r="R513">
        <v>0.953356944515385</v>
      </c>
      <c r="S513" t="s">
        <v>7319</v>
      </c>
      <c r="T513" t="s">
        <v>13610</v>
      </c>
      <c r="U513" t="s">
        <v>13610</v>
      </c>
      <c r="V513" t="s">
        <v>13610</v>
      </c>
      <c r="W513" t="s">
        <v>14113</v>
      </c>
      <c r="X513">
        <v>11</v>
      </c>
      <c r="Y513" t="s">
        <v>20837</v>
      </c>
      <c r="Z513" t="s">
        <v>27368</v>
      </c>
      <c r="AA513">
        <v>0.74421616812366698</v>
      </c>
      <c r="AB513" t="str">
        <f>HYPERLINK("Melting_Curves/meltCurve_E9PL57_NEDD8_MDP1.pdf", "Melting_Curves/meltCurve_E9PL57_NEDD8_MDP1.pdf")</f>
        <v>Melting_Curves/meltCurve_E9PL57_NEDD8_MDP1.pdf</v>
      </c>
    </row>
    <row r="514" spans="1:28" x14ac:dyDescent="0.25">
      <c r="A514" t="s">
        <v>518</v>
      </c>
      <c r="B514">
        <v>0.995954080203443</v>
      </c>
      <c r="C514">
        <v>0.97217366332839295</v>
      </c>
      <c r="D514">
        <v>0.96213480087849201</v>
      </c>
      <c r="E514">
        <v>0.79225972690215696</v>
      </c>
      <c r="F514">
        <v>0.70602479336705504</v>
      </c>
      <c r="G514">
        <v>0.61119897236186904</v>
      </c>
      <c r="H514">
        <v>0.55575742040367104</v>
      </c>
      <c r="I514">
        <v>0.77650704812754301</v>
      </c>
      <c r="J514">
        <v>0.82339229107482503</v>
      </c>
      <c r="K514">
        <v>0.91138641884890104</v>
      </c>
      <c r="L514">
        <v>1977.9128642871499</v>
      </c>
      <c r="M514">
        <v>41.029750529471499</v>
      </c>
      <c r="O514">
        <v>48.092687474678399</v>
      </c>
      <c r="P514">
        <v>-5.7357461419510203E-2</v>
      </c>
      <c r="Q514">
        <v>0.73107608118280598</v>
      </c>
      <c r="R514">
        <v>0.57242088042130002</v>
      </c>
      <c r="S514" t="s">
        <v>7320</v>
      </c>
      <c r="T514" t="s">
        <v>13610</v>
      </c>
      <c r="U514" t="s">
        <v>13610</v>
      </c>
      <c r="V514" t="s">
        <v>13610</v>
      </c>
      <c r="W514" t="s">
        <v>13868</v>
      </c>
      <c r="X514">
        <v>2</v>
      </c>
      <c r="Z514" t="s">
        <v>27369</v>
      </c>
      <c r="AA514">
        <v>0.80549591559695222</v>
      </c>
      <c r="AB514" t="str">
        <f>HYPERLINK("Melting_Curves/meltCurve_E9PLD3_.pdf", "Melting_Curves/meltCurve_E9PLD3_.pdf")</f>
        <v>Melting_Curves/meltCurve_E9PLD3_.pdf</v>
      </c>
    </row>
    <row r="515" spans="1:28" x14ac:dyDescent="0.25">
      <c r="A515" t="s">
        <v>519</v>
      </c>
      <c r="B515">
        <v>0.995954080203443</v>
      </c>
      <c r="C515">
        <v>0.83222801502556898</v>
      </c>
      <c r="D515">
        <v>0.79027074420536103</v>
      </c>
      <c r="E515">
        <v>0.672691036291581</v>
      </c>
      <c r="F515">
        <v>0.40647634147176598</v>
      </c>
      <c r="G515">
        <v>0.20919081827939601</v>
      </c>
      <c r="H515">
        <v>0.130389674496941</v>
      </c>
      <c r="I515">
        <v>0.13833562320617199</v>
      </c>
      <c r="J515">
        <v>0.21876397777913201</v>
      </c>
      <c r="K515">
        <v>0.19329801358559601</v>
      </c>
      <c r="L515">
        <v>710.93972451296804</v>
      </c>
      <c r="M515">
        <v>14.146836412062999</v>
      </c>
      <c r="N515">
        <v>51.340730664454597</v>
      </c>
      <c r="O515">
        <v>49.282132251711197</v>
      </c>
      <c r="P515">
        <v>-6.2489560602367301E-2</v>
      </c>
      <c r="Q515">
        <v>0.12935232130128699</v>
      </c>
      <c r="R515">
        <v>0.96557950475029297</v>
      </c>
      <c r="S515" t="s">
        <v>7321</v>
      </c>
      <c r="T515" t="s">
        <v>13610</v>
      </c>
      <c r="U515" t="s">
        <v>13610</v>
      </c>
      <c r="V515" t="s">
        <v>13610</v>
      </c>
      <c r="W515" t="s">
        <v>14114</v>
      </c>
      <c r="X515">
        <v>1</v>
      </c>
      <c r="Y515" t="s">
        <v>20838</v>
      </c>
      <c r="Z515" t="s">
        <v>27370</v>
      </c>
      <c r="AA515">
        <v>0.4497206586296289</v>
      </c>
      <c r="AB515" t="str">
        <f>HYPERLINK("Melting_Curves/meltCurve_E9PLG8_GPAA1.pdf", "Melting_Curves/meltCurve_E9PLG8_GPAA1.pdf")</f>
        <v>Melting_Curves/meltCurve_E9PLG8_GPAA1.pdf</v>
      </c>
    </row>
    <row r="516" spans="1:28" x14ac:dyDescent="0.25">
      <c r="A516" t="s">
        <v>520</v>
      </c>
      <c r="B516">
        <v>0.995954080203443</v>
      </c>
      <c r="C516">
        <v>1.0199307816777301</v>
      </c>
      <c r="D516">
        <v>1.00449027633546</v>
      </c>
      <c r="E516">
        <v>0.91739150848003503</v>
      </c>
      <c r="F516">
        <v>0.75809933502047999</v>
      </c>
      <c r="G516">
        <v>0.60202247932639996</v>
      </c>
      <c r="H516">
        <v>0.411502588825994</v>
      </c>
      <c r="I516">
        <v>0.29211135305311497</v>
      </c>
      <c r="J516">
        <v>0.115971462119138</v>
      </c>
      <c r="K516">
        <v>8.3485351313988904E-2</v>
      </c>
      <c r="L516">
        <v>770.92579648832805</v>
      </c>
      <c r="M516">
        <v>13.122676759242401</v>
      </c>
      <c r="N516">
        <v>58.747602465695302</v>
      </c>
      <c r="O516">
        <v>57.433582568583702</v>
      </c>
      <c r="P516">
        <v>-5.7130825498655599E-2</v>
      </c>
      <c r="Q516">
        <v>0</v>
      </c>
      <c r="R516">
        <v>0.99240300910803603</v>
      </c>
      <c r="S516" t="s">
        <v>7322</v>
      </c>
      <c r="T516" t="s">
        <v>13610</v>
      </c>
      <c r="U516" t="s">
        <v>13610</v>
      </c>
      <c r="V516" t="s">
        <v>13610</v>
      </c>
      <c r="W516" t="s">
        <v>14115</v>
      </c>
      <c r="X516">
        <v>57</v>
      </c>
      <c r="Y516" t="s">
        <v>20839</v>
      </c>
      <c r="Z516" t="s">
        <v>27371</v>
      </c>
      <c r="AA516">
        <v>0.63531208085680624</v>
      </c>
      <c r="AB516" t="str">
        <f>HYPERLINK("Melting_Curves/meltCurve_E9PLK3_NPEPPS.pdf", "Melting_Curves/meltCurve_E9PLK3_NPEPPS.pdf")</f>
        <v>Melting_Curves/meltCurve_E9PLK3_NPEPPS.pdf</v>
      </c>
    </row>
    <row r="517" spans="1:28" x14ac:dyDescent="0.25">
      <c r="A517" t="s">
        <v>521</v>
      </c>
      <c r="B517">
        <v>0.995954080203443</v>
      </c>
      <c r="C517">
        <v>1.07000677528254</v>
      </c>
      <c r="D517">
        <v>0.93831501875503398</v>
      </c>
      <c r="E517">
        <v>0.82094084740119</v>
      </c>
      <c r="F517">
        <v>0.535881172914911</v>
      </c>
      <c r="G517">
        <v>0.364920051708087</v>
      </c>
      <c r="H517">
        <v>0.28578491551840801</v>
      </c>
      <c r="I517">
        <v>0.26845072156524502</v>
      </c>
      <c r="J517">
        <v>0.42954668645768501</v>
      </c>
      <c r="K517">
        <v>0.32081804468014902</v>
      </c>
      <c r="L517">
        <v>1555.7080998497199</v>
      </c>
      <c r="M517">
        <v>30.142105688506099</v>
      </c>
      <c r="N517">
        <v>53.473682433632398</v>
      </c>
      <c r="O517">
        <v>51.386885291142498</v>
      </c>
      <c r="P517">
        <v>-9.9002201266149503E-2</v>
      </c>
      <c r="Q517">
        <v>0.32488040437198401</v>
      </c>
      <c r="R517">
        <v>0.97431594570695301</v>
      </c>
      <c r="S517" t="s">
        <v>7323</v>
      </c>
      <c r="T517" t="s">
        <v>13610</v>
      </c>
      <c r="U517" t="s">
        <v>13610</v>
      </c>
      <c r="V517" t="s">
        <v>13610</v>
      </c>
      <c r="W517" t="s">
        <v>14116</v>
      </c>
      <c r="X517">
        <v>7</v>
      </c>
      <c r="Y517" t="s">
        <v>20840</v>
      </c>
      <c r="Z517" t="s">
        <v>27372</v>
      </c>
      <c r="AA517">
        <v>0.59045400235156487</v>
      </c>
      <c r="AB517" t="str">
        <f>HYPERLINK("Melting_Curves/meltCurve_E9PLL6_RPL27A.pdf", "Melting_Curves/meltCurve_E9PLL6_RPL27A.pdf")</f>
        <v>Melting_Curves/meltCurve_E9PLL6_RPL27A.pdf</v>
      </c>
    </row>
    <row r="518" spans="1:28" x14ac:dyDescent="0.25">
      <c r="A518" t="s">
        <v>522</v>
      </c>
      <c r="B518">
        <v>0.995954080203443</v>
      </c>
      <c r="C518">
        <v>1.0217247905414699</v>
      </c>
      <c r="D518">
        <v>0.91465748402495795</v>
      </c>
      <c r="E518">
        <v>0.845531676306437</v>
      </c>
      <c r="F518">
        <v>0.56536493142733302</v>
      </c>
      <c r="G518">
        <v>0.341954828004012</v>
      </c>
      <c r="H518">
        <v>0.23358192540005401</v>
      </c>
      <c r="I518">
        <v>0.19950950817754201</v>
      </c>
      <c r="J518">
        <v>0.20045709170514001</v>
      </c>
      <c r="K518">
        <v>0.15057443886713301</v>
      </c>
      <c r="L518">
        <v>1050.78427666677</v>
      </c>
      <c r="M518">
        <v>19.804364515989199</v>
      </c>
      <c r="N518">
        <v>54.1866469887863</v>
      </c>
      <c r="O518">
        <v>52.526118796145099</v>
      </c>
      <c r="P518">
        <v>-7.8334450951492995E-2</v>
      </c>
      <c r="Q518">
        <v>0.168977991553204</v>
      </c>
      <c r="R518">
        <v>0.99494410278882595</v>
      </c>
      <c r="S518" t="s">
        <v>7324</v>
      </c>
      <c r="T518" t="s">
        <v>13610</v>
      </c>
      <c r="U518" t="s">
        <v>13610</v>
      </c>
      <c r="V518" t="s">
        <v>13610</v>
      </c>
      <c r="W518" t="s">
        <v>14117</v>
      </c>
      <c r="X518">
        <v>2</v>
      </c>
      <c r="Y518" t="s">
        <v>20841</v>
      </c>
      <c r="Z518" t="s">
        <v>27373</v>
      </c>
      <c r="AA518">
        <v>0.5423162542433424</v>
      </c>
      <c r="AB518" t="str">
        <f>HYPERLINK("Melting_Curves/meltCurve_E9PLX2_RNF141.pdf", "Melting_Curves/meltCurve_E9PLX2_RNF141.pdf")</f>
        <v>Melting_Curves/meltCurve_E9PLX2_RNF141.pdf</v>
      </c>
    </row>
    <row r="519" spans="1:28" x14ac:dyDescent="0.25">
      <c r="A519" t="s">
        <v>523</v>
      </c>
      <c r="B519">
        <v>0.995954080203443</v>
      </c>
      <c r="C519">
        <v>0.901246461568465</v>
      </c>
      <c r="D519">
        <v>0.74653826846966098</v>
      </c>
      <c r="E519">
        <v>0.65729976566703996</v>
      </c>
      <c r="F519">
        <v>0.221150545942641</v>
      </c>
      <c r="G519">
        <v>7.2385897151738002E-2</v>
      </c>
      <c r="H519">
        <v>3.1995772362406701E-2</v>
      </c>
      <c r="I519">
        <v>3.1587087558070201E-2</v>
      </c>
      <c r="J519">
        <v>2.8519100673311398E-2</v>
      </c>
      <c r="K519">
        <v>2.7245412606780799E-2</v>
      </c>
      <c r="L519">
        <v>861.13189569714802</v>
      </c>
      <c r="M519">
        <v>17.1309544681205</v>
      </c>
      <c r="N519">
        <v>50.267586549738901</v>
      </c>
      <c r="O519">
        <v>49.597616510638197</v>
      </c>
      <c r="P519">
        <v>-8.6354866302169306E-2</v>
      </c>
      <c r="Q519">
        <v>0</v>
      </c>
      <c r="R519">
        <v>0.97590284108339398</v>
      </c>
      <c r="S519" t="s">
        <v>7325</v>
      </c>
      <c r="T519" t="s">
        <v>13610</v>
      </c>
      <c r="U519" t="s">
        <v>13610</v>
      </c>
      <c r="V519" t="s">
        <v>13610</v>
      </c>
      <c r="W519" t="s">
        <v>14118</v>
      </c>
      <c r="X519">
        <v>75</v>
      </c>
      <c r="Y519" t="s">
        <v>20842</v>
      </c>
      <c r="Z519" t="s">
        <v>27374</v>
      </c>
      <c r="AA519">
        <v>0.36088564979032461</v>
      </c>
      <c r="AB519" t="str">
        <f>HYPERLINK("Melting_Curves/meltCurve_E9PLY5_MACF1.pdf", "Melting_Curves/meltCurve_E9PLY5_MACF1.pdf")</f>
        <v>Melting_Curves/meltCurve_E9PLY5_MACF1.pdf</v>
      </c>
    </row>
    <row r="520" spans="1:28" x14ac:dyDescent="0.25">
      <c r="A520" t="s">
        <v>524</v>
      </c>
      <c r="B520">
        <v>0.995954080203443</v>
      </c>
      <c r="C520">
        <v>0.85161882679948597</v>
      </c>
      <c r="D520">
        <v>0.49573308021018198</v>
      </c>
      <c r="E520">
        <v>0.37126610340538602</v>
      </c>
      <c r="F520">
        <v>0.21607172045109099</v>
      </c>
      <c r="G520">
        <v>0.14256042045731199</v>
      </c>
      <c r="H520">
        <v>0.10885369309225899</v>
      </c>
      <c r="I520">
        <v>0.107044812750168</v>
      </c>
      <c r="J520">
        <v>0.12067746738080801</v>
      </c>
      <c r="K520">
        <v>0.11837896660047199</v>
      </c>
      <c r="L520">
        <v>792.53258658741402</v>
      </c>
      <c r="M520">
        <v>17.1329268370352</v>
      </c>
      <c r="N520">
        <v>46.9660143532262</v>
      </c>
      <c r="O520">
        <v>45.641464193118303</v>
      </c>
      <c r="P520">
        <v>-8.3167804391674802E-2</v>
      </c>
      <c r="Q520">
        <v>0.113829667387675</v>
      </c>
      <c r="R520">
        <v>0.98378790547757999</v>
      </c>
      <c r="S520" t="s">
        <v>7326</v>
      </c>
      <c r="T520" t="s">
        <v>13610</v>
      </c>
      <c r="U520" t="s">
        <v>13610</v>
      </c>
      <c r="V520" t="s">
        <v>13610</v>
      </c>
      <c r="W520" t="s">
        <v>13836</v>
      </c>
      <c r="X520">
        <v>57</v>
      </c>
      <c r="Y520" t="s">
        <v>20843</v>
      </c>
      <c r="Z520" t="s">
        <v>27375</v>
      </c>
      <c r="AA520">
        <v>0.31772832682817942</v>
      </c>
      <c r="AB520" t="str">
        <f>HYPERLINK("Melting_Curves/meltCurve_E9PM46_USP47.pdf", "Melting_Curves/meltCurve_E9PM46_USP47.pdf")</f>
        <v>Melting_Curves/meltCurve_E9PM46_USP47.pdf</v>
      </c>
    </row>
    <row r="521" spans="1:28" x14ac:dyDescent="0.25">
      <c r="A521" t="s">
        <v>525</v>
      </c>
      <c r="B521">
        <v>0.995954080203443</v>
      </c>
      <c r="C521">
        <v>0.99365894564699897</v>
      </c>
      <c r="D521">
        <v>0.999881940001625</v>
      </c>
      <c r="E521">
        <v>0.96782688830108998</v>
      </c>
      <c r="F521">
        <v>0.96246263121865305</v>
      </c>
      <c r="G521">
        <v>0.83585269232309001</v>
      </c>
      <c r="H521">
        <v>1.0772061020261501</v>
      </c>
      <c r="I521">
        <v>1.62684992671531</v>
      </c>
      <c r="J521">
        <v>1.79596743484323</v>
      </c>
      <c r="K521">
        <v>1.75435425014524</v>
      </c>
      <c r="L521">
        <v>15000</v>
      </c>
      <c r="M521">
        <v>244.20203555064001</v>
      </c>
      <c r="O521">
        <v>61.420433288629297</v>
      </c>
      <c r="P521">
        <v>0.49698861729007399</v>
      </c>
      <c r="Q521">
        <v>1.5</v>
      </c>
      <c r="R521">
        <v>0.83875754678644299</v>
      </c>
      <c r="S521" t="s">
        <v>7327</v>
      </c>
      <c r="T521" t="s">
        <v>13610</v>
      </c>
      <c r="U521" t="s">
        <v>13610</v>
      </c>
      <c r="V521" t="s">
        <v>13610</v>
      </c>
      <c r="W521" t="s">
        <v>14119</v>
      </c>
      <c r="X521">
        <v>7</v>
      </c>
      <c r="Y521" t="s">
        <v>20844</v>
      </c>
      <c r="Z521" t="s">
        <v>27376</v>
      </c>
      <c r="AA521">
        <v>1.1428676864435521</v>
      </c>
      <c r="AB521" t="str">
        <f>HYPERLINK("Melting_Curves/meltCurve_E9PM92_C11orf58.pdf", "Melting_Curves/meltCurve_E9PM92_C11orf58.pdf")</f>
        <v>Melting_Curves/meltCurve_E9PM92_C11orf58.pdf</v>
      </c>
    </row>
    <row r="522" spans="1:28" x14ac:dyDescent="0.25">
      <c r="A522" t="s">
        <v>526</v>
      </c>
      <c r="B522">
        <v>0.995954080203443</v>
      </c>
      <c r="C522">
        <v>1.0346259184056601</v>
      </c>
      <c r="D522">
        <v>1.00125241520528</v>
      </c>
      <c r="E522">
        <v>0.87826980208181304</v>
      </c>
      <c r="F522">
        <v>0.71889850302244496</v>
      </c>
      <c r="G522">
        <v>0.32784540121029798</v>
      </c>
      <c r="H522">
        <v>0.26741910330154001</v>
      </c>
      <c r="I522">
        <v>0.30941697610243002</v>
      </c>
      <c r="J522">
        <v>0.37766931353823302</v>
      </c>
      <c r="K522">
        <v>0.362089361303087</v>
      </c>
      <c r="L522">
        <v>1962.0833767471499</v>
      </c>
      <c r="M522">
        <v>36.879687913400197</v>
      </c>
      <c r="N522">
        <v>54.7146209265442</v>
      </c>
      <c r="O522">
        <v>53.046577388500502</v>
      </c>
      <c r="P522">
        <v>-0.118261264716193</v>
      </c>
      <c r="Q522">
        <v>0.31958891455326399</v>
      </c>
      <c r="R522">
        <v>0.98221755593791804</v>
      </c>
      <c r="S522" t="s">
        <v>7328</v>
      </c>
      <c r="T522" t="s">
        <v>13610</v>
      </c>
      <c r="U522" t="s">
        <v>13610</v>
      </c>
      <c r="V522" t="s">
        <v>13610</v>
      </c>
      <c r="W522" t="s">
        <v>14120</v>
      </c>
      <c r="X522">
        <v>10</v>
      </c>
      <c r="Y522" t="s">
        <v>20845</v>
      </c>
      <c r="Z522" t="s">
        <v>27377</v>
      </c>
      <c r="AA522">
        <v>0.62196178420476023</v>
      </c>
      <c r="AB522" t="str">
        <f>HYPERLINK("Melting_Curves/meltCurve_E9PMC9_C11orf30.pdf", "Melting_Curves/meltCurve_E9PMC9_C11orf30.pdf")</f>
        <v>Melting_Curves/meltCurve_E9PMC9_C11orf30.pdf</v>
      </c>
    </row>
    <row r="523" spans="1:28" x14ac:dyDescent="0.25">
      <c r="A523" t="s">
        <v>527</v>
      </c>
      <c r="B523">
        <v>0.995954080203443</v>
      </c>
      <c r="C523">
        <v>0.79168677802479703</v>
      </c>
      <c r="D523">
        <v>1.19198310429469</v>
      </c>
      <c r="E523">
        <v>0.85175378578418703</v>
      </c>
      <c r="F523">
        <v>1.19413178714127</v>
      </c>
      <c r="G523">
        <v>0.89760149919115295</v>
      </c>
      <c r="H523">
        <v>0.91214799051524698</v>
      </c>
      <c r="I523">
        <v>1.2054691031562399</v>
      </c>
      <c r="J523">
        <v>1.54717959634097</v>
      </c>
      <c r="K523">
        <v>1.47932586115998</v>
      </c>
      <c r="L523">
        <v>15000</v>
      </c>
      <c r="M523">
        <v>234.014955063852</v>
      </c>
      <c r="O523">
        <v>64.093786227137002</v>
      </c>
      <c r="P523">
        <v>0.45639165913463298</v>
      </c>
      <c r="Q523">
        <v>1.5</v>
      </c>
      <c r="R523">
        <v>0.73881073129423103</v>
      </c>
      <c r="S523" t="s">
        <v>7329</v>
      </c>
      <c r="T523" t="s">
        <v>13610</v>
      </c>
      <c r="U523" t="s">
        <v>13610</v>
      </c>
      <c r="V523" t="s">
        <v>13610</v>
      </c>
      <c r="W523" t="s">
        <v>14121</v>
      </c>
      <c r="X523">
        <v>1</v>
      </c>
      <c r="Y523" t="s">
        <v>20846</v>
      </c>
      <c r="Z523" t="s">
        <v>27378</v>
      </c>
      <c r="AA523">
        <v>1.0982946800004789</v>
      </c>
      <c r="AB523" t="str">
        <f>HYPERLINK("Melting_Curves/meltCurve_E9PME6_USF1.pdf", "Melting_Curves/meltCurve_E9PME6_USF1.pdf")</f>
        <v>Melting_Curves/meltCurve_E9PME6_USF1.pdf</v>
      </c>
    </row>
    <row r="524" spans="1:28" x14ac:dyDescent="0.25">
      <c r="A524" t="s">
        <v>528</v>
      </c>
      <c r="B524">
        <v>0.995954080203443</v>
      </c>
      <c r="C524">
        <v>0.829129708566958</v>
      </c>
      <c r="D524">
        <v>0.74266622307499097</v>
      </c>
      <c r="E524">
        <v>0.60644779970502805</v>
      </c>
      <c r="F524">
        <v>0.39813581693705602</v>
      </c>
      <c r="G524">
        <v>0.17844286040351401</v>
      </c>
      <c r="H524">
        <v>0.103973613656329</v>
      </c>
      <c r="I524">
        <v>9.3490622230585796E-2</v>
      </c>
      <c r="J524">
        <v>0.104389509753927</v>
      </c>
      <c r="K524">
        <v>9.49045805276751E-2</v>
      </c>
      <c r="L524">
        <v>596.79237589663796</v>
      </c>
      <c r="M524">
        <v>11.8214030661508</v>
      </c>
      <c r="N524">
        <v>50.745100089652802</v>
      </c>
      <c r="O524">
        <v>49.1043857966717</v>
      </c>
      <c r="P524">
        <v>-5.8424537336675603E-2</v>
      </c>
      <c r="Q524">
        <v>2.9499884655158602E-2</v>
      </c>
      <c r="R524">
        <v>0.98547051547820697</v>
      </c>
      <c r="S524" t="s">
        <v>7330</v>
      </c>
      <c r="T524" t="s">
        <v>13610</v>
      </c>
      <c r="U524" t="s">
        <v>13610</v>
      </c>
      <c r="V524" t="s">
        <v>13610</v>
      </c>
      <c r="W524" t="s">
        <v>14122</v>
      </c>
      <c r="X524">
        <v>15</v>
      </c>
      <c r="Y524" t="s">
        <v>20847</v>
      </c>
      <c r="Z524" t="s">
        <v>27379</v>
      </c>
      <c r="AA524">
        <v>0.40204643585789351</v>
      </c>
      <c r="AB524" t="str">
        <f>HYPERLINK("Melting_Curves/meltCurve_E9PMH5_BIRC2.pdf", "Melting_Curves/meltCurve_E9PMH5_BIRC2.pdf")</f>
        <v>Melting_Curves/meltCurve_E9PMH5_BIRC2.pdf</v>
      </c>
    </row>
    <row r="525" spans="1:28" x14ac:dyDescent="0.25">
      <c r="A525" t="s">
        <v>529</v>
      </c>
      <c r="B525">
        <v>0.995954080203443</v>
      </c>
      <c r="C525">
        <v>0.99397445951264896</v>
      </c>
      <c r="D525">
        <v>0.89480277094266802</v>
      </c>
      <c r="E525">
        <v>0.89885236115918299</v>
      </c>
      <c r="F525">
        <v>0.75587431800973004</v>
      </c>
      <c r="G525">
        <v>0.55328803693709405</v>
      </c>
      <c r="H525">
        <v>0.40275721869894598</v>
      </c>
      <c r="I525">
        <v>0.38514008445686398</v>
      </c>
      <c r="J525">
        <v>0.47097986681215698</v>
      </c>
      <c r="K525">
        <v>0.41844143608191198</v>
      </c>
      <c r="L525">
        <v>1088.67322088315</v>
      </c>
      <c r="M525">
        <v>20.270538651124401</v>
      </c>
      <c r="N525">
        <v>58.397640499906402</v>
      </c>
      <c r="O525">
        <v>53.19266389098</v>
      </c>
      <c r="P525">
        <v>-5.6987092825331702E-2</v>
      </c>
      <c r="Q525">
        <v>0.40185078334788199</v>
      </c>
      <c r="R525">
        <v>0.97439726918024705</v>
      </c>
      <c r="S525" t="s">
        <v>7331</v>
      </c>
      <c r="T525" t="s">
        <v>13610</v>
      </c>
      <c r="U525" t="s">
        <v>13610</v>
      </c>
      <c r="V525" t="s">
        <v>13610</v>
      </c>
      <c r="W525" t="s">
        <v>14123</v>
      </c>
      <c r="X525">
        <v>7</v>
      </c>
      <c r="Y525" t="s">
        <v>20848</v>
      </c>
      <c r="Z525" t="s">
        <v>27380</v>
      </c>
      <c r="AA525">
        <v>0.68313399395263397</v>
      </c>
      <c r="AB525" t="str">
        <f>HYPERLINK("Melting_Curves/meltCurve_E9PMI6_CLNS1A.pdf", "Melting_Curves/meltCurve_E9PMI6_CLNS1A.pdf")</f>
        <v>Melting_Curves/meltCurve_E9PMI6_CLNS1A.pdf</v>
      </c>
    </row>
    <row r="526" spans="1:28" x14ac:dyDescent="0.25">
      <c r="A526" t="s">
        <v>530</v>
      </c>
      <c r="B526">
        <v>0.995954080203443</v>
      </c>
      <c r="C526">
        <v>0.94316205917417895</v>
      </c>
      <c r="D526">
        <v>0.97396708739250504</v>
      </c>
      <c r="E526">
        <v>0.53332998158124101</v>
      </c>
      <c r="F526">
        <v>0.16800341558443299</v>
      </c>
      <c r="G526">
        <v>9.22624842503183E-2</v>
      </c>
      <c r="H526">
        <v>4.9967937713334597E-2</v>
      </c>
      <c r="I526">
        <v>4.0682323658326698E-2</v>
      </c>
      <c r="J526">
        <v>5.02117352815502E-2</v>
      </c>
      <c r="K526">
        <v>4.0744032294133599E-2</v>
      </c>
      <c r="L526">
        <v>1749.7875290110801</v>
      </c>
      <c r="M526">
        <v>34.952746500876799</v>
      </c>
      <c r="N526">
        <v>50.216065029595001</v>
      </c>
      <c r="O526">
        <v>49.898497924889497</v>
      </c>
      <c r="P526">
        <v>-0.166189814926647</v>
      </c>
      <c r="Q526">
        <v>5.0993864646109298E-2</v>
      </c>
      <c r="R526">
        <v>0.99744949092795498</v>
      </c>
      <c r="S526" t="s">
        <v>7332</v>
      </c>
      <c r="T526" t="s">
        <v>13610</v>
      </c>
      <c r="U526" t="s">
        <v>13610</v>
      </c>
      <c r="V526" t="s">
        <v>13610</v>
      </c>
      <c r="W526" t="s">
        <v>14124</v>
      </c>
      <c r="X526">
        <v>10</v>
      </c>
      <c r="Y526" t="s">
        <v>20849</v>
      </c>
      <c r="Z526" t="s">
        <v>27381</v>
      </c>
      <c r="AA526">
        <v>0.37358889771157749</v>
      </c>
      <c r="AB526" t="str">
        <f>HYPERLINK("Melting_Curves/meltCurve_E9PMJ2_FAM118B.pdf", "Melting_Curves/meltCurve_E9PMJ2_FAM118B.pdf")</f>
        <v>Melting_Curves/meltCurve_E9PMJ2_FAM118B.pdf</v>
      </c>
    </row>
    <row r="527" spans="1:28" x14ac:dyDescent="0.25">
      <c r="A527" t="s">
        <v>531</v>
      </c>
      <c r="B527">
        <v>0.995954080203443</v>
      </c>
      <c r="C527">
        <v>0.998197882536076</v>
      </c>
      <c r="D527">
        <v>0.96610721573671698</v>
      </c>
      <c r="E527">
        <v>0.68033638268652397</v>
      </c>
      <c r="F527">
        <v>0.46833601255135099</v>
      </c>
      <c r="G527">
        <v>0.29811116669606602</v>
      </c>
      <c r="H527">
        <v>0.197662164348234</v>
      </c>
      <c r="I527">
        <v>0.185964639469721</v>
      </c>
      <c r="J527">
        <v>0.19871658306841999</v>
      </c>
      <c r="K527">
        <v>0.21434275429163199</v>
      </c>
      <c r="L527">
        <v>1104.37987829083</v>
      </c>
      <c r="M527">
        <v>21.544696598287</v>
      </c>
      <c r="N527">
        <v>52.450255640542998</v>
      </c>
      <c r="O527">
        <v>50.824447183238703</v>
      </c>
      <c r="P527">
        <v>-8.5486373369349097E-2</v>
      </c>
      <c r="Q527">
        <v>0.193362008157661</v>
      </c>
      <c r="R527">
        <v>0.99722135816966795</v>
      </c>
      <c r="S527" t="s">
        <v>7333</v>
      </c>
      <c r="T527" t="s">
        <v>13610</v>
      </c>
      <c r="U527" t="s">
        <v>13610</v>
      </c>
      <c r="V527" t="s">
        <v>13610</v>
      </c>
      <c r="W527" t="s">
        <v>14125</v>
      </c>
      <c r="X527">
        <v>4</v>
      </c>
      <c r="Y527" t="s">
        <v>20850</v>
      </c>
      <c r="Z527" t="s">
        <v>27382</v>
      </c>
      <c r="AA527">
        <v>0.50585287201974183</v>
      </c>
      <c r="AB527" t="str">
        <f>HYPERLINK("Melting_Curves/meltCurve_E9PMS5_KCTD21.pdf", "Melting_Curves/meltCurve_E9PMS5_KCTD21.pdf")</f>
        <v>Melting_Curves/meltCurve_E9PMS5_KCTD21.pdf</v>
      </c>
    </row>
    <row r="528" spans="1:28" x14ac:dyDescent="0.25">
      <c r="A528" t="s">
        <v>532</v>
      </c>
      <c r="B528">
        <v>0.995954080203443</v>
      </c>
      <c r="C528">
        <v>0.91603837152266299</v>
      </c>
      <c r="D528">
        <v>1.03024844596567</v>
      </c>
      <c r="E528">
        <v>0.82046939169872501</v>
      </c>
      <c r="F528">
        <v>0.85220802807322604</v>
      </c>
      <c r="G528">
        <v>0.55733949457443099</v>
      </c>
      <c r="H528">
        <v>0.65109680706117001</v>
      </c>
      <c r="I528">
        <v>0.63735554708999198</v>
      </c>
      <c r="J528">
        <v>1.0260976250328899</v>
      </c>
      <c r="K528">
        <v>0.82847617945368301</v>
      </c>
      <c r="L528">
        <v>1993.3695332531699</v>
      </c>
      <c r="M528">
        <v>40.4040457609307</v>
      </c>
      <c r="O528">
        <v>49.215512968516698</v>
      </c>
      <c r="P528">
        <v>-5.0624084263959798E-2</v>
      </c>
      <c r="Q528">
        <v>0.75334307353512797</v>
      </c>
      <c r="R528">
        <v>0.38124872983599001</v>
      </c>
      <c r="S528" t="s">
        <v>7334</v>
      </c>
      <c r="T528" t="s">
        <v>13610</v>
      </c>
      <c r="U528" t="s">
        <v>13610</v>
      </c>
      <c r="V528" t="s">
        <v>13610</v>
      </c>
      <c r="W528" t="s">
        <v>14126</v>
      </c>
      <c r="X528">
        <v>3</v>
      </c>
      <c r="Y528" t="s">
        <v>20851</v>
      </c>
      <c r="Z528" t="s">
        <v>27383</v>
      </c>
      <c r="AA528">
        <v>0.83092667636050854</v>
      </c>
      <c r="AB528" t="str">
        <f>HYPERLINK("Melting_Curves/meltCurve_E9PMS6_LMO7.pdf", "Melting_Curves/meltCurve_E9PMS6_LMO7.pdf")</f>
        <v>Melting_Curves/meltCurve_E9PMS6_LMO7.pdf</v>
      </c>
    </row>
    <row r="529" spans="1:28" x14ac:dyDescent="0.25">
      <c r="A529" t="s">
        <v>533</v>
      </c>
      <c r="B529">
        <v>0.995954080203443</v>
      </c>
      <c r="C529">
        <v>0.84106571653421203</v>
      </c>
      <c r="D529">
        <v>0.74996626758118801</v>
      </c>
      <c r="E529">
        <v>0.70610906695824904</v>
      </c>
      <c r="F529">
        <v>0.58224821903047597</v>
      </c>
      <c r="G529">
        <v>0.32659951497487499</v>
      </c>
      <c r="H529">
        <v>0.22170348471215701</v>
      </c>
      <c r="I529">
        <v>0.14472546744463799</v>
      </c>
      <c r="J529">
        <v>0.16998777601353099</v>
      </c>
      <c r="K529">
        <v>0.14889206170387301</v>
      </c>
      <c r="L529">
        <v>474.39248229692703</v>
      </c>
      <c r="M529">
        <v>8.8780483682681499</v>
      </c>
      <c r="N529">
        <v>53.489134898815799</v>
      </c>
      <c r="O529">
        <v>50.931721772541898</v>
      </c>
      <c r="P529">
        <v>-4.3414028278524398E-2</v>
      </c>
      <c r="Q529">
        <v>4.5284199860076303E-3</v>
      </c>
      <c r="R529">
        <v>0.97611550497823196</v>
      </c>
      <c r="S529" t="s">
        <v>7335</v>
      </c>
      <c r="T529" t="s">
        <v>13610</v>
      </c>
      <c r="U529" t="s">
        <v>13610</v>
      </c>
      <c r="V529" t="s">
        <v>13610</v>
      </c>
      <c r="W529" t="s">
        <v>14127</v>
      </c>
      <c r="X529">
        <v>3</v>
      </c>
      <c r="Y529" t="s">
        <v>20852</v>
      </c>
      <c r="Z529" t="s">
        <v>27384</v>
      </c>
      <c r="AA529">
        <v>0.48565705232717971</v>
      </c>
      <c r="AB529" t="str">
        <f>HYPERLINK("Melting_Curves/meltCurve_E9PN17_ATP5L.pdf", "Melting_Curves/meltCurve_E9PN17_ATP5L.pdf")</f>
        <v>Melting_Curves/meltCurve_E9PN17_ATP5L.pdf</v>
      </c>
    </row>
    <row r="530" spans="1:28" x14ac:dyDescent="0.25">
      <c r="A530" t="s">
        <v>534</v>
      </c>
      <c r="B530">
        <v>0.995954080203443</v>
      </c>
      <c r="C530">
        <v>0.91301629534376005</v>
      </c>
      <c r="D530">
        <v>0.845430312695027</v>
      </c>
      <c r="E530">
        <v>0.889806250117813</v>
      </c>
      <c r="F530">
        <v>0.66837358941226599</v>
      </c>
      <c r="G530">
        <v>0.49448028978162401</v>
      </c>
      <c r="H530">
        <v>0.38538131179677199</v>
      </c>
      <c r="I530">
        <v>0.44075848931036898</v>
      </c>
      <c r="J530">
        <v>0.31323548129169498</v>
      </c>
      <c r="K530">
        <v>0.49886971228624399</v>
      </c>
      <c r="L530">
        <v>868.92628500422995</v>
      </c>
      <c r="M530">
        <v>16.547697744339398</v>
      </c>
      <c r="N530">
        <v>57.527325705082198</v>
      </c>
      <c r="O530">
        <v>51.761508926881703</v>
      </c>
      <c r="P530">
        <v>-4.9403316400217397E-2</v>
      </c>
      <c r="Q530">
        <v>0.38190447576098702</v>
      </c>
      <c r="R530">
        <v>0.92117893259574202</v>
      </c>
      <c r="S530" t="s">
        <v>7336</v>
      </c>
      <c r="T530" t="s">
        <v>13610</v>
      </c>
      <c r="U530" t="s">
        <v>13610</v>
      </c>
      <c r="V530" t="s">
        <v>13610</v>
      </c>
      <c r="W530" t="s">
        <v>14128</v>
      </c>
      <c r="X530">
        <v>2</v>
      </c>
      <c r="Y530" t="s">
        <v>20853</v>
      </c>
      <c r="Z530" t="s">
        <v>27385</v>
      </c>
      <c r="AA530">
        <v>0.65134823685767906</v>
      </c>
      <c r="AB530" t="str">
        <f>HYPERLINK("Melting_Curves/meltCurve_E9PND3_EBAG9.pdf", "Melting_Curves/meltCurve_E9PND3_EBAG9.pdf")</f>
        <v>Melting_Curves/meltCurve_E9PND3_EBAG9.pdf</v>
      </c>
    </row>
    <row r="531" spans="1:28" x14ac:dyDescent="0.25">
      <c r="A531" t="s">
        <v>535</v>
      </c>
      <c r="B531">
        <v>0.995954080203443</v>
      </c>
      <c r="C531">
        <v>0.87312896432929199</v>
      </c>
      <c r="D531">
        <v>1.04820903163815</v>
      </c>
      <c r="E531">
        <v>0.90145039139537897</v>
      </c>
      <c r="F531">
        <v>0.63670353799007695</v>
      </c>
      <c r="G531">
        <v>0.30621144804380901</v>
      </c>
      <c r="H531">
        <v>0.219264148330445</v>
      </c>
      <c r="I531">
        <v>0.22572921812067401</v>
      </c>
      <c r="J531">
        <v>0.25642167431156998</v>
      </c>
      <c r="K531">
        <v>0.234002164718841</v>
      </c>
      <c r="L531">
        <v>1748.26780479626</v>
      </c>
      <c r="M531">
        <v>32.899617022098802</v>
      </c>
      <c r="N531">
        <v>54.157825335016703</v>
      </c>
      <c r="O531">
        <v>52.944279803055203</v>
      </c>
      <c r="P531">
        <v>-0.11951767191052801</v>
      </c>
      <c r="Q531">
        <v>0.23065992308744901</v>
      </c>
      <c r="R531">
        <v>0.98227216214285096</v>
      </c>
      <c r="S531" t="s">
        <v>7337</v>
      </c>
      <c r="T531" t="s">
        <v>13610</v>
      </c>
      <c r="U531" t="s">
        <v>13610</v>
      </c>
      <c r="V531" t="s">
        <v>13610</v>
      </c>
      <c r="W531" t="s">
        <v>14129</v>
      </c>
      <c r="X531">
        <v>3</v>
      </c>
      <c r="Y531" t="s">
        <v>20854</v>
      </c>
      <c r="Z531" t="s">
        <v>27386</v>
      </c>
      <c r="AA531">
        <v>0.57178553520231323</v>
      </c>
      <c r="AB531" t="str">
        <f>HYPERLINK("Melting_Curves/meltCurve_E9PNW4_CD59.pdf", "Melting_Curves/meltCurve_E9PNW4_CD59.pdf")</f>
        <v>Melting_Curves/meltCurve_E9PNW4_CD59.pdf</v>
      </c>
    </row>
    <row r="532" spans="1:28" x14ac:dyDescent="0.25">
      <c r="A532" t="s">
        <v>536</v>
      </c>
      <c r="B532">
        <v>0.995954080203443</v>
      </c>
      <c r="C532">
        <v>0.85800678461087398</v>
      </c>
      <c r="D532">
        <v>0.79824598208460995</v>
      </c>
      <c r="E532">
        <v>0.69669795643927801</v>
      </c>
      <c r="F532">
        <v>0.35966580034048401</v>
      </c>
      <c r="G532">
        <v>0.175265971932732</v>
      </c>
      <c r="H532">
        <v>0.106043481715695</v>
      </c>
      <c r="I532">
        <v>7.4085204967900997E-2</v>
      </c>
      <c r="J532">
        <v>0.11741589720921899</v>
      </c>
      <c r="K532">
        <v>8.2709298052247401E-2</v>
      </c>
      <c r="L532">
        <v>748.47077993216601</v>
      </c>
      <c r="M532">
        <v>14.672953192305799</v>
      </c>
      <c r="N532">
        <v>51.354831132995301</v>
      </c>
      <c r="O532">
        <v>50.0908515990496</v>
      </c>
      <c r="P532">
        <v>-6.9806090143414906E-2</v>
      </c>
      <c r="Q532">
        <v>4.6882764092675201E-2</v>
      </c>
      <c r="R532">
        <v>0.97913842932704198</v>
      </c>
      <c r="S532" t="s">
        <v>7338</v>
      </c>
      <c r="T532" t="s">
        <v>13610</v>
      </c>
      <c r="U532" t="s">
        <v>13610</v>
      </c>
      <c r="V532" t="s">
        <v>13610</v>
      </c>
      <c r="W532" t="s">
        <v>14130</v>
      </c>
      <c r="X532">
        <v>3</v>
      </c>
      <c r="Y532" t="s">
        <v>20855</v>
      </c>
      <c r="Z532" t="s">
        <v>27387</v>
      </c>
      <c r="AA532">
        <v>0.41951027159907012</v>
      </c>
      <c r="AB532" t="str">
        <f>HYPERLINK("Melting_Curves/meltCurve_E9PP00_ZC3H12C.pdf", "Melting_Curves/meltCurve_E9PP00_ZC3H12C.pdf")</f>
        <v>Melting_Curves/meltCurve_E9PP00_ZC3H12C.pdf</v>
      </c>
    </row>
    <row r="533" spans="1:28" x14ac:dyDescent="0.25">
      <c r="A533" t="s">
        <v>537</v>
      </c>
      <c r="B533">
        <v>0.995954080203443</v>
      </c>
      <c r="C533">
        <v>1.0005050974817999</v>
      </c>
      <c r="D533">
        <v>0.74443327422888095</v>
      </c>
      <c r="E533">
        <v>0.58968096510534396</v>
      </c>
      <c r="F533">
        <v>1.0484931771394601</v>
      </c>
      <c r="G533">
        <v>0.76706854962044302</v>
      </c>
      <c r="H533">
        <v>0.81083943703800698</v>
      </c>
      <c r="I533">
        <v>0.77346472837237701</v>
      </c>
      <c r="J533">
        <v>1.3656599604725299</v>
      </c>
      <c r="K533">
        <v>1.57418276211106</v>
      </c>
      <c r="L533">
        <v>15000</v>
      </c>
      <c r="M533">
        <v>224.8811394693</v>
      </c>
      <c r="O533">
        <v>66.696637536053103</v>
      </c>
      <c r="P533">
        <v>0.42146272308886701</v>
      </c>
      <c r="Q533">
        <v>1.5</v>
      </c>
      <c r="R533">
        <v>0.53860380181071199</v>
      </c>
      <c r="S533" t="s">
        <v>7339</v>
      </c>
      <c r="T533" t="s">
        <v>13610</v>
      </c>
      <c r="U533" t="s">
        <v>13610</v>
      </c>
      <c r="V533" t="s">
        <v>13610</v>
      </c>
      <c r="W533" t="s">
        <v>14131</v>
      </c>
      <c r="X533">
        <v>2</v>
      </c>
      <c r="Y533" t="s">
        <v>20856</v>
      </c>
      <c r="Z533" t="s">
        <v>27388</v>
      </c>
      <c r="AA533">
        <v>1.054896077360876</v>
      </c>
      <c r="AB533" t="str">
        <f>HYPERLINK("Melting_Curves/meltCurve_E9PPH6_EXPH5.pdf", "Melting_Curves/meltCurve_E9PPH6_EXPH5.pdf")</f>
        <v>Melting_Curves/meltCurve_E9PPH6_EXPH5.pdf</v>
      </c>
    </row>
    <row r="534" spans="1:28" x14ac:dyDescent="0.25">
      <c r="A534" t="s">
        <v>538</v>
      </c>
      <c r="B534">
        <v>0.995954080203443</v>
      </c>
      <c r="C534">
        <v>0.88415019881343704</v>
      </c>
      <c r="D534">
        <v>0.99452235429473101</v>
      </c>
      <c r="E534">
        <v>0.98865099069412699</v>
      </c>
      <c r="F534">
        <v>1.0535859743464</v>
      </c>
      <c r="G534">
        <v>0.70224844304110101</v>
      </c>
      <c r="H534">
        <v>0.67853214164430797</v>
      </c>
      <c r="I534">
        <v>0.778547051853825</v>
      </c>
      <c r="J534">
        <v>1.1547119996120401</v>
      </c>
      <c r="K534">
        <v>0.96184776030665897</v>
      </c>
      <c r="L534">
        <v>6185.1925849709996</v>
      </c>
      <c r="M534">
        <v>113.14274260579801</v>
      </c>
      <c r="O534">
        <v>54.650068244228201</v>
      </c>
      <c r="P534">
        <v>-7.4294729677725393E-2</v>
      </c>
      <c r="Q534">
        <v>0.85645695559284496</v>
      </c>
      <c r="R534">
        <v>0.17830666357750499</v>
      </c>
      <c r="S534" t="s">
        <v>7340</v>
      </c>
      <c r="T534" t="s">
        <v>13610</v>
      </c>
      <c r="U534" t="s">
        <v>13610</v>
      </c>
      <c r="V534" t="s">
        <v>13610</v>
      </c>
      <c r="W534" t="s">
        <v>14132</v>
      </c>
      <c r="X534">
        <v>4</v>
      </c>
      <c r="Y534" t="s">
        <v>20857</v>
      </c>
      <c r="Z534" t="s">
        <v>27389</v>
      </c>
      <c r="AA534">
        <v>0.92670321774762743</v>
      </c>
      <c r="AB534" t="str">
        <f>HYPERLINK("Melting_Curves/meltCurve_E9PPY3_RRP8.pdf", "Melting_Curves/meltCurve_E9PPY3_RRP8.pdf")</f>
        <v>Melting_Curves/meltCurve_E9PPY3_RRP8.pdf</v>
      </c>
    </row>
    <row r="535" spans="1:28" x14ac:dyDescent="0.25">
      <c r="A535" t="s">
        <v>539</v>
      </c>
      <c r="B535">
        <v>0.995954080203443</v>
      </c>
      <c r="C535">
        <v>0.94029466803908701</v>
      </c>
      <c r="D535">
        <v>0.87556424063190197</v>
      </c>
      <c r="E535">
        <v>0.67058437081502198</v>
      </c>
      <c r="F535">
        <v>0.27000700536836603</v>
      </c>
      <c r="G535">
        <v>5.57617806160004E-2</v>
      </c>
      <c r="H535">
        <v>1.9334518399741801E-2</v>
      </c>
      <c r="I535">
        <v>1.2034929944205E-2</v>
      </c>
      <c r="J535">
        <v>0</v>
      </c>
      <c r="K535">
        <v>5.9539991215106303E-3</v>
      </c>
      <c r="L535">
        <v>1247.3587107579799</v>
      </c>
      <c r="M535">
        <v>24.420734326498302</v>
      </c>
      <c r="N535">
        <v>51.077854713466003</v>
      </c>
      <c r="O535">
        <v>50.739045692472303</v>
      </c>
      <c r="P535">
        <v>-0.12032693325635101</v>
      </c>
      <c r="Q535">
        <v>0</v>
      </c>
      <c r="R535">
        <v>0.99474157224729998</v>
      </c>
      <c r="S535" t="s">
        <v>7341</v>
      </c>
      <c r="T535" t="s">
        <v>13610</v>
      </c>
      <c r="U535" t="s">
        <v>13610</v>
      </c>
      <c r="V535" t="s">
        <v>13610</v>
      </c>
      <c r="W535" t="s">
        <v>14133</v>
      </c>
      <c r="X535">
        <v>2</v>
      </c>
      <c r="Y535" t="s">
        <v>20858</v>
      </c>
      <c r="Z535" t="s">
        <v>27390</v>
      </c>
      <c r="AA535">
        <v>0.37872871704179628</v>
      </c>
      <c r="AB535" t="str">
        <f>HYPERLINK("Melting_Curves/meltCurve_E9PQ38_KBTBD4.pdf", "Melting_Curves/meltCurve_E9PQ38_KBTBD4.pdf")</f>
        <v>Melting_Curves/meltCurve_E9PQ38_KBTBD4.pdf</v>
      </c>
    </row>
    <row r="536" spans="1:28" x14ac:dyDescent="0.25">
      <c r="A536" t="s">
        <v>540</v>
      </c>
      <c r="B536">
        <v>0.995954080203443</v>
      </c>
      <c r="C536">
        <v>1.0131668255459201</v>
      </c>
      <c r="D536">
        <v>0.91054684752789705</v>
      </c>
      <c r="E536">
        <v>0.81220214058736195</v>
      </c>
      <c r="F536">
        <v>0.62725451582668001</v>
      </c>
      <c r="G536">
        <v>0.21719108117872801</v>
      </c>
      <c r="H536">
        <v>9.6020857437098497E-2</v>
      </c>
      <c r="I536">
        <v>7.1076737336534995E-2</v>
      </c>
      <c r="J536">
        <v>8.1473635404918698E-2</v>
      </c>
      <c r="K536">
        <v>6.2775339841623201E-2</v>
      </c>
      <c r="L536">
        <v>1179.9056217586101</v>
      </c>
      <c r="M536">
        <v>22.020442003214399</v>
      </c>
      <c r="N536">
        <v>53.835722755767002</v>
      </c>
      <c r="O536">
        <v>53.1462610174137</v>
      </c>
      <c r="P536">
        <v>-9.8486774152881498E-2</v>
      </c>
      <c r="Q536">
        <v>4.9231179267096602E-2</v>
      </c>
      <c r="R536">
        <v>0.99433057236696099</v>
      </c>
      <c r="S536" t="s">
        <v>7342</v>
      </c>
      <c r="T536" t="s">
        <v>13610</v>
      </c>
      <c r="U536" t="s">
        <v>13610</v>
      </c>
      <c r="V536" t="s">
        <v>13610</v>
      </c>
      <c r="W536" t="s">
        <v>14134</v>
      </c>
      <c r="X536">
        <v>3</v>
      </c>
      <c r="Y536" t="s">
        <v>20859</v>
      </c>
      <c r="Z536" t="s">
        <v>27391</v>
      </c>
      <c r="AA536">
        <v>0.49072099206962111</v>
      </c>
      <c r="AB536" t="str">
        <f>HYPERLINK("Melting_Curves/meltCurve_E9PQ47_ZFPL1.pdf", "Melting_Curves/meltCurve_E9PQ47_ZFPL1.pdf")</f>
        <v>Melting_Curves/meltCurve_E9PQ47_ZFPL1.pdf</v>
      </c>
    </row>
    <row r="537" spans="1:28" x14ac:dyDescent="0.25">
      <c r="A537" t="s">
        <v>541</v>
      </c>
      <c r="B537">
        <v>0.995954080203443</v>
      </c>
      <c r="C537">
        <v>1.0067595618923399</v>
      </c>
      <c r="D537">
        <v>0.88701283480460902</v>
      </c>
      <c r="E537">
        <v>0.88538771251590598</v>
      </c>
      <c r="F537">
        <v>0.73590570771988295</v>
      </c>
      <c r="G537">
        <v>0.465948143530791</v>
      </c>
      <c r="H537">
        <v>0.17523668076281099</v>
      </c>
      <c r="I537">
        <v>0.12429814622466701</v>
      </c>
      <c r="J537">
        <v>0.109231730667416</v>
      </c>
      <c r="K537">
        <v>8.0036165512189603E-2</v>
      </c>
      <c r="L537">
        <v>958.816743637885</v>
      </c>
      <c r="M537">
        <v>17.167357367151599</v>
      </c>
      <c r="N537">
        <v>56.112073583342202</v>
      </c>
      <c r="O537">
        <v>55.109839507017</v>
      </c>
      <c r="P537">
        <v>-7.4894806178464904E-2</v>
      </c>
      <c r="Q537">
        <v>3.8362106588431401E-2</v>
      </c>
      <c r="R537">
        <v>0.99164071203745197</v>
      </c>
      <c r="S537" t="s">
        <v>7343</v>
      </c>
      <c r="T537" t="s">
        <v>13610</v>
      </c>
      <c r="U537" t="s">
        <v>13610</v>
      </c>
      <c r="V537" t="s">
        <v>13610</v>
      </c>
      <c r="W537" t="s">
        <v>14135</v>
      </c>
      <c r="X537">
        <v>7</v>
      </c>
      <c r="Y537" t="s">
        <v>20860</v>
      </c>
      <c r="Z537" t="s">
        <v>27392</v>
      </c>
      <c r="AA537">
        <v>0.56156624813029665</v>
      </c>
      <c r="AB537" t="str">
        <f>HYPERLINK("Melting_Curves/meltCurve_E9PQ74_GAS2.pdf", "Melting_Curves/meltCurve_E9PQ74_GAS2.pdf")</f>
        <v>Melting_Curves/meltCurve_E9PQ74_GAS2.pdf</v>
      </c>
    </row>
    <row r="538" spans="1:28" x14ac:dyDescent="0.25">
      <c r="A538" t="s">
        <v>542</v>
      </c>
      <c r="B538">
        <v>0.995954080203443</v>
      </c>
      <c r="C538">
        <v>0.92227709494607402</v>
      </c>
      <c r="D538">
        <v>0.82377839379961204</v>
      </c>
      <c r="E538">
        <v>0.71342436189385405</v>
      </c>
      <c r="F538">
        <v>0.71686865105475295</v>
      </c>
      <c r="G538">
        <v>0.60098017946050997</v>
      </c>
      <c r="H538">
        <v>0.58034296381181205</v>
      </c>
      <c r="I538">
        <v>0.636816310899605</v>
      </c>
      <c r="J538">
        <v>0.75231249606550699</v>
      </c>
      <c r="K538">
        <v>0.728051146636709</v>
      </c>
      <c r="L538">
        <v>963.47285753843096</v>
      </c>
      <c r="M538">
        <v>21.0810356741489</v>
      </c>
      <c r="O538">
        <v>45.298005045109697</v>
      </c>
      <c r="P538">
        <v>-3.8969568167189397E-2</v>
      </c>
      <c r="Q538">
        <v>0.665064472921853</v>
      </c>
      <c r="R538">
        <v>0.83972978626192296</v>
      </c>
      <c r="S538" t="s">
        <v>7344</v>
      </c>
      <c r="T538" t="s">
        <v>13610</v>
      </c>
      <c r="U538" t="s">
        <v>13610</v>
      </c>
      <c r="V538" t="s">
        <v>13610</v>
      </c>
      <c r="W538" t="s">
        <v>14136</v>
      </c>
      <c r="X538">
        <v>1</v>
      </c>
      <c r="Y538" t="s">
        <v>20861</v>
      </c>
      <c r="Z538" t="s">
        <v>27393</v>
      </c>
      <c r="AA538">
        <v>0.73342705933695007</v>
      </c>
      <c r="AB538" t="str">
        <f>HYPERLINK("Melting_Curves/meltCurve_E9PQT8_PHF1.pdf", "Melting_Curves/meltCurve_E9PQT8_PHF1.pdf")</f>
        <v>Melting_Curves/meltCurve_E9PQT8_PHF1.pdf</v>
      </c>
    </row>
    <row r="539" spans="1:28" x14ac:dyDescent="0.25">
      <c r="A539" t="s">
        <v>543</v>
      </c>
      <c r="B539">
        <v>0.995954080203443</v>
      </c>
      <c r="C539">
        <v>0.91250461742221001</v>
      </c>
      <c r="D539">
        <v>0.88616972579789299</v>
      </c>
      <c r="E539">
        <v>0.70111327679340596</v>
      </c>
      <c r="F539">
        <v>0.50860988556192399</v>
      </c>
      <c r="G539">
        <v>0.245194411861659</v>
      </c>
      <c r="H539">
        <v>8.6046870501065797E-2</v>
      </c>
      <c r="I539">
        <v>5.9824234110161002E-2</v>
      </c>
      <c r="J539">
        <v>7.2703167153343198E-2</v>
      </c>
      <c r="K539">
        <v>5.9469204505295102E-2</v>
      </c>
      <c r="L539">
        <v>790.30977310501396</v>
      </c>
      <c r="M539">
        <v>15.0047449936982</v>
      </c>
      <c r="N539">
        <v>52.760006961154701</v>
      </c>
      <c r="O539">
        <v>51.761678955930599</v>
      </c>
      <c r="P539">
        <v>-7.1568600631165297E-2</v>
      </c>
      <c r="Q539">
        <v>1.25424570161432E-2</v>
      </c>
      <c r="R539">
        <v>0.99500007082090702</v>
      </c>
      <c r="S539" t="s">
        <v>7345</v>
      </c>
      <c r="T539" t="s">
        <v>13610</v>
      </c>
      <c r="U539" t="s">
        <v>13610</v>
      </c>
      <c r="V539" t="s">
        <v>13610</v>
      </c>
      <c r="W539" t="s">
        <v>14137</v>
      </c>
      <c r="X539">
        <v>6</v>
      </c>
      <c r="Y539" t="s">
        <v>20862</v>
      </c>
      <c r="Z539" t="s">
        <v>27394</v>
      </c>
      <c r="AA539">
        <v>0.45112618664191217</v>
      </c>
      <c r="AB539" t="str">
        <f>HYPERLINK("Melting_Curves/meltCurve_E9PQY3_ACP2.pdf", "Melting_Curves/meltCurve_E9PQY3_ACP2.pdf")</f>
        <v>Melting_Curves/meltCurve_E9PQY3_ACP2.pdf</v>
      </c>
    </row>
    <row r="540" spans="1:28" x14ac:dyDescent="0.25">
      <c r="A540" t="s">
        <v>544</v>
      </c>
      <c r="B540">
        <v>0.995954080203443</v>
      </c>
      <c r="C540">
        <v>0.80468218384103796</v>
      </c>
      <c r="D540">
        <v>0.76329835144589497</v>
      </c>
      <c r="E540">
        <v>0.47615149895016501</v>
      </c>
      <c r="F540">
        <v>0.30477738082548</v>
      </c>
      <c r="G540">
        <v>0.169497007795645</v>
      </c>
      <c r="H540">
        <v>0.104378212941939</v>
      </c>
      <c r="I540">
        <v>8.7020260088845502E-2</v>
      </c>
      <c r="J540">
        <v>0.11203643987216599</v>
      </c>
      <c r="K540">
        <v>9.7683912427070099E-2</v>
      </c>
      <c r="L540">
        <v>671.13763502521499</v>
      </c>
      <c r="M540">
        <v>13.7101017762557</v>
      </c>
      <c r="N540">
        <v>49.461872262155403</v>
      </c>
      <c r="O540">
        <v>47.945855563054401</v>
      </c>
      <c r="P540">
        <v>-6.6786599706147906E-2</v>
      </c>
      <c r="Q540">
        <v>6.5891779669870101E-2</v>
      </c>
      <c r="R540">
        <v>0.99023300531824798</v>
      </c>
      <c r="S540" t="s">
        <v>7346</v>
      </c>
      <c r="T540" t="s">
        <v>13610</v>
      </c>
      <c r="U540" t="s">
        <v>13610</v>
      </c>
      <c r="V540" t="s">
        <v>13610</v>
      </c>
      <c r="W540" t="s">
        <v>14138</v>
      </c>
      <c r="X540">
        <v>4</v>
      </c>
      <c r="Y540" t="s">
        <v>20863</v>
      </c>
      <c r="Z540" t="s">
        <v>27395</v>
      </c>
      <c r="AA540">
        <v>0.37190477705370473</v>
      </c>
      <c r="AB540" t="str">
        <f>HYPERLINK("Melting_Curves/meltCurve_E9PR76_MAF1.pdf", "Melting_Curves/meltCurve_E9PR76_MAF1.pdf")</f>
        <v>Melting_Curves/meltCurve_E9PR76_MAF1.pdf</v>
      </c>
    </row>
    <row r="541" spans="1:28" x14ac:dyDescent="0.25">
      <c r="A541" t="s">
        <v>545</v>
      </c>
      <c r="B541">
        <v>0.995954080203443</v>
      </c>
      <c r="C541">
        <v>0.81185406183116704</v>
      </c>
      <c r="D541">
        <v>0.56727691577070005</v>
      </c>
      <c r="E541">
        <v>0.31476307723314101</v>
      </c>
      <c r="F541">
        <v>0.13818039137442401</v>
      </c>
      <c r="G541">
        <v>8.3821250463130104E-2</v>
      </c>
      <c r="H541">
        <v>5.89955234777923E-2</v>
      </c>
      <c r="I541">
        <v>5.9639454138863297E-2</v>
      </c>
      <c r="J541">
        <v>6.9447797313072407E-2</v>
      </c>
      <c r="K541">
        <v>6.1512876521713999E-2</v>
      </c>
      <c r="L541">
        <v>806.72832574034703</v>
      </c>
      <c r="M541">
        <v>17.295339431122699</v>
      </c>
      <c r="N541">
        <v>46.947147415583501</v>
      </c>
      <c r="O541">
        <v>46.034080912231801</v>
      </c>
      <c r="P541">
        <v>-8.8973411310717704E-2</v>
      </c>
      <c r="Q541">
        <v>5.27916206341306E-2</v>
      </c>
      <c r="R541">
        <v>0.99572350953453403</v>
      </c>
      <c r="S541" t="s">
        <v>7347</v>
      </c>
      <c r="T541" t="s">
        <v>13610</v>
      </c>
      <c r="U541" t="s">
        <v>13610</v>
      </c>
      <c r="V541" t="s">
        <v>13610</v>
      </c>
      <c r="W541" t="s">
        <v>14139</v>
      </c>
      <c r="X541">
        <v>30</v>
      </c>
      <c r="Y541" t="s">
        <v>20864</v>
      </c>
      <c r="Z541" t="s">
        <v>27396</v>
      </c>
      <c r="AA541">
        <v>0.28201601527836972</v>
      </c>
      <c r="AB541" t="str">
        <f>HYPERLINK("Melting_Curves/meltCurve_E9PRI4_RPS6KA1.pdf", "Melting_Curves/meltCurve_E9PRI4_RPS6KA1.pdf")</f>
        <v>Melting_Curves/meltCurve_E9PRI4_RPS6KA1.pdf</v>
      </c>
    </row>
    <row r="542" spans="1:28" x14ac:dyDescent="0.25">
      <c r="A542" t="s">
        <v>546</v>
      </c>
      <c r="B542">
        <v>0.995954080203443</v>
      </c>
      <c r="C542">
        <v>0.82568424693797404</v>
      </c>
      <c r="D542">
        <v>0.80140327049974602</v>
      </c>
      <c r="E542">
        <v>0.58100839120955206</v>
      </c>
      <c r="F542">
        <v>0.42066240676907002</v>
      </c>
      <c r="G542">
        <v>0.217399735771727</v>
      </c>
      <c r="H542">
        <v>0.14221439170150599</v>
      </c>
      <c r="I542">
        <v>0.154302805318249</v>
      </c>
      <c r="J542">
        <v>0.181653350555118</v>
      </c>
      <c r="K542">
        <v>0.177535845883455</v>
      </c>
      <c r="L542">
        <v>663.41343659213896</v>
      </c>
      <c r="M542">
        <v>13.301123705266001</v>
      </c>
      <c r="N542">
        <v>50.941738272357703</v>
      </c>
      <c r="O542">
        <v>48.789561680198602</v>
      </c>
      <c r="P542">
        <v>-5.9890867689495399E-2</v>
      </c>
      <c r="Q542">
        <v>0.121404426518141</v>
      </c>
      <c r="R542">
        <v>0.98292584078078704</v>
      </c>
      <c r="S542" t="s">
        <v>7348</v>
      </c>
      <c r="T542" t="s">
        <v>13610</v>
      </c>
      <c r="U542" t="s">
        <v>13610</v>
      </c>
      <c r="V542" t="s">
        <v>13610</v>
      </c>
      <c r="W542" t="s">
        <v>14140</v>
      </c>
      <c r="X542">
        <v>3</v>
      </c>
      <c r="Y542" t="s">
        <v>20865</v>
      </c>
      <c r="Z542" t="s">
        <v>27397</v>
      </c>
      <c r="AA542">
        <v>0.43656080950723969</v>
      </c>
      <c r="AB542" t="str">
        <f>HYPERLINK("Melting_Curves/meltCurve_E9PS41_WDR74.pdf", "Melting_Curves/meltCurve_E9PS41_WDR74.pdf")</f>
        <v>Melting_Curves/meltCurve_E9PS41_WDR74.pdf</v>
      </c>
    </row>
    <row r="543" spans="1:28" x14ac:dyDescent="0.25">
      <c r="A543" t="s">
        <v>547</v>
      </c>
      <c r="B543">
        <v>0.995954080203443</v>
      </c>
      <c r="C543">
        <v>0.89922382914918897</v>
      </c>
      <c r="D543">
        <v>0.75284002043810105</v>
      </c>
      <c r="E543">
        <v>0.60418209119913802</v>
      </c>
      <c r="F543">
        <v>0.46740395804416701</v>
      </c>
      <c r="G543">
        <v>0.38002727913654799</v>
      </c>
      <c r="H543">
        <v>0.33291226902266702</v>
      </c>
      <c r="I543">
        <v>0.35123196977093402</v>
      </c>
      <c r="J543">
        <v>0.39165956519541101</v>
      </c>
      <c r="K543">
        <v>0.368145740353923</v>
      </c>
      <c r="L543">
        <v>738.09160513666995</v>
      </c>
      <c r="M543">
        <v>15.407557140728001</v>
      </c>
      <c r="N543">
        <v>51.909409987552301</v>
      </c>
      <c r="O543">
        <v>47.119285640837802</v>
      </c>
      <c r="P543">
        <v>-5.3329286630980001E-2</v>
      </c>
      <c r="Q543">
        <v>0.34769409090139902</v>
      </c>
      <c r="R543">
        <v>0.98964845878811103</v>
      </c>
      <c r="S543" t="s">
        <v>7349</v>
      </c>
      <c r="T543" t="s">
        <v>13610</v>
      </c>
      <c r="U543" t="s">
        <v>13610</v>
      </c>
      <c r="V543" t="s">
        <v>13610</v>
      </c>
      <c r="W543" t="s">
        <v>14141</v>
      </c>
      <c r="X543">
        <v>2</v>
      </c>
      <c r="Y543" t="s">
        <v>20866</v>
      </c>
      <c r="Z543" t="s">
        <v>27398</v>
      </c>
      <c r="AA543">
        <v>0.53554958716398626</v>
      </c>
      <c r="AB543" t="str">
        <f>HYPERLINK("Melting_Curves/meltCurve_E9PSA5_ALKBH3.pdf", "Melting_Curves/meltCurve_E9PSA5_ALKBH3.pdf")</f>
        <v>Melting_Curves/meltCurve_E9PSA5_ALKBH3.pdf</v>
      </c>
    </row>
    <row r="544" spans="1:28" x14ac:dyDescent="0.25">
      <c r="A544" t="s">
        <v>548</v>
      </c>
      <c r="B544">
        <v>0.995954080203443</v>
      </c>
      <c r="C544">
        <v>0.74382900343004499</v>
      </c>
      <c r="D544">
        <v>0.55009677422397996</v>
      </c>
      <c r="E544">
        <v>0.68627847139266995</v>
      </c>
      <c r="F544">
        <v>0.57732125142534496</v>
      </c>
      <c r="G544">
        <v>0.19026859288386699</v>
      </c>
      <c r="H544">
        <v>0.18484354107449399</v>
      </c>
      <c r="I544">
        <v>5.3960682756251897E-2</v>
      </c>
      <c r="J544">
        <v>0</v>
      </c>
      <c r="K544">
        <v>5.93431021145292E-2</v>
      </c>
      <c r="L544">
        <v>467.44220108234703</v>
      </c>
      <c r="M544">
        <v>9.1888974051889303</v>
      </c>
      <c r="N544">
        <v>50.870345393559298</v>
      </c>
      <c r="O544">
        <v>48.634929239823002</v>
      </c>
      <c r="P544">
        <v>-4.7265749754765898E-2</v>
      </c>
      <c r="Q544">
        <v>0</v>
      </c>
      <c r="R544">
        <v>0.89129897539448</v>
      </c>
      <c r="S544" t="s">
        <v>7350</v>
      </c>
      <c r="T544" t="s">
        <v>13610</v>
      </c>
      <c r="U544" t="s">
        <v>13610</v>
      </c>
      <c r="V544" t="s">
        <v>13610</v>
      </c>
      <c r="W544" t="s">
        <v>14142</v>
      </c>
      <c r="X544">
        <v>3</v>
      </c>
      <c r="Y544" t="s">
        <v>20867</v>
      </c>
      <c r="Z544" t="s">
        <v>27399</v>
      </c>
      <c r="AA544">
        <v>0.40892939097557129</v>
      </c>
      <c r="AB544" t="str">
        <f>HYPERLINK("Melting_Curves/meltCurve_E9PSF2_STIL.pdf", "Melting_Curves/meltCurve_E9PSF2_STIL.pdf")</f>
        <v>Melting_Curves/meltCurve_E9PSF2_STIL.pdf</v>
      </c>
    </row>
    <row r="545" spans="1:28" x14ac:dyDescent="0.25">
      <c r="A545" t="s">
        <v>549</v>
      </c>
      <c r="B545">
        <v>0.995954080203443</v>
      </c>
      <c r="C545">
        <v>0.92825552686527502</v>
      </c>
      <c r="D545">
        <v>0.63148082390711102</v>
      </c>
      <c r="E545">
        <v>0.38253376323147897</v>
      </c>
      <c r="F545">
        <v>0.30471246209631397</v>
      </c>
      <c r="G545">
        <v>0.22415892670263099</v>
      </c>
      <c r="H545">
        <v>0.20656097800401901</v>
      </c>
      <c r="I545">
        <v>0.22352090197172</v>
      </c>
      <c r="J545">
        <v>0.256651280440712</v>
      </c>
      <c r="K545">
        <v>0.26965573136771898</v>
      </c>
      <c r="L545">
        <v>1068.62619767105</v>
      </c>
      <c r="M545">
        <v>23.018494835761199</v>
      </c>
      <c r="N545">
        <v>47.775963436819801</v>
      </c>
      <c r="O545">
        <v>46.0785730105463</v>
      </c>
      <c r="P545">
        <v>-9.50097653723318E-2</v>
      </c>
      <c r="Q545">
        <v>0.23924989057868801</v>
      </c>
      <c r="R545">
        <v>0.99240218766917099</v>
      </c>
      <c r="S545" t="s">
        <v>7351</v>
      </c>
      <c r="T545" t="s">
        <v>13610</v>
      </c>
      <c r="U545" t="s">
        <v>13610</v>
      </c>
      <c r="V545" t="s">
        <v>13610</v>
      </c>
      <c r="W545" t="s">
        <v>14143</v>
      </c>
      <c r="X545">
        <v>16</v>
      </c>
      <c r="Y545" t="s">
        <v>20868</v>
      </c>
      <c r="Z545" t="s">
        <v>27400</v>
      </c>
      <c r="AA545">
        <v>0.41049038708693092</v>
      </c>
      <c r="AB545" t="str">
        <f>HYPERLINK("Melting_Curves/meltCurve_F2Z2E1_FAM120B.pdf", "Melting_Curves/meltCurve_F2Z2E1_FAM120B.pdf")</f>
        <v>Melting_Curves/meltCurve_F2Z2E1_FAM120B.pdf</v>
      </c>
    </row>
    <row r="546" spans="1:28" x14ac:dyDescent="0.25">
      <c r="A546" t="s">
        <v>550</v>
      </c>
      <c r="B546">
        <v>0.995954080203443</v>
      </c>
      <c r="C546">
        <v>0.86793524627358498</v>
      </c>
      <c r="D546">
        <v>0.79422583427763604</v>
      </c>
      <c r="E546">
        <v>0.81638036891949295</v>
      </c>
      <c r="F546">
        <v>0.80430237227652701</v>
      </c>
      <c r="G546">
        <v>0.49813703505431101</v>
      </c>
      <c r="H546">
        <v>0.163358145252507</v>
      </c>
      <c r="I546">
        <v>3.3424287600469997E-2</v>
      </c>
      <c r="J546">
        <v>1.14623633631667E-2</v>
      </c>
      <c r="K546">
        <v>2.3390977983511401E-2</v>
      </c>
      <c r="L546">
        <v>1026.31842407555</v>
      </c>
      <c r="M546">
        <v>18.2477498361934</v>
      </c>
      <c r="N546">
        <v>56.243560602173602</v>
      </c>
      <c r="O546">
        <v>55.581140827557697</v>
      </c>
      <c r="P546">
        <v>-8.2080905888750694E-2</v>
      </c>
      <c r="Q546">
        <v>0</v>
      </c>
      <c r="R546">
        <v>0.94975145709864295</v>
      </c>
      <c r="S546" t="s">
        <v>7352</v>
      </c>
      <c r="T546" t="s">
        <v>13610</v>
      </c>
      <c r="U546" t="s">
        <v>13610</v>
      </c>
      <c r="V546" t="s">
        <v>13610</v>
      </c>
      <c r="W546" t="s">
        <v>14144</v>
      </c>
      <c r="X546">
        <v>4</v>
      </c>
      <c r="Y546" t="s">
        <v>20869</v>
      </c>
      <c r="Z546" t="s">
        <v>27401</v>
      </c>
      <c r="AA546">
        <v>0.55573822682291696</v>
      </c>
      <c r="AB546" t="str">
        <f>HYPERLINK("Melting_Curves/meltCurve_F2Z2E2_IQGAP3.pdf", "Melting_Curves/meltCurve_F2Z2E2_IQGAP3.pdf")</f>
        <v>Melting_Curves/meltCurve_F2Z2E2_IQGAP3.pdf</v>
      </c>
    </row>
    <row r="547" spans="1:28" x14ac:dyDescent="0.25">
      <c r="A547" t="s">
        <v>551</v>
      </c>
      <c r="B547">
        <v>0.995954080203443</v>
      </c>
      <c r="C547">
        <v>0.98978964293753202</v>
      </c>
      <c r="D547">
        <v>0.85940923426494997</v>
      </c>
      <c r="E547">
        <v>0.88081189357272505</v>
      </c>
      <c r="F547">
        <v>0.54178111371912996</v>
      </c>
      <c r="G547">
        <v>0.14316583577129499</v>
      </c>
      <c r="H547">
        <v>7.1289690737807096E-2</v>
      </c>
      <c r="I547">
        <v>6.6639326649418795E-2</v>
      </c>
      <c r="J547">
        <v>6.7246512473265796E-2</v>
      </c>
      <c r="K547">
        <v>3.81206493701561E-2</v>
      </c>
      <c r="L547">
        <v>1564.3369350769699</v>
      </c>
      <c r="M547">
        <v>29.4706532672481</v>
      </c>
      <c r="N547">
        <v>53.273181475354598</v>
      </c>
      <c r="O547">
        <v>52.838574363851201</v>
      </c>
      <c r="P547">
        <v>-0.13241254331303001</v>
      </c>
      <c r="Q547">
        <v>5.0385442199113298E-2</v>
      </c>
      <c r="R547">
        <v>0.988983411530033</v>
      </c>
      <c r="S547" t="s">
        <v>7353</v>
      </c>
      <c r="T547" t="s">
        <v>13610</v>
      </c>
      <c r="U547" t="s">
        <v>13610</v>
      </c>
      <c r="V547" t="s">
        <v>13610</v>
      </c>
      <c r="W547" t="s">
        <v>14145</v>
      </c>
      <c r="X547">
        <v>6</v>
      </c>
      <c r="Y547" t="s">
        <v>20870</v>
      </c>
      <c r="Z547" t="s">
        <v>27402</v>
      </c>
      <c r="AA547">
        <v>0.47083804964926829</v>
      </c>
      <c r="AB547" t="str">
        <f>HYPERLINK("Melting_Curves/meltCurve_F2Z2Q4_TRMT11.pdf", "Melting_Curves/meltCurve_F2Z2Q4_TRMT11.pdf")</f>
        <v>Melting_Curves/meltCurve_F2Z2Q4_TRMT11.pdf</v>
      </c>
    </row>
    <row r="548" spans="1:28" x14ac:dyDescent="0.25">
      <c r="A548" t="s">
        <v>552</v>
      </c>
      <c r="B548">
        <v>0.995954080203443</v>
      </c>
      <c r="C548">
        <v>0.99666402080821304</v>
      </c>
      <c r="D548">
        <v>1.03053683814159</v>
      </c>
      <c r="E548">
        <v>0.72577669854528803</v>
      </c>
      <c r="F548">
        <v>0.27414198530469802</v>
      </c>
      <c r="G548">
        <v>9.6285872294756894E-2</v>
      </c>
      <c r="H548">
        <v>5.5182628859212997E-2</v>
      </c>
      <c r="I548">
        <v>4.5100260553115397E-2</v>
      </c>
      <c r="J548">
        <v>4.6930185462683002E-2</v>
      </c>
      <c r="K548">
        <v>4.1944728903924498E-2</v>
      </c>
      <c r="L548">
        <v>1860.4120945362399</v>
      </c>
      <c r="M548">
        <v>36.279613490425398</v>
      </c>
      <c r="N548">
        <v>51.432711589036103</v>
      </c>
      <c r="O548">
        <v>51.124765162799001</v>
      </c>
      <c r="P548">
        <v>-0.16833922651953601</v>
      </c>
      <c r="Q548">
        <v>5.1116999499078698E-2</v>
      </c>
      <c r="R548">
        <v>0.998524930720044</v>
      </c>
      <c r="S548" t="s">
        <v>7354</v>
      </c>
      <c r="T548" t="s">
        <v>13610</v>
      </c>
      <c r="U548" t="s">
        <v>13610</v>
      </c>
      <c r="V548" t="s">
        <v>13610</v>
      </c>
      <c r="W548" t="s">
        <v>14146</v>
      </c>
      <c r="X548">
        <v>16</v>
      </c>
      <c r="Y548" t="s">
        <v>20871</v>
      </c>
      <c r="Z548" t="s">
        <v>27403</v>
      </c>
      <c r="AA548">
        <v>0.4119844505752791</v>
      </c>
      <c r="AB548" t="str">
        <f>HYPERLINK("Melting_Curves/meltCurve_F2Z2V0_CPNE1.pdf", "Melting_Curves/meltCurve_F2Z2V0_CPNE1.pdf")</f>
        <v>Melting_Curves/meltCurve_F2Z2V0_CPNE1.pdf</v>
      </c>
    </row>
    <row r="549" spans="1:28" x14ac:dyDescent="0.25">
      <c r="A549" t="s">
        <v>553</v>
      </c>
      <c r="B549">
        <v>0.995954080203443</v>
      </c>
      <c r="C549">
        <v>0.95773988221130901</v>
      </c>
      <c r="D549">
        <v>0.84392431315727201</v>
      </c>
      <c r="E549">
        <v>0.82988740231556601</v>
      </c>
      <c r="F549">
        <v>0.65951063658600295</v>
      </c>
      <c r="G549">
        <v>0.44228282704493299</v>
      </c>
      <c r="H549">
        <v>0.174134393436812</v>
      </c>
      <c r="I549">
        <v>0.100076439625664</v>
      </c>
      <c r="J549">
        <v>9.9849953855389806E-2</v>
      </c>
      <c r="K549">
        <v>9.03005399786386E-2</v>
      </c>
      <c r="L549">
        <v>739.48053545038294</v>
      </c>
      <c r="M549">
        <v>13.3642387167252</v>
      </c>
      <c r="N549">
        <v>55.3327637709275</v>
      </c>
      <c r="O549">
        <v>54.137902798059699</v>
      </c>
      <c r="P549">
        <v>-6.1723663685539699E-2</v>
      </c>
      <c r="Q549">
        <v>0</v>
      </c>
      <c r="R549">
        <v>0.98696097830437501</v>
      </c>
      <c r="S549" t="s">
        <v>7355</v>
      </c>
      <c r="T549" t="s">
        <v>13610</v>
      </c>
      <c r="U549" t="s">
        <v>13610</v>
      </c>
      <c r="V549" t="s">
        <v>13610</v>
      </c>
      <c r="W549" t="s">
        <v>14147</v>
      </c>
      <c r="X549">
        <v>12</v>
      </c>
      <c r="Y549" t="s">
        <v>20872</v>
      </c>
      <c r="Z549" t="s">
        <v>27404</v>
      </c>
      <c r="AA549">
        <v>0.53194867703772553</v>
      </c>
      <c r="AB549" t="str">
        <f>HYPERLINK("Melting_Curves/meltCurve_F2Z2V1_FGGY.pdf", "Melting_Curves/meltCurve_F2Z2V1_FGGY.pdf")</f>
        <v>Melting_Curves/meltCurve_F2Z2V1_FGGY.pdf</v>
      </c>
    </row>
    <row r="550" spans="1:28" x14ac:dyDescent="0.25">
      <c r="A550" t="s">
        <v>554</v>
      </c>
      <c r="B550">
        <v>0.995954080203443</v>
      </c>
      <c r="C550">
        <v>0.94114022285715904</v>
      </c>
      <c r="D550">
        <v>0.87243151535637398</v>
      </c>
      <c r="E550">
        <v>0.78396578984967602</v>
      </c>
      <c r="F550">
        <v>0.49176697581856499</v>
      </c>
      <c r="G550">
        <v>0.173555993951647</v>
      </c>
      <c r="H550">
        <v>0.123912944376723</v>
      </c>
      <c r="I550">
        <v>0.12329022397006</v>
      </c>
      <c r="J550">
        <v>0.138314984882148</v>
      </c>
      <c r="K550">
        <v>0.126526949477517</v>
      </c>
      <c r="L550">
        <v>1205.9383856961001</v>
      </c>
      <c r="M550">
        <v>23.121675778615899</v>
      </c>
      <c r="N550">
        <v>52.716785665704698</v>
      </c>
      <c r="O550">
        <v>51.770762687521902</v>
      </c>
      <c r="P550">
        <v>-9.9486209569966802E-2</v>
      </c>
      <c r="Q550">
        <v>0.10899522664500801</v>
      </c>
      <c r="R550">
        <v>0.98882327870465703</v>
      </c>
      <c r="S550" t="s">
        <v>7356</v>
      </c>
      <c r="T550" t="s">
        <v>13610</v>
      </c>
      <c r="U550" t="s">
        <v>13610</v>
      </c>
      <c r="V550" t="s">
        <v>13610</v>
      </c>
      <c r="W550" t="s">
        <v>14148</v>
      </c>
      <c r="X550">
        <v>24</v>
      </c>
      <c r="Y550" t="s">
        <v>20873</v>
      </c>
      <c r="Z550" t="s">
        <v>27405</v>
      </c>
      <c r="AA550">
        <v>0.47948404245910742</v>
      </c>
      <c r="AB550" t="str">
        <f>HYPERLINK("Melting_Curves/meltCurve_F2Z2X4_XPO4.pdf", "Melting_Curves/meltCurve_F2Z2X4_XPO4.pdf")</f>
        <v>Melting_Curves/meltCurve_F2Z2X4_XPO4.pdf</v>
      </c>
    </row>
    <row r="551" spans="1:28" x14ac:dyDescent="0.25">
      <c r="A551" t="s">
        <v>555</v>
      </c>
      <c r="B551">
        <v>0.995954080203443</v>
      </c>
      <c r="C551">
        <v>0.88806861704782303</v>
      </c>
      <c r="D551">
        <v>1.0072577655091</v>
      </c>
      <c r="E551">
        <v>0.81307280525094305</v>
      </c>
      <c r="F551">
        <v>0.86818859195117404</v>
      </c>
      <c r="G551">
        <v>0.68644356802955697</v>
      </c>
      <c r="H551">
        <v>0.75505193475657195</v>
      </c>
      <c r="I551">
        <v>0.97390703340045603</v>
      </c>
      <c r="J551">
        <v>1.3642918504352901</v>
      </c>
      <c r="K551">
        <v>1.3463418932951099</v>
      </c>
      <c r="L551">
        <v>15000</v>
      </c>
      <c r="M551">
        <v>228.64860127875099</v>
      </c>
      <c r="O551">
        <v>65.597856010567696</v>
      </c>
      <c r="P551">
        <v>0.310856530214211</v>
      </c>
      <c r="Q551">
        <v>1.3567310582254399</v>
      </c>
      <c r="R551">
        <v>0.52042964885229703</v>
      </c>
      <c r="S551" t="s">
        <v>7357</v>
      </c>
      <c r="T551" t="s">
        <v>13610</v>
      </c>
      <c r="U551" t="s">
        <v>13610</v>
      </c>
      <c r="V551" t="s">
        <v>13610</v>
      </c>
      <c r="W551" t="s">
        <v>14149</v>
      </c>
      <c r="X551">
        <v>2</v>
      </c>
      <c r="Y551" t="s">
        <v>20874</v>
      </c>
      <c r="Z551" t="s">
        <v>27406</v>
      </c>
      <c r="AA551">
        <v>1.05223756049343</v>
      </c>
      <c r="AB551" t="str">
        <f>HYPERLINK("Melting_Curves/meltCurve_F2Z2Y3_FAM204A.pdf", "Melting_Curves/meltCurve_F2Z2Y3_FAM204A.pdf")</f>
        <v>Melting_Curves/meltCurve_F2Z2Y3_FAM204A.pdf</v>
      </c>
    </row>
    <row r="552" spans="1:28" x14ac:dyDescent="0.25">
      <c r="A552" t="s">
        <v>556</v>
      </c>
      <c r="B552">
        <v>0.995954080203443</v>
      </c>
      <c r="C552">
        <v>0.82426176279098695</v>
      </c>
      <c r="D552">
        <v>0.799565460403873</v>
      </c>
      <c r="E552">
        <v>0.670563902190914</v>
      </c>
      <c r="F552">
        <v>0.358452456834436</v>
      </c>
      <c r="G552">
        <v>0.15426027929955899</v>
      </c>
      <c r="H552">
        <v>8.4060416447988506E-2</v>
      </c>
      <c r="I552">
        <v>6.5323861812152301E-2</v>
      </c>
      <c r="J552">
        <v>6.0646442506248899E-2</v>
      </c>
      <c r="K552">
        <v>6.1094507929860001E-2</v>
      </c>
      <c r="L552">
        <v>690.518913971556</v>
      </c>
      <c r="M552">
        <v>13.519118918862899</v>
      </c>
      <c r="N552">
        <v>51.1247259558031</v>
      </c>
      <c r="O552">
        <v>49.998491863572397</v>
      </c>
      <c r="P552">
        <v>-6.7185842472245197E-2</v>
      </c>
      <c r="Q552">
        <v>6.24273820295374E-3</v>
      </c>
      <c r="R552">
        <v>0.97995819831035003</v>
      </c>
      <c r="S552" t="s">
        <v>7358</v>
      </c>
      <c r="T552" t="s">
        <v>13610</v>
      </c>
      <c r="U552" t="s">
        <v>13610</v>
      </c>
      <c r="V552" t="s">
        <v>13610</v>
      </c>
      <c r="W552" t="s">
        <v>14150</v>
      </c>
      <c r="X552">
        <v>6</v>
      </c>
      <c r="Y552" t="s">
        <v>20875</v>
      </c>
      <c r="Z552" t="s">
        <v>27407</v>
      </c>
      <c r="AA552">
        <v>0.40021182251051979</v>
      </c>
      <c r="AB552" t="str">
        <f>HYPERLINK("Melting_Curves/meltCurve_F5GWD3_GTF2H3.pdf", "Melting_Curves/meltCurve_F5GWD3_GTF2H3.pdf")</f>
        <v>Melting_Curves/meltCurve_F5GWD3_GTF2H3.pdf</v>
      </c>
    </row>
    <row r="553" spans="1:28" x14ac:dyDescent="0.25">
      <c r="A553" t="s">
        <v>557</v>
      </c>
      <c r="B553">
        <v>0.995954080203443</v>
      </c>
      <c r="C553">
        <v>0.80747149670262097</v>
      </c>
      <c r="D553">
        <v>0.73947019789917001</v>
      </c>
      <c r="E553">
        <v>0.74808147942361602</v>
      </c>
      <c r="F553">
        <v>0.72115492742728005</v>
      </c>
      <c r="G553">
        <v>0.55591645314233296</v>
      </c>
      <c r="H553">
        <v>0.31932491089249398</v>
      </c>
      <c r="I553">
        <v>0.23121920445198901</v>
      </c>
      <c r="J553">
        <v>0.200467875461807</v>
      </c>
      <c r="K553">
        <v>0.16204492666655601</v>
      </c>
      <c r="L553">
        <v>433.16280212606603</v>
      </c>
      <c r="M553">
        <v>7.6892218273598196</v>
      </c>
      <c r="N553">
        <v>56.333763265072797</v>
      </c>
      <c r="O553">
        <v>52.903253037512101</v>
      </c>
      <c r="P553">
        <v>-3.63838831880871E-2</v>
      </c>
      <c r="Q553">
        <v>0</v>
      </c>
      <c r="R553">
        <v>0.93970230996168103</v>
      </c>
      <c r="S553" t="s">
        <v>7359</v>
      </c>
      <c r="T553" t="s">
        <v>13610</v>
      </c>
      <c r="U553" t="s">
        <v>13610</v>
      </c>
      <c r="V553" t="s">
        <v>13610</v>
      </c>
      <c r="W553" t="s">
        <v>14151</v>
      </c>
      <c r="X553">
        <v>4</v>
      </c>
      <c r="Y553" t="s">
        <v>20876</v>
      </c>
      <c r="Z553" t="s">
        <v>27408</v>
      </c>
      <c r="AA553">
        <v>0.56107786445771202</v>
      </c>
      <c r="AB553" t="str">
        <f>HYPERLINK("Melting_Curves/meltCurve_F5GWI9_CCDC53.pdf", "Melting_Curves/meltCurve_F5GWI9_CCDC53.pdf")</f>
        <v>Melting_Curves/meltCurve_F5GWI9_CCDC53.pdf</v>
      </c>
    </row>
    <row r="554" spans="1:28" x14ac:dyDescent="0.25">
      <c r="A554" t="s">
        <v>558</v>
      </c>
      <c r="B554">
        <v>0.995954080203443</v>
      </c>
      <c r="C554">
        <v>0.90708992707734504</v>
      </c>
      <c r="D554">
        <v>0.83847285728475296</v>
      </c>
      <c r="E554">
        <v>0.62442605696119902</v>
      </c>
      <c r="F554">
        <v>0.41061293078572297</v>
      </c>
      <c r="G554">
        <v>0.279477262392061</v>
      </c>
      <c r="H554">
        <v>0.25162761432335901</v>
      </c>
      <c r="I554">
        <v>0.29011479852154098</v>
      </c>
      <c r="J554">
        <v>0.33948261743359698</v>
      </c>
      <c r="K554">
        <v>0.33692632357393099</v>
      </c>
      <c r="L554">
        <v>957.33117944175297</v>
      </c>
      <c r="M554">
        <v>19.500080422274699</v>
      </c>
      <c r="N554">
        <v>51.3460380140395</v>
      </c>
      <c r="O554">
        <v>48.586151219101602</v>
      </c>
      <c r="P554">
        <v>-7.1499034321098304E-2</v>
      </c>
      <c r="Q554">
        <v>0.28744136766850997</v>
      </c>
      <c r="R554">
        <v>0.98007027415162296</v>
      </c>
      <c r="S554" t="s">
        <v>7360</v>
      </c>
      <c r="T554" t="s">
        <v>13610</v>
      </c>
      <c r="U554" t="s">
        <v>13610</v>
      </c>
      <c r="V554" t="s">
        <v>13610</v>
      </c>
      <c r="W554" t="s">
        <v>14152</v>
      </c>
      <c r="X554">
        <v>20</v>
      </c>
      <c r="Y554" t="s">
        <v>20877</v>
      </c>
      <c r="Z554" t="s">
        <v>27409</v>
      </c>
      <c r="AA554">
        <v>0.51393105012285112</v>
      </c>
      <c r="AB554" t="str">
        <f>HYPERLINK("Melting_Curves/meltCurve_F5GWN5_PIK3C2B.pdf", "Melting_Curves/meltCurve_F5GWN5_PIK3C2B.pdf")</f>
        <v>Melting_Curves/meltCurve_F5GWN5_PIK3C2B.pdf</v>
      </c>
    </row>
    <row r="555" spans="1:28" x14ac:dyDescent="0.25">
      <c r="A555" t="s">
        <v>559</v>
      </c>
      <c r="B555">
        <v>0.995954080203443</v>
      </c>
      <c r="C555">
        <v>1.05074330187007</v>
      </c>
      <c r="D555">
        <v>1.00755828766885</v>
      </c>
      <c r="E555">
        <v>0.69668614813910001</v>
      </c>
      <c r="F555">
        <v>0.54337925233838202</v>
      </c>
      <c r="G555">
        <v>0.31432517003222299</v>
      </c>
      <c r="H555">
        <v>0.20821138221180999</v>
      </c>
      <c r="I555">
        <v>0.20447939365003301</v>
      </c>
      <c r="J555">
        <v>0.21429527129771</v>
      </c>
      <c r="K555">
        <v>0.206682484569054</v>
      </c>
      <c r="L555">
        <v>1097.3485766967101</v>
      </c>
      <c r="M555">
        <v>21.144853017364898</v>
      </c>
      <c r="N555">
        <v>53.1667155211479</v>
      </c>
      <c r="O555">
        <v>51.439232573788303</v>
      </c>
      <c r="P555">
        <v>-8.23925032312946E-2</v>
      </c>
      <c r="Q555">
        <v>0.19827357311506899</v>
      </c>
      <c r="R555">
        <v>0.99021820536097505</v>
      </c>
      <c r="S555" t="s">
        <v>7361</v>
      </c>
      <c r="T555" t="s">
        <v>13610</v>
      </c>
      <c r="U555" t="s">
        <v>13610</v>
      </c>
      <c r="V555" t="s">
        <v>13610</v>
      </c>
      <c r="W555" t="s">
        <v>14153</v>
      </c>
      <c r="X555">
        <v>19</v>
      </c>
      <c r="Y555" t="s">
        <v>20878</v>
      </c>
      <c r="Z555" t="s">
        <v>27410</v>
      </c>
      <c r="AA555">
        <v>0.52623413404610619</v>
      </c>
      <c r="AB555" t="str">
        <f>HYPERLINK("Melting_Curves/meltCurve_F5GWP8_JUP.pdf", "Melting_Curves/meltCurve_F5GWP8_JUP.pdf")</f>
        <v>Melting_Curves/meltCurve_F5GWP8_JUP.pdf</v>
      </c>
    </row>
    <row r="556" spans="1:28" x14ac:dyDescent="0.25">
      <c r="A556" t="s">
        <v>560</v>
      </c>
      <c r="B556">
        <v>0.995954080203443</v>
      </c>
      <c r="C556">
        <v>0.98607942338934196</v>
      </c>
      <c r="D556">
        <v>1.02595216451892</v>
      </c>
      <c r="E556">
        <v>0.75329651436962897</v>
      </c>
      <c r="F556">
        <v>0.55370136170536899</v>
      </c>
      <c r="G556">
        <v>0.38371129024900202</v>
      </c>
      <c r="H556">
        <v>0.34724198815691198</v>
      </c>
      <c r="I556">
        <v>0.39057291753693701</v>
      </c>
      <c r="J556">
        <v>0.51786315675311601</v>
      </c>
      <c r="K556">
        <v>0.44468131196601302</v>
      </c>
      <c r="L556">
        <v>1740.15321249473</v>
      </c>
      <c r="M556">
        <v>34.355861318298302</v>
      </c>
      <c r="N556">
        <v>53.464227879328398</v>
      </c>
      <c r="O556">
        <v>50.480159375629299</v>
      </c>
      <c r="P556">
        <v>-9.90254181237889E-2</v>
      </c>
      <c r="Q556">
        <v>0.41799751200325402</v>
      </c>
      <c r="R556">
        <v>0.96730422172072295</v>
      </c>
      <c r="S556" t="s">
        <v>7362</v>
      </c>
      <c r="T556" t="s">
        <v>13610</v>
      </c>
      <c r="U556" t="s">
        <v>13610</v>
      </c>
      <c r="V556" t="s">
        <v>13610</v>
      </c>
      <c r="W556" t="s">
        <v>14154</v>
      </c>
      <c r="X556">
        <v>43</v>
      </c>
      <c r="Y556" t="s">
        <v>20879</v>
      </c>
      <c r="Z556" t="s">
        <v>27411</v>
      </c>
      <c r="AA556">
        <v>0.62739381118926441</v>
      </c>
      <c r="AB556" t="str">
        <f>HYPERLINK("Melting_Curves/meltCurve_F5GWT4_WNK1.pdf", "Melting_Curves/meltCurve_F5GWT4_WNK1.pdf")</f>
        <v>Melting_Curves/meltCurve_F5GWT4_WNK1.pdf</v>
      </c>
    </row>
    <row r="557" spans="1:28" x14ac:dyDescent="0.25">
      <c r="A557" t="s">
        <v>561</v>
      </c>
      <c r="B557">
        <v>0.995954080203443</v>
      </c>
      <c r="C557">
        <v>0.96348707622400498</v>
      </c>
      <c r="D557">
        <v>0.71020482827242204</v>
      </c>
      <c r="E557">
        <v>0.324139625172084</v>
      </c>
      <c r="F557">
        <v>0.12533183463376599</v>
      </c>
      <c r="G557">
        <v>8.7785983869772197E-2</v>
      </c>
      <c r="H557">
        <v>7.4404921215042302E-2</v>
      </c>
      <c r="I557">
        <v>8.7464346622204897E-2</v>
      </c>
      <c r="J557">
        <v>8.9863529533360104E-2</v>
      </c>
      <c r="K557">
        <v>0.108721572876963</v>
      </c>
      <c r="L557">
        <v>1179.5474950646601</v>
      </c>
      <c r="M557">
        <v>24.7765342111006</v>
      </c>
      <c r="N557">
        <v>47.961595152106398</v>
      </c>
      <c r="O557">
        <v>47.300545805340299</v>
      </c>
      <c r="P557">
        <v>-0.12000724045138</v>
      </c>
      <c r="Q557">
        <v>8.3595630649458505E-2</v>
      </c>
      <c r="R557">
        <v>0.99764950986309298</v>
      </c>
      <c r="S557" t="s">
        <v>7363</v>
      </c>
      <c r="T557" t="s">
        <v>13610</v>
      </c>
      <c r="U557" t="s">
        <v>13610</v>
      </c>
      <c r="V557" t="s">
        <v>13610</v>
      </c>
      <c r="W557" t="s">
        <v>14155</v>
      </c>
      <c r="X557">
        <v>10</v>
      </c>
      <c r="Y557" t="s">
        <v>20880</v>
      </c>
      <c r="Z557" t="s">
        <v>27412</v>
      </c>
      <c r="AA557">
        <v>0.3242528919324188</v>
      </c>
      <c r="AB557" t="str">
        <f>HYPERLINK("Melting_Curves/meltCurve_F5GWU7_SMAD5.pdf", "Melting_Curves/meltCurve_F5GWU7_SMAD5.pdf")</f>
        <v>Melting_Curves/meltCurve_F5GWU7_SMAD5.pdf</v>
      </c>
    </row>
    <row r="558" spans="1:28" x14ac:dyDescent="0.25">
      <c r="A558" t="s">
        <v>562</v>
      </c>
      <c r="B558">
        <v>0.995954080203443</v>
      </c>
      <c r="C558">
        <v>0.94971755480463704</v>
      </c>
      <c r="D558">
        <v>1.2275624324424601</v>
      </c>
      <c r="E558">
        <v>0.85534123370170201</v>
      </c>
      <c r="F558">
        <v>0.95168638391154203</v>
      </c>
      <c r="G558">
        <v>0.78829942066889902</v>
      </c>
      <c r="H558">
        <v>0.72628291919587096</v>
      </c>
      <c r="I558">
        <v>0.93926727897407403</v>
      </c>
      <c r="J558">
        <v>0.93559746131142196</v>
      </c>
      <c r="K558">
        <v>1.10955638942307</v>
      </c>
      <c r="L558">
        <v>12019.255539015099</v>
      </c>
      <c r="M558">
        <v>250</v>
      </c>
      <c r="O558">
        <v>48.073928066028301</v>
      </c>
      <c r="P558">
        <v>-0.12888805862893199</v>
      </c>
      <c r="Q558">
        <v>0.90086147971923203</v>
      </c>
      <c r="R558">
        <v>0.21931753045143201</v>
      </c>
      <c r="S558" t="s">
        <v>7364</v>
      </c>
      <c r="T558" t="s">
        <v>13610</v>
      </c>
      <c r="U558" t="s">
        <v>13610</v>
      </c>
      <c r="V558" t="s">
        <v>13610</v>
      </c>
      <c r="W558" t="s">
        <v>14156</v>
      </c>
      <c r="X558">
        <v>10</v>
      </c>
      <c r="Y558" t="s">
        <v>20881</v>
      </c>
      <c r="Z558" t="s">
        <v>27413</v>
      </c>
      <c r="AA558">
        <v>0.92756131196916625</v>
      </c>
      <c r="AB558" t="str">
        <f>HYPERLINK("Melting_Curves/meltCurve_F5GX09_FAM76B.pdf", "Melting_Curves/meltCurve_F5GX09_FAM76B.pdf")</f>
        <v>Melting_Curves/meltCurve_F5GX09_FAM76B.pdf</v>
      </c>
    </row>
    <row r="559" spans="1:28" x14ac:dyDescent="0.25">
      <c r="A559" t="s">
        <v>563</v>
      </c>
      <c r="B559">
        <v>0.995954080203443</v>
      </c>
      <c r="C559">
        <v>0.86486533162825896</v>
      </c>
      <c r="D559">
        <v>0.71742976469088804</v>
      </c>
      <c r="E559">
        <v>0.80040965999549296</v>
      </c>
      <c r="F559">
        <v>0.31823423701860698</v>
      </c>
      <c r="G559">
        <v>0.113996624353711</v>
      </c>
      <c r="H559">
        <v>5.7641403062881402E-2</v>
      </c>
      <c r="I559">
        <v>5.7461167837754297E-2</v>
      </c>
      <c r="J559">
        <v>5.3315599408087E-2</v>
      </c>
      <c r="K559">
        <v>5.0663586404745199E-2</v>
      </c>
      <c r="L559">
        <v>777.16778293454399</v>
      </c>
      <c r="M559">
        <v>15.129472295947201</v>
      </c>
      <c r="N559">
        <v>51.367805062052803</v>
      </c>
      <c r="O559">
        <v>50.495459422349903</v>
      </c>
      <c r="P559">
        <v>-7.4912429917838905E-2</v>
      </c>
      <c r="Q559">
        <v>0</v>
      </c>
      <c r="R559">
        <v>0.94456214397567095</v>
      </c>
      <c r="S559" t="s">
        <v>7365</v>
      </c>
      <c r="T559" t="s">
        <v>13610</v>
      </c>
      <c r="U559" t="s">
        <v>13610</v>
      </c>
      <c r="V559" t="s">
        <v>13610</v>
      </c>
      <c r="W559" t="s">
        <v>14157</v>
      </c>
      <c r="X559">
        <v>2</v>
      </c>
      <c r="Y559" t="s">
        <v>20882</v>
      </c>
      <c r="Z559" t="s">
        <v>27414</v>
      </c>
      <c r="AA559">
        <v>0.40144760843443711</v>
      </c>
      <c r="AB559" t="str">
        <f>HYPERLINK("Melting_Curves/meltCurve_F5GX33_SLC25A13.pdf", "Melting_Curves/meltCurve_F5GX33_SLC25A13.pdf")</f>
        <v>Melting_Curves/meltCurve_F5GX33_SLC25A13.pdf</v>
      </c>
    </row>
    <row r="560" spans="1:28" x14ac:dyDescent="0.25">
      <c r="A560" t="s">
        <v>564</v>
      </c>
      <c r="B560">
        <v>0.995954080203443</v>
      </c>
      <c r="C560">
        <v>0.79551149934580501</v>
      </c>
      <c r="D560">
        <v>0.96498863527784695</v>
      </c>
      <c r="E560">
        <v>0.87737126629066198</v>
      </c>
      <c r="F560">
        <v>0.87770826714194405</v>
      </c>
      <c r="G560">
        <v>0.734985541566053</v>
      </c>
      <c r="H560">
        <v>0.74140250963615995</v>
      </c>
      <c r="I560">
        <v>0.84787051515709699</v>
      </c>
      <c r="J560">
        <v>0.88655595102770302</v>
      </c>
      <c r="K560">
        <v>1.0292956254808501</v>
      </c>
      <c r="L560">
        <v>10140.041616214299</v>
      </c>
      <c r="M560">
        <v>250</v>
      </c>
      <c r="O560">
        <v>40.557570889634803</v>
      </c>
      <c r="P560">
        <v>-0.21305622781292199</v>
      </c>
      <c r="Q560">
        <v>0.861743311175866</v>
      </c>
      <c r="R560">
        <v>0.17777842253944401</v>
      </c>
      <c r="S560" t="s">
        <v>7366</v>
      </c>
      <c r="T560" t="s">
        <v>13610</v>
      </c>
      <c r="U560" t="s">
        <v>13610</v>
      </c>
      <c r="V560" t="s">
        <v>13610</v>
      </c>
      <c r="W560" t="s">
        <v>14158</v>
      </c>
      <c r="X560">
        <v>4</v>
      </c>
      <c r="Y560" t="s">
        <v>20883</v>
      </c>
      <c r="Z560" t="s">
        <v>27415</v>
      </c>
      <c r="AA560">
        <v>0.86435615344883943</v>
      </c>
      <c r="AB560" t="str">
        <f>HYPERLINK("Melting_Curves/meltCurve_F5GX58_CDCA3.pdf", "Melting_Curves/meltCurve_F5GX58_CDCA3.pdf")</f>
        <v>Melting_Curves/meltCurve_F5GX58_CDCA3.pdf</v>
      </c>
    </row>
    <row r="561" spans="1:28" x14ac:dyDescent="0.25">
      <c r="A561" t="s">
        <v>565</v>
      </c>
      <c r="B561">
        <v>0.995954080203443</v>
      </c>
      <c r="C561">
        <v>0.76692457211870002</v>
      </c>
      <c r="D561">
        <v>0.95414333503770699</v>
      </c>
      <c r="E561">
        <v>0.72601395888514197</v>
      </c>
      <c r="F561">
        <v>0.35508717453914701</v>
      </c>
      <c r="G561">
        <v>0.13281842557840601</v>
      </c>
      <c r="H561">
        <v>9.6440808643878301E-2</v>
      </c>
      <c r="I561">
        <v>0.105410677190443</v>
      </c>
      <c r="J561">
        <v>0.10391150858402901</v>
      </c>
      <c r="K561">
        <v>0.101874965570434</v>
      </c>
      <c r="L561">
        <v>1426.0122552128901</v>
      </c>
      <c r="M561">
        <v>27.772689507198301</v>
      </c>
      <c r="N561">
        <v>51.733551397715999</v>
      </c>
      <c r="O561">
        <v>51.081858063156901</v>
      </c>
      <c r="P561">
        <v>-0.12315343913710899</v>
      </c>
      <c r="Q561">
        <v>9.3951643035716501E-2</v>
      </c>
      <c r="R561">
        <v>0.95945366866128901</v>
      </c>
      <c r="S561" t="s">
        <v>7367</v>
      </c>
      <c r="T561" t="s">
        <v>13610</v>
      </c>
      <c r="U561" t="s">
        <v>13610</v>
      </c>
      <c r="V561" t="s">
        <v>13610</v>
      </c>
      <c r="W561" t="s">
        <v>14159</v>
      </c>
      <c r="X561">
        <v>69</v>
      </c>
      <c r="Y561" t="s">
        <v>20884</v>
      </c>
      <c r="Z561" t="s">
        <v>27416</v>
      </c>
      <c r="AA561">
        <v>0.44329384748851969</v>
      </c>
      <c r="AB561" t="str">
        <f>HYPERLINK("Melting_Curves/meltCurve_F5GX68_DNMT1.pdf", "Melting_Curves/meltCurve_F5GX68_DNMT1.pdf")</f>
        <v>Melting_Curves/meltCurve_F5GX68_DNMT1.pdf</v>
      </c>
    </row>
    <row r="562" spans="1:28" x14ac:dyDescent="0.25">
      <c r="A562" t="s">
        <v>566</v>
      </c>
      <c r="B562">
        <v>0.995954080203443</v>
      </c>
      <c r="C562">
        <v>0.71539096598945195</v>
      </c>
      <c r="D562">
        <v>0.49235042595651102</v>
      </c>
      <c r="E562">
        <v>0.58530773450058404</v>
      </c>
      <c r="F562">
        <v>0.23807297889442799</v>
      </c>
      <c r="G562">
        <v>0.10006753387802</v>
      </c>
      <c r="H562">
        <v>6.3242817807272297E-2</v>
      </c>
      <c r="I562">
        <v>5.8815188862452399E-2</v>
      </c>
      <c r="J562">
        <v>6.7731184355951296E-2</v>
      </c>
      <c r="K562">
        <v>5.9772506767469202E-2</v>
      </c>
      <c r="L562">
        <v>501.61087398572602</v>
      </c>
      <c r="M562">
        <v>10.451243624343499</v>
      </c>
      <c r="N562">
        <v>47.995329313248099</v>
      </c>
      <c r="O562">
        <v>46.337974765527498</v>
      </c>
      <c r="P562">
        <v>-5.6409114095878399E-2</v>
      </c>
      <c r="Q562">
        <v>0</v>
      </c>
      <c r="R562">
        <v>0.93051083503434995</v>
      </c>
      <c r="S562" t="s">
        <v>7368</v>
      </c>
      <c r="T562" t="s">
        <v>13610</v>
      </c>
      <c r="U562" t="s">
        <v>13610</v>
      </c>
      <c r="V562" t="s">
        <v>13610</v>
      </c>
      <c r="W562" t="s">
        <v>14160</v>
      </c>
      <c r="X562">
        <v>29</v>
      </c>
      <c r="Y562" t="s">
        <v>20885</v>
      </c>
      <c r="Z562" t="s">
        <v>27417</v>
      </c>
      <c r="AA562">
        <v>0.31593225940892078</v>
      </c>
      <c r="AB562" t="str">
        <f>HYPERLINK("Melting_Curves/meltCurve_F5GX82_FRYL.pdf", "Melting_Curves/meltCurve_F5GX82_FRYL.pdf")</f>
        <v>Melting_Curves/meltCurve_F5GX82_FRYL.pdf</v>
      </c>
    </row>
    <row r="563" spans="1:28" x14ac:dyDescent="0.25">
      <c r="A563" t="s">
        <v>567</v>
      </c>
      <c r="B563">
        <v>0.995954080203443</v>
      </c>
      <c r="C563">
        <v>0.82689194370117403</v>
      </c>
      <c r="D563">
        <v>0.434580540499373</v>
      </c>
      <c r="E563">
        <v>0.29139867223371901</v>
      </c>
      <c r="F563">
        <v>0.16839056262218599</v>
      </c>
      <c r="G563">
        <v>0.105628012344768</v>
      </c>
      <c r="H563">
        <v>8.1887653422971093E-2</v>
      </c>
      <c r="I563">
        <v>7.6943607159236593E-2</v>
      </c>
      <c r="J563">
        <v>8.7824690207896405E-2</v>
      </c>
      <c r="K563">
        <v>8.3781350757208606E-2</v>
      </c>
      <c r="L563">
        <v>908.68411350452902</v>
      </c>
      <c r="M563">
        <v>19.9374526950708</v>
      </c>
      <c r="N563">
        <v>46.046009103809297</v>
      </c>
      <c r="O563">
        <v>45.125656221602199</v>
      </c>
      <c r="P563">
        <v>-0.100303463512195</v>
      </c>
      <c r="Q563">
        <v>9.1938082970633495E-2</v>
      </c>
      <c r="R563">
        <v>0.98640665250168302</v>
      </c>
      <c r="S563" t="s">
        <v>7369</v>
      </c>
      <c r="T563" t="s">
        <v>13610</v>
      </c>
      <c r="U563" t="s">
        <v>13610</v>
      </c>
      <c r="V563" t="s">
        <v>13610</v>
      </c>
      <c r="W563" t="s">
        <v>14161</v>
      </c>
      <c r="X563">
        <v>9</v>
      </c>
      <c r="Y563" t="s">
        <v>20886</v>
      </c>
      <c r="Z563" t="s">
        <v>27418</v>
      </c>
      <c r="AA563">
        <v>0.27535755181981858</v>
      </c>
      <c r="AB563" t="str">
        <f>HYPERLINK("Melting_Curves/meltCurve_F5GXC8_SUCLA2.pdf", "Melting_Curves/meltCurve_F5GXC8_SUCLA2.pdf")</f>
        <v>Melting_Curves/meltCurve_F5GXC8_SUCLA2.pdf</v>
      </c>
    </row>
    <row r="564" spans="1:28" x14ac:dyDescent="0.25">
      <c r="A564" t="s">
        <v>568</v>
      </c>
      <c r="B564">
        <v>0.995954080203443</v>
      </c>
      <c r="C564">
        <v>0.842062419016958</v>
      </c>
      <c r="D564">
        <v>0.85996854133794498</v>
      </c>
      <c r="E564">
        <v>0.81334422766791403</v>
      </c>
      <c r="F564">
        <v>0.67848539035092703</v>
      </c>
      <c r="G564">
        <v>0.50584726963739701</v>
      </c>
      <c r="H564">
        <v>0.25469410224392902</v>
      </c>
      <c r="I564">
        <v>0.204541561704914</v>
      </c>
      <c r="J564">
        <v>0.231397814501762</v>
      </c>
      <c r="K564">
        <v>0.22626669385213299</v>
      </c>
      <c r="L564">
        <v>575.71100626518898</v>
      </c>
      <c r="M564">
        <v>10.417791314819</v>
      </c>
      <c r="N564">
        <v>56.235197477394202</v>
      </c>
      <c r="O564">
        <v>53.342419465750801</v>
      </c>
      <c r="P564">
        <v>-4.4817444344057003E-2</v>
      </c>
      <c r="Q564">
        <v>8.2463003102220295E-2</v>
      </c>
      <c r="R564">
        <v>0.96379947419784795</v>
      </c>
      <c r="S564" t="s">
        <v>7370</v>
      </c>
      <c r="T564" t="s">
        <v>13610</v>
      </c>
      <c r="U564" t="s">
        <v>13610</v>
      </c>
      <c r="V564" t="s">
        <v>13610</v>
      </c>
      <c r="W564" t="s">
        <v>14162</v>
      </c>
      <c r="X564">
        <v>6</v>
      </c>
      <c r="Y564" t="s">
        <v>20887</v>
      </c>
      <c r="Z564" t="s">
        <v>27419</v>
      </c>
      <c r="AA564">
        <v>0.57157756098799439</v>
      </c>
      <c r="AB564" t="str">
        <f>HYPERLINK("Melting_Curves/meltCurve_F5GXD1_AKAP7.pdf", "Melting_Curves/meltCurve_F5GXD1_AKAP7.pdf")</f>
        <v>Melting_Curves/meltCurve_F5GXD1_AKAP7.pdf</v>
      </c>
    </row>
    <row r="565" spans="1:28" x14ac:dyDescent="0.25">
      <c r="A565" t="s">
        <v>569</v>
      </c>
      <c r="B565">
        <v>0.995954080203443</v>
      </c>
      <c r="C565">
        <v>0.984307086740427</v>
      </c>
      <c r="D565">
        <v>0.86560989610135797</v>
      </c>
      <c r="E565">
        <v>0.72185586028706505</v>
      </c>
      <c r="F565">
        <v>0.38724732599598</v>
      </c>
      <c r="G565">
        <v>0.127258706615789</v>
      </c>
      <c r="H565">
        <v>8.3002087530061094E-2</v>
      </c>
      <c r="I565">
        <v>6.2671725094471997E-2</v>
      </c>
      <c r="J565">
        <v>8.4132452967180194E-2</v>
      </c>
      <c r="K565">
        <v>6.9663669806124803E-2</v>
      </c>
      <c r="L565">
        <v>1143.9609298917201</v>
      </c>
      <c r="M565">
        <v>22.1879598485862</v>
      </c>
      <c r="N565">
        <v>51.839563977669201</v>
      </c>
      <c r="O565">
        <v>51.1444179611319</v>
      </c>
      <c r="P565">
        <v>-0.10229740871707101</v>
      </c>
      <c r="Q565">
        <v>5.6816787356291601E-2</v>
      </c>
      <c r="R565">
        <v>0.99438621419559903</v>
      </c>
      <c r="S565" t="s">
        <v>7371</v>
      </c>
      <c r="T565" t="s">
        <v>13610</v>
      </c>
      <c r="U565" t="s">
        <v>13610</v>
      </c>
      <c r="V565" t="s">
        <v>13610</v>
      </c>
      <c r="W565" t="s">
        <v>14163</v>
      </c>
      <c r="X565">
        <v>12</v>
      </c>
      <c r="Y565" t="s">
        <v>20888</v>
      </c>
      <c r="Z565" t="s">
        <v>27420</v>
      </c>
      <c r="AA565">
        <v>0.4309626942764237</v>
      </c>
      <c r="AB565" t="str">
        <f>HYPERLINK("Melting_Curves/meltCurve_F5GXE4_ATE1.pdf", "Melting_Curves/meltCurve_F5GXE4_ATE1.pdf")</f>
        <v>Melting_Curves/meltCurve_F5GXE4_ATE1.pdf</v>
      </c>
    </row>
    <row r="566" spans="1:28" x14ac:dyDescent="0.25">
      <c r="A566" t="s">
        <v>570</v>
      </c>
      <c r="B566">
        <v>0.995954080203443</v>
      </c>
      <c r="C566">
        <v>1.02071820365166</v>
      </c>
      <c r="D566">
        <v>0.94319367951625999</v>
      </c>
      <c r="E566">
        <v>0.72728394864247703</v>
      </c>
      <c r="F566">
        <v>0.80395475453422804</v>
      </c>
      <c r="G566">
        <v>0.57089367028196703</v>
      </c>
      <c r="H566">
        <v>0.33011828616724298</v>
      </c>
      <c r="I566">
        <v>0.27346265546332699</v>
      </c>
      <c r="J566">
        <v>0.237062024542118</v>
      </c>
      <c r="K566">
        <v>0.23455064466794301</v>
      </c>
      <c r="L566">
        <v>659.50221099903001</v>
      </c>
      <c r="M566">
        <v>11.681334575165099</v>
      </c>
      <c r="N566">
        <v>57.803228027636102</v>
      </c>
      <c r="O566">
        <v>54.879351802942203</v>
      </c>
      <c r="P566">
        <v>-4.6891996954191002E-2</v>
      </c>
      <c r="Q566">
        <v>0.119034363302363</v>
      </c>
      <c r="R566">
        <v>0.97170709382185105</v>
      </c>
      <c r="S566" t="s">
        <v>7372</v>
      </c>
      <c r="T566" t="s">
        <v>13610</v>
      </c>
      <c r="U566" t="s">
        <v>13610</v>
      </c>
      <c r="V566" t="s">
        <v>13610</v>
      </c>
      <c r="X566">
        <v>13</v>
      </c>
      <c r="Z566" t="s">
        <v>27421</v>
      </c>
      <c r="AA566">
        <v>0.61898948006017895</v>
      </c>
      <c r="AB566" t="str">
        <f>HYPERLINK("Melting_Curves/meltCurve_F5GXQ1_.pdf", "Melting_Curves/meltCurve_F5GXQ1_.pdf")</f>
        <v>Melting_Curves/meltCurve_F5GXQ1_.pdf</v>
      </c>
    </row>
    <row r="567" spans="1:28" x14ac:dyDescent="0.25">
      <c r="A567" t="s">
        <v>571</v>
      </c>
      <c r="B567">
        <v>0.995954080203443</v>
      </c>
      <c r="C567">
        <v>1.0192507018622801</v>
      </c>
      <c r="D567">
        <v>0.94258334100988606</v>
      </c>
      <c r="E567">
        <v>0.75571931171287399</v>
      </c>
      <c r="F567">
        <v>0.61601162933521603</v>
      </c>
      <c r="G567">
        <v>0.33084471731659298</v>
      </c>
      <c r="H567">
        <v>0.168895425367624</v>
      </c>
      <c r="I567">
        <v>0.13577163125228001</v>
      </c>
      <c r="J567">
        <v>0.161160681644403</v>
      </c>
      <c r="K567">
        <v>0.12292331263148</v>
      </c>
      <c r="L567">
        <v>922.50160616027597</v>
      </c>
      <c r="M567">
        <v>17.271157812422501</v>
      </c>
      <c r="N567">
        <v>54.146106725686998</v>
      </c>
      <c r="O567">
        <v>52.712199839674703</v>
      </c>
      <c r="P567">
        <v>-7.3375242850702793E-2</v>
      </c>
      <c r="Q567">
        <v>0.104276392114723</v>
      </c>
      <c r="R567">
        <v>0.99587031404569704</v>
      </c>
      <c r="S567" t="s">
        <v>7373</v>
      </c>
      <c r="T567" t="s">
        <v>13610</v>
      </c>
      <c r="U567" t="s">
        <v>13610</v>
      </c>
      <c r="V567" t="s">
        <v>13610</v>
      </c>
      <c r="W567" t="s">
        <v>14164</v>
      </c>
      <c r="X567">
        <v>5</v>
      </c>
      <c r="Y567" t="s">
        <v>20889</v>
      </c>
      <c r="Z567" t="s">
        <v>27422</v>
      </c>
      <c r="AA567">
        <v>0.52024173532855633</v>
      </c>
      <c r="AB567" t="str">
        <f>HYPERLINK("Melting_Curves/meltCurve_F5GY11_STARD10.pdf", "Melting_Curves/meltCurve_F5GY11_STARD10.pdf")</f>
        <v>Melting_Curves/meltCurve_F5GY11_STARD10.pdf</v>
      </c>
    </row>
    <row r="568" spans="1:28" x14ac:dyDescent="0.25">
      <c r="A568" t="s">
        <v>572</v>
      </c>
      <c r="B568">
        <v>0.995954080203443</v>
      </c>
      <c r="C568">
        <v>0.81211793654148301</v>
      </c>
      <c r="D568">
        <v>0.63597156671161104</v>
      </c>
      <c r="E568">
        <v>0.61608908384294803</v>
      </c>
      <c r="F568">
        <v>0.27440304103248903</v>
      </c>
      <c r="G568">
        <v>8.11056945437061E-2</v>
      </c>
      <c r="H568">
        <v>6.07460106999404E-2</v>
      </c>
      <c r="I568">
        <v>4.2940917389150797E-2</v>
      </c>
      <c r="J568">
        <v>4.5542162196826899E-2</v>
      </c>
      <c r="K568">
        <v>4.0751722567981701E-2</v>
      </c>
      <c r="L568">
        <v>615.23322552089201</v>
      </c>
      <c r="M568">
        <v>12.454306717277399</v>
      </c>
      <c r="N568">
        <v>49.3992350825146</v>
      </c>
      <c r="O568">
        <v>48.177479063089201</v>
      </c>
      <c r="P568">
        <v>-6.4640688015910705E-2</v>
      </c>
      <c r="Q568">
        <v>0</v>
      </c>
      <c r="R568">
        <v>0.96486391463978605</v>
      </c>
      <c r="S568" t="s">
        <v>7374</v>
      </c>
      <c r="T568" t="s">
        <v>13610</v>
      </c>
      <c r="U568" t="s">
        <v>13610</v>
      </c>
      <c r="V568" t="s">
        <v>13610</v>
      </c>
      <c r="W568" t="s">
        <v>14165</v>
      </c>
      <c r="X568">
        <v>6</v>
      </c>
      <c r="Y568" t="s">
        <v>20890</v>
      </c>
      <c r="Z568" t="s">
        <v>27423</v>
      </c>
      <c r="AA568">
        <v>0.34704156784446277</v>
      </c>
      <c r="AB568" t="str">
        <f>HYPERLINK("Melting_Curves/meltCurve_F5GY37_PHB2.pdf", "Melting_Curves/meltCurve_F5GY37_PHB2.pdf")</f>
        <v>Melting_Curves/meltCurve_F5GY37_PHB2.pdf</v>
      </c>
    </row>
    <row r="569" spans="1:28" x14ac:dyDescent="0.25">
      <c r="A569" t="s">
        <v>573</v>
      </c>
      <c r="B569">
        <v>0.995954080203443</v>
      </c>
      <c r="C569">
        <v>0.88332739629674994</v>
      </c>
      <c r="D569">
        <v>0.89396207384728499</v>
      </c>
      <c r="E569">
        <v>0.88267100482426097</v>
      </c>
      <c r="F569">
        <v>0.87953880790942995</v>
      </c>
      <c r="G569">
        <v>0.55387274489456095</v>
      </c>
      <c r="H569">
        <v>0.56642015582272898</v>
      </c>
      <c r="I569">
        <v>0.61415208148050004</v>
      </c>
      <c r="J569">
        <v>0.95588764249191704</v>
      </c>
      <c r="K569">
        <v>0.81530267921654698</v>
      </c>
      <c r="L569">
        <v>697.33794772000101</v>
      </c>
      <c r="M569">
        <v>14.5180223563793</v>
      </c>
      <c r="O569">
        <v>47.148839920905303</v>
      </c>
      <c r="P569">
        <v>-2.1782024956644701E-2</v>
      </c>
      <c r="Q569">
        <v>0.71707459288575603</v>
      </c>
      <c r="R569">
        <v>0.340269485968556</v>
      </c>
      <c r="S569" t="s">
        <v>7375</v>
      </c>
      <c r="T569" t="s">
        <v>13610</v>
      </c>
      <c r="U569" t="s">
        <v>13610</v>
      </c>
      <c r="V569" t="s">
        <v>13610</v>
      </c>
      <c r="W569" t="s">
        <v>14166</v>
      </c>
      <c r="X569">
        <v>1</v>
      </c>
      <c r="Y569" t="s">
        <v>20891</v>
      </c>
      <c r="Z569" t="s">
        <v>27424</v>
      </c>
      <c r="AA569">
        <v>0.80057941758431261</v>
      </c>
      <c r="AB569" t="str">
        <f>HYPERLINK("Melting_Curves/meltCurve_F5GY95_FCGR2A.pdf", "Melting_Curves/meltCurve_F5GY95_FCGR2A.pdf")</f>
        <v>Melting_Curves/meltCurve_F5GY95_FCGR2A.pdf</v>
      </c>
    </row>
    <row r="570" spans="1:28" x14ac:dyDescent="0.25">
      <c r="A570" t="s">
        <v>574</v>
      </c>
      <c r="B570">
        <v>0.995954080203443</v>
      </c>
      <c r="C570">
        <v>1.1836787988731601</v>
      </c>
      <c r="D570">
        <v>1.10006450421378</v>
      </c>
      <c r="E570">
        <v>0.93942201468608599</v>
      </c>
      <c r="F570">
        <v>0.54960110988448796</v>
      </c>
      <c r="G570">
        <v>0.37571547213884099</v>
      </c>
      <c r="H570">
        <v>0.34328229620369399</v>
      </c>
      <c r="I570">
        <v>0.36026680293924002</v>
      </c>
      <c r="J570">
        <v>0.46927891008577399</v>
      </c>
      <c r="K570">
        <v>0.41028275468238701</v>
      </c>
      <c r="L570">
        <v>2953.0038521011602</v>
      </c>
      <c r="M570">
        <v>56.781083075011402</v>
      </c>
      <c r="N570">
        <v>53.442182790439702</v>
      </c>
      <c r="O570">
        <v>51.942435458352399</v>
      </c>
      <c r="P570">
        <v>-0.16637955594055501</v>
      </c>
      <c r="Q570">
        <v>0.39119478248047101</v>
      </c>
      <c r="R570">
        <v>0.948053652611897</v>
      </c>
      <c r="S570" t="s">
        <v>7376</v>
      </c>
      <c r="T570" t="s">
        <v>13610</v>
      </c>
      <c r="U570" t="s">
        <v>13610</v>
      </c>
      <c r="V570" t="s">
        <v>13610</v>
      </c>
      <c r="W570" t="s">
        <v>14167</v>
      </c>
      <c r="X570">
        <v>4</v>
      </c>
      <c r="Y570" t="s">
        <v>20892</v>
      </c>
      <c r="Z570" t="s">
        <v>27425</v>
      </c>
      <c r="AA570">
        <v>0.63593695102054293</v>
      </c>
      <c r="AB570" t="str">
        <f>HYPERLINK("Melting_Curves/meltCurve_F5GYA2_UNG.pdf", "Melting_Curves/meltCurve_F5GYA2_UNG.pdf")</f>
        <v>Melting_Curves/meltCurve_F5GYA2_UNG.pdf</v>
      </c>
    </row>
    <row r="571" spans="1:28" x14ac:dyDescent="0.25">
      <c r="A571" t="s">
        <v>575</v>
      </c>
      <c r="B571">
        <v>0.995954080203443</v>
      </c>
      <c r="C571">
        <v>0.853484090165885</v>
      </c>
      <c r="D571">
        <v>0.59718936423910896</v>
      </c>
      <c r="E571">
        <v>0.36738353401631402</v>
      </c>
      <c r="F571">
        <v>0.14535894272903499</v>
      </c>
      <c r="G571">
        <v>8.0351620506474E-2</v>
      </c>
      <c r="H571">
        <v>5.4999466320124403E-2</v>
      </c>
      <c r="I571">
        <v>5.1673684359221199E-2</v>
      </c>
      <c r="J571">
        <v>4.9580306389152798E-2</v>
      </c>
      <c r="K571">
        <v>5.2412111228020301E-2</v>
      </c>
      <c r="L571">
        <v>790.52329361862905</v>
      </c>
      <c r="M571">
        <v>16.710903498666902</v>
      </c>
      <c r="N571">
        <v>47.5317248968583</v>
      </c>
      <c r="O571">
        <v>46.643962973604197</v>
      </c>
      <c r="P571">
        <v>-8.6152999131077601E-2</v>
      </c>
      <c r="Q571">
        <v>3.8172147866588901E-2</v>
      </c>
      <c r="R571">
        <v>0.99457954846185703</v>
      </c>
      <c r="S571" t="s">
        <v>7377</v>
      </c>
      <c r="T571" t="s">
        <v>13610</v>
      </c>
      <c r="U571" t="s">
        <v>13610</v>
      </c>
      <c r="V571" t="s">
        <v>13610</v>
      </c>
      <c r="W571" t="s">
        <v>14168</v>
      </c>
      <c r="X571">
        <v>29</v>
      </c>
      <c r="Y571" t="s">
        <v>20893</v>
      </c>
      <c r="Z571" t="s">
        <v>27426</v>
      </c>
      <c r="AA571">
        <v>0.2929078937747</v>
      </c>
      <c r="AB571" t="str">
        <f>HYPERLINK("Melting_Curves/meltCurve_F5GYC4_RPS6KA3.pdf", "Melting_Curves/meltCurve_F5GYC4_RPS6KA3.pdf")</f>
        <v>Melting_Curves/meltCurve_F5GYC4_RPS6KA3.pdf</v>
      </c>
    </row>
    <row r="572" spans="1:28" x14ac:dyDescent="0.25">
      <c r="A572" t="s">
        <v>576</v>
      </c>
      <c r="B572">
        <v>0.995954080203443</v>
      </c>
      <c r="C572">
        <v>0.976318036995526</v>
      </c>
      <c r="D572">
        <v>0.91631529737417705</v>
      </c>
      <c r="E572">
        <v>0.78668230931258398</v>
      </c>
      <c r="F572">
        <v>0.64739091599531995</v>
      </c>
      <c r="G572">
        <v>0.46136334008402902</v>
      </c>
      <c r="H572">
        <v>0.28917292250763699</v>
      </c>
      <c r="I572">
        <v>0.25688771569118901</v>
      </c>
      <c r="J572">
        <v>0.29849255054461599</v>
      </c>
      <c r="K572">
        <v>0.23520068192864599</v>
      </c>
      <c r="L572">
        <v>773.97450734944596</v>
      </c>
      <c r="M572">
        <v>14.4599064869569</v>
      </c>
      <c r="N572">
        <v>55.665943701951001</v>
      </c>
      <c r="O572">
        <v>52.533094878241897</v>
      </c>
      <c r="P572">
        <v>-5.4145273388220103E-2</v>
      </c>
      <c r="Q572">
        <v>0.21324917039103999</v>
      </c>
      <c r="R572">
        <v>0.99461296224098406</v>
      </c>
      <c r="S572" t="s">
        <v>7378</v>
      </c>
      <c r="T572" t="s">
        <v>13610</v>
      </c>
      <c r="U572" t="s">
        <v>13610</v>
      </c>
      <c r="V572" t="s">
        <v>13610</v>
      </c>
      <c r="W572" t="s">
        <v>13868</v>
      </c>
      <c r="X572">
        <v>2</v>
      </c>
      <c r="Z572" t="s">
        <v>27427</v>
      </c>
      <c r="AA572">
        <v>0.58529380229533734</v>
      </c>
      <c r="AB572" t="str">
        <f>HYPERLINK("Melting_Curves/meltCurve_F5GYJ5_.pdf", "Melting_Curves/meltCurve_F5GYJ5_.pdf")</f>
        <v>Melting_Curves/meltCurve_F5GYJ5_.pdf</v>
      </c>
    </row>
    <row r="573" spans="1:28" x14ac:dyDescent="0.25">
      <c r="A573" t="s">
        <v>577</v>
      </c>
      <c r="B573">
        <v>0.995954080203443</v>
      </c>
      <c r="C573">
        <v>1.02304273986073</v>
      </c>
      <c r="D573">
        <v>1.0428110776484301</v>
      </c>
      <c r="E573">
        <v>0.88867312618845895</v>
      </c>
      <c r="F573">
        <v>0.52409546537754303</v>
      </c>
      <c r="G573">
        <v>0.120030342122644</v>
      </c>
      <c r="H573">
        <v>7.6509453205456296E-2</v>
      </c>
      <c r="I573">
        <v>5.8865713007910297E-2</v>
      </c>
      <c r="J573">
        <v>7.2211866460655305E-2</v>
      </c>
      <c r="K573">
        <v>5.9845098572596803E-2</v>
      </c>
      <c r="L573">
        <v>1919.43947540008</v>
      </c>
      <c r="M573">
        <v>36.2696655293121</v>
      </c>
      <c r="N573">
        <v>53.118352809675201</v>
      </c>
      <c r="O573">
        <v>52.761238093845101</v>
      </c>
      <c r="P573">
        <v>-0.16104259925073799</v>
      </c>
      <c r="Q573">
        <v>6.29325338873543E-2</v>
      </c>
      <c r="R573">
        <v>0.99832628239695598</v>
      </c>
      <c r="S573" t="s">
        <v>7379</v>
      </c>
      <c r="T573" t="s">
        <v>13610</v>
      </c>
      <c r="U573" t="s">
        <v>13610</v>
      </c>
      <c r="V573" t="s">
        <v>13610</v>
      </c>
      <c r="W573" t="s">
        <v>14169</v>
      </c>
      <c r="X573">
        <v>15</v>
      </c>
      <c r="Y573" t="s">
        <v>20894</v>
      </c>
      <c r="Z573" t="s">
        <v>27428</v>
      </c>
      <c r="AA573">
        <v>0.4707045946131474</v>
      </c>
      <c r="AB573" t="str">
        <f>HYPERLINK("Melting_Curves/meltCurve_F5GYN4_OTUB1.pdf", "Melting_Curves/meltCurve_F5GYN4_OTUB1.pdf")</f>
        <v>Melting_Curves/meltCurve_F5GYN4_OTUB1.pdf</v>
      </c>
    </row>
    <row r="574" spans="1:28" x14ac:dyDescent="0.25">
      <c r="A574" t="s">
        <v>578</v>
      </c>
      <c r="B574">
        <v>0.995954080203443</v>
      </c>
      <c r="C574">
        <v>1.1198601483830699</v>
      </c>
      <c r="D574">
        <v>0.95371947920631095</v>
      </c>
      <c r="E574">
        <v>0.67625266498755399</v>
      </c>
      <c r="F574">
        <v>0.41934787403609902</v>
      </c>
      <c r="G574">
        <v>0.259503772941022</v>
      </c>
      <c r="H574">
        <v>0.146785611887602</v>
      </c>
      <c r="I574">
        <v>9.0352575709878605E-2</v>
      </c>
      <c r="J574">
        <v>8.8652299037161597E-2</v>
      </c>
      <c r="K574">
        <v>7.7571750502647793E-2</v>
      </c>
      <c r="L574">
        <v>1047.9147135574699</v>
      </c>
      <c r="M574">
        <v>20.253340711670099</v>
      </c>
      <c r="N574">
        <v>52.248943216605198</v>
      </c>
      <c r="O574">
        <v>51.243847960992902</v>
      </c>
      <c r="P574">
        <v>-8.9971540379925399E-2</v>
      </c>
      <c r="Q574">
        <v>8.9464751156156305E-2</v>
      </c>
      <c r="R574">
        <v>0.98569089424785905</v>
      </c>
      <c r="S574" t="s">
        <v>7380</v>
      </c>
      <c r="T574" t="s">
        <v>13610</v>
      </c>
      <c r="U574" t="s">
        <v>13610</v>
      </c>
      <c r="V574" t="s">
        <v>13610</v>
      </c>
      <c r="W574" t="s">
        <v>14170</v>
      </c>
      <c r="X574">
        <v>1</v>
      </c>
      <c r="Y574" t="s">
        <v>20895</v>
      </c>
      <c r="Z574" t="s">
        <v>27429</v>
      </c>
      <c r="AA574">
        <v>0.45812568026796813</v>
      </c>
      <c r="AB574" t="str">
        <f>HYPERLINK("Melting_Curves/meltCurve_F5GZ06_MROH2B.pdf", "Melting_Curves/meltCurve_F5GZ06_MROH2B.pdf")</f>
        <v>Melting_Curves/meltCurve_F5GZ06_MROH2B.pdf</v>
      </c>
    </row>
    <row r="575" spans="1:28" x14ac:dyDescent="0.25">
      <c r="A575" t="s">
        <v>579</v>
      </c>
      <c r="B575">
        <v>0.995954080203443</v>
      </c>
      <c r="C575">
        <v>1.1397306961343801</v>
      </c>
      <c r="D575">
        <v>0.77137287460272796</v>
      </c>
      <c r="E575">
        <v>0.83409104698389103</v>
      </c>
      <c r="F575">
        <v>0.66322022921762602</v>
      </c>
      <c r="G575">
        <v>0.29596455514810899</v>
      </c>
      <c r="H575">
        <v>0.13259961020156699</v>
      </c>
      <c r="I575">
        <v>0.116960450070202</v>
      </c>
      <c r="J575">
        <v>0.13520608624164199</v>
      </c>
      <c r="K575">
        <v>0.12918310736630201</v>
      </c>
      <c r="L575">
        <v>1023.5218104588999</v>
      </c>
      <c r="M575">
        <v>19.0245956499767</v>
      </c>
      <c r="N575">
        <v>54.359420482299903</v>
      </c>
      <c r="O575">
        <v>53.216072702191497</v>
      </c>
      <c r="P575">
        <v>-8.1430699906256898E-2</v>
      </c>
      <c r="Q575">
        <v>8.89162789165268E-2</v>
      </c>
      <c r="R575">
        <v>0.95442662637076003</v>
      </c>
      <c r="S575" t="s">
        <v>7381</v>
      </c>
      <c r="T575" t="s">
        <v>13610</v>
      </c>
      <c r="U575" t="s">
        <v>13610</v>
      </c>
      <c r="V575" t="s">
        <v>13610</v>
      </c>
      <c r="W575" t="s">
        <v>14171</v>
      </c>
      <c r="X575">
        <v>21</v>
      </c>
      <c r="Y575" t="s">
        <v>20896</v>
      </c>
      <c r="Z575" t="s">
        <v>27430</v>
      </c>
      <c r="AA575">
        <v>0.52146860472137324</v>
      </c>
      <c r="AB575" t="str">
        <f>HYPERLINK("Melting_Curves/meltCurve_F5GZ78_PXN.pdf", "Melting_Curves/meltCurve_F5GZ78_PXN.pdf")</f>
        <v>Melting_Curves/meltCurve_F5GZ78_PXN.pdf</v>
      </c>
    </row>
    <row r="576" spans="1:28" x14ac:dyDescent="0.25">
      <c r="A576" t="s">
        <v>580</v>
      </c>
      <c r="B576">
        <v>0.995954080203443</v>
      </c>
      <c r="C576">
        <v>0.94890247345942702</v>
      </c>
      <c r="D576">
        <v>1.0278005774924099</v>
      </c>
      <c r="E576">
        <v>0.71760146401641001</v>
      </c>
      <c r="F576">
        <v>0.61734896363454095</v>
      </c>
      <c r="G576">
        <v>0.42205855585216401</v>
      </c>
      <c r="H576">
        <v>0.45201893625309097</v>
      </c>
      <c r="I576">
        <v>0.40989078210957802</v>
      </c>
      <c r="J576">
        <v>0.46601157166563401</v>
      </c>
      <c r="K576">
        <v>0.465811943665219</v>
      </c>
      <c r="L576">
        <v>1372.2653168680199</v>
      </c>
      <c r="M576">
        <v>27.158801894592099</v>
      </c>
      <c r="N576">
        <v>54.891708178916197</v>
      </c>
      <c r="O576">
        <v>50.255903904718302</v>
      </c>
      <c r="P576">
        <v>-7.53477593241237E-2</v>
      </c>
      <c r="Q576">
        <v>0.44229748702763699</v>
      </c>
      <c r="R576">
        <v>0.97361682824567397</v>
      </c>
      <c r="S576" t="s">
        <v>7382</v>
      </c>
      <c r="T576" t="s">
        <v>13610</v>
      </c>
      <c r="U576" t="s">
        <v>13610</v>
      </c>
      <c r="V576" t="s">
        <v>13610</v>
      </c>
      <c r="W576" t="s">
        <v>14172</v>
      </c>
      <c r="X576">
        <v>3</v>
      </c>
      <c r="Y576" t="s">
        <v>20897</v>
      </c>
      <c r="Z576" t="s">
        <v>27431</v>
      </c>
      <c r="AA576">
        <v>0.64225266056364072</v>
      </c>
      <c r="AB576" t="str">
        <f>HYPERLINK("Melting_Curves/meltCurve_F5GZ84_FARP2.pdf", "Melting_Curves/meltCurve_F5GZ84_FARP2.pdf")</f>
        <v>Melting_Curves/meltCurve_F5GZ84_FARP2.pdf</v>
      </c>
    </row>
    <row r="577" spans="1:28" x14ac:dyDescent="0.25">
      <c r="A577" t="s">
        <v>581</v>
      </c>
      <c r="B577">
        <v>0.995954080203443</v>
      </c>
      <c r="C577">
        <v>0.87433656451724495</v>
      </c>
      <c r="D577">
        <v>0.87573688102977898</v>
      </c>
      <c r="E577">
        <v>0.83735219291445895</v>
      </c>
      <c r="F577">
        <v>0.85417298276059705</v>
      </c>
      <c r="G577">
        <v>0.69535491306362596</v>
      </c>
      <c r="H577">
        <v>0.636506110168094</v>
      </c>
      <c r="I577">
        <v>0.79217998108517496</v>
      </c>
      <c r="J577">
        <v>0.99169797483787503</v>
      </c>
      <c r="K577">
        <v>0.97235593828887501</v>
      </c>
      <c r="L577">
        <v>1833.89551199928</v>
      </c>
      <c r="M577">
        <v>43.542124951712701</v>
      </c>
      <c r="O577">
        <v>42.029182623104397</v>
      </c>
      <c r="P577">
        <v>-4.3875343145531501E-2</v>
      </c>
      <c r="Q577">
        <v>0.83059696031335095</v>
      </c>
      <c r="R577">
        <v>0.188307248649631</v>
      </c>
      <c r="S577" t="s">
        <v>7383</v>
      </c>
      <c r="T577" t="s">
        <v>13610</v>
      </c>
      <c r="U577" t="s">
        <v>13610</v>
      </c>
      <c r="V577" t="s">
        <v>13610</v>
      </c>
      <c r="W577" t="s">
        <v>14173</v>
      </c>
      <c r="X577">
        <v>2</v>
      </c>
      <c r="Y577" t="s">
        <v>20898</v>
      </c>
      <c r="Z577" t="s">
        <v>27432</v>
      </c>
      <c r="AA577">
        <v>0.84341975433112748</v>
      </c>
      <c r="AB577" t="str">
        <f>HYPERLINK("Melting_Curves/meltCurve_F5GZ90_DTL.pdf", "Melting_Curves/meltCurve_F5GZ90_DTL.pdf")</f>
        <v>Melting_Curves/meltCurve_F5GZ90_DTL.pdf</v>
      </c>
    </row>
    <row r="578" spans="1:28" x14ac:dyDescent="0.25">
      <c r="A578" t="s">
        <v>582</v>
      </c>
      <c r="B578">
        <v>0.995954080203443</v>
      </c>
      <c r="C578">
        <v>0.90206126798029296</v>
      </c>
      <c r="D578">
        <v>0.79152561919793296</v>
      </c>
      <c r="E578">
        <v>0.75993358068268602</v>
      </c>
      <c r="F578">
        <v>0.61760075878157605</v>
      </c>
      <c r="G578">
        <v>0.42694621599680299</v>
      </c>
      <c r="H578">
        <v>0.377308679296951</v>
      </c>
      <c r="I578">
        <v>0.38956950215703201</v>
      </c>
      <c r="J578">
        <v>0.31773978371615902</v>
      </c>
      <c r="K578">
        <v>0.10452487506533201</v>
      </c>
      <c r="L578">
        <v>398.26437164155999</v>
      </c>
      <c r="M578">
        <v>7.0264705095859199</v>
      </c>
      <c r="N578">
        <v>56.680572570682699</v>
      </c>
      <c r="O578">
        <v>52.625709470736602</v>
      </c>
      <c r="P578">
        <v>-3.3440498097069102E-2</v>
      </c>
      <c r="Q578">
        <v>0</v>
      </c>
      <c r="R578">
        <v>0.95834469601417305</v>
      </c>
      <c r="S578" t="s">
        <v>7384</v>
      </c>
      <c r="T578" t="s">
        <v>13610</v>
      </c>
      <c r="U578" t="s">
        <v>13610</v>
      </c>
      <c r="V578" t="s">
        <v>13610</v>
      </c>
      <c r="W578" t="s">
        <v>14174</v>
      </c>
      <c r="X578">
        <v>6</v>
      </c>
      <c r="Y578" t="s">
        <v>20899</v>
      </c>
      <c r="Z578" t="s">
        <v>27433</v>
      </c>
      <c r="AA578">
        <v>0.56763976380694392</v>
      </c>
      <c r="AB578" t="str">
        <f>HYPERLINK("Melting_Curves/meltCurve_F5GZG6_TPK1.pdf", "Melting_Curves/meltCurve_F5GZG6_TPK1.pdf")</f>
        <v>Melting_Curves/meltCurve_F5GZG6_TPK1.pdf</v>
      </c>
    </row>
    <row r="579" spans="1:28" x14ac:dyDescent="0.25">
      <c r="A579" t="s">
        <v>583</v>
      </c>
      <c r="B579">
        <v>0.995954080203443</v>
      </c>
      <c r="C579">
        <v>1.0138669568077301</v>
      </c>
      <c r="D579">
        <v>0.96149759055900297</v>
      </c>
      <c r="E579">
        <v>0.80279507068227995</v>
      </c>
      <c r="F579">
        <v>0.47438051336765502</v>
      </c>
      <c r="G579">
        <v>0.17323198573916701</v>
      </c>
      <c r="H579">
        <v>8.8795448410579902E-2</v>
      </c>
      <c r="I579">
        <v>5.55820349684455E-2</v>
      </c>
      <c r="J579">
        <v>5.9788809997973001E-2</v>
      </c>
      <c r="K579">
        <v>6.0445721954010698E-2</v>
      </c>
      <c r="L579">
        <v>1328.3613242276199</v>
      </c>
      <c r="M579">
        <v>25.272621173596601</v>
      </c>
      <c r="N579">
        <v>52.806333177154102</v>
      </c>
      <c r="O579">
        <v>52.235490290749297</v>
      </c>
      <c r="P579">
        <v>-0.114264127198795</v>
      </c>
      <c r="Q579">
        <v>5.5330736740045398E-2</v>
      </c>
      <c r="R579">
        <v>0.99958843095857497</v>
      </c>
      <c r="S579" t="s">
        <v>7385</v>
      </c>
      <c r="T579" t="s">
        <v>13610</v>
      </c>
      <c r="U579" t="s">
        <v>13610</v>
      </c>
      <c r="V579" t="s">
        <v>13610</v>
      </c>
      <c r="W579" t="s">
        <v>14175</v>
      </c>
      <c r="X579">
        <v>23</v>
      </c>
      <c r="Y579" t="s">
        <v>20900</v>
      </c>
      <c r="Z579" t="s">
        <v>27434</v>
      </c>
      <c r="AA579">
        <v>0.45936380562353268</v>
      </c>
      <c r="AB579" t="str">
        <f>HYPERLINK("Melting_Curves/meltCurve_F5GZP6_PPFIBP1.pdf", "Melting_Curves/meltCurve_F5GZP6_PPFIBP1.pdf")</f>
        <v>Melting_Curves/meltCurve_F5GZP6_PPFIBP1.pdf</v>
      </c>
    </row>
    <row r="580" spans="1:28" x14ac:dyDescent="0.25">
      <c r="A580" t="s">
        <v>584</v>
      </c>
      <c r="B580">
        <v>0.995954080203443</v>
      </c>
      <c r="C580">
        <v>1.00857271337668</v>
      </c>
      <c r="D580">
        <v>0.86368073129548595</v>
      </c>
      <c r="E580">
        <v>0.83555785293693197</v>
      </c>
      <c r="F580">
        <v>0.59082541112151699</v>
      </c>
      <c r="G580">
        <v>0.329281317367144</v>
      </c>
      <c r="H580">
        <v>0.21462149900907501</v>
      </c>
      <c r="I580">
        <v>0.17383963183897999</v>
      </c>
      <c r="J580">
        <v>0.17173921300858</v>
      </c>
      <c r="K580">
        <v>0.153703715287513</v>
      </c>
      <c r="L580">
        <v>945.97193639613397</v>
      </c>
      <c r="M580">
        <v>17.749770570865099</v>
      </c>
      <c r="N580">
        <v>54.275517375770498</v>
      </c>
      <c r="O580">
        <v>52.632215032881497</v>
      </c>
      <c r="P580">
        <v>-7.2748612400691706E-2</v>
      </c>
      <c r="Q580">
        <v>0.137178458401015</v>
      </c>
      <c r="R580">
        <v>0.99150441409798395</v>
      </c>
      <c r="S580" t="s">
        <v>7386</v>
      </c>
      <c r="T580" t="s">
        <v>13610</v>
      </c>
      <c r="U580" t="s">
        <v>13610</v>
      </c>
      <c r="V580" t="s">
        <v>13610</v>
      </c>
      <c r="W580" t="s">
        <v>14176</v>
      </c>
      <c r="X580">
        <v>6</v>
      </c>
      <c r="Y580" t="s">
        <v>20901</v>
      </c>
      <c r="Z580" t="s">
        <v>27435</v>
      </c>
      <c r="AA580">
        <v>0.53390301424031217</v>
      </c>
      <c r="AB580" t="str">
        <f>HYPERLINK("Melting_Curves/meltCurve_F5GZQ4_LDHA.pdf", "Melting_Curves/meltCurve_F5GZQ4_LDHA.pdf")</f>
        <v>Melting_Curves/meltCurve_F5GZQ4_LDHA.pdf</v>
      </c>
    </row>
    <row r="581" spans="1:28" x14ac:dyDescent="0.25">
      <c r="A581" t="s">
        <v>585</v>
      </c>
      <c r="B581">
        <v>0.995954080203443</v>
      </c>
      <c r="C581">
        <v>0.98309106911670896</v>
      </c>
      <c r="D581">
        <v>0.81476460123231398</v>
      </c>
      <c r="E581">
        <v>0.47525431496617299</v>
      </c>
      <c r="F581">
        <v>0.32131844147607402</v>
      </c>
      <c r="G581">
        <v>0.22887239750445201</v>
      </c>
      <c r="H581">
        <v>0.175746717219881</v>
      </c>
      <c r="I581">
        <v>0.18713750837498599</v>
      </c>
      <c r="J581">
        <v>0.19065623590021899</v>
      </c>
      <c r="K581">
        <v>0.166528282558281</v>
      </c>
      <c r="L581">
        <v>1030.36995340874</v>
      </c>
      <c r="M581">
        <v>21.123925160461798</v>
      </c>
      <c r="N581">
        <v>49.823000548160501</v>
      </c>
      <c r="O581">
        <v>48.346563576313798</v>
      </c>
      <c r="P581">
        <v>-8.9676373060509407E-2</v>
      </c>
      <c r="Q581">
        <v>0.179048257373914</v>
      </c>
      <c r="R581">
        <v>0.99841801965225296</v>
      </c>
      <c r="S581" t="s">
        <v>7387</v>
      </c>
      <c r="T581" t="s">
        <v>13610</v>
      </c>
      <c r="U581" t="s">
        <v>13610</v>
      </c>
      <c r="V581" t="s">
        <v>13610</v>
      </c>
      <c r="W581" t="s">
        <v>14177</v>
      </c>
      <c r="X581">
        <v>22</v>
      </c>
      <c r="Y581" t="s">
        <v>20902</v>
      </c>
      <c r="Z581" t="s">
        <v>27436</v>
      </c>
      <c r="AA581">
        <v>0.42954143478209511</v>
      </c>
      <c r="AB581" t="str">
        <f>HYPERLINK("Melting_Curves/meltCurve_F5GZW3_ARHGAP4.pdf", "Melting_Curves/meltCurve_F5GZW3_ARHGAP4.pdf")</f>
        <v>Melting_Curves/meltCurve_F5GZW3_ARHGAP4.pdf</v>
      </c>
    </row>
    <row r="582" spans="1:28" x14ac:dyDescent="0.25">
      <c r="A582" t="s">
        <v>586</v>
      </c>
      <c r="B582">
        <v>0.995954080203443</v>
      </c>
      <c r="C582">
        <v>1.0453649330252801</v>
      </c>
      <c r="D582">
        <v>0.91470474629548304</v>
      </c>
      <c r="E582">
        <v>0.75545524181552004</v>
      </c>
      <c r="F582">
        <v>0.55312196226159505</v>
      </c>
      <c r="G582">
        <v>0.343862511375016</v>
      </c>
      <c r="H582">
        <v>0.25276160337211201</v>
      </c>
      <c r="I582">
        <v>0.20844348468191201</v>
      </c>
      <c r="J582">
        <v>0.27584159345853898</v>
      </c>
      <c r="K582">
        <v>0.17806119362926801</v>
      </c>
      <c r="L582">
        <v>962.63783434494906</v>
      </c>
      <c r="M582">
        <v>18.435794666775799</v>
      </c>
      <c r="N582">
        <v>53.749385289718099</v>
      </c>
      <c r="O582">
        <v>51.612961085477302</v>
      </c>
      <c r="P582">
        <v>-7.1037081618194706E-2</v>
      </c>
      <c r="Q582">
        <v>0.20453235979752399</v>
      </c>
      <c r="R582">
        <v>0.99151292473452801</v>
      </c>
      <c r="S582" t="s">
        <v>7388</v>
      </c>
      <c r="T582" t="s">
        <v>13610</v>
      </c>
      <c r="U582" t="s">
        <v>13610</v>
      </c>
      <c r="V582" t="s">
        <v>13610</v>
      </c>
      <c r="W582" t="s">
        <v>14178</v>
      </c>
      <c r="X582">
        <v>5</v>
      </c>
      <c r="Y582" t="s">
        <v>20903</v>
      </c>
      <c r="Z582" t="s">
        <v>27437</v>
      </c>
      <c r="AA582">
        <v>0.54111111651741028</v>
      </c>
      <c r="AB582" t="str">
        <f>HYPERLINK("Melting_Curves/meltCurve_F5GZY0_APLP2.pdf", "Melting_Curves/meltCurve_F5GZY0_APLP2.pdf")</f>
        <v>Melting_Curves/meltCurve_F5GZY0_APLP2.pdf</v>
      </c>
    </row>
    <row r="583" spans="1:28" x14ac:dyDescent="0.25">
      <c r="A583" t="s">
        <v>587</v>
      </c>
      <c r="B583">
        <v>0.995954080203443</v>
      </c>
      <c r="C583">
        <v>0.98836853611650899</v>
      </c>
      <c r="D583">
        <v>0.86501971506922004</v>
      </c>
      <c r="E583">
        <v>0.44116164801822799</v>
      </c>
      <c r="F583">
        <v>0.233344944793376</v>
      </c>
      <c r="G583">
        <v>0.14409607831766699</v>
      </c>
      <c r="H583">
        <v>0.111435685647226</v>
      </c>
      <c r="I583">
        <v>0.1192665723085</v>
      </c>
      <c r="J583">
        <v>0.13187863697840899</v>
      </c>
      <c r="K583">
        <v>0.13701678984196899</v>
      </c>
      <c r="L583">
        <v>1299.4715414987299</v>
      </c>
      <c r="M583">
        <v>26.540930871512401</v>
      </c>
      <c r="N583">
        <v>49.492968036926001</v>
      </c>
      <c r="O583">
        <v>48.685632793456698</v>
      </c>
      <c r="P583">
        <v>-0.119377003880395</v>
      </c>
      <c r="Q583">
        <v>0.124087719242679</v>
      </c>
      <c r="R583">
        <v>0.99947888018951303</v>
      </c>
      <c r="S583" t="s">
        <v>7389</v>
      </c>
      <c r="T583" t="s">
        <v>13610</v>
      </c>
      <c r="U583" t="s">
        <v>13610</v>
      </c>
      <c r="V583" t="s">
        <v>13610</v>
      </c>
      <c r="W583" t="s">
        <v>14179</v>
      </c>
      <c r="X583">
        <v>14</v>
      </c>
      <c r="Y583" t="s">
        <v>20904</v>
      </c>
      <c r="Z583" t="s">
        <v>27438</v>
      </c>
      <c r="AA583">
        <v>0.39258337497555151</v>
      </c>
      <c r="AB583" t="str">
        <f>HYPERLINK("Melting_Curves/meltCurve_F5H012_TRIM21.pdf", "Melting_Curves/meltCurve_F5H012_TRIM21.pdf")</f>
        <v>Melting_Curves/meltCurve_F5H012_TRIM21.pdf</v>
      </c>
    </row>
    <row r="584" spans="1:28" x14ac:dyDescent="0.25">
      <c r="A584" t="s">
        <v>588</v>
      </c>
      <c r="B584">
        <v>0.995954080203443</v>
      </c>
      <c r="C584">
        <v>1.21232532998539</v>
      </c>
      <c r="D584">
        <v>1.0331798470478899</v>
      </c>
      <c r="E584">
        <v>0.98028979099968605</v>
      </c>
      <c r="F584">
        <v>0.62063605149215395</v>
      </c>
      <c r="G584">
        <v>0.44950107845418003</v>
      </c>
      <c r="H584">
        <v>0.25901589512263901</v>
      </c>
      <c r="I584">
        <v>0.28010153700565199</v>
      </c>
      <c r="J584">
        <v>9.2863369867975595E-2</v>
      </c>
      <c r="K584">
        <v>0.279794130715812</v>
      </c>
      <c r="L584">
        <v>1307.37908063605</v>
      </c>
      <c r="M584">
        <v>24.1753762247494</v>
      </c>
      <c r="N584">
        <v>55.366751724097398</v>
      </c>
      <c r="O584">
        <v>53.713002194845302</v>
      </c>
      <c r="P584">
        <v>-8.8324439002370997E-2</v>
      </c>
      <c r="Q584">
        <v>0.21505288493319499</v>
      </c>
      <c r="R584">
        <v>0.94094824495879603</v>
      </c>
      <c r="S584" t="s">
        <v>7390</v>
      </c>
      <c r="T584" t="s">
        <v>13610</v>
      </c>
      <c r="U584" t="s">
        <v>13610</v>
      </c>
      <c r="V584" t="s">
        <v>13610</v>
      </c>
      <c r="W584" t="s">
        <v>14180</v>
      </c>
      <c r="X584">
        <v>2</v>
      </c>
      <c r="Y584" t="s">
        <v>20905</v>
      </c>
      <c r="Z584" t="s">
        <v>27439</v>
      </c>
      <c r="AA584">
        <v>0.59114543692519683</v>
      </c>
      <c r="AB584" t="str">
        <f>HYPERLINK("Melting_Curves/meltCurve_F5H0E9_ESRRA.pdf", "Melting_Curves/meltCurve_F5H0E9_ESRRA.pdf")</f>
        <v>Melting_Curves/meltCurve_F5H0E9_ESRRA.pdf</v>
      </c>
    </row>
    <row r="585" spans="1:28" x14ac:dyDescent="0.25">
      <c r="A585" t="s">
        <v>589</v>
      </c>
      <c r="B585">
        <v>0.995954080203443</v>
      </c>
      <c r="C585">
        <v>0.65814558250764899</v>
      </c>
      <c r="D585">
        <v>0.47334309432838401</v>
      </c>
      <c r="E585">
        <v>0.76956071157859995</v>
      </c>
      <c r="F585">
        <v>0.377479012443249</v>
      </c>
      <c r="G585">
        <v>0.15817923605733999</v>
      </c>
      <c r="H585">
        <v>9.8988950845176393E-2</v>
      </c>
      <c r="I585">
        <v>8.8798943871573194E-2</v>
      </c>
      <c r="J585">
        <v>9.8920846997264597E-2</v>
      </c>
      <c r="K585">
        <v>9.1284766765463099E-2</v>
      </c>
      <c r="L585">
        <v>418.74365890778699</v>
      </c>
      <c r="M585">
        <v>8.4766192457210003</v>
      </c>
      <c r="N585">
        <v>49.399842969502203</v>
      </c>
      <c r="O585">
        <v>46.880458683342503</v>
      </c>
      <c r="P585">
        <v>-4.5244521678235401E-2</v>
      </c>
      <c r="Q585">
        <v>0</v>
      </c>
      <c r="R585">
        <v>0.83701181410202996</v>
      </c>
      <c r="S585" t="s">
        <v>7391</v>
      </c>
      <c r="T585" t="s">
        <v>13610</v>
      </c>
      <c r="U585" t="s">
        <v>13610</v>
      </c>
      <c r="V585" t="s">
        <v>13610</v>
      </c>
      <c r="W585" t="s">
        <v>14181</v>
      </c>
      <c r="X585">
        <v>12</v>
      </c>
      <c r="Y585" t="s">
        <v>20906</v>
      </c>
      <c r="Z585" t="s">
        <v>27440</v>
      </c>
      <c r="AA585">
        <v>0.37247926654380092</v>
      </c>
      <c r="AB585" t="str">
        <f>HYPERLINK("Melting_Curves/meltCurve_F5H0F9_ANAPC5.pdf", "Melting_Curves/meltCurve_F5H0F9_ANAPC5.pdf")</f>
        <v>Melting_Curves/meltCurve_F5H0F9_ANAPC5.pdf</v>
      </c>
    </row>
    <row r="586" spans="1:28" x14ac:dyDescent="0.25">
      <c r="A586" t="s">
        <v>590</v>
      </c>
      <c r="B586">
        <v>0.995954080203443</v>
      </c>
      <c r="C586">
        <v>0.88259339942177395</v>
      </c>
      <c r="D586">
        <v>0.95850583342736495</v>
      </c>
      <c r="E586">
        <v>0.69377608864247997</v>
      </c>
      <c r="F586">
        <v>0.43153560506099897</v>
      </c>
      <c r="G586">
        <v>0.176324470332273</v>
      </c>
      <c r="H586">
        <v>0.12086823048529199</v>
      </c>
      <c r="I586">
        <v>0.108971693564306</v>
      </c>
      <c r="J586">
        <v>0.129072792436047</v>
      </c>
      <c r="K586">
        <v>0.12826778470796901</v>
      </c>
      <c r="L586">
        <v>1156.4712348082801</v>
      </c>
      <c r="M586">
        <v>22.460959039698299</v>
      </c>
      <c r="N586">
        <v>52.051450042351497</v>
      </c>
      <c r="O586">
        <v>51.085160045153103</v>
      </c>
      <c r="P586">
        <v>-9.8060138510168496E-2</v>
      </c>
      <c r="Q586">
        <v>0.10790756117852</v>
      </c>
      <c r="R586">
        <v>0.989700290999729</v>
      </c>
      <c r="S586" t="s">
        <v>7392</v>
      </c>
      <c r="T586" t="s">
        <v>13610</v>
      </c>
      <c r="U586" t="s">
        <v>13610</v>
      </c>
      <c r="V586" t="s">
        <v>13610</v>
      </c>
      <c r="W586" t="s">
        <v>14182</v>
      </c>
      <c r="X586">
        <v>20</v>
      </c>
      <c r="Y586" t="s">
        <v>20907</v>
      </c>
      <c r="Z586" t="s">
        <v>27441</v>
      </c>
      <c r="AA586">
        <v>0.45947791911106822</v>
      </c>
      <c r="AB586" t="str">
        <f>HYPERLINK("Melting_Curves/meltCurve_F5H0K8_KSR1.pdf", "Melting_Curves/meltCurve_F5H0K8_KSR1.pdf")</f>
        <v>Melting_Curves/meltCurve_F5H0K8_KSR1.pdf</v>
      </c>
    </row>
    <row r="587" spans="1:28" x14ac:dyDescent="0.25">
      <c r="A587" t="s">
        <v>591</v>
      </c>
      <c r="B587">
        <v>0.995954080203443</v>
      </c>
      <c r="C587">
        <v>0.912758133626282</v>
      </c>
      <c r="D587">
        <v>0.84877731419934599</v>
      </c>
      <c r="E587">
        <v>0.43958404969401499</v>
      </c>
      <c r="F587">
        <v>0.191321295067227</v>
      </c>
      <c r="G587">
        <v>0.105302924391143</v>
      </c>
      <c r="H587">
        <v>8.5332438387853898E-2</v>
      </c>
      <c r="I587">
        <v>7.7145185236417405E-2</v>
      </c>
      <c r="J587">
        <v>8.7736979163231199E-2</v>
      </c>
      <c r="K587">
        <v>8.9388450810741898E-2</v>
      </c>
      <c r="L587">
        <v>1158.8810508612401</v>
      </c>
      <c r="M587">
        <v>23.6609383314422</v>
      </c>
      <c r="N587">
        <v>49.332026067354498</v>
      </c>
      <c r="O587">
        <v>48.632825729597002</v>
      </c>
      <c r="P587">
        <v>-0.112151339818506</v>
      </c>
      <c r="Q587">
        <v>7.79494943636201E-2</v>
      </c>
      <c r="R587">
        <v>0.99706844131404304</v>
      </c>
      <c r="S587" t="s">
        <v>7393</v>
      </c>
      <c r="T587" t="s">
        <v>13610</v>
      </c>
      <c r="U587" t="s">
        <v>13610</v>
      </c>
      <c r="V587" t="s">
        <v>13610</v>
      </c>
      <c r="W587" t="s">
        <v>14183</v>
      </c>
      <c r="X587">
        <v>32</v>
      </c>
      <c r="Y587" t="s">
        <v>20908</v>
      </c>
      <c r="Z587" t="s">
        <v>27442</v>
      </c>
      <c r="AA587">
        <v>0.36306010935078442</v>
      </c>
      <c r="AB587" t="str">
        <f>HYPERLINK("Melting_Curves/meltCurve_F5H0L8_SEC23IP.pdf", "Melting_Curves/meltCurve_F5H0L8_SEC23IP.pdf")</f>
        <v>Melting_Curves/meltCurve_F5H0L8_SEC23IP.pdf</v>
      </c>
    </row>
    <row r="588" spans="1:28" x14ac:dyDescent="0.25">
      <c r="A588" t="s">
        <v>592</v>
      </c>
      <c r="B588">
        <v>0.995954080203443</v>
      </c>
      <c r="C588">
        <v>0.92698504558761297</v>
      </c>
      <c r="D588">
        <v>0.84174245367536604</v>
      </c>
      <c r="E588">
        <v>0.82619657353078801</v>
      </c>
      <c r="F588">
        <v>0.60815758713875101</v>
      </c>
      <c r="G588">
        <v>0.37814565567879199</v>
      </c>
      <c r="H588">
        <v>0.355016193139224</v>
      </c>
      <c r="I588">
        <v>0.42920661590763298</v>
      </c>
      <c r="J588">
        <v>0.48707278477795501</v>
      </c>
      <c r="K588">
        <v>0.50333785050192004</v>
      </c>
      <c r="L588">
        <v>1111.2222789344501</v>
      </c>
      <c r="M588">
        <v>21.860019015924902</v>
      </c>
      <c r="N588">
        <v>55.590644924011102</v>
      </c>
      <c r="O588">
        <v>50.413879324809002</v>
      </c>
      <c r="P588">
        <v>-6.2551150743485801E-2</v>
      </c>
      <c r="Q588">
        <v>0.42298788802623299</v>
      </c>
      <c r="R588">
        <v>0.91356375606766405</v>
      </c>
      <c r="S588" t="s">
        <v>7394</v>
      </c>
      <c r="T588" t="s">
        <v>13610</v>
      </c>
      <c r="U588" t="s">
        <v>13610</v>
      </c>
      <c r="V588" t="s">
        <v>13610</v>
      </c>
      <c r="W588" t="s">
        <v>14184</v>
      </c>
      <c r="X588">
        <v>8</v>
      </c>
      <c r="Y588" t="s">
        <v>20909</v>
      </c>
      <c r="Z588" t="s">
        <v>27443</v>
      </c>
      <c r="AA588">
        <v>0.63812033088485498</v>
      </c>
      <c r="AB588" t="str">
        <f>HYPERLINK("Melting_Curves/meltCurve_F5H0Q6_CLASRP.pdf", "Melting_Curves/meltCurve_F5H0Q6_CLASRP.pdf")</f>
        <v>Melting_Curves/meltCurve_F5H0Q6_CLASRP.pdf</v>
      </c>
    </row>
    <row r="589" spans="1:28" x14ac:dyDescent="0.25">
      <c r="A589" t="s">
        <v>593</v>
      </c>
      <c r="B589">
        <v>0.995954080203443</v>
      </c>
      <c r="C589">
        <v>1.06795748125184</v>
      </c>
      <c r="D589">
        <v>1.0851198001136999</v>
      </c>
      <c r="E589">
        <v>0.94427224243524299</v>
      </c>
      <c r="F589">
        <v>0.94180947617537603</v>
      </c>
      <c r="G589">
        <v>0.73751073389750899</v>
      </c>
      <c r="H589">
        <v>0.70837546601718004</v>
      </c>
      <c r="I589">
        <v>0.87944832733096101</v>
      </c>
      <c r="J589">
        <v>0.83898365420767096</v>
      </c>
      <c r="K589">
        <v>0.98722118605920495</v>
      </c>
      <c r="L589">
        <v>10248.9622134167</v>
      </c>
      <c r="M589">
        <v>192.72638695273301</v>
      </c>
      <c r="O589">
        <v>53.1730961802526</v>
      </c>
      <c r="P589">
        <v>-0.15376262359093901</v>
      </c>
      <c r="Q589">
        <v>0.83030793325371599</v>
      </c>
      <c r="R589">
        <v>0.553253076847395</v>
      </c>
      <c r="S589" t="s">
        <v>7395</v>
      </c>
      <c r="T589" t="s">
        <v>13610</v>
      </c>
      <c r="U589" t="s">
        <v>13610</v>
      </c>
      <c r="V589" t="s">
        <v>13610</v>
      </c>
      <c r="W589" t="s">
        <v>14185</v>
      </c>
      <c r="X589">
        <v>3</v>
      </c>
      <c r="Y589" t="s">
        <v>20910</v>
      </c>
      <c r="Z589" t="s">
        <v>27444</v>
      </c>
      <c r="AA589">
        <v>0.90487930338169631</v>
      </c>
      <c r="AB589" t="str">
        <f>HYPERLINK("Melting_Curves/meltCurve_F5H105_ZNF384.pdf", "Melting_Curves/meltCurve_F5H105_ZNF384.pdf")</f>
        <v>Melting_Curves/meltCurve_F5H105_ZNF384.pdf</v>
      </c>
    </row>
    <row r="590" spans="1:28" x14ac:dyDescent="0.25">
      <c r="A590" t="s">
        <v>594</v>
      </c>
      <c r="B590">
        <v>0.995954080203443</v>
      </c>
      <c r="C590">
        <v>0.91327156484286298</v>
      </c>
      <c r="D590">
        <v>0.73160093333321996</v>
      </c>
      <c r="E590">
        <v>0.56868252230820304</v>
      </c>
      <c r="F590">
        <v>0.23503672119117999</v>
      </c>
      <c r="G590">
        <v>0.119903082244225</v>
      </c>
      <c r="H590">
        <v>9.5829424246776401E-2</v>
      </c>
      <c r="I590">
        <v>0.11488668264777301</v>
      </c>
      <c r="J590">
        <v>0.110035449206248</v>
      </c>
      <c r="K590">
        <v>0.12220714177702199</v>
      </c>
      <c r="L590">
        <v>840.38181342625296</v>
      </c>
      <c r="M590">
        <v>17.104227312377802</v>
      </c>
      <c r="N590">
        <v>49.6714850393547</v>
      </c>
      <c r="O590">
        <v>48.476135880525099</v>
      </c>
      <c r="P590">
        <v>-8.0749568005347994E-2</v>
      </c>
      <c r="Q590">
        <v>8.4626237039880703E-2</v>
      </c>
      <c r="R590">
        <v>0.98455233597381997</v>
      </c>
      <c r="S590" t="s">
        <v>7396</v>
      </c>
      <c r="T590" t="s">
        <v>13610</v>
      </c>
      <c r="U590" t="s">
        <v>13610</v>
      </c>
      <c r="V590" t="s">
        <v>13610</v>
      </c>
      <c r="W590" t="s">
        <v>14186</v>
      </c>
      <c r="X590">
        <v>2</v>
      </c>
      <c r="Y590" t="s">
        <v>20911</v>
      </c>
      <c r="Z590" t="s">
        <v>27445</v>
      </c>
      <c r="AA590">
        <v>0.38078448770980883</v>
      </c>
      <c r="AB590" t="str">
        <f>HYPERLINK("Melting_Curves/meltCurve_F5H1G8_GNA13.pdf", "Melting_Curves/meltCurve_F5H1G8_GNA13.pdf")</f>
        <v>Melting_Curves/meltCurve_F5H1G8_GNA13.pdf</v>
      </c>
    </row>
    <row r="591" spans="1:28" x14ac:dyDescent="0.25">
      <c r="A591" t="s">
        <v>595</v>
      </c>
      <c r="B591">
        <v>0.995954080203443</v>
      </c>
      <c r="C591">
        <v>0.898899352969874</v>
      </c>
      <c r="D591">
        <v>0.94102208999498005</v>
      </c>
      <c r="E591">
        <v>0.83880447395017999</v>
      </c>
      <c r="F591">
        <v>0.84966574014009699</v>
      </c>
      <c r="G591">
        <v>0.70547560042819601</v>
      </c>
      <c r="H591">
        <v>0.62138049716089405</v>
      </c>
      <c r="I591">
        <v>0.68373811816027696</v>
      </c>
      <c r="J591">
        <v>0.52719950873386201</v>
      </c>
      <c r="K591">
        <v>0.29959919196116302</v>
      </c>
      <c r="L591">
        <v>404.86077325804598</v>
      </c>
      <c r="M591">
        <v>6.0923896225556202</v>
      </c>
      <c r="N591">
        <v>66.453526171296602</v>
      </c>
      <c r="O591">
        <v>60.360089813158702</v>
      </c>
      <c r="P591">
        <v>-2.5310890165854499E-2</v>
      </c>
      <c r="Q591">
        <v>0</v>
      </c>
      <c r="R591">
        <v>0.90081888715875102</v>
      </c>
      <c r="S591" t="s">
        <v>7397</v>
      </c>
      <c r="T591" t="s">
        <v>13610</v>
      </c>
      <c r="U591" t="s">
        <v>13610</v>
      </c>
      <c r="V591" t="s">
        <v>13610</v>
      </c>
      <c r="W591" t="s">
        <v>14187</v>
      </c>
      <c r="X591">
        <v>15</v>
      </c>
      <c r="Y591" t="s">
        <v>20912</v>
      </c>
      <c r="Z591" t="s">
        <v>27446</v>
      </c>
      <c r="AA591">
        <v>0.75195003093967661</v>
      </c>
      <c r="AB591" t="str">
        <f>HYPERLINK("Melting_Curves/meltCurve_F5H1L4_TXNRD2.pdf", "Melting_Curves/meltCurve_F5H1L4_TXNRD2.pdf")</f>
        <v>Melting_Curves/meltCurve_F5H1L4_TXNRD2.pdf</v>
      </c>
    </row>
    <row r="592" spans="1:28" x14ac:dyDescent="0.25">
      <c r="A592" t="s">
        <v>596</v>
      </c>
      <c r="B592">
        <v>0.995954080203443</v>
      </c>
      <c r="C592">
        <v>0.76265887601519999</v>
      </c>
      <c r="D592">
        <v>1.02487168521415</v>
      </c>
      <c r="E592">
        <v>0.52579333610178802</v>
      </c>
      <c r="F592">
        <v>0.65740437634344995</v>
      </c>
      <c r="G592">
        <v>0.59904808588046798</v>
      </c>
      <c r="H592">
        <v>0.55074595497783396</v>
      </c>
      <c r="I592">
        <v>0.73882081362953</v>
      </c>
      <c r="J592">
        <v>0.90522088568478498</v>
      </c>
      <c r="K592">
        <v>0.77543575573771595</v>
      </c>
      <c r="L592">
        <v>935.98519751693902</v>
      </c>
      <c r="M592">
        <v>20.810804910588899</v>
      </c>
      <c r="O592">
        <v>44.566816070648997</v>
      </c>
      <c r="P592">
        <v>-3.6412775884633097E-2</v>
      </c>
      <c r="Q592">
        <v>0.68809352678129199</v>
      </c>
      <c r="R592">
        <v>0.30461980739470002</v>
      </c>
      <c r="S592" t="s">
        <v>7398</v>
      </c>
      <c r="T592" t="s">
        <v>13610</v>
      </c>
      <c r="U592" t="s">
        <v>13610</v>
      </c>
      <c r="V592" t="s">
        <v>13610</v>
      </c>
      <c r="W592" t="s">
        <v>14188</v>
      </c>
      <c r="X592">
        <v>4</v>
      </c>
      <c r="Y592" t="s">
        <v>20913</v>
      </c>
      <c r="Z592" t="s">
        <v>27447</v>
      </c>
      <c r="AA592">
        <v>0.74465177553431372</v>
      </c>
      <c r="AB592" t="str">
        <f>HYPERLINK("Melting_Curves/meltCurve_F5H1N7_KIAA1211.pdf", "Melting_Curves/meltCurve_F5H1N7_KIAA1211.pdf")</f>
        <v>Melting_Curves/meltCurve_F5H1N7_KIAA1211.pdf</v>
      </c>
    </row>
    <row r="593" spans="1:28" x14ac:dyDescent="0.25">
      <c r="A593" t="s">
        <v>597</v>
      </c>
      <c r="B593">
        <v>0.995954080203443</v>
      </c>
      <c r="C593">
        <v>0.90584867846309203</v>
      </c>
      <c r="D593">
        <v>0.69949109801144305</v>
      </c>
      <c r="E593">
        <v>0.80280362063205302</v>
      </c>
      <c r="F593">
        <v>0.407647881238895</v>
      </c>
      <c r="G593">
        <v>0.13785775715071599</v>
      </c>
      <c r="H593">
        <v>7.2488066434639203E-2</v>
      </c>
      <c r="I593">
        <v>6.4515265917712297E-2</v>
      </c>
      <c r="J593">
        <v>6.7887267044343003E-2</v>
      </c>
      <c r="K593">
        <v>6.3100010387133004E-2</v>
      </c>
      <c r="L593">
        <v>735.09189794156805</v>
      </c>
      <c r="M593">
        <v>14.174346533101</v>
      </c>
      <c r="N593">
        <v>51.865391365436103</v>
      </c>
      <c r="O593">
        <v>50.861221785315799</v>
      </c>
      <c r="P593">
        <v>-6.9635990919446097E-2</v>
      </c>
      <c r="Q593">
        <v>6.3820265340900598E-4</v>
      </c>
      <c r="R593">
        <v>0.950432440734859</v>
      </c>
      <c r="S593" t="s">
        <v>7399</v>
      </c>
      <c r="T593" t="s">
        <v>13610</v>
      </c>
      <c r="U593" t="s">
        <v>13610</v>
      </c>
      <c r="V593" t="s">
        <v>13610</v>
      </c>
      <c r="W593" t="s">
        <v>14189</v>
      </c>
      <c r="X593">
        <v>4</v>
      </c>
      <c r="Y593" t="s">
        <v>20914</v>
      </c>
      <c r="Z593" t="s">
        <v>27448</v>
      </c>
      <c r="AA593">
        <v>0.42020642491670918</v>
      </c>
      <c r="AB593" t="str">
        <f>HYPERLINK("Melting_Curves/meltCurve_F5H1S8_MLEC.pdf", "Melting_Curves/meltCurve_F5H1S8_MLEC.pdf")</f>
        <v>Melting_Curves/meltCurve_F5H1S8_MLEC.pdf</v>
      </c>
    </row>
    <row r="594" spans="1:28" x14ac:dyDescent="0.25">
      <c r="A594" t="s">
        <v>598</v>
      </c>
      <c r="B594">
        <v>0.995954080203443</v>
      </c>
      <c r="C594">
        <v>0.96924883226520597</v>
      </c>
      <c r="D594">
        <v>0.86964973967595305</v>
      </c>
      <c r="E594">
        <v>0.71614163296994704</v>
      </c>
      <c r="F594">
        <v>0.23496200687427299</v>
      </c>
      <c r="G594">
        <v>0.133866883637734</v>
      </c>
      <c r="H594">
        <v>9.2465170619858594E-2</v>
      </c>
      <c r="I594">
        <v>8.5350383076090094E-2</v>
      </c>
      <c r="J594">
        <v>0.103895276365262</v>
      </c>
      <c r="K594">
        <v>9.0726244907356604E-2</v>
      </c>
      <c r="L594">
        <v>1871.6885051823499</v>
      </c>
      <c r="M594">
        <v>36.7849720806608</v>
      </c>
      <c r="N594">
        <v>51.171603091197603</v>
      </c>
      <c r="O594">
        <v>50.732214273844299</v>
      </c>
      <c r="P594">
        <v>-0.16423010479646499</v>
      </c>
      <c r="Q594">
        <v>9.4007076048335705E-2</v>
      </c>
      <c r="R594">
        <v>0.98921790403747301</v>
      </c>
      <c r="S594" t="s">
        <v>7400</v>
      </c>
      <c r="T594" t="s">
        <v>13610</v>
      </c>
      <c r="U594" t="s">
        <v>13610</v>
      </c>
      <c r="V594" t="s">
        <v>13610</v>
      </c>
      <c r="W594" t="s">
        <v>14190</v>
      </c>
      <c r="X594">
        <v>79</v>
      </c>
      <c r="Y594" t="s">
        <v>20915</v>
      </c>
      <c r="Z594" t="s">
        <v>27449</v>
      </c>
      <c r="AA594">
        <v>0.4264097086775307</v>
      </c>
      <c r="AB594" t="str">
        <f>HYPERLINK("Melting_Curves/meltCurve_F5H1X8_LRBA.pdf", "Melting_Curves/meltCurve_F5H1X8_LRBA.pdf")</f>
        <v>Melting_Curves/meltCurve_F5H1X8_LRBA.pdf</v>
      </c>
    </row>
    <row r="595" spans="1:28" x14ac:dyDescent="0.25">
      <c r="A595" t="s">
        <v>599</v>
      </c>
      <c r="B595">
        <v>0.995954080203443</v>
      </c>
      <c r="C595">
        <v>1.1188667156152801</v>
      </c>
      <c r="D595">
        <v>1.08374059719945</v>
      </c>
      <c r="E595">
        <v>1.10524107916589</v>
      </c>
      <c r="F595">
        <v>1.11197811769259</v>
      </c>
      <c r="G595">
        <v>0.89431077746175902</v>
      </c>
      <c r="H595">
        <v>0.86969622398157698</v>
      </c>
      <c r="I595">
        <v>1.01940364110863</v>
      </c>
      <c r="J595">
        <v>1.1051998073293601</v>
      </c>
      <c r="K595">
        <v>1.34730488708526</v>
      </c>
      <c r="L595">
        <v>4181.8379102515</v>
      </c>
      <c r="M595">
        <v>61.3346174500671</v>
      </c>
      <c r="O595">
        <v>68.108344794066895</v>
      </c>
      <c r="P595">
        <v>9.4056575170597498E-2</v>
      </c>
      <c r="Q595">
        <v>1.41777616293618</v>
      </c>
      <c r="R595">
        <v>0.54991795226697504</v>
      </c>
      <c r="S595" t="s">
        <v>7401</v>
      </c>
      <c r="T595" t="s">
        <v>13610</v>
      </c>
      <c r="U595" t="s">
        <v>13610</v>
      </c>
      <c r="V595" t="s">
        <v>13610</v>
      </c>
      <c r="W595" t="s">
        <v>14191</v>
      </c>
      <c r="X595">
        <v>3</v>
      </c>
      <c r="Y595" t="s">
        <v>20916</v>
      </c>
      <c r="Z595" t="s">
        <v>27450</v>
      </c>
      <c r="AA595">
        <v>1.0276304344517591</v>
      </c>
      <c r="AB595" t="str">
        <f>HYPERLINK("Melting_Curves/meltCurve_F5H1Y0_RAD51AP1.pdf", "Melting_Curves/meltCurve_F5H1Y0_RAD51AP1.pdf")</f>
        <v>Melting_Curves/meltCurve_F5H1Y0_RAD51AP1.pdf</v>
      </c>
    </row>
    <row r="596" spans="1:28" x14ac:dyDescent="0.25">
      <c r="A596" t="s">
        <v>600</v>
      </c>
      <c r="B596">
        <v>0.995954080203443</v>
      </c>
      <c r="C596">
        <v>1.04657725933971</v>
      </c>
      <c r="D596">
        <v>0.98009256275349399</v>
      </c>
      <c r="E596">
        <v>0.787605299691853</v>
      </c>
      <c r="F596">
        <v>0.33511167203265502</v>
      </c>
      <c r="G596">
        <v>0.204901186631371</v>
      </c>
      <c r="H596">
        <v>0.10563247982344701</v>
      </c>
      <c r="I596">
        <v>7.8651080135843404E-2</v>
      </c>
      <c r="J596">
        <v>7.6233102154683902E-2</v>
      </c>
      <c r="K596">
        <v>7.6283898733021202E-2</v>
      </c>
      <c r="L596">
        <v>1711.84920272767</v>
      </c>
      <c r="M596">
        <v>33.158927013398397</v>
      </c>
      <c r="N596">
        <v>51.9572444985467</v>
      </c>
      <c r="O596">
        <v>51.438909633538202</v>
      </c>
      <c r="P596">
        <v>-0.14578630122139299</v>
      </c>
      <c r="Q596">
        <v>9.5380190617494601E-2</v>
      </c>
      <c r="R596">
        <v>0.99414852396780495</v>
      </c>
      <c r="S596" t="s">
        <v>7402</v>
      </c>
      <c r="T596" t="s">
        <v>13610</v>
      </c>
      <c r="U596" t="s">
        <v>13610</v>
      </c>
      <c r="V596" t="s">
        <v>13610</v>
      </c>
      <c r="W596" t="s">
        <v>14192</v>
      </c>
      <c r="X596">
        <v>3</v>
      </c>
      <c r="Y596" t="s">
        <v>20917</v>
      </c>
      <c r="Z596" t="s">
        <v>27451</v>
      </c>
      <c r="AA596">
        <v>0.45064244056681829</v>
      </c>
      <c r="AB596" t="str">
        <f>HYPERLINK("Melting_Curves/meltCurve_F5H241_GBA.pdf", "Melting_Curves/meltCurve_F5H241_GBA.pdf")</f>
        <v>Melting_Curves/meltCurve_F5H241_GBA.pdf</v>
      </c>
    </row>
    <row r="597" spans="1:28" x14ac:dyDescent="0.25">
      <c r="A597" t="s">
        <v>601</v>
      </c>
      <c r="B597">
        <v>0.995954080203443</v>
      </c>
      <c r="C597">
        <v>0.710545173061782</v>
      </c>
      <c r="D597">
        <v>1.28730503032082</v>
      </c>
      <c r="E597">
        <v>0.79262725828899905</v>
      </c>
      <c r="F597">
        <v>0.98782412876116399</v>
      </c>
      <c r="G597">
        <v>0.43965515927981802</v>
      </c>
      <c r="H597">
        <v>0.49707265178049198</v>
      </c>
      <c r="I597">
        <v>0.65191619332762796</v>
      </c>
      <c r="J597">
        <v>0.65852048781647599</v>
      </c>
      <c r="K597">
        <v>0.54591636530832299</v>
      </c>
      <c r="L597">
        <v>13438.799296326501</v>
      </c>
      <c r="M597">
        <v>250</v>
      </c>
      <c r="O597">
        <v>53.751754875376498</v>
      </c>
      <c r="P597">
        <v>-0.51322026394362996</v>
      </c>
      <c r="Q597">
        <v>0.55861614414650995</v>
      </c>
      <c r="R597">
        <v>0.60843761408882602</v>
      </c>
      <c r="S597" t="s">
        <v>7403</v>
      </c>
      <c r="T597" t="s">
        <v>13610</v>
      </c>
      <c r="U597" t="s">
        <v>13610</v>
      </c>
      <c r="V597" t="s">
        <v>13610</v>
      </c>
      <c r="W597" t="s">
        <v>14193</v>
      </c>
      <c r="X597">
        <v>1</v>
      </c>
      <c r="Y597" t="s">
        <v>20918</v>
      </c>
      <c r="Z597" t="s">
        <v>27452</v>
      </c>
      <c r="AA597">
        <v>0.76103518314982965</v>
      </c>
      <c r="AB597" t="str">
        <f>HYPERLINK("Melting_Curves/meltCurve_F5H290_ZNF7.pdf", "Melting_Curves/meltCurve_F5H290_ZNF7.pdf")</f>
        <v>Melting_Curves/meltCurve_F5H290_ZNF7.pdf</v>
      </c>
    </row>
    <row r="598" spans="1:28" x14ac:dyDescent="0.25">
      <c r="A598" t="s">
        <v>602</v>
      </c>
      <c r="B598">
        <v>0.995954080203443</v>
      </c>
      <c r="C598">
        <v>0.98143734020422702</v>
      </c>
      <c r="D598">
        <v>0.87309070414751599</v>
      </c>
      <c r="E598">
        <v>0.733699952162288</v>
      </c>
      <c r="F598">
        <v>0.455022251340784</v>
      </c>
      <c r="G598">
        <v>0.119377935982567</v>
      </c>
      <c r="H598">
        <v>5.8420369941984102E-2</v>
      </c>
      <c r="I598">
        <v>5.2200364480764802E-2</v>
      </c>
      <c r="J598">
        <v>7.1172793221145794E-2</v>
      </c>
      <c r="K598">
        <v>4.6220033041490097E-2</v>
      </c>
      <c r="L598">
        <v>1108.2467888010599</v>
      </c>
      <c r="M598">
        <v>21.2800573164029</v>
      </c>
      <c r="N598">
        <v>52.247795271241202</v>
      </c>
      <c r="O598">
        <v>51.6257890797309</v>
      </c>
      <c r="P598">
        <v>-9.9631314819356401E-2</v>
      </c>
      <c r="Q598">
        <v>3.3195878726115798E-2</v>
      </c>
      <c r="R598">
        <v>0.99384100978213497</v>
      </c>
      <c r="S598" t="s">
        <v>7404</v>
      </c>
      <c r="T598" t="s">
        <v>13610</v>
      </c>
      <c r="U598" t="s">
        <v>13610</v>
      </c>
      <c r="V598" t="s">
        <v>13610</v>
      </c>
      <c r="W598" t="s">
        <v>14194</v>
      </c>
      <c r="X598">
        <v>1</v>
      </c>
      <c r="Y598" t="s">
        <v>20919</v>
      </c>
      <c r="Z598" t="s">
        <v>27453</v>
      </c>
      <c r="AA598">
        <v>0.43442284361580358</v>
      </c>
      <c r="AB598" t="str">
        <f>HYPERLINK("Melting_Curves/meltCurve_F5H2A8_SYT10.pdf", "Melting_Curves/meltCurve_F5H2A8_SYT10.pdf")</f>
        <v>Melting_Curves/meltCurve_F5H2A8_SYT10.pdf</v>
      </c>
    </row>
    <row r="599" spans="1:28" x14ac:dyDescent="0.25">
      <c r="A599" t="s">
        <v>603</v>
      </c>
      <c r="B599">
        <v>0.995954080203443</v>
      </c>
      <c r="C599">
        <v>0.86141575989874497</v>
      </c>
      <c r="D599">
        <v>0.72432209851824703</v>
      </c>
      <c r="E599">
        <v>0.62928939251226002</v>
      </c>
      <c r="F599">
        <v>0.52649747613175701</v>
      </c>
      <c r="G599">
        <v>0.37424244035580501</v>
      </c>
      <c r="H599">
        <v>0.32879511797609701</v>
      </c>
      <c r="I599">
        <v>0.37009144005901001</v>
      </c>
      <c r="J599">
        <v>0.41065456187329702</v>
      </c>
      <c r="K599">
        <v>0.398559123734613</v>
      </c>
      <c r="L599">
        <v>631.00224150069596</v>
      </c>
      <c r="M599">
        <v>13.2050668507094</v>
      </c>
      <c r="N599">
        <v>52.760087820409403</v>
      </c>
      <c r="O599">
        <v>46.728855227245099</v>
      </c>
      <c r="P599">
        <v>-4.5500078857879399E-2</v>
      </c>
      <c r="Q599">
        <v>0.35606134834849701</v>
      </c>
      <c r="R599">
        <v>0.96832839288821804</v>
      </c>
      <c r="S599" t="s">
        <v>7405</v>
      </c>
      <c r="T599" t="s">
        <v>13610</v>
      </c>
      <c r="U599" t="s">
        <v>13610</v>
      </c>
      <c r="V599" t="s">
        <v>13610</v>
      </c>
      <c r="W599" t="s">
        <v>14195</v>
      </c>
      <c r="X599">
        <v>14</v>
      </c>
      <c r="Y599" t="s">
        <v>20920</v>
      </c>
      <c r="Z599" t="s">
        <v>27454</v>
      </c>
      <c r="AA599">
        <v>0.54461037512054922</v>
      </c>
      <c r="AB599" t="str">
        <f>HYPERLINK("Melting_Curves/meltCurve_F5H2H5_ANKLE2.pdf", "Melting_Curves/meltCurve_F5H2H5_ANKLE2.pdf")</f>
        <v>Melting_Curves/meltCurve_F5H2H5_ANKLE2.pdf</v>
      </c>
    </row>
    <row r="600" spans="1:28" x14ac:dyDescent="0.25">
      <c r="A600" t="s">
        <v>604</v>
      </c>
      <c r="B600">
        <v>0.995954080203443</v>
      </c>
      <c r="C600">
        <v>0.98820531405718703</v>
      </c>
      <c r="D600">
        <v>0.926603582553989</v>
      </c>
      <c r="E600">
        <v>0.83323475618279697</v>
      </c>
      <c r="F600">
        <v>0.71815139457936195</v>
      </c>
      <c r="G600">
        <v>0.44501260304775903</v>
      </c>
      <c r="H600">
        <v>0.36049093498574197</v>
      </c>
      <c r="I600">
        <v>0.357656215090639</v>
      </c>
      <c r="J600">
        <v>0.44454299242528</v>
      </c>
      <c r="K600">
        <v>0.36182840807397898</v>
      </c>
      <c r="L600">
        <v>1119.75288080408</v>
      </c>
      <c r="M600">
        <v>21.194514734814799</v>
      </c>
      <c r="N600">
        <v>56.298027923937603</v>
      </c>
      <c r="O600">
        <v>52.368618499572499</v>
      </c>
      <c r="P600">
        <v>-6.4313063627807698E-2</v>
      </c>
      <c r="Q600">
        <v>0.364382873753332</v>
      </c>
      <c r="R600">
        <v>0.98075529436625797</v>
      </c>
      <c r="S600" t="s">
        <v>7406</v>
      </c>
      <c r="T600" t="s">
        <v>13610</v>
      </c>
      <c r="U600" t="s">
        <v>13610</v>
      </c>
      <c r="V600" t="s">
        <v>13610</v>
      </c>
      <c r="W600" t="s">
        <v>14196</v>
      </c>
      <c r="X600">
        <v>6</v>
      </c>
      <c r="Y600" t="s">
        <v>20921</v>
      </c>
      <c r="Z600" t="s">
        <v>27455</v>
      </c>
      <c r="AA600">
        <v>0.64417214014955215</v>
      </c>
      <c r="AB600" t="str">
        <f>HYPERLINK("Melting_Curves/meltCurve_F5H2Q7_KIAA1715.pdf", "Melting_Curves/meltCurve_F5H2Q7_KIAA1715.pdf")</f>
        <v>Melting_Curves/meltCurve_F5H2Q7_KIAA1715.pdf</v>
      </c>
    </row>
    <row r="601" spans="1:28" x14ac:dyDescent="0.25">
      <c r="A601" t="s">
        <v>605</v>
      </c>
      <c r="B601">
        <v>0.995954080203443</v>
      </c>
      <c r="C601">
        <v>0.681862599897053</v>
      </c>
      <c r="D601">
        <v>0.65599693450343199</v>
      </c>
      <c r="E601">
        <v>0.57493570838218899</v>
      </c>
      <c r="F601">
        <v>0.46351115654471298</v>
      </c>
      <c r="G601">
        <v>0.35051498151419602</v>
      </c>
      <c r="H601">
        <v>0.289727840625707</v>
      </c>
      <c r="I601">
        <v>0.32216339552512502</v>
      </c>
      <c r="J601">
        <v>0.30594525668474198</v>
      </c>
      <c r="K601">
        <v>0.32725296126777897</v>
      </c>
      <c r="L601">
        <v>479.23577914605102</v>
      </c>
      <c r="M601">
        <v>10.2678715185399</v>
      </c>
      <c r="N601">
        <v>50.649708931394599</v>
      </c>
      <c r="O601">
        <v>45.006920831746399</v>
      </c>
      <c r="P601">
        <v>-4.1271356544917197E-2</v>
      </c>
      <c r="Q601">
        <v>0.27670250353085502</v>
      </c>
      <c r="R601">
        <v>0.93588276445954999</v>
      </c>
      <c r="S601" t="s">
        <v>7407</v>
      </c>
      <c r="T601" t="s">
        <v>13610</v>
      </c>
      <c r="U601" t="s">
        <v>13610</v>
      </c>
      <c r="V601" t="s">
        <v>13610</v>
      </c>
      <c r="W601" t="s">
        <v>14197</v>
      </c>
      <c r="X601">
        <v>7</v>
      </c>
      <c r="Y601" t="s">
        <v>20922</v>
      </c>
      <c r="Z601" t="s">
        <v>27456</v>
      </c>
      <c r="AA601">
        <v>0.47849269504136172</v>
      </c>
      <c r="AB601" t="str">
        <f>HYPERLINK("Melting_Curves/meltCurve_F5H315_XAB2.pdf", "Melting_Curves/meltCurve_F5H315_XAB2.pdf")</f>
        <v>Melting_Curves/meltCurve_F5H315_XAB2.pdf</v>
      </c>
    </row>
    <row r="602" spans="1:28" x14ac:dyDescent="0.25">
      <c r="A602" t="s">
        <v>606</v>
      </c>
      <c r="B602">
        <v>0.995954080203443</v>
      </c>
      <c r="C602">
        <v>0.89531082132210504</v>
      </c>
      <c r="D602">
        <v>0.83102418045328497</v>
      </c>
      <c r="E602">
        <v>0.60597175841169404</v>
      </c>
      <c r="F602">
        <v>0.19745280411095201</v>
      </c>
      <c r="G602">
        <v>0.124363684983819</v>
      </c>
      <c r="H602">
        <v>9.7851470026869503E-2</v>
      </c>
      <c r="I602">
        <v>9.6188852135818403E-2</v>
      </c>
      <c r="J602">
        <v>0.131734238488386</v>
      </c>
      <c r="K602">
        <v>9.8489291918247804E-2</v>
      </c>
      <c r="L602">
        <v>1114.1189303408801</v>
      </c>
      <c r="M602">
        <v>22.379832707956702</v>
      </c>
      <c r="N602">
        <v>50.2244474122949</v>
      </c>
      <c r="O602">
        <v>49.389907937632998</v>
      </c>
      <c r="P602">
        <v>-0.10315427300671801</v>
      </c>
      <c r="Q602">
        <v>8.9417007678327207E-2</v>
      </c>
      <c r="R602">
        <v>0.98191988280074904</v>
      </c>
      <c r="S602" t="s">
        <v>7408</v>
      </c>
      <c r="T602" t="s">
        <v>13610</v>
      </c>
      <c r="U602" t="s">
        <v>13610</v>
      </c>
      <c r="V602" t="s">
        <v>13610</v>
      </c>
      <c r="W602" t="s">
        <v>14198</v>
      </c>
      <c r="X602">
        <v>20</v>
      </c>
      <c r="Y602" t="s">
        <v>20923</v>
      </c>
      <c r="Z602" t="s">
        <v>27457</v>
      </c>
      <c r="AA602">
        <v>0.39648432703148179</v>
      </c>
      <c r="AB602" t="str">
        <f>HYPERLINK("Melting_Curves/meltCurve_F5H365_SEC23A.pdf", "Melting_Curves/meltCurve_F5H365_SEC23A.pdf")</f>
        <v>Melting_Curves/meltCurve_F5H365_SEC23A.pdf</v>
      </c>
    </row>
    <row r="603" spans="1:28" x14ac:dyDescent="0.25">
      <c r="A603" t="s">
        <v>607</v>
      </c>
      <c r="B603">
        <v>0.995954080203443</v>
      </c>
      <c r="C603">
        <v>1.1741308064799001</v>
      </c>
      <c r="D603">
        <v>1.2032154649248701</v>
      </c>
      <c r="E603">
        <v>0.91872691292241404</v>
      </c>
      <c r="F603">
        <v>0.69010718007847105</v>
      </c>
      <c r="G603">
        <v>0.52910570979969596</v>
      </c>
      <c r="H603">
        <v>0.40220510325478398</v>
      </c>
      <c r="I603">
        <v>0.31589770295575398</v>
      </c>
      <c r="J603">
        <v>0.34706839518620403</v>
      </c>
      <c r="K603">
        <v>0.32647305978956198</v>
      </c>
      <c r="L603">
        <v>1291.4215957328099</v>
      </c>
      <c r="M603">
        <v>23.909803451206201</v>
      </c>
      <c r="N603">
        <v>56.657297015754096</v>
      </c>
      <c r="O603">
        <v>53.638656460481499</v>
      </c>
      <c r="P603">
        <v>-7.3969506180315697E-2</v>
      </c>
      <c r="Q603">
        <v>0.33624535527024701</v>
      </c>
      <c r="R603">
        <v>0.92707104090918502</v>
      </c>
      <c r="S603" t="s">
        <v>7409</v>
      </c>
      <c r="T603" t="s">
        <v>13610</v>
      </c>
      <c r="U603" t="s">
        <v>13610</v>
      </c>
      <c r="V603" t="s">
        <v>13610</v>
      </c>
      <c r="W603" t="s">
        <v>14199</v>
      </c>
      <c r="X603">
        <v>4</v>
      </c>
      <c r="Y603" t="s">
        <v>20924</v>
      </c>
      <c r="Z603" t="s">
        <v>27458</v>
      </c>
      <c r="AA603">
        <v>0.65292450175436068</v>
      </c>
      <c r="AB603" t="str">
        <f>HYPERLINK("Melting_Curves/meltCurve_F5H3G6_PTPRB.pdf", "Melting_Curves/meltCurve_F5H3G6_PTPRB.pdf")</f>
        <v>Melting_Curves/meltCurve_F5H3G6_PTPRB.pdf</v>
      </c>
    </row>
    <row r="604" spans="1:28" x14ac:dyDescent="0.25">
      <c r="A604" t="s">
        <v>608</v>
      </c>
      <c r="B604">
        <v>0.995954080203443</v>
      </c>
      <c r="C604">
        <v>0.87472432686333101</v>
      </c>
      <c r="D604">
        <v>0.68446152703793495</v>
      </c>
      <c r="E604">
        <v>0.54843825355972997</v>
      </c>
      <c r="F604">
        <v>0.27309433716411102</v>
      </c>
      <c r="G604">
        <v>0.104536195037121</v>
      </c>
      <c r="H604">
        <v>5.5863062790903403E-2</v>
      </c>
      <c r="I604">
        <v>4.4825236581708602E-2</v>
      </c>
      <c r="J604">
        <v>4.9670862474898402E-2</v>
      </c>
      <c r="K604">
        <v>4.5203771467938601E-2</v>
      </c>
      <c r="L604">
        <v>673.14467833395395</v>
      </c>
      <c r="M604">
        <v>13.600960609667201</v>
      </c>
      <c r="N604">
        <v>49.520171042041497</v>
      </c>
      <c r="O604">
        <v>48.459306927748003</v>
      </c>
      <c r="P604">
        <v>-6.9911071849563994E-2</v>
      </c>
      <c r="Q604">
        <v>3.79427760443222E-3</v>
      </c>
      <c r="R604">
        <v>0.98884259210356995</v>
      </c>
      <c r="S604" t="s">
        <v>7410</v>
      </c>
      <c r="T604" t="s">
        <v>13610</v>
      </c>
      <c r="U604" t="s">
        <v>13610</v>
      </c>
      <c r="V604" t="s">
        <v>13610</v>
      </c>
      <c r="W604" t="s">
        <v>14200</v>
      </c>
      <c r="X604">
        <v>1</v>
      </c>
      <c r="Y604" t="s">
        <v>20925</v>
      </c>
      <c r="Z604" t="s">
        <v>27459</v>
      </c>
      <c r="AA604">
        <v>0.34778673957485129</v>
      </c>
      <c r="AB604" t="str">
        <f>HYPERLINK("Melting_Curves/meltCurve_F5H3Q7_RPAIN.pdf", "Melting_Curves/meltCurve_F5H3Q7_RPAIN.pdf")</f>
        <v>Melting_Curves/meltCurve_F5H3Q7_RPAIN.pdf</v>
      </c>
    </row>
    <row r="605" spans="1:28" x14ac:dyDescent="0.25">
      <c r="A605" t="s">
        <v>609</v>
      </c>
      <c r="B605">
        <v>0.995954080203443</v>
      </c>
      <c r="C605">
        <v>1.012227850868</v>
      </c>
      <c r="D605">
        <v>0.96406001543772701</v>
      </c>
      <c r="E605">
        <v>0.80429481280717796</v>
      </c>
      <c r="F605">
        <v>0.47197367657905898</v>
      </c>
      <c r="G605">
        <v>0.212164616575681</v>
      </c>
      <c r="H605">
        <v>0.105637300358641</v>
      </c>
      <c r="I605">
        <v>7.4024971052935803E-2</v>
      </c>
      <c r="J605">
        <v>8.1529944508862306E-2</v>
      </c>
      <c r="K605">
        <v>7.1957160382316504E-2</v>
      </c>
      <c r="L605">
        <v>1271.3781090530399</v>
      </c>
      <c r="M605">
        <v>24.194892276558999</v>
      </c>
      <c r="N605">
        <v>52.891847405719098</v>
      </c>
      <c r="O605">
        <v>52.192356493570699</v>
      </c>
      <c r="P605">
        <v>-0.107446680712132</v>
      </c>
      <c r="Q605">
        <v>7.2893666773254706E-2</v>
      </c>
      <c r="R605">
        <v>0.99921614495077704</v>
      </c>
      <c r="S605" t="s">
        <v>7411</v>
      </c>
      <c r="T605" t="s">
        <v>13610</v>
      </c>
      <c r="U605" t="s">
        <v>13610</v>
      </c>
      <c r="V605" t="s">
        <v>13610</v>
      </c>
      <c r="W605" t="s">
        <v>14201</v>
      </c>
      <c r="X605">
        <v>17</v>
      </c>
      <c r="Y605" t="s">
        <v>20926</v>
      </c>
      <c r="Z605" t="s">
        <v>27460</v>
      </c>
      <c r="AA605">
        <v>0.46970126060381451</v>
      </c>
      <c r="AB605" t="str">
        <f>HYPERLINK("Melting_Curves/meltCurve_F5H442_TSG101.pdf", "Melting_Curves/meltCurve_F5H442_TSG101.pdf")</f>
        <v>Melting_Curves/meltCurve_F5H442_TSG101.pdf</v>
      </c>
    </row>
    <row r="606" spans="1:28" x14ac:dyDescent="0.25">
      <c r="A606" t="s">
        <v>610</v>
      </c>
      <c r="B606">
        <v>0.995954080203443</v>
      </c>
      <c r="C606">
        <v>0.84032067978978997</v>
      </c>
      <c r="D606">
        <v>0.77463156102018904</v>
      </c>
      <c r="E606">
        <v>0.58435914479917705</v>
      </c>
      <c r="F606">
        <v>0.30359687830155901</v>
      </c>
      <c r="G606">
        <v>0.15608210675978301</v>
      </c>
      <c r="H606">
        <v>0.103831925399458</v>
      </c>
      <c r="I606">
        <v>9.8951070461708299E-2</v>
      </c>
      <c r="J606">
        <v>0.12010967852566599</v>
      </c>
      <c r="K606">
        <v>9.4145730498556193E-2</v>
      </c>
      <c r="L606">
        <v>717.58589993285602</v>
      </c>
      <c r="M606">
        <v>14.4322015193951</v>
      </c>
      <c r="N606">
        <v>50.204803607850799</v>
      </c>
      <c r="O606">
        <v>48.795793349409202</v>
      </c>
      <c r="P606">
        <v>-6.9151225817173506E-2</v>
      </c>
      <c r="Q606">
        <v>6.4898751756937406E-2</v>
      </c>
      <c r="R606">
        <v>0.98662995961942501</v>
      </c>
      <c r="S606" t="s">
        <v>7412</v>
      </c>
      <c r="T606" t="s">
        <v>13610</v>
      </c>
      <c r="U606" t="s">
        <v>13610</v>
      </c>
      <c r="V606" t="s">
        <v>13610</v>
      </c>
      <c r="W606" t="s">
        <v>14202</v>
      </c>
      <c r="X606">
        <v>4</v>
      </c>
      <c r="Y606" t="s">
        <v>20927</v>
      </c>
      <c r="Z606" t="s">
        <v>27461</v>
      </c>
      <c r="AA606">
        <v>0.39201724786687941</v>
      </c>
      <c r="AB606" t="str">
        <f>HYPERLINK("Melting_Curves/meltCurve_F5H476_ANGEL2.pdf", "Melting_Curves/meltCurve_F5H476_ANGEL2.pdf")</f>
        <v>Melting_Curves/meltCurve_F5H476_ANGEL2.pdf</v>
      </c>
    </row>
    <row r="607" spans="1:28" x14ac:dyDescent="0.25">
      <c r="A607" t="s">
        <v>611</v>
      </c>
      <c r="B607">
        <v>0.995954080203443</v>
      </c>
      <c r="C607">
        <v>0.62632901251321504</v>
      </c>
      <c r="D607">
        <v>0.378001326901311</v>
      </c>
      <c r="E607">
        <v>0.34052160012515797</v>
      </c>
      <c r="F607">
        <v>0.16419366383922401</v>
      </c>
      <c r="G607">
        <v>9.2881169583884898E-2</v>
      </c>
      <c r="H607">
        <v>5.3321885947668901E-2</v>
      </c>
      <c r="I607">
        <v>4.0400260401733501E-2</v>
      </c>
      <c r="J607">
        <v>4.8866881806847798E-2</v>
      </c>
      <c r="K607">
        <v>3.6321504305276302E-2</v>
      </c>
      <c r="L607">
        <v>640.09008393241504</v>
      </c>
      <c r="M607">
        <v>14.1895936441255</v>
      </c>
      <c r="N607">
        <v>45.410185888280701</v>
      </c>
      <c r="O607">
        <v>44.242215323078199</v>
      </c>
      <c r="P607">
        <v>-7.6599324137510999E-2</v>
      </c>
      <c r="Q607">
        <v>4.4792907068889401E-2</v>
      </c>
      <c r="R607">
        <v>0.95714134442866805</v>
      </c>
      <c r="S607" t="s">
        <v>7413</v>
      </c>
      <c r="T607" t="s">
        <v>13610</v>
      </c>
      <c r="U607" t="s">
        <v>13610</v>
      </c>
      <c r="V607" t="s">
        <v>13610</v>
      </c>
      <c r="W607" t="s">
        <v>14203</v>
      </c>
      <c r="X607">
        <v>12</v>
      </c>
      <c r="Y607" t="s">
        <v>20928</v>
      </c>
      <c r="Z607" t="s">
        <v>27462</v>
      </c>
      <c r="AA607">
        <v>0.24152083157034859</v>
      </c>
      <c r="AB607" t="str">
        <f>HYPERLINK("Melting_Curves/meltCurve_F5H4B1_PRAME.pdf", "Melting_Curves/meltCurve_F5H4B1_PRAME.pdf")</f>
        <v>Melting_Curves/meltCurve_F5H4B1_PRAME.pdf</v>
      </c>
    </row>
    <row r="608" spans="1:28" x14ac:dyDescent="0.25">
      <c r="A608" t="s">
        <v>612</v>
      </c>
      <c r="B608">
        <v>0.995954080203443</v>
      </c>
      <c r="C608">
        <v>0.96949865439349003</v>
      </c>
      <c r="D608">
        <v>0.85939945570145504</v>
      </c>
      <c r="E608">
        <v>0.62121884255860405</v>
      </c>
      <c r="F608">
        <v>0.21646896687391201</v>
      </c>
      <c r="G608">
        <v>0.10185429983066201</v>
      </c>
      <c r="H608">
        <v>7.2779953875926798E-2</v>
      </c>
      <c r="I608">
        <v>7.1113579142475E-2</v>
      </c>
      <c r="J608">
        <v>7.7374687564267505E-2</v>
      </c>
      <c r="K608">
        <v>7.8801215272081906E-2</v>
      </c>
      <c r="L608">
        <v>1305.40814252059</v>
      </c>
      <c r="M608">
        <v>25.951249153909401</v>
      </c>
      <c r="N608">
        <v>50.575306916775403</v>
      </c>
      <c r="O608">
        <v>50.006486027277496</v>
      </c>
      <c r="P608">
        <v>-0.121262007894445</v>
      </c>
      <c r="Q608">
        <v>6.5352720627329497E-2</v>
      </c>
      <c r="R608">
        <v>0.99345085594254601</v>
      </c>
      <c r="S608" t="s">
        <v>7414</v>
      </c>
      <c r="T608" t="s">
        <v>13610</v>
      </c>
      <c r="U608" t="s">
        <v>13610</v>
      </c>
      <c r="V608" t="s">
        <v>13610</v>
      </c>
      <c r="W608" t="s">
        <v>14204</v>
      </c>
      <c r="X608">
        <v>12</v>
      </c>
      <c r="Y608" t="s">
        <v>20929</v>
      </c>
      <c r="Z608" t="s">
        <v>27463</v>
      </c>
      <c r="AA608">
        <v>0.39409736285021052</v>
      </c>
      <c r="AB608" t="str">
        <f>HYPERLINK("Melting_Curves/meltCurve_F5H4G7_KPNA6.pdf", "Melting_Curves/meltCurve_F5H4G7_KPNA6.pdf")</f>
        <v>Melting_Curves/meltCurve_F5H4G7_KPNA6.pdf</v>
      </c>
    </row>
    <row r="609" spans="1:28" x14ac:dyDescent="0.25">
      <c r="A609" t="s">
        <v>613</v>
      </c>
      <c r="B609">
        <v>0.995954080203443</v>
      </c>
      <c r="C609">
        <v>0.84596786402281399</v>
      </c>
      <c r="D609">
        <v>1.1811413324328499</v>
      </c>
      <c r="E609">
        <v>0.91534463878541095</v>
      </c>
      <c r="F609">
        <v>1.10831897763441</v>
      </c>
      <c r="G609">
        <v>0.92054261224107403</v>
      </c>
      <c r="H609">
        <v>0.96991429233207505</v>
      </c>
      <c r="I609">
        <v>1.2401275398709599</v>
      </c>
      <c r="J609">
        <v>1.6033747533131</v>
      </c>
      <c r="K609">
        <v>1.53951711512085</v>
      </c>
      <c r="L609">
        <v>15000</v>
      </c>
      <c r="M609">
        <v>234.296069866355</v>
      </c>
      <c r="O609">
        <v>64.016895975722804</v>
      </c>
      <c r="P609">
        <v>0.45748873548060698</v>
      </c>
      <c r="Q609">
        <v>1.5</v>
      </c>
      <c r="R609">
        <v>0.84718773656412505</v>
      </c>
      <c r="S609" t="s">
        <v>7415</v>
      </c>
      <c r="T609" t="s">
        <v>13610</v>
      </c>
      <c r="U609" t="s">
        <v>13610</v>
      </c>
      <c r="V609" t="s">
        <v>13610</v>
      </c>
      <c r="W609" t="s">
        <v>14205</v>
      </c>
      <c r="X609">
        <v>4</v>
      </c>
      <c r="Y609" t="s">
        <v>20930</v>
      </c>
      <c r="Z609" t="s">
        <v>27464</v>
      </c>
      <c r="AA609">
        <v>1.0995766955951261</v>
      </c>
      <c r="AB609" t="str">
        <f>HYPERLINK("Melting_Curves/meltCurve_F5H4J2_PEX14.pdf", "Melting_Curves/meltCurve_F5H4J2_PEX14.pdf")</f>
        <v>Melting_Curves/meltCurve_F5H4J2_PEX14.pdf</v>
      </c>
    </row>
    <row r="610" spans="1:28" x14ac:dyDescent="0.25">
      <c r="A610" t="s">
        <v>614</v>
      </c>
      <c r="B610">
        <v>0.995954080203443</v>
      </c>
      <c r="C610">
        <v>0.98566185920201699</v>
      </c>
      <c r="D610">
        <v>0.85444789697326495</v>
      </c>
      <c r="E610">
        <v>0.74254858809951796</v>
      </c>
      <c r="F610">
        <v>0.52615654908973897</v>
      </c>
      <c r="G610">
        <v>0.30545966692820298</v>
      </c>
      <c r="H610">
        <v>0.21328688656826</v>
      </c>
      <c r="I610">
        <v>0.188552534782362</v>
      </c>
      <c r="J610">
        <v>0.19761921032294499</v>
      </c>
      <c r="K610">
        <v>0.17823249108179701</v>
      </c>
      <c r="L610">
        <v>834.71389036674896</v>
      </c>
      <c r="M610">
        <v>16.034422789283902</v>
      </c>
      <c r="N610">
        <v>53.298061735681003</v>
      </c>
      <c r="O610">
        <v>51.268101518023798</v>
      </c>
      <c r="P610">
        <v>-6.6017812191398795E-2</v>
      </c>
      <c r="Q610">
        <v>0.15573021100971801</v>
      </c>
      <c r="R610">
        <v>0.995175863438714</v>
      </c>
      <c r="S610" t="s">
        <v>7416</v>
      </c>
      <c r="T610" t="s">
        <v>13610</v>
      </c>
      <c r="U610" t="s">
        <v>13610</v>
      </c>
      <c r="V610" t="s">
        <v>13610</v>
      </c>
      <c r="W610" t="s">
        <v>14206</v>
      </c>
      <c r="X610">
        <v>4</v>
      </c>
      <c r="Y610" t="s">
        <v>20931</v>
      </c>
      <c r="Z610" t="s">
        <v>27465</v>
      </c>
      <c r="AA610">
        <v>0.51204069877808556</v>
      </c>
      <c r="AB610" t="str">
        <f>HYPERLINK("Melting_Curves/meltCurve_F5H4Q5_VPS37C.pdf", "Melting_Curves/meltCurve_F5H4Q5_VPS37C.pdf")</f>
        <v>Melting_Curves/meltCurve_F5H4Q5_VPS37C.pdf</v>
      </c>
    </row>
    <row r="611" spans="1:28" x14ac:dyDescent="0.25">
      <c r="A611" t="s">
        <v>615</v>
      </c>
      <c r="B611">
        <v>0.995954080203443</v>
      </c>
      <c r="C611">
        <v>0.94842799899329699</v>
      </c>
      <c r="D611">
        <v>0.96179966858812205</v>
      </c>
      <c r="E611">
        <v>0.58712201467710601</v>
      </c>
      <c r="F611">
        <v>0.40655981405597802</v>
      </c>
      <c r="G611">
        <v>0.30815743436056597</v>
      </c>
      <c r="H611">
        <v>0.19442747803058999</v>
      </c>
      <c r="I611">
        <v>0.24958230421698199</v>
      </c>
      <c r="J611">
        <v>0.29808295727592299</v>
      </c>
      <c r="K611">
        <v>0.394050425727411</v>
      </c>
      <c r="L611">
        <v>1470.95300451296</v>
      </c>
      <c r="M611">
        <v>29.6449053712604</v>
      </c>
      <c r="N611">
        <v>51.097657093499699</v>
      </c>
      <c r="O611">
        <v>49.394937141075502</v>
      </c>
      <c r="P611">
        <v>-0.106836422230651</v>
      </c>
      <c r="Q611">
        <v>0.28795289215056902</v>
      </c>
      <c r="R611">
        <v>0.97171612521814799</v>
      </c>
      <c r="S611" t="s">
        <v>7417</v>
      </c>
      <c r="T611" t="s">
        <v>13610</v>
      </c>
      <c r="U611" t="s">
        <v>13610</v>
      </c>
      <c r="V611" t="s">
        <v>13610</v>
      </c>
      <c r="W611" t="s">
        <v>14207</v>
      </c>
      <c r="X611">
        <v>1</v>
      </c>
      <c r="Y611" t="s">
        <v>20932</v>
      </c>
      <c r="Z611" t="s">
        <v>27466</v>
      </c>
      <c r="AA611">
        <v>0.52074553995825079</v>
      </c>
      <c r="AB611" t="str">
        <f>HYPERLINK("Melting_Curves/meltCurve_F5H4S9_TJP3.pdf", "Melting_Curves/meltCurve_F5H4S9_TJP3.pdf")</f>
        <v>Melting_Curves/meltCurve_F5H4S9_TJP3.pdf</v>
      </c>
    </row>
    <row r="612" spans="1:28" x14ac:dyDescent="0.25">
      <c r="A612" t="s">
        <v>616</v>
      </c>
      <c r="B612">
        <v>0.995954080203443</v>
      </c>
      <c r="C612">
        <v>1.03614690382163</v>
      </c>
      <c r="D612">
        <v>1.06830938092547</v>
      </c>
      <c r="E612">
        <v>1.0192329378399101</v>
      </c>
      <c r="F612">
        <v>0.99707836212857204</v>
      </c>
      <c r="G612">
        <v>0.77509319493020001</v>
      </c>
      <c r="H612">
        <v>0.73291198415316905</v>
      </c>
      <c r="I612">
        <v>0.83950262051395497</v>
      </c>
      <c r="J612">
        <v>1.17247695319569</v>
      </c>
      <c r="K612">
        <v>0.60839305803970101</v>
      </c>
      <c r="L612">
        <v>13465.7536573777</v>
      </c>
      <c r="M612">
        <v>250</v>
      </c>
      <c r="O612">
        <v>53.859563536975301</v>
      </c>
      <c r="P612">
        <v>-0.20229049053896</v>
      </c>
      <c r="Q612">
        <v>0.82567554608930005</v>
      </c>
      <c r="R612">
        <v>0.33896740103681999</v>
      </c>
      <c r="S612" t="s">
        <v>7418</v>
      </c>
      <c r="T612" t="s">
        <v>13610</v>
      </c>
      <c r="U612" t="s">
        <v>13610</v>
      </c>
      <c r="V612" t="s">
        <v>13610</v>
      </c>
      <c r="W612" t="s">
        <v>14208</v>
      </c>
      <c r="X612">
        <v>1</v>
      </c>
      <c r="Y612" t="s">
        <v>20933</v>
      </c>
      <c r="Z612" t="s">
        <v>27467</v>
      </c>
      <c r="AA612">
        <v>0.90624743992395429</v>
      </c>
      <c r="AB612" t="str">
        <f>HYPERLINK("Melting_Curves/meltCurve_F5H4U6_ACSBG1.pdf", "Melting_Curves/meltCurve_F5H4U6_ACSBG1.pdf")</f>
        <v>Melting_Curves/meltCurve_F5H4U6_ACSBG1.pdf</v>
      </c>
    </row>
    <row r="613" spans="1:28" x14ac:dyDescent="0.25">
      <c r="A613" t="s">
        <v>617</v>
      </c>
      <c r="B613">
        <v>0.995954080203443</v>
      </c>
      <c r="C613">
        <v>0.93640315339797997</v>
      </c>
      <c r="D613">
        <v>0.50759775665351103</v>
      </c>
      <c r="E613">
        <v>0.40192662697739301</v>
      </c>
      <c r="F613">
        <v>0.15547665679300801</v>
      </c>
      <c r="G613">
        <v>0.107013733139027</v>
      </c>
      <c r="H613">
        <v>7.81529792728414E-2</v>
      </c>
      <c r="I613">
        <v>7.3919868216560394E-2</v>
      </c>
      <c r="J613">
        <v>7.6653799852067606E-2</v>
      </c>
      <c r="K613">
        <v>5.5323636813907201E-2</v>
      </c>
      <c r="L613">
        <v>821.89582936981401</v>
      </c>
      <c r="M613">
        <v>17.4801181323284</v>
      </c>
      <c r="N613">
        <v>47.403648100141197</v>
      </c>
      <c r="O613">
        <v>46.416468082128198</v>
      </c>
      <c r="P613">
        <v>-8.79267219565803E-2</v>
      </c>
      <c r="Q613">
        <v>6.6133926437643903E-2</v>
      </c>
      <c r="R613">
        <v>0.974171066454393</v>
      </c>
      <c r="S613" t="s">
        <v>7419</v>
      </c>
      <c r="T613" t="s">
        <v>13610</v>
      </c>
      <c r="U613" t="s">
        <v>13610</v>
      </c>
      <c r="V613" t="s">
        <v>13610</v>
      </c>
      <c r="W613" t="s">
        <v>14209</v>
      </c>
      <c r="X613">
        <v>3</v>
      </c>
      <c r="Y613" t="s">
        <v>20934</v>
      </c>
      <c r="Z613" t="s">
        <v>27468</v>
      </c>
      <c r="AA613">
        <v>0.30296673644207378</v>
      </c>
      <c r="AB613" t="str">
        <f>HYPERLINK("Melting_Curves/meltCurve_F5H4V9_PDCD2.pdf", "Melting_Curves/meltCurve_F5H4V9_PDCD2.pdf")</f>
        <v>Melting_Curves/meltCurve_F5H4V9_PDCD2.pdf</v>
      </c>
    </row>
    <row r="614" spans="1:28" x14ac:dyDescent="0.25">
      <c r="A614" t="s">
        <v>618</v>
      </c>
      <c r="B614">
        <v>0.995954080203443</v>
      </c>
      <c r="C614">
        <v>1.04583989307238</v>
      </c>
      <c r="D614">
        <v>1.04490887249381</v>
      </c>
      <c r="E614">
        <v>0.52810503754317895</v>
      </c>
      <c r="F614">
        <v>0.28245546071654498</v>
      </c>
      <c r="G614">
        <v>0.15223207475224901</v>
      </c>
      <c r="H614">
        <v>9.5224088060312906E-2</v>
      </c>
      <c r="I614">
        <v>0.101056742439043</v>
      </c>
      <c r="J614">
        <v>0.21356891203810999</v>
      </c>
      <c r="K614">
        <v>0.109178120053036</v>
      </c>
      <c r="L614">
        <v>1860.00144487599</v>
      </c>
      <c r="M614">
        <v>37.242749731927503</v>
      </c>
      <c r="N614">
        <v>50.384025015143102</v>
      </c>
      <c r="O614">
        <v>49.799306869644703</v>
      </c>
      <c r="P614">
        <v>-0.160941196431654</v>
      </c>
      <c r="Q614">
        <v>0.13918947413803501</v>
      </c>
      <c r="R614">
        <v>0.98557570922107196</v>
      </c>
      <c r="S614" t="s">
        <v>7420</v>
      </c>
      <c r="T614" t="s">
        <v>13610</v>
      </c>
      <c r="U614" t="s">
        <v>13610</v>
      </c>
      <c r="V614" t="s">
        <v>13610</v>
      </c>
      <c r="W614" t="s">
        <v>14210</v>
      </c>
      <c r="X614">
        <v>2</v>
      </c>
      <c r="Y614" t="s">
        <v>20935</v>
      </c>
      <c r="Z614" t="s">
        <v>27469</v>
      </c>
      <c r="AA614">
        <v>0.42791462817663067</v>
      </c>
      <c r="AB614" t="str">
        <f>HYPERLINK("Melting_Curves/meltCurve_F5H542_ZFPM2.pdf", "Melting_Curves/meltCurve_F5H542_ZFPM2.pdf")</f>
        <v>Melting_Curves/meltCurve_F5H542_ZFPM2.pdf</v>
      </c>
    </row>
    <row r="615" spans="1:28" x14ac:dyDescent="0.25">
      <c r="A615" t="s">
        <v>619</v>
      </c>
      <c r="B615">
        <v>0.995954080203443</v>
      </c>
      <c r="C615">
        <v>0.84698558901092802</v>
      </c>
      <c r="D615">
        <v>0.67624044778624304</v>
      </c>
      <c r="E615">
        <v>0.71367962425475195</v>
      </c>
      <c r="F615">
        <v>0.58027716339964297</v>
      </c>
      <c r="G615">
        <v>0.36942133325759202</v>
      </c>
      <c r="H615">
        <v>0.32142912114139499</v>
      </c>
      <c r="I615">
        <v>0.35233932673686202</v>
      </c>
      <c r="J615">
        <v>0.37265196987567401</v>
      </c>
      <c r="K615">
        <v>0.42163240268096103</v>
      </c>
      <c r="L615">
        <v>520.20610229510203</v>
      </c>
      <c r="M615">
        <v>10.6719717416855</v>
      </c>
      <c r="N615">
        <v>54.025894148461703</v>
      </c>
      <c r="O615">
        <v>47.127019484911003</v>
      </c>
      <c r="P615">
        <v>-3.8294572564630099E-2</v>
      </c>
      <c r="Q615">
        <v>0.32382717430091301</v>
      </c>
      <c r="R615">
        <v>0.91849866529508695</v>
      </c>
      <c r="S615" t="s">
        <v>7421</v>
      </c>
      <c r="T615" t="s">
        <v>13610</v>
      </c>
      <c r="U615" t="s">
        <v>13610</v>
      </c>
      <c r="V615" t="s">
        <v>13610</v>
      </c>
      <c r="W615" t="s">
        <v>14211</v>
      </c>
      <c r="X615">
        <v>2</v>
      </c>
      <c r="Y615" t="s">
        <v>20936</v>
      </c>
      <c r="Z615" t="s">
        <v>27470</v>
      </c>
      <c r="AA615">
        <v>0.55149937121425119</v>
      </c>
      <c r="AB615" t="str">
        <f>HYPERLINK("Melting_Curves/meltCurve_F5H590_JARID2.pdf", "Melting_Curves/meltCurve_F5H590_JARID2.pdf")</f>
        <v>Melting_Curves/meltCurve_F5H590_JARID2.pdf</v>
      </c>
    </row>
    <row r="616" spans="1:28" x14ac:dyDescent="0.25">
      <c r="A616" t="s">
        <v>620</v>
      </c>
      <c r="B616">
        <v>0.995954080203443</v>
      </c>
      <c r="C616">
        <v>0.65955182198161699</v>
      </c>
      <c r="D616">
        <v>0.92739099328955099</v>
      </c>
      <c r="E616">
        <v>0.60341486001668099</v>
      </c>
      <c r="F616">
        <v>0.67136103523385504</v>
      </c>
      <c r="G616">
        <v>0.548498704321979</v>
      </c>
      <c r="H616">
        <v>0.50921363763849703</v>
      </c>
      <c r="I616">
        <v>0.65249235829726104</v>
      </c>
      <c r="J616">
        <v>0.77369046230333505</v>
      </c>
      <c r="K616">
        <v>0.72637668866993998</v>
      </c>
      <c r="L616">
        <v>683.36235040407701</v>
      </c>
      <c r="M616">
        <v>15.870450422087901</v>
      </c>
      <c r="O616">
        <v>42.392529107717202</v>
      </c>
      <c r="P616">
        <v>-3.3390264300144197E-2</v>
      </c>
      <c r="Q616">
        <v>0.64326578224776998</v>
      </c>
      <c r="R616">
        <v>0.41190260413917401</v>
      </c>
      <c r="S616" t="s">
        <v>7422</v>
      </c>
      <c r="T616" t="s">
        <v>13610</v>
      </c>
      <c r="U616" t="s">
        <v>13610</v>
      </c>
      <c r="V616" t="s">
        <v>13610</v>
      </c>
      <c r="W616" t="s">
        <v>14212</v>
      </c>
      <c r="X616">
        <v>1</v>
      </c>
      <c r="Y616" t="s">
        <v>20937</v>
      </c>
      <c r="Z616" t="s">
        <v>27471</v>
      </c>
      <c r="AA616">
        <v>0.69297612465894076</v>
      </c>
      <c r="AB616" t="str">
        <f>HYPERLINK("Melting_Curves/meltCurve_F5H598_TRMT10B.pdf", "Melting_Curves/meltCurve_F5H598_TRMT10B.pdf")</f>
        <v>Melting_Curves/meltCurve_F5H598_TRMT10B.pdf</v>
      </c>
    </row>
    <row r="617" spans="1:28" x14ac:dyDescent="0.25">
      <c r="A617" t="s">
        <v>621</v>
      </c>
      <c r="B617">
        <v>0.995954080203443</v>
      </c>
      <c r="C617">
        <v>0.79398871526872805</v>
      </c>
      <c r="D617">
        <v>0.86988488988111801</v>
      </c>
      <c r="E617">
        <v>0.53895744823144398</v>
      </c>
      <c r="F617">
        <v>0.61536857469445105</v>
      </c>
      <c r="G617">
        <v>0.50141829750814004</v>
      </c>
      <c r="H617">
        <v>0.44425504907972502</v>
      </c>
      <c r="I617">
        <v>0.52366651976689205</v>
      </c>
      <c r="J617">
        <v>0.69946686808303404</v>
      </c>
      <c r="K617">
        <v>0.60038106184604501</v>
      </c>
      <c r="L617">
        <v>847.84844879581101</v>
      </c>
      <c r="M617">
        <v>18.585484401616799</v>
      </c>
      <c r="O617">
        <v>45.100554910803602</v>
      </c>
      <c r="P617">
        <v>-4.6337065468878502E-2</v>
      </c>
      <c r="Q617">
        <v>0.55024331139983396</v>
      </c>
      <c r="R617">
        <v>0.74722117375510699</v>
      </c>
      <c r="S617" t="s">
        <v>7423</v>
      </c>
      <c r="T617" t="s">
        <v>13610</v>
      </c>
      <c r="U617" t="s">
        <v>13610</v>
      </c>
      <c r="V617" t="s">
        <v>13610</v>
      </c>
      <c r="W617" t="s">
        <v>14213</v>
      </c>
      <c r="X617">
        <v>3</v>
      </c>
      <c r="Y617" t="s">
        <v>20938</v>
      </c>
      <c r="Z617" t="s">
        <v>27472</v>
      </c>
      <c r="AA617">
        <v>0.64295593229891779</v>
      </c>
      <c r="AB617" t="str">
        <f>HYPERLINK("Melting_Curves/meltCurve_F5H5A3_MAP4K3.pdf", "Melting_Curves/meltCurve_F5H5A3_MAP4K3.pdf")</f>
        <v>Melting_Curves/meltCurve_F5H5A3_MAP4K3.pdf</v>
      </c>
    </row>
    <row r="618" spans="1:28" x14ac:dyDescent="0.25">
      <c r="A618" t="s">
        <v>622</v>
      </c>
      <c r="B618">
        <v>0.995954080203443</v>
      </c>
      <c r="C618">
        <v>0.84643009530749902</v>
      </c>
      <c r="D618">
        <v>0.67145449402087798</v>
      </c>
      <c r="E618">
        <v>0.35150217818188501</v>
      </c>
      <c r="F618">
        <v>0.15776006836683301</v>
      </c>
      <c r="G618">
        <v>9.1790990743898196E-2</v>
      </c>
      <c r="H618">
        <v>5.8514336840448197E-2</v>
      </c>
      <c r="I618">
        <v>4.9707231938426799E-2</v>
      </c>
      <c r="J618">
        <v>5.9556728489248999E-2</v>
      </c>
      <c r="K618">
        <v>5.0979470383780798E-2</v>
      </c>
      <c r="L618">
        <v>830.08010874429897</v>
      </c>
      <c r="M618">
        <v>17.429588587612901</v>
      </c>
      <c r="N618">
        <v>47.865465586737002</v>
      </c>
      <c r="O618">
        <v>47.011123113051802</v>
      </c>
      <c r="P618">
        <v>-8.8804597458154694E-2</v>
      </c>
      <c r="Q618">
        <v>4.1958011938089901E-2</v>
      </c>
      <c r="R618">
        <v>0.99755846681930704</v>
      </c>
      <c r="S618" t="s">
        <v>7424</v>
      </c>
      <c r="T618" t="s">
        <v>13610</v>
      </c>
      <c r="U618" t="s">
        <v>13610</v>
      </c>
      <c r="V618" t="s">
        <v>13610</v>
      </c>
      <c r="W618" t="s">
        <v>14214</v>
      </c>
      <c r="X618">
        <v>19</v>
      </c>
      <c r="Y618" t="s">
        <v>20939</v>
      </c>
      <c r="Z618" t="s">
        <v>27473</v>
      </c>
      <c r="AA618">
        <v>0.30387835241945271</v>
      </c>
      <c r="AB618" t="str">
        <f>HYPERLINK("Melting_Curves/meltCurve_F5H5C2_NUP133.pdf", "Melting_Curves/meltCurve_F5H5C2_NUP133.pdf")</f>
        <v>Melting_Curves/meltCurve_F5H5C2_NUP133.pdf</v>
      </c>
    </row>
    <row r="619" spans="1:28" x14ac:dyDescent="0.25">
      <c r="A619" t="s">
        <v>623</v>
      </c>
      <c r="B619">
        <v>0.995954080203443</v>
      </c>
      <c r="C619">
        <v>1.0706959707430801</v>
      </c>
      <c r="D619">
        <v>1.0989894321760501</v>
      </c>
      <c r="E619">
        <v>1.0737258374375001</v>
      </c>
      <c r="F619">
        <v>0.864878782116975</v>
      </c>
      <c r="G619">
        <v>0.67951142466954095</v>
      </c>
      <c r="H619">
        <v>0.60171042793958995</v>
      </c>
      <c r="I619">
        <v>0.67201585578505996</v>
      </c>
      <c r="J619">
        <v>0.572836632822884</v>
      </c>
      <c r="K619">
        <v>0.83825260133237001</v>
      </c>
      <c r="L619">
        <v>13268.623867960599</v>
      </c>
      <c r="M619">
        <v>250</v>
      </c>
      <c r="O619">
        <v>53.071099210402501</v>
      </c>
      <c r="P619">
        <v>-0.385255137279855</v>
      </c>
      <c r="Q619">
        <v>0.672865383543784</v>
      </c>
      <c r="R619">
        <v>0.83562191905655203</v>
      </c>
      <c r="S619" t="s">
        <v>7425</v>
      </c>
      <c r="T619" t="s">
        <v>13610</v>
      </c>
      <c r="U619" t="s">
        <v>13610</v>
      </c>
      <c r="V619" t="s">
        <v>13610</v>
      </c>
      <c r="W619" t="s">
        <v>14215</v>
      </c>
      <c r="X619">
        <v>1</v>
      </c>
      <c r="Y619" t="s">
        <v>20940</v>
      </c>
      <c r="Z619" t="s">
        <v>27474</v>
      </c>
      <c r="AA619">
        <v>0.81546652318733692</v>
      </c>
      <c r="AB619" t="str">
        <f>HYPERLINK("Melting_Curves/meltCurve_F5H5M7_IFNGR1.pdf", "Melting_Curves/meltCurve_F5H5M7_IFNGR1.pdf")</f>
        <v>Melting_Curves/meltCurve_F5H5M7_IFNGR1.pdf</v>
      </c>
    </row>
    <row r="620" spans="1:28" x14ac:dyDescent="0.25">
      <c r="A620" t="s">
        <v>624</v>
      </c>
      <c r="B620">
        <v>0.995954080203443</v>
      </c>
      <c r="C620">
        <v>0.919469226175326</v>
      </c>
      <c r="D620">
        <v>0.79939977504502902</v>
      </c>
      <c r="E620">
        <v>0.342891185834659</v>
      </c>
      <c r="F620">
        <v>0.18042730472145899</v>
      </c>
      <c r="G620">
        <v>0.104793263826247</v>
      </c>
      <c r="H620">
        <v>8.2250053682833404E-2</v>
      </c>
      <c r="I620">
        <v>7.2105216115880499E-2</v>
      </c>
      <c r="J620">
        <v>8.4093671656848806E-2</v>
      </c>
      <c r="K620">
        <v>7.95789622961557E-2</v>
      </c>
      <c r="L620">
        <v>1152.4999513499999</v>
      </c>
      <c r="M620">
        <v>23.894435402001399</v>
      </c>
      <c r="N620">
        <v>48.577347764213101</v>
      </c>
      <c r="O620">
        <v>47.8989612724138</v>
      </c>
      <c r="P620">
        <v>-0.114998344653468</v>
      </c>
      <c r="Q620">
        <v>7.7908720696744593E-2</v>
      </c>
      <c r="R620">
        <v>0.99852194890379997</v>
      </c>
      <c r="S620" t="s">
        <v>7426</v>
      </c>
      <c r="T620" t="s">
        <v>13610</v>
      </c>
      <c r="U620" t="s">
        <v>13610</v>
      </c>
      <c r="V620" t="s">
        <v>13610</v>
      </c>
      <c r="W620" t="s">
        <v>14216</v>
      </c>
      <c r="X620">
        <v>9</v>
      </c>
      <c r="Y620" t="s">
        <v>20941</v>
      </c>
      <c r="Z620" t="s">
        <v>27475</v>
      </c>
      <c r="AA620">
        <v>0.33992473913784171</v>
      </c>
      <c r="AB620" t="str">
        <f>HYPERLINK("Melting_Curves/meltCurve_F5H5U2_DDX55.pdf", "Melting_Curves/meltCurve_F5H5U2_DDX55.pdf")</f>
        <v>Melting_Curves/meltCurve_F5H5U2_DDX55.pdf</v>
      </c>
    </row>
    <row r="621" spans="1:28" x14ac:dyDescent="0.25">
      <c r="A621" t="s">
        <v>625</v>
      </c>
      <c r="B621">
        <v>0.995954080203443</v>
      </c>
      <c r="C621">
        <v>1.0108101279967301</v>
      </c>
      <c r="D621">
        <v>1.0049556972274301</v>
      </c>
      <c r="E621">
        <v>0.81491703175308805</v>
      </c>
      <c r="F621">
        <v>0.46252026492355303</v>
      </c>
      <c r="G621">
        <v>0.22784835019970201</v>
      </c>
      <c r="H621">
        <v>0.17426289449687199</v>
      </c>
      <c r="I621">
        <v>0.182176363895237</v>
      </c>
      <c r="J621">
        <v>0.21621913468600501</v>
      </c>
      <c r="K621">
        <v>0.20551586392072299</v>
      </c>
      <c r="L621">
        <v>1742.30233377584</v>
      </c>
      <c r="M621">
        <v>33.590659419098699</v>
      </c>
      <c r="N621">
        <v>52.631781052262298</v>
      </c>
      <c r="O621">
        <v>51.685857166267198</v>
      </c>
      <c r="P621">
        <v>-0.131153992529109</v>
      </c>
      <c r="Q621">
        <v>0.19277817336802999</v>
      </c>
      <c r="R621">
        <v>0.99856632296576398</v>
      </c>
      <c r="S621" t="s">
        <v>7427</v>
      </c>
      <c r="T621" t="s">
        <v>13610</v>
      </c>
      <c r="U621" t="s">
        <v>13610</v>
      </c>
      <c r="V621" t="s">
        <v>13610</v>
      </c>
      <c r="W621" t="s">
        <v>14217</v>
      </c>
      <c r="X621">
        <v>53</v>
      </c>
      <c r="Y621" t="s">
        <v>20942</v>
      </c>
      <c r="Z621" t="s">
        <v>27476</v>
      </c>
      <c r="AA621">
        <v>0.51624068386569377</v>
      </c>
      <c r="AB621" t="str">
        <f>HYPERLINK("Melting_Curves/meltCurve_F5H604_CLASP2.pdf", "Melting_Curves/meltCurve_F5H604_CLASP2.pdf")</f>
        <v>Melting_Curves/meltCurve_F5H604_CLASP2.pdf</v>
      </c>
    </row>
    <row r="622" spans="1:28" x14ac:dyDescent="0.25">
      <c r="A622" t="s">
        <v>626</v>
      </c>
      <c r="B622">
        <v>0.995954080203443</v>
      </c>
      <c r="C622">
        <v>0.78972509009567704</v>
      </c>
      <c r="D622">
        <v>0.68125717132754304</v>
      </c>
      <c r="E622">
        <v>0.72936527829237896</v>
      </c>
      <c r="F622">
        <v>0.43704527548641398</v>
      </c>
      <c r="G622">
        <v>0.28326685875189</v>
      </c>
      <c r="H622">
        <v>0.239532227351056</v>
      </c>
      <c r="I622">
        <v>0.24041734904456499</v>
      </c>
      <c r="J622">
        <v>0.32404469507100397</v>
      </c>
      <c r="K622">
        <v>0.261538131058415</v>
      </c>
      <c r="L622">
        <v>522.378871604094</v>
      </c>
      <c r="M622">
        <v>10.603617575527901</v>
      </c>
      <c r="N622">
        <v>51.831636067625901</v>
      </c>
      <c r="O622">
        <v>47.6089106270217</v>
      </c>
      <c r="P622">
        <v>-4.4322871205184501E-2</v>
      </c>
      <c r="Q622">
        <v>0.20429267440923701</v>
      </c>
      <c r="R622">
        <v>0.92168756049630396</v>
      </c>
      <c r="S622" t="s">
        <v>7428</v>
      </c>
      <c r="T622" t="s">
        <v>13610</v>
      </c>
      <c r="U622" t="s">
        <v>13610</v>
      </c>
      <c r="V622" t="s">
        <v>13610</v>
      </c>
      <c r="W622" t="s">
        <v>14218</v>
      </c>
      <c r="X622">
        <v>6</v>
      </c>
      <c r="Y622" t="s">
        <v>20943</v>
      </c>
      <c r="Z622" t="s">
        <v>27477</v>
      </c>
      <c r="AA622">
        <v>0.48499185187382182</v>
      </c>
      <c r="AB622" t="str">
        <f>HYPERLINK("Melting_Curves/meltCurve_F5H6I7_ATL3.pdf", "Melting_Curves/meltCurve_F5H6I7_ATL3.pdf")</f>
        <v>Melting_Curves/meltCurve_F5H6I7_ATL3.pdf</v>
      </c>
    </row>
    <row r="623" spans="1:28" x14ac:dyDescent="0.25">
      <c r="A623" t="s">
        <v>627</v>
      </c>
      <c r="B623">
        <v>0.995954080203443</v>
      </c>
      <c r="C623">
        <v>0.75563014385630101</v>
      </c>
      <c r="D623">
        <v>1.3987301410839199</v>
      </c>
      <c r="E623">
        <v>0.86837496578233697</v>
      </c>
      <c r="F623">
        <v>1.2331479072670199</v>
      </c>
      <c r="G623">
        <v>1.01972843035474</v>
      </c>
      <c r="H623">
        <v>0.89410752387391801</v>
      </c>
      <c r="I623">
        <v>1.03572739689614</v>
      </c>
      <c r="J623">
        <v>1.1468649408654501</v>
      </c>
      <c r="K623">
        <v>1.3663687755479501</v>
      </c>
      <c r="L623">
        <v>3503.7934040239902</v>
      </c>
      <c r="M623">
        <v>51.612385965248897</v>
      </c>
      <c r="O623">
        <v>67.784993818273904</v>
      </c>
      <c r="P623">
        <v>8.4360013348349E-2</v>
      </c>
      <c r="Q623">
        <v>1.4431756907265101</v>
      </c>
      <c r="R623">
        <v>0.25838920460551801</v>
      </c>
      <c r="S623" t="s">
        <v>7429</v>
      </c>
      <c r="T623" t="s">
        <v>13610</v>
      </c>
      <c r="U623" t="s">
        <v>13610</v>
      </c>
      <c r="V623" t="s">
        <v>13610</v>
      </c>
      <c r="W623" t="s">
        <v>14219</v>
      </c>
      <c r="X623">
        <v>2</v>
      </c>
      <c r="Y623" t="s">
        <v>20944</v>
      </c>
      <c r="Z623" t="s">
        <v>27478</v>
      </c>
      <c r="AA623">
        <v>1.0340973898834029</v>
      </c>
      <c r="AB623" t="str">
        <f>HYPERLINK("Melting_Curves/meltCurve_F5H6M9_BRD1.pdf", "Melting_Curves/meltCurve_F5H6M9_BRD1.pdf")</f>
        <v>Melting_Curves/meltCurve_F5H6M9_BRD1.pdf</v>
      </c>
    </row>
    <row r="624" spans="1:28" x14ac:dyDescent="0.25">
      <c r="A624" t="s">
        <v>628</v>
      </c>
      <c r="B624">
        <v>0.995954080203443</v>
      </c>
      <c r="C624">
        <v>0.88300531184193898</v>
      </c>
      <c r="D624">
        <v>0.683291846223685</v>
      </c>
      <c r="E624">
        <v>0.89778866925305101</v>
      </c>
      <c r="F624">
        <v>0.63450018803809305</v>
      </c>
      <c r="G624">
        <v>0.27398556753787801</v>
      </c>
      <c r="H624">
        <v>9.2705849746083896E-2</v>
      </c>
      <c r="I624">
        <v>9.2033153947849902E-2</v>
      </c>
      <c r="J624">
        <v>5.79038400159834E-2</v>
      </c>
      <c r="K624">
        <v>9.8731946623131894E-2</v>
      </c>
      <c r="L624">
        <v>786.60549644935099</v>
      </c>
      <c r="M624">
        <v>14.5323622722011</v>
      </c>
      <c r="N624">
        <v>54.127848301561897</v>
      </c>
      <c r="O624">
        <v>53.133853524376299</v>
      </c>
      <c r="P624">
        <v>-6.83839798024405E-2</v>
      </c>
      <c r="Q624">
        <v>0</v>
      </c>
      <c r="R624">
        <v>0.92439922703053901</v>
      </c>
      <c r="S624" t="s">
        <v>7430</v>
      </c>
      <c r="T624" t="s">
        <v>13610</v>
      </c>
      <c r="U624" t="s">
        <v>13610</v>
      </c>
      <c r="V624" t="s">
        <v>13610</v>
      </c>
      <c r="W624" t="s">
        <v>14220</v>
      </c>
      <c r="X624">
        <v>1</v>
      </c>
      <c r="Y624" t="s">
        <v>20945</v>
      </c>
      <c r="Z624" t="s">
        <v>27479</v>
      </c>
      <c r="AA624">
        <v>0.49208893702052958</v>
      </c>
      <c r="AB624" t="str">
        <f>HYPERLINK("Melting_Curves/meltCurve_F5H6P3_INSIG1.pdf", "Melting_Curves/meltCurve_F5H6P3_INSIG1.pdf")</f>
        <v>Melting_Curves/meltCurve_F5H6P3_INSIG1.pdf</v>
      </c>
    </row>
    <row r="625" spans="1:28" x14ac:dyDescent="0.25">
      <c r="A625" t="s">
        <v>629</v>
      </c>
      <c r="B625">
        <v>0.995954080203443</v>
      </c>
      <c r="C625">
        <v>2.3262173356789102</v>
      </c>
      <c r="D625">
        <v>0.47635748062849798</v>
      </c>
      <c r="E625">
        <v>0.56708314661772896</v>
      </c>
      <c r="F625">
        <v>0.16473712804905899</v>
      </c>
      <c r="G625">
        <v>0.11254099569939401</v>
      </c>
      <c r="H625">
        <v>7.4819633303850802E-2</v>
      </c>
      <c r="I625">
        <v>6.9371718460445306E-2</v>
      </c>
      <c r="J625">
        <v>8.0036398993940799E-2</v>
      </c>
      <c r="K625">
        <v>7.6866669226755502E-2</v>
      </c>
      <c r="L625">
        <v>1340.2169650287001</v>
      </c>
      <c r="M625">
        <v>27.1493209368425</v>
      </c>
      <c r="N625">
        <v>49.670879264868297</v>
      </c>
      <c r="O625">
        <v>49.099171222333297</v>
      </c>
      <c r="P625">
        <v>-0.127586194918864</v>
      </c>
      <c r="Q625">
        <v>7.7057574033707596E-2</v>
      </c>
      <c r="R625">
        <v>0.56620083402531096</v>
      </c>
      <c r="S625" t="s">
        <v>7431</v>
      </c>
      <c r="T625" t="s">
        <v>13610</v>
      </c>
      <c r="U625" t="s">
        <v>13610</v>
      </c>
      <c r="V625" t="s">
        <v>13610</v>
      </c>
      <c r="W625" t="s">
        <v>14221</v>
      </c>
      <c r="X625">
        <v>11</v>
      </c>
      <c r="Y625" t="s">
        <v>20946</v>
      </c>
      <c r="Z625" t="s">
        <v>27480</v>
      </c>
      <c r="AA625">
        <v>0.37208819689459582</v>
      </c>
      <c r="AB625" t="str">
        <f>HYPERLINK("Melting_Curves/meltCurve_F5H6Z0_CDK17.pdf", "Melting_Curves/meltCurve_F5H6Z0_CDK17.pdf")</f>
        <v>Melting_Curves/meltCurve_F5H6Z0_CDK17.pdf</v>
      </c>
    </row>
    <row r="626" spans="1:28" x14ac:dyDescent="0.25">
      <c r="A626" t="s">
        <v>630</v>
      </c>
      <c r="B626">
        <v>0.995954080203443</v>
      </c>
      <c r="C626">
        <v>1.0542136930983701</v>
      </c>
      <c r="D626">
        <v>1.2168762037580501</v>
      </c>
      <c r="E626">
        <v>1.0010777748492701</v>
      </c>
      <c r="F626">
        <v>1.3543990161525701</v>
      </c>
      <c r="G626">
        <v>0.95869395546910197</v>
      </c>
      <c r="H626">
        <v>1.1645594206529399</v>
      </c>
      <c r="I626">
        <v>1.10413549660123</v>
      </c>
      <c r="J626">
        <v>2.5671136605322502</v>
      </c>
      <c r="K626">
        <v>0.50432328744891697</v>
      </c>
      <c r="L626">
        <v>394.58038007158399</v>
      </c>
      <c r="M626">
        <v>7.2328528580457396</v>
      </c>
      <c r="O626">
        <v>50.846715822702002</v>
      </c>
      <c r="P626">
        <v>1.40881649748476E-2</v>
      </c>
      <c r="Q626">
        <v>1.39550715848227</v>
      </c>
      <c r="R626">
        <v>4.2435103622009203E-2</v>
      </c>
      <c r="S626" t="s">
        <v>7432</v>
      </c>
      <c r="T626" t="s">
        <v>13610</v>
      </c>
      <c r="U626" t="s">
        <v>13610</v>
      </c>
      <c r="V626" t="s">
        <v>13610</v>
      </c>
      <c r="W626" t="s">
        <v>14222</v>
      </c>
      <c r="X626">
        <v>12</v>
      </c>
      <c r="Y626" t="s">
        <v>20947</v>
      </c>
      <c r="Z626" t="s">
        <v>27481</v>
      </c>
      <c r="AA626">
        <v>1.19143278480127</v>
      </c>
      <c r="AB626" t="str">
        <f>HYPERLINK("Melting_Curves/meltCurve_F5H715_AIDA.pdf", "Melting_Curves/meltCurve_F5H715_AIDA.pdf")</f>
        <v>Melting_Curves/meltCurve_F5H715_AIDA.pdf</v>
      </c>
    </row>
    <row r="627" spans="1:28" x14ac:dyDescent="0.25">
      <c r="A627" t="s">
        <v>631</v>
      </c>
      <c r="B627">
        <v>0.995954080203443</v>
      </c>
      <c r="C627">
        <v>0.901838176135622</v>
      </c>
      <c r="D627">
        <v>0.99573013727714399</v>
      </c>
      <c r="E627">
        <v>0.83272708751091795</v>
      </c>
      <c r="F627">
        <v>0.91385246367186701</v>
      </c>
      <c r="G627">
        <v>0.73146416236969103</v>
      </c>
      <c r="H627">
        <v>0.74764033078382897</v>
      </c>
      <c r="I627">
        <v>0.91121492857879705</v>
      </c>
      <c r="J627">
        <v>1.0878226871660901</v>
      </c>
      <c r="K627">
        <v>1.09941035522257</v>
      </c>
      <c r="L627">
        <v>15000</v>
      </c>
      <c r="M627">
        <v>225.877896618996</v>
      </c>
      <c r="O627">
        <v>66.402363893629001</v>
      </c>
      <c r="P627">
        <v>8.4654244055392194E-2</v>
      </c>
      <c r="Q627">
        <v>1.0995447752452301</v>
      </c>
      <c r="R627">
        <v>-0.30050118327977599</v>
      </c>
      <c r="S627" t="s">
        <v>7433</v>
      </c>
      <c r="T627" t="s">
        <v>13610</v>
      </c>
      <c r="U627" t="s">
        <v>13610</v>
      </c>
      <c r="V627" t="s">
        <v>13610</v>
      </c>
      <c r="W627" t="s">
        <v>14223</v>
      </c>
      <c r="X627">
        <v>30</v>
      </c>
      <c r="Y627" t="s">
        <v>20948</v>
      </c>
      <c r="Z627" t="s">
        <v>27482</v>
      </c>
      <c r="AA627">
        <v>1.011906085179318</v>
      </c>
      <c r="AB627" t="str">
        <f>HYPERLINK("Melting_Curves/meltCurve_F5H721_WBP11.pdf", "Melting_Curves/meltCurve_F5H721_WBP11.pdf")</f>
        <v>Melting_Curves/meltCurve_F5H721_WBP11.pdf</v>
      </c>
    </row>
    <row r="628" spans="1:28" x14ac:dyDescent="0.25">
      <c r="A628" t="s">
        <v>632</v>
      </c>
      <c r="B628">
        <v>0.995954080203443</v>
      </c>
      <c r="C628">
        <v>0.76833122345206095</v>
      </c>
      <c r="D628">
        <v>0.91172182353439502</v>
      </c>
      <c r="E628">
        <v>0.73027082763996098</v>
      </c>
      <c r="F628">
        <v>0.82190464052141898</v>
      </c>
      <c r="G628">
        <v>0.65333965768971802</v>
      </c>
      <c r="H628">
        <v>0.63127124727794903</v>
      </c>
      <c r="I628">
        <v>0.72580270275021797</v>
      </c>
      <c r="J628">
        <v>0.81747616147102498</v>
      </c>
      <c r="K628">
        <v>0.88746749978921502</v>
      </c>
      <c r="L628">
        <v>749.76739654789299</v>
      </c>
      <c r="M628">
        <v>17.6022506673017</v>
      </c>
      <c r="O628">
        <v>42.056621533128201</v>
      </c>
      <c r="P628">
        <v>-2.56766743317762E-2</v>
      </c>
      <c r="Q628">
        <v>0.75461865288605401</v>
      </c>
      <c r="R628">
        <v>0.34971159046724298</v>
      </c>
      <c r="S628" t="s">
        <v>7434</v>
      </c>
      <c r="T628" t="s">
        <v>13610</v>
      </c>
      <c r="U628" t="s">
        <v>13610</v>
      </c>
      <c r="V628" t="s">
        <v>13610</v>
      </c>
      <c r="W628" t="s">
        <v>14224</v>
      </c>
      <c r="X628">
        <v>2</v>
      </c>
      <c r="Y628" t="s">
        <v>20949</v>
      </c>
      <c r="Z628" t="s">
        <v>27483</v>
      </c>
      <c r="AA628">
        <v>0.78401838990253381</v>
      </c>
      <c r="AB628" t="str">
        <f>HYPERLINK("Melting_Curves/meltCurve_F5H777_CCDC82.pdf", "Melting_Curves/meltCurve_F5H777_CCDC82.pdf")</f>
        <v>Melting_Curves/meltCurve_F5H777_CCDC82.pdf</v>
      </c>
    </row>
    <row r="629" spans="1:28" x14ac:dyDescent="0.25">
      <c r="A629" t="s">
        <v>633</v>
      </c>
      <c r="B629">
        <v>0.995954080203443</v>
      </c>
      <c r="C629">
        <v>0.95267054988411504</v>
      </c>
      <c r="D629">
        <v>0.76519001061698499</v>
      </c>
      <c r="E629">
        <v>0.94789170220969898</v>
      </c>
      <c r="F629">
        <v>0.348978733741033</v>
      </c>
      <c r="G629">
        <v>0.108634523046734</v>
      </c>
      <c r="H629">
        <v>6.1147352426981903E-2</v>
      </c>
      <c r="I629">
        <v>4.2379920702975499E-2</v>
      </c>
      <c r="J629">
        <v>6.3943977584505596E-2</v>
      </c>
      <c r="K629">
        <v>4.0882502528216298E-2</v>
      </c>
      <c r="L629">
        <v>3054.97635322729</v>
      </c>
      <c r="M629">
        <v>58.439627792565403</v>
      </c>
      <c r="N629">
        <v>52.393258322502298</v>
      </c>
      <c r="O629">
        <v>52.214658677931403</v>
      </c>
      <c r="P629">
        <v>-0.262621301025172</v>
      </c>
      <c r="Q629">
        <v>6.14125477008731E-2</v>
      </c>
      <c r="R629">
        <v>0.96392595408005</v>
      </c>
      <c r="S629" t="s">
        <v>7435</v>
      </c>
      <c r="T629" t="s">
        <v>13610</v>
      </c>
      <c r="U629" t="s">
        <v>13610</v>
      </c>
      <c r="V629" t="s">
        <v>13610</v>
      </c>
      <c r="W629" t="s">
        <v>14225</v>
      </c>
      <c r="X629">
        <v>2</v>
      </c>
      <c r="Y629" t="s">
        <v>20950</v>
      </c>
      <c r="Z629" t="s">
        <v>27484</v>
      </c>
      <c r="AA629">
        <v>0.44705714742349301</v>
      </c>
      <c r="AB629" t="str">
        <f>HYPERLINK("Melting_Curves/meltCurve_F5H7F6_MGST1.pdf", "Melting_Curves/meltCurve_F5H7F6_MGST1.pdf")</f>
        <v>Melting_Curves/meltCurve_F5H7F6_MGST1.pdf</v>
      </c>
    </row>
    <row r="630" spans="1:28" x14ac:dyDescent="0.25">
      <c r="A630" t="s">
        <v>634</v>
      </c>
      <c r="B630">
        <v>0.995954080203443</v>
      </c>
      <c r="C630">
        <v>0.83620331026431305</v>
      </c>
      <c r="D630">
        <v>0.77488123540365095</v>
      </c>
      <c r="E630">
        <v>0.58634139059787604</v>
      </c>
      <c r="F630">
        <v>0.60374090525551205</v>
      </c>
      <c r="G630">
        <v>0.51854657577293595</v>
      </c>
      <c r="H630">
        <v>0.55963884579910295</v>
      </c>
      <c r="I630">
        <v>0.80875493081834005</v>
      </c>
      <c r="J630">
        <v>0.813868949942116</v>
      </c>
      <c r="K630">
        <v>0.89810639586706098</v>
      </c>
      <c r="L630">
        <v>1374.7505734123199</v>
      </c>
      <c r="M630">
        <v>31.891734390082402</v>
      </c>
      <c r="O630">
        <v>42.9383704665618</v>
      </c>
      <c r="P630">
        <v>-5.7788879564875599E-2</v>
      </c>
      <c r="Q630">
        <v>0.68877858902760702</v>
      </c>
      <c r="R630">
        <v>0.39788689672934602</v>
      </c>
      <c r="S630" t="s">
        <v>7436</v>
      </c>
      <c r="T630" t="s">
        <v>13610</v>
      </c>
      <c r="U630" t="s">
        <v>13610</v>
      </c>
      <c r="V630" t="s">
        <v>13610</v>
      </c>
      <c r="W630" t="s">
        <v>14226</v>
      </c>
      <c r="X630">
        <v>5</v>
      </c>
      <c r="Y630" t="s">
        <v>20951</v>
      </c>
      <c r="Z630" t="s">
        <v>27485</v>
      </c>
      <c r="AA630">
        <v>0.72339577089006113</v>
      </c>
      <c r="AB630" t="str">
        <f>HYPERLINK("Melting_Curves/meltCurve_F5H7I4_GABPB1.pdf", "Melting_Curves/meltCurve_F5H7I4_GABPB1.pdf")</f>
        <v>Melting_Curves/meltCurve_F5H7I4_GABPB1.pdf</v>
      </c>
    </row>
    <row r="631" spans="1:28" x14ac:dyDescent="0.25">
      <c r="A631" t="s">
        <v>635</v>
      </c>
      <c r="B631">
        <v>0.995954080203443</v>
      </c>
      <c r="C631">
        <v>0.83235475710780105</v>
      </c>
      <c r="D631">
        <v>0.99645992613878898</v>
      </c>
      <c r="E631">
        <v>0.70735998340193496</v>
      </c>
      <c r="F631">
        <v>0.78892746434400995</v>
      </c>
      <c r="G631">
        <v>0.63227712578540096</v>
      </c>
      <c r="H631">
        <v>0.66881093771062095</v>
      </c>
      <c r="I631">
        <v>0.86107730707382701</v>
      </c>
      <c r="J631">
        <v>0.875996773888296</v>
      </c>
      <c r="K631">
        <v>1.03804555978941</v>
      </c>
      <c r="L631">
        <v>859.70979593647996</v>
      </c>
      <c r="M631">
        <v>19.762939603249499</v>
      </c>
      <c r="O631">
        <v>43.063057596092001</v>
      </c>
      <c r="P631">
        <v>-2.23919749722469E-2</v>
      </c>
      <c r="Q631">
        <v>0.80483996358597498</v>
      </c>
      <c r="R631">
        <v>0.165959659914657</v>
      </c>
      <c r="S631" t="s">
        <v>7437</v>
      </c>
      <c r="T631" t="s">
        <v>13610</v>
      </c>
      <c r="U631" t="s">
        <v>13610</v>
      </c>
      <c r="V631" t="s">
        <v>13610</v>
      </c>
      <c r="W631" t="s">
        <v>14227</v>
      </c>
      <c r="X631">
        <v>1</v>
      </c>
      <c r="Y631" t="s">
        <v>20952</v>
      </c>
      <c r="Z631" t="s">
        <v>27486</v>
      </c>
      <c r="AA631">
        <v>0.83187420351471308</v>
      </c>
      <c r="AB631" t="str">
        <f>HYPERLINK("Melting_Curves/meltCurve_F5H7V7_NDUFA8.pdf", "Melting_Curves/meltCurve_F5H7V7_NDUFA8.pdf")</f>
        <v>Melting_Curves/meltCurve_F5H7V7_NDUFA8.pdf</v>
      </c>
    </row>
    <row r="632" spans="1:28" x14ac:dyDescent="0.25">
      <c r="A632" t="s">
        <v>636</v>
      </c>
      <c r="B632">
        <v>0.995954080203443</v>
      </c>
      <c r="C632">
        <v>0.80561226926626395</v>
      </c>
      <c r="D632">
        <v>0.40513371710962698</v>
      </c>
      <c r="E632">
        <v>0.29915409132976101</v>
      </c>
      <c r="F632">
        <v>0.171008685458687</v>
      </c>
      <c r="G632">
        <v>0.102845627221072</v>
      </c>
      <c r="H632">
        <v>8.0228341598241298E-2</v>
      </c>
      <c r="I632">
        <v>8.0736628581881506E-2</v>
      </c>
      <c r="J632">
        <v>8.3568088822774195E-2</v>
      </c>
      <c r="K632">
        <v>8.5053725276410905E-2</v>
      </c>
      <c r="L632">
        <v>896.65341120479002</v>
      </c>
      <c r="M632">
        <v>19.773061451758199</v>
      </c>
      <c r="N632">
        <v>45.828155525893102</v>
      </c>
      <c r="O632">
        <v>44.891039841056603</v>
      </c>
      <c r="P632">
        <v>-9.9802962123133304E-2</v>
      </c>
      <c r="Q632">
        <v>9.3694986747213604E-2</v>
      </c>
      <c r="R632">
        <v>0.98157298619440503</v>
      </c>
      <c r="S632" t="s">
        <v>7438</v>
      </c>
      <c r="T632" t="s">
        <v>13610</v>
      </c>
      <c r="U632" t="s">
        <v>13610</v>
      </c>
      <c r="V632" t="s">
        <v>13610</v>
      </c>
      <c r="W632" t="s">
        <v>14228</v>
      </c>
      <c r="X632">
        <v>13</v>
      </c>
      <c r="Y632" t="s">
        <v>20953</v>
      </c>
      <c r="Z632" t="s">
        <v>27487</v>
      </c>
      <c r="AA632">
        <v>0.27042657194747433</v>
      </c>
      <c r="AB632" t="str">
        <f>HYPERLINK("Melting_Curves/meltCurve_F5H801_OGDH.pdf", "Melting_Curves/meltCurve_F5H801_OGDH.pdf")</f>
        <v>Melting_Curves/meltCurve_F5H801_OGDH.pdf</v>
      </c>
    </row>
    <row r="633" spans="1:28" x14ac:dyDescent="0.25">
      <c r="A633" t="s">
        <v>637</v>
      </c>
      <c r="B633">
        <v>0.995954080203443</v>
      </c>
      <c r="C633">
        <v>0.88878456448376797</v>
      </c>
      <c r="D633">
        <v>0.74762074695554503</v>
      </c>
      <c r="E633">
        <v>0.68307054741991502</v>
      </c>
      <c r="F633">
        <v>0.39731187059838202</v>
      </c>
      <c r="G633">
        <v>0.30024218520475499</v>
      </c>
      <c r="H633">
        <v>0.21161140839447301</v>
      </c>
      <c r="I633">
        <v>0.19950072842427</v>
      </c>
      <c r="J633">
        <v>0.123010530498636</v>
      </c>
      <c r="K633">
        <v>0.13559506766919599</v>
      </c>
      <c r="L633">
        <v>574.00965292162005</v>
      </c>
      <c r="M633">
        <v>11.2377959149047</v>
      </c>
      <c r="N633">
        <v>51.959329536953803</v>
      </c>
      <c r="O633">
        <v>49.541183106098103</v>
      </c>
      <c r="P633">
        <v>-5.1807027982004802E-2</v>
      </c>
      <c r="Q633">
        <v>8.6730521715747896E-2</v>
      </c>
      <c r="R633">
        <v>0.98456249295009401</v>
      </c>
      <c r="S633" t="s">
        <v>7439</v>
      </c>
      <c r="T633" t="s">
        <v>13610</v>
      </c>
      <c r="U633" t="s">
        <v>13610</v>
      </c>
      <c r="V633" t="s">
        <v>13610</v>
      </c>
      <c r="W633" t="s">
        <v>14229</v>
      </c>
      <c r="X633">
        <v>4</v>
      </c>
      <c r="Y633" t="s">
        <v>20954</v>
      </c>
      <c r="Z633" t="s">
        <v>27488</v>
      </c>
      <c r="AA633">
        <v>0.45644944211083982</v>
      </c>
      <c r="AB633" t="str">
        <f>HYPERLINK("Melting_Curves/meltCurve_F5H837_RBL2.pdf", "Melting_Curves/meltCurve_F5H837_RBL2.pdf")</f>
        <v>Melting_Curves/meltCurve_F5H837_RBL2.pdf</v>
      </c>
    </row>
    <row r="634" spans="1:28" x14ac:dyDescent="0.25">
      <c r="A634" t="s">
        <v>638</v>
      </c>
      <c r="B634">
        <v>0.995954080203443</v>
      </c>
      <c r="C634">
        <v>0.92535988615700304</v>
      </c>
      <c r="D634">
        <v>0.860110938083124</v>
      </c>
      <c r="E634">
        <v>0.78795216868087803</v>
      </c>
      <c r="F634">
        <v>0.58312669471437395</v>
      </c>
      <c r="G634">
        <v>0.259674686008452</v>
      </c>
      <c r="H634">
        <v>0.107995025460524</v>
      </c>
      <c r="I634">
        <v>8.8086267949551406E-2</v>
      </c>
      <c r="J634">
        <v>9.6807974004398306E-2</v>
      </c>
      <c r="K634">
        <v>8.5158374074442794E-2</v>
      </c>
      <c r="L634">
        <v>895.17694971189405</v>
      </c>
      <c r="M634">
        <v>16.7885761670961</v>
      </c>
      <c r="N634">
        <v>53.612699592051499</v>
      </c>
      <c r="O634">
        <v>52.581317738080699</v>
      </c>
      <c r="P634">
        <v>-7.6338511050601299E-2</v>
      </c>
      <c r="Q634">
        <v>4.3702359501601402E-2</v>
      </c>
      <c r="R634">
        <v>0.98903565218977596</v>
      </c>
      <c r="S634" t="s">
        <v>7440</v>
      </c>
      <c r="T634" t="s">
        <v>13610</v>
      </c>
      <c r="U634" t="s">
        <v>13610</v>
      </c>
      <c r="V634" t="s">
        <v>13610</v>
      </c>
      <c r="W634" t="s">
        <v>14230</v>
      </c>
      <c r="X634">
        <v>18</v>
      </c>
      <c r="Y634" t="s">
        <v>20955</v>
      </c>
      <c r="Z634" t="s">
        <v>27489</v>
      </c>
      <c r="AA634">
        <v>0.48561873991142979</v>
      </c>
      <c r="AB634" t="str">
        <f>HYPERLINK("Melting_Curves/meltCurve_F5H860_INPP4A.pdf", "Melting_Curves/meltCurve_F5H860_INPP4A.pdf")</f>
        <v>Melting_Curves/meltCurve_F5H860_INPP4A.pdf</v>
      </c>
    </row>
    <row r="635" spans="1:28" x14ac:dyDescent="0.25">
      <c r="A635" t="s">
        <v>639</v>
      </c>
      <c r="B635">
        <v>0.995954080203443</v>
      </c>
      <c r="C635">
        <v>1.0036914090286</v>
      </c>
      <c r="D635">
        <v>1.00885368458229</v>
      </c>
      <c r="E635">
        <v>0.82061296198236999</v>
      </c>
      <c r="F635">
        <v>0.406497337543828</v>
      </c>
      <c r="G635">
        <v>0.109247781425076</v>
      </c>
      <c r="H635">
        <v>7.0461175653549105E-2</v>
      </c>
      <c r="I635">
        <v>5.9577711815519803E-2</v>
      </c>
      <c r="J635">
        <v>6.4787932561807204E-2</v>
      </c>
      <c r="K635">
        <v>6.1616859491732297E-2</v>
      </c>
      <c r="L635">
        <v>1781.9166622303501</v>
      </c>
      <c r="M635">
        <v>34.171964682328799</v>
      </c>
      <c r="N635">
        <v>52.347694046745403</v>
      </c>
      <c r="O635">
        <v>51.967979239337303</v>
      </c>
      <c r="P635">
        <v>-0.154230221096466</v>
      </c>
      <c r="Q635">
        <v>6.1804103050026399E-2</v>
      </c>
      <c r="R635">
        <v>0.99976274330465797</v>
      </c>
      <c r="S635" t="s">
        <v>7441</v>
      </c>
      <c r="T635" t="s">
        <v>13610</v>
      </c>
      <c r="U635" t="s">
        <v>13610</v>
      </c>
      <c r="V635" t="s">
        <v>13610</v>
      </c>
      <c r="W635" t="s">
        <v>14231</v>
      </c>
      <c r="X635">
        <v>35</v>
      </c>
      <c r="Y635" t="s">
        <v>20956</v>
      </c>
      <c r="Z635" t="s">
        <v>27490</v>
      </c>
      <c r="AA635">
        <v>0.44627074647380838</v>
      </c>
      <c r="AB635" t="str">
        <f>HYPERLINK("Melting_Curves/meltCurve_F5H897_TRAP1.pdf", "Melting_Curves/meltCurve_F5H897_TRAP1.pdf")</f>
        <v>Melting_Curves/meltCurve_F5H897_TRAP1.pdf</v>
      </c>
    </row>
    <row r="636" spans="1:28" x14ac:dyDescent="0.25">
      <c r="A636" t="s">
        <v>640</v>
      </c>
      <c r="B636">
        <v>0.995954080203443</v>
      </c>
      <c r="C636">
        <v>0.88976119149124999</v>
      </c>
      <c r="D636">
        <v>0.86080427614188904</v>
      </c>
      <c r="E636">
        <v>0.68266030388497001</v>
      </c>
      <c r="F636">
        <v>0.53208289634978201</v>
      </c>
      <c r="G636">
        <v>0.28204077603309502</v>
      </c>
      <c r="H636">
        <v>0.159495839293119</v>
      </c>
      <c r="I636">
        <v>0.17103298228549599</v>
      </c>
      <c r="J636">
        <v>0.166607262578257</v>
      </c>
      <c r="K636">
        <v>0.16561043452886301</v>
      </c>
      <c r="L636">
        <v>718.83020387382896</v>
      </c>
      <c r="M636">
        <v>13.8538685145581</v>
      </c>
      <c r="N636">
        <v>52.852033293122503</v>
      </c>
      <c r="O636">
        <v>50.841357570858499</v>
      </c>
      <c r="P636">
        <v>-6.05158711915601E-2</v>
      </c>
      <c r="Q636">
        <v>0.111790344941332</v>
      </c>
      <c r="R636">
        <v>0.98976087730940199</v>
      </c>
      <c r="S636" t="s">
        <v>7442</v>
      </c>
      <c r="T636" t="s">
        <v>13610</v>
      </c>
      <c r="U636" t="s">
        <v>13610</v>
      </c>
      <c r="V636" t="s">
        <v>13610</v>
      </c>
      <c r="W636" t="s">
        <v>14232</v>
      </c>
      <c r="X636">
        <v>9</v>
      </c>
      <c r="Y636" t="s">
        <v>20957</v>
      </c>
      <c r="Z636" t="s">
        <v>27491</v>
      </c>
      <c r="AA636">
        <v>0.48617870832834958</v>
      </c>
      <c r="AB636" t="str">
        <f>HYPERLINK("Melting_Curves/meltCurve_F5H8H2_MVK.pdf", "Melting_Curves/meltCurve_F5H8H2_MVK.pdf")</f>
        <v>Melting_Curves/meltCurve_F5H8H2_MVK.pdf</v>
      </c>
    </row>
    <row r="637" spans="1:28" x14ac:dyDescent="0.25">
      <c r="A637" t="s">
        <v>641</v>
      </c>
      <c r="B637">
        <v>0.995954080203443</v>
      </c>
      <c r="C637">
        <v>1.13663266252589</v>
      </c>
      <c r="D637">
        <v>1.02479664465257</v>
      </c>
      <c r="E637">
        <v>0.98024586629863697</v>
      </c>
      <c r="F637">
        <v>0.82882210746528595</v>
      </c>
      <c r="G637">
        <v>0.56789046383470898</v>
      </c>
      <c r="H637">
        <v>0.32695421185245399</v>
      </c>
      <c r="I637">
        <v>0.20635473930175899</v>
      </c>
      <c r="J637">
        <v>0.216626041729611</v>
      </c>
      <c r="K637">
        <v>0.14992919461309101</v>
      </c>
      <c r="L637">
        <v>1197.8568877416899</v>
      </c>
      <c r="M637">
        <v>21.0667046070587</v>
      </c>
      <c r="N637">
        <v>57.861609619440699</v>
      </c>
      <c r="O637">
        <v>56.355282437513999</v>
      </c>
      <c r="P637">
        <v>-7.9180410847469199E-2</v>
      </c>
      <c r="Q637">
        <v>0.15276428094098801</v>
      </c>
      <c r="R637">
        <v>0.98358045782903802</v>
      </c>
      <c r="S637" t="s">
        <v>7443</v>
      </c>
      <c r="T637" t="s">
        <v>13610</v>
      </c>
      <c r="U637" t="s">
        <v>13610</v>
      </c>
      <c r="V637" t="s">
        <v>13610</v>
      </c>
      <c r="W637" t="s">
        <v>14233</v>
      </c>
      <c r="X637">
        <v>3</v>
      </c>
      <c r="Y637" t="s">
        <v>20958</v>
      </c>
      <c r="Z637" t="s">
        <v>27492</v>
      </c>
      <c r="AA637">
        <v>0.63871361817540506</v>
      </c>
      <c r="AB637" t="str">
        <f>HYPERLINK("Melting_Curves/meltCurve_F6PQP6_EPN2.pdf", "Melting_Curves/meltCurve_F6PQP6_EPN2.pdf")</f>
        <v>Melting_Curves/meltCurve_F6PQP6_EPN2.pdf</v>
      </c>
    </row>
    <row r="638" spans="1:28" x14ac:dyDescent="0.25">
      <c r="A638" t="s">
        <v>642</v>
      </c>
      <c r="B638">
        <v>0.995954080203443</v>
      </c>
      <c r="C638">
        <v>1.01620775354332</v>
      </c>
      <c r="D638">
        <v>1.02732538341338</v>
      </c>
      <c r="E638">
        <v>0.95584227343559303</v>
      </c>
      <c r="F638">
        <v>0.98811060898929703</v>
      </c>
      <c r="G638">
        <v>0.73571874790508096</v>
      </c>
      <c r="H638">
        <v>0.72711372518807105</v>
      </c>
      <c r="I638">
        <v>0.87657251425605698</v>
      </c>
      <c r="J638">
        <v>1.11842056695064</v>
      </c>
      <c r="K638">
        <v>1.0289846366092401</v>
      </c>
      <c r="L638">
        <v>13357.718389026801</v>
      </c>
      <c r="M638">
        <v>250</v>
      </c>
      <c r="O638">
        <v>53.427454526960098</v>
      </c>
      <c r="P638">
        <v>-0.120066962644039</v>
      </c>
      <c r="Q638">
        <v>0.89736204550015397</v>
      </c>
      <c r="R638">
        <v>0.165597161382596</v>
      </c>
      <c r="S638" t="s">
        <v>7444</v>
      </c>
      <c r="T638" t="s">
        <v>13610</v>
      </c>
      <c r="U638" t="s">
        <v>13610</v>
      </c>
      <c r="V638" t="s">
        <v>13610</v>
      </c>
      <c r="W638" t="s">
        <v>14234</v>
      </c>
      <c r="X638">
        <v>53</v>
      </c>
      <c r="Y638" t="s">
        <v>20959</v>
      </c>
      <c r="Z638" t="s">
        <v>27493</v>
      </c>
      <c r="AA638">
        <v>0.94332224952872479</v>
      </c>
      <c r="AB638" t="str">
        <f>HYPERLINK("Melting_Curves/meltCurve_F6QR24_NUP153.pdf", "Melting_Curves/meltCurve_F6QR24_NUP153.pdf")</f>
        <v>Melting_Curves/meltCurve_F6QR24_NUP153.pdf</v>
      </c>
    </row>
    <row r="639" spans="1:28" x14ac:dyDescent="0.25">
      <c r="A639" t="s">
        <v>643</v>
      </c>
      <c r="B639">
        <v>0.995954080203443</v>
      </c>
      <c r="C639">
        <v>0.97051068620213599</v>
      </c>
      <c r="D639">
        <v>0.746878070987406</v>
      </c>
      <c r="E639">
        <v>0.59598033752506896</v>
      </c>
      <c r="F639">
        <v>0.298899736236518</v>
      </c>
      <c r="G639">
        <v>0.116310845842897</v>
      </c>
      <c r="H639">
        <v>9.8336670130708903E-2</v>
      </c>
      <c r="I639">
        <v>8.8981134617016497E-2</v>
      </c>
      <c r="J639">
        <v>0.11632323655195</v>
      </c>
      <c r="K639">
        <v>0.101688906815708</v>
      </c>
      <c r="L639">
        <v>860.36896400746002</v>
      </c>
      <c r="M639">
        <v>17.271149656773801</v>
      </c>
      <c r="N639">
        <v>50.282654933719797</v>
      </c>
      <c r="O639">
        <v>49.161933187736601</v>
      </c>
      <c r="P639">
        <v>-8.1320988548803902E-2</v>
      </c>
      <c r="Q639">
        <v>7.4140412911953599E-2</v>
      </c>
      <c r="R639">
        <v>0.98729490409647003</v>
      </c>
      <c r="S639" t="s">
        <v>7445</v>
      </c>
      <c r="T639" t="s">
        <v>13610</v>
      </c>
      <c r="U639" t="s">
        <v>13610</v>
      </c>
      <c r="V639" t="s">
        <v>13610</v>
      </c>
      <c r="W639" t="s">
        <v>14235</v>
      </c>
      <c r="X639">
        <v>14</v>
      </c>
      <c r="Y639" t="s">
        <v>20960</v>
      </c>
      <c r="Z639" t="s">
        <v>27494</v>
      </c>
      <c r="AA639">
        <v>0.39418748975967333</v>
      </c>
      <c r="AB639" t="str">
        <f>HYPERLINK("Melting_Curves/meltCurve_F6TQG2_SMARCA1.pdf", "Melting_Curves/meltCurve_F6TQG2_SMARCA1.pdf")</f>
        <v>Melting_Curves/meltCurve_F6TQG2_SMARCA1.pdf</v>
      </c>
    </row>
    <row r="640" spans="1:28" x14ac:dyDescent="0.25">
      <c r="A640" t="s">
        <v>644</v>
      </c>
      <c r="B640">
        <v>0.995954080203443</v>
      </c>
      <c r="C640">
        <v>1.01479470065077</v>
      </c>
      <c r="D640">
        <v>0.97650321565972198</v>
      </c>
      <c r="E640">
        <v>0.91268084532358995</v>
      </c>
      <c r="F640">
        <v>0.83313106834689299</v>
      </c>
      <c r="G640">
        <v>0.519499950474127</v>
      </c>
      <c r="H640">
        <v>0.33008603905240602</v>
      </c>
      <c r="I640">
        <v>0.36716918103921597</v>
      </c>
      <c r="J640">
        <v>0.31576761065217401</v>
      </c>
      <c r="K640">
        <v>0.37704714080119001</v>
      </c>
      <c r="L640">
        <v>1493.1422707463501</v>
      </c>
      <c r="M640">
        <v>27.213468913959801</v>
      </c>
      <c r="N640">
        <v>57.197099721470202</v>
      </c>
      <c r="O640">
        <v>54.574054606448897</v>
      </c>
      <c r="P640">
        <v>-8.2910009398318593E-2</v>
      </c>
      <c r="Q640">
        <v>0.33493345781928602</v>
      </c>
      <c r="R640">
        <v>0.99112570589242899</v>
      </c>
      <c r="S640" t="s">
        <v>7446</v>
      </c>
      <c r="T640" t="s">
        <v>13610</v>
      </c>
      <c r="U640" t="s">
        <v>13610</v>
      </c>
      <c r="V640" t="s">
        <v>13610</v>
      </c>
      <c r="W640" t="s">
        <v>14236</v>
      </c>
      <c r="X640">
        <v>11</v>
      </c>
      <c r="Y640" t="s">
        <v>20407</v>
      </c>
      <c r="Z640" t="s">
        <v>27495</v>
      </c>
      <c r="AA640">
        <v>0.66982028399811822</v>
      </c>
      <c r="AB640" t="str">
        <f>HYPERLINK("Melting_Curves/meltCurve_F6U1F2_BAG6.pdf", "Melting_Curves/meltCurve_F6U1F2_BAG6.pdf")</f>
        <v>Melting_Curves/meltCurve_F6U1F2_BAG6.pdf</v>
      </c>
    </row>
    <row r="641" spans="1:28" x14ac:dyDescent="0.25">
      <c r="A641" t="s">
        <v>645</v>
      </c>
      <c r="B641">
        <v>0.995954080203443</v>
      </c>
      <c r="C641">
        <v>1.00189451700749</v>
      </c>
      <c r="D641">
        <v>0.96004400850299898</v>
      </c>
      <c r="E641">
        <v>0.81168186205272896</v>
      </c>
      <c r="F641">
        <v>0.67794559472219296</v>
      </c>
      <c r="G641">
        <v>0.38815035187876201</v>
      </c>
      <c r="H641">
        <v>0.26000103312343698</v>
      </c>
      <c r="I641">
        <v>0.250583352033452</v>
      </c>
      <c r="J641">
        <v>0.21141569915095201</v>
      </c>
      <c r="K641">
        <v>0.21593231659523501</v>
      </c>
      <c r="L641">
        <v>992.87181929461997</v>
      </c>
      <c r="M641">
        <v>18.490593542195398</v>
      </c>
      <c r="N641">
        <v>55.191929626251998</v>
      </c>
      <c r="O641">
        <v>53.079816580663497</v>
      </c>
      <c r="P641">
        <v>-6.9927875921193497E-2</v>
      </c>
      <c r="Q641">
        <v>0.19708477646280101</v>
      </c>
      <c r="R641">
        <v>0.99769805940773504</v>
      </c>
      <c r="S641" t="s">
        <v>7447</v>
      </c>
      <c r="T641" t="s">
        <v>13610</v>
      </c>
      <c r="U641" t="s">
        <v>13610</v>
      </c>
      <c r="V641" t="s">
        <v>13610</v>
      </c>
      <c r="W641" t="s">
        <v>14237</v>
      </c>
      <c r="X641">
        <v>6</v>
      </c>
      <c r="Y641" t="s">
        <v>20961</v>
      </c>
      <c r="Z641" t="s">
        <v>27496</v>
      </c>
      <c r="AA641">
        <v>0.57606846843012083</v>
      </c>
      <c r="AB641" t="str">
        <f>HYPERLINK("Melting_Curves/meltCurve_F6U1T9_PPP3R1.pdf", "Melting_Curves/meltCurve_F6U1T9_PPP3R1.pdf")</f>
        <v>Melting_Curves/meltCurve_F6U1T9_PPP3R1.pdf</v>
      </c>
    </row>
    <row r="642" spans="1:28" x14ac:dyDescent="0.25">
      <c r="A642" t="s">
        <v>646</v>
      </c>
      <c r="B642">
        <v>0.995954080203443</v>
      </c>
      <c r="C642">
        <v>1.08617157661519</v>
      </c>
      <c r="D642">
        <v>0.94257020764004096</v>
      </c>
      <c r="E642">
        <v>0.78367553052078698</v>
      </c>
      <c r="F642">
        <v>0.39004160982835501</v>
      </c>
      <c r="G642">
        <v>0.142232197449739</v>
      </c>
      <c r="H642">
        <v>8.9387792195841503E-2</v>
      </c>
      <c r="I642">
        <v>8.9192538539964103E-2</v>
      </c>
      <c r="J642">
        <v>0.112450051564831</v>
      </c>
      <c r="K642">
        <v>8.6128262422570198E-2</v>
      </c>
      <c r="L642">
        <v>1611.9220183483701</v>
      </c>
      <c r="M642">
        <v>31.115123514928001</v>
      </c>
      <c r="N642">
        <v>52.1431326294896</v>
      </c>
      <c r="O642">
        <v>51.592523236407096</v>
      </c>
      <c r="P642">
        <v>-0.137003202149095</v>
      </c>
      <c r="Q642">
        <v>9.1335631976716999E-2</v>
      </c>
      <c r="R642">
        <v>0.99402672661298797</v>
      </c>
      <c r="S642" t="s">
        <v>7448</v>
      </c>
      <c r="T642" t="s">
        <v>13610</v>
      </c>
      <c r="U642" t="s">
        <v>13610</v>
      </c>
      <c r="V642" t="s">
        <v>13610</v>
      </c>
      <c r="W642" t="s">
        <v>14238</v>
      </c>
      <c r="X642">
        <v>5</v>
      </c>
      <c r="Y642" t="s">
        <v>20962</v>
      </c>
      <c r="Z642" t="s">
        <v>27497</v>
      </c>
      <c r="AA642">
        <v>0.45428054314816518</v>
      </c>
      <c r="AB642" t="str">
        <f>HYPERLINK("Melting_Curves/meltCurve_F6V2D4_LGALS8.pdf", "Melting_Curves/meltCurve_F6V2D4_LGALS8.pdf")</f>
        <v>Melting_Curves/meltCurve_F6V2D4_LGALS8.pdf</v>
      </c>
    </row>
    <row r="643" spans="1:28" x14ac:dyDescent="0.25">
      <c r="A643" t="s">
        <v>647</v>
      </c>
      <c r="B643">
        <v>0.995954080203443</v>
      </c>
      <c r="C643">
        <v>1.0245048469268501</v>
      </c>
      <c r="D643">
        <v>0.96917974991369404</v>
      </c>
      <c r="E643">
        <v>0.92647825185736798</v>
      </c>
      <c r="F643">
        <v>0.84536033616722694</v>
      </c>
      <c r="G643">
        <v>0.650977907754546</v>
      </c>
      <c r="H643">
        <v>0.59547696537429995</v>
      </c>
      <c r="I643">
        <v>0.69836291761522196</v>
      </c>
      <c r="J643">
        <v>0.83056954312883402</v>
      </c>
      <c r="K643">
        <v>0.84529584764327903</v>
      </c>
      <c r="L643">
        <v>1996.9535057913199</v>
      </c>
      <c r="M643">
        <v>38.427200414608102</v>
      </c>
      <c r="O643">
        <v>51.827046032680698</v>
      </c>
      <c r="P643">
        <v>-5.07712026888886E-2</v>
      </c>
      <c r="Q643">
        <v>0.72609868343856998</v>
      </c>
      <c r="R643">
        <v>0.73125806657805503</v>
      </c>
      <c r="S643" t="s">
        <v>7449</v>
      </c>
      <c r="T643" t="s">
        <v>13610</v>
      </c>
      <c r="U643" t="s">
        <v>13610</v>
      </c>
      <c r="V643" t="s">
        <v>13610</v>
      </c>
      <c r="W643" t="s">
        <v>14239</v>
      </c>
      <c r="X643">
        <v>10</v>
      </c>
      <c r="Y643" t="s">
        <v>20963</v>
      </c>
      <c r="Z643" t="s">
        <v>27498</v>
      </c>
      <c r="AA643">
        <v>0.83642566046355948</v>
      </c>
      <c r="AB643" t="str">
        <f>HYPERLINK("Melting_Curves/meltCurve_F6V707_TPD52L1.pdf", "Melting_Curves/meltCurve_F6V707_TPD52L1.pdf")</f>
        <v>Melting_Curves/meltCurve_F6V707_TPD52L1.pdf</v>
      </c>
    </row>
    <row r="644" spans="1:28" x14ac:dyDescent="0.25">
      <c r="A644" t="s">
        <v>648</v>
      </c>
      <c r="B644">
        <v>0.995954080203443</v>
      </c>
      <c r="C644">
        <v>1.4077440895170901</v>
      </c>
      <c r="D644">
        <v>0.90597635658284503</v>
      </c>
      <c r="E644">
        <v>1.03747494471501</v>
      </c>
      <c r="F644">
        <v>0.73931579485987797</v>
      </c>
      <c r="G644">
        <v>0.59648289026569001</v>
      </c>
      <c r="H644">
        <v>0.29052215576704199</v>
      </c>
      <c r="I644">
        <v>0.119354953326891</v>
      </c>
      <c r="J644">
        <v>5.5871771615720101E-2</v>
      </c>
      <c r="K644">
        <v>7.6856219291875305E-2</v>
      </c>
      <c r="L644">
        <v>1049.9697401942601</v>
      </c>
      <c r="M644">
        <v>18.197352379794101</v>
      </c>
      <c r="N644">
        <v>57.739038785178799</v>
      </c>
      <c r="O644">
        <v>57.015785879497201</v>
      </c>
      <c r="P644">
        <v>-7.9294825602794702E-2</v>
      </c>
      <c r="Q644">
        <v>6.2635437722896401E-3</v>
      </c>
      <c r="R644">
        <v>0.90174503131254002</v>
      </c>
      <c r="S644" t="s">
        <v>7450</v>
      </c>
      <c r="T644" t="s">
        <v>13610</v>
      </c>
      <c r="U644" t="s">
        <v>13610</v>
      </c>
      <c r="V644" t="s">
        <v>13610</v>
      </c>
      <c r="W644" t="s">
        <v>13923</v>
      </c>
      <c r="X644">
        <v>7</v>
      </c>
      <c r="Y644" t="s">
        <v>20964</v>
      </c>
      <c r="Z644" t="s">
        <v>27499</v>
      </c>
      <c r="AA644">
        <v>0.60516169038661072</v>
      </c>
      <c r="AB644" t="str">
        <f>HYPERLINK("Melting_Curves/meltCurve_F6XY72_NME2.pdf", "Melting_Curves/meltCurve_F6XY72_NME2.pdf")</f>
        <v>Melting_Curves/meltCurve_F6XY72_NME2.pdf</v>
      </c>
    </row>
    <row r="645" spans="1:28" x14ac:dyDescent="0.25">
      <c r="A645" t="s">
        <v>649</v>
      </c>
      <c r="B645">
        <v>0.995954080203443</v>
      </c>
      <c r="C645">
        <v>0.70937572588200404</v>
      </c>
      <c r="D645">
        <v>1.0013265254707799</v>
      </c>
      <c r="E645">
        <v>0.82694669067879301</v>
      </c>
      <c r="F645">
        <v>0.81887235447338702</v>
      </c>
      <c r="G645">
        <v>0.27866179276112502</v>
      </c>
      <c r="H645">
        <v>0.202432390553722</v>
      </c>
      <c r="I645">
        <v>0.24600163668005101</v>
      </c>
      <c r="J645">
        <v>0.20772999717023399</v>
      </c>
      <c r="K645">
        <v>0.28722738094126599</v>
      </c>
      <c r="L645">
        <v>2302.3190791361599</v>
      </c>
      <c r="M645">
        <v>42.509051602489698</v>
      </c>
      <c r="N645">
        <v>54.948781185291303</v>
      </c>
      <c r="O645">
        <v>54.041227723393703</v>
      </c>
      <c r="P645">
        <v>-0.15176786603777401</v>
      </c>
      <c r="Q645">
        <v>0.22823883967721001</v>
      </c>
      <c r="R645">
        <v>0.890416545864673</v>
      </c>
      <c r="S645" t="s">
        <v>7451</v>
      </c>
      <c r="T645" t="s">
        <v>13610</v>
      </c>
      <c r="U645" t="s">
        <v>13610</v>
      </c>
      <c r="V645" t="s">
        <v>13610</v>
      </c>
      <c r="W645" t="s">
        <v>14240</v>
      </c>
      <c r="X645">
        <v>4</v>
      </c>
      <c r="Y645" t="s">
        <v>20965</v>
      </c>
      <c r="Z645" t="s">
        <v>27500</v>
      </c>
      <c r="AA645">
        <v>0.59508008263662149</v>
      </c>
      <c r="AB645" t="str">
        <f>HYPERLINK("Melting_Curves/meltCurve_F6YA60_ITFG2.pdf", "Melting_Curves/meltCurve_F6YA60_ITFG2.pdf")</f>
        <v>Melting_Curves/meltCurve_F6YA60_ITFG2.pdf</v>
      </c>
    </row>
    <row r="646" spans="1:28" x14ac:dyDescent="0.25">
      <c r="A646" t="s">
        <v>650</v>
      </c>
      <c r="B646">
        <v>0.995954080203443</v>
      </c>
      <c r="C646">
        <v>0.84463105541672301</v>
      </c>
      <c r="D646">
        <v>0.58929001424833205</v>
      </c>
      <c r="E646">
        <v>0.42116895423109102</v>
      </c>
      <c r="F646">
        <v>0.240820512096351</v>
      </c>
      <c r="G646">
        <v>0.121283749371177</v>
      </c>
      <c r="H646">
        <v>9.3869929408324407E-2</v>
      </c>
      <c r="I646">
        <v>6.0763152220157303E-2</v>
      </c>
      <c r="J646">
        <v>0.15324519541016399</v>
      </c>
      <c r="K646">
        <v>0.121671982637222</v>
      </c>
      <c r="L646">
        <v>724.39475335942598</v>
      </c>
      <c r="M646">
        <v>15.3237894790973</v>
      </c>
      <c r="N646">
        <v>47.902456026687098</v>
      </c>
      <c r="O646">
        <v>46.489454205538898</v>
      </c>
      <c r="P646">
        <v>-7.4892340133907595E-2</v>
      </c>
      <c r="Q646">
        <v>9.1248458799862306E-2</v>
      </c>
      <c r="R646">
        <v>0.98518541643443902</v>
      </c>
      <c r="S646" t="s">
        <v>7452</v>
      </c>
      <c r="T646" t="s">
        <v>13610</v>
      </c>
      <c r="U646" t="s">
        <v>13610</v>
      </c>
      <c r="V646" t="s">
        <v>13610</v>
      </c>
      <c r="W646" t="s">
        <v>14241</v>
      </c>
      <c r="X646">
        <v>1</v>
      </c>
      <c r="Y646" t="s">
        <v>20966</v>
      </c>
      <c r="Z646" t="s">
        <v>27501</v>
      </c>
      <c r="AA646">
        <v>0.33479743899770409</v>
      </c>
      <c r="AB646" t="str">
        <f>HYPERLINK("Melting_Curves/meltCurve_F8VP51_C14orf80.pdf", "Melting_Curves/meltCurve_F8VP51_C14orf80.pdf")</f>
        <v>Melting_Curves/meltCurve_F8VP51_C14orf80.pdf</v>
      </c>
    </row>
    <row r="647" spans="1:28" x14ac:dyDescent="0.25">
      <c r="A647" t="s">
        <v>651</v>
      </c>
      <c r="B647">
        <v>0.995954080203443</v>
      </c>
      <c r="C647">
        <v>0.69876727660369098</v>
      </c>
      <c r="D647">
        <v>0.51634184664610705</v>
      </c>
      <c r="E647">
        <v>0.610327170046012</v>
      </c>
      <c r="F647">
        <v>0.32081035391648</v>
      </c>
      <c r="G647">
        <v>0.13884578559219399</v>
      </c>
      <c r="H647">
        <v>6.8859102020092003E-2</v>
      </c>
      <c r="I647">
        <v>9.8791075393906996E-2</v>
      </c>
      <c r="J647">
        <v>0</v>
      </c>
      <c r="K647">
        <v>5.9278014348266003E-2</v>
      </c>
      <c r="L647">
        <v>477.39442496978501</v>
      </c>
      <c r="M647">
        <v>9.8269420379956092</v>
      </c>
      <c r="N647">
        <v>48.5801610394726</v>
      </c>
      <c r="O647">
        <v>46.696641357409703</v>
      </c>
      <c r="P647">
        <v>-5.26378928567924E-2</v>
      </c>
      <c r="Q647">
        <v>0</v>
      </c>
      <c r="R647">
        <v>0.92777411155304201</v>
      </c>
      <c r="S647" t="s">
        <v>7453</v>
      </c>
      <c r="T647" t="s">
        <v>13610</v>
      </c>
      <c r="U647" t="s">
        <v>13610</v>
      </c>
      <c r="V647" t="s">
        <v>13610</v>
      </c>
      <c r="W647" t="s">
        <v>14242</v>
      </c>
      <c r="X647">
        <v>1</v>
      </c>
      <c r="Y647" t="s">
        <v>20967</v>
      </c>
      <c r="Z647" t="s">
        <v>27502</v>
      </c>
      <c r="AA647">
        <v>0.33793657822292827</v>
      </c>
      <c r="AB647" t="str">
        <f>HYPERLINK("Melting_Curves/meltCurve_F8VP53_COQ5.pdf", "Melting_Curves/meltCurve_F8VP53_COQ5.pdf")</f>
        <v>Melting_Curves/meltCurve_F8VP53_COQ5.pdf</v>
      </c>
    </row>
    <row r="648" spans="1:28" x14ac:dyDescent="0.25">
      <c r="A648" t="s">
        <v>652</v>
      </c>
      <c r="B648">
        <v>0.995954080203443</v>
      </c>
      <c r="C648">
        <v>1.0121236021739899</v>
      </c>
      <c r="D648">
        <v>1.3287518079110501</v>
      </c>
      <c r="E648">
        <v>1.1343358979135401</v>
      </c>
      <c r="F648">
        <v>1.54796604482068</v>
      </c>
      <c r="G648">
        <v>1.3504040989697199</v>
      </c>
      <c r="H648">
        <v>1.6109612011216501</v>
      </c>
      <c r="I648">
        <v>2.1241872593445099</v>
      </c>
      <c r="J648">
        <v>2.6980759777626</v>
      </c>
      <c r="K648">
        <v>2.9057390360621702</v>
      </c>
      <c r="L648">
        <v>964.70580712054402</v>
      </c>
      <c r="M648">
        <v>20.343707244858798</v>
      </c>
      <c r="O648">
        <v>46.969279308522097</v>
      </c>
      <c r="P648">
        <v>5.4142631112068601E-2</v>
      </c>
      <c r="Q648">
        <v>1.5</v>
      </c>
      <c r="R648">
        <v>6.3995098320555902E-2</v>
      </c>
      <c r="S648" t="s">
        <v>7454</v>
      </c>
      <c r="T648" t="s">
        <v>13610</v>
      </c>
      <c r="U648" t="s">
        <v>13610</v>
      </c>
      <c r="V648" t="s">
        <v>13610</v>
      </c>
      <c r="W648" t="s">
        <v>14243</v>
      </c>
      <c r="X648">
        <v>24</v>
      </c>
      <c r="Y648" t="s">
        <v>20968</v>
      </c>
      <c r="Z648" t="s">
        <v>27503</v>
      </c>
      <c r="AA648">
        <v>1.3693781673195109</v>
      </c>
      <c r="AB648" t="str">
        <f>HYPERLINK("Melting_Curves/meltCurve_F8VP89_EIF4B.pdf", "Melting_Curves/meltCurve_F8VP89_EIF4B.pdf")</f>
        <v>Melting_Curves/meltCurve_F8VP89_EIF4B.pdf</v>
      </c>
    </row>
    <row r="649" spans="1:28" x14ac:dyDescent="0.25">
      <c r="A649" t="s">
        <v>653</v>
      </c>
      <c r="B649">
        <v>0.995954080203443</v>
      </c>
      <c r="C649">
        <v>0.68225131423194996</v>
      </c>
      <c r="D649">
        <v>0.50394241022650599</v>
      </c>
      <c r="E649">
        <v>0.47276913570041601</v>
      </c>
      <c r="F649">
        <v>0.27668122549448498</v>
      </c>
      <c r="G649">
        <v>0.155499720451963</v>
      </c>
      <c r="H649">
        <v>0.105673324621203</v>
      </c>
      <c r="I649">
        <v>8.9536605090382901E-2</v>
      </c>
      <c r="J649">
        <v>9.3670609350122003E-2</v>
      </c>
      <c r="K649">
        <v>9.1319968019278705E-2</v>
      </c>
      <c r="L649">
        <v>507.50420347881698</v>
      </c>
      <c r="M649">
        <v>10.7957059078509</v>
      </c>
      <c r="N649">
        <v>47.493597810243301</v>
      </c>
      <c r="O649">
        <v>45.483004804436398</v>
      </c>
      <c r="P649">
        <v>-5.6270078106895299E-2</v>
      </c>
      <c r="Q649">
        <v>5.20657348089998E-2</v>
      </c>
      <c r="R649">
        <v>0.959145068365714</v>
      </c>
      <c r="S649" t="s">
        <v>7455</v>
      </c>
      <c r="T649" t="s">
        <v>13610</v>
      </c>
      <c r="U649" t="s">
        <v>13610</v>
      </c>
      <c r="V649" t="s">
        <v>13610</v>
      </c>
      <c r="W649" t="s">
        <v>14244</v>
      </c>
      <c r="X649">
        <v>58</v>
      </c>
      <c r="Y649" t="s">
        <v>20969</v>
      </c>
      <c r="Z649" t="s">
        <v>27504</v>
      </c>
      <c r="AA649">
        <v>0.32149785871317071</v>
      </c>
      <c r="AB649" t="str">
        <f>HYPERLINK("Melting_Curves/meltCurve_F8VPD4_CAD.pdf", "Melting_Curves/meltCurve_F8VPD4_CAD.pdf")</f>
        <v>Melting_Curves/meltCurve_F8VPD4_CAD.pdf</v>
      </c>
    </row>
    <row r="650" spans="1:28" x14ac:dyDescent="0.25">
      <c r="A650" t="s">
        <v>654</v>
      </c>
      <c r="B650">
        <v>0.995954080203443</v>
      </c>
      <c r="C650">
        <v>0.93325625208477803</v>
      </c>
      <c r="D650">
        <v>0.90271751840584402</v>
      </c>
      <c r="E650">
        <v>0.83196313850383996</v>
      </c>
      <c r="F650">
        <v>0.75186424918238604</v>
      </c>
      <c r="G650">
        <v>0.55056150256220504</v>
      </c>
      <c r="H650">
        <v>0.48058379606254098</v>
      </c>
      <c r="I650">
        <v>0.60846067431568995</v>
      </c>
      <c r="J650">
        <v>0.56285050620057697</v>
      </c>
      <c r="K650">
        <v>0.64919060097812997</v>
      </c>
      <c r="L650">
        <v>918.85549614344905</v>
      </c>
      <c r="M650">
        <v>18.098458407216501</v>
      </c>
      <c r="O650">
        <v>50.1621591307999</v>
      </c>
      <c r="P650">
        <v>-3.9557128984580997E-2</v>
      </c>
      <c r="Q650">
        <v>0.56147085312160305</v>
      </c>
      <c r="R650">
        <v>0.89855263827680798</v>
      </c>
      <c r="S650" t="s">
        <v>7456</v>
      </c>
      <c r="T650" t="s">
        <v>13610</v>
      </c>
      <c r="U650" t="s">
        <v>13610</v>
      </c>
      <c r="V650" t="s">
        <v>13610</v>
      </c>
      <c r="W650" t="s">
        <v>14245</v>
      </c>
      <c r="X650">
        <v>8</v>
      </c>
      <c r="Y650" t="s">
        <v>20970</v>
      </c>
      <c r="Z650" t="s">
        <v>27505</v>
      </c>
      <c r="AA650">
        <v>0.72623547484385209</v>
      </c>
      <c r="AB650" t="str">
        <f>HYPERLINK("Melting_Curves/meltCurve_F8VPL6_IKZF4.pdf", "Melting_Curves/meltCurve_F8VPL6_IKZF4.pdf")</f>
        <v>Melting_Curves/meltCurve_F8VPL6_IKZF4.pdf</v>
      </c>
    </row>
    <row r="651" spans="1:28" x14ac:dyDescent="0.25">
      <c r="A651" t="s">
        <v>655</v>
      </c>
      <c r="B651">
        <v>0.995954080203443</v>
      </c>
      <c r="C651">
        <v>0.91926815277080798</v>
      </c>
      <c r="D651">
        <v>0.726679914356819</v>
      </c>
      <c r="E651">
        <v>0.686282102535547</v>
      </c>
      <c r="F651">
        <v>0.39953530560928902</v>
      </c>
      <c r="G651">
        <v>0.20237023266484799</v>
      </c>
      <c r="H651">
        <v>0.110200083444618</v>
      </c>
      <c r="I651">
        <v>8.2495088629603905E-2</v>
      </c>
      <c r="J651">
        <v>9.5395268904092598E-2</v>
      </c>
      <c r="K651">
        <v>7.6287792476070607E-2</v>
      </c>
      <c r="L651">
        <v>649.69129732852298</v>
      </c>
      <c r="M651">
        <v>12.6731751201871</v>
      </c>
      <c r="N651">
        <v>51.454798689885003</v>
      </c>
      <c r="O651">
        <v>50.038899389336997</v>
      </c>
      <c r="P651">
        <v>-6.1883389804002403E-2</v>
      </c>
      <c r="Q651">
        <v>2.2826491697124501E-2</v>
      </c>
      <c r="R651">
        <v>0.98290393176425295</v>
      </c>
      <c r="S651" t="s">
        <v>7457</v>
      </c>
      <c r="T651" t="s">
        <v>13610</v>
      </c>
      <c r="U651" t="s">
        <v>13610</v>
      </c>
      <c r="V651" t="s">
        <v>13610</v>
      </c>
      <c r="W651" t="s">
        <v>14246</v>
      </c>
      <c r="X651">
        <v>3</v>
      </c>
      <c r="Y651" t="s">
        <v>20971</v>
      </c>
      <c r="Z651" t="s">
        <v>27506</v>
      </c>
      <c r="AA651">
        <v>0.41877005020933172</v>
      </c>
      <c r="AB651" t="str">
        <f>HYPERLINK("Melting_Curves/meltCurve_F8VQX6_METTL7A.pdf", "Melting_Curves/meltCurve_F8VQX6_METTL7A.pdf")</f>
        <v>Melting_Curves/meltCurve_F8VQX6_METTL7A.pdf</v>
      </c>
    </row>
    <row r="652" spans="1:28" x14ac:dyDescent="0.25">
      <c r="A652" t="s">
        <v>656</v>
      </c>
      <c r="B652">
        <v>0.995954080203443</v>
      </c>
      <c r="C652">
        <v>1.07961780135858</v>
      </c>
      <c r="D652">
        <v>1.0215894737442699</v>
      </c>
      <c r="E652">
        <v>0.95590247350424196</v>
      </c>
      <c r="F652">
        <v>0.86879044065239597</v>
      </c>
      <c r="G652">
        <v>0.72530873124626305</v>
      </c>
      <c r="H652">
        <v>0.64395995704869302</v>
      </c>
      <c r="I652">
        <v>0.80586901797616695</v>
      </c>
      <c r="J652">
        <v>0.80507534305281103</v>
      </c>
      <c r="K652">
        <v>0.931993563679965</v>
      </c>
      <c r="L652">
        <v>2400.7060776451899</v>
      </c>
      <c r="M652">
        <v>46.021375627480403</v>
      </c>
      <c r="O652">
        <v>52.066787170864799</v>
      </c>
      <c r="P652">
        <v>-4.78712094428696E-2</v>
      </c>
      <c r="Q652">
        <v>0.78336168517687799</v>
      </c>
      <c r="R652">
        <v>0.68794689112908602</v>
      </c>
      <c r="S652" t="s">
        <v>7458</v>
      </c>
      <c r="T652" t="s">
        <v>13610</v>
      </c>
      <c r="U652" t="s">
        <v>13610</v>
      </c>
      <c r="V652" t="s">
        <v>13610</v>
      </c>
      <c r="W652" t="s">
        <v>14247</v>
      </c>
      <c r="X652">
        <v>2</v>
      </c>
      <c r="Y652" t="s">
        <v>20972</v>
      </c>
      <c r="Z652" t="s">
        <v>27507</v>
      </c>
      <c r="AA652">
        <v>0.87179756432114552</v>
      </c>
      <c r="AB652" t="str">
        <f>HYPERLINK("Melting_Curves/meltCurve_F8VS10_SPATS2.pdf", "Melting_Curves/meltCurve_F8VS10_SPATS2.pdf")</f>
        <v>Melting_Curves/meltCurve_F8VS10_SPATS2.pdf</v>
      </c>
    </row>
    <row r="653" spans="1:28" x14ac:dyDescent="0.25">
      <c r="A653" t="s">
        <v>657</v>
      </c>
      <c r="B653">
        <v>0.995954080203443</v>
      </c>
      <c r="C653">
        <v>0.95136034347825404</v>
      </c>
      <c r="D653">
        <v>0.90176516786559102</v>
      </c>
      <c r="E653">
        <v>0.70453041534815697</v>
      </c>
      <c r="F653">
        <v>0.58618512578277904</v>
      </c>
      <c r="G653">
        <v>0.34260325772101502</v>
      </c>
      <c r="H653">
        <v>0.29747616390505399</v>
      </c>
      <c r="I653">
        <v>0.364473450931321</v>
      </c>
      <c r="J653">
        <v>0.40949971227356802</v>
      </c>
      <c r="K653">
        <v>0.39455663553260001</v>
      </c>
      <c r="L653">
        <v>1017.1419458881099</v>
      </c>
      <c r="M653">
        <v>20.142591817027299</v>
      </c>
      <c r="N653">
        <v>53.730065035135702</v>
      </c>
      <c r="O653">
        <v>50.007256950721498</v>
      </c>
      <c r="P653">
        <v>-6.5335233763660697E-2</v>
      </c>
      <c r="Q653">
        <v>0.35119921430999901</v>
      </c>
      <c r="R653">
        <v>0.97206863114847397</v>
      </c>
      <c r="S653" t="s">
        <v>7459</v>
      </c>
      <c r="T653" t="s">
        <v>13610</v>
      </c>
      <c r="U653" t="s">
        <v>13610</v>
      </c>
      <c r="V653" t="s">
        <v>13610</v>
      </c>
      <c r="W653" t="s">
        <v>14248</v>
      </c>
      <c r="X653">
        <v>2</v>
      </c>
      <c r="Y653" t="s">
        <v>20973</v>
      </c>
      <c r="Z653" t="s">
        <v>27508</v>
      </c>
      <c r="AA653">
        <v>0.58711226704086672</v>
      </c>
      <c r="AB653" t="str">
        <f>HYPERLINK("Melting_Curves/meltCurve_F8VS47_NEK3.pdf", "Melting_Curves/meltCurve_F8VS47_NEK3.pdf")</f>
        <v>Melting_Curves/meltCurve_F8VS47_NEK3.pdf</v>
      </c>
    </row>
    <row r="654" spans="1:28" x14ac:dyDescent="0.25">
      <c r="A654" t="s">
        <v>658</v>
      </c>
      <c r="B654">
        <v>0.995954080203443</v>
      </c>
      <c r="C654">
        <v>0.98337868963623598</v>
      </c>
      <c r="D654">
        <v>0.92471821923576702</v>
      </c>
      <c r="E654">
        <v>0.85247229987559103</v>
      </c>
      <c r="F654">
        <v>0.78419545322765905</v>
      </c>
      <c r="G654">
        <v>0.47356715923859599</v>
      </c>
      <c r="H654">
        <v>0.34382571976195397</v>
      </c>
      <c r="I654">
        <v>0.36402835490018398</v>
      </c>
      <c r="J654">
        <v>0.42795002059591802</v>
      </c>
      <c r="K654">
        <v>0.423469837550006</v>
      </c>
      <c r="L654">
        <v>1295.2014836150299</v>
      </c>
      <c r="M654">
        <v>24.194149606301099</v>
      </c>
      <c r="N654">
        <v>56.850673902330797</v>
      </c>
      <c r="O654">
        <v>53.171953779679001</v>
      </c>
      <c r="P654">
        <v>-7.0741762988516102E-2</v>
      </c>
      <c r="Q654">
        <v>0.37812727568873</v>
      </c>
      <c r="R654">
        <v>0.970933597748462</v>
      </c>
      <c r="S654" t="s">
        <v>7460</v>
      </c>
      <c r="T654" t="s">
        <v>13610</v>
      </c>
      <c r="U654" t="s">
        <v>13610</v>
      </c>
      <c r="V654" t="s">
        <v>13610</v>
      </c>
      <c r="W654" t="s">
        <v>14249</v>
      </c>
      <c r="X654">
        <v>3</v>
      </c>
      <c r="Y654" t="s">
        <v>20974</v>
      </c>
      <c r="Z654" t="s">
        <v>27509</v>
      </c>
      <c r="AA654">
        <v>0.66476849393888882</v>
      </c>
      <c r="AB654" t="str">
        <f>HYPERLINK("Melting_Curves/meltCurve_F8VSL3_NFYB.pdf", "Melting_Curves/meltCurve_F8VSL3_NFYB.pdf")</f>
        <v>Melting_Curves/meltCurve_F8VSL3_NFYB.pdf</v>
      </c>
    </row>
    <row r="655" spans="1:28" x14ac:dyDescent="0.25">
      <c r="A655" t="s">
        <v>659</v>
      </c>
      <c r="B655">
        <v>0.995954080203443</v>
      </c>
      <c r="C655">
        <v>1.01576078411538</v>
      </c>
      <c r="D655">
        <v>0.95587095628313901</v>
      </c>
      <c r="E655">
        <v>0.61763859292148704</v>
      </c>
      <c r="F655">
        <v>0.33747543669820101</v>
      </c>
      <c r="G655">
        <v>0.159642222720387</v>
      </c>
      <c r="H655">
        <v>0.139867711606777</v>
      </c>
      <c r="I655">
        <v>0.13826242394680199</v>
      </c>
      <c r="J655">
        <v>0.1725214293699</v>
      </c>
      <c r="K655">
        <v>0.17088499310250199</v>
      </c>
      <c r="L655">
        <v>1448.88482304539</v>
      </c>
      <c r="M655">
        <v>28.730233022802398</v>
      </c>
      <c r="N655">
        <v>51.068507837540103</v>
      </c>
      <c r="O655">
        <v>50.1882378813809</v>
      </c>
      <c r="P655">
        <v>-0.121538262049964</v>
      </c>
      <c r="Q655">
        <v>0.15075608569229901</v>
      </c>
      <c r="R655">
        <v>0.99800473227153896</v>
      </c>
      <c r="S655" t="s">
        <v>7461</v>
      </c>
      <c r="T655" t="s">
        <v>13610</v>
      </c>
      <c r="U655" t="s">
        <v>13610</v>
      </c>
      <c r="V655" t="s">
        <v>13610</v>
      </c>
      <c r="W655" t="s">
        <v>14250</v>
      </c>
      <c r="X655">
        <v>9</v>
      </c>
      <c r="Y655" t="s">
        <v>20975</v>
      </c>
      <c r="Z655" t="s">
        <v>27510</v>
      </c>
      <c r="AA655">
        <v>0.45179970331885422</v>
      </c>
      <c r="AB655" t="str">
        <f>HYPERLINK("Melting_Curves/meltCurve_F8VSZ4_PLXNA1.pdf", "Melting_Curves/meltCurve_F8VSZ4_PLXNA1.pdf")</f>
        <v>Melting_Curves/meltCurve_F8VSZ4_PLXNA1.pdf</v>
      </c>
    </row>
    <row r="656" spans="1:28" x14ac:dyDescent="0.25">
      <c r="A656" t="s">
        <v>660</v>
      </c>
      <c r="B656">
        <v>0.995954080203443</v>
      </c>
      <c r="C656">
        <v>1.13911590924366</v>
      </c>
      <c r="D656">
        <v>1.1413324178584801</v>
      </c>
      <c r="E656">
        <v>0.70545830199400805</v>
      </c>
      <c r="F656">
        <v>0.656842014406541</v>
      </c>
      <c r="G656">
        <v>0</v>
      </c>
      <c r="H656">
        <v>0.93629612505101001</v>
      </c>
      <c r="I656">
        <v>0</v>
      </c>
      <c r="J656">
        <v>1.1193807415271599</v>
      </c>
      <c r="K656">
        <v>1.0595853930375101</v>
      </c>
      <c r="L656">
        <v>7830.7546534149096</v>
      </c>
      <c r="M656">
        <v>157.959418655565</v>
      </c>
      <c r="O656">
        <v>49.566525918881098</v>
      </c>
      <c r="P656">
        <v>-0.29583195015268499</v>
      </c>
      <c r="Q656">
        <v>0.628680277013555</v>
      </c>
      <c r="R656">
        <v>0.23252863418134301</v>
      </c>
      <c r="S656" t="s">
        <v>7462</v>
      </c>
      <c r="T656" t="s">
        <v>13610</v>
      </c>
      <c r="U656" t="s">
        <v>13610</v>
      </c>
      <c r="V656" t="s">
        <v>13610</v>
      </c>
      <c r="W656" t="s">
        <v>14251</v>
      </c>
      <c r="X656">
        <v>1</v>
      </c>
      <c r="Y656" t="s">
        <v>20976</v>
      </c>
      <c r="Z656" t="s">
        <v>27511</v>
      </c>
      <c r="AA656">
        <v>0.74726755962131297</v>
      </c>
      <c r="AB656" t="str">
        <f>HYPERLINK("Melting_Curves/meltCurve_F8VUW5_DAZAP2.pdf", "Melting_Curves/meltCurve_F8VUW5_DAZAP2.pdf")</f>
        <v>Melting_Curves/meltCurve_F8VUW5_DAZAP2.pdf</v>
      </c>
    </row>
    <row r="657" spans="1:28" x14ac:dyDescent="0.25">
      <c r="A657" t="s">
        <v>661</v>
      </c>
      <c r="B657">
        <v>0.995954080203443</v>
      </c>
      <c r="C657">
        <v>0.81941445482124997</v>
      </c>
      <c r="D657">
        <v>0.64892506915537995</v>
      </c>
      <c r="E657">
        <v>0.73237618253578396</v>
      </c>
      <c r="F657">
        <v>0.25592681157268699</v>
      </c>
      <c r="G657">
        <v>9.9302086840949502E-2</v>
      </c>
      <c r="H657">
        <v>6.6760594429152803E-2</v>
      </c>
      <c r="I657">
        <v>6.70639186144069E-2</v>
      </c>
      <c r="J657">
        <v>7.1055500246832298E-2</v>
      </c>
      <c r="K657">
        <v>7.3324908428474306E-2</v>
      </c>
      <c r="L657">
        <v>620.15412681960697</v>
      </c>
      <c r="M657">
        <v>12.3712081942274</v>
      </c>
      <c r="N657">
        <v>50.128824573298601</v>
      </c>
      <c r="O657">
        <v>48.873019733579298</v>
      </c>
      <c r="P657">
        <v>-6.3295957141993098E-2</v>
      </c>
      <c r="Q657">
        <v>0</v>
      </c>
      <c r="R657">
        <v>0.93181425893201197</v>
      </c>
      <c r="S657" t="s">
        <v>7463</v>
      </c>
      <c r="T657" t="s">
        <v>13610</v>
      </c>
      <c r="U657" t="s">
        <v>13610</v>
      </c>
      <c r="V657" t="s">
        <v>13610</v>
      </c>
      <c r="W657" t="s">
        <v>14252</v>
      </c>
      <c r="X657">
        <v>33</v>
      </c>
      <c r="Y657" t="s">
        <v>20977</v>
      </c>
      <c r="Z657" t="s">
        <v>27512</v>
      </c>
      <c r="AA657">
        <v>0.37038653159256862</v>
      </c>
      <c r="AB657" t="str">
        <f>HYPERLINK("Melting_Curves/meltCurve_F8VV04_SART3.pdf", "Melting_Curves/meltCurve_F8VV04_SART3.pdf")</f>
        <v>Melting_Curves/meltCurve_F8VV04_SART3.pdf</v>
      </c>
    </row>
    <row r="658" spans="1:28" x14ac:dyDescent="0.25">
      <c r="A658" t="s">
        <v>662</v>
      </c>
      <c r="B658">
        <v>0.995954080203443</v>
      </c>
      <c r="C658">
        <v>0.75959900297058103</v>
      </c>
      <c r="D658">
        <v>0.61820578167826201</v>
      </c>
      <c r="E658">
        <v>0.77431199957083197</v>
      </c>
      <c r="F658">
        <v>0.45020926600321898</v>
      </c>
      <c r="G658">
        <v>0.207332688536497</v>
      </c>
      <c r="H658">
        <v>0.166029368273198</v>
      </c>
      <c r="I658">
        <v>0.16981804009789001</v>
      </c>
      <c r="J658">
        <v>0.20317614534132</v>
      </c>
      <c r="K658">
        <v>0.19192018203976399</v>
      </c>
      <c r="L658">
        <v>462.63440438563299</v>
      </c>
      <c r="M658">
        <v>9.1485564313893697</v>
      </c>
      <c r="N658">
        <v>51.440795853340497</v>
      </c>
      <c r="O658">
        <v>48.328732833182499</v>
      </c>
      <c r="P658">
        <v>-4.39565474685795E-2</v>
      </c>
      <c r="Q658">
        <v>7.1803192914088307E-2</v>
      </c>
      <c r="R658">
        <v>0.89292438209502201</v>
      </c>
      <c r="S658" t="s">
        <v>7464</v>
      </c>
      <c r="T658" t="s">
        <v>13610</v>
      </c>
      <c r="U658" t="s">
        <v>13610</v>
      </c>
      <c r="V658" t="s">
        <v>13610</v>
      </c>
      <c r="W658" t="s">
        <v>14253</v>
      </c>
      <c r="X658">
        <v>14</v>
      </c>
      <c r="Y658" t="s">
        <v>20978</v>
      </c>
      <c r="Z658" t="s">
        <v>27513</v>
      </c>
      <c r="AA658">
        <v>0.4435513640916996</v>
      </c>
      <c r="AB658" t="str">
        <f>HYPERLINK("Melting_Curves/meltCurve_F8VV52_CNOT2.pdf", "Melting_Curves/meltCurve_F8VV52_CNOT2.pdf")</f>
        <v>Melting_Curves/meltCurve_F8VV52_CNOT2.pdf</v>
      </c>
    </row>
    <row r="659" spans="1:28" x14ac:dyDescent="0.25">
      <c r="A659" t="s">
        <v>663</v>
      </c>
      <c r="B659">
        <v>0.995954080203443</v>
      </c>
      <c r="C659">
        <v>0.99286720754032698</v>
      </c>
      <c r="D659">
        <v>0.87582395165001603</v>
      </c>
      <c r="E659">
        <v>0.76067825789422905</v>
      </c>
      <c r="F659">
        <v>0.258855560986814</v>
      </c>
      <c r="G659">
        <v>0.10798981443257499</v>
      </c>
      <c r="H659">
        <v>6.2946479578305806E-2</v>
      </c>
      <c r="I659">
        <v>4.6762925581441003E-2</v>
      </c>
      <c r="J659">
        <v>5.0982074895870998E-2</v>
      </c>
      <c r="K659">
        <v>4.7764936890950203E-2</v>
      </c>
      <c r="L659">
        <v>1855.5171235012799</v>
      </c>
      <c r="M659">
        <v>36.164418903016603</v>
      </c>
      <c r="N659">
        <v>51.4736663515584</v>
      </c>
      <c r="O659">
        <v>51.151683985813797</v>
      </c>
      <c r="P659">
        <v>-0.167030568831017</v>
      </c>
      <c r="Q659">
        <v>5.4997291560798203E-2</v>
      </c>
      <c r="R659">
        <v>0.99137217465807403</v>
      </c>
      <c r="S659" t="s">
        <v>7465</v>
      </c>
      <c r="T659" t="s">
        <v>13610</v>
      </c>
      <c r="U659" t="s">
        <v>13610</v>
      </c>
      <c r="V659" t="s">
        <v>13610</v>
      </c>
      <c r="W659" t="s">
        <v>14254</v>
      </c>
      <c r="X659">
        <v>10</v>
      </c>
      <c r="Y659" t="s">
        <v>20979</v>
      </c>
      <c r="Z659" t="s">
        <v>27514</v>
      </c>
      <c r="AA659">
        <v>0.41529898212918298</v>
      </c>
      <c r="AB659" t="str">
        <f>HYPERLINK("Melting_Curves/meltCurve_F8VV59_NAP1L1.pdf", "Melting_Curves/meltCurve_F8VV59_NAP1L1.pdf")</f>
        <v>Melting_Curves/meltCurve_F8VV59_NAP1L1.pdf</v>
      </c>
    </row>
    <row r="660" spans="1:28" x14ac:dyDescent="0.25">
      <c r="A660" t="s">
        <v>664</v>
      </c>
      <c r="B660">
        <v>0.995954080203443</v>
      </c>
      <c r="C660">
        <v>0.915478276368488</v>
      </c>
      <c r="D660">
        <v>0.72142914135656899</v>
      </c>
      <c r="E660">
        <v>0.46345512659938398</v>
      </c>
      <c r="F660">
        <v>0.15349618067166301</v>
      </c>
      <c r="G660">
        <v>8.6729387145225004E-2</v>
      </c>
      <c r="H660">
        <v>6.1883546434721097E-2</v>
      </c>
      <c r="I660">
        <v>5.2585640619412601E-2</v>
      </c>
      <c r="J660">
        <v>5.8157657047552803E-2</v>
      </c>
      <c r="K660">
        <v>5.0617219083999701E-2</v>
      </c>
      <c r="L660">
        <v>894.19703943542697</v>
      </c>
      <c r="M660">
        <v>18.390455946762799</v>
      </c>
      <c r="N660">
        <v>48.834059082139497</v>
      </c>
      <c r="O660">
        <v>48.0589057088917</v>
      </c>
      <c r="P660">
        <v>-9.2013747780488694E-2</v>
      </c>
      <c r="Q660">
        <v>3.82229467398894E-2</v>
      </c>
      <c r="R660">
        <v>0.993386361495873</v>
      </c>
      <c r="S660" t="s">
        <v>7466</v>
      </c>
      <c r="T660" t="s">
        <v>13610</v>
      </c>
      <c r="U660" t="s">
        <v>13610</v>
      </c>
      <c r="V660" t="s">
        <v>13610</v>
      </c>
      <c r="W660" t="s">
        <v>14255</v>
      </c>
      <c r="X660">
        <v>22</v>
      </c>
      <c r="Y660" t="s">
        <v>20980</v>
      </c>
      <c r="Z660" t="s">
        <v>27515</v>
      </c>
      <c r="AA660">
        <v>0.33073740235450771</v>
      </c>
      <c r="AB660" t="str">
        <f>HYPERLINK("Melting_Curves/meltCurve_F8VWA6_MON2.pdf", "Melting_Curves/meltCurve_F8VWA6_MON2.pdf")</f>
        <v>Melting_Curves/meltCurve_F8VWA6_MON2.pdf</v>
      </c>
    </row>
    <row r="661" spans="1:28" x14ac:dyDescent="0.25">
      <c r="A661" t="s">
        <v>665</v>
      </c>
      <c r="B661">
        <v>0.995954080203443</v>
      </c>
      <c r="C661">
        <v>0.90461195154572704</v>
      </c>
      <c r="D661">
        <v>0.86218101854315199</v>
      </c>
      <c r="E661">
        <v>0.79421222544585401</v>
      </c>
      <c r="F661">
        <v>0.51835455864500701</v>
      </c>
      <c r="G661">
        <v>0.249364969514594</v>
      </c>
      <c r="H661">
        <v>0.21435288169023101</v>
      </c>
      <c r="I661">
        <v>0.20974176293671701</v>
      </c>
      <c r="J661">
        <v>0.21584827006610999</v>
      </c>
      <c r="K661">
        <v>0.24643556552763199</v>
      </c>
      <c r="L661">
        <v>1111.7141774930501</v>
      </c>
      <c r="M661">
        <v>21.449707258820499</v>
      </c>
      <c r="N661">
        <v>53.099976596423097</v>
      </c>
      <c r="O661">
        <v>51.384706428174702</v>
      </c>
      <c r="P661">
        <v>-8.3406374932960894E-2</v>
      </c>
      <c r="Q661">
        <v>0.20078990330115501</v>
      </c>
      <c r="R661">
        <v>0.97772963269137703</v>
      </c>
      <c r="S661" t="s">
        <v>7467</v>
      </c>
      <c r="T661" t="s">
        <v>13610</v>
      </c>
      <c r="U661" t="s">
        <v>13610</v>
      </c>
      <c r="V661" t="s">
        <v>13610</v>
      </c>
      <c r="W661" t="s">
        <v>14256</v>
      </c>
      <c r="X661">
        <v>32</v>
      </c>
      <c r="Y661" t="s">
        <v>20981</v>
      </c>
      <c r="Z661" t="s">
        <v>27516</v>
      </c>
      <c r="AA661">
        <v>0.52565219445629185</v>
      </c>
      <c r="AB661" t="str">
        <f>HYPERLINK("Melting_Curves/meltCurve_F8VX32_DMD.pdf", "Melting_Curves/meltCurve_F8VX32_DMD.pdf")</f>
        <v>Melting_Curves/meltCurve_F8VX32_DMD.pdf</v>
      </c>
    </row>
    <row r="662" spans="1:28" x14ac:dyDescent="0.25">
      <c r="A662" t="s">
        <v>666</v>
      </c>
      <c r="B662">
        <v>0.995954080203443</v>
      </c>
      <c r="C662">
        <v>1.0539870573412899</v>
      </c>
      <c r="D662">
        <v>0.90143736120920903</v>
      </c>
      <c r="E662">
        <v>0.79806925151164498</v>
      </c>
      <c r="F662">
        <v>0.31805783806084897</v>
      </c>
      <c r="G662">
        <v>0.149535643736454</v>
      </c>
      <c r="H662">
        <v>8.5447734473785494E-2</v>
      </c>
      <c r="I662">
        <v>8.6923021475299594E-2</v>
      </c>
      <c r="J662">
        <v>7.2483067497213505E-2</v>
      </c>
      <c r="K662">
        <v>8.2048052150340695E-2</v>
      </c>
      <c r="L662">
        <v>1863.4384367818</v>
      </c>
      <c r="M662">
        <v>36.134037804394602</v>
      </c>
      <c r="N662">
        <v>51.842937235020898</v>
      </c>
      <c r="O662">
        <v>51.412988429599402</v>
      </c>
      <c r="P662">
        <v>-0.16049477018982</v>
      </c>
      <c r="Q662">
        <v>8.6568822249028898E-2</v>
      </c>
      <c r="R662">
        <v>0.99217744745418002</v>
      </c>
      <c r="S662" t="s">
        <v>7468</v>
      </c>
      <c r="T662" t="s">
        <v>13610</v>
      </c>
      <c r="U662" t="s">
        <v>13610</v>
      </c>
      <c r="V662" t="s">
        <v>13610</v>
      </c>
      <c r="W662" t="s">
        <v>14257</v>
      </c>
      <c r="X662">
        <v>9</v>
      </c>
      <c r="Y662" t="s">
        <v>20979</v>
      </c>
      <c r="Z662" t="s">
        <v>27517</v>
      </c>
      <c r="AA662">
        <v>0.44284753749050498</v>
      </c>
      <c r="AB662" t="str">
        <f>HYPERLINK("Melting_Curves/meltCurve_F8VY35_NAP1L1.pdf", "Melting_Curves/meltCurve_F8VY35_NAP1L1.pdf")</f>
        <v>Melting_Curves/meltCurve_F8VY35_NAP1L1.pdf</v>
      </c>
    </row>
    <row r="663" spans="1:28" x14ac:dyDescent="0.25">
      <c r="A663" t="s">
        <v>667</v>
      </c>
      <c r="B663">
        <v>0.995954080203443</v>
      </c>
      <c r="C663">
        <v>1.02439843448539</v>
      </c>
      <c r="D663">
        <v>0.97590363434905203</v>
      </c>
      <c r="E663">
        <v>0.94169121166388703</v>
      </c>
      <c r="F663">
        <v>0.84103249908463995</v>
      </c>
      <c r="G663">
        <v>0.69636174292614705</v>
      </c>
      <c r="H663">
        <v>0.66955794375125799</v>
      </c>
      <c r="I663">
        <v>0.70991597802817896</v>
      </c>
      <c r="J663">
        <v>0.89825499589441704</v>
      </c>
      <c r="K663">
        <v>0.80280039493789901</v>
      </c>
      <c r="L663">
        <v>2118.0427312408601</v>
      </c>
      <c r="M663">
        <v>40.933350315581301</v>
      </c>
      <c r="O663">
        <v>51.620655624603998</v>
      </c>
      <c r="P663">
        <v>-4.8255791700279299E-2</v>
      </c>
      <c r="Q663">
        <v>0.75658079562269598</v>
      </c>
      <c r="R663">
        <v>0.75706149073613804</v>
      </c>
      <c r="S663" t="s">
        <v>7469</v>
      </c>
      <c r="T663" t="s">
        <v>13610</v>
      </c>
      <c r="U663" t="s">
        <v>13610</v>
      </c>
      <c r="V663" t="s">
        <v>13610</v>
      </c>
      <c r="W663" t="s">
        <v>14258</v>
      </c>
      <c r="X663">
        <v>5</v>
      </c>
      <c r="Y663" t="s">
        <v>20982</v>
      </c>
      <c r="Z663" t="s">
        <v>27518</v>
      </c>
      <c r="AA663">
        <v>0.85269966853766521</v>
      </c>
      <c r="AB663" t="str">
        <f>HYPERLINK("Melting_Curves/meltCurve_F8VZJ2_NACA.pdf", "Melting_Curves/meltCurve_F8VZJ2_NACA.pdf")</f>
        <v>Melting_Curves/meltCurve_F8VZJ2_NACA.pdf</v>
      </c>
    </row>
    <row r="664" spans="1:28" x14ac:dyDescent="0.25">
      <c r="A664" t="s">
        <v>668</v>
      </c>
      <c r="B664">
        <v>0.995954080203443</v>
      </c>
      <c r="C664">
        <v>0.97916343807705497</v>
      </c>
      <c r="D664">
        <v>1.04352380465024</v>
      </c>
      <c r="E664">
        <v>0.92249686381160001</v>
      </c>
      <c r="F664">
        <v>0.91155287094139403</v>
      </c>
      <c r="G664">
        <v>0.66059865645958205</v>
      </c>
      <c r="H664">
        <v>0.61040555465464796</v>
      </c>
      <c r="I664">
        <v>0.77570764575696904</v>
      </c>
      <c r="J664">
        <v>0.66236125328409701</v>
      </c>
      <c r="K664">
        <v>0.813216036979034</v>
      </c>
      <c r="L664">
        <v>6711.0023819754997</v>
      </c>
      <c r="M664">
        <v>125.77422985372699</v>
      </c>
      <c r="O664">
        <v>53.3440206820028</v>
      </c>
      <c r="P664">
        <v>-0.17421319536318</v>
      </c>
      <c r="Q664">
        <v>0.704447044885397</v>
      </c>
      <c r="R664">
        <v>0.82684168487920395</v>
      </c>
      <c r="S664" t="s">
        <v>7470</v>
      </c>
      <c r="T664" t="s">
        <v>13610</v>
      </c>
      <c r="U664" t="s">
        <v>13610</v>
      </c>
      <c r="V664" t="s">
        <v>13610</v>
      </c>
      <c r="W664" t="s">
        <v>14259</v>
      </c>
      <c r="X664">
        <v>7</v>
      </c>
      <c r="Y664" t="s">
        <v>20983</v>
      </c>
      <c r="Z664" t="s">
        <v>27519</v>
      </c>
      <c r="AA664">
        <v>0.83615172163091833</v>
      </c>
      <c r="AB664" t="str">
        <f>HYPERLINK("Melting_Curves/meltCurve_F8VZQ7_ATXN2.pdf", "Melting_Curves/meltCurve_F8VZQ7_ATXN2.pdf")</f>
        <v>Melting_Curves/meltCurve_F8VZQ7_ATXN2.pdf</v>
      </c>
    </row>
    <row r="665" spans="1:28" x14ac:dyDescent="0.25">
      <c r="A665" t="s">
        <v>669</v>
      </c>
      <c r="B665">
        <v>0.995954080203443</v>
      </c>
      <c r="C665">
        <v>0.93952937006563497</v>
      </c>
      <c r="D665">
        <v>0.82562346646995499</v>
      </c>
      <c r="E665">
        <v>0.78160435475810497</v>
      </c>
      <c r="F665">
        <v>0.66389062331036197</v>
      </c>
      <c r="G665">
        <v>0.438972775830271</v>
      </c>
      <c r="H665">
        <v>0.33291174265615597</v>
      </c>
      <c r="I665">
        <v>0.30740442453975703</v>
      </c>
      <c r="J665">
        <v>0.31911923330062197</v>
      </c>
      <c r="K665">
        <v>0.27586824296610202</v>
      </c>
      <c r="L665">
        <v>602.456728786898</v>
      </c>
      <c r="M665">
        <v>11.3118394530588</v>
      </c>
      <c r="N665">
        <v>56.096122855496098</v>
      </c>
      <c r="O665">
        <v>51.675909725662699</v>
      </c>
      <c r="P665">
        <v>-4.2816898628901902E-2</v>
      </c>
      <c r="Q665">
        <v>0.217834667400885</v>
      </c>
      <c r="R665">
        <v>0.98514328782760496</v>
      </c>
      <c r="S665" t="s">
        <v>7471</v>
      </c>
      <c r="T665" t="s">
        <v>13610</v>
      </c>
      <c r="U665" t="s">
        <v>13610</v>
      </c>
      <c r="V665" t="s">
        <v>13610</v>
      </c>
      <c r="W665" t="s">
        <v>14260</v>
      </c>
      <c r="X665">
        <v>7</v>
      </c>
      <c r="Y665" t="s">
        <v>20984</v>
      </c>
      <c r="Z665" t="s">
        <v>27520</v>
      </c>
      <c r="AA665">
        <v>0.5867076786485439</v>
      </c>
      <c r="AB665" t="str">
        <f>HYPERLINK("Melting_Curves/meltCurve_F8W038_C17orf49.pdf", "Melting_Curves/meltCurve_F8W038_C17orf49.pdf")</f>
        <v>Melting_Curves/meltCurve_F8W038_C17orf49.pdf</v>
      </c>
    </row>
    <row r="666" spans="1:28" x14ac:dyDescent="0.25">
      <c r="A666" t="s">
        <v>670</v>
      </c>
      <c r="B666">
        <v>0.995954080203443</v>
      </c>
      <c r="C666">
        <v>0.93114994187209599</v>
      </c>
      <c r="D666">
        <v>0.71647347060434197</v>
      </c>
      <c r="E666">
        <v>0.59594603609376295</v>
      </c>
      <c r="F666">
        <v>0.276078451187389</v>
      </c>
      <c r="G666">
        <v>0.14641247563954499</v>
      </c>
      <c r="H666">
        <v>9.2405620476839104E-2</v>
      </c>
      <c r="I666">
        <v>7.8150561997008802E-2</v>
      </c>
      <c r="J666">
        <v>8.1703538614070204E-2</v>
      </c>
      <c r="K666">
        <v>8.1313642528339294E-2</v>
      </c>
      <c r="L666">
        <v>752.33734894756003</v>
      </c>
      <c r="M666">
        <v>15.1238925591318</v>
      </c>
      <c r="N666">
        <v>50.089030682975299</v>
      </c>
      <c r="O666">
        <v>48.899562722238898</v>
      </c>
      <c r="P666">
        <v>-7.3513526625672398E-2</v>
      </c>
      <c r="Q666">
        <v>4.93379496964318E-2</v>
      </c>
      <c r="R666">
        <v>0.98701315266877299</v>
      </c>
      <c r="S666" t="s">
        <v>7472</v>
      </c>
      <c r="T666" t="s">
        <v>13610</v>
      </c>
      <c r="U666" t="s">
        <v>13610</v>
      </c>
      <c r="V666" t="s">
        <v>13610</v>
      </c>
      <c r="W666" t="s">
        <v>14261</v>
      </c>
      <c r="X666">
        <v>1</v>
      </c>
      <c r="Y666" t="s">
        <v>20985</v>
      </c>
      <c r="Z666" t="s">
        <v>27521</v>
      </c>
      <c r="AA666">
        <v>0.38066605078180099</v>
      </c>
      <c r="AB666" t="str">
        <f>HYPERLINK("Melting_Curves/meltCurve_F8W0U7_BTG1.pdf", "Melting_Curves/meltCurve_F8W0U7_BTG1.pdf")</f>
        <v>Melting_Curves/meltCurve_F8W0U7_BTG1.pdf</v>
      </c>
    </row>
    <row r="667" spans="1:28" x14ac:dyDescent="0.25">
      <c r="A667" t="s">
        <v>671</v>
      </c>
      <c r="B667">
        <v>0.995954080203443</v>
      </c>
      <c r="C667">
        <v>0.795890096270638</v>
      </c>
      <c r="D667">
        <v>0.82288287030756302</v>
      </c>
      <c r="E667">
        <v>1.1124985384319901</v>
      </c>
      <c r="F667">
        <v>0.73594238955299895</v>
      </c>
      <c r="G667">
        <v>0.69839832268320301</v>
      </c>
      <c r="H667">
        <v>0.36847031998881602</v>
      </c>
      <c r="I667">
        <v>0.104992584216797</v>
      </c>
      <c r="J667">
        <v>9.7913743547099599E-2</v>
      </c>
      <c r="K667">
        <v>8.6682864557950406E-2</v>
      </c>
      <c r="L667">
        <v>1051.6234703269199</v>
      </c>
      <c r="M667">
        <v>17.901641561238499</v>
      </c>
      <c r="N667">
        <v>58.7445280760993</v>
      </c>
      <c r="O667">
        <v>58.026196474077501</v>
      </c>
      <c r="P667">
        <v>-7.7131307480545294E-2</v>
      </c>
      <c r="Q667">
        <v>0</v>
      </c>
      <c r="R667">
        <v>0.90651114336148297</v>
      </c>
      <c r="S667" t="s">
        <v>7473</v>
      </c>
      <c r="T667" t="s">
        <v>13610</v>
      </c>
      <c r="U667" t="s">
        <v>13610</v>
      </c>
      <c r="V667" t="s">
        <v>13610</v>
      </c>
      <c r="W667" t="s">
        <v>14262</v>
      </c>
      <c r="X667">
        <v>21</v>
      </c>
      <c r="Y667" t="s">
        <v>20986</v>
      </c>
      <c r="Z667" t="s">
        <v>27522</v>
      </c>
      <c r="AA667">
        <v>0.63593150418348776</v>
      </c>
      <c r="AB667" t="str">
        <f>HYPERLINK("Melting_Curves/meltCurve_F8W1A4_AK2.pdf", "Melting_Curves/meltCurve_F8W1A4_AK2.pdf")</f>
        <v>Melting_Curves/meltCurve_F8W1A4_AK2.pdf</v>
      </c>
    </row>
    <row r="668" spans="1:28" x14ac:dyDescent="0.25">
      <c r="A668" t="s">
        <v>672</v>
      </c>
      <c r="B668">
        <v>0.995954080203443</v>
      </c>
      <c r="C668">
        <v>0.73640072626161301</v>
      </c>
      <c r="D668">
        <v>0.475135364864606</v>
      </c>
      <c r="E668">
        <v>0.45339909510334703</v>
      </c>
      <c r="F668">
        <v>0.23478675477909999</v>
      </c>
      <c r="G668">
        <v>0.10795876184316899</v>
      </c>
      <c r="H668">
        <v>9.3184853706094806E-2</v>
      </c>
      <c r="I668">
        <v>8.2338111036143594E-2</v>
      </c>
      <c r="J668">
        <v>5.4311186359739798E-2</v>
      </c>
      <c r="K668">
        <v>7.7796918483731506E-2</v>
      </c>
      <c r="L668">
        <v>567.468188872881</v>
      </c>
      <c r="M668">
        <v>12.1145221794207</v>
      </c>
      <c r="N668">
        <v>47.206853667402598</v>
      </c>
      <c r="O668">
        <v>45.620410613395102</v>
      </c>
      <c r="P668">
        <v>-6.3435179491669894E-2</v>
      </c>
      <c r="Q668">
        <v>4.4694635465432099E-2</v>
      </c>
      <c r="R668">
        <v>0.96439733421066598</v>
      </c>
      <c r="S668" t="s">
        <v>7474</v>
      </c>
      <c r="T668" t="s">
        <v>13610</v>
      </c>
      <c r="U668" t="s">
        <v>13610</v>
      </c>
      <c r="V668" t="s">
        <v>13610</v>
      </c>
      <c r="W668" t="s">
        <v>14263</v>
      </c>
      <c r="X668">
        <v>3</v>
      </c>
      <c r="Y668" t="s">
        <v>20987</v>
      </c>
      <c r="Z668" t="s">
        <v>27523</v>
      </c>
      <c r="AA668">
        <v>0.30245149243654529</v>
      </c>
      <c r="AB668" t="str">
        <f>HYPERLINK("Melting_Curves/meltCurve_F8W1I9_ACAD10.pdf", "Melting_Curves/meltCurve_F8W1I9_ACAD10.pdf")</f>
        <v>Melting_Curves/meltCurve_F8W1I9_ACAD10.pdf</v>
      </c>
    </row>
    <row r="669" spans="1:28" x14ac:dyDescent="0.25">
      <c r="A669" t="s">
        <v>673</v>
      </c>
      <c r="B669">
        <v>0.995954080203443</v>
      </c>
      <c r="C669">
        <v>1.01802067344772</v>
      </c>
      <c r="D669">
        <v>0.98338711803711798</v>
      </c>
      <c r="E669">
        <v>0.75027325526897903</v>
      </c>
      <c r="F669">
        <v>0.66173873774744396</v>
      </c>
      <c r="G669">
        <v>0.41992326855697698</v>
      </c>
      <c r="H669">
        <v>0.32632638508823197</v>
      </c>
      <c r="I669">
        <v>0.31760596297965499</v>
      </c>
      <c r="J669">
        <v>0.35845125927405802</v>
      </c>
      <c r="K669">
        <v>0.34071010018834602</v>
      </c>
      <c r="L669">
        <v>1030.0430026245101</v>
      </c>
      <c r="M669">
        <v>19.7125584312071</v>
      </c>
      <c r="N669">
        <v>55.115474301774903</v>
      </c>
      <c r="O669">
        <v>51.724320969208499</v>
      </c>
      <c r="P669">
        <v>-6.4754939632805597E-2</v>
      </c>
      <c r="Q669">
        <v>0.32037461576036302</v>
      </c>
      <c r="R669">
        <v>0.98875803431254405</v>
      </c>
      <c r="S669" t="s">
        <v>7475</v>
      </c>
      <c r="T669" t="s">
        <v>13610</v>
      </c>
      <c r="U669" t="s">
        <v>13610</v>
      </c>
      <c r="V669" t="s">
        <v>13610</v>
      </c>
      <c r="W669" t="s">
        <v>14264</v>
      </c>
      <c r="X669">
        <v>3</v>
      </c>
      <c r="Y669" t="s">
        <v>20988</v>
      </c>
      <c r="Z669" t="s">
        <v>27524</v>
      </c>
      <c r="AA669">
        <v>0.60759676657791073</v>
      </c>
      <c r="AB669" t="str">
        <f>HYPERLINK("Melting_Curves/meltCurve_F8W1N9_NFE2.pdf", "Melting_Curves/meltCurve_F8W1N9_NFE2.pdf")</f>
        <v>Melting_Curves/meltCurve_F8W1N9_NFE2.pdf</v>
      </c>
    </row>
    <row r="670" spans="1:28" x14ac:dyDescent="0.25">
      <c r="A670" t="s">
        <v>674</v>
      </c>
      <c r="B670">
        <v>0.995954080203443</v>
      </c>
      <c r="C670">
        <v>0.93930896875830405</v>
      </c>
      <c r="D670">
        <v>0.92018504575808402</v>
      </c>
      <c r="E670">
        <v>0.71597444419865797</v>
      </c>
      <c r="F670">
        <v>0.29539842860558102</v>
      </c>
      <c r="G670">
        <v>0.17342241162673899</v>
      </c>
      <c r="H670">
        <v>0.14005381364772901</v>
      </c>
      <c r="I670">
        <v>0.15756816914243801</v>
      </c>
      <c r="J670">
        <v>0.19608213541485001</v>
      </c>
      <c r="K670">
        <v>0.186497163692326</v>
      </c>
      <c r="L670">
        <v>1930.29783977802</v>
      </c>
      <c r="M670">
        <v>38.015854328612697</v>
      </c>
      <c r="N670">
        <v>51.322999811619702</v>
      </c>
      <c r="O670">
        <v>50.636238411246303</v>
      </c>
      <c r="P670">
        <v>-0.156433721751462</v>
      </c>
      <c r="Q670">
        <v>0.16653778039181</v>
      </c>
      <c r="R670">
        <v>0.99178963203116999</v>
      </c>
      <c r="S670" t="s">
        <v>7476</v>
      </c>
      <c r="T670" t="s">
        <v>13610</v>
      </c>
      <c r="U670" t="s">
        <v>13610</v>
      </c>
      <c r="V670" t="s">
        <v>13610</v>
      </c>
      <c r="W670" t="s">
        <v>14265</v>
      </c>
      <c r="X670">
        <v>2</v>
      </c>
      <c r="Y670" t="s">
        <v>20989</v>
      </c>
      <c r="Z670" t="s">
        <v>27525</v>
      </c>
      <c r="AA670">
        <v>0.46916212772725119</v>
      </c>
      <c r="AB670" t="str">
        <f>HYPERLINK("Melting_Curves/meltCurve_F8W1R9_TGFBR1.pdf", "Melting_Curves/meltCurve_F8W1R9_TGFBR1.pdf")</f>
        <v>Melting_Curves/meltCurve_F8W1R9_TGFBR1.pdf</v>
      </c>
    </row>
    <row r="671" spans="1:28" x14ac:dyDescent="0.25">
      <c r="A671" t="s">
        <v>675</v>
      </c>
      <c r="B671">
        <v>0.995954080203443</v>
      </c>
      <c r="C671">
        <v>0.92678622341902395</v>
      </c>
      <c r="D671">
        <v>0.90365232885640201</v>
      </c>
      <c r="E671">
        <v>0.80913443829852205</v>
      </c>
      <c r="F671">
        <v>0.74601560633019703</v>
      </c>
      <c r="G671">
        <v>0.65236333455380602</v>
      </c>
      <c r="H671">
        <v>0.56554660789729405</v>
      </c>
      <c r="I671">
        <v>0.70188057093020795</v>
      </c>
      <c r="J671">
        <v>0.78088462833014305</v>
      </c>
      <c r="K671">
        <v>0.88091685183297297</v>
      </c>
      <c r="L671">
        <v>957.37583147480905</v>
      </c>
      <c r="M671">
        <v>20.3359277104414</v>
      </c>
      <c r="O671">
        <v>46.629901995227698</v>
      </c>
      <c r="P671">
        <v>-3.0702903058899798E-2</v>
      </c>
      <c r="Q671">
        <v>0.71840385136648199</v>
      </c>
      <c r="R671">
        <v>0.61336739387333905</v>
      </c>
      <c r="S671" t="s">
        <v>7477</v>
      </c>
      <c r="T671" t="s">
        <v>13610</v>
      </c>
      <c r="U671" t="s">
        <v>13610</v>
      </c>
      <c r="V671" t="s">
        <v>13610</v>
      </c>
      <c r="W671" t="s">
        <v>14266</v>
      </c>
      <c r="X671">
        <v>1</v>
      </c>
      <c r="Y671" t="s">
        <v>20990</v>
      </c>
      <c r="Z671" t="s">
        <v>27526</v>
      </c>
      <c r="AA671">
        <v>0.78880379595208594</v>
      </c>
      <c r="AB671" t="str">
        <f>HYPERLINK("Melting_Curves/meltCurve_F8W6D1_RNF216.pdf", "Melting_Curves/meltCurve_F8W6D1_RNF216.pdf")</f>
        <v>Melting_Curves/meltCurve_F8W6D1_RNF216.pdf</v>
      </c>
    </row>
    <row r="672" spans="1:28" x14ac:dyDescent="0.25">
      <c r="A672" t="s">
        <v>676</v>
      </c>
      <c r="B672">
        <v>0.995954080203443</v>
      </c>
      <c r="C672">
        <v>0.97003865121526001</v>
      </c>
      <c r="D672">
        <v>0.97385465914877001</v>
      </c>
      <c r="E672">
        <v>0.85694790284695499</v>
      </c>
      <c r="F672">
        <v>0.86253202819939301</v>
      </c>
      <c r="G672">
        <v>0.64483005827961903</v>
      </c>
      <c r="H672">
        <v>0.54443064228309002</v>
      </c>
      <c r="I672">
        <v>0.59127978549601101</v>
      </c>
      <c r="J672">
        <v>0.61793270226078501</v>
      </c>
      <c r="K672">
        <v>0.48768386939504899</v>
      </c>
      <c r="L672">
        <v>868.71794773888496</v>
      </c>
      <c r="M672">
        <v>16.0721254830584</v>
      </c>
      <c r="O672">
        <v>53.235208295936197</v>
      </c>
      <c r="P672">
        <v>-3.5676903747789701E-2</v>
      </c>
      <c r="Q672">
        <v>0.52735035977072997</v>
      </c>
      <c r="R672">
        <v>0.94980253813203497</v>
      </c>
      <c r="S672" t="s">
        <v>7478</v>
      </c>
      <c r="T672" t="s">
        <v>13610</v>
      </c>
      <c r="U672" t="s">
        <v>13610</v>
      </c>
      <c r="V672" t="s">
        <v>13610</v>
      </c>
      <c r="W672" t="s">
        <v>14267</v>
      </c>
      <c r="X672">
        <v>8</v>
      </c>
      <c r="Y672" t="s">
        <v>20991</v>
      </c>
      <c r="Z672" t="s">
        <v>27527</v>
      </c>
      <c r="AA672">
        <v>0.7575801568413757</v>
      </c>
      <c r="AB672" t="str">
        <f>HYPERLINK("Melting_Curves/meltCurve_F8W6T6_TLE4.pdf", "Melting_Curves/meltCurve_F8W6T6_TLE4.pdf")</f>
        <v>Melting_Curves/meltCurve_F8W6T6_TLE4.pdf</v>
      </c>
    </row>
    <row r="673" spans="1:28" x14ac:dyDescent="0.25">
      <c r="A673" t="s">
        <v>677</v>
      </c>
      <c r="B673">
        <v>0.995954080203443</v>
      </c>
      <c r="C673">
        <v>0.91909842620618498</v>
      </c>
      <c r="D673">
        <v>0.80348399026710104</v>
      </c>
      <c r="E673">
        <v>0.74644095663288001</v>
      </c>
      <c r="F673">
        <v>0.49911480987184598</v>
      </c>
      <c r="G673">
        <v>0.35536464329477802</v>
      </c>
      <c r="H673">
        <v>0.29882736274671101</v>
      </c>
      <c r="I673">
        <v>0.310612965793574</v>
      </c>
      <c r="J673">
        <v>0.43183855986036002</v>
      </c>
      <c r="K673">
        <v>0.39124943837512199</v>
      </c>
      <c r="L673">
        <v>814.92985055335498</v>
      </c>
      <c r="M673">
        <v>16.3748030227123</v>
      </c>
      <c r="N673">
        <v>53.404891233219502</v>
      </c>
      <c r="O673">
        <v>49.042829049066398</v>
      </c>
      <c r="P673">
        <v>-5.5421140222368499E-2</v>
      </c>
      <c r="Q673">
        <v>0.336098301979186</v>
      </c>
      <c r="R673">
        <v>0.94832648435348099</v>
      </c>
      <c r="S673" t="s">
        <v>7479</v>
      </c>
      <c r="T673" t="s">
        <v>13610</v>
      </c>
      <c r="U673" t="s">
        <v>13610</v>
      </c>
      <c r="V673" t="s">
        <v>13610</v>
      </c>
      <c r="W673" t="s">
        <v>14268</v>
      </c>
      <c r="X673">
        <v>1</v>
      </c>
      <c r="Y673" t="s">
        <v>20992</v>
      </c>
      <c r="Z673" t="s">
        <v>27528</v>
      </c>
      <c r="AA673">
        <v>0.56583507092577934</v>
      </c>
      <c r="AB673" t="str">
        <f>HYPERLINK("Melting_Curves/meltCurve_F8W782_ADIPOR1.pdf", "Melting_Curves/meltCurve_F8W782_ADIPOR1.pdf")</f>
        <v>Melting_Curves/meltCurve_F8W782_ADIPOR1.pdf</v>
      </c>
    </row>
    <row r="674" spans="1:28" x14ac:dyDescent="0.25">
      <c r="A674" t="s">
        <v>678</v>
      </c>
      <c r="B674">
        <v>0.995954080203443</v>
      </c>
      <c r="C674">
        <v>0.87604095349310895</v>
      </c>
      <c r="D674">
        <v>0.86553841317117197</v>
      </c>
      <c r="E674">
        <v>0.63360160522886899</v>
      </c>
      <c r="F674">
        <v>0.50457622237183897</v>
      </c>
      <c r="G674">
        <v>0.33187951907498697</v>
      </c>
      <c r="H674">
        <v>0.28302258563000199</v>
      </c>
      <c r="I674">
        <v>0.30202902046510899</v>
      </c>
      <c r="J674">
        <v>0.40987270422455102</v>
      </c>
      <c r="K674">
        <v>0.350594057026198</v>
      </c>
      <c r="L674">
        <v>839.14764105805295</v>
      </c>
      <c r="M674">
        <v>17.006326450075498</v>
      </c>
      <c r="N674">
        <v>52.476538566623297</v>
      </c>
      <c r="O674">
        <v>48.6761441651011</v>
      </c>
      <c r="P674">
        <v>-5.9496106749777698E-2</v>
      </c>
      <c r="Q674">
        <v>0.31887409627722202</v>
      </c>
      <c r="R674">
        <v>0.966847615415242</v>
      </c>
      <c r="S674" t="s">
        <v>7480</v>
      </c>
      <c r="T674" t="s">
        <v>13610</v>
      </c>
      <c r="U674" t="s">
        <v>13610</v>
      </c>
      <c r="V674" t="s">
        <v>13610</v>
      </c>
      <c r="W674" t="s">
        <v>14269</v>
      </c>
      <c r="X674">
        <v>3</v>
      </c>
      <c r="Y674" t="s">
        <v>20993</v>
      </c>
      <c r="Z674" t="s">
        <v>27529</v>
      </c>
      <c r="AA674">
        <v>0.54410274488339283</v>
      </c>
      <c r="AB674" t="str">
        <f>HYPERLINK("Melting_Curves/meltCurve_F8W785_GOLIM4.pdf", "Melting_Curves/meltCurve_F8W785_GOLIM4.pdf")</f>
        <v>Melting_Curves/meltCurve_F8W785_GOLIM4.pdf</v>
      </c>
    </row>
    <row r="675" spans="1:28" x14ac:dyDescent="0.25">
      <c r="A675" t="s">
        <v>679</v>
      </c>
      <c r="B675">
        <v>0.995954080203443</v>
      </c>
      <c r="C675">
        <v>0.81931128139479004</v>
      </c>
      <c r="D675">
        <v>0.89283532327915605</v>
      </c>
      <c r="E675">
        <v>0.55382598365033897</v>
      </c>
      <c r="F675">
        <v>0.35673505263099597</v>
      </c>
      <c r="G675">
        <v>0.21400955486901499</v>
      </c>
      <c r="H675">
        <v>0.17804807267085199</v>
      </c>
      <c r="I675">
        <v>0.16816099978771301</v>
      </c>
      <c r="J675">
        <v>0.21156673905584999</v>
      </c>
      <c r="K675">
        <v>0.19058336589743</v>
      </c>
      <c r="L675">
        <v>897.76977233871105</v>
      </c>
      <c r="M675">
        <v>18.127334346020099</v>
      </c>
      <c r="N675">
        <v>50.6786378860198</v>
      </c>
      <c r="O675">
        <v>48.934829733939402</v>
      </c>
      <c r="P675">
        <v>-7.6965740765517501E-2</v>
      </c>
      <c r="Q675">
        <v>0.16896227079675299</v>
      </c>
      <c r="R675">
        <v>0.97560875555412496</v>
      </c>
      <c r="S675" t="s">
        <v>7481</v>
      </c>
      <c r="T675" t="s">
        <v>13610</v>
      </c>
      <c r="U675" t="s">
        <v>13610</v>
      </c>
      <c r="V675" t="s">
        <v>13610</v>
      </c>
      <c r="W675" t="s">
        <v>14270</v>
      </c>
      <c r="X675">
        <v>8</v>
      </c>
      <c r="Y675" t="s">
        <v>20994</v>
      </c>
      <c r="Z675" t="s">
        <v>27530</v>
      </c>
      <c r="AA675">
        <v>0.44690997454462023</v>
      </c>
      <c r="AB675" t="str">
        <f>HYPERLINK("Melting_Curves/meltCurve_F8W7C6_RPL10.pdf", "Melting_Curves/meltCurve_F8W7C6_RPL10.pdf")</f>
        <v>Melting_Curves/meltCurve_F8W7C6_RPL10.pdf</v>
      </c>
    </row>
    <row r="676" spans="1:28" x14ac:dyDescent="0.25">
      <c r="A676" t="s">
        <v>680</v>
      </c>
      <c r="B676">
        <v>0.995954080203443</v>
      </c>
      <c r="C676">
        <v>0.82075065767502398</v>
      </c>
      <c r="D676">
        <v>0.58023137101811795</v>
      </c>
      <c r="E676">
        <v>0.47149670286354201</v>
      </c>
      <c r="F676">
        <v>0.39869515923517701</v>
      </c>
      <c r="G676">
        <v>0.29570409935805803</v>
      </c>
      <c r="H676">
        <v>0.26918259743856598</v>
      </c>
      <c r="I676">
        <v>0.31690426817961898</v>
      </c>
      <c r="J676">
        <v>0.34902615686800498</v>
      </c>
      <c r="K676">
        <v>0.35808853646064498</v>
      </c>
      <c r="L676">
        <v>840.39128918849406</v>
      </c>
      <c r="M676">
        <v>18.532466941635398</v>
      </c>
      <c r="N676">
        <v>48.037848497674801</v>
      </c>
      <c r="O676">
        <v>44.828870921500297</v>
      </c>
      <c r="P676">
        <v>-6.9978210213508807E-2</v>
      </c>
      <c r="Q676">
        <v>0.32293825181805902</v>
      </c>
      <c r="R676">
        <v>0.97375097262006005</v>
      </c>
      <c r="S676" t="s">
        <v>7482</v>
      </c>
      <c r="T676" t="s">
        <v>13610</v>
      </c>
      <c r="U676" t="s">
        <v>13610</v>
      </c>
      <c r="V676" t="s">
        <v>13610</v>
      </c>
      <c r="W676" t="s">
        <v>14271</v>
      </c>
      <c r="X676">
        <v>8</v>
      </c>
      <c r="Y676" t="s">
        <v>20995</v>
      </c>
      <c r="Z676" t="s">
        <v>27531</v>
      </c>
      <c r="AA676">
        <v>0.45678587157159911</v>
      </c>
      <c r="AB676" t="str">
        <f>HYPERLINK("Melting_Curves/meltCurve_F8W840_YTHDF1.pdf", "Melting_Curves/meltCurve_F8W840_YTHDF1.pdf")</f>
        <v>Melting_Curves/meltCurve_F8W840_YTHDF1.pdf</v>
      </c>
    </row>
    <row r="677" spans="1:28" x14ac:dyDescent="0.25">
      <c r="A677" t="s">
        <v>681</v>
      </c>
      <c r="B677">
        <v>0.995954080203443</v>
      </c>
      <c r="C677">
        <v>0.96449403403392397</v>
      </c>
      <c r="D677">
        <v>1.0579889105914899</v>
      </c>
      <c r="E677">
        <v>0.89758347440384301</v>
      </c>
      <c r="F677">
        <v>0.86450883091763298</v>
      </c>
      <c r="G677">
        <v>0.60929657465633802</v>
      </c>
      <c r="H677">
        <v>0.57445708283001395</v>
      </c>
      <c r="I677">
        <v>0.74004713152972601</v>
      </c>
      <c r="J677">
        <v>1.09793952521439</v>
      </c>
      <c r="K677">
        <v>0.96253509854220698</v>
      </c>
      <c r="L677">
        <v>2299.5090492077702</v>
      </c>
      <c r="M677">
        <v>45.804917786332801</v>
      </c>
      <c r="O677">
        <v>50.106830945294099</v>
      </c>
      <c r="P677">
        <v>-4.4797225092571197E-2</v>
      </c>
      <c r="Q677">
        <v>0.803982275570711</v>
      </c>
      <c r="R677">
        <v>0.27114810719010202</v>
      </c>
      <c r="S677" t="s">
        <v>7483</v>
      </c>
      <c r="T677" t="s">
        <v>13610</v>
      </c>
      <c r="U677" t="s">
        <v>13610</v>
      </c>
      <c r="V677" t="s">
        <v>13610</v>
      </c>
      <c r="W677" t="s">
        <v>14272</v>
      </c>
      <c r="X677">
        <v>1</v>
      </c>
      <c r="Y677" t="s">
        <v>20996</v>
      </c>
      <c r="Z677" t="s">
        <v>27532</v>
      </c>
      <c r="AA677">
        <v>0.87116065936498399</v>
      </c>
      <c r="AB677" t="str">
        <f>HYPERLINK("Melting_Curves/meltCurve_F8W8C2_VEZT.pdf", "Melting_Curves/meltCurve_F8W8C2_VEZT.pdf")</f>
        <v>Melting_Curves/meltCurve_F8W8C2_VEZT.pdf</v>
      </c>
    </row>
    <row r="678" spans="1:28" x14ac:dyDescent="0.25">
      <c r="A678" t="s">
        <v>682</v>
      </c>
      <c r="B678">
        <v>0.995954080203443</v>
      </c>
      <c r="C678">
        <v>0.99615911714985494</v>
      </c>
      <c r="D678">
        <v>0.98376062511322204</v>
      </c>
      <c r="E678">
        <v>0.79759656903837295</v>
      </c>
      <c r="F678">
        <v>0.47486894389580703</v>
      </c>
      <c r="G678">
        <v>0.160528227244359</v>
      </c>
      <c r="H678">
        <v>9.5996387445021106E-2</v>
      </c>
      <c r="I678">
        <v>6.9513678543450905E-2</v>
      </c>
      <c r="J678">
        <v>6.7471369617892102E-2</v>
      </c>
      <c r="K678">
        <v>6.9916906376262203E-2</v>
      </c>
      <c r="L678">
        <v>1395.8412648753999</v>
      </c>
      <c r="M678">
        <v>26.6057331999125</v>
      </c>
      <c r="N678">
        <v>52.7459128051131</v>
      </c>
      <c r="O678">
        <v>52.170227134581602</v>
      </c>
      <c r="P678">
        <v>-0.11904415734297601</v>
      </c>
      <c r="Q678">
        <v>6.6292148434076506E-2</v>
      </c>
      <c r="R678">
        <v>0.99987507527077402</v>
      </c>
      <c r="S678" t="s">
        <v>7484</v>
      </c>
      <c r="T678" t="s">
        <v>13610</v>
      </c>
      <c r="U678" t="s">
        <v>13610</v>
      </c>
      <c r="V678" t="s">
        <v>13610</v>
      </c>
      <c r="W678" t="s">
        <v>14273</v>
      </c>
      <c r="X678">
        <v>6</v>
      </c>
      <c r="Y678" t="s">
        <v>20997</v>
      </c>
      <c r="Z678" t="s">
        <v>27533</v>
      </c>
      <c r="AA678">
        <v>0.46181122692644477</v>
      </c>
      <c r="AB678" t="str">
        <f>HYPERLINK("Melting_Curves/meltCurve_F8W8H5_RAB24.pdf", "Melting_Curves/meltCurve_F8W8H5_RAB24.pdf")</f>
        <v>Melting_Curves/meltCurve_F8W8H5_RAB24.pdf</v>
      </c>
    </row>
    <row r="679" spans="1:28" x14ac:dyDescent="0.25">
      <c r="A679" t="s">
        <v>683</v>
      </c>
      <c r="B679">
        <v>0.995954080203443</v>
      </c>
      <c r="C679">
        <v>0.91991762522362197</v>
      </c>
      <c r="D679">
        <v>0.89404192105762403</v>
      </c>
      <c r="E679">
        <v>0.81220278571760196</v>
      </c>
      <c r="F679">
        <v>0.66947819007779896</v>
      </c>
      <c r="G679">
        <v>0.39352122349287</v>
      </c>
      <c r="H679">
        <v>0.17348655514544101</v>
      </c>
      <c r="I679">
        <v>0.123362551187868</v>
      </c>
      <c r="J679">
        <v>0.124822805183751</v>
      </c>
      <c r="K679">
        <v>0.12444557153371701</v>
      </c>
      <c r="L679">
        <v>822.02225052926997</v>
      </c>
      <c r="M679">
        <v>15.054696917108901</v>
      </c>
      <c r="N679">
        <v>55.0454640061877</v>
      </c>
      <c r="O679">
        <v>53.666109282076</v>
      </c>
      <c r="P679">
        <v>-6.6135924771954804E-2</v>
      </c>
      <c r="Q679">
        <v>5.7063556579441899E-2</v>
      </c>
      <c r="R679">
        <v>0.99000905690997398</v>
      </c>
      <c r="S679" t="s">
        <v>7485</v>
      </c>
      <c r="T679" t="s">
        <v>13610</v>
      </c>
      <c r="U679" t="s">
        <v>13610</v>
      </c>
      <c r="V679" t="s">
        <v>13610</v>
      </c>
      <c r="W679" t="s">
        <v>14274</v>
      </c>
      <c r="X679">
        <v>12</v>
      </c>
      <c r="Y679" t="s">
        <v>20998</v>
      </c>
      <c r="Z679" t="s">
        <v>27534</v>
      </c>
      <c r="AA679">
        <v>0.53463266670832277</v>
      </c>
      <c r="AB679" t="str">
        <f>HYPERLINK("Melting_Curves/meltCurve_F8W8I6_TIA1.pdf", "Melting_Curves/meltCurve_F8W8I6_TIA1.pdf")</f>
        <v>Melting_Curves/meltCurve_F8W8I6_TIA1.pdf</v>
      </c>
    </row>
    <row r="680" spans="1:28" x14ac:dyDescent="0.25">
      <c r="A680" t="s">
        <v>684</v>
      </c>
      <c r="B680">
        <v>0.995954080203443</v>
      </c>
      <c r="C680">
        <v>0.88219315019684796</v>
      </c>
      <c r="D680">
        <v>1.0893009884919</v>
      </c>
      <c r="E680">
        <v>0.93682046525124696</v>
      </c>
      <c r="F680">
        <v>1.0152323050371199</v>
      </c>
      <c r="G680">
        <v>0.889725069887493</v>
      </c>
      <c r="H680">
        <v>0.74257148912295901</v>
      </c>
      <c r="I680">
        <v>0.85324186097323396</v>
      </c>
      <c r="J680">
        <v>0.99495281029180505</v>
      </c>
      <c r="K680">
        <v>0.91610648327091004</v>
      </c>
      <c r="L680">
        <v>14128.1627163174</v>
      </c>
      <c r="M680">
        <v>250</v>
      </c>
      <c r="O680">
        <v>56.509034482771099</v>
      </c>
      <c r="P680">
        <v>-0.136351912274562</v>
      </c>
      <c r="Q680">
        <v>0.876718161658398</v>
      </c>
      <c r="R680">
        <v>0.30319995309238301</v>
      </c>
      <c r="S680" t="s">
        <v>7486</v>
      </c>
      <c r="T680" t="s">
        <v>13610</v>
      </c>
      <c r="U680" t="s">
        <v>13610</v>
      </c>
      <c r="V680" t="s">
        <v>13610</v>
      </c>
      <c r="W680" t="s">
        <v>14275</v>
      </c>
      <c r="X680">
        <v>5</v>
      </c>
      <c r="Y680" t="s">
        <v>20999</v>
      </c>
      <c r="Z680" t="s">
        <v>27535</v>
      </c>
      <c r="AA680">
        <v>0.9445873870914393</v>
      </c>
      <c r="AB680" t="str">
        <f>HYPERLINK("Melting_Curves/meltCurve_F8W8M3_PPP1R12B.pdf", "Melting_Curves/meltCurve_F8W8M3_PPP1R12B.pdf")</f>
        <v>Melting_Curves/meltCurve_F8W8M3_PPP1R12B.pdf</v>
      </c>
    </row>
    <row r="681" spans="1:28" x14ac:dyDescent="0.25">
      <c r="A681" t="s">
        <v>685</v>
      </c>
      <c r="B681">
        <v>0.995954080203443</v>
      </c>
      <c r="C681">
        <v>1.02400096463426</v>
      </c>
      <c r="D681">
        <v>0.96966534001567695</v>
      </c>
      <c r="E681">
        <v>0.90976506194233298</v>
      </c>
      <c r="F681">
        <v>0.86536072337106695</v>
      </c>
      <c r="G681">
        <v>0.63782310993804803</v>
      </c>
      <c r="H681">
        <v>0.51542921603672098</v>
      </c>
      <c r="I681">
        <v>0.50493805229720701</v>
      </c>
      <c r="J681">
        <v>0.45731599552044699</v>
      </c>
      <c r="K681">
        <v>0.31988523013531001</v>
      </c>
      <c r="L681">
        <v>744.32849549139098</v>
      </c>
      <c r="M681">
        <v>12.9328072869713</v>
      </c>
      <c r="N681">
        <v>62.312190775151301</v>
      </c>
      <c r="O681">
        <v>56.229568826975203</v>
      </c>
      <c r="P681">
        <v>-3.94650172461622E-2</v>
      </c>
      <c r="Q681">
        <v>0.31377592174451202</v>
      </c>
      <c r="R681">
        <v>0.98051940461256604</v>
      </c>
      <c r="S681" t="s">
        <v>7487</v>
      </c>
      <c r="T681" t="s">
        <v>13610</v>
      </c>
      <c r="U681" t="s">
        <v>13610</v>
      </c>
      <c r="V681" t="s">
        <v>13610</v>
      </c>
      <c r="W681" t="s">
        <v>14276</v>
      </c>
      <c r="X681">
        <v>21</v>
      </c>
      <c r="Y681" t="s">
        <v>21000</v>
      </c>
      <c r="Z681" t="s">
        <v>27536</v>
      </c>
      <c r="AA681">
        <v>0.72550878376108963</v>
      </c>
      <c r="AB681" t="str">
        <f>HYPERLINK("Melting_Curves/meltCurve_F8W964_TLE3.pdf", "Melting_Curves/meltCurve_F8W964_TLE3.pdf")</f>
        <v>Melting_Curves/meltCurve_F8W964_TLE3.pdf</v>
      </c>
    </row>
    <row r="682" spans="1:28" x14ac:dyDescent="0.25">
      <c r="A682" t="s">
        <v>686</v>
      </c>
      <c r="B682">
        <v>0.995954080203443</v>
      </c>
      <c r="C682">
        <v>0.96193636344877198</v>
      </c>
      <c r="D682">
        <v>1.0406293042902599</v>
      </c>
      <c r="E682">
        <v>0.86285252790787803</v>
      </c>
      <c r="F682">
        <v>0.86969753535683203</v>
      </c>
      <c r="G682">
        <v>0.71554864150696096</v>
      </c>
      <c r="H682">
        <v>0.70110515286336705</v>
      </c>
      <c r="I682">
        <v>0.82598226741181302</v>
      </c>
      <c r="J682">
        <v>0.90623802483078397</v>
      </c>
      <c r="K682">
        <v>0.97967336730659305</v>
      </c>
      <c r="L682">
        <v>5893.8133935477899</v>
      </c>
      <c r="M682">
        <v>119.39700608477899</v>
      </c>
      <c r="O682">
        <v>49.349320327181303</v>
      </c>
      <c r="P682">
        <v>-0.101000726668088</v>
      </c>
      <c r="Q682">
        <v>0.83301703551612305</v>
      </c>
      <c r="R682">
        <v>0.47232924290265799</v>
      </c>
      <c r="S682" t="s">
        <v>7488</v>
      </c>
      <c r="T682" t="s">
        <v>13610</v>
      </c>
      <c r="U682" t="s">
        <v>13610</v>
      </c>
      <c r="V682" t="s">
        <v>13610</v>
      </c>
      <c r="W682" t="s">
        <v>14277</v>
      </c>
      <c r="X682">
        <v>22</v>
      </c>
      <c r="Y682" t="s">
        <v>21001</v>
      </c>
      <c r="Z682" t="s">
        <v>27537</v>
      </c>
      <c r="AA682">
        <v>0.88519677345223791</v>
      </c>
      <c r="AB682" t="str">
        <f>HYPERLINK("Melting_Curves/meltCurve_F8W9F9_WNK2.pdf", "Melting_Curves/meltCurve_F8W9F9_WNK2.pdf")</f>
        <v>Melting_Curves/meltCurve_F8W9F9_WNK2.pdf</v>
      </c>
    </row>
    <row r="683" spans="1:28" x14ac:dyDescent="0.25">
      <c r="A683" t="s">
        <v>687</v>
      </c>
      <c r="B683">
        <v>0.995954080203443</v>
      </c>
      <c r="C683">
        <v>0.596290788346858</v>
      </c>
      <c r="D683">
        <v>0.43266783136064801</v>
      </c>
      <c r="E683">
        <v>0.50288025231486899</v>
      </c>
      <c r="F683">
        <v>0.25398937740579403</v>
      </c>
      <c r="G683">
        <v>0.173277652219198</v>
      </c>
      <c r="H683">
        <v>0.112724734604781</v>
      </c>
      <c r="I683">
        <v>0.10098853122456</v>
      </c>
      <c r="J683">
        <v>0.108247662500863</v>
      </c>
      <c r="K683">
        <v>0.12890673793505</v>
      </c>
      <c r="L683">
        <v>491.028046859472</v>
      </c>
      <c r="M683">
        <v>10.7055627953509</v>
      </c>
      <c r="N683">
        <v>46.659992892582302</v>
      </c>
      <c r="O683">
        <v>44.3531008275353</v>
      </c>
      <c r="P683">
        <v>-5.5342316140572098E-2</v>
      </c>
      <c r="Q683">
        <v>8.3211106532207202E-2</v>
      </c>
      <c r="R683">
        <v>0.90829772454243296</v>
      </c>
      <c r="S683" t="s">
        <v>7489</v>
      </c>
      <c r="T683" t="s">
        <v>13610</v>
      </c>
      <c r="U683" t="s">
        <v>13610</v>
      </c>
      <c r="V683" t="s">
        <v>13610</v>
      </c>
      <c r="W683" t="s">
        <v>14278</v>
      </c>
      <c r="X683">
        <v>8</v>
      </c>
      <c r="Y683" t="s">
        <v>21002</v>
      </c>
      <c r="Z683" t="s">
        <v>27538</v>
      </c>
      <c r="AA683">
        <v>0.31427343150325249</v>
      </c>
      <c r="AB683" t="str">
        <f>HYPERLINK("Melting_Curves/meltCurve_F8W9R9_MED24.pdf", "Melting_Curves/meltCurve_F8W9R9_MED24.pdf")</f>
        <v>Melting_Curves/meltCurve_F8W9R9_MED24.pdf</v>
      </c>
    </row>
    <row r="684" spans="1:28" x14ac:dyDescent="0.25">
      <c r="A684" t="s">
        <v>688</v>
      </c>
      <c r="B684">
        <v>0.995954080203443</v>
      </c>
      <c r="C684">
        <v>0.592548588435588</v>
      </c>
      <c r="D684">
        <v>0.36119956255642399</v>
      </c>
      <c r="E684">
        <v>0.27946602443969698</v>
      </c>
      <c r="F684">
        <v>0.225206098625367</v>
      </c>
      <c r="G684">
        <v>0.20975617056158599</v>
      </c>
      <c r="H684">
        <v>0.18907911297511501</v>
      </c>
      <c r="I684">
        <v>0.198425905822743</v>
      </c>
      <c r="J684">
        <v>0.27879479269502699</v>
      </c>
      <c r="K684">
        <v>0.28829225143975001</v>
      </c>
      <c r="L684">
        <v>1429.0024361354799</v>
      </c>
      <c r="M684">
        <v>33.280887734433499</v>
      </c>
      <c r="N684">
        <v>43.804927362253402</v>
      </c>
      <c r="O684">
        <v>42.7835166175187</v>
      </c>
      <c r="P684">
        <v>-0.14754748700737499</v>
      </c>
      <c r="Q684">
        <v>0.24129791056511099</v>
      </c>
      <c r="R684">
        <v>0.97056764000102802</v>
      </c>
      <c r="S684" t="s">
        <v>7490</v>
      </c>
      <c r="T684" t="s">
        <v>13610</v>
      </c>
      <c r="U684" t="s">
        <v>13610</v>
      </c>
      <c r="V684" t="s">
        <v>13610</v>
      </c>
      <c r="W684" t="s">
        <v>14279</v>
      </c>
      <c r="X684">
        <v>3</v>
      </c>
      <c r="Y684" t="s">
        <v>21003</v>
      </c>
      <c r="Z684" t="s">
        <v>27539</v>
      </c>
      <c r="AA684">
        <v>0.32108981467715658</v>
      </c>
      <c r="AB684" t="str">
        <f>HYPERLINK("Melting_Curves/meltCurve_F8W9W2_GRK6.pdf", "Melting_Curves/meltCurve_F8W9W2_GRK6.pdf")</f>
        <v>Melting_Curves/meltCurve_F8W9W2_GRK6.pdf</v>
      </c>
    </row>
    <row r="685" spans="1:28" x14ac:dyDescent="0.25">
      <c r="A685" t="s">
        <v>689</v>
      </c>
      <c r="B685">
        <v>0.995954080203443</v>
      </c>
      <c r="C685">
        <v>0.67697964028536095</v>
      </c>
      <c r="D685">
        <v>0.45486506605466498</v>
      </c>
      <c r="E685">
        <v>0.39014453382609499</v>
      </c>
      <c r="F685">
        <v>0.12045064166806101</v>
      </c>
      <c r="G685">
        <v>7.1663842312107595E-2</v>
      </c>
      <c r="H685">
        <v>5.4720086865573801E-2</v>
      </c>
      <c r="I685">
        <v>5.1282241781207397E-2</v>
      </c>
      <c r="J685">
        <v>6.6666615238348798E-2</v>
      </c>
      <c r="K685">
        <v>5.5178361206936699E-2</v>
      </c>
      <c r="L685">
        <v>642.56626228935295</v>
      </c>
      <c r="M685">
        <v>14.008248003472801</v>
      </c>
      <c r="N685">
        <v>46.1408487935553</v>
      </c>
      <c r="O685">
        <v>44.966124506439797</v>
      </c>
      <c r="P685">
        <v>-7.48243245456644E-2</v>
      </c>
      <c r="Q685">
        <v>3.93903882669474E-2</v>
      </c>
      <c r="R685">
        <v>0.963746025491095</v>
      </c>
      <c r="S685" t="s">
        <v>7491</v>
      </c>
      <c r="T685" t="s">
        <v>13610</v>
      </c>
      <c r="U685" t="s">
        <v>13610</v>
      </c>
      <c r="V685" t="s">
        <v>13610</v>
      </c>
      <c r="W685" t="s">
        <v>14280</v>
      </c>
      <c r="X685">
        <v>24</v>
      </c>
      <c r="Y685" t="s">
        <v>21004</v>
      </c>
      <c r="Z685" t="s">
        <v>27540</v>
      </c>
      <c r="AA685">
        <v>0.26005119053249182</v>
      </c>
      <c r="AB685" t="str">
        <f>HYPERLINK("Melting_Curves/meltCurve_F8W9X7_CCDC93.pdf", "Melting_Curves/meltCurve_F8W9X7_CCDC93.pdf")</f>
        <v>Melting_Curves/meltCurve_F8W9X7_CCDC93.pdf</v>
      </c>
    </row>
    <row r="686" spans="1:28" x14ac:dyDescent="0.25">
      <c r="A686" t="s">
        <v>690</v>
      </c>
      <c r="B686">
        <v>0.995954080203443</v>
      </c>
      <c r="C686">
        <v>0.98012881166978805</v>
      </c>
      <c r="D686">
        <v>0.98944369211467198</v>
      </c>
      <c r="E686">
        <v>0.84928019057227</v>
      </c>
      <c r="F686">
        <v>0.79055344933418303</v>
      </c>
      <c r="G686">
        <v>0.54535626001020698</v>
      </c>
      <c r="H686">
        <v>0.53863850698778104</v>
      </c>
      <c r="I686">
        <v>0.65084686037194195</v>
      </c>
      <c r="J686">
        <v>0.76861456293887698</v>
      </c>
      <c r="K686">
        <v>0.75573675387942896</v>
      </c>
      <c r="L686">
        <v>1600.0653983720099</v>
      </c>
      <c r="M686">
        <v>31.471073701589699</v>
      </c>
      <c r="O686">
        <v>50.638454017910199</v>
      </c>
      <c r="P686">
        <v>-5.3224633134093799E-2</v>
      </c>
      <c r="Q686">
        <v>0.65743799788685797</v>
      </c>
      <c r="R686">
        <v>0.78884954478789704</v>
      </c>
      <c r="S686" t="s">
        <v>7492</v>
      </c>
      <c r="T686" t="s">
        <v>13610</v>
      </c>
      <c r="U686" t="s">
        <v>13610</v>
      </c>
      <c r="V686" t="s">
        <v>13610</v>
      </c>
      <c r="W686" t="s">
        <v>14281</v>
      </c>
      <c r="X686">
        <v>4</v>
      </c>
      <c r="Y686" t="s">
        <v>21005</v>
      </c>
      <c r="Z686" t="s">
        <v>27541</v>
      </c>
      <c r="AA686">
        <v>0.7831960110622791</v>
      </c>
      <c r="AB686" t="str">
        <f>HYPERLINK("Melting_Curves/meltCurve_F8WA13_MYCBP2.pdf", "Melting_Curves/meltCurve_F8WA13_MYCBP2.pdf")</f>
        <v>Melting_Curves/meltCurve_F8WA13_MYCBP2.pdf</v>
      </c>
    </row>
    <row r="687" spans="1:28" x14ac:dyDescent="0.25">
      <c r="A687" t="s">
        <v>691</v>
      </c>
      <c r="B687">
        <v>0.995954080203443</v>
      </c>
      <c r="C687">
        <v>1.06392546195614</v>
      </c>
      <c r="D687">
        <v>1.04747940522314</v>
      </c>
      <c r="E687">
        <v>0.96645723820228502</v>
      </c>
      <c r="F687">
        <v>0.86826598806683497</v>
      </c>
      <c r="G687">
        <v>0.60298551966861402</v>
      </c>
      <c r="H687">
        <v>0.50964919701857203</v>
      </c>
      <c r="I687">
        <v>0.61214034330983902</v>
      </c>
      <c r="J687">
        <v>0.63614320496801802</v>
      </c>
      <c r="K687">
        <v>0.688840816399518</v>
      </c>
      <c r="L687">
        <v>3685.76690930718</v>
      </c>
      <c r="M687">
        <v>68.886936706256407</v>
      </c>
      <c r="O687">
        <v>53.459548984129</v>
      </c>
      <c r="P687">
        <v>-0.125983114862326</v>
      </c>
      <c r="Q687">
        <v>0.60892447618220802</v>
      </c>
      <c r="R687">
        <v>0.93881059943982004</v>
      </c>
      <c r="S687" t="s">
        <v>7493</v>
      </c>
      <c r="T687" t="s">
        <v>13610</v>
      </c>
      <c r="U687" t="s">
        <v>13610</v>
      </c>
      <c r="V687" t="s">
        <v>13610</v>
      </c>
      <c r="W687" t="s">
        <v>14282</v>
      </c>
      <c r="X687">
        <v>3</v>
      </c>
      <c r="Y687" t="s">
        <v>21006</v>
      </c>
      <c r="Z687" t="s">
        <v>27542</v>
      </c>
      <c r="AA687">
        <v>0.78545318035627909</v>
      </c>
      <c r="AB687" t="str">
        <f>HYPERLINK("Melting_Curves/meltCurve_F8WA86_CNN3.pdf", "Melting_Curves/meltCurve_F8WA86_CNN3.pdf")</f>
        <v>Melting_Curves/meltCurve_F8WA86_CNN3.pdf</v>
      </c>
    </row>
    <row r="688" spans="1:28" x14ac:dyDescent="0.25">
      <c r="A688" t="s">
        <v>692</v>
      </c>
      <c r="B688">
        <v>0.995954080203443</v>
      </c>
      <c r="C688">
        <v>0.832553940814733</v>
      </c>
      <c r="D688">
        <v>0.72434289599797896</v>
      </c>
      <c r="E688">
        <v>0.48773835727665898</v>
      </c>
      <c r="F688">
        <v>0.60636186127412695</v>
      </c>
      <c r="G688">
        <v>0.41803018536295</v>
      </c>
      <c r="H688">
        <v>0.45001591777080302</v>
      </c>
      <c r="I688">
        <v>0.58930578807368095</v>
      </c>
      <c r="J688">
        <v>0.459788811089619</v>
      </c>
      <c r="K688">
        <v>0.59792933024323403</v>
      </c>
      <c r="L688">
        <v>1006.39480281551</v>
      </c>
      <c r="M688">
        <v>22.462122633041101</v>
      </c>
      <c r="O688">
        <v>44.453510538688903</v>
      </c>
      <c r="P688">
        <v>-6.1965777719437398E-2</v>
      </c>
      <c r="Q688">
        <v>0.50947836503780397</v>
      </c>
      <c r="R688">
        <v>0.85932202962580595</v>
      </c>
      <c r="S688" t="s">
        <v>7494</v>
      </c>
      <c r="T688" t="s">
        <v>13610</v>
      </c>
      <c r="U688" t="s">
        <v>13610</v>
      </c>
      <c r="V688" t="s">
        <v>13610</v>
      </c>
      <c r="W688" t="s">
        <v>14283</v>
      </c>
      <c r="X688">
        <v>2</v>
      </c>
      <c r="Y688" t="s">
        <v>21007</v>
      </c>
      <c r="Z688" t="s">
        <v>27543</v>
      </c>
      <c r="AA688">
        <v>0.594488235385351</v>
      </c>
      <c r="AB688" t="str">
        <f>HYPERLINK("Melting_Curves/meltCurve_F8WAJ0_DDX31.pdf", "Melting_Curves/meltCurve_F8WAJ0_DDX31.pdf")</f>
        <v>Melting_Curves/meltCurve_F8WAJ0_DDX31.pdf</v>
      </c>
    </row>
    <row r="689" spans="1:28" x14ac:dyDescent="0.25">
      <c r="A689" t="s">
        <v>693</v>
      </c>
      <c r="B689">
        <v>0.995954080203443</v>
      </c>
      <c r="C689">
        <v>0.75406426248616398</v>
      </c>
      <c r="D689">
        <v>0.62586172802685003</v>
      </c>
      <c r="E689">
        <v>0.69849249198212804</v>
      </c>
      <c r="F689">
        <v>0.30554223394316699</v>
      </c>
      <c r="G689">
        <v>0.107571544267535</v>
      </c>
      <c r="H689">
        <v>6.0913724345134E-2</v>
      </c>
      <c r="I689">
        <v>5.1681867036124797E-2</v>
      </c>
      <c r="J689">
        <v>6.3318590398921501E-2</v>
      </c>
      <c r="K689">
        <v>5.2844418245307702E-2</v>
      </c>
      <c r="L689">
        <v>562.22590957621799</v>
      </c>
      <c r="M689">
        <v>11.297609397976901</v>
      </c>
      <c r="N689">
        <v>49.7650334444523</v>
      </c>
      <c r="O689">
        <v>48.282297216334896</v>
      </c>
      <c r="P689">
        <v>-5.8515487841336901E-2</v>
      </c>
      <c r="Q689">
        <v>0</v>
      </c>
      <c r="R689">
        <v>0.93326828295031306</v>
      </c>
      <c r="S689" t="s">
        <v>7495</v>
      </c>
      <c r="T689" t="s">
        <v>13610</v>
      </c>
      <c r="U689" t="s">
        <v>13610</v>
      </c>
      <c r="V689" t="s">
        <v>13610</v>
      </c>
      <c r="W689" t="s">
        <v>14284</v>
      </c>
      <c r="X689">
        <v>36</v>
      </c>
      <c r="Y689" t="s">
        <v>21008</v>
      </c>
      <c r="Z689" t="s">
        <v>27544</v>
      </c>
      <c r="AA689">
        <v>0.36405734709422838</v>
      </c>
      <c r="AB689" t="str">
        <f>HYPERLINK("Melting_Curves/meltCurve_F8WAK8_STAG2.pdf", "Melting_Curves/meltCurve_F8WAK8_STAG2.pdf")</f>
        <v>Melting_Curves/meltCurve_F8WAK8_STAG2.pdf</v>
      </c>
    </row>
    <row r="690" spans="1:28" x14ac:dyDescent="0.25">
      <c r="A690" t="s">
        <v>694</v>
      </c>
      <c r="B690">
        <v>0.995954080203443</v>
      </c>
      <c r="C690">
        <v>1.2200785606547599</v>
      </c>
      <c r="D690">
        <v>1.23212466163926</v>
      </c>
      <c r="E690">
        <v>1.21542900770671</v>
      </c>
      <c r="F690">
        <v>1.11602187906068</v>
      </c>
      <c r="G690">
        <v>0.99959117770017403</v>
      </c>
      <c r="H690">
        <v>0.95258477830190602</v>
      </c>
      <c r="I690">
        <v>1.3599836104419201</v>
      </c>
      <c r="J690">
        <v>1.1344289222411501</v>
      </c>
      <c r="K690">
        <v>1.5769428011123301</v>
      </c>
      <c r="L690">
        <v>10319.196333793299</v>
      </c>
      <c r="M690">
        <v>250</v>
      </c>
      <c r="O690">
        <v>41.2741438822246</v>
      </c>
      <c r="P690">
        <v>0.30406414079676197</v>
      </c>
      <c r="Q690">
        <v>1.20079979337203</v>
      </c>
      <c r="R690">
        <v>0.11801893173530301</v>
      </c>
      <c r="S690" t="s">
        <v>7496</v>
      </c>
      <c r="T690" t="s">
        <v>13610</v>
      </c>
      <c r="U690" t="s">
        <v>13610</v>
      </c>
      <c r="V690" t="s">
        <v>13610</v>
      </c>
      <c r="W690" t="s">
        <v>14285</v>
      </c>
      <c r="X690">
        <v>2</v>
      </c>
      <c r="Y690" t="s">
        <v>21009</v>
      </c>
      <c r="Z690" t="s">
        <v>27545</v>
      </c>
      <c r="AA690">
        <v>1.192238953934454</v>
      </c>
      <c r="AB690" t="str">
        <f>HYPERLINK("Melting_Curves/meltCurve_F8WAM4_RTN4.pdf", "Melting_Curves/meltCurve_F8WAM4_RTN4.pdf")</f>
        <v>Melting_Curves/meltCurve_F8WAM4_RTN4.pdf</v>
      </c>
    </row>
    <row r="691" spans="1:28" x14ac:dyDescent="0.25">
      <c r="A691" t="s">
        <v>695</v>
      </c>
      <c r="B691">
        <v>0.995954080203443</v>
      </c>
      <c r="C691">
        <v>0.83441044767632999</v>
      </c>
      <c r="D691">
        <v>0.76679593762413301</v>
      </c>
      <c r="E691">
        <v>0.65989747016249001</v>
      </c>
      <c r="F691">
        <v>0.47253628727417202</v>
      </c>
      <c r="G691">
        <v>0.32996225464812301</v>
      </c>
      <c r="H691">
        <v>0.25348907665683901</v>
      </c>
      <c r="I691">
        <v>0.239128703876897</v>
      </c>
      <c r="J691">
        <v>0.28041204640071998</v>
      </c>
      <c r="K691">
        <v>0.26623444779475602</v>
      </c>
      <c r="L691">
        <v>577.41125728857799</v>
      </c>
      <c r="M691">
        <v>11.5810054281632</v>
      </c>
      <c r="N691">
        <v>52.288089076711103</v>
      </c>
      <c r="O691">
        <v>48.441416137700799</v>
      </c>
      <c r="P691">
        <v>-4.7344788349758402E-2</v>
      </c>
      <c r="Q691">
        <v>0.20807764591030201</v>
      </c>
      <c r="R691">
        <v>0.97976237131872301</v>
      </c>
      <c r="S691" t="s">
        <v>7497</v>
      </c>
      <c r="T691" t="s">
        <v>13610</v>
      </c>
      <c r="U691" t="s">
        <v>13610</v>
      </c>
      <c r="V691" t="s">
        <v>13610</v>
      </c>
      <c r="W691" t="s">
        <v>14286</v>
      </c>
      <c r="X691">
        <v>3</v>
      </c>
      <c r="Y691" t="s">
        <v>21010</v>
      </c>
      <c r="Z691" t="s">
        <v>27546</v>
      </c>
      <c r="AA691">
        <v>0.49753428389662901</v>
      </c>
      <c r="AB691" t="str">
        <f>HYPERLINK("Melting_Curves/meltCurve_F8WAS3_NDUFA5.pdf", "Melting_Curves/meltCurve_F8WAS3_NDUFA5.pdf")</f>
        <v>Melting_Curves/meltCurve_F8WAS3_NDUFA5.pdf</v>
      </c>
    </row>
    <row r="692" spans="1:28" x14ac:dyDescent="0.25">
      <c r="A692" t="s">
        <v>696</v>
      </c>
      <c r="B692">
        <v>0.995954080203443</v>
      </c>
      <c r="C692">
        <v>0.89338839831304295</v>
      </c>
      <c r="D692">
        <v>0.67095585131075497</v>
      </c>
      <c r="E692">
        <v>0.83645532468432904</v>
      </c>
      <c r="F692">
        <v>0.53472774522595101</v>
      </c>
      <c r="G692">
        <v>0.425101856062578</v>
      </c>
      <c r="H692">
        <v>0.17736647600111299</v>
      </c>
      <c r="I692">
        <v>0</v>
      </c>
      <c r="J692">
        <v>0.155765786012656</v>
      </c>
      <c r="K692">
        <v>0</v>
      </c>
      <c r="L692">
        <v>607.14099311121902</v>
      </c>
      <c r="M692">
        <v>11.296854766395899</v>
      </c>
      <c r="N692">
        <v>53.744250054415502</v>
      </c>
      <c r="O692">
        <v>52.142749027629101</v>
      </c>
      <c r="P692">
        <v>-5.4179605441598097E-2</v>
      </c>
      <c r="Q692">
        <v>0</v>
      </c>
      <c r="R692">
        <v>0.92347317886730995</v>
      </c>
      <c r="S692" t="s">
        <v>7498</v>
      </c>
      <c r="T692" t="s">
        <v>13610</v>
      </c>
      <c r="U692" t="s">
        <v>13610</v>
      </c>
      <c r="V692" t="s">
        <v>13610</v>
      </c>
      <c r="W692" t="s">
        <v>14287</v>
      </c>
      <c r="X692">
        <v>2</v>
      </c>
      <c r="Y692" t="s">
        <v>20983</v>
      </c>
      <c r="Z692" t="s">
        <v>27547</v>
      </c>
      <c r="AA692">
        <v>0.48644156745373007</v>
      </c>
      <c r="AB692" t="str">
        <f>HYPERLINK("Melting_Curves/meltCurve_F8WB05_ATXN2.pdf", "Melting_Curves/meltCurve_F8WB05_ATXN2.pdf")</f>
        <v>Melting_Curves/meltCurve_F8WB05_ATXN2.pdf</v>
      </c>
    </row>
    <row r="693" spans="1:28" x14ac:dyDescent="0.25">
      <c r="A693" t="s">
        <v>697</v>
      </c>
      <c r="B693">
        <v>0.995954080203443</v>
      </c>
      <c r="C693">
        <v>1.02807080767805</v>
      </c>
      <c r="D693">
        <v>1.5908083954394401</v>
      </c>
      <c r="E693">
        <v>1.19853883767353</v>
      </c>
      <c r="F693">
        <v>1.93815543796215</v>
      </c>
      <c r="G693">
        <v>1.6415870334231699</v>
      </c>
      <c r="H693">
        <v>1.6135049991341099</v>
      </c>
      <c r="I693">
        <v>2.2528951729875</v>
      </c>
      <c r="J693">
        <v>2.5181902253636599</v>
      </c>
      <c r="K693">
        <v>2.35416437775545</v>
      </c>
      <c r="L693">
        <v>10846.066304555299</v>
      </c>
      <c r="M693">
        <v>250</v>
      </c>
      <c r="O693">
        <v>43.381489228643098</v>
      </c>
      <c r="P693">
        <v>0.72035333087043896</v>
      </c>
      <c r="Q693">
        <v>1.5</v>
      </c>
      <c r="R693">
        <v>8.3136501669077694E-3</v>
      </c>
      <c r="S693" t="s">
        <v>7499</v>
      </c>
      <c r="T693" t="s">
        <v>13610</v>
      </c>
      <c r="U693" t="s">
        <v>13610</v>
      </c>
      <c r="V693" t="s">
        <v>13610</v>
      </c>
      <c r="W693" t="s">
        <v>14287</v>
      </c>
      <c r="X693">
        <v>32</v>
      </c>
      <c r="Y693" t="s">
        <v>20983</v>
      </c>
      <c r="Z693" t="s">
        <v>27548</v>
      </c>
      <c r="AA693">
        <v>1.443557510339609</v>
      </c>
      <c r="AB693" t="str">
        <f>HYPERLINK("Melting_Curves/meltCurve_F8WB06_ATXN2.pdf", "Melting_Curves/meltCurve_F8WB06_ATXN2.pdf")</f>
        <v>Melting_Curves/meltCurve_F8WB06_ATXN2.pdf</v>
      </c>
    </row>
    <row r="694" spans="1:28" x14ac:dyDescent="0.25">
      <c r="A694" t="s">
        <v>698</v>
      </c>
      <c r="B694">
        <v>0.995954080203443</v>
      </c>
      <c r="C694">
        <v>0.79924399605988095</v>
      </c>
      <c r="D694">
        <v>0.83431866343184502</v>
      </c>
      <c r="E694">
        <v>0.69087969576888797</v>
      </c>
      <c r="F694">
        <v>0.75898415707531897</v>
      </c>
      <c r="G694">
        <v>0.61031084941018199</v>
      </c>
      <c r="H694">
        <v>0.73740434902607099</v>
      </c>
      <c r="I694">
        <v>1.0330431700271001</v>
      </c>
      <c r="J694">
        <v>1.0444018559130499</v>
      </c>
      <c r="K694">
        <v>1.2111197649900201</v>
      </c>
      <c r="L694">
        <v>3921.6005183468601</v>
      </c>
      <c r="M694">
        <v>56.782874954728499</v>
      </c>
      <c r="O694">
        <v>68.977575975927294</v>
      </c>
      <c r="P694">
        <v>6.3748858223822605E-2</v>
      </c>
      <c r="Q694">
        <v>1.3097581751649501</v>
      </c>
      <c r="R694">
        <v>-0.36406401144121098</v>
      </c>
      <c r="S694" t="s">
        <v>7500</v>
      </c>
      <c r="T694" t="s">
        <v>13610</v>
      </c>
      <c r="U694" t="s">
        <v>13610</v>
      </c>
      <c r="V694" t="s">
        <v>13610</v>
      </c>
      <c r="W694" t="s">
        <v>14288</v>
      </c>
      <c r="X694">
        <v>3</v>
      </c>
      <c r="Y694" t="s">
        <v>21011</v>
      </c>
      <c r="Z694" t="s">
        <v>27549</v>
      </c>
      <c r="AA694">
        <v>1.014099212398373</v>
      </c>
      <c r="AB694" t="str">
        <f>HYPERLINK("Melting_Curves/meltCurve_F8WBJ6_PNO1.pdf", "Melting_Curves/meltCurve_F8WBJ6_PNO1.pdf")</f>
        <v>Melting_Curves/meltCurve_F8WBJ6_PNO1.pdf</v>
      </c>
    </row>
    <row r="695" spans="1:28" x14ac:dyDescent="0.25">
      <c r="A695" t="s">
        <v>699</v>
      </c>
      <c r="B695">
        <v>0.995954080203443</v>
      </c>
      <c r="C695">
        <v>0.90042757685768204</v>
      </c>
      <c r="D695">
        <v>0.844808649285402</v>
      </c>
      <c r="E695">
        <v>0.72345681579228505</v>
      </c>
      <c r="F695">
        <v>0.575491537151817</v>
      </c>
      <c r="G695">
        <v>0.34367794416040398</v>
      </c>
      <c r="H695">
        <v>0.271571038454612</v>
      </c>
      <c r="I695">
        <v>0.29043265331752399</v>
      </c>
      <c r="J695">
        <v>0.27632104360658499</v>
      </c>
      <c r="K695">
        <v>0.26444527888082903</v>
      </c>
      <c r="L695">
        <v>687.91573111754599</v>
      </c>
      <c r="M695">
        <v>13.3515527308684</v>
      </c>
      <c r="N695">
        <v>53.927456832555897</v>
      </c>
      <c r="O695">
        <v>50.408618107935801</v>
      </c>
      <c r="P695">
        <v>-5.1373485294564897E-2</v>
      </c>
      <c r="Q695">
        <v>0.22428373652655401</v>
      </c>
      <c r="R695">
        <v>0.98677162863952494</v>
      </c>
      <c r="S695" t="s">
        <v>7501</v>
      </c>
      <c r="T695" t="s">
        <v>13610</v>
      </c>
      <c r="U695" t="s">
        <v>13610</v>
      </c>
      <c r="V695" t="s">
        <v>13610</v>
      </c>
      <c r="W695" t="s">
        <v>14289</v>
      </c>
      <c r="X695">
        <v>5</v>
      </c>
      <c r="Y695" t="s">
        <v>21012</v>
      </c>
      <c r="Z695" t="s">
        <v>27550</v>
      </c>
      <c r="AA695">
        <v>0.54330438688379845</v>
      </c>
      <c r="AB695" t="str">
        <f>HYPERLINK("Melting_Curves/meltCurve_F8WBK5_MRPL40.pdf", "Melting_Curves/meltCurve_F8WBK5_MRPL40.pdf")</f>
        <v>Melting_Curves/meltCurve_F8WBK5_MRPL40.pdf</v>
      </c>
    </row>
    <row r="696" spans="1:28" x14ac:dyDescent="0.25">
      <c r="A696" t="s">
        <v>700</v>
      </c>
      <c r="B696">
        <v>0.995954080203443</v>
      </c>
      <c r="C696">
        <v>0.82153275953104399</v>
      </c>
      <c r="D696">
        <v>0.56450139040004899</v>
      </c>
      <c r="E696">
        <v>0.37131441849625602</v>
      </c>
      <c r="F696">
        <v>0.19227020439796599</v>
      </c>
      <c r="G696">
        <v>8.7835595449559198E-2</v>
      </c>
      <c r="H696">
        <v>6.5110214389016499E-2</v>
      </c>
      <c r="I696">
        <v>5.60537235243821E-2</v>
      </c>
      <c r="J696">
        <v>6.6486070770887806E-2</v>
      </c>
      <c r="K696">
        <v>5.6079816956260402E-2</v>
      </c>
      <c r="L696">
        <v>716.10152546408904</v>
      </c>
      <c r="M696">
        <v>15.199705153042601</v>
      </c>
      <c r="N696">
        <v>47.403515443525002</v>
      </c>
      <c r="O696">
        <v>46.3199501897031</v>
      </c>
      <c r="P696">
        <v>-7.8393925876783094E-2</v>
      </c>
      <c r="Q696">
        <v>4.4493638467616399E-2</v>
      </c>
      <c r="R696">
        <v>0.99282935823782403</v>
      </c>
      <c r="S696" t="s">
        <v>7502</v>
      </c>
      <c r="T696" t="s">
        <v>13610</v>
      </c>
      <c r="U696" t="s">
        <v>13610</v>
      </c>
      <c r="V696" t="s">
        <v>13610</v>
      </c>
      <c r="W696" t="s">
        <v>14290</v>
      </c>
      <c r="X696">
        <v>3</v>
      </c>
      <c r="Y696" t="s">
        <v>21013</v>
      </c>
      <c r="Z696" t="s">
        <v>27551</v>
      </c>
      <c r="AA696">
        <v>0.29612960269009297</v>
      </c>
      <c r="AB696" t="str">
        <f>HYPERLINK("Melting_Curves/meltCurve_F8WBS5_RPL35A.pdf", "Melting_Curves/meltCurve_F8WBS5_RPL35A.pdf")</f>
        <v>Melting_Curves/meltCurve_F8WBS5_RPL35A.pdf</v>
      </c>
    </row>
    <row r="697" spans="1:28" x14ac:dyDescent="0.25">
      <c r="A697" t="s">
        <v>701</v>
      </c>
      <c r="B697">
        <v>0.995954080203443</v>
      </c>
      <c r="C697">
        <v>1.03215722809447</v>
      </c>
      <c r="D697">
        <v>0.99751904496585897</v>
      </c>
      <c r="E697">
        <v>0.57161018105365202</v>
      </c>
      <c r="F697">
        <v>0.224594084836094</v>
      </c>
      <c r="G697">
        <v>0.110066868009112</v>
      </c>
      <c r="H697">
        <v>6.0571351063246903E-2</v>
      </c>
      <c r="I697">
        <v>6.1803268797578199E-2</v>
      </c>
      <c r="J697">
        <v>8.3300967608274198E-2</v>
      </c>
      <c r="K697">
        <v>5.9307531993822403E-2</v>
      </c>
      <c r="L697">
        <v>1713.06298053569</v>
      </c>
      <c r="M697">
        <v>34.049376937103602</v>
      </c>
      <c r="N697">
        <v>50.542390836449002</v>
      </c>
      <c r="O697">
        <v>50.138549483811197</v>
      </c>
      <c r="P697">
        <v>-0.15753013527471901</v>
      </c>
      <c r="Q697">
        <v>7.2135574302496605E-2</v>
      </c>
      <c r="R697">
        <v>0.99777781719747405</v>
      </c>
      <c r="S697" t="s">
        <v>7503</v>
      </c>
      <c r="T697" t="s">
        <v>13610</v>
      </c>
      <c r="U697" t="s">
        <v>13610</v>
      </c>
      <c r="V697" t="s">
        <v>13610</v>
      </c>
      <c r="W697" t="s">
        <v>14291</v>
      </c>
      <c r="X697">
        <v>1</v>
      </c>
      <c r="Y697" t="s">
        <v>20384</v>
      </c>
      <c r="Z697" t="s">
        <v>27552</v>
      </c>
      <c r="AA697">
        <v>0.39551416701054182</v>
      </c>
      <c r="AB697" t="str">
        <f>HYPERLINK("Melting_Curves/meltCurve_F8WBU4_SFI1.pdf", "Melting_Curves/meltCurve_F8WBU4_SFI1.pdf")</f>
        <v>Melting_Curves/meltCurve_F8WBU4_SFI1.pdf</v>
      </c>
    </row>
    <row r="698" spans="1:28" x14ac:dyDescent="0.25">
      <c r="A698" t="s">
        <v>702</v>
      </c>
      <c r="B698">
        <v>0.995954080203443</v>
      </c>
      <c r="C698">
        <v>0.96109989930907602</v>
      </c>
      <c r="D698">
        <v>0.73376534384930403</v>
      </c>
      <c r="E698">
        <v>0.43468701786802699</v>
      </c>
      <c r="F698">
        <v>0.23088797682319501</v>
      </c>
      <c r="G698">
        <v>0.14699199799544899</v>
      </c>
      <c r="H698">
        <v>9.56695716027086E-2</v>
      </c>
      <c r="I698">
        <v>7.8604767586271204E-2</v>
      </c>
      <c r="J698">
        <v>8.8842887584552693E-2</v>
      </c>
      <c r="K698">
        <v>8.7445460480992804E-2</v>
      </c>
      <c r="L698">
        <v>910.54020358552805</v>
      </c>
      <c r="M698">
        <v>18.747468721137899</v>
      </c>
      <c r="N698">
        <v>49.0286215592673</v>
      </c>
      <c r="O698">
        <v>48.026208040479403</v>
      </c>
      <c r="P698">
        <v>-8.9724520687747805E-2</v>
      </c>
      <c r="Q698">
        <v>8.0633756428685199E-2</v>
      </c>
      <c r="R698">
        <v>0.99796350669733602</v>
      </c>
      <c r="S698" t="s">
        <v>7504</v>
      </c>
      <c r="T698" t="s">
        <v>13610</v>
      </c>
      <c r="U698" t="s">
        <v>13610</v>
      </c>
      <c r="V698" t="s">
        <v>13610</v>
      </c>
      <c r="W698" t="s">
        <v>14292</v>
      </c>
      <c r="X698">
        <v>3</v>
      </c>
      <c r="Y698" t="s">
        <v>21014</v>
      </c>
      <c r="Z698" t="s">
        <v>27553</v>
      </c>
      <c r="AA698">
        <v>0.35801245450948482</v>
      </c>
      <c r="AB698" t="str">
        <f>HYPERLINK("Melting_Curves/meltCurve_F8WC89_SAC3D1.pdf", "Melting_Curves/meltCurve_F8WC89_SAC3D1.pdf")</f>
        <v>Melting_Curves/meltCurve_F8WC89_SAC3D1.pdf</v>
      </c>
    </row>
    <row r="699" spans="1:28" x14ac:dyDescent="0.25">
      <c r="A699" t="s">
        <v>703</v>
      </c>
      <c r="B699">
        <v>0.995954080203443</v>
      </c>
      <c r="C699">
        <v>0.84416005376251502</v>
      </c>
      <c r="D699">
        <v>0.54608833851315297</v>
      </c>
      <c r="E699">
        <v>0.46105692201819598</v>
      </c>
      <c r="F699">
        <v>0.33111482381020002</v>
      </c>
      <c r="G699">
        <v>0.18177531000480501</v>
      </c>
      <c r="H699">
        <v>0.14373041742179499</v>
      </c>
      <c r="I699">
        <v>0.141034428088851</v>
      </c>
      <c r="J699">
        <v>0.17049959521748201</v>
      </c>
      <c r="K699">
        <v>0.12371762535239</v>
      </c>
      <c r="L699">
        <v>626.60472675708297</v>
      </c>
      <c r="M699">
        <v>13.253478927261201</v>
      </c>
      <c r="N699">
        <v>48.316753834318199</v>
      </c>
      <c r="O699">
        <v>46.241040247278299</v>
      </c>
      <c r="P699">
        <v>-6.27855037851522E-2</v>
      </c>
      <c r="Q699">
        <v>0.12391566766116099</v>
      </c>
      <c r="R699">
        <v>0.97690292366174203</v>
      </c>
      <c r="S699" t="s">
        <v>7505</v>
      </c>
      <c r="T699" t="s">
        <v>13610</v>
      </c>
      <c r="U699" t="s">
        <v>13610</v>
      </c>
      <c r="V699" t="s">
        <v>13610</v>
      </c>
      <c r="W699" t="s">
        <v>14293</v>
      </c>
      <c r="X699">
        <v>1</v>
      </c>
      <c r="Y699" t="s">
        <v>21015</v>
      </c>
      <c r="Z699" t="s">
        <v>27554</v>
      </c>
      <c r="AA699">
        <v>0.36639120751398141</v>
      </c>
      <c r="AB699" t="str">
        <f>HYPERLINK("Melting_Curves/meltCurve_F8WCD0_RNF149.pdf", "Melting_Curves/meltCurve_F8WCD0_RNF149.pdf")</f>
        <v>Melting_Curves/meltCurve_F8WCD0_RNF149.pdf</v>
      </c>
    </row>
    <row r="700" spans="1:28" x14ac:dyDescent="0.25">
      <c r="A700" t="s">
        <v>704</v>
      </c>
      <c r="B700">
        <v>0.995954080203443</v>
      </c>
      <c r="C700">
        <v>0.89183543292407697</v>
      </c>
      <c r="D700">
        <v>0.96787017225179195</v>
      </c>
      <c r="E700">
        <v>0.928582733036589</v>
      </c>
      <c r="F700">
        <v>1.39906441166303</v>
      </c>
      <c r="G700">
        <v>1.38271180045071</v>
      </c>
      <c r="H700">
        <v>1.41922583593143</v>
      </c>
      <c r="I700">
        <v>1.86910111334665</v>
      </c>
      <c r="J700">
        <v>2.1566657980951498</v>
      </c>
      <c r="K700">
        <v>2.1507623025940101</v>
      </c>
      <c r="L700">
        <v>13177.144475052801</v>
      </c>
      <c r="M700">
        <v>250</v>
      </c>
      <c r="O700">
        <v>52.705205024707404</v>
      </c>
      <c r="P700">
        <v>0.59292056819482197</v>
      </c>
      <c r="Q700">
        <v>1.5</v>
      </c>
      <c r="R700">
        <v>0.52897727146716</v>
      </c>
      <c r="S700" t="s">
        <v>7506</v>
      </c>
      <c r="T700" t="s">
        <v>13610</v>
      </c>
      <c r="U700" t="s">
        <v>13610</v>
      </c>
      <c r="V700" t="s">
        <v>13610</v>
      </c>
      <c r="W700" t="s">
        <v>14294</v>
      </c>
      <c r="X700">
        <v>1</v>
      </c>
      <c r="Y700" t="s">
        <v>21016</v>
      </c>
      <c r="Z700" t="s">
        <v>27555</v>
      </c>
      <c r="AA700">
        <v>1.288144116962862</v>
      </c>
      <c r="AB700" t="str">
        <f>HYPERLINK("Melting_Curves/meltCurve_F8WD17_ATL2.pdf", "Melting_Curves/meltCurve_F8WD17_ATL2.pdf")</f>
        <v>Melting_Curves/meltCurve_F8WD17_ATL2.pdf</v>
      </c>
    </row>
    <row r="701" spans="1:28" x14ac:dyDescent="0.25">
      <c r="A701" t="s">
        <v>705</v>
      </c>
      <c r="B701">
        <v>0.995954080203443</v>
      </c>
      <c r="C701">
        <v>1.1213106341410799</v>
      </c>
      <c r="D701">
        <v>1.0010213109713799</v>
      </c>
      <c r="E701">
        <v>0.91166007893928802</v>
      </c>
      <c r="F701">
        <v>0.71603190369036596</v>
      </c>
      <c r="G701">
        <v>0.37116313902209802</v>
      </c>
      <c r="H701">
        <v>0.41667266030219902</v>
      </c>
      <c r="I701">
        <v>0</v>
      </c>
      <c r="J701">
        <v>0.59286809980809196</v>
      </c>
      <c r="K701">
        <v>0.44458362483325597</v>
      </c>
      <c r="L701">
        <v>2044.5461576170501</v>
      </c>
      <c r="M701">
        <v>38.4585915865689</v>
      </c>
      <c r="N701">
        <v>54.946001448997201</v>
      </c>
      <c r="O701">
        <v>53.019128731062096</v>
      </c>
      <c r="P701">
        <v>-0.11668878288264301</v>
      </c>
      <c r="Q701">
        <v>0.35653134638496298</v>
      </c>
      <c r="R701">
        <v>0.81386748677558696</v>
      </c>
      <c r="S701" t="s">
        <v>7507</v>
      </c>
      <c r="T701" t="s">
        <v>13610</v>
      </c>
      <c r="U701" t="s">
        <v>13610</v>
      </c>
      <c r="V701" t="s">
        <v>13610</v>
      </c>
      <c r="W701" t="s">
        <v>14295</v>
      </c>
      <c r="X701">
        <v>1</v>
      </c>
      <c r="Y701" t="s">
        <v>21017</v>
      </c>
      <c r="Z701" t="s">
        <v>27556</v>
      </c>
      <c r="AA701">
        <v>0.64140361224677866</v>
      </c>
      <c r="AB701" t="str">
        <f>HYPERLINK("Melting_Curves/meltCurve_F8WDE8_SKIV2L.pdf", "Melting_Curves/meltCurve_F8WDE8_SKIV2L.pdf")</f>
        <v>Melting_Curves/meltCurve_F8WDE8_SKIV2L.pdf</v>
      </c>
    </row>
    <row r="702" spans="1:28" x14ac:dyDescent="0.25">
      <c r="A702" t="s">
        <v>706</v>
      </c>
      <c r="B702">
        <v>0.995954080203443</v>
      </c>
      <c r="C702">
        <v>0.98759644501598598</v>
      </c>
      <c r="D702">
        <v>0.97052307323342801</v>
      </c>
      <c r="E702">
        <v>0.990646968830736</v>
      </c>
      <c r="F702">
        <v>0.85535550392412396</v>
      </c>
      <c r="G702">
        <v>0.52209016154742005</v>
      </c>
      <c r="H702">
        <v>0.446633859028715</v>
      </c>
      <c r="I702">
        <v>0.45807071245981001</v>
      </c>
      <c r="J702">
        <v>0.439564266185133</v>
      </c>
      <c r="K702">
        <v>0.46566970965108501</v>
      </c>
      <c r="L702">
        <v>2258.15703079798</v>
      </c>
      <c r="M702">
        <v>41.565258562478398</v>
      </c>
      <c r="N702">
        <v>57.550139268196901</v>
      </c>
      <c r="O702">
        <v>54.202710259213198</v>
      </c>
      <c r="P702">
        <v>-0.10520900354792</v>
      </c>
      <c r="Q702">
        <v>0.45121466622153</v>
      </c>
      <c r="R702">
        <v>0.99753514775260199</v>
      </c>
      <c r="S702" t="s">
        <v>7508</v>
      </c>
      <c r="T702" t="s">
        <v>13610</v>
      </c>
      <c r="U702" t="s">
        <v>13610</v>
      </c>
      <c r="V702" t="s">
        <v>13610</v>
      </c>
      <c r="W702" t="s">
        <v>14296</v>
      </c>
      <c r="X702">
        <v>3</v>
      </c>
      <c r="Y702" t="s">
        <v>21018</v>
      </c>
      <c r="Z702" t="s">
        <v>27557</v>
      </c>
      <c r="AA702">
        <v>0.71521840225481614</v>
      </c>
      <c r="AB702" t="str">
        <f>HYPERLINK("Melting_Curves/meltCurve_F8WEE4_ZFAND2B.pdf", "Melting_Curves/meltCurve_F8WEE4_ZFAND2B.pdf")</f>
        <v>Melting_Curves/meltCurve_F8WEE4_ZFAND2B.pdf</v>
      </c>
    </row>
    <row r="703" spans="1:28" x14ac:dyDescent="0.25">
      <c r="A703" t="s">
        <v>707</v>
      </c>
      <c r="B703">
        <v>0.995954080203443</v>
      </c>
      <c r="C703">
        <v>0.74528483157193404</v>
      </c>
      <c r="D703">
        <v>0.400807378952099</v>
      </c>
      <c r="E703">
        <v>0.33851898456420498</v>
      </c>
      <c r="F703">
        <v>0.14133158921483399</v>
      </c>
      <c r="G703">
        <v>7.0540323081064199E-2</v>
      </c>
      <c r="H703">
        <v>3.8206053501880402E-2</v>
      </c>
      <c r="I703">
        <v>2.8194967216525299E-2</v>
      </c>
      <c r="J703">
        <v>3.1602168139343502E-2</v>
      </c>
      <c r="K703">
        <v>3.2884937086799897E-2</v>
      </c>
      <c r="L703">
        <v>700.90528505157499</v>
      </c>
      <c r="M703">
        <v>15.304831317507601</v>
      </c>
      <c r="N703">
        <v>45.981961759720498</v>
      </c>
      <c r="O703">
        <v>45.03583822849</v>
      </c>
      <c r="P703">
        <v>-8.2421790951248006E-2</v>
      </c>
      <c r="Q703">
        <v>2.9956366097224501E-2</v>
      </c>
      <c r="R703">
        <v>0.97342236236789603</v>
      </c>
      <c r="S703" t="s">
        <v>7509</v>
      </c>
      <c r="T703" t="s">
        <v>13610</v>
      </c>
      <c r="U703" t="s">
        <v>13610</v>
      </c>
      <c r="V703" t="s">
        <v>13610</v>
      </c>
      <c r="W703" t="s">
        <v>14297</v>
      </c>
      <c r="X703">
        <v>2</v>
      </c>
      <c r="Y703" t="s">
        <v>21019</v>
      </c>
      <c r="Z703" t="s">
        <v>27558</v>
      </c>
      <c r="AA703">
        <v>0.2450052067773125</v>
      </c>
      <c r="AB703" t="str">
        <f>HYPERLINK("Melting_Curves/meltCurve_F8WEG4_CBWD2.pdf", "Melting_Curves/meltCurve_F8WEG4_CBWD2.pdf")</f>
        <v>Melting_Curves/meltCurve_F8WEG4_CBWD2.pdf</v>
      </c>
    </row>
    <row r="704" spans="1:28" x14ac:dyDescent="0.25">
      <c r="A704" t="s">
        <v>708</v>
      </c>
      <c r="B704">
        <v>0.995954080203443</v>
      </c>
      <c r="C704">
        <v>0.80871498831545996</v>
      </c>
      <c r="D704">
        <v>0.68765508976227097</v>
      </c>
      <c r="E704">
        <v>0.66662450243355997</v>
      </c>
      <c r="F704">
        <v>0.41746096522188603</v>
      </c>
      <c r="G704">
        <v>0.22195068982096999</v>
      </c>
      <c r="H704">
        <v>0.18616684838626901</v>
      </c>
      <c r="I704">
        <v>0.30005926109643899</v>
      </c>
      <c r="J704">
        <v>0.33113259320697302</v>
      </c>
      <c r="K704">
        <v>0.303516122363646</v>
      </c>
      <c r="L704">
        <v>622.07293670651904</v>
      </c>
      <c r="M704">
        <v>12.9104554755944</v>
      </c>
      <c r="N704">
        <v>50.795709783704403</v>
      </c>
      <c r="O704">
        <v>47.071556677613401</v>
      </c>
      <c r="P704">
        <v>-5.1944530078717098E-2</v>
      </c>
      <c r="Q704">
        <v>0.24257784734836199</v>
      </c>
      <c r="R704">
        <v>0.91823262457501298</v>
      </c>
      <c r="S704" t="s">
        <v>7510</v>
      </c>
      <c r="T704" t="s">
        <v>13610</v>
      </c>
      <c r="U704" t="s">
        <v>13610</v>
      </c>
      <c r="V704" t="s">
        <v>13610</v>
      </c>
      <c r="W704" t="s">
        <v>14298</v>
      </c>
      <c r="X704">
        <v>2</v>
      </c>
      <c r="Y704" t="s">
        <v>21020</v>
      </c>
      <c r="Z704" t="s">
        <v>27559</v>
      </c>
      <c r="AA704">
        <v>0.47488662777556401</v>
      </c>
      <c r="AB704" t="str">
        <f>HYPERLINK("Melting_Curves/meltCurve_F8WF48_SEC62.pdf", "Melting_Curves/meltCurve_F8WF48_SEC62.pdf")</f>
        <v>Melting_Curves/meltCurve_F8WF48_SEC62.pdf</v>
      </c>
    </row>
    <row r="705" spans="1:28" x14ac:dyDescent="0.25">
      <c r="A705" t="s">
        <v>709</v>
      </c>
      <c r="B705">
        <v>0.995954080203443</v>
      </c>
      <c r="C705">
        <v>0.91404260930888404</v>
      </c>
      <c r="D705">
        <v>0.85688094074902299</v>
      </c>
      <c r="E705">
        <v>0.78730993944532102</v>
      </c>
      <c r="F705">
        <v>0.58849801258817303</v>
      </c>
      <c r="G705">
        <v>0.29689798194394901</v>
      </c>
      <c r="H705">
        <v>0.172228433337243</v>
      </c>
      <c r="I705">
        <v>0.16475480625679201</v>
      </c>
      <c r="J705">
        <v>0.16851066890136901</v>
      </c>
      <c r="K705">
        <v>0.16113956476809499</v>
      </c>
      <c r="L705">
        <v>847.07812550701499</v>
      </c>
      <c r="M705">
        <v>16.005817876933801</v>
      </c>
      <c r="N705">
        <v>53.826415425040601</v>
      </c>
      <c r="O705">
        <v>52.1176946595819</v>
      </c>
      <c r="P705">
        <v>-6.77401622126588E-2</v>
      </c>
      <c r="Q705">
        <v>0.117774642114129</v>
      </c>
      <c r="R705">
        <v>0.98603492771745405</v>
      </c>
      <c r="S705" t="s">
        <v>7511</v>
      </c>
      <c r="T705" t="s">
        <v>13610</v>
      </c>
      <c r="U705" t="s">
        <v>13610</v>
      </c>
      <c r="V705" t="s">
        <v>13610</v>
      </c>
      <c r="W705" t="s">
        <v>14299</v>
      </c>
      <c r="X705">
        <v>16</v>
      </c>
      <c r="Y705" t="s">
        <v>21021</v>
      </c>
      <c r="Z705" t="s">
        <v>27560</v>
      </c>
      <c r="AA705">
        <v>0.51515676542740541</v>
      </c>
      <c r="AB705" t="str">
        <f>HYPERLINK("Melting_Curves/meltCurve_F8WJN3_CPSF6.pdf", "Melting_Curves/meltCurve_F8WJN3_CPSF6.pdf")</f>
        <v>Melting_Curves/meltCurve_F8WJN3_CPSF6.pdf</v>
      </c>
    </row>
    <row r="706" spans="1:28" x14ac:dyDescent="0.25">
      <c r="A706" t="s">
        <v>710</v>
      </c>
      <c r="B706">
        <v>0.995954080203443</v>
      </c>
      <c r="C706">
        <v>0.97963191641329495</v>
      </c>
      <c r="D706">
        <v>1.2210248418321401</v>
      </c>
      <c r="E706">
        <v>1.04926322419132</v>
      </c>
      <c r="F706">
        <v>1.31136470741955</v>
      </c>
      <c r="G706">
        <v>1.0867516187867301</v>
      </c>
      <c r="H706">
        <v>0.95715993218734996</v>
      </c>
      <c r="I706">
        <v>1.0807109949932401</v>
      </c>
      <c r="J706">
        <v>1.2417161018863501</v>
      </c>
      <c r="K706">
        <v>1.25511395492932</v>
      </c>
      <c r="L706">
        <v>11072.936272589801</v>
      </c>
      <c r="M706">
        <v>250</v>
      </c>
      <c r="O706">
        <v>44.288910734709297</v>
      </c>
      <c r="P706">
        <v>0.212134031395352</v>
      </c>
      <c r="Q706">
        <v>1.15032296263247</v>
      </c>
      <c r="R706">
        <v>0.281651782059816</v>
      </c>
      <c r="S706" t="s">
        <v>7512</v>
      </c>
      <c r="T706" t="s">
        <v>13610</v>
      </c>
      <c r="U706" t="s">
        <v>13610</v>
      </c>
      <c r="V706" t="s">
        <v>13610</v>
      </c>
      <c r="W706" t="s">
        <v>14300</v>
      </c>
      <c r="X706">
        <v>3</v>
      </c>
      <c r="Y706" t="s">
        <v>21022</v>
      </c>
      <c r="Z706" t="s">
        <v>27561</v>
      </c>
      <c r="AA706">
        <v>1.128806349934788</v>
      </c>
      <c r="AB706" t="str">
        <f>HYPERLINK("Melting_Curves/meltCurve_G3V0I8_SREBF2.pdf", "Melting_Curves/meltCurve_G3V0I8_SREBF2.pdf")</f>
        <v>Melting_Curves/meltCurve_G3V0I8_SREBF2.pdf</v>
      </c>
    </row>
    <row r="707" spans="1:28" x14ac:dyDescent="0.25">
      <c r="A707" t="s">
        <v>711</v>
      </c>
      <c r="B707">
        <v>0.995954080203443</v>
      </c>
      <c r="C707">
        <v>0.99983858008277404</v>
      </c>
      <c r="D707">
        <v>0.923103434005071</v>
      </c>
      <c r="E707">
        <v>0.798389613242804</v>
      </c>
      <c r="F707">
        <v>0.63743194246412904</v>
      </c>
      <c r="G707">
        <v>0.44180678570288601</v>
      </c>
      <c r="H707">
        <v>0.312008593599016</v>
      </c>
      <c r="I707">
        <v>0.29400067296200599</v>
      </c>
      <c r="J707">
        <v>0.29370503468750497</v>
      </c>
      <c r="K707">
        <v>0.28606183566592303</v>
      </c>
      <c r="L707">
        <v>879.43659126590001</v>
      </c>
      <c r="M707">
        <v>16.606697638487798</v>
      </c>
      <c r="N707">
        <v>55.431492990407698</v>
      </c>
      <c r="O707">
        <v>52.206710616554403</v>
      </c>
      <c r="P707">
        <v>-5.8710082794527302E-2</v>
      </c>
      <c r="Q707">
        <v>0.26177912265590297</v>
      </c>
      <c r="R707">
        <v>0.99805470070128399</v>
      </c>
      <c r="S707" t="s">
        <v>7513</v>
      </c>
      <c r="T707" t="s">
        <v>13610</v>
      </c>
      <c r="U707" t="s">
        <v>13610</v>
      </c>
      <c r="V707" t="s">
        <v>13610</v>
      </c>
      <c r="W707" t="s">
        <v>14301</v>
      </c>
      <c r="X707">
        <v>7</v>
      </c>
      <c r="Y707" t="s">
        <v>21023</v>
      </c>
      <c r="Z707" t="s">
        <v>27562</v>
      </c>
      <c r="AA707">
        <v>0.59433022415296988</v>
      </c>
      <c r="AB707" t="str">
        <f>HYPERLINK("Melting_Curves/meltCurve_G3V1D4_LIN7C.pdf", "Melting_Curves/meltCurve_G3V1D4_LIN7C.pdf")</f>
        <v>Melting_Curves/meltCurve_G3V1D4_LIN7C.pdf</v>
      </c>
    </row>
    <row r="708" spans="1:28" x14ac:dyDescent="0.25">
      <c r="A708" t="s">
        <v>712</v>
      </c>
      <c r="B708">
        <v>0.995954080203443</v>
      </c>
      <c r="C708">
        <v>0.98857814673751399</v>
      </c>
      <c r="D708">
        <v>1.0433008456503801</v>
      </c>
      <c r="E708">
        <v>0.96767852077153704</v>
      </c>
      <c r="F708">
        <v>0.98719391501716003</v>
      </c>
      <c r="G708">
        <v>0.75749789047445004</v>
      </c>
      <c r="H708">
        <v>0.71112044089139304</v>
      </c>
      <c r="I708">
        <v>0.78530532611034298</v>
      </c>
      <c r="J708">
        <v>1.0224398108625199</v>
      </c>
      <c r="K708">
        <v>1.03235935374417</v>
      </c>
      <c r="L708">
        <v>13370.9439205996</v>
      </c>
      <c r="M708">
        <v>250</v>
      </c>
      <c r="O708">
        <v>53.480353088184302</v>
      </c>
      <c r="P708">
        <v>-0.161572690801879</v>
      </c>
      <c r="Q708">
        <v>0.86174456733895199</v>
      </c>
      <c r="R708">
        <v>0.31855199440288701</v>
      </c>
      <c r="S708" t="s">
        <v>7514</v>
      </c>
      <c r="T708" t="s">
        <v>13610</v>
      </c>
      <c r="U708" t="s">
        <v>13610</v>
      </c>
      <c r="V708" t="s">
        <v>13610</v>
      </c>
      <c r="W708" t="s">
        <v>14302</v>
      </c>
      <c r="X708">
        <v>10</v>
      </c>
      <c r="Y708" t="s">
        <v>21024</v>
      </c>
      <c r="Z708" t="s">
        <v>27563</v>
      </c>
      <c r="AA708">
        <v>0.92389771913125684</v>
      </c>
      <c r="AB708" t="str">
        <f>HYPERLINK("Melting_Curves/meltCurve_G3V1R3_ZEB1.pdf", "Melting_Curves/meltCurve_G3V1R3_ZEB1.pdf")</f>
        <v>Melting_Curves/meltCurve_G3V1R3_ZEB1.pdf</v>
      </c>
    </row>
    <row r="709" spans="1:28" x14ac:dyDescent="0.25">
      <c r="A709" t="s">
        <v>713</v>
      </c>
      <c r="B709">
        <v>0.995954080203443</v>
      </c>
      <c r="C709">
        <v>0.90086030287871799</v>
      </c>
      <c r="D709">
        <v>0.84591947514709498</v>
      </c>
      <c r="E709">
        <v>0.83938767814645499</v>
      </c>
      <c r="F709">
        <v>0.71525132217592102</v>
      </c>
      <c r="G709">
        <v>0.56644234517063796</v>
      </c>
      <c r="H709">
        <v>0.396648604457984</v>
      </c>
      <c r="I709">
        <v>0.40199462454336299</v>
      </c>
      <c r="J709">
        <v>0.36073249415631298</v>
      </c>
      <c r="K709">
        <v>0.37974719318911399</v>
      </c>
      <c r="L709">
        <v>529.59999687412198</v>
      </c>
      <c r="M709">
        <v>9.6823762171422292</v>
      </c>
      <c r="N709">
        <v>59.214336587125999</v>
      </c>
      <c r="O709">
        <v>52.516981997561402</v>
      </c>
      <c r="P709">
        <v>-3.40755000248966E-2</v>
      </c>
      <c r="Q709">
        <v>0.26110765570126698</v>
      </c>
      <c r="R709">
        <v>0.97335165284564296</v>
      </c>
      <c r="S709" t="s">
        <v>7515</v>
      </c>
      <c r="T709" t="s">
        <v>13610</v>
      </c>
      <c r="U709" t="s">
        <v>13610</v>
      </c>
      <c r="V709" t="s">
        <v>13610</v>
      </c>
      <c r="W709" t="s">
        <v>14303</v>
      </c>
      <c r="X709">
        <v>21</v>
      </c>
      <c r="Y709" t="s">
        <v>21025</v>
      </c>
      <c r="Z709" t="s">
        <v>27564</v>
      </c>
      <c r="AA709">
        <v>0.64351881902589725</v>
      </c>
      <c r="AB709" t="str">
        <f>HYPERLINK("Melting_Curves/meltCurve_G3V1R9_ISYNA1.pdf", "Melting_Curves/meltCurve_G3V1R9_ISYNA1.pdf")</f>
        <v>Melting_Curves/meltCurve_G3V1R9_ISYNA1.pdf</v>
      </c>
    </row>
    <row r="710" spans="1:28" x14ac:dyDescent="0.25">
      <c r="A710" t="s">
        <v>714</v>
      </c>
      <c r="B710">
        <v>0.995954080203443</v>
      </c>
      <c r="C710">
        <v>0.89838390911638599</v>
      </c>
      <c r="D710">
        <v>1.1406519936411501</v>
      </c>
      <c r="E710">
        <v>1.00929136634035</v>
      </c>
      <c r="F710">
        <v>1.19719406290079</v>
      </c>
      <c r="G710">
        <v>1.04553586699402</v>
      </c>
      <c r="H710">
        <v>1.0021288556173999</v>
      </c>
      <c r="I710">
        <v>1.38184742535438</v>
      </c>
      <c r="J710">
        <v>1.65045362419091</v>
      </c>
      <c r="K710">
        <v>1.64571536401856</v>
      </c>
      <c r="L710">
        <v>15000</v>
      </c>
      <c r="M710">
        <v>235.548127632068</v>
      </c>
      <c r="O710">
        <v>63.676664496150103</v>
      </c>
      <c r="P710">
        <v>0.46239100278634998</v>
      </c>
      <c r="Q710">
        <v>1.5</v>
      </c>
      <c r="R710">
        <v>0.82830312262038697</v>
      </c>
      <c r="S710" t="s">
        <v>7516</v>
      </c>
      <c r="T710" t="s">
        <v>13610</v>
      </c>
      <c r="U710" t="s">
        <v>13610</v>
      </c>
      <c r="V710" t="s">
        <v>13610</v>
      </c>
      <c r="W710" t="s">
        <v>14304</v>
      </c>
      <c r="X710">
        <v>2</v>
      </c>
      <c r="Y710" t="s">
        <v>21026</v>
      </c>
      <c r="Z710" t="s">
        <v>27565</v>
      </c>
      <c r="AA710">
        <v>1.1052494947532321</v>
      </c>
      <c r="AB710" t="str">
        <f>HYPERLINK("Melting_Curves/meltCurve_G3V1S6_GALNT2.pdf", "Melting_Curves/meltCurve_G3V1S6_GALNT2.pdf")</f>
        <v>Melting_Curves/meltCurve_G3V1S6_GALNT2.pdf</v>
      </c>
    </row>
    <row r="711" spans="1:28" x14ac:dyDescent="0.25">
      <c r="A711" t="s">
        <v>715</v>
      </c>
      <c r="B711">
        <v>0.995954080203443</v>
      </c>
      <c r="C711">
        <v>1.0803095256077899</v>
      </c>
      <c r="D711">
        <v>1.06554862799471</v>
      </c>
      <c r="E711">
        <v>0.96986036464418801</v>
      </c>
      <c r="F711">
        <v>0.82141895368999696</v>
      </c>
      <c r="G711">
        <v>0.61636049163179896</v>
      </c>
      <c r="H711">
        <v>0.53875361378876396</v>
      </c>
      <c r="I711">
        <v>0.57233509791798998</v>
      </c>
      <c r="J711">
        <v>0.65940964201167096</v>
      </c>
      <c r="K711">
        <v>0.59342918899366603</v>
      </c>
      <c r="L711">
        <v>2347.4614034196202</v>
      </c>
      <c r="M711">
        <v>44.055521631631002</v>
      </c>
      <c r="O711">
        <v>53.174720950530201</v>
      </c>
      <c r="P711">
        <v>-8.4634182946959097E-2</v>
      </c>
      <c r="Q711">
        <v>0.59138900102640801</v>
      </c>
      <c r="R711">
        <v>0.95642918207315397</v>
      </c>
      <c r="S711" t="s">
        <v>7517</v>
      </c>
      <c r="T711" t="s">
        <v>13610</v>
      </c>
      <c r="U711" t="s">
        <v>13610</v>
      </c>
      <c r="V711" t="s">
        <v>13610</v>
      </c>
      <c r="W711" t="s">
        <v>14305</v>
      </c>
      <c r="X711">
        <v>15</v>
      </c>
      <c r="Y711" t="s">
        <v>21027</v>
      </c>
      <c r="Z711" t="s">
        <v>27566</v>
      </c>
      <c r="AA711">
        <v>0.7735623702337493</v>
      </c>
      <c r="AB711" t="str">
        <f>HYPERLINK("Melting_Curves/meltCurve_G3V1U0_ATF7IP.pdf", "Melting_Curves/meltCurve_G3V1U0_ATF7IP.pdf")</f>
        <v>Melting_Curves/meltCurve_G3V1U0_ATF7IP.pdf</v>
      </c>
    </row>
    <row r="712" spans="1:28" x14ac:dyDescent="0.25">
      <c r="A712" t="s">
        <v>716</v>
      </c>
      <c r="B712">
        <v>0.995954080203443</v>
      </c>
      <c r="C712">
        <v>0.87131510339266705</v>
      </c>
      <c r="D712">
        <v>0.65179204442441596</v>
      </c>
      <c r="E712">
        <v>0.56848335201540001</v>
      </c>
      <c r="F712">
        <v>0.19384692973683099</v>
      </c>
      <c r="G712">
        <v>0.14426552226652001</v>
      </c>
      <c r="H712">
        <v>6.6622404463248797E-2</v>
      </c>
      <c r="I712">
        <v>2.3652706456204899E-2</v>
      </c>
      <c r="J712">
        <v>3.8110238965131202E-2</v>
      </c>
      <c r="K712">
        <v>2.4801534943813298E-2</v>
      </c>
      <c r="L712">
        <v>662.95105009958399</v>
      </c>
      <c r="M712">
        <v>13.4653844444616</v>
      </c>
      <c r="N712">
        <v>49.2337260764631</v>
      </c>
      <c r="O712">
        <v>48.1859028231137</v>
      </c>
      <c r="P712">
        <v>-6.9872397609249098E-2</v>
      </c>
      <c r="Q712">
        <v>0</v>
      </c>
      <c r="R712">
        <v>0.97801064330960896</v>
      </c>
      <c r="S712" t="s">
        <v>7518</v>
      </c>
      <c r="T712" t="s">
        <v>13610</v>
      </c>
      <c r="U712" t="s">
        <v>13610</v>
      </c>
      <c r="V712" t="s">
        <v>13610</v>
      </c>
      <c r="W712" t="s">
        <v>14306</v>
      </c>
      <c r="X712">
        <v>1</v>
      </c>
      <c r="Y712" t="s">
        <v>21028</v>
      </c>
      <c r="Z712" t="s">
        <v>27567</v>
      </c>
      <c r="AA712">
        <v>0.33754508079122519</v>
      </c>
      <c r="AB712" t="str">
        <f>HYPERLINK("Melting_Curves/meltCurve_G3V1Y1_ACTR6.pdf", "Melting_Curves/meltCurve_G3V1Y1_ACTR6.pdf")</f>
        <v>Melting_Curves/meltCurve_G3V1Y1_ACTR6.pdf</v>
      </c>
    </row>
    <row r="713" spans="1:28" x14ac:dyDescent="0.25">
      <c r="A713" t="s">
        <v>717</v>
      </c>
      <c r="B713">
        <v>0.995954080203443</v>
      </c>
      <c r="C713">
        <v>0.82450107387120597</v>
      </c>
      <c r="D713">
        <v>0.59986142747251903</v>
      </c>
      <c r="E713">
        <v>0.49592479319758898</v>
      </c>
      <c r="F713">
        <v>0.26743515106208199</v>
      </c>
      <c r="G713">
        <v>0.14951375018235999</v>
      </c>
      <c r="H713">
        <v>0.10706016582629101</v>
      </c>
      <c r="I713">
        <v>0.107528500426086</v>
      </c>
      <c r="J713">
        <v>0.12424115329405901</v>
      </c>
      <c r="K713">
        <v>0.12039169920258801</v>
      </c>
      <c r="L713">
        <v>635.35104699156</v>
      </c>
      <c r="M713">
        <v>13.2788693167661</v>
      </c>
      <c r="N713">
        <v>48.521711319859001</v>
      </c>
      <c r="O713">
        <v>46.800700704605198</v>
      </c>
      <c r="P713">
        <v>-6.4961965139366501E-2</v>
      </c>
      <c r="Q713">
        <v>8.4328346045260905E-2</v>
      </c>
      <c r="R713">
        <v>0.98284374613383496</v>
      </c>
      <c r="S713" t="s">
        <v>7519</v>
      </c>
      <c r="T713" t="s">
        <v>13610</v>
      </c>
      <c r="U713" t="s">
        <v>13610</v>
      </c>
      <c r="V713" t="s">
        <v>13610</v>
      </c>
      <c r="W713" t="s">
        <v>14307</v>
      </c>
      <c r="X713">
        <v>8</v>
      </c>
      <c r="Y713" t="s">
        <v>21029</v>
      </c>
      <c r="Z713" t="s">
        <v>27568</v>
      </c>
      <c r="AA713">
        <v>0.35390182118385088</v>
      </c>
      <c r="AB713" t="str">
        <f>HYPERLINK("Melting_Curves/meltCurve_G3V203_RPL18.pdf", "Melting_Curves/meltCurve_G3V203_RPL18.pdf")</f>
        <v>Melting_Curves/meltCurve_G3V203_RPL18.pdf</v>
      </c>
    </row>
    <row r="714" spans="1:28" x14ac:dyDescent="0.25">
      <c r="A714" t="s">
        <v>718</v>
      </c>
      <c r="B714">
        <v>0.995954080203443</v>
      </c>
      <c r="C714">
        <v>0.75754593900723</v>
      </c>
      <c r="D714">
        <v>0.29899308939969998</v>
      </c>
      <c r="E714">
        <v>0.173209395083819</v>
      </c>
      <c r="F714">
        <v>8.3707409994332196E-2</v>
      </c>
      <c r="G714">
        <v>5.0669929389800597E-2</v>
      </c>
      <c r="H714">
        <v>3.3689137382602999E-2</v>
      </c>
      <c r="I714">
        <v>2.9814308361870399E-2</v>
      </c>
      <c r="J714">
        <v>3.39250005019072E-2</v>
      </c>
      <c r="K714">
        <v>3.0025088075528301E-2</v>
      </c>
      <c r="L714">
        <v>1217.0379333659801</v>
      </c>
      <c r="M714">
        <v>27.3306646303501</v>
      </c>
      <c r="N714">
        <v>44.703270167130199</v>
      </c>
      <c r="O714">
        <v>44.293773461046001</v>
      </c>
      <c r="P714">
        <v>-0.146511027619701</v>
      </c>
      <c r="Q714">
        <v>5.02294599794618E-2</v>
      </c>
      <c r="R714">
        <v>0.99051380768275599</v>
      </c>
      <c r="S714" t="s">
        <v>7520</v>
      </c>
      <c r="T714" t="s">
        <v>13610</v>
      </c>
      <c r="U714" t="s">
        <v>13610</v>
      </c>
      <c r="V714" t="s">
        <v>13610</v>
      </c>
      <c r="W714" t="s">
        <v>14308</v>
      </c>
      <c r="X714">
        <v>45</v>
      </c>
      <c r="Y714" t="s">
        <v>21030</v>
      </c>
      <c r="Z714" t="s">
        <v>27569</v>
      </c>
      <c r="AA714">
        <v>0.20170177102455469</v>
      </c>
      <c r="AB714" t="str">
        <f>HYPERLINK("Melting_Curves/meltCurve_G3V2B8_MTHFD1.pdf", "Melting_Curves/meltCurve_G3V2B8_MTHFD1.pdf")</f>
        <v>Melting_Curves/meltCurve_G3V2B8_MTHFD1.pdf</v>
      </c>
    </row>
    <row r="715" spans="1:28" x14ac:dyDescent="0.25">
      <c r="A715" t="s">
        <v>719</v>
      </c>
      <c r="B715">
        <v>0.995954080203443</v>
      </c>
      <c r="C715">
        <v>1.0118365283082</v>
      </c>
      <c r="D715">
        <v>0.99390893054829299</v>
      </c>
      <c r="E715">
        <v>0.90111762324821598</v>
      </c>
      <c r="F715">
        <v>0.86597362426114899</v>
      </c>
      <c r="G715">
        <v>0.56488965524441703</v>
      </c>
      <c r="H715">
        <v>0.31527550116796799</v>
      </c>
      <c r="I715">
        <v>0.25692208480460299</v>
      </c>
      <c r="J715">
        <v>0.33227516382665401</v>
      </c>
      <c r="K715">
        <v>0.28941546613878499</v>
      </c>
      <c r="L715">
        <v>1431.86533679272</v>
      </c>
      <c r="M715">
        <v>25.640934802659501</v>
      </c>
      <c r="N715">
        <v>57.625398782158001</v>
      </c>
      <c r="O715">
        <v>55.506601783453398</v>
      </c>
      <c r="P715">
        <v>-8.3868768043936295E-2</v>
      </c>
      <c r="Q715">
        <v>0.27378410794406299</v>
      </c>
      <c r="R715">
        <v>0.98946935393447799</v>
      </c>
      <c r="S715" t="s">
        <v>7521</v>
      </c>
      <c r="T715" t="s">
        <v>13610</v>
      </c>
      <c r="U715" t="s">
        <v>13610</v>
      </c>
      <c r="V715" t="s">
        <v>13610</v>
      </c>
      <c r="W715" t="s">
        <v>14309</v>
      </c>
      <c r="X715">
        <v>8</v>
      </c>
      <c r="Y715" t="s">
        <v>21031</v>
      </c>
      <c r="Z715" t="s">
        <v>27570</v>
      </c>
      <c r="AA715">
        <v>0.6636963741430032</v>
      </c>
      <c r="AB715" t="str">
        <f>HYPERLINK("Melting_Curves/meltCurve_G3V2U7_ACYP1.pdf", "Melting_Curves/meltCurve_G3V2U7_ACYP1.pdf")</f>
        <v>Melting_Curves/meltCurve_G3V2U7_ACYP1.pdf</v>
      </c>
    </row>
    <row r="716" spans="1:28" x14ac:dyDescent="0.25">
      <c r="A716" t="s">
        <v>720</v>
      </c>
      <c r="B716">
        <v>0.995954080203443</v>
      </c>
      <c r="C716">
        <v>0.75153115937415105</v>
      </c>
      <c r="D716">
        <v>0.841545179006157</v>
      </c>
      <c r="E716">
        <v>0.68785960206788599</v>
      </c>
      <c r="F716">
        <v>0.69637923635296695</v>
      </c>
      <c r="G716">
        <v>0.49591946176422802</v>
      </c>
      <c r="H716">
        <v>0.47463078599098402</v>
      </c>
      <c r="I716">
        <v>0.50001211900924503</v>
      </c>
      <c r="J716">
        <v>0.63331103244867504</v>
      </c>
      <c r="K716">
        <v>0.59103031535912998</v>
      </c>
      <c r="L716">
        <v>521.37409306937104</v>
      </c>
      <c r="M716">
        <v>11.193029771168099</v>
      </c>
      <c r="O716">
        <v>45.167620737744997</v>
      </c>
      <c r="P716">
        <v>-2.92123863713298E-2</v>
      </c>
      <c r="Q716">
        <v>0.52862149579817896</v>
      </c>
      <c r="R716">
        <v>0.78095044279911097</v>
      </c>
      <c r="S716" t="s">
        <v>7522</v>
      </c>
      <c r="T716" t="s">
        <v>13610</v>
      </c>
      <c r="U716" t="s">
        <v>13610</v>
      </c>
      <c r="V716" t="s">
        <v>13610</v>
      </c>
      <c r="W716" t="s">
        <v>14310</v>
      </c>
      <c r="X716">
        <v>6</v>
      </c>
      <c r="Y716" t="s">
        <v>21032</v>
      </c>
      <c r="Z716" t="s">
        <v>27571</v>
      </c>
      <c r="AA716">
        <v>0.65519361198532533</v>
      </c>
      <c r="AB716" t="str">
        <f>HYPERLINK("Melting_Curves/meltCurve_G3V339_WARS.pdf", "Melting_Curves/meltCurve_G3V339_WARS.pdf")</f>
        <v>Melting_Curves/meltCurve_G3V339_WARS.pdf</v>
      </c>
    </row>
    <row r="717" spans="1:28" x14ac:dyDescent="0.25">
      <c r="A717" t="s">
        <v>721</v>
      </c>
      <c r="B717">
        <v>0.995954080203443</v>
      </c>
      <c r="C717">
        <v>1.10290252231907</v>
      </c>
      <c r="D717">
        <v>0.92015678114154198</v>
      </c>
      <c r="E717">
        <v>0.91632926952167204</v>
      </c>
      <c r="F717">
        <v>0.78300428343350303</v>
      </c>
      <c r="G717">
        <v>0.65406148315713197</v>
      </c>
      <c r="H717">
        <v>0.53653321645883301</v>
      </c>
      <c r="I717">
        <v>0.61782324856494397</v>
      </c>
      <c r="J717">
        <v>0.44524424672198498</v>
      </c>
      <c r="K717">
        <v>0.80568303181482503</v>
      </c>
      <c r="L717">
        <v>1401.6100509973</v>
      </c>
      <c r="M717">
        <v>26.710732141079902</v>
      </c>
      <c r="O717">
        <v>52.182194930088698</v>
      </c>
      <c r="P717">
        <v>-5.1014294836992602E-2</v>
      </c>
      <c r="Q717">
        <v>0.60135718592006204</v>
      </c>
      <c r="R717">
        <v>0.78185222938212595</v>
      </c>
      <c r="S717" t="s">
        <v>7523</v>
      </c>
      <c r="T717" t="s">
        <v>13610</v>
      </c>
      <c r="U717" t="s">
        <v>13610</v>
      </c>
      <c r="V717" t="s">
        <v>13610</v>
      </c>
      <c r="W717" t="s">
        <v>14311</v>
      </c>
      <c r="X717">
        <v>1</v>
      </c>
      <c r="Y717" t="s">
        <v>21033</v>
      </c>
      <c r="Z717" t="s">
        <v>27572</v>
      </c>
      <c r="AA717">
        <v>0.77032763406393756</v>
      </c>
      <c r="AB717" t="str">
        <f>HYPERLINK("Melting_Curves/meltCurve_G3V398_ZNF410.pdf", "Melting_Curves/meltCurve_G3V398_ZNF410.pdf")</f>
        <v>Melting_Curves/meltCurve_G3V398_ZNF410.pdf</v>
      </c>
    </row>
    <row r="718" spans="1:28" x14ac:dyDescent="0.25">
      <c r="A718" t="s">
        <v>722</v>
      </c>
      <c r="B718">
        <v>0.995954080203443</v>
      </c>
      <c r="C718">
        <v>0.81691560756125503</v>
      </c>
      <c r="D718">
        <v>0.70257945718368098</v>
      </c>
      <c r="E718">
        <v>0.72434347279396405</v>
      </c>
      <c r="F718">
        <v>0.38955179533857698</v>
      </c>
      <c r="G718">
        <v>0.152510353381523</v>
      </c>
      <c r="H718">
        <v>8.3152321800846002E-2</v>
      </c>
      <c r="I718">
        <v>6.0173210337367E-2</v>
      </c>
      <c r="J718">
        <v>7.4972350925409006E-2</v>
      </c>
      <c r="K718">
        <v>7.0380017955091106E-2</v>
      </c>
      <c r="L718">
        <v>609.917352268076</v>
      </c>
      <c r="M718">
        <v>11.936041547468999</v>
      </c>
      <c r="N718">
        <v>51.098796051760203</v>
      </c>
      <c r="O718">
        <v>49.727846922854603</v>
      </c>
      <c r="P718">
        <v>-6.0021600680730799E-2</v>
      </c>
      <c r="Q718">
        <v>0</v>
      </c>
      <c r="R718">
        <v>0.95800318626312098</v>
      </c>
      <c r="S718" t="s">
        <v>7524</v>
      </c>
      <c r="T718" t="s">
        <v>13610</v>
      </c>
      <c r="U718" t="s">
        <v>13610</v>
      </c>
      <c r="V718" t="s">
        <v>13610</v>
      </c>
      <c r="W718" t="s">
        <v>14312</v>
      </c>
      <c r="X718">
        <v>13</v>
      </c>
      <c r="Y718" t="s">
        <v>21034</v>
      </c>
      <c r="Z718" t="s">
        <v>27573</v>
      </c>
      <c r="AA718">
        <v>0.40262406275051499</v>
      </c>
      <c r="AB718" t="str">
        <f>HYPERLINK("Melting_Curves/meltCurve_G3V3G9_DCAF8.pdf", "Melting_Curves/meltCurve_G3V3G9_DCAF8.pdf")</f>
        <v>Melting_Curves/meltCurve_G3V3G9_DCAF8.pdf</v>
      </c>
    </row>
    <row r="719" spans="1:28" x14ac:dyDescent="0.25">
      <c r="A719" t="s">
        <v>723</v>
      </c>
      <c r="B719">
        <v>0.995954080203443</v>
      </c>
      <c r="C719">
        <v>1.05306038174464</v>
      </c>
      <c r="D719">
        <v>1.0488389478454001</v>
      </c>
      <c r="E719">
        <v>0.84253371648840003</v>
      </c>
      <c r="F719">
        <v>0.43330489414524598</v>
      </c>
      <c r="G719">
        <v>0.21531824198911201</v>
      </c>
      <c r="H719">
        <v>0.13735156088207601</v>
      </c>
      <c r="I719">
        <v>0.13260034132137299</v>
      </c>
      <c r="J719">
        <v>0.15780851176716501</v>
      </c>
      <c r="K719">
        <v>0.144162334736117</v>
      </c>
      <c r="L719">
        <v>1884.1906925815099</v>
      </c>
      <c r="M719">
        <v>36.1992427486487</v>
      </c>
      <c r="N719">
        <v>52.5609366937394</v>
      </c>
      <c r="O719">
        <v>51.892473478738602</v>
      </c>
      <c r="P719">
        <v>-0.148552988329123</v>
      </c>
      <c r="Q719">
        <v>0.14818570161147901</v>
      </c>
      <c r="R719">
        <v>0.99508078996735405</v>
      </c>
      <c r="S719" t="s">
        <v>7525</v>
      </c>
      <c r="T719" t="s">
        <v>13610</v>
      </c>
      <c r="U719" t="s">
        <v>13610</v>
      </c>
      <c r="V719" t="s">
        <v>13610</v>
      </c>
      <c r="W719" t="s">
        <v>14313</v>
      </c>
      <c r="X719">
        <v>10</v>
      </c>
      <c r="Y719" t="s">
        <v>21035</v>
      </c>
      <c r="Z719" t="s">
        <v>27574</v>
      </c>
      <c r="AA719">
        <v>0.49409042639462758</v>
      </c>
      <c r="AB719" t="str">
        <f>HYPERLINK("Melting_Curves/meltCurve_G3V3R7_ATXN3.pdf", "Melting_Curves/meltCurve_G3V3R7_ATXN3.pdf")</f>
        <v>Melting_Curves/meltCurve_G3V3R7_ATXN3.pdf</v>
      </c>
    </row>
    <row r="720" spans="1:28" x14ac:dyDescent="0.25">
      <c r="A720" t="s">
        <v>724</v>
      </c>
      <c r="B720">
        <v>0.995954080203443</v>
      </c>
      <c r="C720">
        <v>0.62624231909264605</v>
      </c>
      <c r="D720">
        <v>1.1245908790880399</v>
      </c>
      <c r="E720">
        <v>0.66244863506888596</v>
      </c>
      <c r="F720">
        <v>1.13434407009453</v>
      </c>
      <c r="G720">
        <v>0.83530553353695902</v>
      </c>
      <c r="H720">
        <v>1.02224498012223</v>
      </c>
      <c r="I720">
        <v>1.16933302933267</v>
      </c>
      <c r="J720">
        <v>2.88679883473002</v>
      </c>
      <c r="K720">
        <v>1.3492472835899201</v>
      </c>
      <c r="L720">
        <v>15000</v>
      </c>
      <c r="M720">
        <v>233.708736477413</v>
      </c>
      <c r="O720">
        <v>64.177752986244002</v>
      </c>
      <c r="P720">
        <v>0.45519811173513502</v>
      </c>
      <c r="Q720">
        <v>1.5</v>
      </c>
      <c r="R720">
        <v>0.38881813008698701</v>
      </c>
      <c r="S720" t="s">
        <v>7526</v>
      </c>
      <c r="T720" t="s">
        <v>13610</v>
      </c>
      <c r="U720" t="s">
        <v>13610</v>
      </c>
      <c r="V720" t="s">
        <v>13610</v>
      </c>
      <c r="W720" t="s">
        <v>14314</v>
      </c>
      <c r="X720">
        <v>21</v>
      </c>
      <c r="Y720" t="s">
        <v>21036</v>
      </c>
      <c r="Z720" t="s">
        <v>27575</v>
      </c>
      <c r="AA720">
        <v>1.096894669176887</v>
      </c>
      <c r="AB720" t="str">
        <f>HYPERLINK("Melting_Curves/meltCurve_G3V4C1_HNRNPC.pdf", "Melting_Curves/meltCurve_G3V4C1_HNRNPC.pdf")</f>
        <v>Melting_Curves/meltCurve_G3V4C1_HNRNPC.pdf</v>
      </c>
    </row>
    <row r="721" spans="1:28" x14ac:dyDescent="0.25">
      <c r="A721" t="s">
        <v>725</v>
      </c>
      <c r="B721">
        <v>0.995954080203443</v>
      </c>
      <c r="C721">
        <v>1.07841696138764</v>
      </c>
      <c r="D721">
        <v>0.82216925129377705</v>
      </c>
      <c r="E721">
        <v>0.64297142174233102</v>
      </c>
      <c r="F721">
        <v>0.29631937382588702</v>
      </c>
      <c r="G721">
        <v>0.15656342254019401</v>
      </c>
      <c r="H721">
        <v>8.2915909719298103E-2</v>
      </c>
      <c r="I721">
        <v>4.42014310041084E-2</v>
      </c>
      <c r="J721">
        <v>3.9896628980884898E-2</v>
      </c>
      <c r="K721">
        <v>3.5448747154358001E-2</v>
      </c>
      <c r="L721">
        <v>1007.88250740016</v>
      </c>
      <c r="M721">
        <v>19.8175686074167</v>
      </c>
      <c r="N721">
        <v>51.0487261145472</v>
      </c>
      <c r="O721">
        <v>50.348675661905801</v>
      </c>
      <c r="P721">
        <v>-9.4894086152311194E-2</v>
      </c>
      <c r="Q721">
        <v>3.5677954205789897E-2</v>
      </c>
      <c r="R721">
        <v>0.98779719191488802</v>
      </c>
      <c r="S721" t="s">
        <v>7527</v>
      </c>
      <c r="T721" t="s">
        <v>13610</v>
      </c>
      <c r="U721" t="s">
        <v>13610</v>
      </c>
      <c r="V721" t="s">
        <v>13610</v>
      </c>
      <c r="W721" t="s">
        <v>14315</v>
      </c>
      <c r="X721">
        <v>3</v>
      </c>
      <c r="Y721" t="s">
        <v>21037</v>
      </c>
      <c r="Z721" t="s">
        <v>27576</v>
      </c>
      <c r="AA721">
        <v>0.39832291090333932</v>
      </c>
      <c r="AB721" t="str">
        <f>HYPERLINK("Melting_Curves/meltCurve_G3V4C9_FNTB.pdf", "Melting_Curves/meltCurve_G3V4C9_FNTB.pdf")</f>
        <v>Melting_Curves/meltCurve_G3V4C9_FNTB.pdf</v>
      </c>
    </row>
    <row r="722" spans="1:28" x14ac:dyDescent="0.25">
      <c r="A722" t="s">
        <v>726</v>
      </c>
      <c r="B722">
        <v>0.995954080203443</v>
      </c>
      <c r="C722">
        <v>0.854288391945493</v>
      </c>
      <c r="D722">
        <v>0.55006422738500704</v>
      </c>
      <c r="E722">
        <v>0.305554855364081</v>
      </c>
      <c r="F722">
        <v>0.27771632579057898</v>
      </c>
      <c r="G722">
        <v>0.163675053235874</v>
      </c>
      <c r="H722">
        <v>0.144231444838578</v>
      </c>
      <c r="I722">
        <v>0.163255193847643</v>
      </c>
      <c r="J722">
        <v>0.213727719942917</v>
      </c>
      <c r="K722">
        <v>0.15570471013748</v>
      </c>
      <c r="L722">
        <v>953.76328444973899</v>
      </c>
      <c r="M722">
        <v>20.785852878377298</v>
      </c>
      <c r="N722">
        <v>46.844604348592902</v>
      </c>
      <c r="O722">
        <v>45.466841035441099</v>
      </c>
      <c r="P722">
        <v>-9.4482219413874302E-2</v>
      </c>
      <c r="Q722">
        <v>0.17334390194611901</v>
      </c>
      <c r="R722">
        <v>0.98988136711447805</v>
      </c>
      <c r="S722" t="s">
        <v>7528</v>
      </c>
      <c r="T722" t="s">
        <v>13610</v>
      </c>
      <c r="U722" t="s">
        <v>13610</v>
      </c>
      <c r="V722" t="s">
        <v>13610</v>
      </c>
      <c r="W722" t="s">
        <v>14316</v>
      </c>
      <c r="X722">
        <v>2</v>
      </c>
      <c r="Y722" t="s">
        <v>21038</v>
      </c>
      <c r="Z722" t="s">
        <v>27577</v>
      </c>
      <c r="AA722">
        <v>0.34730375807447</v>
      </c>
      <c r="AB722" t="str">
        <f>HYPERLINK("Melting_Curves/meltCurve_G3V4E1_DGKA.pdf", "Melting_Curves/meltCurve_G3V4E1_DGKA.pdf")</f>
        <v>Melting_Curves/meltCurve_G3V4E1_DGKA.pdf</v>
      </c>
    </row>
    <row r="723" spans="1:28" x14ac:dyDescent="0.25">
      <c r="A723" t="s">
        <v>727</v>
      </c>
      <c r="B723">
        <v>0.995954080203443</v>
      </c>
      <c r="C723">
        <v>1.0031015258312199</v>
      </c>
      <c r="D723">
        <v>0.86010691940983297</v>
      </c>
      <c r="E723">
        <v>0.79714677337218498</v>
      </c>
      <c r="F723">
        <v>0.63469895862203796</v>
      </c>
      <c r="G723">
        <v>0.52224748457981296</v>
      </c>
      <c r="H723">
        <v>0.45111225177754399</v>
      </c>
      <c r="I723">
        <v>0.22455929021062601</v>
      </c>
      <c r="J723">
        <v>0.20383196756052899</v>
      </c>
      <c r="K723">
        <v>0.15858643093303501</v>
      </c>
      <c r="L723">
        <v>513.29267185613105</v>
      </c>
      <c r="M723">
        <v>8.9582067993415802</v>
      </c>
      <c r="N723">
        <v>57.298598659400803</v>
      </c>
      <c r="O723">
        <v>54.6592282829913</v>
      </c>
      <c r="P723">
        <v>-4.1003268596737599E-2</v>
      </c>
      <c r="Q723">
        <v>0</v>
      </c>
      <c r="R723">
        <v>0.98250240981062698</v>
      </c>
      <c r="S723" t="s">
        <v>7529</v>
      </c>
      <c r="T723" t="s">
        <v>13610</v>
      </c>
      <c r="U723" t="s">
        <v>13610</v>
      </c>
      <c r="V723" t="s">
        <v>13610</v>
      </c>
      <c r="W723" t="s">
        <v>14317</v>
      </c>
      <c r="X723">
        <v>2</v>
      </c>
      <c r="Y723" t="s">
        <v>21039</v>
      </c>
      <c r="Z723" t="s">
        <v>27578</v>
      </c>
      <c r="AA723">
        <v>0.58884101554956347</v>
      </c>
      <c r="AB723" t="str">
        <f>HYPERLINK("Melting_Curves/meltCurve_G3V4P7_AP4S1.pdf", "Melting_Curves/meltCurve_G3V4P7_AP4S1.pdf")</f>
        <v>Melting_Curves/meltCurve_G3V4P7_AP4S1.pdf</v>
      </c>
    </row>
    <row r="724" spans="1:28" x14ac:dyDescent="0.25">
      <c r="A724" t="s">
        <v>728</v>
      </c>
      <c r="B724">
        <v>0.995954080203443</v>
      </c>
      <c r="C724">
        <v>0.84438050163644496</v>
      </c>
      <c r="D724">
        <v>0.80445763991647001</v>
      </c>
      <c r="E724">
        <v>0.61487818811266703</v>
      </c>
      <c r="F724">
        <v>0.34525985782956697</v>
      </c>
      <c r="G724">
        <v>0.19413168905664899</v>
      </c>
      <c r="H724">
        <v>0.18766045350027899</v>
      </c>
      <c r="I724">
        <v>0.200388646282153</v>
      </c>
      <c r="J724">
        <v>0.37958846328350498</v>
      </c>
      <c r="K724">
        <v>0.18881157906462401</v>
      </c>
      <c r="L724">
        <v>844.09438948011598</v>
      </c>
      <c r="M724">
        <v>17.233919109188399</v>
      </c>
      <c r="N724">
        <v>50.586766646670903</v>
      </c>
      <c r="O724">
        <v>48.3334713322784</v>
      </c>
      <c r="P724">
        <v>-7.0344769685806399E-2</v>
      </c>
      <c r="Q724">
        <v>0.21090312449635101</v>
      </c>
      <c r="R724">
        <v>0.94083304109394905</v>
      </c>
      <c r="S724" t="s">
        <v>7530</v>
      </c>
      <c r="T724" t="s">
        <v>13610</v>
      </c>
      <c r="U724" t="s">
        <v>13610</v>
      </c>
      <c r="V724" t="s">
        <v>13610</v>
      </c>
      <c r="W724" t="s">
        <v>14318</v>
      </c>
      <c r="X724">
        <v>21</v>
      </c>
      <c r="Y724" t="s">
        <v>21036</v>
      </c>
      <c r="Z724" t="s">
        <v>27579</v>
      </c>
      <c r="AA724">
        <v>0.46197755724311979</v>
      </c>
      <c r="AB724" t="str">
        <f>HYPERLINK("Melting_Curves/meltCurve_G3V4W0_HNRNPC.pdf", "Melting_Curves/meltCurve_G3V4W0_HNRNPC.pdf")</f>
        <v>Melting_Curves/meltCurve_G3V4W0_HNRNPC.pdf</v>
      </c>
    </row>
    <row r="725" spans="1:28" x14ac:dyDescent="0.25">
      <c r="A725" t="s">
        <v>729</v>
      </c>
      <c r="B725">
        <v>0.995954080203443</v>
      </c>
      <c r="C725">
        <v>0.85764673207861297</v>
      </c>
      <c r="D725">
        <v>0.63700716317609296</v>
      </c>
      <c r="E725">
        <v>0.539828317289343</v>
      </c>
      <c r="F725">
        <v>0.43173735316145001</v>
      </c>
      <c r="G725">
        <v>0.30269438139245303</v>
      </c>
      <c r="H725">
        <v>0.30089329292600298</v>
      </c>
      <c r="I725">
        <v>0.32972263654779199</v>
      </c>
      <c r="J725">
        <v>0.44754586751606601</v>
      </c>
      <c r="K725">
        <v>0.383826588337076</v>
      </c>
      <c r="L725">
        <v>806.94677103495599</v>
      </c>
      <c r="M725">
        <v>17.5428649875678</v>
      </c>
      <c r="N725">
        <v>49.4908711851917</v>
      </c>
      <c r="O725">
        <v>45.413345741433901</v>
      </c>
      <c r="P725">
        <v>-6.2292875461795703E-2</v>
      </c>
      <c r="Q725">
        <v>0.35500310052337702</v>
      </c>
      <c r="R725">
        <v>0.949979931035842</v>
      </c>
      <c r="S725" t="s">
        <v>7531</v>
      </c>
      <c r="T725" t="s">
        <v>13610</v>
      </c>
      <c r="U725" t="s">
        <v>13610</v>
      </c>
      <c r="V725" t="s">
        <v>13610</v>
      </c>
      <c r="W725" t="s">
        <v>14319</v>
      </c>
      <c r="X725">
        <v>19</v>
      </c>
      <c r="Y725" t="s">
        <v>21040</v>
      </c>
      <c r="Z725" t="s">
        <v>27580</v>
      </c>
      <c r="AA725">
        <v>0.49738535958152819</v>
      </c>
      <c r="AB725" t="str">
        <f>HYPERLINK("Melting_Curves/meltCurve_G3V529_DDX24.pdf", "Melting_Curves/meltCurve_G3V529_DDX24.pdf")</f>
        <v>Melting_Curves/meltCurve_G3V529_DDX24.pdf</v>
      </c>
    </row>
    <row r="726" spans="1:28" x14ac:dyDescent="0.25">
      <c r="A726" t="s">
        <v>730</v>
      </c>
      <c r="B726">
        <v>0.995954080203443</v>
      </c>
      <c r="C726">
        <v>0.817217861078126</v>
      </c>
      <c r="D726">
        <v>0.75218849482560601</v>
      </c>
      <c r="E726">
        <v>0.66556929206608495</v>
      </c>
      <c r="F726">
        <v>0.40153693134371998</v>
      </c>
      <c r="G726">
        <v>0.221287285415599</v>
      </c>
      <c r="H726">
        <v>0.14544380960428999</v>
      </c>
      <c r="I726">
        <v>0.137701893418542</v>
      </c>
      <c r="J726">
        <v>0.15006045445320401</v>
      </c>
      <c r="K726">
        <v>0.12400767730786801</v>
      </c>
      <c r="L726">
        <v>583.63482868941401</v>
      </c>
      <c r="M726">
        <v>11.5200555336611</v>
      </c>
      <c r="N726">
        <v>51.284350629542999</v>
      </c>
      <c r="O726">
        <v>49.208019660757699</v>
      </c>
      <c r="P726">
        <v>-5.4727675538579101E-2</v>
      </c>
      <c r="Q726">
        <v>6.5184639818496495E-2</v>
      </c>
      <c r="R726">
        <v>0.977163375626384</v>
      </c>
      <c r="S726" t="s">
        <v>7532</v>
      </c>
      <c r="T726" t="s">
        <v>13610</v>
      </c>
      <c r="U726" t="s">
        <v>13610</v>
      </c>
      <c r="V726" t="s">
        <v>13610</v>
      </c>
      <c r="W726" t="s">
        <v>14320</v>
      </c>
      <c r="X726">
        <v>2</v>
      </c>
      <c r="Y726" t="s">
        <v>21041</v>
      </c>
      <c r="Z726" t="s">
        <v>27581</v>
      </c>
      <c r="AA726">
        <v>0.43045342600055891</v>
      </c>
      <c r="AB726" t="str">
        <f>HYPERLINK("Melting_Curves/meltCurve_G3V567_PAX6.pdf", "Melting_Curves/meltCurve_G3V567_PAX6.pdf")</f>
        <v>Melting_Curves/meltCurve_G3V567_PAX6.pdf</v>
      </c>
    </row>
    <row r="727" spans="1:28" x14ac:dyDescent="0.25">
      <c r="A727" t="s">
        <v>731</v>
      </c>
      <c r="B727">
        <v>0.995954080203443</v>
      </c>
      <c r="C727">
        <v>1.03527461472364</v>
      </c>
      <c r="D727">
        <v>1.15734753107767</v>
      </c>
      <c r="E727">
        <v>0.98527277308360794</v>
      </c>
      <c r="F727">
        <v>0.98286456196594096</v>
      </c>
      <c r="G727">
        <v>0.77716308089899599</v>
      </c>
      <c r="H727">
        <v>0.67133427093167497</v>
      </c>
      <c r="I727">
        <v>0.83334193201762696</v>
      </c>
      <c r="J727">
        <v>0.78345050238011404</v>
      </c>
      <c r="K727">
        <v>0.97284220140522004</v>
      </c>
      <c r="L727">
        <v>13373.2245926744</v>
      </c>
      <c r="M727">
        <v>250</v>
      </c>
      <c r="O727">
        <v>53.4894752006484</v>
      </c>
      <c r="P727">
        <v>-0.22477974345193799</v>
      </c>
      <c r="Q727">
        <v>0.80762639209201603</v>
      </c>
      <c r="R727">
        <v>0.61865062028457096</v>
      </c>
      <c r="S727" t="s">
        <v>7533</v>
      </c>
      <c r="T727" t="s">
        <v>13610</v>
      </c>
      <c r="U727" t="s">
        <v>13610</v>
      </c>
      <c r="V727" t="s">
        <v>13610</v>
      </c>
      <c r="W727" t="s">
        <v>14321</v>
      </c>
      <c r="X727">
        <v>8</v>
      </c>
      <c r="Y727" t="s">
        <v>21042</v>
      </c>
      <c r="Z727" t="s">
        <v>27582</v>
      </c>
      <c r="AA727">
        <v>0.89416703666344577</v>
      </c>
      <c r="AB727" t="str">
        <f>HYPERLINK("Melting_Curves/meltCurve_G3V599_CTAGE5.pdf", "Melting_Curves/meltCurve_G3V599_CTAGE5.pdf")</f>
        <v>Melting_Curves/meltCurve_G3V599_CTAGE5.pdf</v>
      </c>
    </row>
    <row r="728" spans="1:28" x14ac:dyDescent="0.25">
      <c r="A728" t="s">
        <v>732</v>
      </c>
      <c r="B728">
        <v>0.995954080203443</v>
      </c>
      <c r="C728">
        <v>0.96948291691261901</v>
      </c>
      <c r="D728">
        <v>1.0771008893707701</v>
      </c>
      <c r="E728">
        <v>0.78644364585123305</v>
      </c>
      <c r="F728">
        <v>0.31656487846148601</v>
      </c>
      <c r="G728">
        <v>0.162593737405474</v>
      </c>
      <c r="H728">
        <v>0.111158452830453</v>
      </c>
      <c r="I728">
        <v>0.11470314882506</v>
      </c>
      <c r="J728">
        <v>0.143744928394206</v>
      </c>
      <c r="K728">
        <v>0.11961431714923</v>
      </c>
      <c r="L728">
        <v>2173.1474780472599</v>
      </c>
      <c r="M728">
        <v>42.297213456238801</v>
      </c>
      <c r="N728">
        <v>51.737879720721097</v>
      </c>
      <c r="O728">
        <v>51.263586649816197</v>
      </c>
      <c r="P728">
        <v>-0.179989161793394</v>
      </c>
      <c r="Q728">
        <v>0.12742486610321499</v>
      </c>
      <c r="R728">
        <v>0.99424571657787097</v>
      </c>
      <c r="S728" t="s">
        <v>7534</v>
      </c>
      <c r="T728" t="s">
        <v>13610</v>
      </c>
      <c r="U728" t="s">
        <v>13610</v>
      </c>
      <c r="V728" t="s">
        <v>13610</v>
      </c>
      <c r="W728" t="s">
        <v>14322</v>
      </c>
      <c r="X728">
        <v>6</v>
      </c>
      <c r="Y728" t="s">
        <v>21043</v>
      </c>
      <c r="Z728" t="s">
        <v>27583</v>
      </c>
      <c r="AA728">
        <v>0.46113318471921538</v>
      </c>
      <c r="AB728" t="str">
        <f>HYPERLINK("Melting_Curves/meltCurve_G3V5T0_GSTZ1.pdf", "Melting_Curves/meltCurve_G3V5T0_GSTZ1.pdf")</f>
        <v>Melting_Curves/meltCurve_G3V5T0_GSTZ1.pdf</v>
      </c>
    </row>
    <row r="729" spans="1:28" x14ac:dyDescent="0.25">
      <c r="A729" t="s">
        <v>733</v>
      </c>
      <c r="B729">
        <v>0.995954080203443</v>
      </c>
      <c r="C729">
        <v>0.98542393960392605</v>
      </c>
      <c r="D729">
        <v>0.97150054430507904</v>
      </c>
      <c r="E729">
        <v>0.66029210200105404</v>
      </c>
      <c r="F729">
        <v>0.30109260143486599</v>
      </c>
      <c r="G729">
        <v>0.12773262961729301</v>
      </c>
      <c r="H729">
        <v>9.0112995209465405E-2</v>
      </c>
      <c r="I729">
        <v>8.5621891379558501E-2</v>
      </c>
      <c r="J729">
        <v>9.5355982985113594E-2</v>
      </c>
      <c r="K729">
        <v>9.2739906521380297E-2</v>
      </c>
      <c r="L729">
        <v>1529.2743387115299</v>
      </c>
      <c r="M729">
        <v>30.056313809695499</v>
      </c>
      <c r="N729">
        <v>51.216818130922498</v>
      </c>
      <c r="O729">
        <v>50.656665144787802</v>
      </c>
      <c r="P729">
        <v>-0.135043312306876</v>
      </c>
      <c r="Q729">
        <v>8.9602355961318297E-2</v>
      </c>
      <c r="R729">
        <v>0.99979550828394603</v>
      </c>
      <c r="S729" t="s">
        <v>7535</v>
      </c>
      <c r="T729" t="s">
        <v>13610</v>
      </c>
      <c r="U729" t="s">
        <v>13610</v>
      </c>
      <c r="V729" t="s">
        <v>13610</v>
      </c>
      <c r="W729" t="s">
        <v>14323</v>
      </c>
      <c r="X729">
        <v>23</v>
      </c>
      <c r="Y729" t="s">
        <v>21044</v>
      </c>
      <c r="Z729" t="s">
        <v>27584</v>
      </c>
      <c r="AA729">
        <v>0.42547379851572958</v>
      </c>
      <c r="AB729" t="str">
        <f>HYPERLINK("Melting_Curves/meltCurve_G3V5V3_NEMF.pdf", "Melting_Curves/meltCurve_G3V5V3_NEMF.pdf")</f>
        <v>Melting_Curves/meltCurve_G3V5V3_NEMF.pdf</v>
      </c>
    </row>
    <row r="730" spans="1:28" x14ac:dyDescent="0.25">
      <c r="A730" t="s">
        <v>734</v>
      </c>
      <c r="B730">
        <v>0.995954080203443</v>
      </c>
      <c r="C730">
        <v>0.98076884913469498</v>
      </c>
      <c r="D730">
        <v>1.0353041814966599</v>
      </c>
      <c r="E730">
        <v>0.85268212242483299</v>
      </c>
      <c r="F730">
        <v>0.66125650282136705</v>
      </c>
      <c r="G730">
        <v>0.57902626318547801</v>
      </c>
      <c r="H730">
        <v>0.41088699993894701</v>
      </c>
      <c r="I730">
        <v>0.439240463344716</v>
      </c>
      <c r="J730">
        <v>0.40239900682107799</v>
      </c>
      <c r="K730">
        <v>0.543966215428905</v>
      </c>
      <c r="L730">
        <v>1264.4899028775701</v>
      </c>
      <c r="M730">
        <v>24.2084477247191</v>
      </c>
      <c r="N730">
        <v>57.934731514132203</v>
      </c>
      <c r="O730">
        <v>51.8809188108416</v>
      </c>
      <c r="P730">
        <v>-6.3713540402656796E-2</v>
      </c>
      <c r="Q730">
        <v>0.45383268804149901</v>
      </c>
      <c r="R730">
        <v>0.96166615209169504</v>
      </c>
      <c r="S730" t="s">
        <v>7536</v>
      </c>
      <c r="T730" t="s">
        <v>13610</v>
      </c>
      <c r="U730" t="s">
        <v>13610</v>
      </c>
      <c r="V730" t="s">
        <v>13610</v>
      </c>
      <c r="W730" t="s">
        <v>14318</v>
      </c>
      <c r="X730">
        <v>1</v>
      </c>
      <c r="Y730" t="s">
        <v>21036</v>
      </c>
      <c r="Z730" t="s">
        <v>27585</v>
      </c>
      <c r="AA730">
        <v>0.68186223328921214</v>
      </c>
      <c r="AB730" t="str">
        <f>HYPERLINK("Melting_Curves/meltCurve_G3V5V7_HNRNPC.pdf", "Melting_Curves/meltCurve_G3V5V7_HNRNPC.pdf")</f>
        <v>Melting_Curves/meltCurve_G3V5V7_HNRNPC.pdf</v>
      </c>
    </row>
    <row r="731" spans="1:28" x14ac:dyDescent="0.25">
      <c r="A731" t="s">
        <v>735</v>
      </c>
      <c r="B731">
        <v>0.995954080203443</v>
      </c>
      <c r="C731">
        <v>1.0146449119875001</v>
      </c>
      <c r="D731">
        <v>0.97622296855358603</v>
      </c>
      <c r="E731">
        <v>0.93155232477834904</v>
      </c>
      <c r="F731">
        <v>0.73016414594392098</v>
      </c>
      <c r="G731">
        <v>0.63647941782935302</v>
      </c>
      <c r="H731">
        <v>0.59832964593711002</v>
      </c>
      <c r="I731">
        <v>0.59457163964960003</v>
      </c>
      <c r="J731">
        <v>0.55036913964561596</v>
      </c>
      <c r="K731">
        <v>0.33384516052379098</v>
      </c>
      <c r="L731">
        <v>518.07353047623803</v>
      </c>
      <c r="M731">
        <v>8.8249232497916594</v>
      </c>
      <c r="N731">
        <v>65.324474459613199</v>
      </c>
      <c r="O731">
        <v>55.925586616821199</v>
      </c>
      <c r="P731">
        <v>-2.78129473326914E-2</v>
      </c>
      <c r="Q731">
        <v>0.29552266935272598</v>
      </c>
      <c r="R731">
        <v>0.92724153544714805</v>
      </c>
      <c r="S731" t="s">
        <v>7537</v>
      </c>
      <c r="T731" t="s">
        <v>13610</v>
      </c>
      <c r="U731" t="s">
        <v>13610</v>
      </c>
      <c r="V731" t="s">
        <v>13610</v>
      </c>
      <c r="W731" t="s">
        <v>14324</v>
      </c>
      <c r="X731">
        <v>19</v>
      </c>
      <c r="Y731" t="s">
        <v>21045</v>
      </c>
      <c r="Z731" t="s">
        <v>27586</v>
      </c>
      <c r="AA731">
        <v>0.73565778849670416</v>
      </c>
      <c r="AB731" t="str">
        <f>HYPERLINK("Melting_Curves/meltCurve_G3XA91_METAP2.pdf", "Melting_Curves/meltCurve_G3XA91_METAP2.pdf")</f>
        <v>Melting_Curves/meltCurve_G3XA91_METAP2.pdf</v>
      </c>
    </row>
    <row r="732" spans="1:28" x14ac:dyDescent="0.25">
      <c r="A732" t="s">
        <v>736</v>
      </c>
      <c r="B732">
        <v>0.995954080203443</v>
      </c>
      <c r="C732">
        <v>0.916710890876412</v>
      </c>
      <c r="D732">
        <v>0.79167514521497695</v>
      </c>
      <c r="E732">
        <v>0.58284286825621501</v>
      </c>
      <c r="F732">
        <v>0.37319620234033701</v>
      </c>
      <c r="G732">
        <v>0.23855957845299</v>
      </c>
      <c r="H732">
        <v>0.20804605761450401</v>
      </c>
      <c r="I732">
        <v>0.22983437394880099</v>
      </c>
      <c r="J732">
        <v>0.25192071392343102</v>
      </c>
      <c r="K732">
        <v>0.26829793291537402</v>
      </c>
      <c r="L732">
        <v>864.96636219786899</v>
      </c>
      <c r="M732">
        <v>17.664579177216702</v>
      </c>
      <c r="N732">
        <v>50.642209358650398</v>
      </c>
      <c r="O732">
        <v>48.351542393744197</v>
      </c>
      <c r="P732">
        <v>-7.1121682462885194E-2</v>
      </c>
      <c r="Q732">
        <v>0.22134344598988701</v>
      </c>
      <c r="R732">
        <v>0.990160770756641</v>
      </c>
      <c r="S732" t="s">
        <v>7538</v>
      </c>
      <c r="T732" t="s">
        <v>13610</v>
      </c>
      <c r="U732" t="s">
        <v>13610</v>
      </c>
      <c r="V732" t="s">
        <v>13610</v>
      </c>
      <c r="W732" t="s">
        <v>14325</v>
      </c>
      <c r="X732">
        <v>41</v>
      </c>
      <c r="Y732" t="s">
        <v>21046</v>
      </c>
      <c r="Z732" t="s">
        <v>27587</v>
      </c>
      <c r="AA732">
        <v>0.46807282832730929</v>
      </c>
      <c r="AB732" t="str">
        <f>HYPERLINK("Melting_Curves/meltCurve_G3XAA0_ARID1B.pdf", "Melting_Curves/meltCurve_G3XAA0_ARID1B.pdf")</f>
        <v>Melting_Curves/meltCurve_G3XAA0_ARID1B.pdf</v>
      </c>
    </row>
    <row r="733" spans="1:28" x14ac:dyDescent="0.25">
      <c r="A733" t="s">
        <v>737</v>
      </c>
      <c r="B733">
        <v>0.995954080203443</v>
      </c>
      <c r="C733">
        <v>0.88714566438514397</v>
      </c>
      <c r="D733">
        <v>0.80574171721121102</v>
      </c>
      <c r="E733">
        <v>0.64152099744969204</v>
      </c>
      <c r="F733">
        <v>0.44881071217574198</v>
      </c>
      <c r="G733">
        <v>0.27358994384880098</v>
      </c>
      <c r="H733">
        <v>0.20412329057251699</v>
      </c>
      <c r="I733">
        <v>0.18640762119620299</v>
      </c>
      <c r="J733">
        <v>0.26006314675539899</v>
      </c>
      <c r="K733">
        <v>0.14076566639894</v>
      </c>
      <c r="L733">
        <v>671.42853253836404</v>
      </c>
      <c r="M733">
        <v>13.2936382159641</v>
      </c>
      <c r="N733">
        <v>51.907149618205302</v>
      </c>
      <c r="O733">
        <v>49.405613709940397</v>
      </c>
      <c r="P733">
        <v>-5.7145082478303903E-2</v>
      </c>
      <c r="Q733">
        <v>0.15062183537670901</v>
      </c>
      <c r="R733">
        <v>0.98678403426341699</v>
      </c>
      <c r="S733" t="s">
        <v>7539</v>
      </c>
      <c r="T733" t="s">
        <v>13610</v>
      </c>
      <c r="U733" t="s">
        <v>13610</v>
      </c>
      <c r="V733" t="s">
        <v>13610</v>
      </c>
      <c r="W733" t="s">
        <v>14326</v>
      </c>
      <c r="X733">
        <v>23</v>
      </c>
      <c r="Y733" t="s">
        <v>21047</v>
      </c>
      <c r="Z733" t="s">
        <v>27588</v>
      </c>
      <c r="AA733">
        <v>0.47246503961803071</v>
      </c>
      <c r="AB733" t="str">
        <f>HYPERLINK("Melting_Curves/meltCurve_G3XAA2_MAP4K4.pdf", "Melting_Curves/meltCurve_G3XAA2_MAP4K4.pdf")</f>
        <v>Melting_Curves/meltCurve_G3XAA2_MAP4K4.pdf</v>
      </c>
    </row>
    <row r="734" spans="1:28" x14ac:dyDescent="0.25">
      <c r="A734" t="s">
        <v>738</v>
      </c>
      <c r="B734">
        <v>0.995954080203443</v>
      </c>
      <c r="C734">
        <v>0.88287615014814202</v>
      </c>
      <c r="D734">
        <v>0.82712718728079404</v>
      </c>
      <c r="E734">
        <v>0.883761980449425</v>
      </c>
      <c r="F734">
        <v>0.66093856106093296</v>
      </c>
      <c r="G734">
        <v>0.227732059992691</v>
      </c>
      <c r="H734">
        <v>0.13111627199190901</v>
      </c>
      <c r="I734">
        <v>0.12753299149314201</v>
      </c>
      <c r="J734">
        <v>0.151649265428145</v>
      </c>
      <c r="K734">
        <v>0.134434269014163</v>
      </c>
      <c r="L734">
        <v>1513.68555856083</v>
      </c>
      <c r="M734">
        <v>28.245665833485301</v>
      </c>
      <c r="N734">
        <v>54.126529380377598</v>
      </c>
      <c r="O734">
        <v>53.323573863883603</v>
      </c>
      <c r="P734">
        <v>-0.116257867340268</v>
      </c>
      <c r="Q734">
        <v>0.12209806890561301</v>
      </c>
      <c r="R734">
        <v>0.96553388487399305</v>
      </c>
      <c r="S734" t="s">
        <v>7540</v>
      </c>
      <c r="T734" t="s">
        <v>13610</v>
      </c>
      <c r="U734" t="s">
        <v>13610</v>
      </c>
      <c r="V734" t="s">
        <v>13610</v>
      </c>
      <c r="W734" t="s">
        <v>14327</v>
      </c>
      <c r="X734">
        <v>21</v>
      </c>
      <c r="Y734" t="s">
        <v>21048</v>
      </c>
      <c r="Z734" t="s">
        <v>27589</v>
      </c>
      <c r="AA734">
        <v>0.52623371850776357</v>
      </c>
      <c r="AB734" t="str">
        <f>HYPERLINK("Melting_Curves/meltCurve_G3XAH0_SEPT5.pdf", "Melting_Curves/meltCurve_G3XAH0_SEPT5.pdf")</f>
        <v>Melting_Curves/meltCurve_G3XAH0_SEPT5.pdf</v>
      </c>
    </row>
    <row r="735" spans="1:28" x14ac:dyDescent="0.25">
      <c r="A735" t="s">
        <v>739</v>
      </c>
      <c r="B735">
        <v>0.995954080203443</v>
      </c>
      <c r="C735">
        <v>1.09100068227782</v>
      </c>
      <c r="D735">
        <v>1.1397510132083599</v>
      </c>
      <c r="E735">
        <v>0.96978017168464803</v>
      </c>
      <c r="F735">
        <v>0.98748611210576998</v>
      </c>
      <c r="G735">
        <v>0.76885289774207899</v>
      </c>
      <c r="H735">
        <v>0.75438796306535905</v>
      </c>
      <c r="I735">
        <v>0.89078858789763005</v>
      </c>
      <c r="J735">
        <v>1.05739089817278</v>
      </c>
      <c r="K735">
        <v>1.0870952912895699</v>
      </c>
      <c r="L735">
        <v>13345.4540862948</v>
      </c>
      <c r="M735">
        <v>250</v>
      </c>
      <c r="O735">
        <v>53.378391704989298</v>
      </c>
      <c r="P735">
        <v>-0.103385529673529</v>
      </c>
      <c r="Q735">
        <v>0.91170313311887696</v>
      </c>
      <c r="R735">
        <v>0.20466924266267</v>
      </c>
      <c r="S735" t="s">
        <v>7541</v>
      </c>
      <c r="T735" t="s">
        <v>13610</v>
      </c>
      <c r="U735" t="s">
        <v>13610</v>
      </c>
      <c r="V735" t="s">
        <v>13610</v>
      </c>
      <c r="W735" t="s">
        <v>14328</v>
      </c>
      <c r="X735">
        <v>2</v>
      </c>
      <c r="Y735" t="s">
        <v>21049</v>
      </c>
      <c r="Z735" t="s">
        <v>27590</v>
      </c>
      <c r="AA735">
        <v>0.95109715369383319</v>
      </c>
      <c r="AB735" t="str">
        <f>HYPERLINK("Melting_Curves/meltCurve_G3XAI9_FAM133B.pdf", "Melting_Curves/meltCurve_G3XAI9_FAM133B.pdf")</f>
        <v>Melting_Curves/meltCurve_G3XAI9_FAM133B.pdf</v>
      </c>
    </row>
    <row r="736" spans="1:28" x14ac:dyDescent="0.25">
      <c r="A736" t="s">
        <v>740</v>
      </c>
      <c r="B736">
        <v>0.995954080203443</v>
      </c>
      <c r="C736">
        <v>0.98640852063378703</v>
      </c>
      <c r="D736">
        <v>0.95854580047447902</v>
      </c>
      <c r="E736">
        <v>0.83167979967454297</v>
      </c>
      <c r="F736">
        <v>0.86131198598657099</v>
      </c>
      <c r="G736">
        <v>0.61561410463423405</v>
      </c>
      <c r="H736">
        <v>0.59529831573119696</v>
      </c>
      <c r="I736">
        <v>0.65665213731958505</v>
      </c>
      <c r="J736">
        <v>0.87593553776441002</v>
      </c>
      <c r="K736">
        <v>0.79050764092724801</v>
      </c>
      <c r="L736">
        <v>1189.8842274041399</v>
      </c>
      <c r="M736">
        <v>23.812182143992299</v>
      </c>
      <c r="O736">
        <v>49.621147047091803</v>
      </c>
      <c r="P736">
        <v>-3.4148419742629103E-2</v>
      </c>
      <c r="Q736">
        <v>0.71536318560456602</v>
      </c>
      <c r="R736">
        <v>0.64618267205101199</v>
      </c>
      <c r="S736" t="s">
        <v>7542</v>
      </c>
      <c r="T736" t="s">
        <v>13610</v>
      </c>
      <c r="U736" t="s">
        <v>13610</v>
      </c>
      <c r="V736" t="s">
        <v>13610</v>
      </c>
      <c r="W736" t="s">
        <v>14329</v>
      </c>
      <c r="X736">
        <v>7</v>
      </c>
      <c r="Y736" t="s">
        <v>21050</v>
      </c>
      <c r="Z736" t="s">
        <v>27591</v>
      </c>
      <c r="AA736">
        <v>0.81275774015177005</v>
      </c>
      <c r="AB736" t="str">
        <f>HYPERLINK("Melting_Curves/meltCurve_G3XAL9_SLC12A2.pdf", "Melting_Curves/meltCurve_G3XAL9_SLC12A2.pdf")</f>
        <v>Melting_Curves/meltCurve_G3XAL9_SLC12A2.pdf</v>
      </c>
    </row>
    <row r="737" spans="1:28" x14ac:dyDescent="0.25">
      <c r="A737" t="s">
        <v>741</v>
      </c>
      <c r="B737">
        <v>0.995954080203443</v>
      </c>
      <c r="C737">
        <v>0.98064494129884305</v>
      </c>
      <c r="D737">
        <v>0.89007959425805905</v>
      </c>
      <c r="E737">
        <v>0.66078308312424505</v>
      </c>
      <c r="F737">
        <v>0.39409617610229603</v>
      </c>
      <c r="G737">
        <v>0.24642123336602501</v>
      </c>
      <c r="H737">
        <v>0.19424554955765</v>
      </c>
      <c r="I737">
        <v>0.20128523691143299</v>
      </c>
      <c r="J737">
        <v>0.21611666600951501</v>
      </c>
      <c r="K737">
        <v>0.22086156945357099</v>
      </c>
      <c r="L737">
        <v>1126.9465934243401</v>
      </c>
      <c r="M737">
        <v>22.338175797522101</v>
      </c>
      <c r="N737">
        <v>51.621909652114901</v>
      </c>
      <c r="O737">
        <v>50.050271357246103</v>
      </c>
      <c r="P737">
        <v>-8.9379874801725601E-2</v>
      </c>
      <c r="Q737">
        <v>0.19896900673839499</v>
      </c>
      <c r="R737">
        <v>0.99771072451836396</v>
      </c>
      <c r="S737" t="s">
        <v>7543</v>
      </c>
      <c r="T737" t="s">
        <v>13610</v>
      </c>
      <c r="U737" t="s">
        <v>13610</v>
      </c>
      <c r="V737" t="s">
        <v>13610</v>
      </c>
      <c r="W737" t="s">
        <v>14326</v>
      </c>
      <c r="X737">
        <v>24</v>
      </c>
      <c r="Y737" t="s">
        <v>21047</v>
      </c>
      <c r="Z737" t="s">
        <v>27592</v>
      </c>
      <c r="AA737">
        <v>0.4869639371633695</v>
      </c>
      <c r="AB737" t="str">
        <f>HYPERLINK("Melting_Curves/meltCurve_G5E948_MAP4K4.pdf", "Melting_Curves/meltCurve_G5E948_MAP4K4.pdf")</f>
        <v>Melting_Curves/meltCurve_G5E948_MAP4K4.pdf</v>
      </c>
    </row>
    <row r="738" spans="1:28" x14ac:dyDescent="0.25">
      <c r="A738" t="s">
        <v>742</v>
      </c>
      <c r="B738">
        <v>0.995954080203443</v>
      </c>
      <c r="C738">
        <v>1.05339452146083</v>
      </c>
      <c r="D738">
        <v>1.10968304412429</v>
      </c>
      <c r="E738">
        <v>0.96131410418903795</v>
      </c>
      <c r="F738">
        <v>0.95091338879654397</v>
      </c>
      <c r="G738">
        <v>0.67039470080461905</v>
      </c>
      <c r="H738">
        <v>0.66737289702789604</v>
      </c>
      <c r="I738">
        <v>0.93179691606498205</v>
      </c>
      <c r="J738">
        <v>1.0548590446449</v>
      </c>
      <c r="K738">
        <v>0.95916783144636497</v>
      </c>
      <c r="L738">
        <v>13284.5443408834</v>
      </c>
      <c r="M738">
        <v>250</v>
      </c>
      <c r="O738">
        <v>53.1347771031257</v>
      </c>
      <c r="P738">
        <v>-0.16853571140613899</v>
      </c>
      <c r="Q738">
        <v>0.856718281437718</v>
      </c>
      <c r="R738">
        <v>0.30825448217080698</v>
      </c>
      <c r="S738" t="s">
        <v>7544</v>
      </c>
      <c r="T738" t="s">
        <v>13610</v>
      </c>
      <c r="U738" t="s">
        <v>13610</v>
      </c>
      <c r="V738" t="s">
        <v>13610</v>
      </c>
      <c r="W738" t="s">
        <v>14330</v>
      </c>
      <c r="X738">
        <v>2</v>
      </c>
      <c r="Y738" t="s">
        <v>21051</v>
      </c>
      <c r="Z738" t="s">
        <v>27593</v>
      </c>
      <c r="AA738">
        <v>0.9194803311283789</v>
      </c>
      <c r="AB738" t="str">
        <f>HYPERLINK("Melting_Curves/meltCurve_G5E953_MTMR3.pdf", "Melting_Curves/meltCurve_G5E953_MTMR3.pdf")</f>
        <v>Melting_Curves/meltCurve_G5E953_MTMR3.pdf</v>
      </c>
    </row>
    <row r="739" spans="1:28" x14ac:dyDescent="0.25">
      <c r="A739" t="s">
        <v>743</v>
      </c>
      <c r="B739">
        <v>0.995954080203443</v>
      </c>
      <c r="C739">
        <v>0.80623126788791599</v>
      </c>
      <c r="D739">
        <v>0.32694490639350898</v>
      </c>
      <c r="E739">
        <v>0.26236513579030202</v>
      </c>
      <c r="F739">
        <v>0.139974294906067</v>
      </c>
      <c r="G739">
        <v>8.8137122865014197E-2</v>
      </c>
      <c r="H739">
        <v>6.3012558189031898E-2</v>
      </c>
      <c r="I739">
        <v>6.0549940360638203E-2</v>
      </c>
      <c r="J739">
        <v>7.0195303436002096E-2</v>
      </c>
      <c r="K739">
        <v>6.5503685899607103E-2</v>
      </c>
      <c r="L739">
        <v>1178.1204714356099</v>
      </c>
      <c r="M739">
        <v>26.330779860837399</v>
      </c>
      <c r="N739">
        <v>45.086544371186299</v>
      </c>
      <c r="O739">
        <v>44.487391618870703</v>
      </c>
      <c r="P739">
        <v>-0.13452305079601201</v>
      </c>
      <c r="Q739">
        <v>9.0871470867044404E-2</v>
      </c>
      <c r="R739">
        <v>0.977061894012617</v>
      </c>
      <c r="S739" t="s">
        <v>7545</v>
      </c>
      <c r="T739" t="s">
        <v>13610</v>
      </c>
      <c r="U739" t="s">
        <v>13610</v>
      </c>
      <c r="V739" t="s">
        <v>13610</v>
      </c>
      <c r="W739" t="s">
        <v>13836</v>
      </c>
      <c r="X739">
        <v>22</v>
      </c>
      <c r="Y739" t="s">
        <v>21052</v>
      </c>
      <c r="Z739" t="s">
        <v>27594</v>
      </c>
      <c r="AA739">
        <v>0.2428288617701351</v>
      </c>
      <c r="AB739" t="str">
        <f>HYPERLINK("Melting_Curves/meltCurve_G5E9A6_USP11.pdf", "Melting_Curves/meltCurve_G5E9A6_USP11.pdf")</f>
        <v>Melting_Curves/meltCurve_G5E9A6_USP11.pdf</v>
      </c>
    </row>
    <row r="740" spans="1:28" x14ac:dyDescent="0.25">
      <c r="A740" t="s">
        <v>744</v>
      </c>
      <c r="B740">
        <v>0.995954080203443</v>
      </c>
      <c r="C740">
        <v>0.78023899806376895</v>
      </c>
      <c r="D740">
        <v>0.85523839860698803</v>
      </c>
      <c r="E740">
        <v>0.72798471601049197</v>
      </c>
      <c r="F740">
        <v>0.63687280543318903</v>
      </c>
      <c r="G740">
        <v>0.44895466200182998</v>
      </c>
      <c r="H740">
        <v>0.38876202942020099</v>
      </c>
      <c r="I740">
        <v>0.59295152365617498</v>
      </c>
      <c r="J740">
        <v>0.71255061539259601</v>
      </c>
      <c r="K740">
        <v>0.82742685748533096</v>
      </c>
      <c r="L740">
        <v>718.22452920994999</v>
      </c>
      <c r="M740">
        <v>15.823275640303899</v>
      </c>
      <c r="O740">
        <v>44.683961850225501</v>
      </c>
      <c r="P740">
        <v>-3.5317753479570897E-2</v>
      </c>
      <c r="Q740">
        <v>0.60109198627810601</v>
      </c>
      <c r="R740">
        <v>0.48569851496095501</v>
      </c>
      <c r="S740" t="s">
        <v>7546</v>
      </c>
      <c r="T740" t="s">
        <v>13610</v>
      </c>
      <c r="U740" t="s">
        <v>13610</v>
      </c>
      <c r="V740" t="s">
        <v>13610</v>
      </c>
      <c r="W740" t="s">
        <v>14331</v>
      </c>
      <c r="X740">
        <v>2</v>
      </c>
      <c r="Y740" t="s">
        <v>21053</v>
      </c>
      <c r="Z740" t="s">
        <v>27595</v>
      </c>
      <c r="AA740">
        <v>0.68375043359316112</v>
      </c>
      <c r="AB740" t="str">
        <f>HYPERLINK("Melting_Curves/meltCurve_G5E9B5_TFPT.pdf", "Melting_Curves/meltCurve_G5E9B5_TFPT.pdf")</f>
        <v>Melting_Curves/meltCurve_G5E9B5_TFPT.pdf</v>
      </c>
    </row>
    <row r="741" spans="1:28" x14ac:dyDescent="0.25">
      <c r="A741" t="s">
        <v>745</v>
      </c>
      <c r="B741">
        <v>0.995954080203443</v>
      </c>
      <c r="C741">
        <v>0.98148787466203902</v>
      </c>
      <c r="D741">
        <v>0.91702756986956702</v>
      </c>
      <c r="E741">
        <v>0.391155372698478</v>
      </c>
      <c r="F741">
        <v>0.18625494548982599</v>
      </c>
      <c r="G741">
        <v>0.113723561795219</v>
      </c>
      <c r="H741">
        <v>8.1679902908479304E-2</v>
      </c>
      <c r="I741">
        <v>7.7667440497540305E-2</v>
      </c>
      <c r="J741">
        <v>8.7804198650092105E-2</v>
      </c>
      <c r="K741">
        <v>8.0209136416590901E-2</v>
      </c>
      <c r="L741">
        <v>1574.8582678262501</v>
      </c>
      <c r="M741">
        <v>32.125073245859703</v>
      </c>
      <c r="N741">
        <v>49.321143074922503</v>
      </c>
      <c r="O741">
        <v>48.833925369844501</v>
      </c>
      <c r="P741">
        <v>-0.149934963277432</v>
      </c>
      <c r="Q741">
        <v>8.8328744613928603E-2</v>
      </c>
      <c r="R741">
        <v>0.99895148716315296</v>
      </c>
      <c r="S741" t="s">
        <v>7547</v>
      </c>
      <c r="T741" t="s">
        <v>13610</v>
      </c>
      <c r="U741" t="s">
        <v>13610</v>
      </c>
      <c r="V741" t="s">
        <v>13610</v>
      </c>
      <c r="W741" t="s">
        <v>14332</v>
      </c>
      <c r="X741">
        <v>31</v>
      </c>
      <c r="Y741" t="s">
        <v>21054</v>
      </c>
      <c r="Z741" t="s">
        <v>27596</v>
      </c>
      <c r="AA741">
        <v>0.36734909781026198</v>
      </c>
      <c r="AB741" t="str">
        <f>HYPERLINK("Melting_Curves/meltCurve_G5E9C8_SOS1.pdf", "Melting_Curves/meltCurve_G5E9C8_SOS1.pdf")</f>
        <v>Melting_Curves/meltCurve_G5E9C8_SOS1.pdf</v>
      </c>
    </row>
    <row r="742" spans="1:28" x14ac:dyDescent="0.25">
      <c r="A742" t="s">
        <v>746</v>
      </c>
      <c r="B742">
        <v>0.995954080203443</v>
      </c>
      <c r="C742">
        <v>0.87686804111001004</v>
      </c>
      <c r="D742">
        <v>0.84686954313634799</v>
      </c>
      <c r="E742">
        <v>0.63140403101950704</v>
      </c>
      <c r="F742">
        <v>0.53784715867766197</v>
      </c>
      <c r="G742">
        <v>0.38839455364813402</v>
      </c>
      <c r="H742">
        <v>0.34401261179152298</v>
      </c>
      <c r="I742">
        <v>0.39765042082291502</v>
      </c>
      <c r="J742">
        <v>0.47219743408155801</v>
      </c>
      <c r="K742">
        <v>0.475138507805486</v>
      </c>
      <c r="L742">
        <v>834.25000628534303</v>
      </c>
      <c r="M742">
        <v>17.2666754743829</v>
      </c>
      <c r="N742">
        <v>53.558744976395502</v>
      </c>
      <c r="O742">
        <v>47.6815131577508</v>
      </c>
      <c r="P742">
        <v>-5.3618477586791502E-2</v>
      </c>
      <c r="Q742">
        <v>0.40776982827411801</v>
      </c>
      <c r="R742">
        <v>0.95185037758904201</v>
      </c>
      <c r="S742" t="s">
        <v>7548</v>
      </c>
      <c r="T742" t="s">
        <v>13610</v>
      </c>
      <c r="U742" t="s">
        <v>13610</v>
      </c>
      <c r="V742" t="s">
        <v>13610</v>
      </c>
      <c r="W742" t="s">
        <v>14333</v>
      </c>
      <c r="X742">
        <v>24</v>
      </c>
      <c r="Y742" t="s">
        <v>21055</v>
      </c>
      <c r="Z742" t="s">
        <v>27597</v>
      </c>
      <c r="AA742">
        <v>0.58327004343264433</v>
      </c>
      <c r="AB742" t="str">
        <f>HYPERLINK("Melting_Curves/meltCurve_G5E9F3_CABIN1.pdf", "Melting_Curves/meltCurve_G5E9F3_CABIN1.pdf")</f>
        <v>Melting_Curves/meltCurve_G5E9F3_CABIN1.pdf</v>
      </c>
    </row>
    <row r="743" spans="1:28" x14ac:dyDescent="0.25">
      <c r="A743" t="s">
        <v>747</v>
      </c>
      <c r="B743">
        <v>0.995954080203443</v>
      </c>
      <c r="C743">
        <v>0.93334411455545097</v>
      </c>
      <c r="D743">
        <v>0.73025412871997297</v>
      </c>
      <c r="E743">
        <v>0.58048735619474401</v>
      </c>
      <c r="F743">
        <v>0.40578724324147802</v>
      </c>
      <c r="G743">
        <v>0.19448934122216999</v>
      </c>
      <c r="H743">
        <v>0.13362453261548701</v>
      </c>
      <c r="I743">
        <v>6.4498786292272695E-2</v>
      </c>
      <c r="J743">
        <v>9.0816007536573706E-2</v>
      </c>
      <c r="K743">
        <v>3.5440016372027899E-2</v>
      </c>
      <c r="L743">
        <v>619.28094532827902</v>
      </c>
      <c r="M743">
        <v>12.1724761618568</v>
      </c>
      <c r="N743">
        <v>50.961897017589799</v>
      </c>
      <c r="O743">
        <v>49.560843764552601</v>
      </c>
      <c r="P743">
        <v>-6.0788724388896299E-2</v>
      </c>
      <c r="Q743">
        <v>1.02087882419506E-2</v>
      </c>
      <c r="R743">
        <v>0.99359270017964996</v>
      </c>
      <c r="S743" t="s">
        <v>7549</v>
      </c>
      <c r="T743" t="s">
        <v>13610</v>
      </c>
      <c r="U743" t="s">
        <v>13610</v>
      </c>
      <c r="V743" t="s">
        <v>13610</v>
      </c>
      <c r="W743" t="s">
        <v>14334</v>
      </c>
      <c r="X743">
        <v>3</v>
      </c>
      <c r="Y743" t="s">
        <v>21056</v>
      </c>
      <c r="Z743" t="s">
        <v>27598</v>
      </c>
      <c r="AA743">
        <v>0.40088268368108099</v>
      </c>
      <c r="AB743" t="str">
        <f>HYPERLINK("Melting_Curves/meltCurve_G5E9F8_PROS1.pdf", "Melting_Curves/meltCurve_G5E9F8_PROS1.pdf")</f>
        <v>Melting_Curves/meltCurve_G5E9F8_PROS1.pdf</v>
      </c>
    </row>
    <row r="744" spans="1:28" x14ac:dyDescent="0.25">
      <c r="A744" t="s">
        <v>748</v>
      </c>
      <c r="B744">
        <v>0.995954080203443</v>
      </c>
      <c r="C744">
        <v>0.83948863871622104</v>
      </c>
      <c r="D744">
        <v>0.52672014069641004</v>
      </c>
      <c r="E744">
        <v>0.44484397845726098</v>
      </c>
      <c r="F744">
        <v>0.19850540731337499</v>
      </c>
      <c r="G744">
        <v>0.104041912657449</v>
      </c>
      <c r="H744">
        <v>6.8489014043531402E-2</v>
      </c>
      <c r="I744">
        <v>4.9457687585851902E-2</v>
      </c>
      <c r="J744">
        <v>1.13596755925839E-2</v>
      </c>
      <c r="K744">
        <v>4.7734074387643599E-2</v>
      </c>
      <c r="L744">
        <v>636.49136947492195</v>
      </c>
      <c r="M744">
        <v>13.356250097619</v>
      </c>
      <c r="N744">
        <v>47.769974011798503</v>
      </c>
      <c r="O744">
        <v>46.6246754917779</v>
      </c>
      <c r="P744">
        <v>-7.0493709644687999E-2</v>
      </c>
      <c r="Q744">
        <v>1.5824423675809898E-2</v>
      </c>
      <c r="R744">
        <v>0.97974709136945703</v>
      </c>
      <c r="S744" t="s">
        <v>7550</v>
      </c>
      <c r="T744" t="s">
        <v>13610</v>
      </c>
      <c r="U744" t="s">
        <v>13610</v>
      </c>
      <c r="V744" t="s">
        <v>13610</v>
      </c>
      <c r="W744" t="s">
        <v>14335</v>
      </c>
      <c r="X744">
        <v>3</v>
      </c>
      <c r="Y744" t="s">
        <v>21057</v>
      </c>
      <c r="Z744" t="s">
        <v>27599</v>
      </c>
      <c r="AA744">
        <v>0.29928971460621151</v>
      </c>
      <c r="AB744" t="str">
        <f>HYPERLINK("Melting_Curves/meltCurve_G5E9M4_ZNF277.pdf", "Melting_Curves/meltCurve_G5E9M4_ZNF277.pdf")</f>
        <v>Melting_Curves/meltCurve_G5E9M4_ZNF277.pdf</v>
      </c>
    </row>
    <row r="745" spans="1:28" x14ac:dyDescent="0.25">
      <c r="A745" t="s">
        <v>749</v>
      </c>
      <c r="B745">
        <v>0.995954080203443</v>
      </c>
      <c r="C745">
        <v>0.77321291390858704</v>
      </c>
      <c r="D745">
        <v>0.483788518568533</v>
      </c>
      <c r="E745">
        <v>0.46341934557154402</v>
      </c>
      <c r="F745">
        <v>0.28119190730460603</v>
      </c>
      <c r="G745">
        <v>0.172420177541484</v>
      </c>
      <c r="H745">
        <v>0.137038576733365</v>
      </c>
      <c r="I745">
        <v>0.14663069967502301</v>
      </c>
      <c r="J745">
        <v>0.16295446074744299</v>
      </c>
      <c r="K745">
        <v>0.151416297456301</v>
      </c>
      <c r="L745">
        <v>627.48471947220798</v>
      </c>
      <c r="M745">
        <v>13.5609359012971</v>
      </c>
      <c r="N745">
        <v>47.381666422375901</v>
      </c>
      <c r="O745">
        <v>45.3000670941639</v>
      </c>
      <c r="P745">
        <v>-6.4663247608734001E-2</v>
      </c>
      <c r="Q745">
        <v>0.13610378335511999</v>
      </c>
      <c r="R745">
        <v>0.96376696039934695</v>
      </c>
      <c r="S745" t="s">
        <v>7551</v>
      </c>
      <c r="T745" t="s">
        <v>13610</v>
      </c>
      <c r="U745" t="s">
        <v>13610</v>
      </c>
      <c r="V745" t="s">
        <v>13610</v>
      </c>
      <c r="W745" t="s">
        <v>14336</v>
      </c>
      <c r="X745">
        <v>4</v>
      </c>
      <c r="Y745" t="s">
        <v>21058</v>
      </c>
      <c r="Z745" t="s">
        <v>27600</v>
      </c>
      <c r="AA745">
        <v>0.34705018039872698</v>
      </c>
      <c r="AB745" t="str">
        <f>HYPERLINK("Melting_Curves/meltCurve_G5E9W7_MRPS22.pdf", "Melting_Curves/meltCurve_G5E9W7_MRPS22.pdf")</f>
        <v>Melting_Curves/meltCurve_G5E9W7_MRPS22.pdf</v>
      </c>
    </row>
    <row r="746" spans="1:28" x14ac:dyDescent="0.25">
      <c r="A746" t="s">
        <v>750</v>
      </c>
      <c r="B746">
        <v>0.995954080203443</v>
      </c>
      <c r="C746">
        <v>0.91022640921523701</v>
      </c>
      <c r="D746">
        <v>1.1617685968284801</v>
      </c>
      <c r="E746">
        <v>0.79724475820460095</v>
      </c>
      <c r="F746">
        <v>1.3417826972358899</v>
      </c>
      <c r="G746">
        <v>1.2231815157127199</v>
      </c>
      <c r="H746">
        <v>1.35928721092009</v>
      </c>
      <c r="I746">
        <v>2.0016516220549199</v>
      </c>
      <c r="J746">
        <v>1.8695707871595899</v>
      </c>
      <c r="K746">
        <v>2.3341141679388202</v>
      </c>
      <c r="L746">
        <v>1571.04353771244</v>
      </c>
      <c r="M746">
        <v>28.890991623066601</v>
      </c>
      <c r="O746">
        <v>54.119789762820197</v>
      </c>
      <c r="P746">
        <v>6.6729774168433204E-2</v>
      </c>
      <c r="Q746">
        <v>1.5</v>
      </c>
      <c r="R746">
        <v>0.45509249903214899</v>
      </c>
      <c r="S746" t="s">
        <v>7552</v>
      </c>
      <c r="T746" t="s">
        <v>13610</v>
      </c>
      <c r="U746" t="s">
        <v>13610</v>
      </c>
      <c r="V746" t="s">
        <v>13610</v>
      </c>
      <c r="W746" t="s">
        <v>14337</v>
      </c>
      <c r="X746">
        <v>2</v>
      </c>
      <c r="Y746" t="s">
        <v>21059</v>
      </c>
      <c r="Z746" t="s">
        <v>27601</v>
      </c>
      <c r="AA746">
        <v>1.2568180570631049</v>
      </c>
      <c r="AB746" t="str">
        <f>HYPERLINK("Melting_Curves/meltCurve_G5E9X3_FNDC3A.pdf", "Melting_Curves/meltCurve_G5E9X3_FNDC3A.pdf")</f>
        <v>Melting_Curves/meltCurve_G5E9X3_FNDC3A.pdf</v>
      </c>
    </row>
    <row r="747" spans="1:28" x14ac:dyDescent="0.25">
      <c r="A747" t="s">
        <v>751</v>
      </c>
      <c r="B747">
        <v>0.995954080203443</v>
      </c>
      <c r="C747">
        <v>1.08271292122852</v>
      </c>
      <c r="D747">
        <v>0.80002239781249795</v>
      </c>
      <c r="E747">
        <v>0.98324317834158104</v>
      </c>
      <c r="F747">
        <v>0.42294399971907398</v>
      </c>
      <c r="G747">
        <v>0.19161621563668901</v>
      </c>
      <c r="H747">
        <v>0.12666132293006699</v>
      </c>
      <c r="I747">
        <v>0.109209526661526</v>
      </c>
      <c r="J747">
        <v>0.10636728416167</v>
      </c>
      <c r="K747">
        <v>0.13037537424495901</v>
      </c>
      <c r="L747">
        <v>3642.9745647148102</v>
      </c>
      <c r="M747">
        <v>69.407796510515794</v>
      </c>
      <c r="N747">
        <v>52.719031165721603</v>
      </c>
      <c r="O747">
        <v>52.443011252634598</v>
      </c>
      <c r="P747">
        <v>-0.28725215027716</v>
      </c>
      <c r="Q747">
        <v>0.13183444273553099</v>
      </c>
      <c r="R747">
        <v>0.96781619798519103</v>
      </c>
      <c r="S747" t="s">
        <v>7553</v>
      </c>
      <c r="T747" t="s">
        <v>13610</v>
      </c>
      <c r="U747" t="s">
        <v>13610</v>
      </c>
      <c r="V747" t="s">
        <v>13610</v>
      </c>
      <c r="W747" t="s">
        <v>14338</v>
      </c>
      <c r="X747">
        <v>1</v>
      </c>
      <c r="Y747" t="s">
        <v>21060</v>
      </c>
      <c r="Z747" t="s">
        <v>27602</v>
      </c>
      <c r="AA747">
        <v>0.49422061840687842</v>
      </c>
      <c r="AB747" t="str">
        <f>HYPERLINK("Melting_Curves/meltCurve_G5E9Z2_CLPTM1L.pdf", "Melting_Curves/meltCurve_G5E9Z2_CLPTM1L.pdf")</f>
        <v>Melting_Curves/meltCurve_G5E9Z2_CLPTM1L.pdf</v>
      </c>
    </row>
    <row r="748" spans="1:28" x14ac:dyDescent="0.25">
      <c r="A748" t="s">
        <v>752</v>
      </c>
      <c r="B748">
        <v>0.995954080203443</v>
      </c>
      <c r="C748">
        <v>0.832832521140354</v>
      </c>
      <c r="D748">
        <v>1.24623483201404</v>
      </c>
      <c r="E748">
        <v>0.87497115536528003</v>
      </c>
      <c r="F748">
        <v>1.2689572148141599</v>
      </c>
      <c r="G748">
        <v>1.263202975774</v>
      </c>
      <c r="H748">
        <v>1.19220320708211</v>
      </c>
      <c r="I748">
        <v>1.4472866294695099</v>
      </c>
      <c r="J748">
        <v>1.8393812731135899</v>
      </c>
      <c r="K748">
        <v>1.7648088661896899</v>
      </c>
      <c r="L748">
        <v>1104.5549315754399</v>
      </c>
      <c r="M748">
        <v>19.638823954071398</v>
      </c>
      <c r="O748">
        <v>55.670009568049501</v>
      </c>
      <c r="P748">
        <v>4.4098049850891601E-2</v>
      </c>
      <c r="Q748">
        <v>1.5</v>
      </c>
      <c r="R748">
        <v>0.62093962046112094</v>
      </c>
      <c r="S748" t="s">
        <v>7554</v>
      </c>
      <c r="T748" t="s">
        <v>13610</v>
      </c>
      <c r="U748" t="s">
        <v>13610</v>
      </c>
      <c r="V748" t="s">
        <v>13610</v>
      </c>
      <c r="W748" t="s">
        <v>14339</v>
      </c>
      <c r="X748">
        <v>3</v>
      </c>
      <c r="Y748" t="s">
        <v>21061</v>
      </c>
      <c r="Z748" t="s">
        <v>27603</v>
      </c>
      <c r="AA748">
        <v>1.222749180494159</v>
      </c>
      <c r="AB748" t="str">
        <f>HYPERLINK("Melting_Curves/meltCurve_G5EA02_C4orf21.pdf", "Melting_Curves/meltCurve_G5EA02_C4orf21.pdf")</f>
        <v>Melting_Curves/meltCurve_G5EA02_C4orf21.pdf</v>
      </c>
    </row>
    <row r="749" spans="1:28" x14ac:dyDescent="0.25">
      <c r="A749" t="s">
        <v>753</v>
      </c>
      <c r="B749">
        <v>0.995954080203443</v>
      </c>
      <c r="C749">
        <v>0.98714481077167004</v>
      </c>
      <c r="D749">
        <v>0.85841620483177905</v>
      </c>
      <c r="E749">
        <v>0.7591624538667</v>
      </c>
      <c r="F749">
        <v>0.57429863865870601</v>
      </c>
      <c r="G749">
        <v>0.38737227882263903</v>
      </c>
      <c r="H749">
        <v>0.246508239080374</v>
      </c>
      <c r="I749">
        <v>0.237976212793921</v>
      </c>
      <c r="J749">
        <v>0.262807809134946</v>
      </c>
      <c r="K749">
        <v>0.25200929039588199</v>
      </c>
      <c r="L749">
        <v>800.10916629041003</v>
      </c>
      <c r="M749">
        <v>15.3176950773749</v>
      </c>
      <c r="N749">
        <v>54.192751501466702</v>
      </c>
      <c r="O749">
        <v>51.368317444039</v>
      </c>
      <c r="P749">
        <v>-5.8708575361565901E-2</v>
      </c>
      <c r="Q749">
        <v>0.21254990672719201</v>
      </c>
      <c r="R749">
        <v>0.99205494880005896</v>
      </c>
      <c r="S749" t="s">
        <v>7555</v>
      </c>
      <c r="T749" t="s">
        <v>13610</v>
      </c>
      <c r="U749" t="s">
        <v>13610</v>
      </c>
      <c r="V749" t="s">
        <v>13610</v>
      </c>
      <c r="W749" t="s">
        <v>14340</v>
      </c>
      <c r="X749">
        <v>6</v>
      </c>
      <c r="Y749" t="s">
        <v>21062</v>
      </c>
      <c r="Z749" t="s">
        <v>27604</v>
      </c>
      <c r="AA749">
        <v>0.55059535757455647</v>
      </c>
      <c r="AB749" t="str">
        <f>HYPERLINK("Melting_Curves/meltCurve_G5EA07_PWWP2A.pdf", "Melting_Curves/meltCurve_G5EA07_PWWP2A.pdf")</f>
        <v>Melting_Curves/meltCurve_G5EA07_PWWP2A.pdf</v>
      </c>
    </row>
    <row r="750" spans="1:28" x14ac:dyDescent="0.25">
      <c r="A750" t="s">
        <v>754</v>
      </c>
      <c r="B750">
        <v>0.995954080203443</v>
      </c>
      <c r="C750">
        <v>1.0464026512901401</v>
      </c>
      <c r="D750">
        <v>0.81820555647201398</v>
      </c>
      <c r="E750">
        <v>0.58184981048370599</v>
      </c>
      <c r="F750">
        <v>0.20625575382633299</v>
      </c>
      <c r="G750">
        <v>9.8629856199178897E-2</v>
      </c>
      <c r="H750">
        <v>6.1986397567912098E-2</v>
      </c>
      <c r="I750">
        <v>5.8216735306618597E-2</v>
      </c>
      <c r="J750">
        <v>6.7403275331966897E-2</v>
      </c>
      <c r="K750">
        <v>6.1364227000930298E-2</v>
      </c>
      <c r="L750">
        <v>1175.59611435787</v>
      </c>
      <c r="M750">
        <v>23.507980710872101</v>
      </c>
      <c r="N750">
        <v>50.243147697060898</v>
      </c>
      <c r="O750">
        <v>49.650720691545601</v>
      </c>
      <c r="P750">
        <v>-0.112212156513278</v>
      </c>
      <c r="Q750">
        <v>5.2012356394782397E-2</v>
      </c>
      <c r="R750">
        <v>0.99046398530546198</v>
      </c>
      <c r="S750" t="s">
        <v>7556</v>
      </c>
      <c r="T750" t="s">
        <v>13610</v>
      </c>
      <c r="U750" t="s">
        <v>13610</v>
      </c>
      <c r="V750" t="s">
        <v>13610</v>
      </c>
      <c r="W750" t="s">
        <v>14341</v>
      </c>
      <c r="X750">
        <v>36</v>
      </c>
      <c r="Y750" t="s">
        <v>21063</v>
      </c>
      <c r="Z750" t="s">
        <v>27605</v>
      </c>
      <c r="AA750">
        <v>0.37785969002932462</v>
      </c>
      <c r="AB750" t="str">
        <f>HYPERLINK("Melting_Curves/meltCurve_G5EA52_PDIA3.pdf", "Melting_Curves/meltCurve_G5EA52_PDIA3.pdf")</f>
        <v>Melting_Curves/meltCurve_G5EA52_PDIA3.pdf</v>
      </c>
    </row>
    <row r="751" spans="1:28" x14ac:dyDescent="0.25">
      <c r="A751" t="s">
        <v>755</v>
      </c>
      <c r="B751">
        <v>0.995954080203443</v>
      </c>
      <c r="C751">
        <v>0.95261320162406005</v>
      </c>
      <c r="D751">
        <v>1.03549855620734</v>
      </c>
      <c r="E751">
        <v>0.82180815374503802</v>
      </c>
      <c r="F751">
        <v>0.84293869224513296</v>
      </c>
      <c r="G751">
        <v>0.67927894167786496</v>
      </c>
      <c r="H751">
        <v>0.62706497046031096</v>
      </c>
      <c r="I751">
        <v>0.752445111243775</v>
      </c>
      <c r="J751">
        <v>0.74847737750390897</v>
      </c>
      <c r="K751">
        <v>0.92066535244635095</v>
      </c>
      <c r="L751">
        <v>2108.6690503664199</v>
      </c>
      <c r="M751">
        <v>42.7659467131894</v>
      </c>
      <c r="O751">
        <v>49.199729435861599</v>
      </c>
      <c r="P751">
        <v>-5.2772935747671001E-2</v>
      </c>
      <c r="Q751">
        <v>0.75715152524290197</v>
      </c>
      <c r="R751">
        <v>0.64383224157422003</v>
      </c>
      <c r="S751" t="s">
        <v>7557</v>
      </c>
      <c r="T751" t="s">
        <v>13610</v>
      </c>
      <c r="U751" t="s">
        <v>13610</v>
      </c>
      <c r="V751" t="s">
        <v>13610</v>
      </c>
      <c r="W751" t="s">
        <v>14342</v>
      </c>
      <c r="X751">
        <v>3</v>
      </c>
      <c r="Y751" t="s">
        <v>21064</v>
      </c>
      <c r="Z751" t="s">
        <v>27606</v>
      </c>
      <c r="AA751">
        <v>0.83321653666862583</v>
      </c>
      <c r="AB751" t="str">
        <f>HYPERLINK("Melting_Curves/meltCurve_G8JL86_COBLL1.pdf", "Melting_Curves/meltCurve_G8JL86_COBLL1.pdf")</f>
        <v>Melting_Curves/meltCurve_G8JL86_COBLL1.pdf</v>
      </c>
    </row>
    <row r="752" spans="1:28" x14ac:dyDescent="0.25">
      <c r="A752" t="s">
        <v>756</v>
      </c>
      <c r="B752">
        <v>0.995954080203443</v>
      </c>
      <c r="C752">
        <v>0.98784776090649895</v>
      </c>
      <c r="D752">
        <v>0.97186726927138001</v>
      </c>
      <c r="E752">
        <v>0.83800205406690198</v>
      </c>
      <c r="F752">
        <v>0.56763299661534705</v>
      </c>
      <c r="G752">
        <v>0.32105883121356399</v>
      </c>
      <c r="H752">
        <v>0.12678914254122201</v>
      </c>
      <c r="I752">
        <v>8.5016421568225795E-2</v>
      </c>
      <c r="J752">
        <v>8.8921934758275201E-2</v>
      </c>
      <c r="K752">
        <v>8.4756605368628807E-2</v>
      </c>
      <c r="L752">
        <v>1059.5169545056899</v>
      </c>
      <c r="M752">
        <v>19.7311494513967</v>
      </c>
      <c r="N752">
        <v>54.074631635034301</v>
      </c>
      <c r="O752">
        <v>53.155240633168297</v>
      </c>
      <c r="P752">
        <v>-8.6840174158731506E-2</v>
      </c>
      <c r="Q752">
        <v>6.4250889365800395E-2</v>
      </c>
      <c r="R752">
        <v>0.99827518602582899</v>
      </c>
      <c r="S752" t="s">
        <v>7558</v>
      </c>
      <c r="T752" t="s">
        <v>13610</v>
      </c>
      <c r="U752" t="s">
        <v>13610</v>
      </c>
      <c r="V752" t="s">
        <v>13610</v>
      </c>
      <c r="W752" t="s">
        <v>14343</v>
      </c>
      <c r="X752">
        <v>9</v>
      </c>
      <c r="Y752" t="s">
        <v>21065</v>
      </c>
      <c r="Z752" t="s">
        <v>27607</v>
      </c>
      <c r="AA752">
        <v>0.50456324156631005</v>
      </c>
      <c r="AB752" t="str">
        <f>HYPERLINK("Melting_Curves/meltCurve_G8JL95_MAU2.pdf", "Melting_Curves/meltCurve_G8JL95_MAU2.pdf")</f>
        <v>Melting_Curves/meltCurve_G8JL95_MAU2.pdf</v>
      </c>
    </row>
    <row r="753" spans="1:28" x14ac:dyDescent="0.25">
      <c r="A753" t="s">
        <v>757</v>
      </c>
      <c r="B753">
        <v>0.995954080203443</v>
      </c>
      <c r="C753">
        <v>0.72075815712606195</v>
      </c>
      <c r="D753">
        <v>0.97359097192042199</v>
      </c>
      <c r="E753">
        <v>0.62440790112372901</v>
      </c>
      <c r="F753">
        <v>0.99232866831473299</v>
      </c>
      <c r="G753">
        <v>0.62211168291095598</v>
      </c>
      <c r="H753">
        <v>0.85171064555693798</v>
      </c>
      <c r="I753">
        <v>0.89405271852637902</v>
      </c>
      <c r="J753">
        <v>3.17770489598901</v>
      </c>
      <c r="K753">
        <v>1.0869731353887999</v>
      </c>
      <c r="L753">
        <v>15000</v>
      </c>
      <c r="M753">
        <v>230.48282946561</v>
      </c>
      <c r="O753">
        <v>65.075869888698506</v>
      </c>
      <c r="P753">
        <v>0.44271945481731001</v>
      </c>
      <c r="Q753">
        <v>1.5</v>
      </c>
      <c r="R753">
        <v>0.33057794788501299</v>
      </c>
      <c r="S753" t="s">
        <v>7559</v>
      </c>
      <c r="T753" t="s">
        <v>13610</v>
      </c>
      <c r="U753" t="s">
        <v>13610</v>
      </c>
      <c r="V753" t="s">
        <v>13610</v>
      </c>
      <c r="W753" t="s">
        <v>14344</v>
      </c>
      <c r="X753">
        <v>2</v>
      </c>
      <c r="Y753" t="s">
        <v>21066</v>
      </c>
      <c r="Z753" t="s">
        <v>27608</v>
      </c>
      <c r="AA753">
        <v>1.0819199764196861</v>
      </c>
      <c r="AB753" t="str">
        <f>HYPERLINK("Melting_Curves/meltCurve_G8JL98_TDG.pdf", "Melting_Curves/meltCurve_G8JL98_TDG.pdf")</f>
        <v>Melting_Curves/meltCurve_G8JL98_TDG.pdf</v>
      </c>
    </row>
    <row r="754" spans="1:28" x14ac:dyDescent="0.25">
      <c r="A754" t="s">
        <v>758</v>
      </c>
      <c r="B754">
        <v>0.995954080203443</v>
      </c>
      <c r="C754">
        <v>0.90666610898447297</v>
      </c>
      <c r="D754">
        <v>0.79501846872598503</v>
      </c>
      <c r="E754">
        <v>0.36653097581594202</v>
      </c>
      <c r="F754">
        <v>0.274568462402351</v>
      </c>
      <c r="G754">
        <v>0.19948745791919101</v>
      </c>
      <c r="H754">
        <v>0.195640205119055</v>
      </c>
      <c r="I754">
        <v>0.23270595306797801</v>
      </c>
      <c r="J754">
        <v>0.24871785523045101</v>
      </c>
      <c r="K754">
        <v>0.23706347061133701</v>
      </c>
      <c r="L754">
        <v>1286.8814094122999</v>
      </c>
      <c r="M754">
        <v>27.092553952559001</v>
      </c>
      <c r="N754">
        <v>48.543800485283199</v>
      </c>
      <c r="O754">
        <v>47.242926331977998</v>
      </c>
      <c r="P754">
        <v>-0.11170656228812401</v>
      </c>
      <c r="Q754">
        <v>0.22084963514438799</v>
      </c>
      <c r="R754">
        <v>0.993092550575297</v>
      </c>
      <c r="S754" t="s">
        <v>7560</v>
      </c>
      <c r="T754" t="s">
        <v>13610</v>
      </c>
      <c r="U754" t="s">
        <v>13610</v>
      </c>
      <c r="V754" t="s">
        <v>13610</v>
      </c>
      <c r="W754" t="s">
        <v>14345</v>
      </c>
      <c r="X754">
        <v>20</v>
      </c>
      <c r="Y754" t="s">
        <v>21067</v>
      </c>
      <c r="Z754" t="s">
        <v>27609</v>
      </c>
      <c r="AA754">
        <v>0.42143151435091603</v>
      </c>
      <c r="AB754" t="str">
        <f>HYPERLINK("Melting_Curves/meltCurve_G8JLB3_PUS1.pdf", "Melting_Curves/meltCurve_G8JLB3_PUS1.pdf")</f>
        <v>Melting_Curves/meltCurve_G8JLB3_PUS1.pdf</v>
      </c>
    </row>
    <row r="755" spans="1:28" x14ac:dyDescent="0.25">
      <c r="A755" t="s">
        <v>759</v>
      </c>
      <c r="B755">
        <v>0.995954080203443</v>
      </c>
      <c r="C755">
        <v>0.97481818191937897</v>
      </c>
      <c r="D755">
        <v>1.0166825684167899</v>
      </c>
      <c r="E755">
        <v>0.84293479331015198</v>
      </c>
      <c r="F755">
        <v>0.90802774638529105</v>
      </c>
      <c r="G755">
        <v>0.68523392700205998</v>
      </c>
      <c r="H755">
        <v>0.62101055727752796</v>
      </c>
      <c r="I755">
        <v>0.76182953802002795</v>
      </c>
      <c r="J755">
        <v>1.0002044730397199</v>
      </c>
      <c r="K755">
        <v>1.0349878373453401</v>
      </c>
      <c r="L755">
        <v>8347.9340538894994</v>
      </c>
      <c r="M755">
        <v>169.96970224947</v>
      </c>
      <c r="O755">
        <v>49.107432494627503</v>
      </c>
      <c r="P755">
        <v>-0.14258883877647799</v>
      </c>
      <c r="Q755">
        <v>0.83521359402621698</v>
      </c>
      <c r="R755">
        <v>0.266386127932907</v>
      </c>
      <c r="S755" t="s">
        <v>7561</v>
      </c>
      <c r="T755" t="s">
        <v>13610</v>
      </c>
      <c r="U755" t="s">
        <v>13610</v>
      </c>
      <c r="V755" t="s">
        <v>13610</v>
      </c>
      <c r="W755" t="s">
        <v>14346</v>
      </c>
      <c r="X755">
        <v>4</v>
      </c>
      <c r="Y755" t="s">
        <v>21068</v>
      </c>
      <c r="Z755" t="s">
        <v>27610</v>
      </c>
      <c r="AA755">
        <v>0.88530780087877015</v>
      </c>
      <c r="AB755" t="str">
        <f>HYPERLINK("Melting_Curves/meltCurve_G8JLE5_TIPIN.pdf", "Melting_Curves/meltCurve_G8JLE5_TIPIN.pdf")</f>
        <v>Melting_Curves/meltCurve_G8JLE5_TIPIN.pdf</v>
      </c>
    </row>
    <row r="756" spans="1:28" x14ac:dyDescent="0.25">
      <c r="A756" t="s">
        <v>760</v>
      </c>
      <c r="B756">
        <v>0.995954080203443</v>
      </c>
      <c r="C756">
        <v>0.861911221499567</v>
      </c>
      <c r="D756">
        <v>0.647169698078643</v>
      </c>
      <c r="E756">
        <v>0.49456107267032801</v>
      </c>
      <c r="F756">
        <v>0.419661310592432</v>
      </c>
      <c r="G756">
        <v>0.28230909163993201</v>
      </c>
      <c r="H756">
        <v>0.241363410400949</v>
      </c>
      <c r="I756">
        <v>0.29495210320853499</v>
      </c>
      <c r="J756">
        <v>0.25505925507049398</v>
      </c>
      <c r="K756">
        <v>0.183182301697696</v>
      </c>
      <c r="L756">
        <v>632.44663574722802</v>
      </c>
      <c r="M756">
        <v>13.3026097892538</v>
      </c>
      <c r="N756">
        <v>49.746516486862703</v>
      </c>
      <c r="O756">
        <v>46.507194659743803</v>
      </c>
      <c r="P756">
        <v>-5.5598005077924499E-2</v>
      </c>
      <c r="Q756">
        <v>0.222621878393683</v>
      </c>
      <c r="R756">
        <v>0.98184861224905695</v>
      </c>
      <c r="S756" t="s">
        <v>7562</v>
      </c>
      <c r="T756" t="s">
        <v>13610</v>
      </c>
      <c r="U756" t="s">
        <v>13610</v>
      </c>
      <c r="V756" t="s">
        <v>13610</v>
      </c>
      <c r="W756" t="s">
        <v>14347</v>
      </c>
      <c r="X756">
        <v>3</v>
      </c>
      <c r="Y756" t="s">
        <v>21069</v>
      </c>
      <c r="Z756" t="s">
        <v>27611</v>
      </c>
      <c r="AA756">
        <v>0.44400067187305492</v>
      </c>
      <c r="AB756" t="str">
        <f>HYPERLINK("Melting_Curves/meltCurve_G8JLH2_CDC25B.pdf", "Melting_Curves/meltCurve_G8JLH2_CDC25B.pdf")</f>
        <v>Melting_Curves/meltCurve_G8JLH2_CDC25B.pdf</v>
      </c>
    </row>
    <row r="757" spans="1:28" x14ac:dyDescent="0.25">
      <c r="A757" t="s">
        <v>761</v>
      </c>
      <c r="B757">
        <v>0.995954080203443</v>
      </c>
      <c r="C757">
        <v>0.96204437012928101</v>
      </c>
      <c r="D757">
        <v>0.824204704902186</v>
      </c>
      <c r="E757">
        <v>0.85585207203458002</v>
      </c>
      <c r="F757">
        <v>0.61345734955148901</v>
      </c>
      <c r="G757">
        <v>0.32201372988610899</v>
      </c>
      <c r="H757">
        <v>9.6380691050722694E-2</v>
      </c>
      <c r="I757">
        <v>7.3168302963486406E-2</v>
      </c>
      <c r="J757">
        <v>7.4789809591210593E-2</v>
      </c>
      <c r="K757">
        <v>6.8674495897711199E-2</v>
      </c>
      <c r="L757">
        <v>925.50731860803398</v>
      </c>
      <c r="M757">
        <v>17.0832992024819</v>
      </c>
      <c r="N757">
        <v>54.310751013045497</v>
      </c>
      <c r="O757">
        <v>53.4501265623257</v>
      </c>
      <c r="P757">
        <v>-7.8251521852781003E-2</v>
      </c>
      <c r="Q757">
        <v>2.07277503881837E-2</v>
      </c>
      <c r="R757">
        <v>0.98342237701331403</v>
      </c>
      <c r="S757" t="s">
        <v>7563</v>
      </c>
      <c r="T757" t="s">
        <v>13610</v>
      </c>
      <c r="U757" t="s">
        <v>13610</v>
      </c>
      <c r="V757" t="s">
        <v>13610</v>
      </c>
      <c r="W757" t="s">
        <v>14348</v>
      </c>
      <c r="X757">
        <v>10</v>
      </c>
      <c r="Y757" t="s">
        <v>21070</v>
      </c>
      <c r="Z757" t="s">
        <v>27612</v>
      </c>
      <c r="AA757">
        <v>0.50026841856700954</v>
      </c>
      <c r="AB757" t="str">
        <f>HYPERLINK("Melting_Curves/meltCurve_G8JLI5_WDR45.pdf", "Melting_Curves/meltCurve_G8JLI5_WDR45.pdf")</f>
        <v>Melting_Curves/meltCurve_G8JLI5_WDR45.pdf</v>
      </c>
    </row>
    <row r="758" spans="1:28" x14ac:dyDescent="0.25">
      <c r="A758" t="s">
        <v>762</v>
      </c>
      <c r="B758">
        <v>0.995954080203443</v>
      </c>
      <c r="C758">
        <v>1.0801329356281799</v>
      </c>
      <c r="D758">
        <v>1.2066854818630299</v>
      </c>
      <c r="E758">
        <v>0.95473966250125397</v>
      </c>
      <c r="F758">
        <v>0.94058795278423202</v>
      </c>
      <c r="G758">
        <v>0.68938539461667003</v>
      </c>
      <c r="H758">
        <v>0.61269848006741401</v>
      </c>
      <c r="I758">
        <v>0.70935495320393505</v>
      </c>
      <c r="J758">
        <v>0.88148167336495198</v>
      </c>
      <c r="K758">
        <v>0.94516007275338998</v>
      </c>
      <c r="L758">
        <v>13306.637424578799</v>
      </c>
      <c r="M758">
        <v>250</v>
      </c>
      <c r="O758">
        <v>53.223133684308003</v>
      </c>
      <c r="P758">
        <v>-0.27288866991044902</v>
      </c>
      <c r="Q758">
        <v>0.76761611450878298</v>
      </c>
      <c r="R758">
        <v>0.57769868170071403</v>
      </c>
      <c r="S758" t="s">
        <v>7564</v>
      </c>
      <c r="T758" t="s">
        <v>13610</v>
      </c>
      <c r="U758" t="s">
        <v>13610</v>
      </c>
      <c r="V758" t="s">
        <v>13610</v>
      </c>
      <c r="W758" t="s">
        <v>14349</v>
      </c>
      <c r="X758">
        <v>3</v>
      </c>
      <c r="Y758" t="s">
        <v>21071</v>
      </c>
      <c r="Z758" t="s">
        <v>27613</v>
      </c>
      <c r="AA758">
        <v>0.87009238891589968</v>
      </c>
      <c r="AB758" t="str">
        <f>HYPERLINK("Melting_Curves/meltCurve_G8JLK1_USE1.pdf", "Melting_Curves/meltCurve_G8JLK1_USE1.pdf")</f>
        <v>Melting_Curves/meltCurve_G8JLK1_USE1.pdf</v>
      </c>
    </row>
    <row r="759" spans="1:28" x14ac:dyDescent="0.25">
      <c r="A759" t="s">
        <v>763</v>
      </c>
      <c r="B759">
        <v>0.995954080203443</v>
      </c>
      <c r="C759">
        <v>1.0159031968680901</v>
      </c>
      <c r="D759">
        <v>0.91265400825832099</v>
      </c>
      <c r="E759">
        <v>0.89000004495337803</v>
      </c>
      <c r="F759">
        <v>0.660119872444205</v>
      </c>
      <c r="G759">
        <v>0.36050861114301302</v>
      </c>
      <c r="H759">
        <v>0.19935729965229901</v>
      </c>
      <c r="I759">
        <v>0.11889366860702701</v>
      </c>
      <c r="J759">
        <v>0.11027108420952</v>
      </c>
      <c r="K759">
        <v>8.7152384324727106E-2</v>
      </c>
      <c r="L759">
        <v>1022.56182198443</v>
      </c>
      <c r="M759">
        <v>18.7167498286083</v>
      </c>
      <c r="N759">
        <v>55.1068543597519</v>
      </c>
      <c r="O759">
        <v>54.021313884869201</v>
      </c>
      <c r="P759">
        <v>-8.0189105437397698E-2</v>
      </c>
      <c r="Q759">
        <v>7.4254324788196893E-2</v>
      </c>
      <c r="R759">
        <v>0.99625124702508105</v>
      </c>
      <c r="S759" t="s">
        <v>7565</v>
      </c>
      <c r="T759" t="s">
        <v>13610</v>
      </c>
      <c r="U759" t="s">
        <v>13610</v>
      </c>
      <c r="V759" t="s">
        <v>13610</v>
      </c>
      <c r="W759" t="s">
        <v>14350</v>
      </c>
      <c r="X759">
        <v>7</v>
      </c>
      <c r="Y759" t="s">
        <v>21072</v>
      </c>
      <c r="Z759" t="s">
        <v>27614</v>
      </c>
      <c r="AA759">
        <v>0.53955141158499775</v>
      </c>
      <c r="AB759" t="str">
        <f>HYPERLINK("Melting_Curves/meltCurve_G8JLK3_PACS2.pdf", "Melting_Curves/meltCurve_G8JLK3_PACS2.pdf")</f>
        <v>Melting_Curves/meltCurve_G8JLK3_PACS2.pdf</v>
      </c>
    </row>
    <row r="760" spans="1:28" x14ac:dyDescent="0.25">
      <c r="A760" t="s">
        <v>764</v>
      </c>
      <c r="B760">
        <v>0.995954080203443</v>
      </c>
      <c r="C760">
        <v>0.95734250911756302</v>
      </c>
      <c r="D760">
        <v>0.81614920504092503</v>
      </c>
      <c r="E760">
        <v>0.67342027479616196</v>
      </c>
      <c r="F760">
        <v>0.40463465518222602</v>
      </c>
      <c r="G760">
        <v>0.14481652209184501</v>
      </c>
      <c r="H760">
        <v>6.7593046250662106E-2</v>
      </c>
      <c r="I760">
        <v>5.5416778482124097E-2</v>
      </c>
      <c r="J760">
        <v>5.92245379081522E-2</v>
      </c>
      <c r="K760">
        <v>4.70649939917928E-2</v>
      </c>
      <c r="L760">
        <v>848.07026937359603</v>
      </c>
      <c r="M760">
        <v>16.4726837680561</v>
      </c>
      <c r="N760">
        <v>51.598475364630701</v>
      </c>
      <c r="O760">
        <v>50.742643333552202</v>
      </c>
      <c r="P760">
        <v>-7.9700233249720295E-2</v>
      </c>
      <c r="Q760">
        <v>1.8030736761301999E-2</v>
      </c>
      <c r="R760">
        <v>0.99381996742141798</v>
      </c>
      <c r="S760" t="s">
        <v>7566</v>
      </c>
      <c r="T760" t="s">
        <v>13610</v>
      </c>
      <c r="U760" t="s">
        <v>13610</v>
      </c>
      <c r="V760" t="s">
        <v>13610</v>
      </c>
      <c r="W760" t="s">
        <v>14351</v>
      </c>
      <c r="X760">
        <v>2</v>
      </c>
      <c r="Y760" t="s">
        <v>21073</v>
      </c>
      <c r="Z760" t="s">
        <v>27615</v>
      </c>
      <c r="AA760">
        <v>0.41307098196566328</v>
      </c>
      <c r="AB760" t="str">
        <f>HYPERLINK("Melting_Curves/meltCurve_G8JLL2_PPT2.pdf", "Melting_Curves/meltCurve_G8JLL2_PPT2.pdf")</f>
        <v>Melting_Curves/meltCurve_G8JLL2_PPT2.pdf</v>
      </c>
    </row>
    <row r="761" spans="1:28" x14ac:dyDescent="0.25">
      <c r="A761" t="s">
        <v>765</v>
      </c>
      <c r="B761">
        <v>0.995954080203443</v>
      </c>
      <c r="C761">
        <v>0.99164794580286897</v>
      </c>
      <c r="D761">
        <v>0.95911643841457195</v>
      </c>
      <c r="E761">
        <v>0.85333204183300404</v>
      </c>
      <c r="F761">
        <v>0.71624620822681395</v>
      </c>
      <c r="G761">
        <v>0.51057581790177098</v>
      </c>
      <c r="H761">
        <v>0.39758199728522398</v>
      </c>
      <c r="I761">
        <v>0.45937397663501101</v>
      </c>
      <c r="J761">
        <v>0.56895023596387595</v>
      </c>
      <c r="K761">
        <v>0.51264874357461099</v>
      </c>
      <c r="L761">
        <v>1381.54182464978</v>
      </c>
      <c r="M761">
        <v>26.505745183742199</v>
      </c>
      <c r="N761">
        <v>59.365428290342699</v>
      </c>
      <c r="O761">
        <v>51.8283803971742</v>
      </c>
      <c r="P761">
        <v>-6.6446319912368698E-2</v>
      </c>
      <c r="Q761">
        <v>0.48029856960830702</v>
      </c>
      <c r="R761">
        <v>0.95917874871095199</v>
      </c>
      <c r="S761" t="s">
        <v>7567</v>
      </c>
      <c r="T761" t="s">
        <v>13610</v>
      </c>
      <c r="U761" t="s">
        <v>13610</v>
      </c>
      <c r="V761" t="s">
        <v>13610</v>
      </c>
      <c r="W761" t="s">
        <v>14352</v>
      </c>
      <c r="X761">
        <v>27</v>
      </c>
      <c r="Y761" t="s">
        <v>21074</v>
      </c>
      <c r="Z761" t="s">
        <v>27616</v>
      </c>
      <c r="AA761">
        <v>0.69454122628509063</v>
      </c>
      <c r="AB761" t="str">
        <f>HYPERLINK("Melting_Curves/meltCurve_H0Y2S9_MPRIP.pdf", "Melting_Curves/meltCurve_H0Y2S9_MPRIP.pdf")</f>
        <v>Melting_Curves/meltCurve_H0Y2S9_MPRIP.pdf</v>
      </c>
    </row>
    <row r="762" spans="1:28" x14ac:dyDescent="0.25">
      <c r="A762" t="s">
        <v>766</v>
      </c>
      <c r="B762">
        <v>0.995954080203443</v>
      </c>
      <c r="C762">
        <v>0.99025849154727397</v>
      </c>
      <c r="D762">
        <v>0.86904805078891101</v>
      </c>
      <c r="E762">
        <v>0.86926535660996995</v>
      </c>
      <c r="F762">
        <v>0.62190104912340605</v>
      </c>
      <c r="G762">
        <v>0.51194328559350999</v>
      </c>
      <c r="H762">
        <v>0.314940399577951</v>
      </c>
      <c r="I762">
        <v>0.27304916835646798</v>
      </c>
      <c r="J762">
        <v>0.14982876578027701</v>
      </c>
      <c r="K762">
        <v>0.12888567510688501</v>
      </c>
      <c r="L762">
        <v>584.58843272794502</v>
      </c>
      <c r="M762">
        <v>10.2875114838727</v>
      </c>
      <c r="N762">
        <v>56.825057920938697</v>
      </c>
      <c r="O762">
        <v>54.803507272582102</v>
      </c>
      <c r="P762">
        <v>-4.6949552715560901E-2</v>
      </c>
      <c r="Q762">
        <v>0</v>
      </c>
      <c r="R762">
        <v>0.98788593317448203</v>
      </c>
      <c r="S762" t="s">
        <v>7568</v>
      </c>
      <c r="T762" t="s">
        <v>13610</v>
      </c>
      <c r="U762" t="s">
        <v>13610</v>
      </c>
      <c r="V762" t="s">
        <v>13610</v>
      </c>
      <c r="W762" t="s">
        <v>14118</v>
      </c>
      <c r="X762">
        <v>3</v>
      </c>
      <c r="Y762" t="s">
        <v>20842</v>
      </c>
      <c r="Z762" t="s">
        <v>27617</v>
      </c>
      <c r="AA762">
        <v>0.57784016709608399</v>
      </c>
      <c r="AB762" t="str">
        <f>HYPERLINK("Melting_Curves/meltCurve_H0Y390_MACF1.pdf", "Melting_Curves/meltCurve_H0Y390_MACF1.pdf")</f>
        <v>Melting_Curves/meltCurve_H0Y390_MACF1.pdf</v>
      </c>
    </row>
    <row r="763" spans="1:28" x14ac:dyDescent="0.25">
      <c r="A763" t="s">
        <v>767</v>
      </c>
      <c r="B763">
        <v>0.995954080203443</v>
      </c>
      <c r="C763">
        <v>0.97600258324601896</v>
      </c>
      <c r="D763">
        <v>0.89393446893110096</v>
      </c>
      <c r="E763">
        <v>0.79160931340651897</v>
      </c>
      <c r="F763">
        <v>0.59694011071416697</v>
      </c>
      <c r="G763">
        <v>0.32141128020808102</v>
      </c>
      <c r="H763">
        <v>0.15738450401746201</v>
      </c>
      <c r="I763">
        <v>0.13662811572101899</v>
      </c>
      <c r="J763">
        <v>0.133012873287112</v>
      </c>
      <c r="K763">
        <v>0.13020134960451299</v>
      </c>
      <c r="L763">
        <v>906.54160203940398</v>
      </c>
      <c r="M763">
        <v>16.973764108120701</v>
      </c>
      <c r="N763">
        <v>54.065955103900201</v>
      </c>
      <c r="O763">
        <v>52.683609594678799</v>
      </c>
      <c r="P763">
        <v>-7.3038524502372304E-2</v>
      </c>
      <c r="Q763">
        <v>9.3260884477070496E-2</v>
      </c>
      <c r="R763">
        <v>0.996096614080903</v>
      </c>
      <c r="S763" t="s">
        <v>7569</v>
      </c>
      <c r="T763" t="s">
        <v>13610</v>
      </c>
      <c r="U763" t="s">
        <v>13610</v>
      </c>
      <c r="V763" t="s">
        <v>13610</v>
      </c>
      <c r="W763" t="s">
        <v>14353</v>
      </c>
      <c r="X763">
        <v>3</v>
      </c>
      <c r="Y763" t="s">
        <v>21075</v>
      </c>
      <c r="Z763" t="s">
        <v>27618</v>
      </c>
      <c r="AA763">
        <v>0.51462248180519032</v>
      </c>
      <c r="AB763" t="str">
        <f>HYPERLINK("Melting_Curves/meltCurve_H0Y3A0_RPL35.pdf", "Melting_Curves/meltCurve_H0Y3A0_RPL35.pdf")</f>
        <v>Melting_Curves/meltCurve_H0Y3A0_RPL35.pdf</v>
      </c>
    </row>
    <row r="764" spans="1:28" x14ac:dyDescent="0.25">
      <c r="A764" t="s">
        <v>768</v>
      </c>
      <c r="B764">
        <v>0.995954080203443</v>
      </c>
      <c r="C764">
        <v>0.98973650015323</v>
      </c>
      <c r="D764">
        <v>1.0302661433003899</v>
      </c>
      <c r="E764">
        <v>0.85683372415729897</v>
      </c>
      <c r="F764">
        <v>0.76334072748564996</v>
      </c>
      <c r="G764">
        <v>0.45374772601986202</v>
      </c>
      <c r="H764">
        <v>0.41431147870877599</v>
      </c>
      <c r="I764">
        <v>0.522264019781015</v>
      </c>
      <c r="J764">
        <v>0.57892477219638705</v>
      </c>
      <c r="K764">
        <v>0.53679874267322003</v>
      </c>
      <c r="L764">
        <v>1717.6216831148699</v>
      </c>
      <c r="M764">
        <v>32.750608233631802</v>
      </c>
      <c r="N764">
        <v>64.539611050543598</v>
      </c>
      <c r="O764">
        <v>52.251114046797497</v>
      </c>
      <c r="P764">
        <v>-7.8518743211014E-2</v>
      </c>
      <c r="Q764">
        <v>0.498919476531128</v>
      </c>
      <c r="R764">
        <v>0.94142028880918904</v>
      </c>
      <c r="S764" t="s">
        <v>7570</v>
      </c>
      <c r="T764" t="s">
        <v>13610</v>
      </c>
      <c r="U764" t="s">
        <v>13610</v>
      </c>
      <c r="V764" t="s">
        <v>13610</v>
      </c>
      <c r="W764" t="s">
        <v>14354</v>
      </c>
      <c r="X764">
        <v>5</v>
      </c>
      <c r="Y764" t="s">
        <v>21076</v>
      </c>
      <c r="Z764" t="s">
        <v>27619</v>
      </c>
      <c r="AA764">
        <v>0.70950146431980132</v>
      </c>
      <c r="AB764" t="str">
        <f>HYPERLINK("Melting_Curves/meltCurve_H0Y3K7_ABLIM1.pdf", "Melting_Curves/meltCurve_H0Y3K7_ABLIM1.pdf")</f>
        <v>Melting_Curves/meltCurve_H0Y3K7_ABLIM1.pdf</v>
      </c>
    </row>
    <row r="765" spans="1:28" x14ac:dyDescent="0.25">
      <c r="A765" t="s">
        <v>769</v>
      </c>
      <c r="B765">
        <v>0.995954080203443</v>
      </c>
      <c r="C765">
        <v>0.88281583247051298</v>
      </c>
      <c r="D765">
        <v>0.80353100140072897</v>
      </c>
      <c r="E765">
        <v>0.81527962125924103</v>
      </c>
      <c r="F765">
        <v>0.77775379089094598</v>
      </c>
      <c r="G765">
        <v>0.55941250799198805</v>
      </c>
      <c r="H765">
        <v>0.53638567857657304</v>
      </c>
      <c r="I765">
        <v>0.63686118904971101</v>
      </c>
      <c r="J765">
        <v>0.85647590090800696</v>
      </c>
      <c r="K765">
        <v>0.82261383259113896</v>
      </c>
      <c r="L765">
        <v>736.66707443684902</v>
      </c>
      <c r="M765">
        <v>16.3541043896739</v>
      </c>
      <c r="O765">
        <v>44.387430965341501</v>
      </c>
      <c r="P765">
        <v>-2.7797359199980699E-2</v>
      </c>
      <c r="Q765">
        <v>0.698237325684953</v>
      </c>
      <c r="R765">
        <v>0.46887257919098202</v>
      </c>
      <c r="S765" t="s">
        <v>7571</v>
      </c>
      <c r="T765" t="s">
        <v>13610</v>
      </c>
      <c r="U765" t="s">
        <v>13610</v>
      </c>
      <c r="V765" t="s">
        <v>13610</v>
      </c>
      <c r="W765" t="s">
        <v>14355</v>
      </c>
      <c r="X765">
        <v>7</v>
      </c>
      <c r="Y765" t="s">
        <v>21077</v>
      </c>
      <c r="Z765" t="s">
        <v>27620</v>
      </c>
      <c r="AA765">
        <v>0.75699693471190055</v>
      </c>
      <c r="AB765" t="str">
        <f>HYPERLINK("Melting_Curves/meltCurve_H0Y3N9_PHF8.pdf", "Melting_Curves/meltCurve_H0Y3N9_PHF8.pdf")</f>
        <v>Melting_Curves/meltCurve_H0Y3N9_PHF8.pdf</v>
      </c>
    </row>
    <row r="766" spans="1:28" x14ac:dyDescent="0.25">
      <c r="A766" t="s">
        <v>770</v>
      </c>
      <c r="B766">
        <v>0.995954080203443</v>
      </c>
      <c r="C766">
        <v>0.96616371773375098</v>
      </c>
      <c r="D766">
        <v>0.75683966204693098</v>
      </c>
      <c r="E766">
        <v>0.55363579997761503</v>
      </c>
      <c r="F766">
        <v>0.290985173756378</v>
      </c>
      <c r="G766">
        <v>0.11927897721304501</v>
      </c>
      <c r="H766">
        <v>8.5709647391291596E-2</v>
      </c>
      <c r="I766">
        <v>8.4499970146536804E-2</v>
      </c>
      <c r="J766">
        <v>9.3543826282427897E-2</v>
      </c>
      <c r="K766">
        <v>8.9516818123439396E-2</v>
      </c>
      <c r="L766">
        <v>859.17985896955304</v>
      </c>
      <c r="M766">
        <v>17.303767131791499</v>
      </c>
      <c r="N766">
        <v>50.054758301740897</v>
      </c>
      <c r="O766">
        <v>49.0038673207101</v>
      </c>
      <c r="P766">
        <v>-8.2555600735429502E-2</v>
      </c>
      <c r="Q766">
        <v>6.4872128688425595E-2</v>
      </c>
      <c r="R766">
        <v>0.99361108081918403</v>
      </c>
      <c r="S766" t="s">
        <v>7572</v>
      </c>
      <c r="T766" t="s">
        <v>13610</v>
      </c>
      <c r="U766" t="s">
        <v>13610</v>
      </c>
      <c r="V766" t="s">
        <v>13610</v>
      </c>
      <c r="W766" t="s">
        <v>14356</v>
      </c>
      <c r="X766">
        <v>33</v>
      </c>
      <c r="Y766" t="s">
        <v>21078</v>
      </c>
      <c r="Z766" t="s">
        <v>27621</v>
      </c>
      <c r="AA766">
        <v>0.38304277088268368</v>
      </c>
      <c r="AB766" t="str">
        <f>HYPERLINK("Melting_Curves/meltCurve_H0Y3P2_EIF4G2.pdf", "Melting_Curves/meltCurve_H0Y3P2_EIF4G2.pdf")</f>
        <v>Melting_Curves/meltCurve_H0Y3P2_EIF4G2.pdf</v>
      </c>
    </row>
    <row r="767" spans="1:28" x14ac:dyDescent="0.25">
      <c r="A767" t="s">
        <v>771</v>
      </c>
      <c r="B767">
        <v>0.995954080203443</v>
      </c>
      <c r="C767">
        <v>1.06348127975461</v>
      </c>
      <c r="D767">
        <v>1.0102872884123</v>
      </c>
      <c r="E767">
        <v>1.02478788340272</v>
      </c>
      <c r="F767">
        <v>1.1136680015625799</v>
      </c>
      <c r="G767">
        <v>1.0112750267349899</v>
      </c>
      <c r="H767">
        <v>1.0339910856399499</v>
      </c>
      <c r="I767">
        <v>1.0530612391216301</v>
      </c>
      <c r="J767">
        <v>1.69405852382092</v>
      </c>
      <c r="K767">
        <v>1.5255305654406099</v>
      </c>
      <c r="L767">
        <v>15000</v>
      </c>
      <c r="M767">
        <v>232.25388071074599</v>
      </c>
      <c r="O767">
        <v>64.579708140505204</v>
      </c>
      <c r="P767">
        <v>0.44954887505282098</v>
      </c>
      <c r="Q767">
        <v>1.5</v>
      </c>
      <c r="R767">
        <v>0.89516051691966703</v>
      </c>
      <c r="S767" t="s">
        <v>7573</v>
      </c>
      <c r="T767" t="s">
        <v>13610</v>
      </c>
      <c r="U767" t="s">
        <v>13610</v>
      </c>
      <c r="V767" t="s">
        <v>13610</v>
      </c>
      <c r="W767" t="s">
        <v>14357</v>
      </c>
      <c r="X767">
        <v>2</v>
      </c>
      <c r="Y767" t="s">
        <v>21079</v>
      </c>
      <c r="Z767" t="s">
        <v>27622</v>
      </c>
      <c r="AA767">
        <v>1.0901927218242999</v>
      </c>
      <c r="AB767" t="str">
        <f>HYPERLINK("Melting_Curves/meltCurve_H0Y3R4_SETD5.pdf", "Melting_Curves/meltCurve_H0Y3R4_SETD5.pdf")</f>
        <v>Melting_Curves/meltCurve_H0Y3R4_SETD5.pdf</v>
      </c>
    </row>
    <row r="768" spans="1:28" x14ac:dyDescent="0.25">
      <c r="A768" t="s">
        <v>772</v>
      </c>
      <c r="B768">
        <v>0.995954080203443</v>
      </c>
      <c r="C768">
        <v>0.77169743421075299</v>
      </c>
      <c r="D768">
        <v>0.66774572371427598</v>
      </c>
      <c r="E768">
        <v>0.81826599028417302</v>
      </c>
      <c r="F768">
        <v>0.460861226733848</v>
      </c>
      <c r="G768">
        <v>0.34115104889875703</v>
      </c>
      <c r="H768">
        <v>0.56372205410975496</v>
      </c>
      <c r="I768">
        <v>0.71332416699032197</v>
      </c>
      <c r="J768">
        <v>0.97162771350800003</v>
      </c>
      <c r="K768">
        <v>0.97347321729463898</v>
      </c>
      <c r="L768">
        <v>10681.5541966943</v>
      </c>
      <c r="M768">
        <v>250</v>
      </c>
      <c r="O768">
        <v>42.7234826044077</v>
      </c>
      <c r="P768">
        <v>-0.45529500000580903</v>
      </c>
      <c r="Q768">
        <v>0.68877139225105499</v>
      </c>
      <c r="R768">
        <v>0.18971979302547001</v>
      </c>
      <c r="S768" t="s">
        <v>7574</v>
      </c>
      <c r="T768" t="s">
        <v>13610</v>
      </c>
      <c r="U768" t="s">
        <v>13610</v>
      </c>
      <c r="V768" t="s">
        <v>13610</v>
      </c>
      <c r="W768" t="s">
        <v>14358</v>
      </c>
      <c r="X768">
        <v>2</v>
      </c>
      <c r="Y768" t="s">
        <v>21080</v>
      </c>
      <c r="Z768" t="s">
        <v>27623</v>
      </c>
      <c r="AA768">
        <v>0.71707728459599751</v>
      </c>
      <c r="AB768" t="str">
        <f>HYPERLINK("Melting_Curves/meltCurve_H0Y452_C7orf43.pdf", "Melting_Curves/meltCurve_H0Y452_C7orf43.pdf")</f>
        <v>Melting_Curves/meltCurve_H0Y452_C7orf43.pdf</v>
      </c>
    </row>
    <row r="769" spans="1:28" x14ac:dyDescent="0.25">
      <c r="A769" t="s">
        <v>773</v>
      </c>
      <c r="B769">
        <v>0.995954080203443</v>
      </c>
      <c r="C769">
        <v>0.85031937580915695</v>
      </c>
      <c r="D769">
        <v>1.1799431779594101</v>
      </c>
      <c r="E769">
        <v>0.818947423221288</v>
      </c>
      <c r="F769">
        <v>1.1053530392992399</v>
      </c>
      <c r="G769">
        <v>0.91440101635030402</v>
      </c>
      <c r="H769">
        <v>0.88304496048341496</v>
      </c>
      <c r="I769">
        <v>1.1730377312512099</v>
      </c>
      <c r="J769">
        <v>1.4238877624672801</v>
      </c>
      <c r="K769">
        <v>1.3798879944703899</v>
      </c>
      <c r="L769">
        <v>15000</v>
      </c>
      <c r="M769">
        <v>234.095410766833</v>
      </c>
      <c r="O769">
        <v>64.071761201921603</v>
      </c>
      <c r="P769">
        <v>0.36709482640069402</v>
      </c>
      <c r="Q769">
        <v>1.40189445721901</v>
      </c>
      <c r="R769">
        <v>0.71347290352257497</v>
      </c>
      <c r="S769" t="s">
        <v>7575</v>
      </c>
      <c r="T769" t="s">
        <v>13610</v>
      </c>
      <c r="U769" t="s">
        <v>13610</v>
      </c>
      <c r="V769" t="s">
        <v>13610</v>
      </c>
      <c r="W769" t="s">
        <v>14359</v>
      </c>
      <c r="X769">
        <v>2</v>
      </c>
      <c r="Y769" t="s">
        <v>21081</v>
      </c>
      <c r="Z769" t="s">
        <v>27624</v>
      </c>
      <c r="AA769">
        <v>1.079303349838387</v>
      </c>
      <c r="AB769" t="str">
        <f>HYPERLINK("Melting_Curves/meltCurve_H0Y459_NCOR1.pdf", "Melting_Curves/meltCurve_H0Y459_NCOR1.pdf")</f>
        <v>Melting_Curves/meltCurve_H0Y459_NCOR1.pdf</v>
      </c>
    </row>
    <row r="770" spans="1:28" x14ac:dyDescent="0.25">
      <c r="A770" t="s">
        <v>774</v>
      </c>
      <c r="B770">
        <v>0.995954080203443</v>
      </c>
      <c r="C770">
        <v>0.64861674661230495</v>
      </c>
      <c r="D770">
        <v>0.49321765328982697</v>
      </c>
      <c r="E770">
        <v>0.61980140652306204</v>
      </c>
      <c r="F770">
        <v>0.38604595894761201</v>
      </c>
      <c r="G770">
        <v>0.18787288192162499</v>
      </c>
      <c r="H770">
        <v>0.107557356287363</v>
      </c>
      <c r="I770">
        <v>6.6372506291419997E-2</v>
      </c>
      <c r="J770">
        <v>6.4532085095380304E-2</v>
      </c>
      <c r="K770">
        <v>6.0806474414043001E-2</v>
      </c>
      <c r="L770">
        <v>422.14277137204499</v>
      </c>
      <c r="M770">
        <v>8.6632213655856898</v>
      </c>
      <c r="N770">
        <v>48.728152675723599</v>
      </c>
      <c r="O770">
        <v>46.340488589778602</v>
      </c>
      <c r="P770">
        <v>-4.6775970762389103E-2</v>
      </c>
      <c r="Q770">
        <v>0</v>
      </c>
      <c r="R770">
        <v>0.90753298498993396</v>
      </c>
      <c r="S770" t="s">
        <v>7576</v>
      </c>
      <c r="T770" t="s">
        <v>13610</v>
      </c>
      <c r="U770" t="s">
        <v>13610</v>
      </c>
      <c r="V770" t="s">
        <v>13610</v>
      </c>
      <c r="W770" t="s">
        <v>14360</v>
      </c>
      <c r="X770">
        <v>13</v>
      </c>
      <c r="Y770" t="s">
        <v>21082</v>
      </c>
      <c r="Z770" t="s">
        <v>27625</v>
      </c>
      <c r="AA770">
        <v>0.35215867313015148</v>
      </c>
      <c r="AB770" t="str">
        <f>HYPERLINK("Melting_Curves/meltCurve_H0Y4R1_IMPDH2.pdf", "Melting_Curves/meltCurve_H0Y4R1_IMPDH2.pdf")</f>
        <v>Melting_Curves/meltCurve_H0Y4R1_IMPDH2.pdf</v>
      </c>
    </row>
    <row r="771" spans="1:28" x14ac:dyDescent="0.25">
      <c r="A771" t="s">
        <v>775</v>
      </c>
      <c r="B771">
        <v>0.995954080203443</v>
      </c>
      <c r="C771">
        <v>1.05017468731828</v>
      </c>
      <c r="D771">
        <v>1.01067800311281</v>
      </c>
      <c r="E771">
        <v>1.0097710391120001</v>
      </c>
      <c r="F771">
        <v>1.0554229445068299</v>
      </c>
      <c r="G771">
        <v>0.71349714081623805</v>
      </c>
      <c r="H771">
        <v>0.67293699433967802</v>
      </c>
      <c r="I771">
        <v>0.85870573677206397</v>
      </c>
      <c r="J771">
        <v>1.0525163645490001</v>
      </c>
      <c r="K771">
        <v>0.97894949019695898</v>
      </c>
      <c r="L771">
        <v>3189.9858047951798</v>
      </c>
      <c r="M771">
        <v>58.510605498378098</v>
      </c>
      <c r="O771">
        <v>54.456210987271497</v>
      </c>
      <c r="P771">
        <v>-3.81466034422474E-2</v>
      </c>
      <c r="Q771">
        <v>0.857986871115336</v>
      </c>
      <c r="R771">
        <v>0.342401515250292</v>
      </c>
      <c r="S771" t="s">
        <v>7577</v>
      </c>
      <c r="T771" t="s">
        <v>13610</v>
      </c>
      <c r="U771" t="s">
        <v>13610</v>
      </c>
      <c r="V771" t="s">
        <v>13610</v>
      </c>
      <c r="W771" t="s">
        <v>14361</v>
      </c>
      <c r="X771">
        <v>17</v>
      </c>
      <c r="Y771" t="s">
        <v>21083</v>
      </c>
      <c r="Z771" t="s">
        <v>27626</v>
      </c>
      <c r="AA771">
        <v>0.92696922456823638</v>
      </c>
      <c r="AB771" t="str">
        <f>HYPERLINK("Melting_Curves/meltCurve_H0Y4V9_LARP4B.pdf", "Melting_Curves/meltCurve_H0Y4V9_LARP4B.pdf")</f>
        <v>Melting_Curves/meltCurve_H0Y4V9_LARP4B.pdf</v>
      </c>
    </row>
    <row r="772" spans="1:28" x14ac:dyDescent="0.25">
      <c r="A772" t="s">
        <v>776</v>
      </c>
      <c r="B772">
        <v>0.995954080203443</v>
      </c>
      <c r="C772">
        <v>1.0968039926485</v>
      </c>
      <c r="D772">
        <v>0.95532175202497704</v>
      </c>
      <c r="E772">
        <v>0.63753309682879</v>
      </c>
      <c r="F772">
        <v>0.111191870976125</v>
      </c>
      <c r="G772">
        <v>5.2629275717115599E-2</v>
      </c>
      <c r="H772">
        <v>1.76302035760512E-2</v>
      </c>
      <c r="I772">
        <v>8.5564348879021805E-3</v>
      </c>
      <c r="J772">
        <v>5.1792758123495996E-3</v>
      </c>
      <c r="K772">
        <v>6.1914059844619396E-3</v>
      </c>
      <c r="L772">
        <v>2345.28300304807</v>
      </c>
      <c r="M772">
        <v>46.3838172965281</v>
      </c>
      <c r="N772">
        <v>50.597031812123902</v>
      </c>
      <c r="O772">
        <v>50.468803997083</v>
      </c>
      <c r="P772">
        <v>-0.22618579884335299</v>
      </c>
      <c r="Q772">
        <v>1.55777686006298E-2</v>
      </c>
      <c r="R772">
        <v>0.99405122446952399</v>
      </c>
      <c r="S772" t="s">
        <v>7578</v>
      </c>
      <c r="T772" t="s">
        <v>13610</v>
      </c>
      <c r="U772" t="s">
        <v>13610</v>
      </c>
      <c r="V772" t="s">
        <v>13610</v>
      </c>
      <c r="W772" t="s">
        <v>14362</v>
      </c>
      <c r="X772">
        <v>1</v>
      </c>
      <c r="Y772" t="s">
        <v>21084</v>
      </c>
      <c r="Z772" t="s">
        <v>27627</v>
      </c>
      <c r="AA772">
        <v>0.36473084338424272</v>
      </c>
      <c r="AB772" t="str">
        <f>HYPERLINK("Melting_Curves/meltCurve_H0Y547_ATP11A.pdf", "Melting_Curves/meltCurve_H0Y547_ATP11A.pdf")</f>
        <v>Melting_Curves/meltCurve_H0Y547_ATP11A.pdf</v>
      </c>
    </row>
    <row r="773" spans="1:28" x14ac:dyDescent="0.25">
      <c r="A773" t="s">
        <v>777</v>
      </c>
      <c r="B773">
        <v>0.995954080203443</v>
      </c>
      <c r="C773">
        <v>1.00052531983799</v>
      </c>
      <c r="D773">
        <v>1.00758347851157</v>
      </c>
      <c r="E773">
        <v>0.81234352820673505</v>
      </c>
      <c r="F773">
        <v>0.52131792880092098</v>
      </c>
      <c r="G773">
        <v>0.224448826819622</v>
      </c>
      <c r="H773">
        <v>0.16249314885611599</v>
      </c>
      <c r="I773">
        <v>0.164194006779109</v>
      </c>
      <c r="J773">
        <v>0.19316756609087599</v>
      </c>
      <c r="K773">
        <v>0.172667797814375</v>
      </c>
      <c r="L773">
        <v>1522.76648338676</v>
      </c>
      <c r="M773">
        <v>29.103678398639801</v>
      </c>
      <c r="N773">
        <v>53.0629654330967</v>
      </c>
      <c r="O773">
        <v>52.076974545215599</v>
      </c>
      <c r="P773">
        <v>-0.11638939083559099</v>
      </c>
      <c r="Q773">
        <v>0.16695582135119599</v>
      </c>
      <c r="R773">
        <v>0.99840025671421195</v>
      </c>
      <c r="S773" t="s">
        <v>7579</v>
      </c>
      <c r="T773" t="s">
        <v>13610</v>
      </c>
      <c r="U773" t="s">
        <v>13610</v>
      </c>
      <c r="V773" t="s">
        <v>13610</v>
      </c>
      <c r="W773" t="s">
        <v>14363</v>
      </c>
      <c r="X773">
        <v>12</v>
      </c>
      <c r="Y773" t="s">
        <v>20888</v>
      </c>
      <c r="Z773" t="s">
        <v>27628</v>
      </c>
      <c r="AA773">
        <v>0.51479720181057231</v>
      </c>
      <c r="AB773" t="str">
        <f>HYPERLINK("Melting_Curves/meltCurve_H0Y5C2_ATE1.pdf", "Melting_Curves/meltCurve_H0Y5C2_ATE1.pdf")</f>
        <v>Melting_Curves/meltCurve_H0Y5C2_ATE1.pdf</v>
      </c>
    </row>
    <row r="774" spans="1:28" x14ac:dyDescent="0.25">
      <c r="A774" t="s">
        <v>778</v>
      </c>
      <c r="B774">
        <v>0.995954080203443</v>
      </c>
      <c r="C774">
        <v>1.15834699952882</v>
      </c>
      <c r="D774">
        <v>1.1282036533069599</v>
      </c>
      <c r="E774">
        <v>1.0891026918295399</v>
      </c>
      <c r="F774">
        <v>0.90639677686253906</v>
      </c>
      <c r="G774">
        <v>0.69295663495359106</v>
      </c>
      <c r="H774">
        <v>0.69433075781546005</v>
      </c>
      <c r="I774">
        <v>0.83670142668583902</v>
      </c>
      <c r="J774">
        <v>1.0365937958632401</v>
      </c>
      <c r="K774">
        <v>1.01913672080998</v>
      </c>
      <c r="L774">
        <v>13217.245108204301</v>
      </c>
      <c r="M774">
        <v>250</v>
      </c>
      <c r="O774">
        <v>52.865596110878201</v>
      </c>
      <c r="P774">
        <v>-0.17030942677889399</v>
      </c>
      <c r="Q774">
        <v>0.85594384736581697</v>
      </c>
      <c r="R774">
        <v>0.36491659637667301</v>
      </c>
      <c r="S774" t="s">
        <v>7580</v>
      </c>
      <c r="T774" t="s">
        <v>13610</v>
      </c>
      <c r="U774" t="s">
        <v>13610</v>
      </c>
      <c r="V774" t="s">
        <v>13610</v>
      </c>
      <c r="W774" t="s">
        <v>14364</v>
      </c>
      <c r="X774">
        <v>24</v>
      </c>
      <c r="Y774" t="s">
        <v>21085</v>
      </c>
      <c r="Z774" t="s">
        <v>27629</v>
      </c>
      <c r="AA774">
        <v>0.91775240715535233</v>
      </c>
      <c r="AB774" t="str">
        <f>HYPERLINK("Melting_Curves/meltCurve_H0Y5D5_CIZ1.pdf", "Melting_Curves/meltCurve_H0Y5D5_CIZ1.pdf")</f>
        <v>Melting_Curves/meltCurve_H0Y5D5_CIZ1.pdf</v>
      </c>
    </row>
    <row r="775" spans="1:28" x14ac:dyDescent="0.25">
      <c r="A775" t="s">
        <v>779</v>
      </c>
      <c r="B775">
        <v>0.995954080203443</v>
      </c>
      <c r="C775">
        <v>0.86949374141958002</v>
      </c>
      <c r="D775">
        <v>0.82467635689878505</v>
      </c>
      <c r="E775">
        <v>0.76038890341255605</v>
      </c>
      <c r="F775">
        <v>0.41183896175158002</v>
      </c>
      <c r="G775">
        <v>0.25097729422534598</v>
      </c>
      <c r="H775">
        <v>0.15126623584518301</v>
      </c>
      <c r="I775">
        <v>9.1564662117957205E-2</v>
      </c>
      <c r="J775">
        <v>7.3617627171128394E-2</v>
      </c>
      <c r="K775">
        <v>6.5906184165478901E-2</v>
      </c>
      <c r="L775">
        <v>691.75938126656399</v>
      </c>
      <c r="M775">
        <v>13.2262099735518</v>
      </c>
      <c r="N775">
        <v>52.453937485656503</v>
      </c>
      <c r="O775">
        <v>51.149889646378099</v>
      </c>
      <c r="P775">
        <v>-6.3441251869811394E-2</v>
      </c>
      <c r="Q775">
        <v>1.8773455359535601E-2</v>
      </c>
      <c r="R775">
        <v>0.98204369245946099</v>
      </c>
      <c r="S775" t="s">
        <v>7581</v>
      </c>
      <c r="T775" t="s">
        <v>13610</v>
      </c>
      <c r="U775" t="s">
        <v>13610</v>
      </c>
      <c r="V775" t="s">
        <v>13610</v>
      </c>
      <c r="W775" t="s">
        <v>14365</v>
      </c>
      <c r="X775">
        <v>11</v>
      </c>
      <c r="Y775" t="s">
        <v>21086</v>
      </c>
      <c r="Z775" t="s">
        <v>27630</v>
      </c>
      <c r="AA775">
        <v>0.44708831131706278</v>
      </c>
      <c r="AB775" t="str">
        <f>HYPERLINK("Melting_Curves/meltCurve_H0Y6C3_PYCRL.pdf", "Melting_Curves/meltCurve_H0Y6C3_PYCRL.pdf")</f>
        <v>Melting_Curves/meltCurve_H0Y6C3_PYCRL.pdf</v>
      </c>
    </row>
    <row r="776" spans="1:28" x14ac:dyDescent="0.25">
      <c r="A776" t="s">
        <v>780</v>
      </c>
      <c r="B776">
        <v>0.995954080203443</v>
      </c>
      <c r="C776">
        <v>0.84484554998698802</v>
      </c>
      <c r="D776">
        <v>0.60602758651605904</v>
      </c>
      <c r="E776">
        <v>0.41201160408464099</v>
      </c>
      <c r="F776">
        <v>0.27520902068292602</v>
      </c>
      <c r="G776">
        <v>0.181661310533479</v>
      </c>
      <c r="H776">
        <v>0.140151014261332</v>
      </c>
      <c r="I776">
        <v>0.14541890490998199</v>
      </c>
      <c r="J776">
        <v>0.14519096376072799</v>
      </c>
      <c r="K776">
        <v>0.15759129486057999</v>
      </c>
      <c r="L776">
        <v>732.41054497647497</v>
      </c>
      <c r="M776">
        <v>15.567558837042601</v>
      </c>
      <c r="N776">
        <v>48.0332804332864</v>
      </c>
      <c r="O776">
        <v>46.291427182442803</v>
      </c>
      <c r="P776">
        <v>-7.2581287034390998E-2</v>
      </c>
      <c r="Q776">
        <v>0.13676967898994299</v>
      </c>
      <c r="R776">
        <v>0.99399015376512201</v>
      </c>
      <c r="S776" t="s">
        <v>7582</v>
      </c>
      <c r="T776" t="s">
        <v>13610</v>
      </c>
      <c r="U776" t="s">
        <v>13610</v>
      </c>
      <c r="V776" t="s">
        <v>13610</v>
      </c>
      <c r="W776" t="s">
        <v>14366</v>
      </c>
      <c r="X776">
        <v>3</v>
      </c>
      <c r="Y776" t="s">
        <v>21087</v>
      </c>
      <c r="Z776" t="s">
        <v>27631</v>
      </c>
      <c r="AA776">
        <v>0.36120401369234989</v>
      </c>
      <c r="AB776" t="str">
        <f>HYPERLINK("Melting_Curves/meltCurve_H0Y714_IMP4.pdf", "Melting_Curves/meltCurve_H0Y714_IMP4.pdf")</f>
        <v>Melting_Curves/meltCurve_H0Y714_IMP4.pdf</v>
      </c>
    </row>
    <row r="777" spans="1:28" x14ac:dyDescent="0.25">
      <c r="A777" t="s">
        <v>781</v>
      </c>
      <c r="B777">
        <v>0.995954080203443</v>
      </c>
      <c r="C777">
        <v>0.79325683839427497</v>
      </c>
      <c r="D777">
        <v>0.94213599505814605</v>
      </c>
      <c r="E777">
        <v>0.78239789033463303</v>
      </c>
      <c r="F777">
        <v>0.78904009430162003</v>
      </c>
      <c r="G777">
        <v>0.52611511816801904</v>
      </c>
      <c r="H777">
        <v>0.59490730026958005</v>
      </c>
      <c r="I777">
        <v>0.70083731727989096</v>
      </c>
      <c r="J777">
        <v>0.90013402167413603</v>
      </c>
      <c r="K777">
        <v>0.56448516379486702</v>
      </c>
      <c r="L777">
        <v>563.79837360003705</v>
      </c>
      <c r="M777">
        <v>11.992724551621301</v>
      </c>
      <c r="O777">
        <v>45.761800256356601</v>
      </c>
      <c r="P777">
        <v>-2.2448186136955602E-2</v>
      </c>
      <c r="Q777">
        <v>0.657452073153584</v>
      </c>
      <c r="R777">
        <v>0.44860518412134998</v>
      </c>
      <c r="S777" t="s">
        <v>7583</v>
      </c>
      <c r="T777" t="s">
        <v>13610</v>
      </c>
      <c r="U777" t="s">
        <v>13610</v>
      </c>
      <c r="V777" t="s">
        <v>13610</v>
      </c>
      <c r="W777" t="s">
        <v>14367</v>
      </c>
      <c r="X777">
        <v>37</v>
      </c>
      <c r="Y777" t="s">
        <v>21046</v>
      </c>
      <c r="Z777" t="s">
        <v>27632</v>
      </c>
      <c r="AA777">
        <v>0.75189770561337854</v>
      </c>
      <c r="AB777" t="str">
        <f>HYPERLINK("Melting_Curves/meltCurve_H0Y7H8_ARID1B.pdf", "Melting_Curves/meltCurve_H0Y7H8_ARID1B.pdf")</f>
        <v>Melting_Curves/meltCurve_H0Y7H8_ARID1B.pdf</v>
      </c>
    </row>
    <row r="778" spans="1:28" x14ac:dyDescent="0.25">
      <c r="A778" t="s">
        <v>782</v>
      </c>
      <c r="B778">
        <v>0.995954080203443</v>
      </c>
      <c r="C778">
        <v>0.88405035543173605</v>
      </c>
      <c r="D778">
        <v>0.90783475762017796</v>
      </c>
      <c r="E778">
        <v>0.90618210399022603</v>
      </c>
      <c r="F778">
        <v>1.09455154773682</v>
      </c>
      <c r="G778">
        <v>0.61057374076322102</v>
      </c>
      <c r="H778">
        <v>0.65045113177001002</v>
      </c>
      <c r="I778">
        <v>0.71818701390062401</v>
      </c>
      <c r="J778">
        <v>0.79648666825241199</v>
      </c>
      <c r="K778">
        <v>0.95608173027761401</v>
      </c>
      <c r="L778">
        <v>4459.1836911679302</v>
      </c>
      <c r="M778">
        <v>81.309555773655205</v>
      </c>
      <c r="O778">
        <v>54.808914472387102</v>
      </c>
      <c r="P778">
        <v>-9.3970777340482897E-2</v>
      </c>
      <c r="Q778">
        <v>0.74662581293338004</v>
      </c>
      <c r="R778">
        <v>0.444900965133468</v>
      </c>
      <c r="S778" t="s">
        <v>7584</v>
      </c>
      <c r="T778" t="s">
        <v>13610</v>
      </c>
      <c r="U778" t="s">
        <v>13610</v>
      </c>
      <c r="V778" t="s">
        <v>13610</v>
      </c>
      <c r="W778" t="s">
        <v>14368</v>
      </c>
      <c r="X778">
        <v>11</v>
      </c>
      <c r="Y778" t="s">
        <v>21001</v>
      </c>
      <c r="Z778" t="s">
        <v>27633</v>
      </c>
      <c r="AA778">
        <v>0.87220996471268364</v>
      </c>
      <c r="AB778" t="str">
        <f>HYPERLINK("Melting_Curves/meltCurve_H0Y7J9_WNK2.pdf", "Melting_Curves/meltCurve_H0Y7J9_WNK2.pdf")</f>
        <v>Melting_Curves/meltCurve_H0Y7J9_WNK2.pdf</v>
      </c>
    </row>
    <row r="779" spans="1:28" x14ac:dyDescent="0.25">
      <c r="A779" t="s">
        <v>783</v>
      </c>
      <c r="B779">
        <v>0.995954080203443</v>
      </c>
      <c r="C779">
        <v>0.95388479340926302</v>
      </c>
      <c r="D779">
        <v>1.43495392096993</v>
      </c>
      <c r="E779">
        <v>0.917393608716361</v>
      </c>
      <c r="F779">
        <v>1.3861818134670401</v>
      </c>
      <c r="G779">
        <v>1.4636931974327201</v>
      </c>
      <c r="H779">
        <v>1.06428465439686</v>
      </c>
      <c r="I779">
        <v>0.62454564998783002</v>
      </c>
      <c r="J779">
        <v>0.37208692662725901</v>
      </c>
      <c r="K779">
        <v>0.297592110380964</v>
      </c>
      <c r="L779">
        <v>15000</v>
      </c>
      <c r="M779">
        <v>234.63419869257601</v>
      </c>
      <c r="N779">
        <v>64.232521740546503</v>
      </c>
      <c r="O779">
        <v>63.924658665882497</v>
      </c>
      <c r="P779">
        <v>-0.61037285361097904</v>
      </c>
      <c r="Q779">
        <v>0.334830567194767</v>
      </c>
      <c r="R779">
        <v>0.637700725515296</v>
      </c>
      <c r="S779" t="s">
        <v>7585</v>
      </c>
      <c r="T779" t="s">
        <v>13610</v>
      </c>
      <c r="U779" t="s">
        <v>13610</v>
      </c>
      <c r="V779" t="s">
        <v>13610</v>
      </c>
      <c r="W779" t="s">
        <v>14369</v>
      </c>
      <c r="X779">
        <v>9</v>
      </c>
      <c r="Z779" t="s">
        <v>27634</v>
      </c>
      <c r="AA779">
        <v>0.8654832492238953</v>
      </c>
      <c r="AB779" t="str">
        <f>HYPERLINK("Melting_Curves/meltCurve_H0Y858_.pdf", "Melting_Curves/meltCurve_H0Y858_.pdf")</f>
        <v>Melting_Curves/meltCurve_H0Y858_.pdf</v>
      </c>
    </row>
    <row r="780" spans="1:28" x14ac:dyDescent="0.25">
      <c r="A780" t="s">
        <v>784</v>
      </c>
      <c r="B780">
        <v>0.995954080203443</v>
      </c>
      <c r="C780">
        <v>0.58927674224298099</v>
      </c>
      <c r="D780">
        <v>0.29666051140877497</v>
      </c>
      <c r="E780">
        <v>0.20374135427572401</v>
      </c>
      <c r="F780">
        <v>0.13606129997722499</v>
      </c>
      <c r="G780">
        <v>0.11594891528552299</v>
      </c>
      <c r="H780">
        <v>5.6221653208860398E-2</v>
      </c>
      <c r="I780">
        <v>6.9924675582013707E-2</v>
      </c>
      <c r="J780">
        <v>5.5407097533176797E-2</v>
      </c>
      <c r="K780">
        <v>0</v>
      </c>
      <c r="L780">
        <v>1004.54237473956</v>
      </c>
      <c r="M780">
        <v>22.967654453488102</v>
      </c>
      <c r="N780">
        <v>44.061886097406699</v>
      </c>
      <c r="O780">
        <v>43.409746947688902</v>
      </c>
      <c r="P780">
        <v>-0.121979359825126</v>
      </c>
      <c r="Q780">
        <v>7.7834703315903697E-2</v>
      </c>
      <c r="R780">
        <v>0.96897366709041899</v>
      </c>
      <c r="S780" t="s">
        <v>7586</v>
      </c>
      <c r="T780" t="s">
        <v>13610</v>
      </c>
      <c r="U780" t="s">
        <v>13610</v>
      </c>
      <c r="V780" t="s">
        <v>13610</v>
      </c>
      <c r="W780" t="s">
        <v>14370</v>
      </c>
      <c r="X780">
        <v>1</v>
      </c>
      <c r="Y780" t="s">
        <v>21088</v>
      </c>
      <c r="Z780" t="s">
        <v>27635</v>
      </c>
      <c r="AA780">
        <v>0.20631950041033051</v>
      </c>
      <c r="AB780" t="str">
        <f>HYPERLINK("Melting_Curves/meltCurve_H0Y8G9_HERC3.pdf", "Melting_Curves/meltCurve_H0Y8G9_HERC3.pdf")</f>
        <v>Melting_Curves/meltCurve_H0Y8G9_HERC3.pdf</v>
      </c>
    </row>
    <row r="781" spans="1:28" x14ac:dyDescent="0.25">
      <c r="A781" t="s">
        <v>785</v>
      </c>
      <c r="B781">
        <v>0.995954080203443</v>
      </c>
      <c r="C781">
        <v>1.01925497164871</v>
      </c>
      <c r="D781">
        <v>0.95283788739600195</v>
      </c>
      <c r="E781">
        <v>0.88458277145720599</v>
      </c>
      <c r="F781">
        <v>0.83009027323680395</v>
      </c>
      <c r="G781">
        <v>0.62825119068658597</v>
      </c>
      <c r="H781">
        <v>0.46621172388936699</v>
      </c>
      <c r="I781">
        <v>0.27666318842745402</v>
      </c>
      <c r="J781">
        <v>0.105705215798575</v>
      </c>
      <c r="K781">
        <v>9.2974612222574901E-2</v>
      </c>
      <c r="L781">
        <v>811.81309692707498</v>
      </c>
      <c r="M781">
        <v>13.691393381471901</v>
      </c>
      <c r="N781">
        <v>59.2936800903977</v>
      </c>
      <c r="O781">
        <v>58.071670980933703</v>
      </c>
      <c r="P781">
        <v>-5.8950301483140198E-2</v>
      </c>
      <c r="Q781">
        <v>0</v>
      </c>
      <c r="R781">
        <v>0.990328542044978</v>
      </c>
      <c r="S781" t="s">
        <v>7587</v>
      </c>
      <c r="T781" t="s">
        <v>13610</v>
      </c>
      <c r="U781" t="s">
        <v>13610</v>
      </c>
      <c r="V781" t="s">
        <v>13610</v>
      </c>
      <c r="W781" t="s">
        <v>14371</v>
      </c>
      <c r="X781">
        <v>10</v>
      </c>
      <c r="Y781" t="s">
        <v>21089</v>
      </c>
      <c r="Z781" t="s">
        <v>27636</v>
      </c>
      <c r="AA781">
        <v>0.65172292485843974</v>
      </c>
      <c r="AB781" t="str">
        <f>HYPERLINK("Melting_Curves/meltCurve_H0Y8X4_DNPH1.pdf", "Melting_Curves/meltCurve_H0Y8X4_DNPH1.pdf")</f>
        <v>Melting_Curves/meltCurve_H0Y8X4_DNPH1.pdf</v>
      </c>
    </row>
    <row r="782" spans="1:28" x14ac:dyDescent="0.25">
      <c r="A782" t="s">
        <v>786</v>
      </c>
      <c r="B782">
        <v>0.995954080203443</v>
      </c>
      <c r="C782">
        <v>1.0290478709359401</v>
      </c>
      <c r="D782">
        <v>1.0062955465816901</v>
      </c>
      <c r="E782">
        <v>0.752148285097342</v>
      </c>
      <c r="F782">
        <v>0.468087233237999</v>
      </c>
      <c r="G782">
        <v>0.270599576842527</v>
      </c>
      <c r="H782">
        <v>0.25426792750666799</v>
      </c>
      <c r="I782">
        <v>0.24032541076041</v>
      </c>
      <c r="J782">
        <v>0.295101751299296</v>
      </c>
      <c r="K782">
        <v>0.260723964413971</v>
      </c>
      <c r="L782">
        <v>1603.90071444002</v>
      </c>
      <c r="M782">
        <v>31.3018431175486</v>
      </c>
      <c r="N782">
        <v>52.459826424017699</v>
      </c>
      <c r="O782">
        <v>51.032046001649498</v>
      </c>
      <c r="P782">
        <v>-0.113696734964462</v>
      </c>
      <c r="Q782">
        <v>0.25855547559184999</v>
      </c>
      <c r="R782">
        <v>0.99613501988208197</v>
      </c>
      <c r="S782" t="s">
        <v>7588</v>
      </c>
      <c r="T782" t="s">
        <v>13610</v>
      </c>
      <c r="U782" t="s">
        <v>13610</v>
      </c>
      <c r="V782" t="s">
        <v>13610</v>
      </c>
      <c r="W782" t="s">
        <v>14372</v>
      </c>
      <c r="X782">
        <v>2</v>
      </c>
      <c r="Y782" t="s">
        <v>21090</v>
      </c>
      <c r="Z782" t="s">
        <v>27637</v>
      </c>
      <c r="AA782">
        <v>0.54064425571467767</v>
      </c>
      <c r="AB782" t="str">
        <f>HYPERLINK("Melting_Curves/meltCurve_H0Y905_RAPGEF2.pdf", "Melting_Curves/meltCurve_H0Y905_RAPGEF2.pdf")</f>
        <v>Melting_Curves/meltCurve_H0Y905_RAPGEF2.pdf</v>
      </c>
    </row>
    <row r="783" spans="1:28" x14ac:dyDescent="0.25">
      <c r="A783" t="s">
        <v>787</v>
      </c>
      <c r="B783">
        <v>0.995954080203443</v>
      </c>
      <c r="C783">
        <v>1.0975816064834401</v>
      </c>
      <c r="D783">
        <v>1.08160436672858</v>
      </c>
      <c r="E783">
        <v>0.95780249565729303</v>
      </c>
      <c r="F783">
        <v>0.705230213577558</v>
      </c>
      <c r="G783">
        <v>0.35194964640969201</v>
      </c>
      <c r="H783">
        <v>0.133375968895344</v>
      </c>
      <c r="I783">
        <v>8.1680815770397305E-2</v>
      </c>
      <c r="J783">
        <v>6.7635814582867299E-2</v>
      </c>
      <c r="K783">
        <v>0.109467168440948</v>
      </c>
      <c r="L783">
        <v>1433.21150444464</v>
      </c>
      <c r="M783">
        <v>26.128588854419</v>
      </c>
      <c r="N783">
        <v>55.207317061499097</v>
      </c>
      <c r="O783">
        <v>54.533956779279897</v>
      </c>
      <c r="P783">
        <v>-0.110517964893001</v>
      </c>
      <c r="Q783">
        <v>7.7345680660949004E-2</v>
      </c>
      <c r="R783">
        <v>0.988545419639143</v>
      </c>
      <c r="S783" t="s">
        <v>7589</v>
      </c>
      <c r="T783" t="s">
        <v>13610</v>
      </c>
      <c r="U783" t="s">
        <v>13610</v>
      </c>
      <c r="V783" t="s">
        <v>13610</v>
      </c>
      <c r="W783" t="s">
        <v>14373</v>
      </c>
      <c r="X783">
        <v>12</v>
      </c>
      <c r="Y783" t="s">
        <v>21091</v>
      </c>
      <c r="Z783" t="s">
        <v>27638</v>
      </c>
      <c r="AA783">
        <v>0.5420221906595537</v>
      </c>
      <c r="AB783" t="str">
        <f>HYPERLINK("Melting_Curves/meltCurve_H0Y990_ABCE1.pdf", "Melting_Curves/meltCurve_H0Y990_ABCE1.pdf")</f>
        <v>Melting_Curves/meltCurve_H0Y990_ABCE1.pdf</v>
      </c>
    </row>
    <row r="784" spans="1:28" x14ac:dyDescent="0.25">
      <c r="A784" t="s">
        <v>788</v>
      </c>
      <c r="B784">
        <v>0.995954080203443</v>
      </c>
      <c r="C784">
        <v>0.97471903225336898</v>
      </c>
      <c r="D784">
        <v>0.92565375226832702</v>
      </c>
      <c r="E784">
        <v>0.80166194139628699</v>
      </c>
      <c r="F784">
        <v>0.49596850599622799</v>
      </c>
      <c r="G784">
        <v>0.31130327697042598</v>
      </c>
      <c r="H784">
        <v>0.13135417651796899</v>
      </c>
      <c r="I784">
        <v>8.6390233881182305E-2</v>
      </c>
      <c r="J784">
        <v>7.8271503635729198E-2</v>
      </c>
      <c r="K784">
        <v>7.7589838769674305E-2</v>
      </c>
      <c r="L784">
        <v>931.66026212395798</v>
      </c>
      <c r="M784">
        <v>17.528653740285701</v>
      </c>
      <c r="N784">
        <v>53.498886800170297</v>
      </c>
      <c r="O784">
        <v>52.473405395016798</v>
      </c>
      <c r="P784">
        <v>-7.9014276541126499E-2</v>
      </c>
      <c r="Q784">
        <v>5.3909993003521298E-2</v>
      </c>
      <c r="R784">
        <v>0.99632076028081495</v>
      </c>
      <c r="S784" t="s">
        <v>7590</v>
      </c>
      <c r="T784" t="s">
        <v>13610</v>
      </c>
      <c r="U784" t="s">
        <v>13610</v>
      </c>
      <c r="V784" t="s">
        <v>13610</v>
      </c>
      <c r="W784" t="s">
        <v>14374</v>
      </c>
      <c r="X784">
        <v>15</v>
      </c>
      <c r="Y784" t="s">
        <v>21092</v>
      </c>
      <c r="Z784" t="s">
        <v>27639</v>
      </c>
      <c r="AA784">
        <v>0.48473732998781849</v>
      </c>
      <c r="AB784" t="str">
        <f>HYPERLINK("Melting_Curves/meltCurve_H0Y9N5_TROVE2.pdf", "Melting_Curves/meltCurve_H0Y9N5_TROVE2.pdf")</f>
        <v>Melting_Curves/meltCurve_H0Y9N5_TROVE2.pdf</v>
      </c>
    </row>
    <row r="785" spans="1:28" x14ac:dyDescent="0.25">
      <c r="A785" t="s">
        <v>789</v>
      </c>
      <c r="B785">
        <v>0.995954080203443</v>
      </c>
      <c r="C785">
        <v>0.90764911930608905</v>
      </c>
      <c r="D785">
        <v>0.77451589917367203</v>
      </c>
      <c r="E785">
        <v>0.44156457606613198</v>
      </c>
      <c r="F785">
        <v>0.26198218374251497</v>
      </c>
      <c r="G785">
        <v>0.154116276592937</v>
      </c>
      <c r="H785">
        <v>0.126291183890093</v>
      </c>
      <c r="I785">
        <v>0.14945339782886999</v>
      </c>
      <c r="J785">
        <v>0.14678267976206899</v>
      </c>
      <c r="K785">
        <v>0.15168150615804499</v>
      </c>
      <c r="L785">
        <v>948.14455425118501</v>
      </c>
      <c r="M785">
        <v>19.6012686241504</v>
      </c>
      <c r="N785">
        <v>49.143547271930899</v>
      </c>
      <c r="O785">
        <v>47.876549779241302</v>
      </c>
      <c r="P785">
        <v>-8.8793903967848697E-2</v>
      </c>
      <c r="Q785">
        <v>0.132505724745972</v>
      </c>
      <c r="R785">
        <v>0.99789150475905897</v>
      </c>
      <c r="S785" t="s">
        <v>7591</v>
      </c>
      <c r="T785" t="s">
        <v>13610</v>
      </c>
      <c r="U785" t="s">
        <v>13610</v>
      </c>
      <c r="V785" t="s">
        <v>13610</v>
      </c>
      <c r="W785" t="s">
        <v>14375</v>
      </c>
      <c r="X785">
        <v>17</v>
      </c>
      <c r="Y785" t="s">
        <v>21093</v>
      </c>
      <c r="Z785" t="s">
        <v>27640</v>
      </c>
      <c r="AA785">
        <v>0.38735349544434061</v>
      </c>
      <c r="AB785" t="str">
        <f>HYPERLINK("Melting_Curves/meltCurve_H0Y9S9_PPIP5K2.pdf", "Melting_Curves/meltCurve_H0Y9S9_PPIP5K2.pdf")</f>
        <v>Melting_Curves/meltCurve_H0Y9S9_PPIP5K2.pdf</v>
      </c>
    </row>
    <row r="786" spans="1:28" x14ac:dyDescent="0.25">
      <c r="A786" t="s">
        <v>790</v>
      </c>
      <c r="B786">
        <v>0.995954080203443</v>
      </c>
      <c r="C786">
        <v>0.99687730303448696</v>
      </c>
      <c r="D786">
        <v>0.94318778150891303</v>
      </c>
      <c r="E786">
        <v>0.82112205701076102</v>
      </c>
      <c r="F786">
        <v>0.78852625190637204</v>
      </c>
      <c r="G786">
        <v>0.57171549127703003</v>
      </c>
      <c r="H786">
        <v>0.50968530174978699</v>
      </c>
      <c r="I786">
        <v>0.56547952846007798</v>
      </c>
      <c r="J786">
        <v>0.69273121628338996</v>
      </c>
      <c r="K786">
        <v>0.61236596474960003</v>
      </c>
      <c r="L786">
        <v>1105.7649121537099</v>
      </c>
      <c r="M786">
        <v>21.5919993061699</v>
      </c>
      <c r="O786">
        <v>50.7785786484285</v>
      </c>
      <c r="P786">
        <v>-4.39886437460685E-2</v>
      </c>
      <c r="Q786">
        <v>0.586212020420391</v>
      </c>
      <c r="R786">
        <v>0.90686866334581395</v>
      </c>
      <c r="S786" t="s">
        <v>7592</v>
      </c>
      <c r="T786" t="s">
        <v>13610</v>
      </c>
      <c r="U786" t="s">
        <v>13610</v>
      </c>
      <c r="V786" t="s">
        <v>13610</v>
      </c>
      <c r="W786" t="s">
        <v>14376</v>
      </c>
      <c r="X786">
        <v>6</v>
      </c>
      <c r="Y786" t="s">
        <v>21094</v>
      </c>
      <c r="Z786" t="s">
        <v>27641</v>
      </c>
      <c r="AA786">
        <v>0.7458275654293044</v>
      </c>
      <c r="AB786" t="str">
        <f>HYPERLINK("Melting_Curves/meltCurve_H0YA52_PCBD2.pdf", "Melting_Curves/meltCurve_H0YA52_PCBD2.pdf")</f>
        <v>Melting_Curves/meltCurve_H0YA52_PCBD2.pdf</v>
      </c>
    </row>
    <row r="787" spans="1:28" x14ac:dyDescent="0.25">
      <c r="A787" t="s">
        <v>791</v>
      </c>
      <c r="B787">
        <v>0.995954080203443</v>
      </c>
      <c r="C787">
        <v>1.02005278864214</v>
      </c>
      <c r="D787">
        <v>1.07493149877501</v>
      </c>
      <c r="E787">
        <v>1.0255274213432699</v>
      </c>
      <c r="F787">
        <v>1.1745084278029101</v>
      </c>
      <c r="G787">
        <v>0.92473010578304804</v>
      </c>
      <c r="H787">
        <v>0.86990573194760301</v>
      </c>
      <c r="I787">
        <v>1.0689919808477399</v>
      </c>
      <c r="J787">
        <v>1.31601637505703</v>
      </c>
      <c r="K787">
        <v>1.2300211107616901</v>
      </c>
      <c r="L787">
        <v>15000</v>
      </c>
      <c r="M787">
        <v>233.291021077713</v>
      </c>
      <c r="O787">
        <v>64.292646474915898</v>
      </c>
      <c r="P787">
        <v>0.247674059445397</v>
      </c>
      <c r="Q787">
        <v>1.27302587519101</v>
      </c>
      <c r="R787">
        <v>0.62284485489341501</v>
      </c>
      <c r="S787" t="s">
        <v>7593</v>
      </c>
      <c r="T787" t="s">
        <v>13610</v>
      </c>
      <c r="U787" t="s">
        <v>13610</v>
      </c>
      <c r="V787" t="s">
        <v>13610</v>
      </c>
      <c r="W787" t="s">
        <v>14377</v>
      </c>
      <c r="X787">
        <v>3</v>
      </c>
      <c r="Y787" t="s">
        <v>21095</v>
      </c>
      <c r="Z787" t="s">
        <v>27642</v>
      </c>
      <c r="AA787">
        <v>1.051863435585652</v>
      </c>
      <c r="AB787" t="str">
        <f>HYPERLINK("Melting_Curves/meltCurve_H0YA61_RBM24.pdf", "Melting_Curves/meltCurve_H0YA61_RBM24.pdf")</f>
        <v>Melting_Curves/meltCurve_H0YA61_RBM24.pdf</v>
      </c>
    </row>
    <row r="788" spans="1:28" x14ac:dyDescent="0.25">
      <c r="A788" t="s">
        <v>792</v>
      </c>
      <c r="B788">
        <v>0.995954080203443</v>
      </c>
      <c r="C788">
        <v>0.93051407950721499</v>
      </c>
      <c r="D788">
        <v>0.78500427275282503</v>
      </c>
      <c r="E788">
        <v>0.65867983875754199</v>
      </c>
      <c r="F788">
        <v>0.34492786134372</v>
      </c>
      <c r="G788">
        <v>0.190527684349208</v>
      </c>
      <c r="H788">
        <v>9.4312793394950897E-2</v>
      </c>
      <c r="I788">
        <v>9.0170403918366296E-2</v>
      </c>
      <c r="J788">
        <v>0.10030938936589399</v>
      </c>
      <c r="K788">
        <v>9.1694667258727394E-2</v>
      </c>
      <c r="L788">
        <v>787.15750777593803</v>
      </c>
      <c r="M788">
        <v>15.518303465505699</v>
      </c>
      <c r="N788">
        <v>51.135594622289702</v>
      </c>
      <c r="O788">
        <v>49.9045245700419</v>
      </c>
      <c r="P788">
        <v>-7.3186995860234597E-2</v>
      </c>
      <c r="Q788">
        <v>5.8649862595642602E-2</v>
      </c>
      <c r="R788">
        <v>0.99025063521356504</v>
      </c>
      <c r="S788" t="s">
        <v>7594</v>
      </c>
      <c r="T788" t="s">
        <v>13610</v>
      </c>
      <c r="U788" t="s">
        <v>13610</v>
      </c>
      <c r="V788" t="s">
        <v>13610</v>
      </c>
      <c r="W788" t="s">
        <v>14378</v>
      </c>
      <c r="X788">
        <v>6</v>
      </c>
      <c r="Y788" t="s">
        <v>21096</v>
      </c>
      <c r="Z788" t="s">
        <v>27643</v>
      </c>
      <c r="AA788">
        <v>0.41587230825851662</v>
      </c>
      <c r="AB788" t="str">
        <f>HYPERLINK("Melting_Curves/meltCurve_H0YA68_MAN2B2.pdf", "Melting_Curves/meltCurve_H0YA68_MAN2B2.pdf")</f>
        <v>Melting_Curves/meltCurve_H0YA68_MAN2B2.pdf</v>
      </c>
    </row>
    <row r="789" spans="1:28" x14ac:dyDescent="0.25">
      <c r="A789" t="s">
        <v>793</v>
      </c>
      <c r="B789">
        <v>0.995954080203443</v>
      </c>
      <c r="C789">
        <v>0.98270340102592801</v>
      </c>
      <c r="D789">
        <v>0.88781787511716104</v>
      </c>
      <c r="E789">
        <v>0.79963772371348496</v>
      </c>
      <c r="F789">
        <v>0.620446971042518</v>
      </c>
      <c r="G789">
        <v>0.31717131843545698</v>
      </c>
      <c r="H789">
        <v>0.18508988443384</v>
      </c>
      <c r="I789">
        <v>0.13752606795219299</v>
      </c>
      <c r="J789">
        <v>0.12953971241164</v>
      </c>
      <c r="K789">
        <v>0.106330996019715</v>
      </c>
      <c r="L789">
        <v>875.47015352443896</v>
      </c>
      <c r="M789">
        <v>16.291630421163202</v>
      </c>
      <c r="N789">
        <v>54.319740512224499</v>
      </c>
      <c r="O789">
        <v>52.947332936805701</v>
      </c>
      <c r="P789">
        <v>-7.07654176197937E-2</v>
      </c>
      <c r="Q789">
        <v>8.0124872084615301E-2</v>
      </c>
      <c r="R789">
        <v>0.99612378291705495</v>
      </c>
      <c r="S789" t="s">
        <v>7595</v>
      </c>
      <c r="T789" t="s">
        <v>13610</v>
      </c>
      <c r="U789" t="s">
        <v>13610</v>
      </c>
      <c r="V789" t="s">
        <v>13610</v>
      </c>
      <c r="W789" t="s">
        <v>14379</v>
      </c>
      <c r="X789">
        <v>2</v>
      </c>
      <c r="Y789" t="s">
        <v>21097</v>
      </c>
      <c r="Z789" t="s">
        <v>27644</v>
      </c>
      <c r="AA789">
        <v>0.51848207107665967</v>
      </c>
      <c r="AB789" t="str">
        <f>HYPERLINK("Melting_Curves/meltCurve_H0YA80_UBE2B.pdf", "Melting_Curves/meltCurve_H0YA80_UBE2B.pdf")</f>
        <v>Melting_Curves/meltCurve_H0YA80_UBE2B.pdf</v>
      </c>
    </row>
    <row r="790" spans="1:28" x14ac:dyDescent="0.25">
      <c r="A790" t="s">
        <v>794</v>
      </c>
      <c r="B790">
        <v>0.995954080203443</v>
      </c>
      <c r="C790">
        <v>0.83020559728297605</v>
      </c>
      <c r="D790">
        <v>0.67264737114812201</v>
      </c>
      <c r="E790">
        <v>0.61217864615859097</v>
      </c>
      <c r="F790">
        <v>0.43806643816527102</v>
      </c>
      <c r="G790">
        <v>0.27312250546720102</v>
      </c>
      <c r="H790">
        <v>0.20141886930272601</v>
      </c>
      <c r="I790">
        <v>0.26438206696134298</v>
      </c>
      <c r="J790">
        <v>0.28669365220960602</v>
      </c>
      <c r="K790">
        <v>0.31199263938223998</v>
      </c>
      <c r="L790">
        <v>604.54594675576197</v>
      </c>
      <c r="M790">
        <v>12.565129568614299</v>
      </c>
      <c r="N790">
        <v>50.689869243582898</v>
      </c>
      <c r="O790">
        <v>46.943115348611897</v>
      </c>
      <c r="P790">
        <v>-5.1132884930898299E-2</v>
      </c>
      <c r="Q790">
        <v>0.236027493894162</v>
      </c>
      <c r="R790">
        <v>0.95730257111574402</v>
      </c>
      <c r="S790" t="s">
        <v>7596</v>
      </c>
      <c r="T790" t="s">
        <v>13610</v>
      </c>
      <c r="U790" t="s">
        <v>13610</v>
      </c>
      <c r="V790" t="s">
        <v>13610</v>
      </c>
      <c r="W790" t="s">
        <v>14380</v>
      </c>
      <c r="X790">
        <v>2</v>
      </c>
      <c r="Y790" t="s">
        <v>21098</v>
      </c>
      <c r="Z790" t="s">
        <v>27645</v>
      </c>
      <c r="AA790">
        <v>0.46997005015952209</v>
      </c>
      <c r="AB790" t="str">
        <f>HYPERLINK("Melting_Curves/meltCurve_H0YAD3_SPATA24.pdf", "Melting_Curves/meltCurve_H0YAD3_SPATA24.pdf")</f>
        <v>Melting_Curves/meltCurve_H0YAD3_SPATA24.pdf</v>
      </c>
    </row>
    <row r="791" spans="1:28" x14ac:dyDescent="0.25">
      <c r="A791" t="s">
        <v>795</v>
      </c>
      <c r="B791">
        <v>0.995954080203443</v>
      </c>
      <c r="C791">
        <v>1.02606399322414</v>
      </c>
      <c r="D791">
        <v>0.97652080060893298</v>
      </c>
      <c r="E791">
        <v>0.95079365124500403</v>
      </c>
      <c r="F791">
        <v>0.90338351602312195</v>
      </c>
      <c r="G791">
        <v>0.64336839154365999</v>
      </c>
      <c r="H791">
        <v>0.66401120674620095</v>
      </c>
      <c r="I791">
        <v>0.78456861088978302</v>
      </c>
      <c r="J791">
        <v>1.0996842942832199</v>
      </c>
      <c r="K791">
        <v>0.95922549009354896</v>
      </c>
      <c r="L791">
        <v>2402.8601074324201</v>
      </c>
      <c r="M791">
        <v>46.528752487523803</v>
      </c>
      <c r="O791">
        <v>51.547355931992399</v>
      </c>
      <c r="P791">
        <v>-3.7412970009889197E-2</v>
      </c>
      <c r="Q791">
        <v>0.83420682047291195</v>
      </c>
      <c r="R791">
        <v>0.25714831537852501</v>
      </c>
      <c r="S791" t="s">
        <v>7597</v>
      </c>
      <c r="T791" t="s">
        <v>13610</v>
      </c>
      <c r="U791" t="s">
        <v>13610</v>
      </c>
      <c r="V791" t="s">
        <v>13610</v>
      </c>
      <c r="W791" t="s">
        <v>14381</v>
      </c>
      <c r="X791">
        <v>1</v>
      </c>
      <c r="Y791" t="s">
        <v>21099</v>
      </c>
      <c r="Z791" t="s">
        <v>27646</v>
      </c>
      <c r="AA791">
        <v>0.89898472457480805</v>
      </c>
      <c r="AB791" t="str">
        <f>HYPERLINK("Melting_Curves/meltCurve_H0YAE0_C5orf24.pdf", "Melting_Curves/meltCurve_H0YAE0_C5orf24.pdf")</f>
        <v>Melting_Curves/meltCurve_H0YAE0_C5orf24.pdf</v>
      </c>
    </row>
    <row r="792" spans="1:28" x14ac:dyDescent="0.25">
      <c r="A792" t="s">
        <v>796</v>
      </c>
      <c r="B792">
        <v>0.995954080203443</v>
      </c>
      <c r="C792">
        <v>1.0540498064975099</v>
      </c>
      <c r="D792">
        <v>1.1694212079926201</v>
      </c>
      <c r="E792">
        <v>0.94560694935720502</v>
      </c>
      <c r="F792">
        <v>0.978421783176883</v>
      </c>
      <c r="G792">
        <v>0.66001061656336701</v>
      </c>
      <c r="H792">
        <v>0.48637068130463501</v>
      </c>
      <c r="I792">
        <v>0.51819200007255495</v>
      </c>
      <c r="J792">
        <v>0.58002075577016299</v>
      </c>
      <c r="K792">
        <v>0.57136190436831802</v>
      </c>
      <c r="L792">
        <v>3525.9224715110599</v>
      </c>
      <c r="M792">
        <v>62.925701103681902</v>
      </c>
      <c r="O792">
        <v>55.9766122374647</v>
      </c>
      <c r="P792">
        <v>-0.12959832861616399</v>
      </c>
      <c r="Q792">
        <v>0.53885482099131699</v>
      </c>
      <c r="R792">
        <v>0.93070796165833303</v>
      </c>
      <c r="S792" t="s">
        <v>7598</v>
      </c>
      <c r="T792" t="s">
        <v>13610</v>
      </c>
      <c r="U792" t="s">
        <v>13610</v>
      </c>
      <c r="V792" t="s">
        <v>13610</v>
      </c>
      <c r="W792" t="s">
        <v>14382</v>
      </c>
      <c r="X792">
        <v>7</v>
      </c>
      <c r="Y792" t="s">
        <v>21100</v>
      </c>
      <c r="Z792" t="s">
        <v>27647</v>
      </c>
      <c r="AA792">
        <v>0.78602586379527806</v>
      </c>
      <c r="AB792" t="str">
        <f>HYPERLINK("Melting_Curves/meltCurve_H0YAJ5_APBB2.pdf", "Melting_Curves/meltCurve_H0YAJ5_APBB2.pdf")</f>
        <v>Melting_Curves/meltCurve_H0YAJ5_APBB2.pdf</v>
      </c>
    </row>
    <row r="793" spans="1:28" x14ac:dyDescent="0.25">
      <c r="A793" t="s">
        <v>797</v>
      </c>
      <c r="B793">
        <v>0.995954080203443</v>
      </c>
      <c r="C793">
        <v>0.73691091680370502</v>
      </c>
      <c r="D793">
        <v>0.48593780695003103</v>
      </c>
      <c r="E793">
        <v>0.44060290878125202</v>
      </c>
      <c r="F793">
        <v>0.312311158084222</v>
      </c>
      <c r="G793">
        <v>0.155261790762354</v>
      </c>
      <c r="H793">
        <v>0.121262405978791</v>
      </c>
      <c r="I793">
        <v>9.0412443901702402E-2</v>
      </c>
      <c r="J793">
        <v>0.10328370079763401</v>
      </c>
      <c r="K793">
        <v>0.133155310639756</v>
      </c>
      <c r="L793">
        <v>557.29966095816405</v>
      </c>
      <c r="M793">
        <v>11.9381668904511</v>
      </c>
      <c r="N793">
        <v>47.439068637674403</v>
      </c>
      <c r="O793">
        <v>45.430149861427601</v>
      </c>
      <c r="P793">
        <v>-6.00131146559294E-2</v>
      </c>
      <c r="Q793">
        <v>8.6715927253501801E-2</v>
      </c>
      <c r="R793">
        <v>0.96353044155990397</v>
      </c>
      <c r="S793" t="s">
        <v>7599</v>
      </c>
      <c r="T793" t="s">
        <v>13610</v>
      </c>
      <c r="U793" t="s">
        <v>13610</v>
      </c>
      <c r="V793" t="s">
        <v>13610</v>
      </c>
      <c r="W793" t="s">
        <v>14383</v>
      </c>
      <c r="X793">
        <v>1</v>
      </c>
      <c r="Y793" t="s">
        <v>21101</v>
      </c>
      <c r="Z793" t="s">
        <v>27648</v>
      </c>
      <c r="AA793">
        <v>0.32980229688301382</v>
      </c>
      <c r="AB793" t="str">
        <f>HYPERLINK("Melting_Curves/meltCurve_H0YB11_C14orf159.pdf", "Melting_Curves/meltCurve_H0YB11_C14orf159.pdf")</f>
        <v>Melting_Curves/meltCurve_H0YB11_C14orf159.pdf</v>
      </c>
    </row>
    <row r="794" spans="1:28" x14ac:dyDescent="0.25">
      <c r="A794" t="s">
        <v>798</v>
      </c>
      <c r="B794">
        <v>0.995954080203443</v>
      </c>
      <c r="C794">
        <v>0.93618436021134499</v>
      </c>
      <c r="D794">
        <v>0.79735959467037698</v>
      </c>
      <c r="E794">
        <v>0.86908977236931495</v>
      </c>
      <c r="F794">
        <v>0.65729668063486302</v>
      </c>
      <c r="G794">
        <v>0.445473179199116</v>
      </c>
      <c r="H794">
        <v>0.30200889240165202</v>
      </c>
      <c r="I794">
        <v>0.34887955666126502</v>
      </c>
      <c r="J794">
        <v>0.35746371514950998</v>
      </c>
      <c r="K794">
        <v>0.26194903553477</v>
      </c>
      <c r="L794">
        <v>662.62838071035299</v>
      </c>
      <c r="M794">
        <v>12.4064188102129</v>
      </c>
      <c r="N794">
        <v>56.3931849599076</v>
      </c>
      <c r="O794">
        <v>52.079391393403</v>
      </c>
      <c r="P794">
        <v>-4.5235395284250801E-2</v>
      </c>
      <c r="Q794">
        <v>0.24060830356576299</v>
      </c>
      <c r="R794">
        <v>0.95368906438245604</v>
      </c>
      <c r="S794" t="s">
        <v>7600</v>
      </c>
      <c r="T794" t="s">
        <v>13610</v>
      </c>
      <c r="U794" t="s">
        <v>13610</v>
      </c>
      <c r="V794" t="s">
        <v>13610</v>
      </c>
      <c r="W794" t="s">
        <v>14384</v>
      </c>
      <c r="X794">
        <v>3</v>
      </c>
      <c r="Y794" t="s">
        <v>21102</v>
      </c>
      <c r="Z794" t="s">
        <v>27649</v>
      </c>
      <c r="AA794">
        <v>0.60024425313137508</v>
      </c>
      <c r="AB794" t="str">
        <f>HYPERLINK("Melting_Curves/meltCurve_H0YB18_HYI.pdf", "Melting_Curves/meltCurve_H0YB18_HYI.pdf")</f>
        <v>Melting_Curves/meltCurve_H0YB18_HYI.pdf</v>
      </c>
    </row>
    <row r="795" spans="1:28" x14ac:dyDescent="0.25">
      <c r="A795" t="s">
        <v>799</v>
      </c>
      <c r="B795">
        <v>0.995954080203443</v>
      </c>
      <c r="C795">
        <v>1.0481709250374001</v>
      </c>
      <c r="D795">
        <v>0.92526308036626603</v>
      </c>
      <c r="E795">
        <v>0.94479014646218096</v>
      </c>
      <c r="F795">
        <v>0.424297721485352</v>
      </c>
      <c r="G795">
        <v>0.14200382782027701</v>
      </c>
      <c r="H795">
        <v>8.0587157459672001E-2</v>
      </c>
      <c r="I795">
        <v>7.5355591217425105E-2</v>
      </c>
      <c r="J795">
        <v>5.7024158819106399E-2</v>
      </c>
      <c r="K795">
        <v>3.6716898860514303E-2</v>
      </c>
      <c r="L795">
        <v>2552.4278253753901</v>
      </c>
      <c r="M795">
        <v>48.607702201818803</v>
      </c>
      <c r="N795">
        <v>52.681841882091099</v>
      </c>
      <c r="O795">
        <v>52.422119992880504</v>
      </c>
      <c r="P795">
        <v>-0.214885379005645</v>
      </c>
      <c r="Q795">
        <v>7.3008115257411202E-2</v>
      </c>
      <c r="R795">
        <v>0.99324172466155203</v>
      </c>
      <c r="S795" t="s">
        <v>7601</v>
      </c>
      <c r="T795" t="s">
        <v>13610</v>
      </c>
      <c r="U795" t="s">
        <v>13610</v>
      </c>
      <c r="V795" t="s">
        <v>13610</v>
      </c>
      <c r="W795" t="s">
        <v>14385</v>
      </c>
      <c r="X795">
        <v>2</v>
      </c>
      <c r="Y795" t="s">
        <v>21103</v>
      </c>
      <c r="Z795" t="s">
        <v>27650</v>
      </c>
      <c r="AA795">
        <v>0.46185984396214541</v>
      </c>
      <c r="AB795" t="str">
        <f>HYPERLINK("Melting_Curves/meltCurve_H0YBQ5_CCNC.pdf", "Melting_Curves/meltCurve_H0YBQ5_CCNC.pdf")</f>
        <v>Melting_Curves/meltCurve_H0YBQ5_CCNC.pdf</v>
      </c>
    </row>
    <row r="796" spans="1:28" x14ac:dyDescent="0.25">
      <c r="A796" t="s">
        <v>800</v>
      </c>
      <c r="B796">
        <v>0.995954080203443</v>
      </c>
      <c r="C796">
        <v>0.98134069136343904</v>
      </c>
      <c r="D796">
        <v>0.87599823614375605</v>
      </c>
      <c r="E796">
        <v>0.72442734950408605</v>
      </c>
      <c r="F796">
        <v>0.52380479389568702</v>
      </c>
      <c r="G796">
        <v>0.32657718482031201</v>
      </c>
      <c r="H796">
        <v>0.174234040216007</v>
      </c>
      <c r="I796">
        <v>0.115251841192653</v>
      </c>
      <c r="J796">
        <v>0.122265559872061</v>
      </c>
      <c r="K796">
        <v>9.9873461753064705E-2</v>
      </c>
      <c r="L796">
        <v>746.779472946748</v>
      </c>
      <c r="M796">
        <v>14.107433690737899</v>
      </c>
      <c r="N796">
        <v>53.434727516225102</v>
      </c>
      <c r="O796">
        <v>51.905574678543701</v>
      </c>
      <c r="P796">
        <v>-6.3757940608888203E-2</v>
      </c>
      <c r="Q796">
        <v>6.1780444453566397E-2</v>
      </c>
      <c r="R796">
        <v>0.99836483058410697</v>
      </c>
      <c r="S796" t="s">
        <v>7602</v>
      </c>
      <c r="T796" t="s">
        <v>13610</v>
      </c>
      <c r="U796" t="s">
        <v>13610</v>
      </c>
      <c r="V796" t="s">
        <v>13610</v>
      </c>
      <c r="W796" t="s">
        <v>14386</v>
      </c>
      <c r="X796">
        <v>1</v>
      </c>
      <c r="Y796" t="s">
        <v>21104</v>
      </c>
      <c r="Z796" t="s">
        <v>27651</v>
      </c>
      <c r="AA796">
        <v>0.48832608782183212</v>
      </c>
      <c r="AB796" t="str">
        <f>HYPERLINK("Melting_Curves/meltCurve_H0YBU8_MRPL43.pdf", "Melting_Curves/meltCurve_H0YBU8_MRPL43.pdf")</f>
        <v>Melting_Curves/meltCurve_H0YBU8_MRPL43.pdf</v>
      </c>
    </row>
    <row r="797" spans="1:28" x14ac:dyDescent="0.25">
      <c r="A797" t="s">
        <v>801</v>
      </c>
      <c r="B797">
        <v>0.995954080203443</v>
      </c>
      <c r="C797">
        <v>0.90227119844816694</v>
      </c>
      <c r="D797">
        <v>0.81943213386648295</v>
      </c>
      <c r="E797">
        <v>0.75086915488916195</v>
      </c>
      <c r="F797">
        <v>0.62591279801904298</v>
      </c>
      <c r="G797">
        <v>0.52035621226572504</v>
      </c>
      <c r="H797">
        <v>0.39870185944597403</v>
      </c>
      <c r="I797">
        <v>0.37574540121925698</v>
      </c>
      <c r="J797">
        <v>0.58040664475697601</v>
      </c>
      <c r="K797">
        <v>0.432239874045171</v>
      </c>
      <c r="L797">
        <v>615.57077332527797</v>
      </c>
      <c r="M797">
        <v>12.3359041878663</v>
      </c>
      <c r="N797">
        <v>58.655706926649998</v>
      </c>
      <c r="O797">
        <v>48.643794931732899</v>
      </c>
      <c r="P797">
        <v>-3.6735654718606799E-2</v>
      </c>
      <c r="Q797">
        <v>0.42069127730241301</v>
      </c>
      <c r="R797">
        <v>0.91736114093513499</v>
      </c>
      <c r="S797" t="s">
        <v>7603</v>
      </c>
      <c r="T797" t="s">
        <v>13610</v>
      </c>
      <c r="U797" t="s">
        <v>13610</v>
      </c>
      <c r="V797" t="s">
        <v>13610</v>
      </c>
      <c r="W797" t="s">
        <v>14387</v>
      </c>
      <c r="X797">
        <v>2</v>
      </c>
      <c r="Y797" t="s">
        <v>21105</v>
      </c>
      <c r="Z797" t="s">
        <v>27652</v>
      </c>
      <c r="AA797">
        <v>0.6311836565674166</v>
      </c>
      <c r="AB797" t="str">
        <f>HYPERLINK("Melting_Curves/meltCurve_H0YBZ4_MTFR1.pdf", "Melting_Curves/meltCurve_H0YBZ4_MTFR1.pdf")</f>
        <v>Melting_Curves/meltCurve_H0YBZ4_MTFR1.pdf</v>
      </c>
    </row>
    <row r="798" spans="1:28" x14ac:dyDescent="0.25">
      <c r="A798" t="s">
        <v>802</v>
      </c>
      <c r="B798">
        <v>0.995954080203443</v>
      </c>
      <c r="C798">
        <v>0.98673429246745703</v>
      </c>
      <c r="D798">
        <v>1.06573725374532</v>
      </c>
      <c r="E798">
        <v>0.923741410718249</v>
      </c>
      <c r="F798">
        <v>1.0394610214665001</v>
      </c>
      <c r="G798">
        <v>0.73469115945770702</v>
      </c>
      <c r="H798">
        <v>0.631784638769187</v>
      </c>
      <c r="I798">
        <v>0.63256729276325396</v>
      </c>
      <c r="J798">
        <v>0.724327107507721</v>
      </c>
      <c r="K798">
        <v>1.01562890278783</v>
      </c>
      <c r="L798">
        <v>6473.7336693805701</v>
      </c>
      <c r="M798">
        <v>117.407250953953</v>
      </c>
      <c r="O798">
        <v>55.123124723486903</v>
      </c>
      <c r="P798">
        <v>-0.13478019531093899</v>
      </c>
      <c r="Q798">
        <v>0.74688081194332501</v>
      </c>
      <c r="R798">
        <v>0.59187754112552105</v>
      </c>
      <c r="S798" t="s">
        <v>7604</v>
      </c>
      <c r="T798" t="s">
        <v>13610</v>
      </c>
      <c r="U798" t="s">
        <v>13610</v>
      </c>
      <c r="V798" t="s">
        <v>13610</v>
      </c>
      <c r="W798" t="s">
        <v>14099</v>
      </c>
      <c r="X798">
        <v>24</v>
      </c>
      <c r="Y798" t="s">
        <v>20823</v>
      </c>
      <c r="Z798" t="s">
        <v>27653</v>
      </c>
      <c r="AA798">
        <v>0.87472543274039938</v>
      </c>
      <c r="AB798" t="str">
        <f>HYPERLINK("Melting_Curves/meltCurve_H0YCG1_SF3B2.pdf", "Melting_Curves/meltCurve_H0YCG1_SF3B2.pdf")</f>
        <v>Melting_Curves/meltCurve_H0YCG1_SF3B2.pdf</v>
      </c>
    </row>
    <row r="799" spans="1:28" x14ac:dyDescent="0.25">
      <c r="A799" t="s">
        <v>803</v>
      </c>
      <c r="B799">
        <v>0.995954080203443</v>
      </c>
      <c r="C799">
        <v>0.67570731902903203</v>
      </c>
      <c r="D799">
        <v>1.1008242272402899</v>
      </c>
      <c r="E799">
        <v>0.736007012642374</v>
      </c>
      <c r="F799">
        <v>1.2546143397530001</v>
      </c>
      <c r="G799">
        <v>0.61068309661147202</v>
      </c>
      <c r="H799">
        <v>0.36549542568584797</v>
      </c>
      <c r="I799">
        <v>0.48166908677535197</v>
      </c>
      <c r="J799">
        <v>0.56374290572526597</v>
      </c>
      <c r="K799">
        <v>0.49508623628797599</v>
      </c>
      <c r="L799">
        <v>14189.284944332199</v>
      </c>
      <c r="M799">
        <v>250</v>
      </c>
      <c r="N799">
        <v>57.459887914145902</v>
      </c>
      <c r="O799">
        <v>56.753507718645103</v>
      </c>
      <c r="P799">
        <v>-0.57650797013869903</v>
      </c>
      <c r="Q799">
        <v>0.47649840828467199</v>
      </c>
      <c r="R799">
        <v>0.65273255607318104</v>
      </c>
      <c r="S799" t="s">
        <v>7605</v>
      </c>
      <c r="T799" t="s">
        <v>13610</v>
      </c>
      <c r="U799" t="s">
        <v>13610</v>
      </c>
      <c r="V799" t="s">
        <v>13610</v>
      </c>
      <c r="W799" t="s">
        <v>14388</v>
      </c>
      <c r="X799">
        <v>1</v>
      </c>
      <c r="Y799" t="s">
        <v>21106</v>
      </c>
      <c r="Z799" t="s">
        <v>27654</v>
      </c>
      <c r="AA799">
        <v>0.76896353137821361</v>
      </c>
      <c r="AB799" t="str">
        <f>HYPERLINK("Melting_Curves/meltCurve_H0YCU9_TAGLN.pdf", "Melting_Curves/meltCurve_H0YCU9_TAGLN.pdf")</f>
        <v>Melting_Curves/meltCurve_H0YCU9_TAGLN.pdf</v>
      </c>
    </row>
    <row r="800" spans="1:28" x14ac:dyDescent="0.25">
      <c r="A800" t="s">
        <v>804</v>
      </c>
      <c r="B800">
        <v>0.995954080203443</v>
      </c>
      <c r="C800">
        <v>1.1206747773157599</v>
      </c>
      <c r="D800">
        <v>0.98569270474190696</v>
      </c>
      <c r="E800">
        <v>0.88619995302953603</v>
      </c>
      <c r="F800">
        <v>0.48109091534711801</v>
      </c>
      <c r="G800">
        <v>0.34863777347630598</v>
      </c>
      <c r="H800">
        <v>0.248227009784452</v>
      </c>
      <c r="I800">
        <v>0.26309922392185803</v>
      </c>
      <c r="J800">
        <v>0.25150067310305202</v>
      </c>
      <c r="K800">
        <v>0.229514215378718</v>
      </c>
      <c r="L800">
        <v>2018.0913229027401</v>
      </c>
      <c r="M800">
        <v>38.811503043922102</v>
      </c>
      <c r="N800">
        <v>53.001783639078198</v>
      </c>
      <c r="O800">
        <v>51.859779059687099</v>
      </c>
      <c r="P800">
        <v>-0.13838025200877399</v>
      </c>
      <c r="Q800">
        <v>0.26038911622825001</v>
      </c>
      <c r="R800">
        <v>0.98311000841499996</v>
      </c>
      <c r="S800" t="s">
        <v>7606</v>
      </c>
      <c r="T800" t="s">
        <v>13610</v>
      </c>
      <c r="U800" t="s">
        <v>13610</v>
      </c>
      <c r="V800" t="s">
        <v>13610</v>
      </c>
      <c r="W800" t="s">
        <v>14118</v>
      </c>
      <c r="X800">
        <v>15</v>
      </c>
      <c r="Y800" t="s">
        <v>20842</v>
      </c>
      <c r="Z800" t="s">
        <v>27655</v>
      </c>
      <c r="AA800">
        <v>0.5589887783958758</v>
      </c>
      <c r="AB800" t="str">
        <f>HYPERLINK("Melting_Curves/meltCurve_H0YD69_MACF1.pdf", "Melting_Curves/meltCurve_H0YD69_MACF1.pdf")</f>
        <v>Melting_Curves/meltCurve_H0YD69_MACF1.pdf</v>
      </c>
    </row>
    <row r="801" spans="1:28" x14ac:dyDescent="0.25">
      <c r="A801" t="s">
        <v>805</v>
      </c>
      <c r="B801">
        <v>0.995954080203443</v>
      </c>
      <c r="C801">
        <v>0.95664323923019901</v>
      </c>
      <c r="D801">
        <v>1.01679940115407</v>
      </c>
      <c r="E801">
        <v>0.78564295245222504</v>
      </c>
      <c r="F801">
        <v>0.83630414830907795</v>
      </c>
      <c r="G801">
        <v>0.68811636240914897</v>
      </c>
      <c r="H801">
        <v>0.67731961114417705</v>
      </c>
      <c r="I801">
        <v>0.85430101002335501</v>
      </c>
      <c r="J801">
        <v>1.1460653747163001</v>
      </c>
      <c r="K801">
        <v>1.0464238635518199</v>
      </c>
      <c r="L801">
        <v>11944.8809307389</v>
      </c>
      <c r="M801">
        <v>250</v>
      </c>
      <c r="O801">
        <v>47.7764663714823</v>
      </c>
      <c r="P801">
        <v>-0.18049579661016599</v>
      </c>
      <c r="Q801">
        <v>0.86202477908926101</v>
      </c>
      <c r="R801">
        <v>0.15320161580973601</v>
      </c>
      <c r="S801" t="s">
        <v>7607</v>
      </c>
      <c r="T801" t="s">
        <v>13610</v>
      </c>
      <c r="U801" t="s">
        <v>13610</v>
      </c>
      <c r="V801" t="s">
        <v>13610</v>
      </c>
      <c r="W801" t="s">
        <v>14389</v>
      </c>
      <c r="X801">
        <v>3</v>
      </c>
      <c r="Y801" t="s">
        <v>21107</v>
      </c>
      <c r="Z801" t="s">
        <v>27656</v>
      </c>
      <c r="AA801">
        <v>0.89781573210687982</v>
      </c>
      <c r="AB801" t="str">
        <f>HYPERLINK("Melting_Curves/meltCurve_H0YDE2_PLEKHA7.pdf", "Melting_Curves/meltCurve_H0YDE2_PLEKHA7.pdf")</f>
        <v>Melting_Curves/meltCurve_H0YDE2_PLEKHA7.pdf</v>
      </c>
    </row>
    <row r="802" spans="1:28" x14ac:dyDescent="0.25">
      <c r="A802" t="s">
        <v>806</v>
      </c>
      <c r="B802">
        <v>0.995954080203443</v>
      </c>
      <c r="C802">
        <v>0.88533222486055996</v>
      </c>
      <c r="D802">
        <v>0.80315210651067304</v>
      </c>
      <c r="E802">
        <v>0.59899118492969206</v>
      </c>
      <c r="F802">
        <v>0.37157035684520001</v>
      </c>
      <c r="G802">
        <v>0.30522394711750001</v>
      </c>
      <c r="H802">
        <v>0.257827120013783</v>
      </c>
      <c r="I802">
        <v>0.239195931579404</v>
      </c>
      <c r="J802">
        <v>0.53435464190352899</v>
      </c>
      <c r="K802">
        <v>0.35224322100213301</v>
      </c>
      <c r="L802">
        <v>956.60423195549799</v>
      </c>
      <c r="M802">
        <v>19.9139157549419</v>
      </c>
      <c r="N802">
        <v>50.761959603184899</v>
      </c>
      <c r="O802">
        <v>47.560432098334303</v>
      </c>
      <c r="P802">
        <v>-7.0311061263892402E-2</v>
      </c>
      <c r="Q802">
        <v>0.32832622691626601</v>
      </c>
      <c r="R802">
        <v>0.89974815636816097</v>
      </c>
      <c r="S802" t="s">
        <v>7608</v>
      </c>
      <c r="T802" t="s">
        <v>13610</v>
      </c>
      <c r="U802" t="s">
        <v>13610</v>
      </c>
      <c r="V802" t="s">
        <v>13610</v>
      </c>
      <c r="W802" t="s">
        <v>14390</v>
      </c>
      <c r="X802">
        <v>5</v>
      </c>
      <c r="Y802" t="s">
        <v>21108</v>
      </c>
      <c r="Z802" t="s">
        <v>27657</v>
      </c>
      <c r="AA802">
        <v>0.51789270790533815</v>
      </c>
      <c r="AB802" t="str">
        <f>HYPERLINK("Melting_Curves/meltCurve_H0YDF9_SCRIB.pdf", "Melting_Curves/meltCurve_H0YDF9_SCRIB.pdf")</f>
        <v>Melting_Curves/meltCurve_H0YDF9_SCRIB.pdf</v>
      </c>
    </row>
    <row r="803" spans="1:28" x14ac:dyDescent="0.25">
      <c r="A803" t="s">
        <v>807</v>
      </c>
      <c r="B803">
        <v>0.995954080203443</v>
      </c>
      <c r="C803">
        <v>0.989279776219397</v>
      </c>
      <c r="D803">
        <v>0.93608887025117904</v>
      </c>
      <c r="E803">
        <v>0.79323144042107796</v>
      </c>
      <c r="F803">
        <v>0.51469753097948001</v>
      </c>
      <c r="G803">
        <v>0.120341304148433</v>
      </c>
      <c r="H803">
        <v>3.2640376392597301E-2</v>
      </c>
      <c r="I803">
        <v>2.0134154764045901E-2</v>
      </c>
      <c r="J803">
        <v>1.3791344709928099E-2</v>
      </c>
      <c r="K803">
        <v>1.6370549822299098E-2</v>
      </c>
      <c r="L803">
        <v>1291.95412845642</v>
      </c>
      <c r="M803">
        <v>24.4259493338309</v>
      </c>
      <c r="N803">
        <v>52.902476049306799</v>
      </c>
      <c r="O803">
        <v>52.542000622444597</v>
      </c>
      <c r="P803">
        <v>-0.115960785799405</v>
      </c>
      <c r="Q803">
        <v>2.2544592424537501E-3</v>
      </c>
      <c r="R803">
        <v>0.99809464738833997</v>
      </c>
      <c r="S803" t="s">
        <v>7609</v>
      </c>
      <c r="T803" t="s">
        <v>13610</v>
      </c>
      <c r="U803" t="s">
        <v>13610</v>
      </c>
      <c r="V803" t="s">
        <v>13610</v>
      </c>
      <c r="W803" t="s">
        <v>14391</v>
      </c>
      <c r="X803">
        <v>9</v>
      </c>
      <c r="Y803" t="s">
        <v>21109</v>
      </c>
      <c r="Z803" t="s">
        <v>27658</v>
      </c>
      <c r="AA803">
        <v>0.44063007702526902</v>
      </c>
      <c r="AB803" t="str">
        <f>HYPERLINK("Melting_Curves/meltCurve_H0YDM4_HOOK3.pdf", "Melting_Curves/meltCurve_H0YDM4_HOOK3.pdf")</f>
        <v>Melting_Curves/meltCurve_H0YDM4_HOOK3.pdf</v>
      </c>
    </row>
    <row r="804" spans="1:28" x14ac:dyDescent="0.25">
      <c r="A804" t="s">
        <v>808</v>
      </c>
      <c r="B804">
        <v>0.995954080203443</v>
      </c>
      <c r="C804">
        <v>0.93481213998267898</v>
      </c>
      <c r="D804">
        <v>0.78068210277209105</v>
      </c>
      <c r="E804">
        <v>0.80012575682531795</v>
      </c>
      <c r="F804">
        <v>0.46344868595708899</v>
      </c>
      <c r="G804">
        <v>0.21073766836743299</v>
      </c>
      <c r="H804">
        <v>0.115035797034181</v>
      </c>
      <c r="I804">
        <v>9.1352889945671201E-2</v>
      </c>
      <c r="J804">
        <v>0.11173809108673299</v>
      </c>
      <c r="K804">
        <v>7.8361420813527899E-2</v>
      </c>
      <c r="L804">
        <v>833.43524957372199</v>
      </c>
      <c r="M804">
        <v>15.9278726979294</v>
      </c>
      <c r="N804">
        <v>52.666248450065602</v>
      </c>
      <c r="O804">
        <v>51.521631045444003</v>
      </c>
      <c r="P804">
        <v>-7.3510077096831897E-2</v>
      </c>
      <c r="Q804">
        <v>4.8948729224418203E-2</v>
      </c>
      <c r="R804">
        <v>0.97570246954723905</v>
      </c>
      <c r="S804" t="s">
        <v>7610</v>
      </c>
      <c r="T804" t="s">
        <v>13610</v>
      </c>
      <c r="U804" t="s">
        <v>13610</v>
      </c>
      <c r="V804" t="s">
        <v>13610</v>
      </c>
      <c r="W804" t="s">
        <v>14392</v>
      </c>
      <c r="X804">
        <v>1</v>
      </c>
      <c r="Y804" t="s">
        <v>21110</v>
      </c>
      <c r="Z804" t="s">
        <v>27659</v>
      </c>
      <c r="AA804">
        <v>0.45887672892355241</v>
      </c>
      <c r="AB804" t="str">
        <f>HYPERLINK("Melting_Curves/meltCurve_H0YDP7_MRPL49.pdf", "Melting_Curves/meltCurve_H0YDP7_MRPL49.pdf")</f>
        <v>Melting_Curves/meltCurve_H0YDP7_MRPL49.pdf</v>
      </c>
    </row>
    <row r="805" spans="1:28" x14ac:dyDescent="0.25">
      <c r="A805" t="s">
        <v>809</v>
      </c>
      <c r="B805">
        <v>0.995954080203443</v>
      </c>
      <c r="C805">
        <v>0.59414259999535501</v>
      </c>
      <c r="D805">
        <v>0.69743803472862897</v>
      </c>
      <c r="E805">
        <v>0.45733993912575499</v>
      </c>
      <c r="F805">
        <v>0.65069344410077501</v>
      </c>
      <c r="G805">
        <v>0.41315313718594698</v>
      </c>
      <c r="H805">
        <v>0.362909106215417</v>
      </c>
      <c r="I805">
        <v>0.50063266573225595</v>
      </c>
      <c r="J805">
        <v>0.57510901274506299</v>
      </c>
      <c r="K805">
        <v>0.66116609032671003</v>
      </c>
      <c r="L805">
        <v>3521.0670211433899</v>
      </c>
      <c r="M805">
        <v>84.051202305805006</v>
      </c>
      <c r="O805">
        <v>41.868232009733298</v>
      </c>
      <c r="P805">
        <v>-0.231064312060316</v>
      </c>
      <c r="Q805">
        <v>0.53960190968896504</v>
      </c>
      <c r="R805">
        <v>0.62985809102416801</v>
      </c>
      <c r="S805" t="s">
        <v>7611</v>
      </c>
      <c r="T805" t="s">
        <v>13610</v>
      </c>
      <c r="U805" t="s">
        <v>13610</v>
      </c>
      <c r="V805" t="s">
        <v>13610</v>
      </c>
      <c r="W805" t="s">
        <v>14393</v>
      </c>
      <c r="X805">
        <v>2</v>
      </c>
      <c r="Y805" t="s">
        <v>21111</v>
      </c>
      <c r="Z805" t="s">
        <v>27660</v>
      </c>
      <c r="AA805">
        <v>0.56906339321341692</v>
      </c>
      <c r="AB805" t="str">
        <f>HYPERLINK("Melting_Curves/meltCurve_H0YDS2_TRMT44.pdf", "Melting_Curves/meltCurve_H0YDS2_TRMT44.pdf")</f>
        <v>Melting_Curves/meltCurve_H0YDS2_TRMT44.pdf</v>
      </c>
    </row>
    <row r="806" spans="1:28" x14ac:dyDescent="0.25">
      <c r="A806" t="s">
        <v>810</v>
      </c>
      <c r="B806">
        <v>0.995954080203443</v>
      </c>
      <c r="C806">
        <v>1.00256966412272</v>
      </c>
      <c r="D806">
        <v>1.0329123705283101</v>
      </c>
      <c r="E806">
        <v>0.77836715380606103</v>
      </c>
      <c r="F806">
        <v>0.46175573505371098</v>
      </c>
      <c r="G806">
        <v>0.22909424287652499</v>
      </c>
      <c r="H806">
        <v>0.1422830280637</v>
      </c>
      <c r="I806">
        <v>9.8339084376193597E-2</v>
      </c>
      <c r="J806">
        <v>0.123965193054262</v>
      </c>
      <c r="K806">
        <v>9.7460867259820394E-2</v>
      </c>
      <c r="L806">
        <v>1350.1864141890001</v>
      </c>
      <c r="M806">
        <v>25.852471158340201</v>
      </c>
      <c r="N806">
        <v>52.741064180467497</v>
      </c>
      <c r="O806">
        <v>51.917102533396502</v>
      </c>
      <c r="P806">
        <v>-0.110616299943827</v>
      </c>
      <c r="Q806">
        <v>0.111448938703803</v>
      </c>
      <c r="R806">
        <v>0.99656425212541</v>
      </c>
      <c r="S806" t="s">
        <v>7612</v>
      </c>
      <c r="T806" t="s">
        <v>13610</v>
      </c>
      <c r="U806" t="s">
        <v>13610</v>
      </c>
      <c r="V806" t="s">
        <v>13610</v>
      </c>
      <c r="W806" t="s">
        <v>14394</v>
      </c>
      <c r="X806">
        <v>28</v>
      </c>
      <c r="Y806" t="s">
        <v>21112</v>
      </c>
      <c r="Z806" t="s">
        <v>27661</v>
      </c>
      <c r="AA806">
        <v>0.48120229286206762</v>
      </c>
      <c r="AB806" t="str">
        <f>HYPERLINK("Melting_Curves/meltCurve_H0YDU8_PPP5C.pdf", "Melting_Curves/meltCurve_H0YDU8_PPP5C.pdf")</f>
        <v>Melting_Curves/meltCurve_H0YDU8_PPP5C.pdf</v>
      </c>
    </row>
    <row r="807" spans="1:28" x14ac:dyDescent="0.25">
      <c r="A807" t="s">
        <v>811</v>
      </c>
      <c r="B807">
        <v>0.995954080203443</v>
      </c>
      <c r="C807">
        <v>0.91774796768183498</v>
      </c>
      <c r="D807">
        <v>0.95772371606156004</v>
      </c>
      <c r="E807">
        <v>0.87771972242794805</v>
      </c>
      <c r="F807">
        <v>1.1155011672063699</v>
      </c>
      <c r="G807">
        <v>0.84259757559503701</v>
      </c>
      <c r="H807">
        <v>0.69514260444076503</v>
      </c>
      <c r="I807">
        <v>0.824418422000186</v>
      </c>
      <c r="J807">
        <v>1.02177350071743</v>
      </c>
      <c r="K807">
        <v>0.931962784961477</v>
      </c>
      <c r="L807">
        <v>414.59216957045902</v>
      </c>
      <c r="M807">
        <v>8.6950409408621994</v>
      </c>
      <c r="O807">
        <v>45.360824065924902</v>
      </c>
      <c r="P807">
        <v>-5.9039217607070498E-3</v>
      </c>
      <c r="Q807">
        <v>0.87690211425335196</v>
      </c>
      <c r="R807">
        <v>8.1405587449723593E-2</v>
      </c>
      <c r="S807" t="s">
        <v>7613</v>
      </c>
      <c r="T807" t="s">
        <v>13610</v>
      </c>
      <c r="U807" t="s">
        <v>13610</v>
      </c>
      <c r="V807" t="s">
        <v>13610</v>
      </c>
      <c r="W807" t="s">
        <v>14395</v>
      </c>
      <c r="X807">
        <v>1</v>
      </c>
      <c r="Y807" t="s">
        <v>21113</v>
      </c>
      <c r="Z807" t="s">
        <v>27662</v>
      </c>
      <c r="AA807">
        <v>0.91665372193898409</v>
      </c>
      <c r="AB807" t="str">
        <f>HYPERLINK("Melting_Curves/meltCurve_H0YE21_C11orf80.pdf", "Melting_Curves/meltCurve_H0YE21_C11orf80.pdf")</f>
        <v>Melting_Curves/meltCurve_H0YE21_C11orf80.pdf</v>
      </c>
    </row>
    <row r="808" spans="1:28" x14ac:dyDescent="0.25">
      <c r="A808" t="s">
        <v>812</v>
      </c>
      <c r="B808">
        <v>0.995954080203443</v>
      </c>
      <c r="C808">
        <v>1.1223364882486</v>
      </c>
      <c r="D808">
        <v>1.08446960117149</v>
      </c>
      <c r="E808">
        <v>0.94047375241945996</v>
      </c>
      <c r="F808">
        <v>0.54776627783312903</v>
      </c>
      <c r="G808">
        <v>0.23266055349577</v>
      </c>
      <c r="H808">
        <v>0.13956693337982701</v>
      </c>
      <c r="I808">
        <v>0.14903485152552801</v>
      </c>
      <c r="J808">
        <v>0.175348245648248</v>
      </c>
      <c r="K808">
        <v>0.208797910889952</v>
      </c>
      <c r="L808">
        <v>2286.4094230447099</v>
      </c>
      <c r="M808">
        <v>43.297055436380099</v>
      </c>
      <c r="N808">
        <v>53.3312495897068</v>
      </c>
      <c r="O808">
        <v>52.695200998160999</v>
      </c>
      <c r="P808">
        <v>-0.169839184105812</v>
      </c>
      <c r="Q808">
        <v>0.173181601327805</v>
      </c>
      <c r="R808">
        <v>0.98404128615089603</v>
      </c>
      <c r="S808" t="s">
        <v>7614</v>
      </c>
      <c r="T808" t="s">
        <v>13610</v>
      </c>
      <c r="U808" t="s">
        <v>13610</v>
      </c>
      <c r="V808" t="s">
        <v>13610</v>
      </c>
      <c r="W808" t="s">
        <v>14396</v>
      </c>
      <c r="X808">
        <v>3</v>
      </c>
      <c r="Y808" t="s">
        <v>21114</v>
      </c>
      <c r="Z808" t="s">
        <v>27663</v>
      </c>
      <c r="AA808">
        <v>0.52873606096111925</v>
      </c>
      <c r="AB808" t="str">
        <f>HYPERLINK("Melting_Curves/meltCurve_H0YE28_C11orf31.pdf", "Melting_Curves/meltCurve_H0YE28_C11orf31.pdf")</f>
        <v>Melting_Curves/meltCurve_H0YE28_C11orf31.pdf</v>
      </c>
    </row>
    <row r="809" spans="1:28" x14ac:dyDescent="0.25">
      <c r="A809" t="s">
        <v>813</v>
      </c>
      <c r="B809">
        <v>0.995954080203443</v>
      </c>
      <c r="C809">
        <v>0.92032891677553097</v>
      </c>
      <c r="D809">
        <v>0.87640783728206295</v>
      </c>
      <c r="E809">
        <v>0.65510733667735999</v>
      </c>
      <c r="F809">
        <v>0.214211858979484</v>
      </c>
      <c r="G809">
        <v>0.124322390711173</v>
      </c>
      <c r="H809">
        <v>7.48915888229119E-2</v>
      </c>
      <c r="I809">
        <v>4.3066991202522498E-2</v>
      </c>
      <c r="J809">
        <v>2.5370739990882001E-2</v>
      </c>
      <c r="K809">
        <v>6.8314856058376894E-2</v>
      </c>
      <c r="L809">
        <v>1310.60983787588</v>
      </c>
      <c r="M809">
        <v>25.896044970231099</v>
      </c>
      <c r="N809">
        <v>50.808845426475301</v>
      </c>
      <c r="O809">
        <v>50.311512837089602</v>
      </c>
      <c r="P809">
        <v>-0.122491541802833</v>
      </c>
      <c r="Q809">
        <v>4.80920572999851E-2</v>
      </c>
      <c r="R809">
        <v>0.988701494457913</v>
      </c>
      <c r="S809" t="s">
        <v>7615</v>
      </c>
      <c r="T809" t="s">
        <v>13610</v>
      </c>
      <c r="U809" t="s">
        <v>13610</v>
      </c>
      <c r="V809" t="s">
        <v>13610</v>
      </c>
      <c r="W809" t="s">
        <v>14397</v>
      </c>
      <c r="X809">
        <v>7</v>
      </c>
      <c r="Y809" t="s">
        <v>21115</v>
      </c>
      <c r="Z809" t="s">
        <v>27664</v>
      </c>
      <c r="AA809">
        <v>0.39274773138479752</v>
      </c>
      <c r="AB809" t="str">
        <f>HYPERLINK("Melting_Curves/meltCurve_H0YE76_ASCC1.pdf", "Melting_Curves/meltCurve_H0YE76_ASCC1.pdf")</f>
        <v>Melting_Curves/meltCurve_H0YE76_ASCC1.pdf</v>
      </c>
    </row>
    <row r="810" spans="1:28" x14ac:dyDescent="0.25">
      <c r="A810" t="s">
        <v>814</v>
      </c>
      <c r="B810">
        <v>0.995954080203443</v>
      </c>
      <c r="C810">
        <v>0.91937973862187505</v>
      </c>
      <c r="D810">
        <v>0.76633773830779905</v>
      </c>
      <c r="E810">
        <v>0.90299819103682699</v>
      </c>
      <c r="F810">
        <v>0.68218715829649201</v>
      </c>
      <c r="G810">
        <v>0.54149642581491098</v>
      </c>
      <c r="H810">
        <v>0.35877791619565602</v>
      </c>
      <c r="I810">
        <v>0.31377671606659302</v>
      </c>
      <c r="J810">
        <v>0.31306793166039598</v>
      </c>
      <c r="K810">
        <v>0.29551323215724401</v>
      </c>
      <c r="L810">
        <v>516.69060614267403</v>
      </c>
      <c r="M810">
        <v>9.2651660710392498</v>
      </c>
      <c r="N810">
        <v>57.983347449133397</v>
      </c>
      <c r="O810">
        <v>53.3537825394585</v>
      </c>
      <c r="P810">
        <v>-3.6964208649407498E-2</v>
      </c>
      <c r="Q810">
        <v>0.14911477506165099</v>
      </c>
      <c r="R810">
        <v>0.94565896425665896</v>
      </c>
      <c r="S810" t="s">
        <v>7616</v>
      </c>
      <c r="T810" t="s">
        <v>13610</v>
      </c>
      <c r="U810" t="s">
        <v>13610</v>
      </c>
      <c r="V810" t="s">
        <v>13610</v>
      </c>
      <c r="W810" t="s">
        <v>14398</v>
      </c>
      <c r="X810">
        <v>7</v>
      </c>
      <c r="Y810" t="s">
        <v>21116</v>
      </c>
      <c r="Z810" t="s">
        <v>27665</v>
      </c>
      <c r="AA810">
        <v>0.61526898156575538</v>
      </c>
      <c r="AB810" t="str">
        <f>HYPERLINK("Melting_Curves/meltCurve_H0YEB6_SSSCA1.pdf", "Melting_Curves/meltCurve_H0YEB6_SSSCA1.pdf")</f>
        <v>Melting_Curves/meltCurve_H0YEB6_SSSCA1.pdf</v>
      </c>
    </row>
    <row r="811" spans="1:28" x14ac:dyDescent="0.25">
      <c r="A811" t="s">
        <v>815</v>
      </c>
      <c r="B811">
        <v>0.995954080203443</v>
      </c>
      <c r="C811">
        <v>0.72099846066621098</v>
      </c>
      <c r="D811">
        <v>0.92719040200692204</v>
      </c>
      <c r="E811">
        <v>0.50739404441279501</v>
      </c>
      <c r="F811">
        <v>0.56586038322778998</v>
      </c>
      <c r="G811">
        <v>0.50911560915936804</v>
      </c>
      <c r="H811">
        <v>0.33467152574692399</v>
      </c>
      <c r="I811">
        <v>0.17217306122603701</v>
      </c>
      <c r="J811">
        <v>0.170050479697889</v>
      </c>
      <c r="K811">
        <v>0.108718780913547</v>
      </c>
      <c r="L811">
        <v>406.79769345314202</v>
      </c>
      <c r="M811">
        <v>7.5325790021699399</v>
      </c>
      <c r="N811">
        <v>54.005101364536898</v>
      </c>
      <c r="O811">
        <v>50.5922883366636</v>
      </c>
      <c r="P811">
        <v>-3.7274637379400601E-2</v>
      </c>
      <c r="Q811">
        <v>0</v>
      </c>
      <c r="R811">
        <v>0.90145640417647399</v>
      </c>
      <c r="S811" t="s">
        <v>7617</v>
      </c>
      <c r="T811" t="s">
        <v>13610</v>
      </c>
      <c r="U811" t="s">
        <v>13610</v>
      </c>
      <c r="V811" t="s">
        <v>13610</v>
      </c>
      <c r="W811" t="s">
        <v>14399</v>
      </c>
      <c r="X811">
        <v>2</v>
      </c>
      <c r="Y811" t="s">
        <v>21117</v>
      </c>
      <c r="Z811" t="s">
        <v>27666</v>
      </c>
      <c r="AA811">
        <v>0.50170471514505188</v>
      </c>
      <c r="AB811" t="str">
        <f>HYPERLINK("Melting_Curves/meltCurve_H0YEB8_RNPC3.pdf", "Melting_Curves/meltCurve_H0YEB8_RNPC3.pdf")</f>
        <v>Melting_Curves/meltCurve_H0YEB8_RNPC3.pdf</v>
      </c>
    </row>
    <row r="812" spans="1:28" x14ac:dyDescent="0.25">
      <c r="A812" t="s">
        <v>816</v>
      </c>
      <c r="B812">
        <v>0.995954080203443</v>
      </c>
      <c r="C812">
        <v>0.93686188862281194</v>
      </c>
      <c r="D812">
        <v>0.62636330109613503</v>
      </c>
      <c r="E812">
        <v>0.482286915143737</v>
      </c>
      <c r="F812">
        <v>0.31655527976653203</v>
      </c>
      <c r="G812">
        <v>0.19304227585196401</v>
      </c>
      <c r="H812">
        <v>0.15055186976916601</v>
      </c>
      <c r="I812">
        <v>0.13376173169278899</v>
      </c>
      <c r="J812">
        <v>0.155445160976454</v>
      </c>
      <c r="K812">
        <v>0.149785908276205</v>
      </c>
      <c r="L812">
        <v>730.18507207647201</v>
      </c>
      <c r="M812">
        <v>15.1917099875863</v>
      </c>
      <c r="N812">
        <v>49.052923420845502</v>
      </c>
      <c r="O812">
        <v>47.254942951038501</v>
      </c>
      <c r="P812">
        <v>-6.9782955242084901E-2</v>
      </c>
      <c r="Q812">
        <v>0.131823178434234</v>
      </c>
      <c r="R812">
        <v>0.98609756015098504</v>
      </c>
      <c r="S812" t="s">
        <v>7618</v>
      </c>
      <c r="T812" t="s">
        <v>13610</v>
      </c>
      <c r="U812" t="s">
        <v>13610</v>
      </c>
      <c r="V812" t="s">
        <v>13610</v>
      </c>
      <c r="W812" t="s">
        <v>14400</v>
      </c>
      <c r="X812">
        <v>8</v>
      </c>
      <c r="Y812" t="s">
        <v>21118</v>
      </c>
      <c r="Z812" t="s">
        <v>27667</v>
      </c>
      <c r="AA812">
        <v>0.38693063568609221</v>
      </c>
      <c r="AB812" t="str">
        <f>HYPERLINK("Melting_Curves/meltCurve_H0YEF3_RNASEH2C.pdf", "Melting_Curves/meltCurve_H0YEF3_RNASEH2C.pdf")</f>
        <v>Melting_Curves/meltCurve_H0YEF3_RNASEH2C.pdf</v>
      </c>
    </row>
    <row r="813" spans="1:28" x14ac:dyDescent="0.25">
      <c r="A813" t="s">
        <v>817</v>
      </c>
      <c r="B813">
        <v>0.995954080203443</v>
      </c>
      <c r="C813">
        <v>1.02894789312886</v>
      </c>
      <c r="D813">
        <v>0.87443585352714004</v>
      </c>
      <c r="E813">
        <v>0.66397802903134395</v>
      </c>
      <c r="F813">
        <v>0.37246160762272901</v>
      </c>
      <c r="G813">
        <v>0.24484204929940601</v>
      </c>
      <c r="H813">
        <v>0.192453700655357</v>
      </c>
      <c r="I813">
        <v>0.20465219752222499</v>
      </c>
      <c r="J813">
        <v>0.23964269536312799</v>
      </c>
      <c r="K813">
        <v>0.19967697751194499</v>
      </c>
      <c r="L813">
        <v>1186.8394623915999</v>
      </c>
      <c r="M813">
        <v>23.5671293704718</v>
      </c>
      <c r="N813">
        <v>51.487848960016102</v>
      </c>
      <c r="O813">
        <v>50.001558649648302</v>
      </c>
      <c r="P813">
        <v>-9.4075458369119805E-2</v>
      </c>
      <c r="Q813">
        <v>0.201627077623942</v>
      </c>
      <c r="R813">
        <v>0.99364428275711103</v>
      </c>
      <c r="S813" t="s">
        <v>7619</v>
      </c>
      <c r="T813" t="s">
        <v>13610</v>
      </c>
      <c r="U813" t="s">
        <v>13610</v>
      </c>
      <c r="V813" t="s">
        <v>13610</v>
      </c>
      <c r="W813" t="s">
        <v>14401</v>
      </c>
      <c r="X813">
        <v>5</v>
      </c>
      <c r="Y813" t="s">
        <v>21119</v>
      </c>
      <c r="Z813" t="s">
        <v>27668</v>
      </c>
      <c r="AA813">
        <v>0.4853849819759391</v>
      </c>
      <c r="AB813" t="str">
        <f>HYPERLINK("Melting_Curves/meltCurve_H0YEL0_GEMIN2.pdf", "Melting_Curves/meltCurve_H0YEL0_GEMIN2.pdf")</f>
        <v>Melting_Curves/meltCurve_H0YEL0_GEMIN2.pdf</v>
      </c>
    </row>
    <row r="814" spans="1:28" x14ac:dyDescent="0.25">
      <c r="A814" t="s">
        <v>818</v>
      </c>
      <c r="B814">
        <v>0.995954080203443</v>
      </c>
      <c r="C814">
        <v>0.82748062234459796</v>
      </c>
      <c r="D814">
        <v>1.1808019639223799</v>
      </c>
      <c r="E814">
        <v>0.87662219962263599</v>
      </c>
      <c r="F814">
        <v>0.911108979465448</v>
      </c>
      <c r="G814">
        <v>0.98463872660588303</v>
      </c>
      <c r="H814">
        <v>0.97202265769588203</v>
      </c>
      <c r="I814">
        <v>1.1699974647704301</v>
      </c>
      <c r="J814">
        <v>1.4122510433234301</v>
      </c>
      <c r="K814">
        <v>1.48705131973046</v>
      </c>
      <c r="L814">
        <v>3807.9973663361802</v>
      </c>
      <c r="M814">
        <v>58.7916441683466</v>
      </c>
      <c r="O814">
        <v>64.696252063885296</v>
      </c>
      <c r="P814">
        <v>0.11006668774268601</v>
      </c>
      <c r="Q814">
        <v>1.48448374572411</v>
      </c>
      <c r="R814">
        <v>0.80738015212467296</v>
      </c>
      <c r="S814" t="s">
        <v>7620</v>
      </c>
      <c r="T814" t="s">
        <v>13610</v>
      </c>
      <c r="U814" t="s">
        <v>13610</v>
      </c>
      <c r="V814" t="s">
        <v>13610</v>
      </c>
      <c r="W814" t="s">
        <v>14402</v>
      </c>
      <c r="X814">
        <v>4</v>
      </c>
      <c r="Y814" t="s">
        <v>21120</v>
      </c>
      <c r="Z814" t="s">
        <v>27669</v>
      </c>
      <c r="AA814">
        <v>1.083710532166523</v>
      </c>
      <c r="AB814" t="str">
        <f>HYPERLINK("Melting_Curves/meltCurve_H0YEX2_TAF2.pdf", "Melting_Curves/meltCurve_H0YEX2_TAF2.pdf")</f>
        <v>Melting_Curves/meltCurve_H0YEX2_TAF2.pdf</v>
      </c>
    </row>
    <row r="815" spans="1:28" x14ac:dyDescent="0.25">
      <c r="A815" t="s">
        <v>819</v>
      </c>
      <c r="B815">
        <v>0.995954080203443</v>
      </c>
      <c r="C815">
        <v>0.93457079038727298</v>
      </c>
      <c r="D815">
        <v>1.0141757681593999</v>
      </c>
      <c r="E815">
        <v>0.82814595808625902</v>
      </c>
      <c r="F815">
        <v>0.83018151160124398</v>
      </c>
      <c r="G815">
        <v>0.61740394320425396</v>
      </c>
      <c r="H815">
        <v>0.56115536700049296</v>
      </c>
      <c r="I815">
        <v>0.62304759527801801</v>
      </c>
      <c r="J815">
        <v>0.85173171188379304</v>
      </c>
      <c r="K815">
        <v>0.76771416421738903</v>
      </c>
      <c r="L815">
        <v>1394.2310824966401</v>
      </c>
      <c r="M815">
        <v>27.608125503201599</v>
      </c>
      <c r="O815">
        <v>50.238023894997099</v>
      </c>
      <c r="P815">
        <v>-4.25387104580153E-2</v>
      </c>
      <c r="Q815">
        <v>0.69037501769956999</v>
      </c>
      <c r="R815">
        <v>0.68055810992966004</v>
      </c>
      <c r="S815" t="s">
        <v>7621</v>
      </c>
      <c r="T815" t="s">
        <v>13610</v>
      </c>
      <c r="U815" t="s">
        <v>13610</v>
      </c>
      <c r="V815" t="s">
        <v>13610</v>
      </c>
      <c r="W815" t="s">
        <v>14403</v>
      </c>
      <c r="X815">
        <v>1</v>
      </c>
      <c r="Y815" t="s">
        <v>21121</v>
      </c>
      <c r="Z815" t="s">
        <v>27670</v>
      </c>
      <c r="AA815">
        <v>0.80103319283136043</v>
      </c>
      <c r="AB815" t="str">
        <f>HYPERLINK("Melting_Curves/meltCurve_H0YFY6_NUMA1.pdf", "Melting_Curves/meltCurve_H0YFY6_NUMA1.pdf")</f>
        <v>Melting_Curves/meltCurve_H0YFY6_NUMA1.pdf</v>
      </c>
    </row>
    <row r="816" spans="1:28" x14ac:dyDescent="0.25">
      <c r="A816" t="s">
        <v>820</v>
      </c>
      <c r="B816">
        <v>0.995954080203443</v>
      </c>
      <c r="C816">
        <v>1.0641747702237201</v>
      </c>
      <c r="D816">
        <v>0.98762183544232596</v>
      </c>
      <c r="E816">
        <v>0.97683580641379497</v>
      </c>
      <c r="F816">
        <v>0.87511697289120405</v>
      </c>
      <c r="G816">
        <v>0.70445265030501303</v>
      </c>
      <c r="H816">
        <v>0.59025996077012499</v>
      </c>
      <c r="I816">
        <v>0.67912737713704696</v>
      </c>
      <c r="J816">
        <v>0.76922031145700098</v>
      </c>
      <c r="K816">
        <v>0.55275089709887304</v>
      </c>
      <c r="L816">
        <v>1907.10064654746</v>
      </c>
      <c r="M816">
        <v>35.372952998420701</v>
      </c>
      <c r="O816">
        <v>53.742655108262298</v>
      </c>
      <c r="P816">
        <v>-5.78527254046051E-2</v>
      </c>
      <c r="Q816">
        <v>0.64841517762533596</v>
      </c>
      <c r="R816">
        <v>0.89219718239609602</v>
      </c>
      <c r="S816" t="s">
        <v>7622</v>
      </c>
      <c r="T816" t="s">
        <v>13610</v>
      </c>
      <c r="U816" t="s">
        <v>13610</v>
      </c>
      <c r="V816" t="s">
        <v>13610</v>
      </c>
      <c r="W816" t="s">
        <v>14404</v>
      </c>
      <c r="X816">
        <v>8</v>
      </c>
      <c r="Y816" t="s">
        <v>21122</v>
      </c>
      <c r="Z816" t="s">
        <v>27671</v>
      </c>
      <c r="AA816">
        <v>0.8131518450941686</v>
      </c>
      <c r="AB816" t="str">
        <f>HYPERLINK("Melting_Curves/meltCurve_H0YGR4_REXO2.pdf", "Melting_Curves/meltCurve_H0YGR4_REXO2.pdf")</f>
        <v>Melting_Curves/meltCurve_H0YGR4_REXO2.pdf</v>
      </c>
    </row>
    <row r="817" spans="1:28" x14ac:dyDescent="0.25">
      <c r="A817" t="s">
        <v>821</v>
      </c>
      <c r="B817">
        <v>0.995954080203443</v>
      </c>
      <c r="C817">
        <v>0.92311536538662098</v>
      </c>
      <c r="D817">
        <v>0.68250122573097805</v>
      </c>
      <c r="E817">
        <v>0.58977451109100598</v>
      </c>
      <c r="F817">
        <v>0.24651404758791601</v>
      </c>
      <c r="G817">
        <v>0.16394585516080601</v>
      </c>
      <c r="H817">
        <v>9.86181959319688E-2</v>
      </c>
      <c r="I817">
        <v>0.110321101246105</v>
      </c>
      <c r="J817">
        <v>0.12916921249230001</v>
      </c>
      <c r="K817">
        <v>0.13623826567712799</v>
      </c>
      <c r="L817">
        <v>762.57864309888305</v>
      </c>
      <c r="M817">
        <v>15.5547404009594</v>
      </c>
      <c r="N817">
        <v>49.677122582507401</v>
      </c>
      <c r="O817">
        <v>48.236622406515501</v>
      </c>
      <c r="P817">
        <v>-7.3183550202019901E-2</v>
      </c>
      <c r="Q817">
        <v>9.2284945965532994E-2</v>
      </c>
      <c r="R817">
        <v>0.97688244333302199</v>
      </c>
      <c r="S817" t="s">
        <v>7623</v>
      </c>
      <c r="T817" t="s">
        <v>13610</v>
      </c>
      <c r="U817" t="s">
        <v>13610</v>
      </c>
      <c r="V817" t="s">
        <v>13610</v>
      </c>
      <c r="W817" t="s">
        <v>14257</v>
      </c>
      <c r="X817">
        <v>8</v>
      </c>
      <c r="Y817" t="s">
        <v>20979</v>
      </c>
      <c r="Z817" t="s">
        <v>27672</v>
      </c>
      <c r="AA817">
        <v>0.38626597803368928</v>
      </c>
      <c r="AB817" t="str">
        <f>HYPERLINK("Melting_Curves/meltCurve_H0YHC3_NAP1L1.pdf", "Melting_Curves/meltCurve_H0YHC3_NAP1L1.pdf")</f>
        <v>Melting_Curves/meltCurve_H0YHC3_NAP1L1.pdf</v>
      </c>
    </row>
    <row r="818" spans="1:28" x14ac:dyDescent="0.25">
      <c r="A818" t="s">
        <v>822</v>
      </c>
      <c r="B818">
        <v>0.995954080203443</v>
      </c>
      <c r="C818">
        <v>0.74768448487077199</v>
      </c>
      <c r="D818">
        <v>0.99371919238613504</v>
      </c>
      <c r="E818">
        <v>0.63335088077587698</v>
      </c>
      <c r="F818">
        <v>0.48169079723410801</v>
      </c>
      <c r="G818">
        <v>0.22541140201974599</v>
      </c>
      <c r="H818">
        <v>0.12738024226292</v>
      </c>
      <c r="I818">
        <v>8.2030462744065696E-2</v>
      </c>
      <c r="J818">
        <v>8.8368544708902305E-2</v>
      </c>
      <c r="K818">
        <v>7.8735174016314094E-2</v>
      </c>
      <c r="L818">
        <v>762.56444148077105</v>
      </c>
      <c r="M818">
        <v>14.654732279673301</v>
      </c>
      <c r="N818">
        <v>52.325351865170198</v>
      </c>
      <c r="O818">
        <v>51.095244258387702</v>
      </c>
      <c r="P818">
        <v>-6.8914074859922E-2</v>
      </c>
      <c r="Q818">
        <v>3.9002074741086502E-2</v>
      </c>
      <c r="R818">
        <v>0.95205371586041498</v>
      </c>
      <c r="S818" t="s">
        <v>7624</v>
      </c>
      <c r="T818" t="s">
        <v>13610</v>
      </c>
      <c r="U818" t="s">
        <v>13610</v>
      </c>
      <c r="V818" t="s">
        <v>13610</v>
      </c>
      <c r="W818" t="s">
        <v>14405</v>
      </c>
      <c r="X818">
        <v>1</v>
      </c>
      <c r="Y818" t="s">
        <v>21123</v>
      </c>
      <c r="Z818" t="s">
        <v>27673</v>
      </c>
      <c r="AA818">
        <v>0.44676092702630532</v>
      </c>
      <c r="AB818" t="str">
        <f>HYPERLINK("Melting_Curves/meltCurve_H0YIE9_FBXO21.pdf", "Melting_Curves/meltCurve_H0YIE9_FBXO21.pdf")</f>
        <v>Melting_Curves/meltCurve_H0YIE9_FBXO21.pdf</v>
      </c>
    </row>
    <row r="819" spans="1:28" x14ac:dyDescent="0.25">
      <c r="A819" t="s">
        <v>823</v>
      </c>
      <c r="B819">
        <v>0.995954080203443</v>
      </c>
      <c r="C819">
        <v>0.851646099797567</v>
      </c>
      <c r="D819">
        <v>0.71012487100442001</v>
      </c>
      <c r="E819">
        <v>0.47520360283434399</v>
      </c>
      <c r="F819">
        <v>0.36076340099343501</v>
      </c>
      <c r="G819">
        <v>0.24518897470277101</v>
      </c>
      <c r="H819">
        <v>0.20256518688282599</v>
      </c>
      <c r="I819">
        <v>0.188446703141398</v>
      </c>
      <c r="J819">
        <v>0.169356903913784</v>
      </c>
      <c r="K819">
        <v>0.130629087864232</v>
      </c>
      <c r="L819">
        <v>640.16722241488299</v>
      </c>
      <c r="M819">
        <v>13.220816958694501</v>
      </c>
      <c r="N819">
        <v>49.683201998289199</v>
      </c>
      <c r="O819">
        <v>47.353532820319302</v>
      </c>
      <c r="P819">
        <v>-5.9853068173245198E-2</v>
      </c>
      <c r="Q819">
        <v>0.14262903426174001</v>
      </c>
      <c r="R819">
        <v>0.99604471213985601</v>
      </c>
      <c r="S819" t="s">
        <v>7625</v>
      </c>
      <c r="T819" t="s">
        <v>13610</v>
      </c>
      <c r="U819" t="s">
        <v>13610</v>
      </c>
      <c r="V819" t="s">
        <v>13610</v>
      </c>
      <c r="W819" t="s">
        <v>14406</v>
      </c>
      <c r="X819">
        <v>4</v>
      </c>
      <c r="Y819" t="s">
        <v>21124</v>
      </c>
      <c r="Z819" t="s">
        <v>27674</v>
      </c>
      <c r="AA819">
        <v>0.41077273220103572</v>
      </c>
      <c r="AB819" t="str">
        <f>HYPERLINK("Melting_Curves/meltCurve_H0YIQ8_KANSL2.pdf", "Melting_Curves/meltCurve_H0YIQ8_KANSL2.pdf")</f>
        <v>Melting_Curves/meltCurve_H0YIQ8_KANSL2.pdf</v>
      </c>
    </row>
    <row r="820" spans="1:28" x14ac:dyDescent="0.25">
      <c r="A820" t="s">
        <v>824</v>
      </c>
      <c r="B820">
        <v>0.995954080203443</v>
      </c>
      <c r="C820">
        <v>1.00014517194898</v>
      </c>
      <c r="D820">
        <v>1.1031949422210101</v>
      </c>
      <c r="E820">
        <v>1.0274322112066101</v>
      </c>
      <c r="F820">
        <v>1.1777832200529501</v>
      </c>
      <c r="G820">
        <v>0.83850821242329399</v>
      </c>
      <c r="H820">
        <v>0.942298688745419</v>
      </c>
      <c r="I820">
        <v>1.0175949956847099</v>
      </c>
      <c r="J820">
        <v>1.5228086063236099</v>
      </c>
      <c r="K820">
        <v>1.28023835309095</v>
      </c>
      <c r="L820">
        <v>15000</v>
      </c>
      <c r="M820">
        <v>231.377043494605</v>
      </c>
      <c r="O820">
        <v>64.824425958327495</v>
      </c>
      <c r="P820">
        <v>0.35832614470406499</v>
      </c>
      <c r="Q820">
        <v>1.4015658439780501</v>
      </c>
      <c r="R820">
        <v>0.70247710430757004</v>
      </c>
      <c r="S820" t="s">
        <v>7626</v>
      </c>
      <c r="T820" t="s">
        <v>13610</v>
      </c>
      <c r="U820" t="s">
        <v>13610</v>
      </c>
      <c r="V820" t="s">
        <v>13610</v>
      </c>
      <c r="W820" t="s">
        <v>14407</v>
      </c>
      <c r="X820">
        <v>3</v>
      </c>
      <c r="Y820" t="s">
        <v>21125</v>
      </c>
      <c r="Z820" t="s">
        <v>27675</v>
      </c>
      <c r="AA820">
        <v>1.0691598907127571</v>
      </c>
      <c r="AB820" t="str">
        <f>HYPERLINK("Melting_Curves/meltCurve_H0YJA8_C14orf142.pdf", "Melting_Curves/meltCurve_H0YJA8_C14orf142.pdf")</f>
        <v>Melting_Curves/meltCurve_H0YJA8_C14orf142.pdf</v>
      </c>
    </row>
    <row r="821" spans="1:28" x14ac:dyDescent="0.25">
      <c r="A821" t="s">
        <v>825</v>
      </c>
      <c r="B821">
        <v>0.995954080203443</v>
      </c>
      <c r="C821">
        <v>0.93360024567147704</v>
      </c>
      <c r="D821">
        <v>1.9606756839275099</v>
      </c>
      <c r="E821">
        <v>1.1991106171182899</v>
      </c>
      <c r="F821">
        <v>1.8643279826100601</v>
      </c>
      <c r="G821">
        <v>1.7156193181255399</v>
      </c>
      <c r="H821">
        <v>1.5678040042561701</v>
      </c>
      <c r="I821">
        <v>1.8518348561371301</v>
      </c>
      <c r="J821">
        <v>2.3692604044030401</v>
      </c>
      <c r="K821">
        <v>1.90303889231905</v>
      </c>
      <c r="L821">
        <v>11057.5649460351</v>
      </c>
      <c r="M821">
        <v>250</v>
      </c>
      <c r="O821">
        <v>44.227414616528399</v>
      </c>
      <c r="P821">
        <v>0.70657509260999596</v>
      </c>
      <c r="Q821">
        <v>1.5</v>
      </c>
      <c r="R821">
        <v>0.20077836559281001</v>
      </c>
      <c r="S821" t="s">
        <v>7627</v>
      </c>
      <c r="T821" t="s">
        <v>13610</v>
      </c>
      <c r="U821" t="s">
        <v>13610</v>
      </c>
      <c r="V821" t="s">
        <v>13610</v>
      </c>
      <c r="W821" t="s">
        <v>14408</v>
      </c>
      <c r="X821">
        <v>1</v>
      </c>
      <c r="Y821" t="s">
        <v>21126</v>
      </c>
      <c r="Z821" t="s">
        <v>27676</v>
      </c>
      <c r="AA821">
        <v>1.4294568585555441</v>
      </c>
      <c r="AB821" t="str">
        <f>HYPERLINK("Melting_Curves/meltCurve_H0YJH2_CEP128.pdf", "Melting_Curves/meltCurve_H0YJH2_CEP128.pdf")</f>
        <v>Melting_Curves/meltCurve_H0YJH2_CEP128.pdf</v>
      </c>
    </row>
    <row r="822" spans="1:28" x14ac:dyDescent="0.25">
      <c r="A822" t="s">
        <v>826</v>
      </c>
      <c r="B822">
        <v>0.995954080203443</v>
      </c>
      <c r="C822">
        <v>1.0015934181775099</v>
      </c>
      <c r="D822">
        <v>1.10264665985946</v>
      </c>
      <c r="E822">
        <v>1.04173466303191</v>
      </c>
      <c r="F822">
        <v>1.1245258655185599</v>
      </c>
      <c r="G822">
        <v>0.88249185785092099</v>
      </c>
      <c r="H822">
        <v>0.95795252933586705</v>
      </c>
      <c r="I822">
        <v>1.0626408423795899</v>
      </c>
      <c r="J822">
        <v>1.49980296323346</v>
      </c>
      <c r="K822">
        <v>1.3579233939851101</v>
      </c>
      <c r="L822">
        <v>15000</v>
      </c>
      <c r="M822">
        <v>232.61082152357201</v>
      </c>
      <c r="O822">
        <v>64.480625374491595</v>
      </c>
      <c r="P822">
        <v>0.38679596481157502</v>
      </c>
      <c r="Q822">
        <v>1.4288853887683699</v>
      </c>
      <c r="R822">
        <v>0.83279124797861004</v>
      </c>
      <c r="S822" t="s">
        <v>7628</v>
      </c>
      <c r="T822" t="s">
        <v>13610</v>
      </c>
      <c r="U822" t="s">
        <v>13610</v>
      </c>
      <c r="V822" t="s">
        <v>13610</v>
      </c>
      <c r="W822" t="s">
        <v>14409</v>
      </c>
      <c r="X822">
        <v>5</v>
      </c>
      <c r="Y822" t="s">
        <v>21127</v>
      </c>
      <c r="Z822" t="s">
        <v>27677</v>
      </c>
      <c r="AA822">
        <v>1.078781759692246</v>
      </c>
      <c r="AB822" t="str">
        <f>HYPERLINK("Melting_Curves/meltCurve_H0YKX3_KIAA0101.pdf", "Melting_Curves/meltCurve_H0YKX3_KIAA0101.pdf")</f>
        <v>Melting_Curves/meltCurve_H0YKX3_KIAA0101.pdf</v>
      </c>
    </row>
    <row r="823" spans="1:28" x14ac:dyDescent="0.25">
      <c r="A823" t="s">
        <v>827</v>
      </c>
      <c r="B823">
        <v>0.995954080203443</v>
      </c>
      <c r="C823">
        <v>0.92678335268988699</v>
      </c>
      <c r="D823">
        <v>0.80265574603832202</v>
      </c>
      <c r="E823">
        <v>0.75506192774375702</v>
      </c>
      <c r="F823">
        <v>0.64323493892979799</v>
      </c>
      <c r="G823">
        <v>0.52827878134971595</v>
      </c>
      <c r="H823">
        <v>0.47012227324119399</v>
      </c>
      <c r="I823">
        <v>0.54823094888358603</v>
      </c>
      <c r="J823">
        <v>0.65865834101403897</v>
      </c>
      <c r="K823">
        <v>0.62643571958789002</v>
      </c>
      <c r="L823">
        <v>768.04192340341001</v>
      </c>
      <c r="M823">
        <v>16.188954733133102</v>
      </c>
      <c r="O823">
        <v>46.736176254738197</v>
      </c>
      <c r="P823">
        <v>-3.7702209960215602E-2</v>
      </c>
      <c r="Q823">
        <v>0.56466013957879901</v>
      </c>
      <c r="R823">
        <v>0.87905901629040295</v>
      </c>
      <c r="S823" t="s">
        <v>7629</v>
      </c>
      <c r="T823" t="s">
        <v>13610</v>
      </c>
      <c r="U823" t="s">
        <v>13610</v>
      </c>
      <c r="V823" t="s">
        <v>13610</v>
      </c>
      <c r="W823" t="s">
        <v>14410</v>
      </c>
      <c r="X823">
        <v>1</v>
      </c>
      <c r="Y823" t="s">
        <v>21128</v>
      </c>
      <c r="Z823" t="s">
        <v>27678</v>
      </c>
      <c r="AA823">
        <v>0.68251167048365935</v>
      </c>
      <c r="AB823" t="str">
        <f>HYPERLINK("Melting_Curves/meltCurve_H0YLA0_PRC1.pdf", "Melting_Curves/meltCurve_H0YLA0_PRC1.pdf")</f>
        <v>Melting_Curves/meltCurve_H0YLA0_PRC1.pdf</v>
      </c>
    </row>
    <row r="824" spans="1:28" x14ac:dyDescent="0.25">
      <c r="A824" t="s">
        <v>828</v>
      </c>
      <c r="B824">
        <v>0.995954080203443</v>
      </c>
      <c r="C824">
        <v>1.0651650641367401</v>
      </c>
      <c r="D824">
        <v>0.93677315143408801</v>
      </c>
      <c r="E824">
        <v>0.67254440795283899</v>
      </c>
      <c r="F824">
        <v>0.35703948208511999</v>
      </c>
      <c r="G824">
        <v>0.15356051842617199</v>
      </c>
      <c r="H824">
        <v>9.9152175480931096E-2</v>
      </c>
      <c r="I824">
        <v>8.5956506374022607E-2</v>
      </c>
      <c r="J824">
        <v>0.111759747999119</v>
      </c>
      <c r="K824">
        <v>8.8498261639577094E-2</v>
      </c>
      <c r="L824">
        <v>1308.7829826540201</v>
      </c>
      <c r="M824">
        <v>25.593987097682799</v>
      </c>
      <c r="N824">
        <v>51.542688716467303</v>
      </c>
      <c r="O824">
        <v>50.8272291152444</v>
      </c>
      <c r="P824">
        <v>-0.114387554686567</v>
      </c>
      <c r="Q824">
        <v>9.1359824750253601E-2</v>
      </c>
      <c r="R824">
        <v>0.99623266258569199</v>
      </c>
      <c r="S824" t="s">
        <v>7630</v>
      </c>
      <c r="T824" t="s">
        <v>13610</v>
      </c>
      <c r="U824" t="s">
        <v>13610</v>
      </c>
      <c r="V824" t="s">
        <v>13610</v>
      </c>
      <c r="W824" t="s">
        <v>14411</v>
      </c>
      <c r="X824">
        <v>5</v>
      </c>
      <c r="Y824" t="s">
        <v>21129</v>
      </c>
      <c r="Z824" t="s">
        <v>27679</v>
      </c>
      <c r="AA824">
        <v>0.43650758745657031</v>
      </c>
      <c r="AB824" t="str">
        <f>HYPERLINK("Melting_Curves/meltCurve_H0YLB5_POU2F1.pdf", "Melting_Curves/meltCurve_H0YLB5_POU2F1.pdf")</f>
        <v>Melting_Curves/meltCurve_H0YLB5_POU2F1.pdf</v>
      </c>
    </row>
    <row r="825" spans="1:28" x14ac:dyDescent="0.25">
      <c r="A825" t="s">
        <v>829</v>
      </c>
      <c r="B825">
        <v>0.995954080203443</v>
      </c>
      <c r="C825">
        <v>0.85165651628930295</v>
      </c>
      <c r="D825">
        <v>0.83920911482423</v>
      </c>
      <c r="E825">
        <v>0.61411127657818598</v>
      </c>
      <c r="F825">
        <v>0.46033567567163503</v>
      </c>
      <c r="G825">
        <v>0.27375211403956601</v>
      </c>
      <c r="H825">
        <v>0.14950656582098501</v>
      </c>
      <c r="I825">
        <v>0.114740940419145</v>
      </c>
      <c r="J825">
        <v>0.112652435360529</v>
      </c>
      <c r="K825">
        <v>9.1403120910126298E-2</v>
      </c>
      <c r="L825">
        <v>601.35163303535398</v>
      </c>
      <c r="M825">
        <v>11.6353195319673</v>
      </c>
      <c r="N825">
        <v>52.0004716333844</v>
      </c>
      <c r="O825">
        <v>50.227419092293999</v>
      </c>
      <c r="P825">
        <v>-5.5944562436926699E-2</v>
      </c>
      <c r="Q825">
        <v>3.4255044725021902E-2</v>
      </c>
      <c r="R825">
        <v>0.99358865362922999</v>
      </c>
      <c r="S825" t="s">
        <v>7631</v>
      </c>
      <c r="T825" t="s">
        <v>13610</v>
      </c>
      <c r="U825" t="s">
        <v>13610</v>
      </c>
      <c r="V825" t="s">
        <v>13610</v>
      </c>
      <c r="W825" t="s">
        <v>14412</v>
      </c>
      <c r="X825">
        <v>3</v>
      </c>
      <c r="Y825" t="s">
        <v>21130</v>
      </c>
      <c r="Z825" t="s">
        <v>27680</v>
      </c>
      <c r="AA825">
        <v>0.44178600924341482</v>
      </c>
      <c r="AB825" t="str">
        <f>HYPERLINK("Melting_Curves/meltCurve_H0YLF3_B2M.pdf", "Melting_Curves/meltCurve_H0YLF3_B2M.pdf")</f>
        <v>Melting_Curves/meltCurve_H0YLF3_B2M.pdf</v>
      </c>
    </row>
    <row r="826" spans="1:28" x14ac:dyDescent="0.25">
      <c r="A826" t="s">
        <v>830</v>
      </c>
      <c r="B826">
        <v>0.995954080203443</v>
      </c>
      <c r="C826">
        <v>0.84642686378873</v>
      </c>
      <c r="D826">
        <v>0.607281755458842</v>
      </c>
      <c r="E826">
        <v>0.42280486135358902</v>
      </c>
      <c r="F826">
        <v>0.316238989325693</v>
      </c>
      <c r="G826">
        <v>0.201180857240181</v>
      </c>
      <c r="H826">
        <v>0.15918807016477399</v>
      </c>
      <c r="I826">
        <v>0.19212780359405099</v>
      </c>
      <c r="J826">
        <v>0.17565416011372001</v>
      </c>
      <c r="K826">
        <v>0.18400804667721099</v>
      </c>
      <c r="L826">
        <v>726.99636274769102</v>
      </c>
      <c r="M826">
        <v>15.4932931447555</v>
      </c>
      <c r="N826">
        <v>48.199979221894402</v>
      </c>
      <c r="O826">
        <v>46.162423973157502</v>
      </c>
      <c r="P826">
        <v>-6.9791247877005802E-2</v>
      </c>
      <c r="Q826">
        <v>0.16829913797257501</v>
      </c>
      <c r="R826">
        <v>0.99172372564100897</v>
      </c>
      <c r="S826" t="s">
        <v>7632</v>
      </c>
      <c r="T826" t="s">
        <v>13610</v>
      </c>
      <c r="U826" t="s">
        <v>13610</v>
      </c>
      <c r="V826" t="s">
        <v>13610</v>
      </c>
      <c r="W826" t="s">
        <v>14413</v>
      </c>
      <c r="X826">
        <v>7</v>
      </c>
      <c r="Y826" t="s">
        <v>21131</v>
      </c>
      <c r="Z826" t="s">
        <v>27681</v>
      </c>
      <c r="AA826">
        <v>0.38146755331432791</v>
      </c>
      <c r="AB826" t="str">
        <f>HYPERLINK("Melting_Curves/meltCurve_H0YLN8_TRPM7.pdf", "Melting_Curves/meltCurve_H0YLN8_TRPM7.pdf")</f>
        <v>Melting_Curves/meltCurve_H0YLN8_TRPM7.pdf</v>
      </c>
    </row>
    <row r="827" spans="1:28" x14ac:dyDescent="0.25">
      <c r="A827" t="s">
        <v>831</v>
      </c>
      <c r="B827">
        <v>0.995954080203443</v>
      </c>
      <c r="C827">
        <v>0.63106528047825505</v>
      </c>
      <c r="D827">
        <v>0.69783625302963803</v>
      </c>
      <c r="E827">
        <v>0.37383981600630301</v>
      </c>
      <c r="F827">
        <v>0.42283742621079101</v>
      </c>
      <c r="G827">
        <v>0.37693020632674501</v>
      </c>
      <c r="H827">
        <v>0.36651180561228403</v>
      </c>
      <c r="I827">
        <v>0.44444930588373199</v>
      </c>
      <c r="J827">
        <v>0.56404640112328197</v>
      </c>
      <c r="K827">
        <v>0.48038927043406598</v>
      </c>
      <c r="L827">
        <v>924.09330221928599</v>
      </c>
      <c r="M827">
        <v>21.356073923480299</v>
      </c>
      <c r="N827">
        <v>47.902346475082098</v>
      </c>
      <c r="O827">
        <v>42.896706710295</v>
      </c>
      <c r="P827">
        <v>-7.0125863242951197E-2</v>
      </c>
      <c r="Q827">
        <v>0.43658316944007702</v>
      </c>
      <c r="R827">
        <v>0.78866832286319399</v>
      </c>
      <c r="S827" t="s">
        <v>7633</v>
      </c>
      <c r="T827" t="s">
        <v>13610</v>
      </c>
      <c r="U827" t="s">
        <v>13610</v>
      </c>
      <c r="V827" t="s">
        <v>13610</v>
      </c>
      <c r="W827" t="s">
        <v>14414</v>
      </c>
      <c r="X827">
        <v>1</v>
      </c>
      <c r="Y827" t="s">
        <v>21132</v>
      </c>
      <c r="Z827" t="s">
        <v>27682</v>
      </c>
      <c r="AA827">
        <v>0.50883917588528971</v>
      </c>
      <c r="AB827" t="str">
        <f>HYPERLINK("Melting_Curves/meltCurve_H0YLQ9_EID1.pdf", "Melting_Curves/meltCurve_H0YLQ9_EID1.pdf")</f>
        <v>Melting_Curves/meltCurve_H0YLQ9_EID1.pdf</v>
      </c>
    </row>
    <row r="828" spans="1:28" x14ac:dyDescent="0.25">
      <c r="A828" t="s">
        <v>832</v>
      </c>
      <c r="B828">
        <v>0.995954080203443</v>
      </c>
      <c r="C828">
        <v>0.945430007229487</v>
      </c>
      <c r="D828">
        <v>1.01478704004376</v>
      </c>
      <c r="E828">
        <v>0.81372133492353704</v>
      </c>
      <c r="F828">
        <v>0.73861943255446205</v>
      </c>
      <c r="G828">
        <v>0.55922166175188703</v>
      </c>
      <c r="H828">
        <v>0.57591138188851898</v>
      </c>
      <c r="I828">
        <v>0.65915234351289498</v>
      </c>
      <c r="J828">
        <v>0.72175601640162401</v>
      </c>
      <c r="K828">
        <v>0.81886804608902497</v>
      </c>
      <c r="L828">
        <v>1982.98072588374</v>
      </c>
      <c r="M828">
        <v>39.7910469847115</v>
      </c>
      <c r="O828">
        <v>49.709475270279199</v>
      </c>
      <c r="P828">
        <v>-6.5527299943926198E-2</v>
      </c>
      <c r="Q828">
        <v>0.67255741677801095</v>
      </c>
      <c r="R828">
        <v>0.78500520882879898</v>
      </c>
      <c r="S828" t="s">
        <v>7634</v>
      </c>
      <c r="T828" t="s">
        <v>13610</v>
      </c>
      <c r="U828" t="s">
        <v>13610</v>
      </c>
      <c r="V828" t="s">
        <v>13610</v>
      </c>
      <c r="W828" t="s">
        <v>14415</v>
      </c>
      <c r="X828">
        <v>9</v>
      </c>
      <c r="Y828" t="s">
        <v>21133</v>
      </c>
      <c r="Z828" t="s">
        <v>27683</v>
      </c>
      <c r="AA828">
        <v>0.78104277197033833</v>
      </c>
      <c r="AB828" t="str">
        <f>HYPERLINK("Melting_Curves/meltCurve_H0YLX2_RFX7.pdf", "Melting_Curves/meltCurve_H0YLX2_RFX7.pdf")</f>
        <v>Melting_Curves/meltCurve_H0YLX2_RFX7.pdf</v>
      </c>
    </row>
    <row r="829" spans="1:28" x14ac:dyDescent="0.25">
      <c r="A829" t="s">
        <v>833</v>
      </c>
      <c r="B829">
        <v>0.995954080203443</v>
      </c>
      <c r="C829">
        <v>0.93226195915498</v>
      </c>
      <c r="D829">
        <v>0.89634845354021098</v>
      </c>
      <c r="E829">
        <v>0.66421330041983095</v>
      </c>
      <c r="F829">
        <v>0.31960492717850097</v>
      </c>
      <c r="G829">
        <v>0.21158973454070101</v>
      </c>
      <c r="H829">
        <v>0.16588839473371</v>
      </c>
      <c r="I829">
        <v>0.18591400786159601</v>
      </c>
      <c r="J829">
        <v>0.206505745739439</v>
      </c>
      <c r="K829">
        <v>0.208951406570593</v>
      </c>
      <c r="L829">
        <v>1354.86550887725</v>
      </c>
      <c r="M829">
        <v>26.9235792575532</v>
      </c>
      <c r="N829">
        <v>51.198337111372197</v>
      </c>
      <c r="O829">
        <v>50.047482499977001</v>
      </c>
      <c r="P829">
        <v>-0.109675611435943</v>
      </c>
      <c r="Q829">
        <v>0.18451666865588701</v>
      </c>
      <c r="R829">
        <v>0.991371894955831</v>
      </c>
      <c r="S829" t="s">
        <v>7635</v>
      </c>
      <c r="T829" t="s">
        <v>13610</v>
      </c>
      <c r="U829" t="s">
        <v>13610</v>
      </c>
      <c r="V829" t="s">
        <v>13610</v>
      </c>
      <c r="W829" t="s">
        <v>14416</v>
      </c>
      <c r="X829">
        <v>49</v>
      </c>
      <c r="Y829" t="s">
        <v>21134</v>
      </c>
      <c r="Z829" t="s">
        <v>27684</v>
      </c>
      <c r="AA829">
        <v>0.47141886064289129</v>
      </c>
      <c r="AB829" t="str">
        <f>HYPERLINK("Melting_Curves/meltCurve_H0YM23_ANKRD17.pdf", "Melting_Curves/meltCurve_H0YM23_ANKRD17.pdf")</f>
        <v>Melting_Curves/meltCurve_H0YM23_ANKRD17.pdf</v>
      </c>
    </row>
    <row r="830" spans="1:28" x14ac:dyDescent="0.25">
      <c r="A830" t="s">
        <v>834</v>
      </c>
      <c r="B830">
        <v>0.995954080203443</v>
      </c>
      <c r="C830">
        <v>0.82651479094228597</v>
      </c>
      <c r="D830">
        <v>0.79755743529182399</v>
      </c>
      <c r="E830">
        <v>0.87426568073170596</v>
      </c>
      <c r="F830">
        <v>0.78217974434433402</v>
      </c>
      <c r="G830">
        <v>0.66240183000028297</v>
      </c>
      <c r="H830">
        <v>0.417510267363147</v>
      </c>
      <c r="I830">
        <v>0.50160656040638796</v>
      </c>
      <c r="J830">
        <v>0.332332136640346</v>
      </c>
      <c r="K830">
        <v>0.70294666833986696</v>
      </c>
      <c r="L830">
        <v>435.66475412645798</v>
      </c>
      <c r="M830">
        <v>8.2085996929315801</v>
      </c>
      <c r="N830">
        <v>67.017375382954896</v>
      </c>
      <c r="O830">
        <v>50.203547697233198</v>
      </c>
      <c r="P830">
        <v>-2.4167722326406401E-2</v>
      </c>
      <c r="Q830">
        <v>0.40937049040518197</v>
      </c>
      <c r="R830">
        <v>0.67517959999847199</v>
      </c>
      <c r="S830" t="s">
        <v>7636</v>
      </c>
      <c r="T830" t="s">
        <v>13610</v>
      </c>
      <c r="U830" t="s">
        <v>13610</v>
      </c>
      <c r="V830" t="s">
        <v>13610</v>
      </c>
      <c r="W830" t="s">
        <v>14417</v>
      </c>
      <c r="X830">
        <v>15</v>
      </c>
      <c r="Y830" t="s">
        <v>21135</v>
      </c>
      <c r="Z830" t="s">
        <v>27685</v>
      </c>
      <c r="AA830">
        <v>0.6901336396213964</v>
      </c>
      <c r="AB830" t="str">
        <f>HYPERLINK("Melting_Curves/meltCurve_H0YMB3_GMPR2.pdf", "Melting_Curves/meltCurve_H0YMB3_GMPR2.pdf")</f>
        <v>Melting_Curves/meltCurve_H0YMB3_GMPR2.pdf</v>
      </c>
    </row>
    <row r="831" spans="1:28" x14ac:dyDescent="0.25">
      <c r="A831" t="s">
        <v>835</v>
      </c>
      <c r="B831">
        <v>0.995954080203443</v>
      </c>
      <c r="C831">
        <v>1.00187573722134</v>
      </c>
      <c r="D831">
        <v>0.86500860731158902</v>
      </c>
      <c r="E831">
        <v>0.82567720305146397</v>
      </c>
      <c r="F831">
        <v>0.64433371321508304</v>
      </c>
      <c r="G831">
        <v>0.43539654689492002</v>
      </c>
      <c r="H831">
        <v>0.27126631151834002</v>
      </c>
      <c r="I831">
        <v>0.111985490583487</v>
      </c>
      <c r="J831">
        <v>4.2211347981955201E-2</v>
      </c>
      <c r="K831">
        <v>4.4832447537899597E-2</v>
      </c>
      <c r="L831">
        <v>741.26141715758797</v>
      </c>
      <c r="M831">
        <v>13.3567390943355</v>
      </c>
      <c r="N831">
        <v>55.497196830480497</v>
      </c>
      <c r="O831">
        <v>54.2974552371725</v>
      </c>
      <c r="P831">
        <v>-6.1507775191651202E-2</v>
      </c>
      <c r="Q831">
        <v>0</v>
      </c>
      <c r="R831">
        <v>0.99108859306415398</v>
      </c>
      <c r="S831" t="s">
        <v>7637</v>
      </c>
      <c r="T831" t="s">
        <v>13610</v>
      </c>
      <c r="U831" t="s">
        <v>13610</v>
      </c>
      <c r="V831" t="s">
        <v>13610</v>
      </c>
      <c r="W831" t="s">
        <v>14418</v>
      </c>
      <c r="X831">
        <v>1</v>
      </c>
      <c r="Y831" t="s">
        <v>21136</v>
      </c>
      <c r="Z831" t="s">
        <v>27686</v>
      </c>
      <c r="AA831">
        <v>0.53707322421519954</v>
      </c>
      <c r="AB831" t="str">
        <f>HYPERLINK("Melting_Curves/meltCurve_H0YMX4_GATM.pdf", "Melting_Curves/meltCurve_H0YMX4_GATM.pdf")</f>
        <v>Melting_Curves/meltCurve_H0YMX4_GATM.pdf</v>
      </c>
    </row>
    <row r="832" spans="1:28" x14ac:dyDescent="0.25">
      <c r="A832" t="s">
        <v>836</v>
      </c>
      <c r="B832">
        <v>0.995954080203443</v>
      </c>
      <c r="C832">
        <v>0.98566599929867305</v>
      </c>
      <c r="D832">
        <v>0.84932104535265296</v>
      </c>
      <c r="E832">
        <v>0.68816980853756704</v>
      </c>
      <c r="F832">
        <v>0.43603503624505002</v>
      </c>
      <c r="G832">
        <v>0.27794910880046902</v>
      </c>
      <c r="H832">
        <v>0.241047279647438</v>
      </c>
      <c r="I832">
        <v>0.292557090319639</v>
      </c>
      <c r="J832">
        <v>0.29256332659637302</v>
      </c>
      <c r="K832">
        <v>0.28785535210518098</v>
      </c>
      <c r="L832">
        <v>1048.6585469302599</v>
      </c>
      <c r="M832">
        <v>20.9045988307907</v>
      </c>
      <c r="N832">
        <v>52.025091405194701</v>
      </c>
      <c r="O832">
        <v>49.711730970561703</v>
      </c>
      <c r="P832">
        <v>-7.7450742282859794E-2</v>
      </c>
      <c r="Q832">
        <v>0.26329985094602798</v>
      </c>
      <c r="R832">
        <v>0.98879580072242301</v>
      </c>
      <c r="S832" t="s">
        <v>7638</v>
      </c>
      <c r="T832" t="s">
        <v>13610</v>
      </c>
      <c r="U832" t="s">
        <v>13610</v>
      </c>
      <c r="V832" t="s">
        <v>13610</v>
      </c>
      <c r="W832" t="s">
        <v>14419</v>
      </c>
      <c r="X832">
        <v>2</v>
      </c>
      <c r="Y832" t="s">
        <v>21137</v>
      </c>
      <c r="Z832" t="s">
        <v>27687</v>
      </c>
      <c r="AA832">
        <v>0.52229812167907641</v>
      </c>
      <c r="AB832" t="str">
        <f>HYPERLINK("Melting_Curves/meltCurve_H0YN78_C15orf57.pdf", "Melting_Curves/meltCurve_H0YN78_C15orf57.pdf")</f>
        <v>Melting_Curves/meltCurve_H0YN78_C15orf57.pdf</v>
      </c>
    </row>
    <row r="833" spans="1:28" x14ac:dyDescent="0.25">
      <c r="A833" t="s">
        <v>837</v>
      </c>
      <c r="B833">
        <v>0.995954080203443</v>
      </c>
      <c r="C833">
        <v>0.981446688419221</v>
      </c>
      <c r="D833">
        <v>1.19337919710116</v>
      </c>
      <c r="E833">
        <v>0.91736772283815005</v>
      </c>
      <c r="F833">
        <v>1.1016648589312501</v>
      </c>
      <c r="G833">
        <v>0.57054871729245105</v>
      </c>
      <c r="H833">
        <v>0.18111309629570299</v>
      </c>
      <c r="I833">
        <v>0.13814421479517</v>
      </c>
      <c r="J833">
        <v>0.15499316005104899</v>
      </c>
      <c r="K833">
        <v>0.13695163266406099</v>
      </c>
      <c r="L833">
        <v>8500.5941817556104</v>
      </c>
      <c r="M833">
        <v>149.16077433826101</v>
      </c>
      <c r="N833">
        <v>57.129168519449003</v>
      </c>
      <c r="O833">
        <v>56.979226557034899</v>
      </c>
      <c r="P833">
        <v>-0.55446035243180503</v>
      </c>
      <c r="Q833">
        <v>0.152787323063486</v>
      </c>
      <c r="R833">
        <v>0.96869619306842103</v>
      </c>
      <c r="S833" t="s">
        <v>7639</v>
      </c>
      <c r="T833" t="s">
        <v>13610</v>
      </c>
      <c r="U833" t="s">
        <v>13610</v>
      </c>
      <c r="V833" t="s">
        <v>13610</v>
      </c>
      <c r="W833" t="s">
        <v>14420</v>
      </c>
      <c r="X833">
        <v>6</v>
      </c>
      <c r="Y833" t="s">
        <v>21138</v>
      </c>
      <c r="Z833" t="s">
        <v>27688</v>
      </c>
      <c r="AA833">
        <v>0.63281539399891606</v>
      </c>
      <c r="AB833" t="str">
        <f>HYPERLINK("Melting_Curves/meltCurve_H0YNE9_RAB8B.pdf", "Melting_Curves/meltCurve_H0YNE9_RAB8B.pdf")</f>
        <v>Melting_Curves/meltCurve_H0YNE9_RAB8B.pdf</v>
      </c>
    </row>
    <row r="834" spans="1:28" x14ac:dyDescent="0.25">
      <c r="A834" t="s">
        <v>838</v>
      </c>
      <c r="B834">
        <v>0.995954080203443</v>
      </c>
      <c r="C834">
        <v>1.0055111923928199</v>
      </c>
      <c r="D834">
        <v>0.77519718871198096</v>
      </c>
      <c r="E834">
        <v>0.97906237866490298</v>
      </c>
      <c r="F834">
        <v>0.32319424248746598</v>
      </c>
      <c r="G834">
        <v>0.124740438769747</v>
      </c>
      <c r="H834">
        <v>7.1417246787124994E-2</v>
      </c>
      <c r="I834">
        <v>6.7124120992470906E-2</v>
      </c>
      <c r="J834">
        <v>5.6022313749061997E-2</v>
      </c>
      <c r="K834">
        <v>6.7348680906609004E-2</v>
      </c>
      <c r="L834">
        <v>4053.7144397402699</v>
      </c>
      <c r="M834">
        <v>77.490927474836795</v>
      </c>
      <c r="N834">
        <v>52.425064056963002</v>
      </c>
      <c r="O834">
        <v>52.277308799769997</v>
      </c>
      <c r="P834">
        <v>-0.34208489215217902</v>
      </c>
      <c r="Q834">
        <v>7.6884200384297705E-2</v>
      </c>
      <c r="R834">
        <v>0.96870158129093598</v>
      </c>
      <c r="S834" t="s">
        <v>7640</v>
      </c>
      <c r="T834" t="s">
        <v>13610</v>
      </c>
      <c r="U834" t="s">
        <v>13610</v>
      </c>
      <c r="V834" t="s">
        <v>13610</v>
      </c>
      <c r="W834" t="s">
        <v>14421</v>
      </c>
      <c r="X834">
        <v>7</v>
      </c>
      <c r="Y834" t="s">
        <v>21139</v>
      </c>
      <c r="Z834" t="s">
        <v>27689</v>
      </c>
      <c r="AA834">
        <v>0.45661844380952482</v>
      </c>
      <c r="AB834" t="str">
        <f>HYPERLINK("Melting_Curves/meltCurve_H0YNG3_SEC11A.pdf", "Melting_Curves/meltCurve_H0YNG3_SEC11A.pdf")</f>
        <v>Melting_Curves/meltCurve_H0YNG3_SEC11A.pdf</v>
      </c>
    </row>
    <row r="835" spans="1:28" x14ac:dyDescent="0.25">
      <c r="A835" t="s">
        <v>839</v>
      </c>
      <c r="B835">
        <v>0.995954080203443</v>
      </c>
      <c r="C835">
        <v>0.94880635512086797</v>
      </c>
      <c r="D835">
        <v>0.946757985101494</v>
      </c>
      <c r="E835">
        <v>0.79896016117138202</v>
      </c>
      <c r="F835">
        <v>0.61338803022191402</v>
      </c>
      <c r="G835">
        <v>0.41271070818620798</v>
      </c>
      <c r="H835">
        <v>0.28074759557161</v>
      </c>
      <c r="I835">
        <v>0.27420895342448998</v>
      </c>
      <c r="J835">
        <v>0.37050985059665698</v>
      </c>
      <c r="K835">
        <v>0.33581179298464298</v>
      </c>
      <c r="L835">
        <v>1098.81064437342</v>
      </c>
      <c r="M835">
        <v>21.051231908364102</v>
      </c>
      <c r="N835">
        <v>54.6441734382541</v>
      </c>
      <c r="O835">
        <v>51.732802636414398</v>
      </c>
      <c r="P835">
        <v>-7.0681580059020699E-2</v>
      </c>
      <c r="Q835">
        <v>0.30522659123385398</v>
      </c>
      <c r="R835">
        <v>0.98525393220689195</v>
      </c>
      <c r="S835" t="s">
        <v>7641</v>
      </c>
      <c r="T835" t="s">
        <v>13610</v>
      </c>
      <c r="U835" t="s">
        <v>13610</v>
      </c>
      <c r="V835" t="s">
        <v>13610</v>
      </c>
      <c r="W835" t="s">
        <v>14422</v>
      </c>
      <c r="X835">
        <v>19</v>
      </c>
      <c r="Y835" t="s">
        <v>21140</v>
      </c>
      <c r="Z835" t="s">
        <v>27690</v>
      </c>
      <c r="AA835">
        <v>0.59645989865969684</v>
      </c>
      <c r="AB835" t="str">
        <f>HYPERLINK("Melting_Curves/meltCurve_H0YNH8_UACA.pdf", "Melting_Curves/meltCurve_H0YNH8_UACA.pdf")</f>
        <v>Melting_Curves/meltCurve_H0YNH8_UACA.pdf</v>
      </c>
    </row>
    <row r="836" spans="1:28" x14ac:dyDescent="0.25">
      <c r="A836" t="s">
        <v>840</v>
      </c>
      <c r="B836">
        <v>0.995954080203443</v>
      </c>
      <c r="C836">
        <v>0.973032546537551</v>
      </c>
      <c r="D836">
        <v>0.97468702840459998</v>
      </c>
      <c r="E836">
        <v>0.81302325596397895</v>
      </c>
      <c r="F836">
        <v>0.757697138777783</v>
      </c>
      <c r="G836">
        <v>0.58709975112078405</v>
      </c>
      <c r="H836">
        <v>0.53336686719364301</v>
      </c>
      <c r="I836">
        <v>0.60701439870625495</v>
      </c>
      <c r="J836">
        <v>0.68609344401288297</v>
      </c>
      <c r="K836">
        <v>0.68204480846051996</v>
      </c>
      <c r="L836">
        <v>1269.9855089218499</v>
      </c>
      <c r="M836">
        <v>25.1495145241975</v>
      </c>
      <c r="O836">
        <v>50.181389951413998</v>
      </c>
      <c r="P836">
        <v>-4.7617450154569203E-2</v>
      </c>
      <c r="Q836">
        <v>0.61995632905708797</v>
      </c>
      <c r="R836">
        <v>0.91402904208884606</v>
      </c>
      <c r="S836" t="s">
        <v>7642</v>
      </c>
      <c r="T836" t="s">
        <v>13610</v>
      </c>
      <c r="U836" t="s">
        <v>13610</v>
      </c>
      <c r="V836" t="s">
        <v>13610</v>
      </c>
      <c r="W836" t="s">
        <v>14423</v>
      </c>
      <c r="X836">
        <v>17</v>
      </c>
      <c r="Y836" t="s">
        <v>21141</v>
      </c>
      <c r="Z836" t="s">
        <v>27691</v>
      </c>
      <c r="AA836">
        <v>0.75631316605016208</v>
      </c>
      <c r="AB836" t="str">
        <f>HYPERLINK("Melting_Curves/meltCurve_H0YNU5_BLM.pdf", "Melting_Curves/meltCurve_H0YNU5_BLM.pdf")</f>
        <v>Melting_Curves/meltCurve_H0YNU5_BLM.pdf</v>
      </c>
    </row>
    <row r="837" spans="1:28" x14ac:dyDescent="0.25">
      <c r="A837" t="s">
        <v>841</v>
      </c>
      <c r="B837">
        <v>0.995954080203443</v>
      </c>
      <c r="C837">
        <v>1.05809809397858</v>
      </c>
      <c r="D837">
        <v>1.0233275630904699</v>
      </c>
      <c r="E837">
        <v>0.92707177515914096</v>
      </c>
      <c r="F837">
        <v>0.74507380425823999</v>
      </c>
      <c r="G837">
        <v>0.50102515785942803</v>
      </c>
      <c r="H837">
        <v>0.323694839750647</v>
      </c>
      <c r="I837">
        <v>0.22432536366767</v>
      </c>
      <c r="J837">
        <v>0.25059045462493101</v>
      </c>
      <c r="K837">
        <v>0.19698866029179901</v>
      </c>
      <c r="L837">
        <v>1096.4963977213699</v>
      </c>
      <c r="M837">
        <v>19.790120023785299</v>
      </c>
      <c r="N837">
        <v>56.859052289887202</v>
      </c>
      <c r="O837">
        <v>54.849824275104297</v>
      </c>
      <c r="P837">
        <v>-7.2303840286527005E-2</v>
      </c>
      <c r="Q837">
        <v>0.19844482106765299</v>
      </c>
      <c r="R837">
        <v>0.99353853053528196</v>
      </c>
      <c r="S837" t="s">
        <v>7643</v>
      </c>
      <c r="T837" t="s">
        <v>13610</v>
      </c>
      <c r="U837" t="s">
        <v>13610</v>
      </c>
      <c r="V837" t="s">
        <v>13610</v>
      </c>
      <c r="W837" t="s">
        <v>14424</v>
      </c>
      <c r="X837">
        <v>5</v>
      </c>
      <c r="Y837" t="s">
        <v>21142</v>
      </c>
      <c r="Z837" t="s">
        <v>27692</v>
      </c>
      <c r="AA837">
        <v>0.62078660019757437</v>
      </c>
      <c r="AB837" t="str">
        <f>HYPERLINK("Melting_Curves/meltCurve_H3BLV0_CD55.pdf", "Melting_Curves/meltCurve_H3BLV0_CD55.pdf")</f>
        <v>Melting_Curves/meltCurve_H3BLV0_CD55.pdf</v>
      </c>
    </row>
    <row r="838" spans="1:28" x14ac:dyDescent="0.25">
      <c r="A838" t="s">
        <v>842</v>
      </c>
      <c r="B838">
        <v>0.995954080203443</v>
      </c>
      <c r="C838">
        <v>0.97705272688215405</v>
      </c>
      <c r="D838">
        <v>0.88584585789910697</v>
      </c>
      <c r="E838">
        <v>0.78777049998316595</v>
      </c>
      <c r="F838">
        <v>0.60599715726110603</v>
      </c>
      <c r="G838">
        <v>0.415775730947683</v>
      </c>
      <c r="H838">
        <v>0.30827642676096301</v>
      </c>
      <c r="I838">
        <v>0.33991525121211602</v>
      </c>
      <c r="J838">
        <v>0.35674342661870501</v>
      </c>
      <c r="K838">
        <v>0.29969664168402399</v>
      </c>
      <c r="L838">
        <v>881.12694210128302</v>
      </c>
      <c r="M838">
        <v>16.945247020257401</v>
      </c>
      <c r="N838">
        <v>54.9732916621223</v>
      </c>
      <c r="O838">
        <v>51.290491350432902</v>
      </c>
      <c r="P838">
        <v>-5.7808565759487E-2</v>
      </c>
      <c r="Q838">
        <v>0.300135508516506</v>
      </c>
      <c r="R838">
        <v>0.99089734457081102</v>
      </c>
      <c r="S838" t="s">
        <v>7644</v>
      </c>
      <c r="T838" t="s">
        <v>13610</v>
      </c>
      <c r="U838" t="s">
        <v>13610</v>
      </c>
      <c r="V838" t="s">
        <v>13610</v>
      </c>
      <c r="W838" t="s">
        <v>14425</v>
      </c>
      <c r="X838">
        <v>4</v>
      </c>
      <c r="Y838" t="s">
        <v>21143</v>
      </c>
      <c r="Z838" t="s">
        <v>27693</v>
      </c>
      <c r="AA838">
        <v>0.59293461582163642</v>
      </c>
      <c r="AB838" t="str">
        <f>HYPERLINK("Melting_Curves/meltCurve_H3BM67_NOL3.pdf", "Melting_Curves/meltCurve_H3BM67_NOL3.pdf")</f>
        <v>Melting_Curves/meltCurve_H3BM67_NOL3.pdf</v>
      </c>
    </row>
    <row r="839" spans="1:28" x14ac:dyDescent="0.25">
      <c r="A839" t="s">
        <v>843</v>
      </c>
      <c r="B839">
        <v>0.995954080203443</v>
      </c>
      <c r="C839">
        <v>1.04701470287931</v>
      </c>
      <c r="D839">
        <v>0.88259394134490599</v>
      </c>
      <c r="E839">
        <v>0.61739919002666999</v>
      </c>
      <c r="F839">
        <v>0.221805200753972</v>
      </c>
      <c r="G839">
        <v>9.9314864563608607E-2</v>
      </c>
      <c r="H839">
        <v>5.2525200559001298E-2</v>
      </c>
      <c r="I839">
        <v>5.0028743634317897E-2</v>
      </c>
      <c r="J839">
        <v>6.3038279727389401E-2</v>
      </c>
      <c r="K839">
        <v>4.3751106385168603E-2</v>
      </c>
      <c r="L839">
        <v>1389.80548609061</v>
      </c>
      <c r="M839">
        <v>27.531002199875701</v>
      </c>
      <c r="N839">
        <v>50.670040070631401</v>
      </c>
      <c r="O839">
        <v>50.217382425767497</v>
      </c>
      <c r="P839">
        <v>-0.130386759259944</v>
      </c>
      <c r="Q839">
        <v>4.8691122585849199E-2</v>
      </c>
      <c r="R839">
        <v>0.99500436573192297</v>
      </c>
      <c r="S839" t="s">
        <v>7645</v>
      </c>
      <c r="T839" t="s">
        <v>13610</v>
      </c>
      <c r="U839" t="s">
        <v>13610</v>
      </c>
      <c r="V839" t="s">
        <v>13610</v>
      </c>
      <c r="W839" t="s">
        <v>14426</v>
      </c>
      <c r="X839">
        <v>2</v>
      </c>
      <c r="Y839" t="s">
        <v>21144</v>
      </c>
      <c r="Z839" t="s">
        <v>27694</v>
      </c>
      <c r="AA839">
        <v>0.38810950273953909</v>
      </c>
      <c r="AB839" t="str">
        <f>HYPERLINK("Melting_Curves/meltCurve_H3BM79_AKTIP.pdf", "Melting_Curves/meltCurve_H3BM79_AKTIP.pdf")</f>
        <v>Melting_Curves/meltCurve_H3BM79_AKTIP.pdf</v>
      </c>
    </row>
    <row r="840" spans="1:28" x14ac:dyDescent="0.25">
      <c r="A840" t="s">
        <v>844</v>
      </c>
      <c r="B840">
        <v>0.995954080203443</v>
      </c>
      <c r="C840">
        <v>0.97376325487835402</v>
      </c>
      <c r="D840">
        <v>0.912849640664953</v>
      </c>
      <c r="E840">
        <v>0.81482745675444501</v>
      </c>
      <c r="F840">
        <v>0.79256330801636299</v>
      </c>
      <c r="G840">
        <v>0.59270946545679803</v>
      </c>
      <c r="H840">
        <v>0.56945410581063904</v>
      </c>
      <c r="I840">
        <v>0.67552277593622601</v>
      </c>
      <c r="J840">
        <v>0.84422087012260805</v>
      </c>
      <c r="K840">
        <v>0.79978907403627797</v>
      </c>
      <c r="L840">
        <v>1072.78330400196</v>
      </c>
      <c r="M840">
        <v>22.1677228424414</v>
      </c>
      <c r="O840">
        <v>48.005275899197798</v>
      </c>
      <c r="P840">
        <v>-3.4160352905020099E-2</v>
      </c>
      <c r="Q840">
        <v>0.70410283163361898</v>
      </c>
      <c r="R840">
        <v>0.66031695831314796</v>
      </c>
      <c r="S840" t="s">
        <v>7646</v>
      </c>
      <c r="T840" t="s">
        <v>13610</v>
      </c>
      <c r="U840" t="s">
        <v>13610</v>
      </c>
      <c r="V840" t="s">
        <v>13610</v>
      </c>
      <c r="W840" t="s">
        <v>14427</v>
      </c>
      <c r="X840">
        <v>13</v>
      </c>
      <c r="Y840" t="s">
        <v>21145</v>
      </c>
      <c r="Z840" t="s">
        <v>27695</v>
      </c>
      <c r="AA840">
        <v>0.79026037305653118</v>
      </c>
      <c r="AB840" t="str">
        <f>HYPERLINK("Melting_Curves/meltCurve_H3BMJ2_C15orf39.pdf", "Melting_Curves/meltCurve_H3BMJ2_C15orf39.pdf")</f>
        <v>Melting_Curves/meltCurve_H3BMJ2_C15orf39.pdf</v>
      </c>
    </row>
    <row r="841" spans="1:28" x14ac:dyDescent="0.25">
      <c r="A841" t="s">
        <v>845</v>
      </c>
      <c r="B841">
        <v>0.995954080203443</v>
      </c>
      <c r="C841">
        <v>0.88898405989201601</v>
      </c>
      <c r="D841">
        <v>0.80973949532665901</v>
      </c>
      <c r="E841">
        <v>0.75243935378314597</v>
      </c>
      <c r="F841">
        <v>0.55944334242906701</v>
      </c>
      <c r="G841">
        <v>0.41068771450574099</v>
      </c>
      <c r="H841">
        <v>0.379145938060239</v>
      </c>
      <c r="I841">
        <v>0.44388068001667402</v>
      </c>
      <c r="J841">
        <v>0.60155211317851798</v>
      </c>
      <c r="K841">
        <v>0.55112092986208305</v>
      </c>
      <c r="L841">
        <v>791.894961139001</v>
      </c>
      <c r="M841">
        <v>16.419733262802499</v>
      </c>
      <c r="N841">
        <v>58.485399743551199</v>
      </c>
      <c r="O841">
        <v>47.529906728899597</v>
      </c>
      <c r="P841">
        <v>-4.5610658435695298E-2</v>
      </c>
      <c r="Q841">
        <v>0.47192385955878302</v>
      </c>
      <c r="R841">
        <v>0.86072106480898403</v>
      </c>
      <c r="S841" t="s">
        <v>7647</v>
      </c>
      <c r="T841" t="s">
        <v>13610</v>
      </c>
      <c r="U841" t="s">
        <v>13610</v>
      </c>
      <c r="V841" t="s">
        <v>13610</v>
      </c>
      <c r="W841" t="s">
        <v>14428</v>
      </c>
      <c r="X841">
        <v>7</v>
      </c>
      <c r="Y841" t="s">
        <v>21146</v>
      </c>
      <c r="Z841" t="s">
        <v>27696</v>
      </c>
      <c r="AA841">
        <v>0.6279945184988871</v>
      </c>
      <c r="AB841" t="str">
        <f>HYPERLINK("Melting_Curves/meltCurve_H3BNT4_MPHOSPH6.pdf", "Melting_Curves/meltCurve_H3BNT4_MPHOSPH6.pdf")</f>
        <v>Melting_Curves/meltCurve_H3BNT4_MPHOSPH6.pdf</v>
      </c>
    </row>
    <row r="842" spans="1:28" x14ac:dyDescent="0.25">
      <c r="A842" t="s">
        <v>846</v>
      </c>
      <c r="B842">
        <v>0.995954080203443</v>
      </c>
      <c r="C842">
        <v>0.93899238932814999</v>
      </c>
      <c r="D842">
        <v>0.66522527367750195</v>
      </c>
      <c r="E842">
        <v>0.46636215779811302</v>
      </c>
      <c r="F842">
        <v>0.20940148530024399</v>
      </c>
      <c r="G842">
        <v>0.104814316472557</v>
      </c>
      <c r="H842">
        <v>7.4755975094770097E-2</v>
      </c>
      <c r="I842">
        <v>6.9824918974100897E-2</v>
      </c>
      <c r="J842">
        <v>7.1884926193016396E-2</v>
      </c>
      <c r="K842">
        <v>5.8947337538437797E-2</v>
      </c>
      <c r="L842">
        <v>807.412608865057</v>
      </c>
      <c r="M842">
        <v>16.651177257763901</v>
      </c>
      <c r="N842">
        <v>48.797610745698996</v>
      </c>
      <c r="O842">
        <v>47.806654283569102</v>
      </c>
      <c r="P842">
        <v>-8.2740501322860094E-2</v>
      </c>
      <c r="Q842">
        <v>4.9849803897285397E-2</v>
      </c>
      <c r="R842">
        <v>0.99204038447329801</v>
      </c>
      <c r="S842" t="s">
        <v>7648</v>
      </c>
      <c r="T842" t="s">
        <v>13610</v>
      </c>
      <c r="U842" t="s">
        <v>13610</v>
      </c>
      <c r="V842" t="s">
        <v>13610</v>
      </c>
      <c r="W842" t="s">
        <v>14429</v>
      </c>
      <c r="X842">
        <v>10</v>
      </c>
      <c r="Y842" t="s">
        <v>21147</v>
      </c>
      <c r="Z842" t="s">
        <v>27697</v>
      </c>
      <c r="AA842">
        <v>0.33821400949433128</v>
      </c>
      <c r="AB842" t="str">
        <f>HYPERLINK("Melting_Curves/meltCurve_H3BPB8_MPI.pdf", "Melting_Curves/meltCurve_H3BPB8_MPI.pdf")</f>
        <v>Melting_Curves/meltCurve_H3BPB8_MPI.pdf</v>
      </c>
    </row>
    <row r="843" spans="1:28" x14ac:dyDescent="0.25">
      <c r="A843" t="s">
        <v>847</v>
      </c>
      <c r="B843">
        <v>0.995954080203443</v>
      </c>
      <c r="C843">
        <v>0.96892335720875</v>
      </c>
      <c r="D843">
        <v>0.94221039610657498</v>
      </c>
      <c r="E843">
        <v>0.80098354094080604</v>
      </c>
      <c r="F843">
        <v>0.26095661650991903</v>
      </c>
      <c r="G843">
        <v>0.15449683015010901</v>
      </c>
      <c r="H843">
        <v>0.109789574672044</v>
      </c>
      <c r="I843">
        <v>0.10993331655606201</v>
      </c>
      <c r="J843">
        <v>0.12702292301336601</v>
      </c>
      <c r="K843">
        <v>0.119243320287962</v>
      </c>
      <c r="L843">
        <v>2497.45021595962</v>
      </c>
      <c r="M843">
        <v>48.748965296993497</v>
      </c>
      <c r="N843">
        <v>51.526503766737903</v>
      </c>
      <c r="O843">
        <v>51.1448461325285</v>
      </c>
      <c r="P843">
        <v>-0.209217251596931</v>
      </c>
      <c r="Q843">
        <v>0.12200195466034</v>
      </c>
      <c r="R843">
        <v>0.99666447382783696</v>
      </c>
      <c r="S843" t="s">
        <v>7649</v>
      </c>
      <c r="T843" t="s">
        <v>13610</v>
      </c>
      <c r="U843" t="s">
        <v>13610</v>
      </c>
      <c r="V843" t="s">
        <v>13610</v>
      </c>
      <c r="W843" t="s">
        <v>14430</v>
      </c>
      <c r="X843">
        <v>354</v>
      </c>
      <c r="Y843" t="s">
        <v>20842</v>
      </c>
      <c r="Z843" t="s">
        <v>27698</v>
      </c>
      <c r="AA843">
        <v>0.4527780985631093</v>
      </c>
      <c r="AB843" t="str">
        <f>HYPERLINK("Melting_Curves/meltCurve_H3BPE1_MACF1.pdf", "Melting_Curves/meltCurve_H3BPE1_MACF1.pdf")</f>
        <v>Melting_Curves/meltCurve_H3BPE1_MACF1.pdf</v>
      </c>
    </row>
    <row r="844" spans="1:28" x14ac:dyDescent="0.25">
      <c r="A844" t="s">
        <v>848</v>
      </c>
      <c r="B844">
        <v>0.995954080203443</v>
      </c>
      <c r="C844">
        <v>0.88902523994468696</v>
      </c>
      <c r="D844">
        <v>0.88754307536633703</v>
      </c>
      <c r="E844">
        <v>0.81150537653695798</v>
      </c>
      <c r="F844">
        <v>0.92868535400127294</v>
      </c>
      <c r="G844">
        <v>0.79039573855975798</v>
      </c>
      <c r="H844">
        <v>0.907738727877201</v>
      </c>
      <c r="I844">
        <v>1.1853803632675299</v>
      </c>
      <c r="J844">
        <v>1.3149086024914201</v>
      </c>
      <c r="K844">
        <v>1.2259717113575599</v>
      </c>
      <c r="L844">
        <v>15000</v>
      </c>
      <c r="M844">
        <v>235.15391074423701</v>
      </c>
      <c r="O844">
        <v>63.7833936692968</v>
      </c>
      <c r="P844">
        <v>0.249264302965988</v>
      </c>
      <c r="Q844">
        <v>1.2704428559132701</v>
      </c>
      <c r="R844">
        <v>0.59636012727885701</v>
      </c>
      <c r="S844" t="s">
        <v>7650</v>
      </c>
      <c r="T844" t="s">
        <v>13610</v>
      </c>
      <c r="U844" t="s">
        <v>13610</v>
      </c>
      <c r="V844" t="s">
        <v>13610</v>
      </c>
      <c r="W844" t="s">
        <v>14431</v>
      </c>
      <c r="X844">
        <v>3</v>
      </c>
      <c r="Y844" t="s">
        <v>21148</v>
      </c>
      <c r="Z844" t="s">
        <v>27699</v>
      </c>
      <c r="AA844">
        <v>1.055965391258477</v>
      </c>
      <c r="AB844" t="str">
        <f>HYPERLINK("Melting_Curves/meltCurve_H3BPJ6_ZNF276.pdf", "Melting_Curves/meltCurve_H3BPJ6_ZNF276.pdf")</f>
        <v>Melting_Curves/meltCurve_H3BPJ6_ZNF276.pdf</v>
      </c>
    </row>
    <row r="845" spans="1:28" x14ac:dyDescent="0.25">
      <c r="A845" t="s">
        <v>849</v>
      </c>
      <c r="B845">
        <v>0.995954080203443</v>
      </c>
      <c r="C845">
        <v>1.0259991011367999</v>
      </c>
      <c r="D845">
        <v>0.99268500225101897</v>
      </c>
      <c r="E845">
        <v>0.83685166774295106</v>
      </c>
      <c r="F845">
        <v>0.70776556966153104</v>
      </c>
      <c r="G845">
        <v>0.50724757180630198</v>
      </c>
      <c r="H845">
        <v>0.36768003351282602</v>
      </c>
      <c r="I845">
        <v>0.26658503462128402</v>
      </c>
      <c r="J845">
        <v>0.19311921722664999</v>
      </c>
      <c r="K845">
        <v>0.116316556107229</v>
      </c>
      <c r="L845">
        <v>680.85968217064897</v>
      </c>
      <c r="M845">
        <v>11.9467919018086</v>
      </c>
      <c r="N845">
        <v>57.477544610061798</v>
      </c>
      <c r="O845">
        <v>55.4645878962259</v>
      </c>
      <c r="P845">
        <v>-5.1271644045434397E-2</v>
      </c>
      <c r="Q845">
        <v>4.80912783078003E-2</v>
      </c>
      <c r="R845">
        <v>0.99463693140894005</v>
      </c>
      <c r="S845" t="s">
        <v>7651</v>
      </c>
      <c r="T845" t="s">
        <v>13610</v>
      </c>
      <c r="U845" t="s">
        <v>13610</v>
      </c>
      <c r="V845" t="s">
        <v>13610</v>
      </c>
      <c r="W845" t="s">
        <v>14432</v>
      </c>
      <c r="X845">
        <v>12</v>
      </c>
      <c r="Y845" t="s">
        <v>21149</v>
      </c>
      <c r="Z845" t="s">
        <v>27700</v>
      </c>
      <c r="AA845">
        <v>0.60327207749523037</v>
      </c>
      <c r="AB845" t="str">
        <f>HYPERLINK("Melting_Curves/meltCurve_H3BPK3_HAGH.pdf", "Melting_Curves/meltCurve_H3BPK3_HAGH.pdf")</f>
        <v>Melting_Curves/meltCurve_H3BPK3_HAGH.pdf</v>
      </c>
    </row>
    <row r="846" spans="1:28" x14ac:dyDescent="0.25">
      <c r="A846" t="s">
        <v>850</v>
      </c>
      <c r="B846">
        <v>0.995954080203443</v>
      </c>
      <c r="C846">
        <v>0.98624877692167801</v>
      </c>
      <c r="D846">
        <v>0.94087464008695598</v>
      </c>
      <c r="E846">
        <v>0.82600516334933605</v>
      </c>
      <c r="F846">
        <v>0.70626638056203295</v>
      </c>
      <c r="G846">
        <v>0.52538549576564997</v>
      </c>
      <c r="H846">
        <v>0.37669400025838401</v>
      </c>
      <c r="I846">
        <v>0.28755420238711499</v>
      </c>
      <c r="J846">
        <v>0.23716126599944801</v>
      </c>
      <c r="K846">
        <v>0.26582072667647499</v>
      </c>
      <c r="L846">
        <v>717.63840090976896</v>
      </c>
      <c r="M846">
        <v>12.9827071470891</v>
      </c>
      <c r="N846">
        <v>57.333153239461701</v>
      </c>
      <c r="O846">
        <v>54.0143148468891</v>
      </c>
      <c r="P846">
        <v>-4.8911736853639198E-2</v>
      </c>
      <c r="Q846">
        <v>0.18615909133210101</v>
      </c>
      <c r="R846">
        <v>0.99761818950466397</v>
      </c>
      <c r="S846" t="s">
        <v>7652</v>
      </c>
      <c r="T846" t="s">
        <v>13610</v>
      </c>
      <c r="U846" t="s">
        <v>13610</v>
      </c>
      <c r="V846" t="s">
        <v>13610</v>
      </c>
      <c r="W846" t="s">
        <v>14433</v>
      </c>
      <c r="X846">
        <v>27</v>
      </c>
      <c r="Y846" t="s">
        <v>21150</v>
      </c>
      <c r="Z846" t="s">
        <v>27701</v>
      </c>
      <c r="AA846">
        <v>0.61804343737280865</v>
      </c>
      <c r="AB846" t="str">
        <f>HYPERLINK("Melting_Curves/meltCurve_H3BPS8_ALDOA.pdf", "Melting_Curves/meltCurve_H3BPS8_ALDOA.pdf")</f>
        <v>Melting_Curves/meltCurve_H3BPS8_ALDOA.pdf</v>
      </c>
    </row>
    <row r="847" spans="1:28" x14ac:dyDescent="0.25">
      <c r="A847" t="s">
        <v>851</v>
      </c>
      <c r="B847">
        <v>0.995954080203443</v>
      </c>
      <c r="C847">
        <v>0.96826824308006898</v>
      </c>
      <c r="D847">
        <v>0.94307074356173304</v>
      </c>
      <c r="E847">
        <v>0.85821896343891901</v>
      </c>
      <c r="F847">
        <v>0.79526021374858902</v>
      </c>
      <c r="G847">
        <v>0.61738969534912902</v>
      </c>
      <c r="H847">
        <v>0.50745963058494603</v>
      </c>
      <c r="I847">
        <v>0.44734320533161498</v>
      </c>
      <c r="J847">
        <v>0.54444561029582705</v>
      </c>
      <c r="K847">
        <v>0.55028084300576496</v>
      </c>
      <c r="L847">
        <v>949.19729970477999</v>
      </c>
      <c r="M847">
        <v>17.8295312037542</v>
      </c>
      <c r="O847">
        <v>52.581204177861302</v>
      </c>
      <c r="P847">
        <v>-4.2859209567110403E-2</v>
      </c>
      <c r="Q847">
        <v>0.49444022331122001</v>
      </c>
      <c r="R847">
        <v>0.96686058548223797</v>
      </c>
      <c r="S847" t="s">
        <v>7653</v>
      </c>
      <c r="T847" t="s">
        <v>13610</v>
      </c>
      <c r="U847" t="s">
        <v>13610</v>
      </c>
      <c r="V847" t="s">
        <v>13610</v>
      </c>
      <c r="W847" t="s">
        <v>14434</v>
      </c>
      <c r="X847">
        <v>4</v>
      </c>
      <c r="Y847" t="s">
        <v>21151</v>
      </c>
      <c r="Z847" t="s">
        <v>27702</v>
      </c>
      <c r="AA847">
        <v>0.72587910700140845</v>
      </c>
      <c r="AB847" t="str">
        <f>HYPERLINK("Melting_Curves/meltCurve_H3BQA0_SNAPC5.pdf", "Melting_Curves/meltCurve_H3BQA0_SNAPC5.pdf")</f>
        <v>Melting_Curves/meltCurve_H3BQA0_SNAPC5.pdf</v>
      </c>
    </row>
    <row r="848" spans="1:28" x14ac:dyDescent="0.25">
      <c r="A848" t="s">
        <v>852</v>
      </c>
      <c r="B848">
        <v>0.995954080203443</v>
      </c>
      <c r="C848">
        <v>0.93819800169473</v>
      </c>
      <c r="D848">
        <v>0.83966859999705401</v>
      </c>
      <c r="E848">
        <v>0.58401043164618405</v>
      </c>
      <c r="F848">
        <v>0.27371392379953502</v>
      </c>
      <c r="G848">
        <v>0.169015673829046</v>
      </c>
      <c r="H848">
        <v>0.12889576290795801</v>
      </c>
      <c r="I848">
        <v>0.129294132374566</v>
      </c>
      <c r="J848">
        <v>0.17043528875950101</v>
      </c>
      <c r="K848">
        <v>0.14859632927705299</v>
      </c>
      <c r="L848">
        <v>1064.0850468508199</v>
      </c>
      <c r="M848">
        <v>21.418248689413598</v>
      </c>
      <c r="N848">
        <v>50.398913081171798</v>
      </c>
      <c r="O848">
        <v>49.254210398682098</v>
      </c>
      <c r="P848">
        <v>-9.4426479688360501E-2</v>
      </c>
      <c r="Q848">
        <v>0.131434460002266</v>
      </c>
      <c r="R848">
        <v>0.99348179584371998</v>
      </c>
      <c r="S848" t="s">
        <v>7654</v>
      </c>
      <c r="T848" t="s">
        <v>13610</v>
      </c>
      <c r="U848" t="s">
        <v>13610</v>
      </c>
      <c r="V848" t="s">
        <v>13610</v>
      </c>
      <c r="W848" t="s">
        <v>14435</v>
      </c>
      <c r="X848">
        <v>26</v>
      </c>
      <c r="Y848" t="s">
        <v>21152</v>
      </c>
      <c r="Z848" t="s">
        <v>27703</v>
      </c>
      <c r="AA848">
        <v>0.42229428411780551</v>
      </c>
      <c r="AB848" t="str">
        <f>HYPERLINK("Melting_Curves/meltCurve_H3BQZ7_hCG_2044799.pdf", "Melting_Curves/meltCurve_H3BQZ7_hCG_2044799.pdf")</f>
        <v>Melting_Curves/meltCurve_H3BQZ7_hCG_2044799.pdf</v>
      </c>
    </row>
    <row r="849" spans="1:28" x14ac:dyDescent="0.25">
      <c r="A849" t="s">
        <v>853</v>
      </c>
      <c r="B849">
        <v>0.995954080203443</v>
      </c>
      <c r="C849">
        <v>0.98864241305113698</v>
      </c>
      <c r="D849">
        <v>1.1183632158829899</v>
      </c>
      <c r="E849">
        <v>0.90609952739441002</v>
      </c>
      <c r="F849">
        <v>0.92496251316974698</v>
      </c>
      <c r="G849">
        <v>0.77897332914566098</v>
      </c>
      <c r="H849">
        <v>0.69721108969145995</v>
      </c>
      <c r="I849">
        <v>0.89066469259057401</v>
      </c>
      <c r="J849">
        <v>0.96032857368227997</v>
      </c>
      <c r="K849">
        <v>1.03646773046541</v>
      </c>
      <c r="L849">
        <v>6738.5456222941502</v>
      </c>
      <c r="M849">
        <v>136.10454679348899</v>
      </c>
      <c r="O849">
        <v>49.499375888517399</v>
      </c>
      <c r="P849">
        <v>-8.1509390243058005E-2</v>
      </c>
      <c r="Q849">
        <v>0.881424550286106</v>
      </c>
      <c r="R849">
        <v>0.32551986603104199</v>
      </c>
      <c r="S849" t="s">
        <v>7655</v>
      </c>
      <c r="T849" t="s">
        <v>13610</v>
      </c>
      <c r="U849" t="s">
        <v>13610</v>
      </c>
      <c r="V849" t="s">
        <v>13610</v>
      </c>
      <c r="W849" t="s">
        <v>14436</v>
      </c>
      <c r="X849">
        <v>13</v>
      </c>
      <c r="Y849" t="s">
        <v>21153</v>
      </c>
      <c r="Z849" t="s">
        <v>27704</v>
      </c>
      <c r="AA849">
        <v>0.91904802364034144</v>
      </c>
      <c r="AB849" t="str">
        <f>HYPERLINK("Melting_Curves/meltCurve_H3BRF9_ZFYVE19.pdf", "Melting_Curves/meltCurve_H3BRF9_ZFYVE19.pdf")</f>
        <v>Melting_Curves/meltCurve_H3BRF9_ZFYVE19.pdf</v>
      </c>
    </row>
    <row r="850" spans="1:28" x14ac:dyDescent="0.25">
      <c r="A850" t="s">
        <v>854</v>
      </c>
      <c r="B850">
        <v>0.995954080203443</v>
      </c>
      <c r="C850">
        <v>0.99035977108498996</v>
      </c>
      <c r="D850">
        <v>1.04928875593105</v>
      </c>
      <c r="E850">
        <v>0.910092407996139</v>
      </c>
      <c r="F850">
        <v>0.80527487027780897</v>
      </c>
      <c r="G850">
        <v>0.39954316864797301</v>
      </c>
      <c r="H850">
        <v>0.22247767398660201</v>
      </c>
      <c r="I850">
        <v>0.20253797654894001</v>
      </c>
      <c r="J850">
        <v>0.228951995935293</v>
      </c>
      <c r="K850">
        <v>0.228418051211944</v>
      </c>
      <c r="L850">
        <v>1643.9724477398299</v>
      </c>
      <c r="M850">
        <v>30.001540875268201</v>
      </c>
      <c r="N850">
        <v>55.802882408622303</v>
      </c>
      <c r="O850">
        <v>54.554554330076499</v>
      </c>
      <c r="P850">
        <v>-0.108754075245973</v>
      </c>
      <c r="Q850">
        <v>0.20897528618983299</v>
      </c>
      <c r="R850">
        <v>0.99470207852516601</v>
      </c>
      <c r="S850" t="s">
        <v>7656</v>
      </c>
      <c r="T850" t="s">
        <v>13610</v>
      </c>
      <c r="U850" t="s">
        <v>13610</v>
      </c>
      <c r="V850" t="s">
        <v>13610</v>
      </c>
      <c r="W850" t="s">
        <v>14437</v>
      </c>
      <c r="X850">
        <v>14</v>
      </c>
      <c r="Y850" t="s">
        <v>21154</v>
      </c>
      <c r="Z850" t="s">
        <v>27705</v>
      </c>
      <c r="AA850">
        <v>0.60435349779990843</v>
      </c>
      <c r="AB850" t="str">
        <f>HYPERLINK("Melting_Curves/meltCurve_H3BRL3_UBFD1.pdf", "Melting_Curves/meltCurve_H3BRL3_UBFD1.pdf")</f>
        <v>Melting_Curves/meltCurve_H3BRL3_UBFD1.pdf</v>
      </c>
    </row>
    <row r="851" spans="1:28" x14ac:dyDescent="0.25">
      <c r="A851" t="s">
        <v>855</v>
      </c>
      <c r="B851">
        <v>0.995954080203443</v>
      </c>
      <c r="C851">
        <v>0.83413553269274898</v>
      </c>
      <c r="D851">
        <v>0.61400283577550296</v>
      </c>
      <c r="E851">
        <v>0.36884836612182997</v>
      </c>
      <c r="F851">
        <v>0.23608639236512199</v>
      </c>
      <c r="G851">
        <v>0.129514401595863</v>
      </c>
      <c r="H851">
        <v>8.7408462338949305E-2</v>
      </c>
      <c r="I851">
        <v>7.2194211627056304E-2</v>
      </c>
      <c r="J851">
        <v>9.04579117810769E-2</v>
      </c>
      <c r="K851">
        <v>7.1005156832709707E-2</v>
      </c>
      <c r="L851">
        <v>718.85176945011597</v>
      </c>
      <c r="M851">
        <v>15.1714053662472</v>
      </c>
      <c r="N851">
        <v>47.829248252909601</v>
      </c>
      <c r="O851">
        <v>46.5816914942381</v>
      </c>
      <c r="P851">
        <v>-7.6046522999299801E-2</v>
      </c>
      <c r="Q851">
        <v>6.6129433137312704E-2</v>
      </c>
      <c r="R851">
        <v>0.99643788846030801</v>
      </c>
      <c r="S851" t="s">
        <v>7657</v>
      </c>
      <c r="T851" t="s">
        <v>13610</v>
      </c>
      <c r="U851" t="s">
        <v>13610</v>
      </c>
      <c r="V851" t="s">
        <v>13610</v>
      </c>
      <c r="W851" t="s">
        <v>14438</v>
      </c>
      <c r="X851">
        <v>2</v>
      </c>
      <c r="Y851" t="s">
        <v>21155</v>
      </c>
      <c r="Z851" t="s">
        <v>27706</v>
      </c>
      <c r="AA851">
        <v>0.32016386462773422</v>
      </c>
      <c r="AB851" t="str">
        <f>HYPERLINK("Melting_Curves/meltCurve_H3BRR0_SPG21.pdf", "Melting_Curves/meltCurve_H3BRR0_SPG21.pdf")</f>
        <v>Melting_Curves/meltCurve_H3BRR0_SPG21.pdf</v>
      </c>
    </row>
    <row r="852" spans="1:28" x14ac:dyDescent="0.25">
      <c r="A852" t="s">
        <v>856</v>
      </c>
      <c r="B852">
        <v>0.995954080203443</v>
      </c>
      <c r="C852">
        <v>0.92996125072818603</v>
      </c>
      <c r="D852">
        <v>0.90600680230586195</v>
      </c>
      <c r="E852">
        <v>0.62088437794185003</v>
      </c>
      <c r="F852">
        <v>0.15943882700999901</v>
      </c>
      <c r="G852">
        <v>8.1564701514515406E-2</v>
      </c>
      <c r="H852">
        <v>4.2850085633789101E-2</v>
      </c>
      <c r="I852">
        <v>2.5411219005210602E-2</v>
      </c>
      <c r="J852">
        <v>2.8172337786543999E-2</v>
      </c>
      <c r="K852">
        <v>2.76572586670292E-2</v>
      </c>
      <c r="L852">
        <v>1692.41683243076</v>
      </c>
      <c r="M852">
        <v>33.525491402985097</v>
      </c>
      <c r="N852">
        <v>50.581067790690298</v>
      </c>
      <c r="O852">
        <v>50.302900445270602</v>
      </c>
      <c r="P852">
        <v>-0.16129848235800601</v>
      </c>
      <c r="Q852">
        <v>3.19310781330569E-2</v>
      </c>
      <c r="R852">
        <v>0.99327915598146599</v>
      </c>
      <c r="S852" t="s">
        <v>7658</v>
      </c>
      <c r="T852" t="s">
        <v>13610</v>
      </c>
      <c r="U852" t="s">
        <v>13610</v>
      </c>
      <c r="V852" t="s">
        <v>13610</v>
      </c>
      <c r="W852" t="s">
        <v>14439</v>
      </c>
      <c r="X852">
        <v>1</v>
      </c>
      <c r="Y852" t="s">
        <v>21156</v>
      </c>
      <c r="Z852" t="s">
        <v>27707</v>
      </c>
      <c r="AA852">
        <v>0.37498195489845693</v>
      </c>
      <c r="AB852" t="str">
        <f>HYPERLINK("Melting_Curves/meltCurve_H3BRU4_GPR97.pdf", "Melting_Curves/meltCurve_H3BRU4_GPR97.pdf")</f>
        <v>Melting_Curves/meltCurve_H3BRU4_GPR97.pdf</v>
      </c>
    </row>
    <row r="853" spans="1:28" x14ac:dyDescent="0.25">
      <c r="A853" t="s">
        <v>857</v>
      </c>
      <c r="B853">
        <v>0.995954080203443</v>
      </c>
      <c r="C853">
        <v>0.75084085108852505</v>
      </c>
      <c r="D853">
        <v>0.61725706531761004</v>
      </c>
      <c r="E853">
        <v>0.40161708443838401</v>
      </c>
      <c r="F853">
        <v>0.30893122619060798</v>
      </c>
      <c r="G853">
        <v>0.211364001031288</v>
      </c>
      <c r="H853">
        <v>0.17494944377003099</v>
      </c>
      <c r="I853">
        <v>0.182727071700961</v>
      </c>
      <c r="J853">
        <v>0.22767748730123499</v>
      </c>
      <c r="K853">
        <v>0.20166148453023999</v>
      </c>
      <c r="L853">
        <v>687.705286713281</v>
      </c>
      <c r="M853">
        <v>14.8643842294919</v>
      </c>
      <c r="N853">
        <v>47.753221873947197</v>
      </c>
      <c r="O853">
        <v>45.4521602229322</v>
      </c>
      <c r="P853">
        <v>-6.6611356307239203E-2</v>
      </c>
      <c r="Q853">
        <v>0.18535122380256</v>
      </c>
      <c r="R853">
        <v>0.98464028288191596</v>
      </c>
      <c r="S853" t="s">
        <v>7659</v>
      </c>
      <c r="T853" t="s">
        <v>13610</v>
      </c>
      <c r="U853" t="s">
        <v>13610</v>
      </c>
      <c r="V853" t="s">
        <v>13610</v>
      </c>
      <c r="W853" t="s">
        <v>14440</v>
      </c>
      <c r="X853">
        <v>28</v>
      </c>
      <c r="Y853" t="s">
        <v>21157</v>
      </c>
      <c r="Z853" t="s">
        <v>27708</v>
      </c>
      <c r="AA853">
        <v>0.37922456082014627</v>
      </c>
      <c r="AB853" t="str">
        <f>HYPERLINK("Melting_Curves/meltCurve_H3BRV0_EIF3C.pdf", "Melting_Curves/meltCurve_H3BRV0_EIF3C.pdf")</f>
        <v>Melting_Curves/meltCurve_H3BRV0_EIF3C.pdf</v>
      </c>
    </row>
    <row r="854" spans="1:28" x14ac:dyDescent="0.25">
      <c r="A854" t="s">
        <v>858</v>
      </c>
      <c r="B854">
        <v>0.995954080203443</v>
      </c>
      <c r="C854">
        <v>0.94794515425654202</v>
      </c>
      <c r="D854">
        <v>1.3181615786874701</v>
      </c>
      <c r="E854">
        <v>0.96181436094802797</v>
      </c>
      <c r="F854">
        <v>1.0693474810130299</v>
      </c>
      <c r="G854">
        <v>0.91705639079641899</v>
      </c>
      <c r="H854">
        <v>0.867070125948049</v>
      </c>
      <c r="I854">
        <v>1.1690074685906</v>
      </c>
      <c r="J854">
        <v>0.91241458855097402</v>
      </c>
      <c r="K854">
        <v>1.4366992614179801</v>
      </c>
      <c r="L854">
        <v>15000</v>
      </c>
      <c r="M854">
        <v>216.21041632841099</v>
      </c>
      <c r="O854">
        <v>69.370928456713898</v>
      </c>
      <c r="P854">
        <v>0.38959120011511</v>
      </c>
      <c r="Q854">
        <v>1.5</v>
      </c>
      <c r="R854">
        <v>0.47572565804516398</v>
      </c>
      <c r="S854" t="s">
        <v>7660</v>
      </c>
      <c r="T854" t="s">
        <v>13610</v>
      </c>
      <c r="U854" t="s">
        <v>13610</v>
      </c>
      <c r="V854" t="s">
        <v>13610</v>
      </c>
      <c r="W854" t="s">
        <v>14441</v>
      </c>
      <c r="X854">
        <v>3</v>
      </c>
      <c r="Y854" t="s">
        <v>21158</v>
      </c>
      <c r="Z854" t="s">
        <v>27709</v>
      </c>
      <c r="AA854">
        <v>1.0110530881225701</v>
      </c>
      <c r="AB854" t="str">
        <f>HYPERLINK("Melting_Curves/meltCurve_H3BS09_CYLD.pdf", "Melting_Curves/meltCurve_H3BS09_CYLD.pdf")</f>
        <v>Melting_Curves/meltCurve_H3BS09_CYLD.pdf</v>
      </c>
    </row>
    <row r="855" spans="1:28" x14ac:dyDescent="0.25">
      <c r="A855" t="s">
        <v>859</v>
      </c>
      <c r="B855">
        <v>0.995954080203443</v>
      </c>
      <c r="C855">
        <v>0.98430144683936205</v>
      </c>
      <c r="D855">
        <v>0.94186804914966005</v>
      </c>
      <c r="E855">
        <v>0.788721694640377</v>
      </c>
      <c r="F855">
        <v>0.72517986298687898</v>
      </c>
      <c r="G855">
        <v>0.37388759707944103</v>
      </c>
      <c r="H855">
        <v>0.14422969422309501</v>
      </c>
      <c r="I855">
        <v>0.22563868926698699</v>
      </c>
      <c r="J855">
        <v>0.17233921161571</v>
      </c>
      <c r="K855">
        <v>0.202848951183247</v>
      </c>
      <c r="L855">
        <v>1061.3448035266499</v>
      </c>
      <c r="M855">
        <v>19.6554383165819</v>
      </c>
      <c r="N855">
        <v>55.0387351640261</v>
      </c>
      <c r="O855">
        <v>53.447890018318702</v>
      </c>
      <c r="P855">
        <v>-7.7665154610433496E-2</v>
      </c>
      <c r="Q855">
        <v>0.155267933103407</v>
      </c>
      <c r="R855">
        <v>0.98217406626268899</v>
      </c>
      <c r="S855" t="s">
        <v>7661</v>
      </c>
      <c r="T855" t="s">
        <v>13610</v>
      </c>
      <c r="U855" t="s">
        <v>13610</v>
      </c>
      <c r="V855" t="s">
        <v>13610</v>
      </c>
      <c r="W855" t="s">
        <v>14442</v>
      </c>
      <c r="X855">
        <v>13</v>
      </c>
      <c r="Y855" t="s">
        <v>21159</v>
      </c>
      <c r="Z855" t="s">
        <v>27710</v>
      </c>
      <c r="AA855">
        <v>0.56121161674491715</v>
      </c>
      <c r="AB855" t="str">
        <f>HYPERLINK("Melting_Curves/meltCurve_H3BSC1_RAB11A.pdf", "Melting_Curves/meltCurve_H3BSC1_RAB11A.pdf")</f>
        <v>Melting_Curves/meltCurve_H3BSC1_RAB11A.pdf</v>
      </c>
    </row>
    <row r="856" spans="1:28" x14ac:dyDescent="0.25">
      <c r="A856" t="s">
        <v>860</v>
      </c>
      <c r="B856">
        <v>0.995954080203443</v>
      </c>
      <c r="C856">
        <v>0.94048667815838305</v>
      </c>
      <c r="D856">
        <v>0.86054893649231101</v>
      </c>
      <c r="E856">
        <v>0.66701736614916696</v>
      </c>
      <c r="F856">
        <v>0.45952226854810602</v>
      </c>
      <c r="G856">
        <v>0.28397935499055299</v>
      </c>
      <c r="H856">
        <v>0.252449942791237</v>
      </c>
      <c r="I856">
        <v>0.24900580386087001</v>
      </c>
      <c r="J856">
        <v>0.32319521591136102</v>
      </c>
      <c r="K856">
        <v>0.28132098450871201</v>
      </c>
      <c r="L856">
        <v>953.38699461465103</v>
      </c>
      <c r="M856">
        <v>19.026505048304202</v>
      </c>
      <c r="N856">
        <v>52.110430931203901</v>
      </c>
      <c r="O856">
        <v>49.564667586785397</v>
      </c>
      <c r="P856">
        <v>-7.1087835573400301E-2</v>
      </c>
      <c r="Q856">
        <v>0.25928471436629102</v>
      </c>
      <c r="R856">
        <v>0.98875785277120298</v>
      </c>
      <c r="S856" t="s">
        <v>7662</v>
      </c>
      <c r="T856" t="s">
        <v>13610</v>
      </c>
      <c r="U856" t="s">
        <v>13610</v>
      </c>
      <c r="V856" t="s">
        <v>13610</v>
      </c>
      <c r="W856" t="s">
        <v>14443</v>
      </c>
      <c r="X856">
        <v>3</v>
      </c>
      <c r="Y856" t="s">
        <v>21160</v>
      </c>
      <c r="Z856" t="s">
        <v>27711</v>
      </c>
      <c r="AA856">
        <v>0.52021537980771759</v>
      </c>
      <c r="AB856" t="str">
        <f>HYPERLINK("Melting_Curves/meltCurve_H3BSJ5_COQ9.pdf", "Melting_Curves/meltCurve_H3BSJ5_COQ9.pdf")</f>
        <v>Melting_Curves/meltCurve_H3BSJ5_COQ9.pdf</v>
      </c>
    </row>
    <row r="857" spans="1:28" x14ac:dyDescent="0.25">
      <c r="A857" t="s">
        <v>861</v>
      </c>
      <c r="B857">
        <v>0.995954080203443</v>
      </c>
      <c r="C857">
        <v>0.85295236671035002</v>
      </c>
      <c r="D857">
        <v>0.62793253498463297</v>
      </c>
      <c r="E857">
        <v>0.63700841506851402</v>
      </c>
      <c r="F857">
        <v>0.31090322098991802</v>
      </c>
      <c r="G857">
        <v>0.13034054524576</v>
      </c>
      <c r="H857">
        <v>0.13609694624002799</v>
      </c>
      <c r="I857">
        <v>9.4018602986181393E-2</v>
      </c>
      <c r="J857">
        <v>0.135833186680685</v>
      </c>
      <c r="K857">
        <v>9.7835144551954301E-2</v>
      </c>
      <c r="L857">
        <v>599.94453901035502</v>
      </c>
      <c r="M857">
        <v>12.153739736955</v>
      </c>
      <c r="N857">
        <v>49.847192422628403</v>
      </c>
      <c r="O857">
        <v>48.083595293870196</v>
      </c>
      <c r="P857">
        <v>-5.9685830873267599E-2</v>
      </c>
      <c r="Q857">
        <v>5.5681345040585098E-2</v>
      </c>
      <c r="R857">
        <v>0.95995219911614105</v>
      </c>
      <c r="S857" t="s">
        <v>7663</v>
      </c>
      <c r="T857" t="s">
        <v>13610</v>
      </c>
      <c r="U857" t="s">
        <v>13610</v>
      </c>
      <c r="V857" t="s">
        <v>13610</v>
      </c>
      <c r="W857" t="s">
        <v>14444</v>
      </c>
      <c r="X857">
        <v>2</v>
      </c>
      <c r="Y857" t="s">
        <v>21161</v>
      </c>
      <c r="Z857" t="s">
        <v>27712</v>
      </c>
      <c r="AA857">
        <v>0.38364324924695842</v>
      </c>
      <c r="AB857" t="str">
        <f>HYPERLINK("Melting_Curves/meltCurve_H3BSJ9_UQCRC2.pdf", "Melting_Curves/meltCurve_H3BSJ9_UQCRC2.pdf")</f>
        <v>Melting_Curves/meltCurve_H3BSJ9_UQCRC2.pdf</v>
      </c>
    </row>
    <row r="858" spans="1:28" x14ac:dyDescent="0.25">
      <c r="A858" t="s">
        <v>862</v>
      </c>
      <c r="B858">
        <v>0.995954080203443</v>
      </c>
      <c r="C858">
        <v>1.0613961402627901</v>
      </c>
      <c r="D858">
        <v>0.98672796593791801</v>
      </c>
      <c r="E858">
        <v>0.95567548122312096</v>
      </c>
      <c r="F858">
        <v>0.70661646130434597</v>
      </c>
      <c r="G858">
        <v>0.457657612275364</v>
      </c>
      <c r="H858">
        <v>0.215638248944169</v>
      </c>
      <c r="I858">
        <v>0.155354659529122</v>
      </c>
      <c r="J858">
        <v>0.136704302808313</v>
      </c>
      <c r="K858">
        <v>9.39215099802065E-2</v>
      </c>
      <c r="L858">
        <v>1108.5099608678299</v>
      </c>
      <c r="M858">
        <v>19.950701963645098</v>
      </c>
      <c r="N858">
        <v>56.144556002745901</v>
      </c>
      <c r="O858">
        <v>55.0132586485065</v>
      </c>
      <c r="P858">
        <v>-8.2195380125257705E-2</v>
      </c>
      <c r="Q858">
        <v>9.3428022157542603E-2</v>
      </c>
      <c r="R858">
        <v>0.99399477622696797</v>
      </c>
      <c r="S858" t="s">
        <v>7664</v>
      </c>
      <c r="T858" t="s">
        <v>13610</v>
      </c>
      <c r="U858" t="s">
        <v>13610</v>
      </c>
      <c r="V858" t="s">
        <v>13610</v>
      </c>
      <c r="W858" t="s">
        <v>14445</v>
      </c>
      <c r="X858">
        <v>5</v>
      </c>
      <c r="Y858" t="s">
        <v>21162</v>
      </c>
      <c r="Z858" t="s">
        <v>27713</v>
      </c>
      <c r="AA858">
        <v>0.57562254528693169</v>
      </c>
      <c r="AB858" t="str">
        <f>HYPERLINK("Melting_Curves/meltCurve_H3BST1_BLOC1S6.pdf", "Melting_Curves/meltCurve_H3BST1_BLOC1S6.pdf")</f>
        <v>Melting_Curves/meltCurve_H3BST1_BLOC1S6.pdf</v>
      </c>
    </row>
    <row r="859" spans="1:28" x14ac:dyDescent="0.25">
      <c r="A859" t="s">
        <v>863</v>
      </c>
      <c r="B859">
        <v>0.995954080203443</v>
      </c>
      <c r="C859">
        <v>0.61049622450005803</v>
      </c>
      <c r="D859">
        <v>0.47546596834495503</v>
      </c>
      <c r="E859">
        <v>0.45747297493596401</v>
      </c>
      <c r="F859">
        <v>0.19053282831554499</v>
      </c>
      <c r="G859">
        <v>0.11772839558696201</v>
      </c>
      <c r="H859">
        <v>8.1225304530309295E-2</v>
      </c>
      <c r="I859">
        <v>7.5815210220531698E-2</v>
      </c>
      <c r="J859">
        <v>9.6441229188570607E-2</v>
      </c>
      <c r="K859">
        <v>8.57554488420008E-2</v>
      </c>
      <c r="L859">
        <v>538.25872232794097</v>
      </c>
      <c r="M859">
        <v>11.692851917477499</v>
      </c>
      <c r="N859">
        <v>46.498104148353796</v>
      </c>
      <c r="O859">
        <v>44.748589567509903</v>
      </c>
      <c r="P859">
        <v>-6.1737510642595299E-2</v>
      </c>
      <c r="Q859">
        <v>5.51734028151993E-2</v>
      </c>
      <c r="R859">
        <v>0.93788895930063798</v>
      </c>
      <c r="S859" t="s">
        <v>7665</v>
      </c>
      <c r="T859" t="s">
        <v>13610</v>
      </c>
      <c r="U859" t="s">
        <v>13610</v>
      </c>
      <c r="V859" t="s">
        <v>13610</v>
      </c>
      <c r="W859" t="s">
        <v>14446</v>
      </c>
      <c r="X859">
        <v>4</v>
      </c>
      <c r="Y859" t="s">
        <v>21163</v>
      </c>
      <c r="Z859" t="s">
        <v>27714</v>
      </c>
      <c r="AA859">
        <v>0.29015224978269583</v>
      </c>
      <c r="AB859" t="str">
        <f>HYPERLINK("Melting_Curves/meltCurve_H3BSZ4_MLST8.pdf", "Melting_Curves/meltCurve_H3BSZ4_MLST8.pdf")</f>
        <v>Melting_Curves/meltCurve_H3BSZ4_MLST8.pdf</v>
      </c>
    </row>
    <row r="860" spans="1:28" x14ac:dyDescent="0.25">
      <c r="A860" t="s">
        <v>864</v>
      </c>
      <c r="B860">
        <v>0.995954080203443</v>
      </c>
      <c r="C860">
        <v>1.13670998312281</v>
      </c>
      <c r="D860">
        <v>1.0132297301842801</v>
      </c>
      <c r="E860">
        <v>1.0279156702821901</v>
      </c>
      <c r="F860">
        <v>0.99483693804225004</v>
      </c>
      <c r="G860">
        <v>0.92222954085452402</v>
      </c>
      <c r="H860">
        <v>0.86805309620517501</v>
      </c>
      <c r="I860">
        <v>1.0215265860093301</v>
      </c>
      <c r="J860">
        <v>1.4068751559908701</v>
      </c>
      <c r="K860">
        <v>1.15063352371871</v>
      </c>
      <c r="L860">
        <v>15000</v>
      </c>
      <c r="M860">
        <v>231.922348330452</v>
      </c>
      <c r="O860">
        <v>64.672012379363295</v>
      </c>
      <c r="P860">
        <v>0.24991409021990099</v>
      </c>
      <c r="Q860">
        <v>1.2787561761455299</v>
      </c>
      <c r="R860">
        <v>0.62544980501307501</v>
      </c>
      <c r="S860" t="s">
        <v>7666</v>
      </c>
      <c r="T860" t="s">
        <v>13610</v>
      </c>
      <c r="U860" t="s">
        <v>13610</v>
      </c>
      <c r="V860" t="s">
        <v>13610</v>
      </c>
      <c r="W860" t="s">
        <v>14447</v>
      </c>
      <c r="X860">
        <v>2</v>
      </c>
      <c r="Y860" t="s">
        <v>21164</v>
      </c>
      <c r="Z860" t="s">
        <v>27715</v>
      </c>
      <c r="AA860">
        <v>1.049425542318605</v>
      </c>
      <c r="AB860" t="str">
        <f>HYPERLINK("Melting_Curves/meltCurve_H3BT74_CDK10.pdf", "Melting_Curves/meltCurve_H3BT74_CDK10.pdf")</f>
        <v>Melting_Curves/meltCurve_H3BT74_CDK10.pdf</v>
      </c>
    </row>
    <row r="861" spans="1:28" x14ac:dyDescent="0.25">
      <c r="A861" t="s">
        <v>865</v>
      </c>
      <c r="B861">
        <v>0.995954080203443</v>
      </c>
      <c r="C861">
        <v>0.90888986466785904</v>
      </c>
      <c r="D861">
        <v>0.62610233298684403</v>
      </c>
      <c r="E861">
        <v>0.37344688243160001</v>
      </c>
      <c r="F861">
        <v>0.21460829322144101</v>
      </c>
      <c r="G861">
        <v>0.143944913754394</v>
      </c>
      <c r="H861">
        <v>8.2871527655921998E-2</v>
      </c>
      <c r="I861">
        <v>7.1467559374165907E-2</v>
      </c>
      <c r="J861">
        <v>7.6303109066148497E-2</v>
      </c>
      <c r="K861">
        <v>7.2498392608615195E-2</v>
      </c>
      <c r="L861">
        <v>807.89602015969001</v>
      </c>
      <c r="M861">
        <v>16.970175709689698</v>
      </c>
      <c r="N861">
        <v>48.038475097553999</v>
      </c>
      <c r="O861">
        <v>46.960499961578897</v>
      </c>
      <c r="P861">
        <v>-8.3959385976795406E-2</v>
      </c>
      <c r="Q861">
        <v>7.0715920028326898E-2</v>
      </c>
      <c r="R861">
        <v>0.99579600622380005</v>
      </c>
      <c r="S861" t="s">
        <v>7667</v>
      </c>
      <c r="T861" t="s">
        <v>13610</v>
      </c>
      <c r="U861" t="s">
        <v>13610</v>
      </c>
      <c r="V861" t="s">
        <v>13610</v>
      </c>
      <c r="W861" t="s">
        <v>14448</v>
      </c>
      <c r="X861">
        <v>6</v>
      </c>
      <c r="Y861" t="s">
        <v>21165</v>
      </c>
      <c r="Z861" t="s">
        <v>27716</v>
      </c>
      <c r="AA861">
        <v>0.32526417090039511</v>
      </c>
      <c r="AB861" t="str">
        <f>HYPERLINK("Melting_Curves/meltCurve_H3BTB7_EARS2.pdf", "Melting_Curves/meltCurve_H3BTB7_EARS2.pdf")</f>
        <v>Melting_Curves/meltCurve_H3BTB7_EARS2.pdf</v>
      </c>
    </row>
    <row r="862" spans="1:28" x14ac:dyDescent="0.25">
      <c r="A862" t="s">
        <v>866</v>
      </c>
      <c r="B862">
        <v>0.995954080203443</v>
      </c>
      <c r="C862">
        <v>1.00751097987768</v>
      </c>
      <c r="D862">
        <v>1.00741460805245</v>
      </c>
      <c r="E862">
        <v>0.86904374290168196</v>
      </c>
      <c r="F862">
        <v>0.72595240540515704</v>
      </c>
      <c r="G862">
        <v>0.37394022255030701</v>
      </c>
      <c r="H862">
        <v>0.15489006421155799</v>
      </c>
      <c r="I862">
        <v>0.102108277333203</v>
      </c>
      <c r="J862">
        <v>0.10984607265089399</v>
      </c>
      <c r="K862">
        <v>9.3469121567142197E-2</v>
      </c>
      <c r="L862">
        <v>1184.96353132168</v>
      </c>
      <c r="M862">
        <v>21.567818846001799</v>
      </c>
      <c r="N862">
        <v>55.362539080205401</v>
      </c>
      <c r="O862">
        <v>54.475499584060302</v>
      </c>
      <c r="P862">
        <v>-9.1491241983999202E-2</v>
      </c>
      <c r="Q862">
        <v>7.5676445718054902E-2</v>
      </c>
      <c r="R862">
        <v>0.99819487898720605</v>
      </c>
      <c r="S862" t="s">
        <v>7668</v>
      </c>
      <c r="T862" t="s">
        <v>13610</v>
      </c>
      <c r="U862" t="s">
        <v>13610</v>
      </c>
      <c r="V862" t="s">
        <v>13610</v>
      </c>
      <c r="W862" t="s">
        <v>14449</v>
      </c>
      <c r="X862">
        <v>6</v>
      </c>
      <c r="Y862" t="s">
        <v>21166</v>
      </c>
      <c r="Z862" t="s">
        <v>27717</v>
      </c>
      <c r="AA862">
        <v>0.54699186408974776</v>
      </c>
      <c r="AB862" t="str">
        <f>HYPERLINK("Melting_Curves/meltCurve_H3BTL1_MAP1LC3B.pdf", "Melting_Curves/meltCurve_H3BTL1_MAP1LC3B.pdf")</f>
        <v>Melting_Curves/meltCurve_H3BTL1_MAP1LC3B.pdf</v>
      </c>
    </row>
    <row r="863" spans="1:28" x14ac:dyDescent="0.25">
      <c r="A863" t="s">
        <v>867</v>
      </c>
      <c r="B863">
        <v>0.995954080203443</v>
      </c>
      <c r="C863">
        <v>0.73511616312642603</v>
      </c>
      <c r="D863">
        <v>1.55860276764677</v>
      </c>
      <c r="E863">
        <v>0.93807477091444302</v>
      </c>
      <c r="F863">
        <v>1.44840223370224</v>
      </c>
      <c r="G863">
        <v>1.49895767331119</v>
      </c>
      <c r="H863">
        <v>1.3941352239695499</v>
      </c>
      <c r="I863">
        <v>1.96269682922719</v>
      </c>
      <c r="J863">
        <v>1.86460580652492</v>
      </c>
      <c r="K863">
        <v>2.3159411514929702</v>
      </c>
      <c r="L863">
        <v>927.76098776801302</v>
      </c>
      <c r="M863">
        <v>18.690406210453499</v>
      </c>
      <c r="O863">
        <v>49.080585892090902</v>
      </c>
      <c r="P863">
        <v>4.7603346650163997E-2</v>
      </c>
      <c r="Q863">
        <v>1.5</v>
      </c>
      <c r="R863">
        <v>0.334052717392265</v>
      </c>
      <c r="S863" t="s">
        <v>7669</v>
      </c>
      <c r="T863" t="s">
        <v>13610</v>
      </c>
      <c r="U863" t="s">
        <v>13610</v>
      </c>
      <c r="V863" t="s">
        <v>13610</v>
      </c>
      <c r="W863" t="s">
        <v>14450</v>
      </c>
      <c r="X863">
        <v>3</v>
      </c>
      <c r="Y863" t="s">
        <v>21167</v>
      </c>
      <c r="Z863" t="s">
        <v>27718</v>
      </c>
      <c r="AA863">
        <v>1.331395621783493</v>
      </c>
      <c r="AB863" t="str">
        <f>HYPERLINK("Melting_Curves/meltCurve_H3BTT7_HERPUD1.pdf", "Melting_Curves/meltCurve_H3BTT7_HERPUD1.pdf")</f>
        <v>Melting_Curves/meltCurve_H3BTT7_HERPUD1.pdf</v>
      </c>
    </row>
    <row r="864" spans="1:28" x14ac:dyDescent="0.25">
      <c r="A864" t="s">
        <v>868</v>
      </c>
      <c r="B864">
        <v>0.995954080203443</v>
      </c>
      <c r="C864">
        <v>1.13571999787075</v>
      </c>
      <c r="D864">
        <v>1.1100616079000101</v>
      </c>
      <c r="E864">
        <v>1.0811559420116501</v>
      </c>
      <c r="F864">
        <v>0.92493792875403003</v>
      </c>
      <c r="G864">
        <v>0.46855860972137803</v>
      </c>
      <c r="H864">
        <v>0.107548850951819</v>
      </c>
      <c r="I864">
        <v>4.8001727339830401E-2</v>
      </c>
      <c r="J864">
        <v>3.9222570453711199E-2</v>
      </c>
      <c r="K864">
        <v>3.4296670626270197E-2</v>
      </c>
      <c r="L864">
        <v>2147.7283124247701</v>
      </c>
      <c r="M864">
        <v>37.882819593572002</v>
      </c>
      <c r="N864">
        <v>56.810470240003703</v>
      </c>
      <c r="O864">
        <v>56.536690267762602</v>
      </c>
      <c r="P864">
        <v>-0.16125635369378499</v>
      </c>
      <c r="Q864">
        <v>3.7360023330719701E-2</v>
      </c>
      <c r="R864">
        <v>0.98286151274142997</v>
      </c>
      <c r="S864" t="s">
        <v>7670</v>
      </c>
      <c r="T864" t="s">
        <v>13610</v>
      </c>
      <c r="U864" t="s">
        <v>13610</v>
      </c>
      <c r="V864" t="s">
        <v>13610</v>
      </c>
      <c r="W864" t="s">
        <v>14451</v>
      </c>
      <c r="X864">
        <v>5</v>
      </c>
      <c r="Y864" t="s">
        <v>21168</v>
      </c>
      <c r="Z864" t="s">
        <v>27719</v>
      </c>
      <c r="AA864">
        <v>0.57718974434785564</v>
      </c>
      <c r="AB864" t="str">
        <f>HYPERLINK("Melting_Curves/meltCurve_H3BU49_ARL2BP.pdf", "Melting_Curves/meltCurve_H3BU49_ARL2BP.pdf")</f>
        <v>Melting_Curves/meltCurve_H3BU49_ARL2BP.pdf</v>
      </c>
    </row>
    <row r="865" spans="1:28" x14ac:dyDescent="0.25">
      <c r="A865" t="s">
        <v>869</v>
      </c>
      <c r="B865">
        <v>0.995954080203443</v>
      </c>
      <c r="C865">
        <v>0.73536322550579203</v>
      </c>
      <c r="D865">
        <v>0.97847520377097397</v>
      </c>
      <c r="E865">
        <v>0.977833677618407</v>
      </c>
      <c r="F865">
        <v>0.52270202260847298</v>
      </c>
      <c r="G865">
        <v>0.22564043862522301</v>
      </c>
      <c r="H865">
        <v>0.21064300651816301</v>
      </c>
      <c r="I865">
        <v>0.19607163368890601</v>
      </c>
      <c r="J865">
        <v>0.25336586676036699</v>
      </c>
      <c r="K865">
        <v>0.25819151527892098</v>
      </c>
      <c r="L865">
        <v>3601.8029303162498</v>
      </c>
      <c r="M865">
        <v>68.442478345270203</v>
      </c>
      <c r="N865">
        <v>53.097574967401997</v>
      </c>
      <c r="O865">
        <v>52.580382941545103</v>
      </c>
      <c r="P865">
        <v>-0.25122196033916699</v>
      </c>
      <c r="Q865">
        <v>0.22800319607083</v>
      </c>
      <c r="R865">
        <v>0.93427579360228497</v>
      </c>
      <c r="S865" t="s">
        <v>7671</v>
      </c>
      <c r="T865" t="s">
        <v>13610</v>
      </c>
      <c r="U865" t="s">
        <v>13610</v>
      </c>
      <c r="V865" t="s">
        <v>13610</v>
      </c>
      <c r="W865" t="s">
        <v>14452</v>
      </c>
      <c r="X865">
        <v>1</v>
      </c>
      <c r="Y865" t="s">
        <v>21169</v>
      </c>
      <c r="Z865" t="s">
        <v>27720</v>
      </c>
      <c r="AA865">
        <v>0.55384566628065568</v>
      </c>
      <c r="AB865" t="str">
        <f>HYPERLINK("Melting_Curves/meltCurve_H3BU51_NPTN.pdf", "Melting_Curves/meltCurve_H3BU51_NPTN.pdf")</f>
        <v>Melting_Curves/meltCurve_H3BU51_NPTN.pdf</v>
      </c>
    </row>
    <row r="866" spans="1:28" x14ac:dyDescent="0.25">
      <c r="A866" t="s">
        <v>870</v>
      </c>
      <c r="B866">
        <v>0.995954080203443</v>
      </c>
      <c r="C866">
        <v>0.82289193690025197</v>
      </c>
      <c r="D866">
        <v>0.97022163923071003</v>
      </c>
      <c r="E866">
        <v>0.74209027610790401</v>
      </c>
      <c r="F866">
        <v>0.79471197979428898</v>
      </c>
      <c r="G866">
        <v>0.80828292237143395</v>
      </c>
      <c r="H866">
        <v>0.62799417626865495</v>
      </c>
      <c r="I866">
        <v>0.73205685965009104</v>
      </c>
      <c r="J866">
        <v>0.76774845449722395</v>
      </c>
      <c r="K866">
        <v>1.01014082392027</v>
      </c>
      <c r="L866">
        <v>711.16302071462201</v>
      </c>
      <c r="M866">
        <v>16.205027309212301</v>
      </c>
      <c r="O866">
        <v>43.233355351306798</v>
      </c>
      <c r="P866">
        <v>-2.01868564235455E-2</v>
      </c>
      <c r="Q866">
        <v>0.78459019880495195</v>
      </c>
      <c r="R866">
        <v>0.25554370988838698</v>
      </c>
      <c r="S866" t="s">
        <v>7672</v>
      </c>
      <c r="T866" t="s">
        <v>13610</v>
      </c>
      <c r="U866" t="s">
        <v>13610</v>
      </c>
      <c r="V866" t="s">
        <v>13610</v>
      </c>
      <c r="W866" t="s">
        <v>14453</v>
      </c>
      <c r="X866">
        <v>43</v>
      </c>
      <c r="Y866" t="s">
        <v>21170</v>
      </c>
      <c r="Z866" t="s">
        <v>27721</v>
      </c>
      <c r="AA866">
        <v>0.8192583857956095</v>
      </c>
      <c r="AB866" t="str">
        <f>HYPERLINK("Melting_Curves/meltCurve_H3BUF6_ATXN2L.pdf", "Melting_Curves/meltCurve_H3BUF6_ATXN2L.pdf")</f>
        <v>Melting_Curves/meltCurve_H3BUF6_ATXN2L.pdf</v>
      </c>
    </row>
    <row r="867" spans="1:28" x14ac:dyDescent="0.25">
      <c r="A867" t="s">
        <v>871</v>
      </c>
      <c r="B867">
        <v>0.995954080203443</v>
      </c>
      <c r="C867">
        <v>0.98295554328940205</v>
      </c>
      <c r="D867">
        <v>0.90111535709841295</v>
      </c>
      <c r="E867">
        <v>0.78934926832238395</v>
      </c>
      <c r="F867">
        <v>0.70759574368522105</v>
      </c>
      <c r="G867">
        <v>0.52097094771323804</v>
      </c>
      <c r="H867">
        <v>0.39210799934463503</v>
      </c>
      <c r="I867">
        <v>0.49715094034256202</v>
      </c>
      <c r="J867">
        <v>0.49731477620969</v>
      </c>
      <c r="K867">
        <v>0.50823442222852999</v>
      </c>
      <c r="L867">
        <v>902.134979578816</v>
      </c>
      <c r="M867">
        <v>17.571964756438501</v>
      </c>
      <c r="N867">
        <v>60.111848463947403</v>
      </c>
      <c r="O867">
        <v>50.688384023601003</v>
      </c>
      <c r="P867">
        <v>-4.6671146894856297E-2</v>
      </c>
      <c r="Q867">
        <v>0.46151571034776701</v>
      </c>
      <c r="R867">
        <v>0.96235478140430097</v>
      </c>
      <c r="S867" t="s">
        <v>7673</v>
      </c>
      <c r="T867" t="s">
        <v>13610</v>
      </c>
      <c r="U867" t="s">
        <v>13610</v>
      </c>
      <c r="V867" t="s">
        <v>13610</v>
      </c>
      <c r="W867" t="s">
        <v>14454</v>
      </c>
      <c r="X867">
        <v>5</v>
      </c>
      <c r="Y867" t="s">
        <v>21171</v>
      </c>
      <c r="Z867" t="s">
        <v>27722</v>
      </c>
      <c r="AA867">
        <v>0.67448104359491012</v>
      </c>
      <c r="AB867" t="str">
        <f>HYPERLINK("Melting_Curves/meltCurve_H3BUJ7_E4F1.pdf", "Melting_Curves/meltCurve_H3BUJ7_E4F1.pdf")</f>
        <v>Melting_Curves/meltCurve_H3BUJ7_E4F1.pdf</v>
      </c>
    </row>
    <row r="868" spans="1:28" x14ac:dyDescent="0.25">
      <c r="A868" t="s">
        <v>872</v>
      </c>
      <c r="B868">
        <v>0.995954080203443</v>
      </c>
      <c r="C868">
        <v>0.92647091832891904</v>
      </c>
      <c r="D868">
        <v>0.69620829771173098</v>
      </c>
      <c r="E868">
        <v>0.488952557887122</v>
      </c>
      <c r="F868">
        <v>0.37036162724091898</v>
      </c>
      <c r="G868">
        <v>0.24340563045095201</v>
      </c>
      <c r="H868">
        <v>0.13609732039325001</v>
      </c>
      <c r="I868">
        <v>0.10030826760301299</v>
      </c>
      <c r="J868">
        <v>0.114971555975396</v>
      </c>
      <c r="K868">
        <v>8.29626264644579E-2</v>
      </c>
      <c r="L868">
        <v>630.25222217377404</v>
      </c>
      <c r="M868">
        <v>12.7410742110216</v>
      </c>
      <c r="N868">
        <v>50.062421238044202</v>
      </c>
      <c r="O868">
        <v>48.295110801461497</v>
      </c>
      <c r="P868">
        <v>-6.1322996420373803E-2</v>
      </c>
      <c r="Q868">
        <v>7.0396998454929402E-2</v>
      </c>
      <c r="R868">
        <v>0.99300295447547704</v>
      </c>
      <c r="S868" t="s">
        <v>7674</v>
      </c>
      <c r="T868" t="s">
        <v>13610</v>
      </c>
      <c r="U868" t="s">
        <v>13610</v>
      </c>
      <c r="V868" t="s">
        <v>13610</v>
      </c>
      <c r="W868" t="s">
        <v>14455</v>
      </c>
      <c r="X868">
        <v>18</v>
      </c>
      <c r="Y868" t="s">
        <v>21172</v>
      </c>
      <c r="Z868" t="s">
        <v>27723</v>
      </c>
      <c r="AA868">
        <v>0.39379855024853821</v>
      </c>
      <c r="AB868" t="str">
        <f>HYPERLINK("Melting_Curves/meltCurve_H3BUQ2_OGFOD1.pdf", "Melting_Curves/meltCurve_H3BUQ2_OGFOD1.pdf")</f>
        <v>Melting_Curves/meltCurve_H3BUQ2_OGFOD1.pdf</v>
      </c>
    </row>
    <row r="869" spans="1:28" x14ac:dyDescent="0.25">
      <c r="A869" t="s">
        <v>873</v>
      </c>
      <c r="B869">
        <v>0.995954080203443</v>
      </c>
      <c r="C869">
        <v>0.817392541896379</v>
      </c>
      <c r="D869">
        <v>0.65280224761381</v>
      </c>
      <c r="E869">
        <v>0.68832408154350799</v>
      </c>
      <c r="F869">
        <v>0.33877246495393099</v>
      </c>
      <c r="G869">
        <v>0.15791188900765499</v>
      </c>
      <c r="H869">
        <v>0.110810874646806</v>
      </c>
      <c r="I869">
        <v>0.100628209941392</v>
      </c>
      <c r="J869">
        <v>0.104286705979108</v>
      </c>
      <c r="K869">
        <v>0.10526431699433</v>
      </c>
      <c r="L869">
        <v>559.16240978726705</v>
      </c>
      <c r="M869">
        <v>11.1438617308063</v>
      </c>
      <c r="N869">
        <v>50.417096986220798</v>
      </c>
      <c r="O869">
        <v>48.642263437380002</v>
      </c>
      <c r="P869">
        <v>-5.5810656090241099E-2</v>
      </c>
      <c r="Q869">
        <v>2.5872455767327301E-2</v>
      </c>
      <c r="R869">
        <v>0.95390184814641199</v>
      </c>
      <c r="S869" t="s">
        <v>7675</v>
      </c>
      <c r="T869" t="s">
        <v>13610</v>
      </c>
      <c r="U869" t="s">
        <v>13610</v>
      </c>
      <c r="V869" t="s">
        <v>13610</v>
      </c>
      <c r="W869" t="s">
        <v>14456</v>
      </c>
      <c r="X869">
        <v>2</v>
      </c>
      <c r="Y869" t="s">
        <v>21173</v>
      </c>
      <c r="Z869" t="s">
        <v>27724</v>
      </c>
      <c r="AA869">
        <v>0.39361136882155529</v>
      </c>
      <c r="AB869" t="str">
        <f>HYPERLINK("Melting_Curves/meltCurve_H3BV16_NDUFB10.pdf", "Melting_Curves/meltCurve_H3BV16_NDUFB10.pdf")</f>
        <v>Melting_Curves/meltCurve_H3BV16_NDUFB10.pdf</v>
      </c>
    </row>
    <row r="870" spans="1:28" x14ac:dyDescent="0.25">
      <c r="A870" t="s">
        <v>874</v>
      </c>
      <c r="B870">
        <v>0.995954080203443</v>
      </c>
      <c r="C870">
        <v>0.90379643921232899</v>
      </c>
      <c r="D870">
        <v>0.69027171291115297</v>
      </c>
      <c r="E870">
        <v>0.74270568816737603</v>
      </c>
      <c r="F870">
        <v>0.475327012829383</v>
      </c>
      <c r="G870">
        <v>0.29349507739334002</v>
      </c>
      <c r="H870">
        <v>0.298642458180714</v>
      </c>
      <c r="I870">
        <v>0.419777175194744</v>
      </c>
      <c r="J870">
        <v>0.606289753717144</v>
      </c>
      <c r="K870">
        <v>0.54482276847169397</v>
      </c>
      <c r="L870">
        <v>794.18782463062701</v>
      </c>
      <c r="M870">
        <v>16.914736694620402</v>
      </c>
      <c r="N870">
        <v>53.454339445839302</v>
      </c>
      <c r="O870">
        <v>46.310864358594401</v>
      </c>
      <c r="P870">
        <v>-5.1492614540787601E-2</v>
      </c>
      <c r="Q870">
        <v>0.43610865656543701</v>
      </c>
      <c r="R870">
        <v>0.76008240865938603</v>
      </c>
      <c r="S870" t="s">
        <v>7676</v>
      </c>
      <c r="T870" t="s">
        <v>13610</v>
      </c>
      <c r="U870" t="s">
        <v>13610</v>
      </c>
      <c r="V870" t="s">
        <v>13610</v>
      </c>
      <c r="W870" t="s">
        <v>14457</v>
      </c>
      <c r="X870">
        <v>4</v>
      </c>
      <c r="Y870" t="s">
        <v>21174</v>
      </c>
      <c r="Z870" t="s">
        <v>27725</v>
      </c>
      <c r="AA870">
        <v>0.57871962593037263</v>
      </c>
      <c r="AB870" t="str">
        <f>HYPERLINK("Melting_Curves/meltCurve_H3BV80_RNPS1.pdf", "Melting_Curves/meltCurve_H3BV80_RNPS1.pdf")</f>
        <v>Melting_Curves/meltCurve_H3BV80_RNPS1.pdf</v>
      </c>
    </row>
    <row r="871" spans="1:28" x14ac:dyDescent="0.25">
      <c r="A871" t="s">
        <v>875</v>
      </c>
      <c r="B871">
        <v>0.995954080203443</v>
      </c>
      <c r="C871">
        <v>0.95872735153369504</v>
      </c>
      <c r="D871">
        <v>0.85698916733187402</v>
      </c>
      <c r="E871">
        <v>0.68594304679044105</v>
      </c>
      <c r="F871">
        <v>0.41644533688996999</v>
      </c>
      <c r="G871">
        <v>0.24524650414346699</v>
      </c>
      <c r="H871">
        <v>0.12119086356521799</v>
      </c>
      <c r="I871">
        <v>7.3683595047037698E-2</v>
      </c>
      <c r="J871">
        <v>4.9214769953010398E-2</v>
      </c>
      <c r="K871">
        <v>4.50590595520379E-2</v>
      </c>
      <c r="L871">
        <v>767.54309510364101</v>
      </c>
      <c r="M871">
        <v>14.7427550148675</v>
      </c>
      <c r="N871">
        <v>52.195591427773699</v>
      </c>
      <c r="O871">
        <v>51.1326448865833</v>
      </c>
      <c r="P871">
        <v>-7.0757843790127894E-2</v>
      </c>
      <c r="Q871">
        <v>1.8461720742698699E-2</v>
      </c>
      <c r="R871">
        <v>0.998176066966874</v>
      </c>
      <c r="S871" t="s">
        <v>7677</v>
      </c>
      <c r="T871" t="s">
        <v>13610</v>
      </c>
      <c r="U871" t="s">
        <v>13610</v>
      </c>
      <c r="V871" t="s">
        <v>13610</v>
      </c>
      <c r="W871" t="s">
        <v>14458</v>
      </c>
      <c r="X871">
        <v>4</v>
      </c>
      <c r="Y871" t="s">
        <v>21175</v>
      </c>
      <c r="Z871" t="s">
        <v>27726</v>
      </c>
      <c r="AA871">
        <v>0.43559403532434282</v>
      </c>
      <c r="AB871" t="str">
        <f>HYPERLINK("Melting_Curves/meltCurve_H6UMI1_GABARAP.pdf", "Melting_Curves/meltCurve_H6UMI1_GABARAP.pdf")</f>
        <v>Melting_Curves/meltCurve_H6UMI1_GABARAP.pdf</v>
      </c>
    </row>
    <row r="872" spans="1:28" x14ac:dyDescent="0.25">
      <c r="A872" t="s">
        <v>876</v>
      </c>
      <c r="B872">
        <v>0.995954080203443</v>
      </c>
      <c r="C872">
        <v>1.0088274775106001</v>
      </c>
      <c r="D872">
        <v>0.921291888162173</v>
      </c>
      <c r="E872">
        <v>0.744386789064024</v>
      </c>
      <c r="F872">
        <v>0.36662422088029301</v>
      </c>
      <c r="G872">
        <v>0.12133648538647</v>
      </c>
      <c r="H872">
        <v>6.80987358097946E-2</v>
      </c>
      <c r="I872">
        <v>6.2896272815353899E-2</v>
      </c>
      <c r="J872">
        <v>6.7415086736077795E-2</v>
      </c>
      <c r="K872">
        <v>6.3437258924620404E-2</v>
      </c>
      <c r="L872">
        <v>1410.0644038284599</v>
      </c>
      <c r="M872">
        <v>27.2971096852744</v>
      </c>
      <c r="N872">
        <v>51.893507547596201</v>
      </c>
      <c r="O872">
        <v>51.381337899345098</v>
      </c>
      <c r="P872">
        <v>-0.12502399620781601</v>
      </c>
      <c r="Q872">
        <v>5.86785030871095E-2</v>
      </c>
      <c r="R872">
        <v>0.99829534624932004</v>
      </c>
      <c r="S872" t="s">
        <v>7678</v>
      </c>
      <c r="T872" t="s">
        <v>13610</v>
      </c>
      <c r="U872" t="s">
        <v>13610</v>
      </c>
      <c r="V872" t="s">
        <v>13610</v>
      </c>
      <c r="W872" t="s">
        <v>14459</v>
      </c>
      <c r="X872">
        <v>7</v>
      </c>
      <c r="Y872" t="s">
        <v>21176</v>
      </c>
      <c r="Z872" t="s">
        <v>27727</v>
      </c>
      <c r="AA872">
        <v>0.43163040878715853</v>
      </c>
      <c r="AB872" t="str">
        <f>HYPERLINK("Melting_Curves/meltCurve_H7BXD5_GCA.pdf", "Melting_Curves/meltCurve_H7BXD5_GCA.pdf")</f>
        <v>Melting_Curves/meltCurve_H7BXD5_GCA.pdf</v>
      </c>
    </row>
    <row r="873" spans="1:28" x14ac:dyDescent="0.25">
      <c r="A873" t="s">
        <v>877</v>
      </c>
      <c r="B873">
        <v>0.995954080203443</v>
      </c>
      <c r="C873">
        <v>0.87893045206529397</v>
      </c>
      <c r="D873">
        <v>0.773399546507055</v>
      </c>
      <c r="E873">
        <v>0.647638682127893</v>
      </c>
      <c r="F873">
        <v>0.54378092148152302</v>
      </c>
      <c r="G873">
        <v>0.37677098120426999</v>
      </c>
      <c r="H873">
        <v>0.332960370191484</v>
      </c>
      <c r="I873">
        <v>0.37680108082142899</v>
      </c>
      <c r="J873">
        <v>0.45154976513427703</v>
      </c>
      <c r="K873">
        <v>0.44100463080270502</v>
      </c>
      <c r="L873">
        <v>698.40153547130103</v>
      </c>
      <c r="M873">
        <v>14.5093480370672</v>
      </c>
      <c r="N873">
        <v>53.447753852958201</v>
      </c>
      <c r="O873">
        <v>47.247962582108798</v>
      </c>
      <c r="P873">
        <v>-4.7465016735121601E-2</v>
      </c>
      <c r="Q873">
        <v>0.38181453270565202</v>
      </c>
      <c r="R873">
        <v>0.95622903373417401</v>
      </c>
      <c r="S873" t="s">
        <v>7679</v>
      </c>
      <c r="T873" t="s">
        <v>13610</v>
      </c>
      <c r="U873" t="s">
        <v>13610</v>
      </c>
      <c r="V873" t="s">
        <v>13610</v>
      </c>
      <c r="W873" t="s">
        <v>14460</v>
      </c>
      <c r="X873">
        <v>11</v>
      </c>
      <c r="Y873" t="s">
        <v>21177</v>
      </c>
      <c r="Z873" t="s">
        <v>27728</v>
      </c>
      <c r="AA873">
        <v>0.56630780286298577</v>
      </c>
      <c r="AB873" t="str">
        <f>HYPERLINK("Melting_Curves/meltCurve_H7BXF5_SAP130.pdf", "Melting_Curves/meltCurve_H7BXF5_SAP130.pdf")</f>
        <v>Melting_Curves/meltCurve_H7BXF5_SAP130.pdf</v>
      </c>
    </row>
    <row r="874" spans="1:28" x14ac:dyDescent="0.25">
      <c r="A874" t="s">
        <v>878</v>
      </c>
      <c r="B874">
        <v>0.995954080203443</v>
      </c>
      <c r="C874">
        <v>0.82215969881231299</v>
      </c>
      <c r="D874">
        <v>0.58453731817562604</v>
      </c>
      <c r="E874">
        <v>0.61223764016009397</v>
      </c>
      <c r="F874">
        <v>0.31513290680977601</v>
      </c>
      <c r="G874">
        <v>0.174626811033646</v>
      </c>
      <c r="H874">
        <v>0.10959857090268001</v>
      </c>
      <c r="I874">
        <v>0.105936857296414</v>
      </c>
      <c r="J874">
        <v>0.11827714766142</v>
      </c>
      <c r="K874">
        <v>9.4495549579111798E-2</v>
      </c>
      <c r="L874">
        <v>536.64682885161199</v>
      </c>
      <c r="M874">
        <v>10.918409740382501</v>
      </c>
      <c r="N874">
        <v>49.538498925345301</v>
      </c>
      <c r="O874">
        <v>47.588119373665499</v>
      </c>
      <c r="P874">
        <v>-5.5028207790055399E-2</v>
      </c>
      <c r="Q874">
        <v>4.0966554955415797E-2</v>
      </c>
      <c r="R874">
        <v>0.96096073141205596</v>
      </c>
      <c r="S874" t="s">
        <v>7680</v>
      </c>
      <c r="T874" t="s">
        <v>13610</v>
      </c>
      <c r="U874" t="s">
        <v>13610</v>
      </c>
      <c r="V874" t="s">
        <v>13610</v>
      </c>
      <c r="W874" t="s">
        <v>14461</v>
      </c>
      <c r="X874">
        <v>4</v>
      </c>
      <c r="Y874" t="s">
        <v>21178</v>
      </c>
      <c r="Z874" t="s">
        <v>27729</v>
      </c>
      <c r="AA874">
        <v>0.37413037686674039</v>
      </c>
      <c r="AB874" t="str">
        <f>HYPERLINK("Melting_Curves/meltCurve_H7BXG2_NPRL3.pdf", "Melting_Curves/meltCurve_H7BXG2_NPRL3.pdf")</f>
        <v>Melting_Curves/meltCurve_H7BXG2_NPRL3.pdf</v>
      </c>
    </row>
    <row r="875" spans="1:28" x14ac:dyDescent="0.25">
      <c r="A875" t="s">
        <v>879</v>
      </c>
      <c r="B875">
        <v>0.995954080203443</v>
      </c>
      <c r="C875">
        <v>0.94009060496430097</v>
      </c>
      <c r="D875">
        <v>0.88748037918131395</v>
      </c>
      <c r="E875">
        <v>0.92388571651936502</v>
      </c>
      <c r="F875">
        <v>0.78880486637826097</v>
      </c>
      <c r="G875">
        <v>0.52452202596711905</v>
      </c>
      <c r="H875">
        <v>0.32996675498428601</v>
      </c>
      <c r="I875">
        <v>0.36361373289768401</v>
      </c>
      <c r="J875">
        <v>0.46358657422879201</v>
      </c>
      <c r="K875">
        <v>0.40965256607697298</v>
      </c>
      <c r="L875">
        <v>1488.10139265714</v>
      </c>
      <c r="M875">
        <v>27.524724526051902</v>
      </c>
      <c r="N875">
        <v>57.154789277832997</v>
      </c>
      <c r="O875">
        <v>53.7812191669016</v>
      </c>
      <c r="P875">
        <v>-7.8415935010422794E-2</v>
      </c>
      <c r="Q875">
        <v>0.387130613300948</v>
      </c>
      <c r="R875">
        <v>0.954090001383465</v>
      </c>
      <c r="S875" t="s">
        <v>7681</v>
      </c>
      <c r="T875" t="s">
        <v>13610</v>
      </c>
      <c r="U875" t="s">
        <v>13610</v>
      </c>
      <c r="V875" t="s">
        <v>13610</v>
      </c>
      <c r="W875" t="s">
        <v>14462</v>
      </c>
      <c r="X875">
        <v>29</v>
      </c>
      <c r="Y875" t="s">
        <v>21179</v>
      </c>
      <c r="Z875" t="s">
        <v>27730</v>
      </c>
      <c r="AA875">
        <v>0.67919426096702651</v>
      </c>
      <c r="AB875" t="str">
        <f>HYPERLINK("Melting_Curves/meltCurve_H7BXH2_PPP6R3.pdf", "Melting_Curves/meltCurve_H7BXH2_PPP6R3.pdf")</f>
        <v>Melting_Curves/meltCurve_H7BXH2_PPP6R3.pdf</v>
      </c>
    </row>
    <row r="876" spans="1:28" x14ac:dyDescent="0.25">
      <c r="A876" t="s">
        <v>880</v>
      </c>
      <c r="B876">
        <v>0.995954080203443</v>
      </c>
      <c r="C876">
        <v>1.0002934321564301</v>
      </c>
      <c r="D876">
        <v>0.93870093885776695</v>
      </c>
      <c r="E876">
        <v>0.77473158800948905</v>
      </c>
      <c r="F876">
        <v>0.5326478123692</v>
      </c>
      <c r="G876">
        <v>0.20328548504740801</v>
      </c>
      <c r="H876">
        <v>0.113227703393619</v>
      </c>
      <c r="I876">
        <v>9.7978352697315099E-2</v>
      </c>
      <c r="J876">
        <v>9.4688831337558899E-2</v>
      </c>
      <c r="K876">
        <v>8.5285177397308107E-2</v>
      </c>
      <c r="L876">
        <v>1152.0742017581399</v>
      </c>
      <c r="M876">
        <v>21.8591054488925</v>
      </c>
      <c r="N876">
        <v>53.1066185746675</v>
      </c>
      <c r="O876">
        <v>52.2693956152076</v>
      </c>
      <c r="P876">
        <v>-9.6579039197219899E-2</v>
      </c>
      <c r="Q876">
        <v>7.6263682189923104E-2</v>
      </c>
      <c r="R876">
        <v>0.99871554380268301</v>
      </c>
      <c r="S876" t="s">
        <v>7682</v>
      </c>
      <c r="T876" t="s">
        <v>13610</v>
      </c>
      <c r="U876" t="s">
        <v>13610</v>
      </c>
      <c r="V876" t="s">
        <v>13610</v>
      </c>
      <c r="W876" t="s">
        <v>14463</v>
      </c>
      <c r="X876">
        <v>9</v>
      </c>
      <c r="Y876" t="s">
        <v>21180</v>
      </c>
      <c r="Z876" t="s">
        <v>27731</v>
      </c>
      <c r="AA876">
        <v>0.47833228858080729</v>
      </c>
      <c r="AB876" t="str">
        <f>HYPERLINK("Melting_Curves/meltCurve_H7BXI1_ESYT2.pdf", "Melting_Curves/meltCurve_H7BXI1_ESYT2.pdf")</f>
        <v>Melting_Curves/meltCurve_H7BXI1_ESYT2.pdf</v>
      </c>
    </row>
    <row r="877" spans="1:28" x14ac:dyDescent="0.25">
      <c r="A877" t="s">
        <v>881</v>
      </c>
      <c r="B877">
        <v>0.995954080203443</v>
      </c>
      <c r="C877">
        <v>0.85320427594826498</v>
      </c>
      <c r="D877">
        <v>1.1404421930530999</v>
      </c>
      <c r="E877">
        <v>0.93908804931907297</v>
      </c>
      <c r="F877">
        <v>1.7083244896135099</v>
      </c>
      <c r="G877">
        <v>1.5346496150050899</v>
      </c>
      <c r="H877">
        <v>1.70324596964497</v>
      </c>
      <c r="I877">
        <v>2.48038985823209</v>
      </c>
      <c r="J877">
        <v>1.8647507649314501</v>
      </c>
      <c r="K877">
        <v>3.3670299625789801</v>
      </c>
      <c r="L877">
        <v>6498.9480180160199</v>
      </c>
      <c r="M877">
        <v>126.813339444802</v>
      </c>
      <c r="O877">
        <v>51.235406488131197</v>
      </c>
      <c r="P877">
        <v>0.30938897118491498</v>
      </c>
      <c r="Q877">
        <v>1.5</v>
      </c>
      <c r="R877">
        <v>0.14707856560879701</v>
      </c>
      <c r="S877" t="s">
        <v>7683</v>
      </c>
      <c r="T877" t="s">
        <v>13610</v>
      </c>
      <c r="U877" t="s">
        <v>13610</v>
      </c>
      <c r="V877" t="s">
        <v>13610</v>
      </c>
      <c r="W877" t="s">
        <v>14464</v>
      </c>
      <c r="X877">
        <v>1</v>
      </c>
      <c r="Y877" t="s">
        <v>21181</v>
      </c>
      <c r="Z877" t="s">
        <v>27732</v>
      </c>
      <c r="AA877">
        <v>1.3123560842480719</v>
      </c>
      <c r="AB877" t="str">
        <f>HYPERLINK("Melting_Curves/meltCurve_H7BXQ9_ERCC6L2.pdf", "Melting_Curves/meltCurve_H7BXQ9_ERCC6L2.pdf")</f>
        <v>Melting_Curves/meltCurve_H7BXQ9_ERCC6L2.pdf</v>
      </c>
    </row>
    <row r="878" spans="1:28" x14ac:dyDescent="0.25">
      <c r="A878" t="s">
        <v>882</v>
      </c>
      <c r="B878">
        <v>0.995954080203443</v>
      </c>
      <c r="C878">
        <v>0.99514703100505597</v>
      </c>
      <c r="D878">
        <v>1.0364597312781401</v>
      </c>
      <c r="E878">
        <v>0.90639336396911896</v>
      </c>
      <c r="F878">
        <v>0.89929435648410305</v>
      </c>
      <c r="G878">
        <v>0.70167503322014702</v>
      </c>
      <c r="H878">
        <v>0.646121142605381</v>
      </c>
      <c r="I878">
        <v>0.65141952314871898</v>
      </c>
      <c r="J878">
        <v>0.63471269956501997</v>
      </c>
      <c r="K878">
        <v>0.74601952667640403</v>
      </c>
      <c r="L878">
        <v>1559.9978564195101</v>
      </c>
      <c r="M878">
        <v>29.042775641118499</v>
      </c>
      <c r="O878">
        <v>53.461072040483302</v>
      </c>
      <c r="P878">
        <v>-4.5523817765845E-2</v>
      </c>
      <c r="Q878">
        <v>0.66480696211003298</v>
      </c>
      <c r="R878">
        <v>0.93574998535614995</v>
      </c>
      <c r="S878" t="s">
        <v>7684</v>
      </c>
      <c r="T878" t="s">
        <v>13610</v>
      </c>
      <c r="U878" t="s">
        <v>13610</v>
      </c>
      <c r="V878" t="s">
        <v>13610</v>
      </c>
      <c r="W878" t="s">
        <v>14465</v>
      </c>
      <c r="X878">
        <v>2</v>
      </c>
      <c r="Y878" t="s">
        <v>21182</v>
      </c>
      <c r="Z878" t="s">
        <v>27733</v>
      </c>
      <c r="AA878">
        <v>0.82036877199720692</v>
      </c>
      <c r="AB878" t="str">
        <f>HYPERLINK("Melting_Curves/meltCurve_H7BXU9_FGFR2.pdf", "Melting_Curves/meltCurve_H7BXU9_FGFR2.pdf")</f>
        <v>Melting_Curves/meltCurve_H7BXU9_FGFR2.pdf</v>
      </c>
    </row>
    <row r="879" spans="1:28" x14ac:dyDescent="0.25">
      <c r="A879" t="s">
        <v>883</v>
      </c>
      <c r="B879">
        <v>0.995954080203443</v>
      </c>
      <c r="C879">
        <v>0.98787600567558398</v>
      </c>
      <c r="D879">
        <v>0.83745715738317505</v>
      </c>
      <c r="E879">
        <v>0.74629912224177997</v>
      </c>
      <c r="F879">
        <v>0.440043919331087</v>
      </c>
      <c r="G879">
        <v>0.229300246659083</v>
      </c>
      <c r="H879">
        <v>0.191137203714662</v>
      </c>
      <c r="I879">
        <v>0.201680490440867</v>
      </c>
      <c r="J879">
        <v>0.22887201896940401</v>
      </c>
      <c r="K879">
        <v>0.218639587195183</v>
      </c>
      <c r="L879">
        <v>1092.8204823782901</v>
      </c>
      <c r="M879">
        <v>21.384086384351701</v>
      </c>
      <c r="N879">
        <v>52.288867302608402</v>
      </c>
      <c r="O879">
        <v>50.663754051931299</v>
      </c>
      <c r="P879">
        <v>-8.5265243207474195E-2</v>
      </c>
      <c r="Q879">
        <v>0.19196923809123601</v>
      </c>
      <c r="R879">
        <v>0.98498614141485996</v>
      </c>
      <c r="S879" t="s">
        <v>7685</v>
      </c>
      <c r="T879" t="s">
        <v>13610</v>
      </c>
      <c r="U879" t="s">
        <v>13610</v>
      </c>
      <c r="V879" t="s">
        <v>13610</v>
      </c>
      <c r="W879" t="s">
        <v>14466</v>
      </c>
      <c r="X879">
        <v>2</v>
      </c>
      <c r="Y879" t="s">
        <v>21183</v>
      </c>
      <c r="Z879" t="s">
        <v>27734</v>
      </c>
      <c r="AA879">
        <v>0.50094518462071236</v>
      </c>
      <c r="AB879" t="str">
        <f>HYPERLINK("Melting_Curves/meltCurve_H7BXV5_COL18A1.pdf", "Melting_Curves/meltCurve_H7BXV5_COL18A1.pdf")</f>
        <v>Melting_Curves/meltCurve_H7BXV5_COL18A1.pdf</v>
      </c>
    </row>
    <row r="880" spans="1:28" x14ac:dyDescent="0.25">
      <c r="A880" t="s">
        <v>884</v>
      </c>
      <c r="B880">
        <v>0.995954080203443</v>
      </c>
      <c r="C880">
        <v>0.82522868216407397</v>
      </c>
      <c r="D880">
        <v>0.660209020728871</v>
      </c>
      <c r="E880">
        <v>0.67046196016691195</v>
      </c>
      <c r="F880">
        <v>0.29960654869190001</v>
      </c>
      <c r="G880">
        <v>9.5812677534654306E-2</v>
      </c>
      <c r="H880">
        <v>7.9860075803820402E-2</v>
      </c>
      <c r="I880">
        <v>6.36627342329419E-2</v>
      </c>
      <c r="J880">
        <v>9.1306814404819497E-2</v>
      </c>
      <c r="K880">
        <v>5.5757918204960601E-2</v>
      </c>
      <c r="L880">
        <v>605.94989059404895</v>
      </c>
      <c r="M880">
        <v>12.1110310005008</v>
      </c>
      <c r="N880">
        <v>50.0446600056191</v>
      </c>
      <c r="O880">
        <v>48.727401636665199</v>
      </c>
      <c r="P880">
        <v>-6.2062734036080501E-2</v>
      </c>
      <c r="Q880">
        <v>1.4220906889817E-3</v>
      </c>
      <c r="R880">
        <v>0.95611928684254499</v>
      </c>
      <c r="S880" t="s">
        <v>7686</v>
      </c>
      <c r="T880" t="s">
        <v>13610</v>
      </c>
      <c r="U880" t="s">
        <v>13610</v>
      </c>
      <c r="V880" t="s">
        <v>13610</v>
      </c>
      <c r="W880" t="s">
        <v>14467</v>
      </c>
      <c r="X880">
        <v>2</v>
      </c>
      <c r="Y880" t="s">
        <v>21184</v>
      </c>
      <c r="Z880" t="s">
        <v>27735</v>
      </c>
      <c r="AA880">
        <v>0.36938362217666809</v>
      </c>
      <c r="AB880" t="str">
        <f>HYPERLINK("Melting_Curves/meltCurve_H7BXZ5_KALRN.pdf", "Melting_Curves/meltCurve_H7BXZ5_KALRN.pdf")</f>
        <v>Melting_Curves/meltCurve_H7BXZ5_KALRN.pdf</v>
      </c>
    </row>
    <row r="881" spans="1:28" x14ac:dyDescent="0.25">
      <c r="A881" t="s">
        <v>885</v>
      </c>
      <c r="B881">
        <v>0.995954080203443</v>
      </c>
      <c r="C881">
        <v>0.90617261945556404</v>
      </c>
      <c r="D881">
        <v>1.40495181275336</v>
      </c>
      <c r="E881">
        <v>1.3139017174905001</v>
      </c>
      <c r="F881">
        <v>1.97394517348025</v>
      </c>
      <c r="G881">
        <v>1.9010836925239001</v>
      </c>
      <c r="H881">
        <v>2.3863079055810799</v>
      </c>
      <c r="I881">
        <v>3.2317364761914198</v>
      </c>
      <c r="J881">
        <v>3.4843296491923099</v>
      </c>
      <c r="K881">
        <v>3.84422944166035</v>
      </c>
      <c r="L881">
        <v>11433.328357325399</v>
      </c>
      <c r="M881">
        <v>250</v>
      </c>
      <c r="O881">
        <v>45.730401801409997</v>
      </c>
      <c r="P881">
        <v>0.68335306500719994</v>
      </c>
      <c r="Q881">
        <v>1.5</v>
      </c>
      <c r="R881">
        <v>-0.35078434534090602</v>
      </c>
      <c r="S881" t="s">
        <v>7687</v>
      </c>
      <c r="T881" t="s">
        <v>13610</v>
      </c>
      <c r="U881" t="s">
        <v>13610</v>
      </c>
      <c r="V881" t="s">
        <v>13610</v>
      </c>
      <c r="W881" t="s">
        <v>14468</v>
      </c>
      <c r="X881">
        <v>29</v>
      </c>
      <c r="Y881" t="s">
        <v>21185</v>
      </c>
      <c r="Z881" t="s">
        <v>27736</v>
      </c>
      <c r="AA881">
        <v>1.4044046455516539</v>
      </c>
      <c r="AB881" t="str">
        <f>HYPERLINK("Melting_Curves/meltCurve_H7BY16_NCL.pdf", "Melting_Curves/meltCurve_H7BY16_NCL.pdf")</f>
        <v>Melting_Curves/meltCurve_H7BY16_NCL.pdf</v>
      </c>
    </row>
    <row r="882" spans="1:28" x14ac:dyDescent="0.25">
      <c r="A882" t="s">
        <v>886</v>
      </c>
      <c r="B882">
        <v>0.995954080203443</v>
      </c>
      <c r="C882">
        <v>1.0595321554268999</v>
      </c>
      <c r="D882">
        <v>0.89851298332016005</v>
      </c>
      <c r="E882">
        <v>0.54583683822968498</v>
      </c>
      <c r="F882">
        <v>0.18855947708989301</v>
      </c>
      <c r="G882">
        <v>0.10522967697124699</v>
      </c>
      <c r="H882">
        <v>4.9999415203177702E-2</v>
      </c>
      <c r="I882">
        <v>4.69599097092913E-2</v>
      </c>
      <c r="J882">
        <v>5.1301981613741103E-2</v>
      </c>
      <c r="K882">
        <v>4.3732890235116E-2</v>
      </c>
      <c r="L882">
        <v>1425.71957966537</v>
      </c>
      <c r="M882">
        <v>28.489906019316201</v>
      </c>
      <c r="N882">
        <v>50.226446533995002</v>
      </c>
      <c r="O882">
        <v>49.798362438083799</v>
      </c>
      <c r="P882">
        <v>-0.13595908262536299</v>
      </c>
      <c r="Q882">
        <v>4.9419736631999701E-2</v>
      </c>
      <c r="R882">
        <v>0.99583796266646896</v>
      </c>
      <c r="S882" t="s">
        <v>7688</v>
      </c>
      <c r="T882" t="s">
        <v>13610</v>
      </c>
      <c r="U882" t="s">
        <v>13610</v>
      </c>
      <c r="V882" t="s">
        <v>13610</v>
      </c>
      <c r="W882" t="s">
        <v>13644</v>
      </c>
      <c r="X882">
        <v>2</v>
      </c>
      <c r="Y882" t="s">
        <v>20365</v>
      </c>
      <c r="Z882" t="s">
        <v>27737</v>
      </c>
      <c r="AA882">
        <v>0.37417266792510062</v>
      </c>
      <c r="AB882" t="str">
        <f>HYPERLINK("Melting_Curves/meltCurve_H7BY31_OBSCN.pdf", "Melting_Curves/meltCurve_H7BY31_OBSCN.pdf")</f>
        <v>Melting_Curves/meltCurve_H7BY31_OBSCN.pdf</v>
      </c>
    </row>
    <row r="883" spans="1:28" x14ac:dyDescent="0.25">
      <c r="A883" t="s">
        <v>887</v>
      </c>
      <c r="B883">
        <v>0.995954080203443</v>
      </c>
      <c r="C883">
        <v>1.01851945105019</v>
      </c>
      <c r="D883">
        <v>0.89434930901658904</v>
      </c>
      <c r="E883">
        <v>0.76082110454138696</v>
      </c>
      <c r="F883">
        <v>0.663871116334526</v>
      </c>
      <c r="G883">
        <v>0.43014509762567399</v>
      </c>
      <c r="H883">
        <v>0.42376024934566098</v>
      </c>
      <c r="I883">
        <v>0.45785472192783</v>
      </c>
      <c r="J883">
        <v>0.53513299243286705</v>
      </c>
      <c r="K883">
        <v>0.51221271018440595</v>
      </c>
      <c r="L883">
        <v>1073.54330190629</v>
      </c>
      <c r="M883">
        <v>21.271495502712899</v>
      </c>
      <c r="N883">
        <v>57.896237854626101</v>
      </c>
      <c r="O883">
        <v>50.028943950740697</v>
      </c>
      <c r="P883">
        <v>-5.6619313902030503E-2</v>
      </c>
      <c r="Q883">
        <v>0.467356277520803</v>
      </c>
      <c r="R883">
        <v>0.955259340396167</v>
      </c>
      <c r="S883" t="s">
        <v>7689</v>
      </c>
      <c r="T883" t="s">
        <v>13610</v>
      </c>
      <c r="U883" t="s">
        <v>13610</v>
      </c>
      <c r="V883" t="s">
        <v>13610</v>
      </c>
      <c r="W883" t="s">
        <v>14469</v>
      </c>
      <c r="X883">
        <v>11</v>
      </c>
      <c r="Y883" t="s">
        <v>21186</v>
      </c>
      <c r="Z883" t="s">
        <v>27738</v>
      </c>
      <c r="AA883">
        <v>0.65979908720974445</v>
      </c>
      <c r="AB883" t="str">
        <f>HYPERLINK("Melting_Curves/meltCurve_H7BY36_EWSR1.pdf", "Melting_Curves/meltCurve_H7BY36_EWSR1.pdf")</f>
        <v>Melting_Curves/meltCurve_H7BY36_EWSR1.pdf</v>
      </c>
    </row>
    <row r="884" spans="1:28" x14ac:dyDescent="0.25">
      <c r="A884" t="s">
        <v>888</v>
      </c>
      <c r="B884">
        <v>0.995954080203443</v>
      </c>
      <c r="C884">
        <v>0.78411193963098202</v>
      </c>
      <c r="D884">
        <v>0.62458313303642599</v>
      </c>
      <c r="E884">
        <v>0.59669506215673096</v>
      </c>
      <c r="F884">
        <v>0.27369827102896499</v>
      </c>
      <c r="G884">
        <v>0.170301904301603</v>
      </c>
      <c r="H884">
        <v>0.14575467437700801</v>
      </c>
      <c r="I884">
        <v>0.15242182663117301</v>
      </c>
      <c r="J884">
        <v>0.17843714654129</v>
      </c>
      <c r="K884">
        <v>0.15695997920335</v>
      </c>
      <c r="L884">
        <v>591.95971398783104</v>
      </c>
      <c r="M884">
        <v>12.3028519319247</v>
      </c>
      <c r="N884">
        <v>49.150857922347001</v>
      </c>
      <c r="O884">
        <v>46.897393914808298</v>
      </c>
      <c r="P884">
        <v>-5.81112044626357E-2</v>
      </c>
      <c r="Q884">
        <v>0.114134375529958</v>
      </c>
      <c r="R884">
        <v>0.95643997083056298</v>
      </c>
      <c r="S884" t="s">
        <v>7690</v>
      </c>
      <c r="T884" t="s">
        <v>13610</v>
      </c>
      <c r="U884" t="s">
        <v>13610</v>
      </c>
      <c r="V884" t="s">
        <v>13610</v>
      </c>
      <c r="W884" t="s">
        <v>14470</v>
      </c>
      <c r="X884">
        <v>9</v>
      </c>
      <c r="Y884" t="s">
        <v>21187</v>
      </c>
      <c r="Z884" t="s">
        <v>27739</v>
      </c>
      <c r="AA884">
        <v>0.3866990489874314</v>
      </c>
      <c r="AB884" t="str">
        <f>HYPERLINK("Melting_Curves/meltCurve_H7BYK9_STAG3.pdf", "Melting_Curves/meltCurve_H7BYK9_STAG3.pdf")</f>
        <v>Melting_Curves/meltCurve_H7BYK9_STAG3.pdf</v>
      </c>
    </row>
    <row r="885" spans="1:28" x14ac:dyDescent="0.25">
      <c r="A885" t="s">
        <v>889</v>
      </c>
      <c r="B885">
        <v>0.995954080203443</v>
      </c>
      <c r="C885">
        <v>0.77283864921414802</v>
      </c>
      <c r="D885">
        <v>0.8155777500186</v>
      </c>
      <c r="E885">
        <v>0.70045966769443502</v>
      </c>
      <c r="F885">
        <v>0.67720223875865304</v>
      </c>
      <c r="G885">
        <v>0.52503550181152303</v>
      </c>
      <c r="H885">
        <v>0.49947535677312399</v>
      </c>
      <c r="I885">
        <v>0.54845061843317999</v>
      </c>
      <c r="J885">
        <v>0.961716436104747</v>
      </c>
      <c r="K885">
        <v>0.57761154206374199</v>
      </c>
      <c r="L885">
        <v>705.729025191191</v>
      </c>
      <c r="M885">
        <v>15.974366691117</v>
      </c>
      <c r="O885">
        <v>43.503912482886598</v>
      </c>
      <c r="P885">
        <v>-3.3976816396319297E-2</v>
      </c>
      <c r="Q885">
        <v>0.62990527738392599</v>
      </c>
      <c r="R885">
        <v>0.41854588202912202</v>
      </c>
      <c r="S885" t="s">
        <v>7691</v>
      </c>
      <c r="T885" t="s">
        <v>13610</v>
      </c>
      <c r="U885" t="s">
        <v>13610</v>
      </c>
      <c r="V885" t="s">
        <v>13610</v>
      </c>
      <c r="W885" t="s">
        <v>14471</v>
      </c>
      <c r="X885">
        <v>17</v>
      </c>
      <c r="Y885" t="s">
        <v>21188</v>
      </c>
      <c r="Z885" t="s">
        <v>27740</v>
      </c>
      <c r="AA885">
        <v>0.6929579033820964</v>
      </c>
      <c r="AB885" t="str">
        <f>HYPERLINK("Melting_Curves/meltCurve_H7BYN4_KIF23.pdf", "Melting_Curves/meltCurve_H7BYN4_KIF23.pdf")</f>
        <v>Melting_Curves/meltCurve_H7BYN4_KIF23.pdf</v>
      </c>
    </row>
    <row r="886" spans="1:28" x14ac:dyDescent="0.25">
      <c r="A886" t="s">
        <v>890</v>
      </c>
      <c r="B886">
        <v>0.995954080203443</v>
      </c>
      <c r="C886">
        <v>0.84537536563705995</v>
      </c>
      <c r="D886">
        <v>0.84794306428653199</v>
      </c>
      <c r="E886">
        <v>0.934762689931112</v>
      </c>
      <c r="F886">
        <v>0.99390320591635695</v>
      </c>
      <c r="G886">
        <v>0.86411195347397296</v>
      </c>
      <c r="H886">
        <v>0.83619424948353205</v>
      </c>
      <c r="I886">
        <v>0.97085363667708902</v>
      </c>
      <c r="J886">
        <v>1.13191578299778</v>
      </c>
      <c r="K886">
        <v>1.0851627360130001</v>
      </c>
      <c r="L886">
        <v>7698.7135932690298</v>
      </c>
      <c r="M886">
        <v>117.483637271349</v>
      </c>
      <c r="O886">
        <v>65.511110632398598</v>
      </c>
      <c r="P886">
        <v>4.88100425819415E-2</v>
      </c>
      <c r="Q886">
        <v>1.1088696291628499</v>
      </c>
      <c r="R886">
        <v>-1.6779176785593399E-2</v>
      </c>
      <c r="S886" t="s">
        <v>7692</v>
      </c>
      <c r="T886" t="s">
        <v>13610</v>
      </c>
      <c r="U886" t="s">
        <v>13610</v>
      </c>
      <c r="V886" t="s">
        <v>13610</v>
      </c>
      <c r="W886" t="s">
        <v>14472</v>
      </c>
      <c r="X886">
        <v>26</v>
      </c>
      <c r="Y886" t="s">
        <v>21189</v>
      </c>
      <c r="Z886" t="s">
        <v>27741</v>
      </c>
      <c r="AA886">
        <v>1.016165798709896</v>
      </c>
      <c r="AB886" t="str">
        <f>HYPERLINK("Melting_Curves/meltCurve_H7BYY1_TPM1.pdf", "Melting_Curves/meltCurve_H7BYY1_TPM1.pdf")</f>
        <v>Melting_Curves/meltCurve_H7BYY1_TPM1.pdf</v>
      </c>
    </row>
    <row r="887" spans="1:28" x14ac:dyDescent="0.25">
      <c r="A887" t="s">
        <v>891</v>
      </c>
      <c r="B887">
        <v>0.995954080203443</v>
      </c>
      <c r="C887">
        <v>1.0259370753605901</v>
      </c>
      <c r="D887">
        <v>0.82028686473439505</v>
      </c>
      <c r="E887">
        <v>0.59148022294748903</v>
      </c>
      <c r="F887">
        <v>0.18088655745840701</v>
      </c>
      <c r="G887">
        <v>8.0632307170890496E-2</v>
      </c>
      <c r="H887">
        <v>5.1081185807209599E-2</v>
      </c>
      <c r="I887">
        <v>3.5564340856189001E-2</v>
      </c>
      <c r="J887">
        <v>4.2810781578589502E-2</v>
      </c>
      <c r="K887">
        <v>3.2334501073424102E-2</v>
      </c>
      <c r="L887">
        <v>1196.65691325592</v>
      </c>
      <c r="M887">
        <v>23.879318289588099</v>
      </c>
      <c r="N887">
        <v>50.2409730569128</v>
      </c>
      <c r="O887">
        <v>49.765214985657302</v>
      </c>
      <c r="P887">
        <v>-0.116413949679259</v>
      </c>
      <c r="Q887">
        <v>2.9574998962173599E-2</v>
      </c>
      <c r="R887">
        <v>0.99063595696982298</v>
      </c>
      <c r="S887" t="s">
        <v>7693</v>
      </c>
      <c r="T887" t="s">
        <v>13610</v>
      </c>
      <c r="U887" t="s">
        <v>13610</v>
      </c>
      <c r="V887" t="s">
        <v>13610</v>
      </c>
      <c r="W887" t="s">
        <v>14473</v>
      </c>
      <c r="X887">
        <v>8</v>
      </c>
      <c r="Y887" t="s">
        <v>21063</v>
      </c>
      <c r="Z887" t="s">
        <v>27742</v>
      </c>
      <c r="AA887">
        <v>0.36621365165522668</v>
      </c>
      <c r="AB887" t="str">
        <f>HYPERLINK("Melting_Curves/meltCurve_H7BZJ3_PDIA3.pdf", "Melting_Curves/meltCurve_H7BZJ3_PDIA3.pdf")</f>
        <v>Melting_Curves/meltCurve_H7BZJ3_PDIA3.pdf</v>
      </c>
    </row>
    <row r="888" spans="1:28" x14ac:dyDescent="0.25">
      <c r="A888" t="s">
        <v>892</v>
      </c>
      <c r="B888">
        <v>0.995954080203443</v>
      </c>
      <c r="C888">
        <v>0.972603721010455</v>
      </c>
      <c r="D888">
        <v>1.0507361553983401</v>
      </c>
      <c r="E888">
        <v>0.88894217328886405</v>
      </c>
      <c r="F888">
        <v>0.96417145664564896</v>
      </c>
      <c r="G888">
        <v>0.71613345547680596</v>
      </c>
      <c r="H888">
        <v>0.53456441559580103</v>
      </c>
      <c r="I888">
        <v>0.59830765118886198</v>
      </c>
      <c r="J888">
        <v>0.64505098614326095</v>
      </c>
      <c r="K888">
        <v>0.59540604665926</v>
      </c>
      <c r="L888">
        <v>2490.27086862653</v>
      </c>
      <c r="M888">
        <v>44.640230620202303</v>
      </c>
      <c r="O888">
        <v>55.673742002848002</v>
      </c>
      <c r="P888">
        <v>-8.1640890849884906E-2</v>
      </c>
      <c r="Q888">
        <v>0.59272180353664095</v>
      </c>
      <c r="R888">
        <v>0.93571668805995001</v>
      </c>
      <c r="S888" t="s">
        <v>7694</v>
      </c>
      <c r="T888" t="s">
        <v>13610</v>
      </c>
      <c r="U888" t="s">
        <v>13610</v>
      </c>
      <c r="V888" t="s">
        <v>13610</v>
      </c>
      <c r="W888" t="s">
        <v>14474</v>
      </c>
      <c r="X888">
        <v>1</v>
      </c>
      <c r="Y888" t="s">
        <v>21190</v>
      </c>
      <c r="Z888" t="s">
        <v>27743</v>
      </c>
      <c r="AA888">
        <v>0.80827859416121395</v>
      </c>
      <c r="AB888" t="str">
        <f>HYPERLINK("Melting_Curves/meltCurve_H7BZK3_DNAJB14.pdf", "Melting_Curves/meltCurve_H7BZK3_DNAJB14.pdf")</f>
        <v>Melting_Curves/meltCurve_H7BZK3_DNAJB14.pdf</v>
      </c>
    </row>
    <row r="889" spans="1:28" x14ac:dyDescent="0.25">
      <c r="A889" t="s">
        <v>893</v>
      </c>
      <c r="B889">
        <v>0.995954080203443</v>
      </c>
      <c r="C889">
        <v>0.94814184045665095</v>
      </c>
      <c r="D889">
        <v>1.0459781040867699</v>
      </c>
      <c r="E889">
        <v>0.89157911042901805</v>
      </c>
      <c r="F889">
        <v>0.87943279940531005</v>
      </c>
      <c r="G889">
        <v>0.62920920141187398</v>
      </c>
      <c r="H889">
        <v>0.45183548953755798</v>
      </c>
      <c r="I889">
        <v>0.28409063758498299</v>
      </c>
      <c r="J889">
        <v>0.10165560458511599</v>
      </c>
      <c r="K889">
        <v>7.7387155222494106E-2</v>
      </c>
      <c r="L889">
        <v>893.15662792777005</v>
      </c>
      <c r="M889">
        <v>15.0135326269091</v>
      </c>
      <c r="N889">
        <v>59.490104977982298</v>
      </c>
      <c r="O889">
        <v>58.464605593840503</v>
      </c>
      <c r="P889">
        <v>-6.4205701593419998E-2</v>
      </c>
      <c r="Q889">
        <v>0</v>
      </c>
      <c r="R889">
        <v>0.98766057353673498</v>
      </c>
      <c r="S889" t="s">
        <v>7695</v>
      </c>
      <c r="T889" t="s">
        <v>13610</v>
      </c>
      <c r="U889" t="s">
        <v>13610</v>
      </c>
      <c r="V889" t="s">
        <v>13610</v>
      </c>
      <c r="W889" t="s">
        <v>14475</v>
      </c>
      <c r="X889">
        <v>2</v>
      </c>
      <c r="Y889" t="s">
        <v>21191</v>
      </c>
      <c r="Z889" t="s">
        <v>27744</v>
      </c>
      <c r="AA889">
        <v>0.65848134744088627</v>
      </c>
      <c r="AB889" t="str">
        <f>HYPERLINK("Melting_Curves/meltCurve_H7BZS7_MCEE.pdf", "Melting_Curves/meltCurve_H7BZS7_MCEE.pdf")</f>
        <v>Melting_Curves/meltCurve_H7BZS7_MCEE.pdf</v>
      </c>
    </row>
    <row r="890" spans="1:28" x14ac:dyDescent="0.25">
      <c r="A890" t="s">
        <v>894</v>
      </c>
      <c r="B890">
        <v>0.995954080203443</v>
      </c>
      <c r="C890">
        <v>0.68683333804117197</v>
      </c>
      <c r="D890">
        <v>0.92995596807733405</v>
      </c>
      <c r="E890">
        <v>0.67225571325779199</v>
      </c>
      <c r="F890">
        <v>0.71604058900232803</v>
      </c>
      <c r="G890">
        <v>0.39584893969497698</v>
      </c>
      <c r="H890">
        <v>0.62778021603678702</v>
      </c>
      <c r="I890">
        <v>0.79815706918871698</v>
      </c>
      <c r="J890">
        <v>0.25949713113789302</v>
      </c>
      <c r="K890">
        <v>0.69012318021816399</v>
      </c>
      <c r="L890">
        <v>463.99549306638801</v>
      </c>
      <c r="M890">
        <v>9.9307060482312597</v>
      </c>
      <c r="O890">
        <v>44.947083936417002</v>
      </c>
      <c r="P890">
        <v>-2.56482271873004E-2</v>
      </c>
      <c r="Q890">
        <v>0.535888765893341</v>
      </c>
      <c r="R890">
        <v>0.38404283520676602</v>
      </c>
      <c r="S890" t="s">
        <v>7696</v>
      </c>
      <c r="T890" t="s">
        <v>13610</v>
      </c>
      <c r="U890" t="s">
        <v>13610</v>
      </c>
      <c r="V890" t="s">
        <v>13610</v>
      </c>
      <c r="W890" t="s">
        <v>14476</v>
      </c>
      <c r="X890">
        <v>7</v>
      </c>
      <c r="Y890" t="s">
        <v>21192</v>
      </c>
      <c r="Z890" t="s">
        <v>27745</v>
      </c>
      <c r="AA890">
        <v>0.66749393509839572</v>
      </c>
      <c r="AB890" t="str">
        <f>HYPERLINK("Melting_Curves/meltCurve_H7C0J3_CHD3.pdf", "Melting_Curves/meltCurve_H7C0J3_CHD3.pdf")</f>
        <v>Melting_Curves/meltCurve_H7C0J3_CHD3.pdf</v>
      </c>
    </row>
    <row r="891" spans="1:28" x14ac:dyDescent="0.25">
      <c r="A891" t="s">
        <v>895</v>
      </c>
      <c r="B891">
        <v>0.995954080203443</v>
      </c>
      <c r="C891">
        <v>0.76388613215019896</v>
      </c>
      <c r="D891">
        <v>0.60905238782507598</v>
      </c>
      <c r="E891">
        <v>0.80669025696418095</v>
      </c>
      <c r="F891">
        <v>0.73770992765032695</v>
      </c>
      <c r="G891">
        <v>0.58322051357803695</v>
      </c>
      <c r="H891">
        <v>0.49775889007714302</v>
      </c>
      <c r="I891">
        <v>0.53666354944418604</v>
      </c>
      <c r="J891">
        <v>0.60007049920205602</v>
      </c>
      <c r="K891">
        <v>0.62252979714618295</v>
      </c>
      <c r="L891">
        <v>429.11717164334499</v>
      </c>
      <c r="M891">
        <v>9.6080341502294999</v>
      </c>
      <c r="O891">
        <v>42.856175613894003</v>
      </c>
      <c r="P891">
        <v>-2.45394576950109E-2</v>
      </c>
      <c r="Q891">
        <v>0.56241961976425203</v>
      </c>
      <c r="R891">
        <v>0.63120761522437696</v>
      </c>
      <c r="S891" t="s">
        <v>7697</v>
      </c>
      <c r="T891" t="s">
        <v>13610</v>
      </c>
      <c r="U891" t="s">
        <v>13610</v>
      </c>
      <c r="V891" t="s">
        <v>13610</v>
      </c>
      <c r="W891" t="s">
        <v>14369</v>
      </c>
      <c r="X891">
        <v>11</v>
      </c>
      <c r="Z891" t="s">
        <v>27746</v>
      </c>
      <c r="AA891">
        <v>0.6634446203638602</v>
      </c>
      <c r="AB891" t="str">
        <f>HYPERLINK("Melting_Curves/meltCurve_H7C0S8_.pdf", "Melting_Curves/meltCurve_H7C0S8_.pdf")</f>
        <v>Melting_Curves/meltCurve_H7C0S8_.pdf</v>
      </c>
    </row>
    <row r="892" spans="1:28" x14ac:dyDescent="0.25">
      <c r="A892" t="s">
        <v>896</v>
      </c>
      <c r="B892">
        <v>0.995954080203443</v>
      </c>
      <c r="C892">
        <v>1.12125065033042</v>
      </c>
      <c r="D892">
        <v>1.0211754689744901</v>
      </c>
      <c r="E892">
        <v>1.0091760434074499</v>
      </c>
      <c r="F892">
        <v>0.93889557460165296</v>
      </c>
      <c r="G892">
        <v>0.71609964337446297</v>
      </c>
      <c r="H892">
        <v>0.68671120645761297</v>
      </c>
      <c r="I892">
        <v>0.82266002518035997</v>
      </c>
      <c r="J892">
        <v>1.0188751403544101</v>
      </c>
      <c r="K892">
        <v>1.00805768055264</v>
      </c>
      <c r="L892">
        <v>13269.581126618001</v>
      </c>
      <c r="M892">
        <v>250</v>
      </c>
      <c r="O892">
        <v>53.0749278984946</v>
      </c>
      <c r="P892">
        <v>-0.176070964668707</v>
      </c>
      <c r="Q892">
        <v>0.85048074024684395</v>
      </c>
      <c r="R892">
        <v>0.386257267060303</v>
      </c>
      <c r="S892" t="s">
        <v>7698</v>
      </c>
      <c r="T892" t="s">
        <v>13610</v>
      </c>
      <c r="U892" t="s">
        <v>13610</v>
      </c>
      <c r="V892" t="s">
        <v>13610</v>
      </c>
      <c r="W892" t="s">
        <v>14477</v>
      </c>
      <c r="X892">
        <v>14</v>
      </c>
      <c r="Y892" t="s">
        <v>21193</v>
      </c>
      <c r="Z892" t="s">
        <v>27747</v>
      </c>
      <c r="AA892">
        <v>0.91567671484409396</v>
      </c>
      <c r="AB892" t="str">
        <f>HYPERLINK("Melting_Curves/meltCurve_H7C137_RANBP1.pdf", "Melting_Curves/meltCurve_H7C137_RANBP1.pdf")</f>
        <v>Melting_Curves/meltCurve_H7C137_RANBP1.pdf</v>
      </c>
    </row>
    <row r="893" spans="1:28" x14ac:dyDescent="0.25">
      <c r="A893" t="s">
        <v>897</v>
      </c>
      <c r="B893">
        <v>0.995954080203443</v>
      </c>
      <c r="C893">
        <v>0.95782711527087305</v>
      </c>
      <c r="D893">
        <v>0.81985718668803698</v>
      </c>
      <c r="E893">
        <v>0.987391713328025</v>
      </c>
      <c r="F893">
        <v>0.94942593140866105</v>
      </c>
      <c r="G893">
        <v>0.82463603493058502</v>
      </c>
      <c r="H893">
        <v>0.54094613520697998</v>
      </c>
      <c r="I893">
        <v>0.495481580885204</v>
      </c>
      <c r="J893">
        <v>0.516816380862272</v>
      </c>
      <c r="K893">
        <v>0.63218526369355199</v>
      </c>
      <c r="L893">
        <v>4663.8713326684801</v>
      </c>
      <c r="M893">
        <v>81.362902907013606</v>
      </c>
      <c r="O893">
        <v>57.287239276047004</v>
      </c>
      <c r="P893">
        <v>-0.16135823336629199</v>
      </c>
      <c r="Q893">
        <v>0.545553746664317</v>
      </c>
      <c r="R893">
        <v>0.874876974684477</v>
      </c>
      <c r="S893" t="s">
        <v>7699</v>
      </c>
      <c r="T893" t="s">
        <v>13610</v>
      </c>
      <c r="U893" t="s">
        <v>13610</v>
      </c>
      <c r="V893" t="s">
        <v>13610</v>
      </c>
      <c r="W893" t="s">
        <v>14478</v>
      </c>
      <c r="X893">
        <v>27</v>
      </c>
      <c r="Y893" t="s">
        <v>21194</v>
      </c>
      <c r="Z893" t="s">
        <v>27748</v>
      </c>
      <c r="AA893">
        <v>0.80838101976860466</v>
      </c>
      <c r="AB893" t="str">
        <f>HYPERLINK("Melting_Curves/meltCurve_H7C144_ACTN4.pdf", "Melting_Curves/meltCurve_H7C144_ACTN4.pdf")</f>
        <v>Melting_Curves/meltCurve_H7C144_ACTN4.pdf</v>
      </c>
    </row>
    <row r="894" spans="1:28" x14ac:dyDescent="0.25">
      <c r="A894" t="s">
        <v>898</v>
      </c>
      <c r="B894">
        <v>0.995954080203443</v>
      </c>
      <c r="C894">
        <v>1.02916253126901</v>
      </c>
      <c r="D894">
        <v>1.00310878069375</v>
      </c>
      <c r="E894">
        <v>0.685568225680109</v>
      </c>
      <c r="F894">
        <v>0.30958272812105198</v>
      </c>
      <c r="G894">
        <v>0.18837855590952299</v>
      </c>
      <c r="H894">
        <v>0.14107592605389799</v>
      </c>
      <c r="I894">
        <v>0.14865299893353501</v>
      </c>
      <c r="J894">
        <v>0.178515080413816</v>
      </c>
      <c r="K894">
        <v>0.156165926443432</v>
      </c>
      <c r="L894">
        <v>1849.8114181564299</v>
      </c>
      <c r="M894">
        <v>36.454411323655499</v>
      </c>
      <c r="N894">
        <v>51.2827630723014</v>
      </c>
      <c r="O894">
        <v>50.591169880070296</v>
      </c>
      <c r="P894">
        <v>-0.15144741860980801</v>
      </c>
      <c r="Q894">
        <v>0.15929195482922401</v>
      </c>
      <c r="R894">
        <v>0.99819507182127598</v>
      </c>
      <c r="S894" t="s">
        <v>7700</v>
      </c>
      <c r="T894" t="s">
        <v>13610</v>
      </c>
      <c r="U894" t="s">
        <v>13610</v>
      </c>
      <c r="V894" t="s">
        <v>13610</v>
      </c>
      <c r="W894" t="s">
        <v>14479</v>
      </c>
      <c r="X894">
        <v>7</v>
      </c>
      <c r="Y894" t="s">
        <v>21195</v>
      </c>
      <c r="Z894" t="s">
        <v>27749</v>
      </c>
      <c r="AA894">
        <v>0.4639090676462993</v>
      </c>
      <c r="AB894" t="str">
        <f>HYPERLINK("Melting_Curves/meltCurve_H7C1C1_DONSON.pdf", "Melting_Curves/meltCurve_H7C1C1_DONSON.pdf")</f>
        <v>Melting_Curves/meltCurve_H7C1C1_DONSON.pdf</v>
      </c>
    </row>
    <row r="895" spans="1:28" x14ac:dyDescent="0.25">
      <c r="A895" t="s">
        <v>899</v>
      </c>
      <c r="B895">
        <v>0.995954080203443</v>
      </c>
      <c r="C895">
        <v>1.3782199202171801</v>
      </c>
      <c r="D895">
        <v>1.39250223351205</v>
      </c>
      <c r="E895">
        <v>1.5939683973610801</v>
      </c>
      <c r="F895">
        <v>1.31536807548624</v>
      </c>
      <c r="G895">
        <v>1.18428888937378</v>
      </c>
      <c r="H895">
        <v>1.19547323794046</v>
      </c>
      <c r="I895">
        <v>1.2646184688809301</v>
      </c>
      <c r="J895">
        <v>2.1617713616852798</v>
      </c>
      <c r="K895">
        <v>1.0444891759091299</v>
      </c>
      <c r="L895">
        <v>10588.881288795401</v>
      </c>
      <c r="M895">
        <v>250</v>
      </c>
      <c r="O895">
        <v>42.352814877942997</v>
      </c>
      <c r="P895">
        <v>0.58151386869517396</v>
      </c>
      <c r="Q895">
        <v>1.3940599853967199</v>
      </c>
      <c r="R895">
        <v>0.141653087256191</v>
      </c>
      <c r="S895" t="s">
        <v>7701</v>
      </c>
      <c r="T895" t="s">
        <v>13610</v>
      </c>
      <c r="U895" t="s">
        <v>13610</v>
      </c>
      <c r="V895" t="s">
        <v>13610</v>
      </c>
      <c r="W895" t="s">
        <v>14480</v>
      </c>
      <c r="X895">
        <v>3</v>
      </c>
      <c r="Y895" t="s">
        <v>21196</v>
      </c>
      <c r="Z895" t="s">
        <v>27750</v>
      </c>
      <c r="AA895">
        <v>1.3630900858850901</v>
      </c>
      <c r="AB895" t="str">
        <f>HYPERLINK("Melting_Curves/meltCurve_H7C1M0_FANCL.pdf", "Melting_Curves/meltCurve_H7C1M0_FANCL.pdf")</f>
        <v>Melting_Curves/meltCurve_H7C1M0_FANCL.pdf</v>
      </c>
    </row>
    <row r="896" spans="1:28" x14ac:dyDescent="0.25">
      <c r="A896" t="s">
        <v>900</v>
      </c>
      <c r="B896">
        <v>0.995954080203443</v>
      </c>
      <c r="C896">
        <v>0.921904922261785</v>
      </c>
      <c r="D896">
        <v>0.70538008224666304</v>
      </c>
      <c r="E896">
        <v>0.43593203101052402</v>
      </c>
      <c r="F896">
        <v>0.19749154190899301</v>
      </c>
      <c r="G896">
        <v>0.107557448187989</v>
      </c>
      <c r="H896">
        <v>7.7527753905034302E-2</v>
      </c>
      <c r="I896">
        <v>8.1813782531530793E-2</v>
      </c>
      <c r="J896">
        <v>0.11640097451953201</v>
      </c>
      <c r="K896">
        <v>9.3973312859056898E-2</v>
      </c>
      <c r="L896">
        <v>897.37172606890397</v>
      </c>
      <c r="M896">
        <v>18.608594748731601</v>
      </c>
      <c r="N896">
        <v>48.670711190853403</v>
      </c>
      <c r="O896">
        <v>47.676953767163397</v>
      </c>
      <c r="P896">
        <v>-8.9912775988973404E-2</v>
      </c>
      <c r="Q896">
        <v>7.8580233658582202E-2</v>
      </c>
      <c r="R896">
        <v>0.995305243814818</v>
      </c>
      <c r="S896" t="s">
        <v>7702</v>
      </c>
      <c r="T896" t="s">
        <v>13610</v>
      </c>
      <c r="U896" t="s">
        <v>13610</v>
      </c>
      <c r="V896" t="s">
        <v>13610</v>
      </c>
      <c r="W896" t="s">
        <v>14481</v>
      </c>
      <c r="X896">
        <v>8</v>
      </c>
      <c r="Y896" t="s">
        <v>21197</v>
      </c>
      <c r="Z896" t="s">
        <v>27751</v>
      </c>
      <c r="AA896">
        <v>0.3463181273804905</v>
      </c>
      <c r="AB896" t="str">
        <f>HYPERLINK("Melting_Curves/meltCurve_H7C1M5_DNTTIP1.pdf", "Melting_Curves/meltCurve_H7C1M5_DNTTIP1.pdf")</f>
        <v>Melting_Curves/meltCurve_H7C1M5_DNTTIP1.pdf</v>
      </c>
    </row>
    <row r="897" spans="1:28" x14ac:dyDescent="0.25">
      <c r="A897" t="s">
        <v>901</v>
      </c>
      <c r="B897">
        <v>0.995954080203443</v>
      </c>
      <c r="C897">
        <v>1.0156553174462499</v>
      </c>
      <c r="D897">
        <v>1.1053250561688699</v>
      </c>
      <c r="E897">
        <v>0.83641346590485</v>
      </c>
      <c r="F897">
        <v>0.95567780046605</v>
      </c>
      <c r="G897">
        <v>0.66952034357853096</v>
      </c>
      <c r="H897">
        <v>0.75860350830803702</v>
      </c>
      <c r="I897">
        <v>0.86849419902539104</v>
      </c>
      <c r="J897">
        <v>1.36379625247751</v>
      </c>
      <c r="K897">
        <v>1.0303271781513601</v>
      </c>
      <c r="L897">
        <v>1914.22579294655</v>
      </c>
      <c r="M897">
        <v>28.767788672938799</v>
      </c>
      <c r="O897">
        <v>66.221534820052995</v>
      </c>
      <c r="P897">
        <v>1.7709266190367699E-2</v>
      </c>
      <c r="Q897">
        <v>1.1630609893094499</v>
      </c>
      <c r="R897">
        <v>3.9492301475733897E-2</v>
      </c>
      <c r="S897" t="s">
        <v>7703</v>
      </c>
      <c r="T897" t="s">
        <v>13610</v>
      </c>
      <c r="U897" t="s">
        <v>13610</v>
      </c>
      <c r="V897" t="s">
        <v>13610</v>
      </c>
      <c r="W897" t="s">
        <v>14482</v>
      </c>
      <c r="X897">
        <v>4</v>
      </c>
      <c r="Y897" t="s">
        <v>21198</v>
      </c>
      <c r="Z897" t="s">
        <v>27752</v>
      </c>
      <c r="AA897">
        <v>1.0206110533963131</v>
      </c>
      <c r="AB897" t="str">
        <f>HYPERLINK("Melting_Curves/meltCurve_H7C1N2_COBL.pdf", "Melting_Curves/meltCurve_H7C1N2_COBL.pdf")</f>
        <v>Melting_Curves/meltCurve_H7C1N2_COBL.pdf</v>
      </c>
    </row>
    <row r="898" spans="1:28" x14ac:dyDescent="0.25">
      <c r="A898" t="s">
        <v>902</v>
      </c>
      <c r="B898">
        <v>0.995954080203443</v>
      </c>
      <c r="C898">
        <v>0.96010844022114605</v>
      </c>
      <c r="D898">
        <v>0.76207505710428802</v>
      </c>
      <c r="E898">
        <v>0.46092691882242598</v>
      </c>
      <c r="F898">
        <v>0.24962346732721399</v>
      </c>
      <c r="G898">
        <v>0.180168934068141</v>
      </c>
      <c r="H898">
        <v>0.13761945505026599</v>
      </c>
      <c r="I898">
        <v>0.14755782737129799</v>
      </c>
      <c r="J898">
        <v>0.15405165402554399</v>
      </c>
      <c r="K898">
        <v>0.14786559071177599</v>
      </c>
      <c r="L898">
        <v>989.09453457536699</v>
      </c>
      <c r="M898">
        <v>20.4154101129092</v>
      </c>
      <c r="N898">
        <v>49.242651925107999</v>
      </c>
      <c r="O898">
        <v>47.990759430371099</v>
      </c>
      <c r="P898">
        <v>-9.1434846538156395E-2</v>
      </c>
      <c r="Q898">
        <v>0.140277597627154</v>
      </c>
      <c r="R898">
        <v>0.998218700319913</v>
      </c>
      <c r="S898" t="s">
        <v>7704</v>
      </c>
      <c r="T898" t="s">
        <v>13610</v>
      </c>
      <c r="U898" t="s">
        <v>13610</v>
      </c>
      <c r="V898" t="s">
        <v>13610</v>
      </c>
      <c r="W898" t="s">
        <v>14483</v>
      </c>
      <c r="X898">
        <v>17</v>
      </c>
      <c r="Y898" t="s">
        <v>21199</v>
      </c>
      <c r="Z898" t="s">
        <v>27753</v>
      </c>
      <c r="AA898">
        <v>0.39400152048340142</v>
      </c>
      <c r="AB898" t="str">
        <f>HYPERLINK("Melting_Curves/meltCurve_H7C1U3_CC2D1B.pdf", "Melting_Curves/meltCurve_H7C1U3_CC2D1B.pdf")</f>
        <v>Melting_Curves/meltCurve_H7C1U3_CC2D1B.pdf</v>
      </c>
    </row>
    <row r="899" spans="1:28" x14ac:dyDescent="0.25">
      <c r="A899" t="s">
        <v>903</v>
      </c>
      <c r="B899">
        <v>0.995954080203443</v>
      </c>
      <c r="C899">
        <v>0.31087007637754499</v>
      </c>
      <c r="D899">
        <v>0.13098432594842499</v>
      </c>
      <c r="E899">
        <v>0.23774807683421501</v>
      </c>
      <c r="F899">
        <v>0.119896438278599</v>
      </c>
      <c r="G899">
        <v>3.99684870349266E-2</v>
      </c>
      <c r="H899">
        <v>2.0723017281070701E-2</v>
      </c>
      <c r="I899">
        <v>1.42759342600777E-2</v>
      </c>
      <c r="J899">
        <v>1.22803164932174E-2</v>
      </c>
      <c r="K899">
        <v>1.37510314937394E-2</v>
      </c>
      <c r="L899">
        <v>3117.2666739015399</v>
      </c>
      <c r="M899">
        <v>73.720073821692196</v>
      </c>
      <c r="N899">
        <v>42.376259255925</v>
      </c>
      <c r="O899">
        <v>42.254077904493201</v>
      </c>
      <c r="P899">
        <v>-0.40421522683142902</v>
      </c>
      <c r="Q899">
        <v>7.3264836673691602E-2</v>
      </c>
      <c r="R899">
        <v>0.94266515831955799</v>
      </c>
      <c r="S899" t="s">
        <v>7705</v>
      </c>
      <c r="T899" t="s">
        <v>13610</v>
      </c>
      <c r="U899" t="s">
        <v>13610</v>
      </c>
      <c r="V899" t="s">
        <v>13610</v>
      </c>
      <c r="W899" t="s">
        <v>14484</v>
      </c>
      <c r="X899">
        <v>2</v>
      </c>
      <c r="Y899" t="s">
        <v>21200</v>
      </c>
      <c r="Z899" t="s">
        <v>27754</v>
      </c>
      <c r="AA899">
        <v>0.14487702315654219</v>
      </c>
      <c r="AB899" t="str">
        <f>HYPERLINK("Melting_Curves/meltCurve_H7C1W2_IDH3G.pdf", "Melting_Curves/meltCurve_H7C1W2_IDH3G.pdf")</f>
        <v>Melting_Curves/meltCurve_H7C1W2_IDH3G.pdf</v>
      </c>
    </row>
    <row r="900" spans="1:28" x14ac:dyDescent="0.25">
      <c r="A900" t="s">
        <v>904</v>
      </c>
      <c r="B900">
        <v>0.995954080203443</v>
      </c>
      <c r="C900">
        <v>0.765987245145062</v>
      </c>
      <c r="D900">
        <v>0.98360478357634595</v>
      </c>
      <c r="E900">
        <v>0.62298891810900003</v>
      </c>
      <c r="F900">
        <v>0.69202678143520302</v>
      </c>
      <c r="G900">
        <v>0.53257467215049104</v>
      </c>
      <c r="H900">
        <v>0.57446980522328905</v>
      </c>
      <c r="I900">
        <v>0.55872111222926601</v>
      </c>
      <c r="J900">
        <v>0.49975245785241801</v>
      </c>
      <c r="K900">
        <v>0.63885523369827102</v>
      </c>
      <c r="L900">
        <v>637.73084787506298</v>
      </c>
      <c r="M900">
        <v>13.3626112499513</v>
      </c>
      <c r="O900">
        <v>46.694179164460998</v>
      </c>
      <c r="P900">
        <v>-3.2494693570893601E-2</v>
      </c>
      <c r="Q900">
        <v>0.54587550891949299</v>
      </c>
      <c r="R900">
        <v>0.74876503476766998</v>
      </c>
      <c r="S900" t="s">
        <v>7706</v>
      </c>
      <c r="T900" t="s">
        <v>13610</v>
      </c>
      <c r="U900" t="s">
        <v>13610</v>
      </c>
      <c r="V900" t="s">
        <v>13610</v>
      </c>
      <c r="W900" t="s">
        <v>14485</v>
      </c>
      <c r="X900">
        <v>1</v>
      </c>
      <c r="Y900" t="s">
        <v>21201</v>
      </c>
      <c r="Z900" t="s">
        <v>27755</v>
      </c>
      <c r="AA900">
        <v>0.67765786324999866</v>
      </c>
      <c r="AB900" t="str">
        <f>HYPERLINK("Melting_Curves/meltCurve_H7C284_MFSD6.pdf", "Melting_Curves/meltCurve_H7C284_MFSD6.pdf")</f>
        <v>Melting_Curves/meltCurve_H7C284_MFSD6.pdf</v>
      </c>
    </row>
    <row r="901" spans="1:28" x14ac:dyDescent="0.25">
      <c r="A901" t="s">
        <v>905</v>
      </c>
      <c r="B901">
        <v>0.995954080203443</v>
      </c>
      <c r="C901">
        <v>0.91118340914489904</v>
      </c>
      <c r="D901">
        <v>1.1440360226419599</v>
      </c>
      <c r="E901">
        <v>0.85352401920953003</v>
      </c>
      <c r="F901">
        <v>1.0299339617009999</v>
      </c>
      <c r="G901">
        <v>0.99537375499398895</v>
      </c>
      <c r="H901">
        <v>0.91626704098908596</v>
      </c>
      <c r="I901">
        <v>1.2766975475828499</v>
      </c>
      <c r="J901">
        <v>1.3517882672672099</v>
      </c>
      <c r="K901">
        <v>0.98753991361290305</v>
      </c>
      <c r="L901">
        <v>8714.5246911211598</v>
      </c>
      <c r="M901">
        <v>139.42271750981499</v>
      </c>
      <c r="O901">
        <v>62.491481141125199</v>
      </c>
      <c r="P901">
        <v>0.114883394657729</v>
      </c>
      <c r="Q901">
        <v>1.2059702601589</v>
      </c>
      <c r="R901">
        <v>0.43378725895137599</v>
      </c>
      <c r="S901" t="s">
        <v>7707</v>
      </c>
      <c r="T901" t="s">
        <v>13610</v>
      </c>
      <c r="U901" t="s">
        <v>13610</v>
      </c>
      <c r="V901" t="s">
        <v>13610</v>
      </c>
      <c r="W901" t="s">
        <v>14486</v>
      </c>
      <c r="X901">
        <v>2</v>
      </c>
      <c r="Y901" t="s">
        <v>21202</v>
      </c>
      <c r="Z901" t="s">
        <v>27756</v>
      </c>
      <c r="AA901">
        <v>1.0513901016680409</v>
      </c>
      <c r="AB901" t="str">
        <f>HYPERLINK("Melting_Curves/meltCurve_H7C2G2_ART4.pdf", "Melting_Curves/meltCurve_H7C2G2_ART4.pdf")</f>
        <v>Melting_Curves/meltCurve_H7C2G2_ART4.pdf</v>
      </c>
    </row>
    <row r="902" spans="1:28" x14ac:dyDescent="0.25">
      <c r="A902" t="s">
        <v>906</v>
      </c>
      <c r="B902">
        <v>0.995954080203443</v>
      </c>
      <c r="C902">
        <v>0.99726379990233105</v>
      </c>
      <c r="D902">
        <v>0.81236410693500105</v>
      </c>
      <c r="E902">
        <v>0.68782871098854603</v>
      </c>
      <c r="F902">
        <v>0.27075855298726198</v>
      </c>
      <c r="G902">
        <v>0.114604866284277</v>
      </c>
      <c r="H902">
        <v>8.6115790315736698E-2</v>
      </c>
      <c r="I902">
        <v>7.0050071052761495E-2</v>
      </c>
      <c r="J902">
        <v>9.6259883884592695E-2</v>
      </c>
      <c r="K902">
        <v>8.9492928536898095E-2</v>
      </c>
      <c r="L902">
        <v>1170.01638215669</v>
      </c>
      <c r="M902">
        <v>23.0801235124644</v>
      </c>
      <c r="N902">
        <v>51.025773795872396</v>
      </c>
      <c r="O902">
        <v>50.317692639267598</v>
      </c>
      <c r="P902">
        <v>-0.106676928111975</v>
      </c>
      <c r="Q902">
        <v>6.9738042455045599E-2</v>
      </c>
      <c r="R902">
        <v>0.98514611170446098</v>
      </c>
      <c r="S902" t="s">
        <v>7708</v>
      </c>
      <c r="T902" t="s">
        <v>13610</v>
      </c>
      <c r="U902" t="s">
        <v>13610</v>
      </c>
      <c r="V902" t="s">
        <v>13610</v>
      </c>
      <c r="W902" t="s">
        <v>14487</v>
      </c>
      <c r="X902">
        <v>2</v>
      </c>
      <c r="Y902" t="s">
        <v>21203</v>
      </c>
      <c r="Z902" t="s">
        <v>27757</v>
      </c>
      <c r="AA902">
        <v>0.41113891419987242</v>
      </c>
      <c r="AB902" t="str">
        <f>HYPERLINK("Melting_Curves/meltCurve_H7C3E1_ATP6AP2.pdf", "Melting_Curves/meltCurve_H7C3E1_ATP6AP2.pdf")</f>
        <v>Melting_Curves/meltCurve_H7C3E1_ATP6AP2.pdf</v>
      </c>
    </row>
    <row r="903" spans="1:28" x14ac:dyDescent="0.25">
      <c r="A903" t="s">
        <v>907</v>
      </c>
      <c r="B903">
        <v>0.995954080203443</v>
      </c>
      <c r="C903">
        <v>1.02905510364354</v>
      </c>
      <c r="D903">
        <v>0.92913219350388998</v>
      </c>
      <c r="E903">
        <v>0.90210281106551304</v>
      </c>
      <c r="F903">
        <v>0.80490701174163903</v>
      </c>
      <c r="G903">
        <v>0.56424944916807995</v>
      </c>
      <c r="H903">
        <v>0.38673204969017699</v>
      </c>
      <c r="I903">
        <v>0.280791369888994</v>
      </c>
      <c r="J903">
        <v>0.15023709088168</v>
      </c>
      <c r="K903">
        <v>8.8169624386379E-2</v>
      </c>
      <c r="L903">
        <v>747.71359907127203</v>
      </c>
      <c r="M903">
        <v>12.7696725290626</v>
      </c>
      <c r="N903">
        <v>58.553858601501602</v>
      </c>
      <c r="O903">
        <v>57.173599812627799</v>
      </c>
      <c r="P903">
        <v>-5.58478401325532E-2</v>
      </c>
      <c r="Q903">
        <v>0</v>
      </c>
      <c r="R903">
        <v>0.99535972831450803</v>
      </c>
      <c r="S903" t="s">
        <v>7709</v>
      </c>
      <c r="T903" t="s">
        <v>13610</v>
      </c>
      <c r="U903" t="s">
        <v>13610</v>
      </c>
      <c r="V903" t="s">
        <v>13610</v>
      </c>
      <c r="W903" t="s">
        <v>14488</v>
      </c>
      <c r="X903">
        <v>7</v>
      </c>
      <c r="Y903" t="s">
        <v>21204</v>
      </c>
      <c r="Z903" t="s">
        <v>27758</v>
      </c>
      <c r="AA903">
        <v>0.62938188588006716</v>
      </c>
      <c r="AB903" t="str">
        <f>HYPERLINK("Melting_Curves/meltCurve_H7C3P4_GNS.pdf", "Melting_Curves/meltCurve_H7C3P4_GNS.pdf")</f>
        <v>Melting_Curves/meltCurve_H7C3P4_GNS.pdf</v>
      </c>
    </row>
    <row r="904" spans="1:28" x14ac:dyDescent="0.25">
      <c r="A904" t="s">
        <v>908</v>
      </c>
      <c r="B904">
        <v>0.995954080203443</v>
      </c>
      <c r="C904">
        <v>0.94138175678413405</v>
      </c>
      <c r="D904">
        <v>0.89348333963985005</v>
      </c>
      <c r="E904">
        <v>0.80032097600573504</v>
      </c>
      <c r="F904">
        <v>0.66906107280435001</v>
      </c>
      <c r="G904">
        <v>0.45251050866715298</v>
      </c>
      <c r="H904">
        <v>0.37855944679325598</v>
      </c>
      <c r="I904">
        <v>0.42223679652857798</v>
      </c>
      <c r="J904">
        <v>0.50770267582654205</v>
      </c>
      <c r="K904">
        <v>0.48621090372244202</v>
      </c>
      <c r="L904">
        <v>998.59438691243895</v>
      </c>
      <c r="M904">
        <v>19.501648367902</v>
      </c>
      <c r="N904">
        <v>57.164791577248103</v>
      </c>
      <c r="O904">
        <v>50.676332238046697</v>
      </c>
      <c r="P904">
        <v>-5.4404466955120599E-2</v>
      </c>
      <c r="Q904">
        <v>0.434525806411931</v>
      </c>
      <c r="R904">
        <v>0.95363061968157203</v>
      </c>
      <c r="S904" t="s">
        <v>7710</v>
      </c>
      <c r="T904" t="s">
        <v>13610</v>
      </c>
      <c r="U904" t="s">
        <v>13610</v>
      </c>
      <c r="V904" t="s">
        <v>13610</v>
      </c>
      <c r="W904" t="s">
        <v>14489</v>
      </c>
      <c r="X904">
        <v>10</v>
      </c>
      <c r="Y904" t="s">
        <v>21205</v>
      </c>
      <c r="Z904" t="s">
        <v>27759</v>
      </c>
      <c r="AA904">
        <v>0.65396255749021459</v>
      </c>
      <c r="AB904" t="str">
        <f>HYPERLINK("Melting_Curves/meltCurve_H7C463_IMMT.pdf", "Melting_Curves/meltCurve_H7C463_IMMT.pdf")</f>
        <v>Melting_Curves/meltCurve_H7C463_IMMT.pdf</v>
      </c>
    </row>
    <row r="905" spans="1:28" x14ac:dyDescent="0.25">
      <c r="A905" t="s">
        <v>909</v>
      </c>
      <c r="B905">
        <v>0.995954080203443</v>
      </c>
      <c r="C905">
        <v>0.87290551359566204</v>
      </c>
      <c r="D905">
        <v>0.46032069979427997</v>
      </c>
      <c r="E905">
        <v>0.34476813494289499</v>
      </c>
      <c r="F905">
        <v>0.182229245503644</v>
      </c>
      <c r="G905">
        <v>6.9024259487712306E-2</v>
      </c>
      <c r="H905">
        <v>2.4185777068909502E-2</v>
      </c>
      <c r="I905">
        <v>2.8207781433267898E-2</v>
      </c>
      <c r="J905">
        <v>4.2950032443213798E-2</v>
      </c>
      <c r="K905">
        <v>0</v>
      </c>
      <c r="L905">
        <v>735.23274820699498</v>
      </c>
      <c r="M905">
        <v>15.7105565330017</v>
      </c>
      <c r="N905">
        <v>46.913085060875297</v>
      </c>
      <c r="O905">
        <v>46.060091857473303</v>
      </c>
      <c r="P905">
        <v>-8.3676019616548997E-2</v>
      </c>
      <c r="Q905">
        <v>1.8799768711251798E-2</v>
      </c>
      <c r="R905">
        <v>0.97782820759495703</v>
      </c>
      <c r="S905" t="s">
        <v>7711</v>
      </c>
      <c r="T905" t="s">
        <v>13610</v>
      </c>
      <c r="U905" t="s">
        <v>13610</v>
      </c>
      <c r="V905" t="s">
        <v>13610</v>
      </c>
      <c r="W905" t="s">
        <v>14490</v>
      </c>
      <c r="X905">
        <v>1</v>
      </c>
      <c r="Y905" t="s">
        <v>21206</v>
      </c>
      <c r="Z905" t="s">
        <v>27760</v>
      </c>
      <c r="AA905">
        <v>0.26567755309573438</v>
      </c>
      <c r="AB905" t="str">
        <f>HYPERLINK("Melting_Curves/meltCurve_H7C4K1_STK19.pdf", "Melting_Curves/meltCurve_H7C4K1_STK19.pdf")</f>
        <v>Melting_Curves/meltCurve_H7C4K1_STK19.pdf</v>
      </c>
    </row>
    <row r="906" spans="1:28" x14ac:dyDescent="0.25">
      <c r="A906" t="s">
        <v>910</v>
      </c>
      <c r="B906">
        <v>0.995954080203443</v>
      </c>
      <c r="C906">
        <v>0.95394790777073402</v>
      </c>
      <c r="D906">
        <v>0.72610130811815898</v>
      </c>
      <c r="E906">
        <v>0.59033853263249803</v>
      </c>
      <c r="F906">
        <v>0.227005379606432</v>
      </c>
      <c r="G906">
        <v>0.101913606187975</v>
      </c>
      <c r="H906">
        <v>6.8969971861691695E-2</v>
      </c>
      <c r="I906">
        <v>5.30496182479493E-2</v>
      </c>
      <c r="J906">
        <v>5.1938390224521701E-2</v>
      </c>
      <c r="K906">
        <v>6.4138053220223007E-2</v>
      </c>
      <c r="L906">
        <v>841.11042871279801</v>
      </c>
      <c r="M906">
        <v>16.9205714222824</v>
      </c>
      <c r="N906">
        <v>49.901584106621101</v>
      </c>
      <c r="O906">
        <v>49.030618288142499</v>
      </c>
      <c r="P906">
        <v>-8.3558542867670796E-2</v>
      </c>
      <c r="Q906">
        <v>3.1553444258980497E-2</v>
      </c>
      <c r="R906">
        <v>0.98510304115696201</v>
      </c>
      <c r="S906" t="s">
        <v>7712</v>
      </c>
      <c r="T906" t="s">
        <v>13610</v>
      </c>
      <c r="U906" t="s">
        <v>13610</v>
      </c>
      <c r="V906" t="s">
        <v>13610</v>
      </c>
      <c r="W906" t="s">
        <v>14491</v>
      </c>
      <c r="X906">
        <v>3</v>
      </c>
      <c r="Y906" t="s">
        <v>21207</v>
      </c>
      <c r="Z906" t="s">
        <v>27761</v>
      </c>
      <c r="AA906">
        <v>0.36364465282863989</v>
      </c>
      <c r="AB906" t="str">
        <f>HYPERLINK("Melting_Curves/meltCurve_H7C4S2_HBP1.pdf", "Melting_Curves/meltCurve_H7C4S2_HBP1.pdf")</f>
        <v>Melting_Curves/meltCurve_H7C4S2_HBP1.pdf</v>
      </c>
    </row>
    <row r="907" spans="1:28" x14ac:dyDescent="0.25">
      <c r="A907" t="s">
        <v>911</v>
      </c>
      <c r="B907">
        <v>0.995954080203443</v>
      </c>
      <c r="C907">
        <v>0.93817440605045099</v>
      </c>
      <c r="D907">
        <v>0.92071392237407301</v>
      </c>
      <c r="E907">
        <v>0.89568432949866505</v>
      </c>
      <c r="F907">
        <v>0.76162747215107995</v>
      </c>
      <c r="G907">
        <v>0.55680830081716204</v>
      </c>
      <c r="H907">
        <v>0.60392400626131804</v>
      </c>
      <c r="I907">
        <v>0.68922075922915504</v>
      </c>
      <c r="J907">
        <v>0.86260939876641796</v>
      </c>
      <c r="K907">
        <v>0.837985308187018</v>
      </c>
      <c r="L907">
        <v>2129.8854076019502</v>
      </c>
      <c r="M907">
        <v>42.106092245246998</v>
      </c>
      <c r="O907">
        <v>50.470085252485397</v>
      </c>
      <c r="P907">
        <v>-6.00282372541572E-2</v>
      </c>
      <c r="Q907">
        <v>0.71219128316623304</v>
      </c>
      <c r="R907">
        <v>0.56814117121070495</v>
      </c>
      <c r="S907" t="s">
        <v>7713</v>
      </c>
      <c r="T907" t="s">
        <v>13610</v>
      </c>
      <c r="U907" t="s">
        <v>13610</v>
      </c>
      <c r="V907" t="s">
        <v>13610</v>
      </c>
      <c r="W907" t="s">
        <v>14492</v>
      </c>
      <c r="X907">
        <v>4</v>
      </c>
      <c r="Y907" t="s">
        <v>20510</v>
      </c>
      <c r="Z907" t="s">
        <v>27762</v>
      </c>
      <c r="AA907">
        <v>0.81463565460874865</v>
      </c>
      <c r="AB907" t="str">
        <f>HYPERLINK("Melting_Curves/meltCurve_H7C4S4_FXR1.pdf", "Melting_Curves/meltCurve_H7C4S4_FXR1.pdf")</f>
        <v>Melting_Curves/meltCurve_H7C4S4_FXR1.pdf</v>
      </c>
    </row>
    <row r="908" spans="1:28" x14ac:dyDescent="0.25">
      <c r="A908" t="s">
        <v>912</v>
      </c>
      <c r="B908">
        <v>0.995954080203443</v>
      </c>
      <c r="C908">
        <v>0.82371413292638096</v>
      </c>
      <c r="D908">
        <v>0.58014357193264898</v>
      </c>
      <c r="E908">
        <v>0.50914386798184796</v>
      </c>
      <c r="F908">
        <v>0.372789495898465</v>
      </c>
      <c r="G908">
        <v>0.249061350126146</v>
      </c>
      <c r="H908">
        <v>0.18950851721991499</v>
      </c>
      <c r="I908">
        <v>0.16782979623246599</v>
      </c>
      <c r="J908">
        <v>0.22187523060131001</v>
      </c>
      <c r="K908">
        <v>0.149421969410475</v>
      </c>
      <c r="L908">
        <v>565.90562092995503</v>
      </c>
      <c r="M908">
        <v>11.8735703678819</v>
      </c>
      <c r="N908">
        <v>49.148190869166598</v>
      </c>
      <c r="O908">
        <v>46.369341993763697</v>
      </c>
      <c r="P908">
        <v>-5.4368676896374299E-2</v>
      </c>
      <c r="Q908">
        <v>0.15091867538217699</v>
      </c>
      <c r="R908">
        <v>0.975661129898313</v>
      </c>
      <c r="S908" t="s">
        <v>7714</v>
      </c>
      <c r="T908" t="s">
        <v>13610</v>
      </c>
      <c r="U908" t="s">
        <v>13610</v>
      </c>
      <c r="V908" t="s">
        <v>13610</v>
      </c>
      <c r="W908" t="s">
        <v>14493</v>
      </c>
      <c r="X908">
        <v>1</v>
      </c>
      <c r="Y908" t="s">
        <v>21208</v>
      </c>
      <c r="Z908" t="s">
        <v>27763</v>
      </c>
      <c r="AA908">
        <v>0.40238819599812692</v>
      </c>
      <c r="AB908" t="str">
        <f>HYPERLINK("Melting_Curves/meltCurve_H7C4Y3_PARP14.pdf", "Melting_Curves/meltCurve_H7C4Y3_PARP14.pdf")</f>
        <v>Melting_Curves/meltCurve_H7C4Y3_PARP14.pdf</v>
      </c>
    </row>
    <row r="909" spans="1:28" x14ac:dyDescent="0.25">
      <c r="A909" t="s">
        <v>913</v>
      </c>
      <c r="B909">
        <v>0.995954080203443</v>
      </c>
      <c r="C909">
        <v>0.99418854698525005</v>
      </c>
      <c r="D909">
        <v>0.93517496035302905</v>
      </c>
      <c r="E909">
        <v>0.84841608430065496</v>
      </c>
      <c r="F909">
        <v>0.81038456191083197</v>
      </c>
      <c r="G909">
        <v>0.560894357000009</v>
      </c>
      <c r="H909">
        <v>0.47491931565700302</v>
      </c>
      <c r="I909">
        <v>0.47909540850725701</v>
      </c>
      <c r="J909">
        <v>0.50379131803593602</v>
      </c>
      <c r="K909">
        <v>0.442976605756359</v>
      </c>
      <c r="L909">
        <v>933.68920819655602</v>
      </c>
      <c r="M909">
        <v>17.407888984458001</v>
      </c>
      <c r="N909">
        <v>61.438043248759399</v>
      </c>
      <c r="O909">
        <v>52.943188969595198</v>
      </c>
      <c r="P909">
        <v>-4.56088195701587E-2</v>
      </c>
      <c r="Q909">
        <v>0.44518479647173298</v>
      </c>
      <c r="R909">
        <v>0.98070686193541001</v>
      </c>
      <c r="S909" t="s">
        <v>7715</v>
      </c>
      <c r="T909" t="s">
        <v>13610</v>
      </c>
      <c r="U909" t="s">
        <v>13610</v>
      </c>
      <c r="V909" t="s">
        <v>13610</v>
      </c>
      <c r="W909" t="s">
        <v>14494</v>
      </c>
      <c r="X909">
        <v>7</v>
      </c>
      <c r="Y909" t="s">
        <v>21209</v>
      </c>
      <c r="Z909" t="s">
        <v>27764</v>
      </c>
      <c r="AA909">
        <v>0.70679127355374549</v>
      </c>
      <c r="AB909" t="str">
        <f>HYPERLINK("Melting_Curves/meltCurve_H7C585_FXN.pdf", "Melting_Curves/meltCurve_H7C585_FXN.pdf")</f>
        <v>Melting_Curves/meltCurve_H7C585_FXN.pdf</v>
      </c>
    </row>
    <row r="910" spans="1:28" x14ac:dyDescent="0.25">
      <c r="A910" t="s">
        <v>914</v>
      </c>
      <c r="B910">
        <v>0.995954080203443</v>
      </c>
      <c r="C910">
        <v>0.99128974590123597</v>
      </c>
      <c r="D910">
        <v>0.88182211812524602</v>
      </c>
      <c r="E910">
        <v>0.65800505011255805</v>
      </c>
      <c r="F910">
        <v>0.403247678797857</v>
      </c>
      <c r="G910">
        <v>0.22358552077955199</v>
      </c>
      <c r="H910">
        <v>0.17430639464707101</v>
      </c>
      <c r="I910">
        <v>0.18206325357258499</v>
      </c>
      <c r="J910">
        <v>0.24197598882228299</v>
      </c>
      <c r="K910">
        <v>0.1824439071883</v>
      </c>
      <c r="L910">
        <v>1104.3320417443699</v>
      </c>
      <c r="M910">
        <v>21.852091494124601</v>
      </c>
      <c r="N910">
        <v>51.617087081832302</v>
      </c>
      <c r="O910">
        <v>50.119160437997898</v>
      </c>
      <c r="P910">
        <v>-8.8997390325839504E-2</v>
      </c>
      <c r="Q910">
        <v>0.183534046583125</v>
      </c>
      <c r="R910">
        <v>0.99468883498730298</v>
      </c>
      <c r="S910" t="s">
        <v>7716</v>
      </c>
      <c r="T910" t="s">
        <v>13610</v>
      </c>
      <c r="U910" t="s">
        <v>13610</v>
      </c>
      <c r="V910" t="s">
        <v>13610</v>
      </c>
      <c r="W910" t="s">
        <v>14495</v>
      </c>
      <c r="X910">
        <v>6</v>
      </c>
      <c r="Y910" t="s">
        <v>21210</v>
      </c>
      <c r="Z910" t="s">
        <v>27765</v>
      </c>
      <c r="AA910">
        <v>0.47986064386135657</v>
      </c>
      <c r="AB910" t="str">
        <f>HYPERLINK("Melting_Curves/meltCurve_H7C5D9_LRCH4.pdf", "Melting_Curves/meltCurve_H7C5D9_LRCH4.pdf")</f>
        <v>Melting_Curves/meltCurve_H7C5D9_LRCH4.pdf</v>
      </c>
    </row>
    <row r="911" spans="1:28" x14ac:dyDescent="0.25">
      <c r="A911" t="s">
        <v>915</v>
      </c>
      <c r="B911">
        <v>0.995954080203443</v>
      </c>
      <c r="C911">
        <v>1.0070190162936601</v>
      </c>
      <c r="D911">
        <v>1.0470129329678799</v>
      </c>
      <c r="E911">
        <v>0.94325270479413503</v>
      </c>
      <c r="F911">
        <v>0.94288871905363503</v>
      </c>
      <c r="G911">
        <v>0.74590777533991104</v>
      </c>
      <c r="H911">
        <v>0.44013336866494401</v>
      </c>
      <c r="I911">
        <v>0.15650642051633801</v>
      </c>
      <c r="J911">
        <v>0.139850308369072</v>
      </c>
      <c r="K911">
        <v>0.138254671014927</v>
      </c>
      <c r="L911">
        <v>1444.0720582909801</v>
      </c>
      <c r="M911">
        <v>24.337544083656901</v>
      </c>
      <c r="N911">
        <v>59.804581760174997</v>
      </c>
      <c r="O911">
        <v>58.938890938577003</v>
      </c>
      <c r="P911">
        <v>-9.4257773141071893E-2</v>
      </c>
      <c r="Q911">
        <v>8.6946897700605902E-2</v>
      </c>
      <c r="R911">
        <v>0.99182761404527997</v>
      </c>
      <c r="S911" t="s">
        <v>7717</v>
      </c>
      <c r="T911" t="s">
        <v>13610</v>
      </c>
      <c r="U911" t="s">
        <v>13610</v>
      </c>
      <c r="V911" t="s">
        <v>13610</v>
      </c>
      <c r="X911">
        <v>57</v>
      </c>
      <c r="Z911" t="s">
        <v>27766</v>
      </c>
      <c r="AA911">
        <v>0.6829011789663364</v>
      </c>
      <c r="AB911" t="str">
        <f>HYPERLINK("Melting_Curves/meltCurve_H7C5E8_.pdf", "Melting_Curves/meltCurve_H7C5E8_.pdf")</f>
        <v>Melting_Curves/meltCurve_H7C5E8_.pdf</v>
      </c>
    </row>
    <row r="912" spans="1:28" x14ac:dyDescent="0.25">
      <c r="A912" t="s">
        <v>916</v>
      </c>
      <c r="B912">
        <v>0.995954080203443</v>
      </c>
      <c r="C912">
        <v>1.11235221254144</v>
      </c>
      <c r="D912">
        <v>0.96537772366003505</v>
      </c>
      <c r="E912">
        <v>0.73375505785913997</v>
      </c>
      <c r="F912">
        <v>0.75755881482291798</v>
      </c>
      <c r="G912">
        <v>0.53004092263497804</v>
      </c>
      <c r="H912">
        <v>0.48908026280142097</v>
      </c>
      <c r="I912">
        <v>0.55233371763295702</v>
      </c>
      <c r="J912">
        <v>0.54405459183960803</v>
      </c>
      <c r="K912">
        <v>0.53271890332838201</v>
      </c>
      <c r="L912">
        <v>1063.5374703626001</v>
      </c>
      <c r="M912">
        <v>20.886717385364499</v>
      </c>
      <c r="O912">
        <v>50.4594695114437</v>
      </c>
      <c r="P912">
        <v>-4.93398682621548E-2</v>
      </c>
      <c r="Q912">
        <v>0.52321954820518801</v>
      </c>
      <c r="R912">
        <v>0.93064146970111195</v>
      </c>
      <c r="S912" t="s">
        <v>7718</v>
      </c>
      <c r="T912" t="s">
        <v>13610</v>
      </c>
      <c r="U912" t="s">
        <v>13610</v>
      </c>
      <c r="V912" t="s">
        <v>13610</v>
      </c>
      <c r="W912" t="s">
        <v>14496</v>
      </c>
      <c r="X912">
        <v>2</v>
      </c>
      <c r="Y912" t="s">
        <v>21211</v>
      </c>
      <c r="Z912" t="s">
        <v>27767</v>
      </c>
      <c r="AA912">
        <v>0.70285551734059193</v>
      </c>
      <c r="AB912" t="str">
        <f>HYPERLINK("Melting_Curves/meltCurve_H7C5F9_SUPT20H.pdf", "Melting_Curves/meltCurve_H7C5F9_SUPT20H.pdf")</f>
        <v>Melting_Curves/meltCurve_H7C5F9_SUPT20H.pdf</v>
      </c>
    </row>
    <row r="913" spans="1:28" x14ac:dyDescent="0.25">
      <c r="A913" t="s">
        <v>917</v>
      </c>
      <c r="B913">
        <v>0.995954080203443</v>
      </c>
      <c r="C913">
        <v>0.82171389468868306</v>
      </c>
      <c r="D913">
        <v>0.85971929983184103</v>
      </c>
      <c r="E913">
        <v>0.82886720791942603</v>
      </c>
      <c r="F913">
        <v>0.56426327998585502</v>
      </c>
      <c r="G913">
        <v>0.27697667781535301</v>
      </c>
      <c r="H913">
        <v>0.25257291940675197</v>
      </c>
      <c r="I913">
        <v>0.182390960920224</v>
      </c>
      <c r="J913">
        <v>0.16611305633235801</v>
      </c>
      <c r="K913">
        <v>0.15761773849892199</v>
      </c>
      <c r="L913">
        <v>753.75824479586402</v>
      </c>
      <c r="M913">
        <v>14.227961465197099</v>
      </c>
      <c r="N913">
        <v>53.979080336607403</v>
      </c>
      <c r="O913">
        <v>51.963664192416999</v>
      </c>
      <c r="P913">
        <v>-6.0516007275591602E-2</v>
      </c>
      <c r="Q913">
        <v>0.11603841555630399</v>
      </c>
      <c r="R913">
        <v>0.961524623049131</v>
      </c>
      <c r="S913" t="s">
        <v>7719</v>
      </c>
      <c r="T913" t="s">
        <v>13610</v>
      </c>
      <c r="U913" t="s">
        <v>13610</v>
      </c>
      <c r="V913" t="s">
        <v>13610</v>
      </c>
      <c r="W913" t="s">
        <v>14497</v>
      </c>
      <c r="X913">
        <v>1</v>
      </c>
      <c r="Y913" t="s">
        <v>21212</v>
      </c>
      <c r="Z913" t="s">
        <v>27768</v>
      </c>
      <c r="AA913">
        <v>0.51887992023320439</v>
      </c>
      <c r="AB913" t="str">
        <f>HYPERLINK("Melting_Curves/meltCurve_H7C5I5_PLSCR1.pdf", "Melting_Curves/meltCurve_H7C5I5_PLSCR1.pdf")</f>
        <v>Melting_Curves/meltCurve_H7C5I5_PLSCR1.pdf</v>
      </c>
    </row>
    <row r="914" spans="1:28" x14ac:dyDescent="0.25">
      <c r="A914" t="s">
        <v>918</v>
      </c>
      <c r="B914">
        <v>0.995954080203443</v>
      </c>
      <c r="C914">
        <v>0.76916302839290995</v>
      </c>
      <c r="D914">
        <v>0.60105451561975398</v>
      </c>
      <c r="E914">
        <v>0.62088835688842203</v>
      </c>
      <c r="F914">
        <v>0.41027742919482602</v>
      </c>
      <c r="G914">
        <v>0.27521159621351499</v>
      </c>
      <c r="H914">
        <v>0.18649711231591101</v>
      </c>
      <c r="I914">
        <v>0.17492458056989299</v>
      </c>
      <c r="J914">
        <v>0.220641620427415</v>
      </c>
      <c r="K914">
        <v>0.158072538307757</v>
      </c>
      <c r="L914">
        <v>458.76369320670801</v>
      </c>
      <c r="M914">
        <v>9.3342343100646303</v>
      </c>
      <c r="N914">
        <v>50.408423793196803</v>
      </c>
      <c r="O914">
        <v>47.050852034121</v>
      </c>
      <c r="P914">
        <v>-4.4464469563513097E-2</v>
      </c>
      <c r="Q914">
        <v>0.104042485955567</v>
      </c>
      <c r="R914">
        <v>0.95490988930964305</v>
      </c>
      <c r="S914" t="s">
        <v>7720</v>
      </c>
      <c r="T914" t="s">
        <v>13610</v>
      </c>
      <c r="U914" t="s">
        <v>13610</v>
      </c>
      <c r="V914" t="s">
        <v>13610</v>
      </c>
      <c r="W914" t="s">
        <v>14498</v>
      </c>
      <c r="X914">
        <v>1</v>
      </c>
      <c r="Y914" t="s">
        <v>21213</v>
      </c>
      <c r="Z914" t="s">
        <v>27769</v>
      </c>
      <c r="AA914">
        <v>0.42505185237591658</v>
      </c>
      <c r="AB914" t="str">
        <f>HYPERLINK("Melting_Curves/meltCurve_H7C5V4_RNF217.pdf", "Melting_Curves/meltCurve_H7C5V4_RNF217.pdf")</f>
        <v>Melting_Curves/meltCurve_H7C5V4_RNF217.pdf</v>
      </c>
    </row>
    <row r="915" spans="1:28" x14ac:dyDescent="0.25">
      <c r="A915" t="s">
        <v>919</v>
      </c>
      <c r="B915">
        <v>0.995954080203443</v>
      </c>
      <c r="C915">
        <v>0.86891280912756397</v>
      </c>
      <c r="D915">
        <v>1.07422913589418</v>
      </c>
      <c r="E915">
        <v>1.06217998386299</v>
      </c>
      <c r="F915">
        <v>1.2106016370866099</v>
      </c>
      <c r="G915">
        <v>1.0218855121228301</v>
      </c>
      <c r="H915">
        <v>0.97370388894409499</v>
      </c>
      <c r="I915">
        <v>1.04216662505157</v>
      </c>
      <c r="J915">
        <v>1.3431852525552599</v>
      </c>
      <c r="K915">
        <v>1.3468669638381601</v>
      </c>
      <c r="L915">
        <v>9552.3933484307508</v>
      </c>
      <c r="M915">
        <v>147.27811107398301</v>
      </c>
      <c r="O915">
        <v>64.847602046458505</v>
      </c>
      <c r="P915">
        <v>0.196786875265341</v>
      </c>
      <c r="Q915">
        <v>1.34658665124389</v>
      </c>
      <c r="R915">
        <v>0.67764170809278601</v>
      </c>
      <c r="S915" t="s">
        <v>7721</v>
      </c>
      <c r="T915" t="s">
        <v>13610</v>
      </c>
      <c r="U915" t="s">
        <v>13610</v>
      </c>
      <c r="V915" t="s">
        <v>13610</v>
      </c>
      <c r="W915" t="s">
        <v>14499</v>
      </c>
      <c r="X915">
        <v>3</v>
      </c>
      <c r="Y915" t="s">
        <v>21214</v>
      </c>
      <c r="Z915" t="s">
        <v>27770</v>
      </c>
      <c r="AA915">
        <v>1.0592733390483049</v>
      </c>
      <c r="AB915" t="str">
        <f>HYPERLINK("Melting_Curves/meltCurve_H9KV61_PWWP2B.pdf", "Melting_Curves/meltCurve_H9KV61_PWWP2B.pdf")</f>
        <v>Melting_Curves/meltCurve_H9KV61_PWWP2B.pdf</v>
      </c>
    </row>
    <row r="916" spans="1:28" x14ac:dyDescent="0.25">
      <c r="A916" t="s">
        <v>920</v>
      </c>
      <c r="B916">
        <v>0.995954080203443</v>
      </c>
      <c r="C916">
        <v>0.90973027101825998</v>
      </c>
      <c r="D916">
        <v>0.89638672620526905</v>
      </c>
      <c r="E916">
        <v>0.75364396935636901</v>
      </c>
      <c r="F916">
        <v>0.71307477308459899</v>
      </c>
      <c r="G916">
        <v>0.51513811895239403</v>
      </c>
      <c r="H916">
        <v>0.49389675991612902</v>
      </c>
      <c r="I916">
        <v>0.51767358881505698</v>
      </c>
      <c r="J916">
        <v>0.61300530324809799</v>
      </c>
      <c r="K916">
        <v>0.58917192046290501</v>
      </c>
      <c r="L916">
        <v>787.022764521662</v>
      </c>
      <c r="M916">
        <v>15.916834928323199</v>
      </c>
      <c r="O916">
        <v>48.685187733007801</v>
      </c>
      <c r="P916">
        <v>-3.7822298845713302E-2</v>
      </c>
      <c r="Q916">
        <v>0.53728532521828698</v>
      </c>
      <c r="R916">
        <v>0.92211107741823695</v>
      </c>
      <c r="S916" t="s">
        <v>7722</v>
      </c>
      <c r="T916" t="s">
        <v>13610</v>
      </c>
      <c r="U916" t="s">
        <v>13610</v>
      </c>
      <c r="V916" t="s">
        <v>13610</v>
      </c>
      <c r="W916" t="s">
        <v>14500</v>
      </c>
      <c r="X916">
        <v>11</v>
      </c>
      <c r="Y916" t="s">
        <v>21215</v>
      </c>
      <c r="Z916" t="s">
        <v>27771</v>
      </c>
      <c r="AA916">
        <v>0.69304527450687425</v>
      </c>
      <c r="AB916" t="str">
        <f>HYPERLINK("Melting_Curves/meltCurve_H9KVB4_TNRC18.pdf", "Melting_Curves/meltCurve_H9KVB4_TNRC18.pdf")</f>
        <v>Melting_Curves/meltCurve_H9KVB4_TNRC18.pdf</v>
      </c>
    </row>
    <row r="917" spans="1:28" x14ac:dyDescent="0.25">
      <c r="A917" t="s">
        <v>921</v>
      </c>
      <c r="B917">
        <v>0.995954080203443</v>
      </c>
      <c r="C917">
        <v>1.10698467924493</v>
      </c>
      <c r="D917">
        <v>1.0594088454694</v>
      </c>
      <c r="E917">
        <v>0.98478275367634704</v>
      </c>
      <c r="F917">
        <v>0.96669174029709404</v>
      </c>
      <c r="G917">
        <v>0.67085148197576105</v>
      </c>
      <c r="H917">
        <v>0.65785549368765095</v>
      </c>
      <c r="I917">
        <v>0.76821443735892803</v>
      </c>
      <c r="J917">
        <v>0.98830663257222395</v>
      </c>
      <c r="K917">
        <v>0.915168992920948</v>
      </c>
      <c r="L917">
        <v>13335.322620121</v>
      </c>
      <c r="M917">
        <v>250</v>
      </c>
      <c r="O917">
        <v>53.337886946041898</v>
      </c>
      <c r="P917">
        <v>-0.23426198459074599</v>
      </c>
      <c r="Q917">
        <v>0.80007940943882705</v>
      </c>
      <c r="R917">
        <v>0.54602314641258998</v>
      </c>
      <c r="S917" t="s">
        <v>7723</v>
      </c>
      <c r="T917" t="s">
        <v>13610</v>
      </c>
      <c r="U917" t="s">
        <v>13610</v>
      </c>
      <c r="V917" t="s">
        <v>13610</v>
      </c>
      <c r="W917" t="s">
        <v>13868</v>
      </c>
      <c r="X917">
        <v>8</v>
      </c>
      <c r="Z917" t="s">
        <v>27772</v>
      </c>
      <c r="AA917">
        <v>0.88900474702220122</v>
      </c>
      <c r="AB917" t="str">
        <f>HYPERLINK("Melting_Curves/meltCurve_I3L097_.pdf", "Melting_Curves/meltCurve_I3L097_.pdf")</f>
        <v>Melting_Curves/meltCurve_I3L097_.pdf</v>
      </c>
    </row>
    <row r="918" spans="1:28" x14ac:dyDescent="0.25">
      <c r="A918" t="s">
        <v>922</v>
      </c>
      <c r="B918">
        <v>0.995954080203443</v>
      </c>
      <c r="C918">
        <v>0.69819796993974304</v>
      </c>
      <c r="D918">
        <v>0.40559713706096701</v>
      </c>
      <c r="E918">
        <v>0.32092528912910601</v>
      </c>
      <c r="F918">
        <v>0.19471791485277701</v>
      </c>
      <c r="G918">
        <v>0.114806602386928</v>
      </c>
      <c r="H918">
        <v>6.7108380412915294E-2</v>
      </c>
      <c r="I918">
        <v>5.4484447540589002E-2</v>
      </c>
      <c r="J918">
        <v>4.6561580496636203E-2</v>
      </c>
      <c r="K918">
        <v>5.4040000535885903E-2</v>
      </c>
      <c r="L918">
        <v>676.16887371905295</v>
      </c>
      <c r="M918">
        <v>14.882061618337801</v>
      </c>
      <c r="N918">
        <v>45.8216849228209</v>
      </c>
      <c r="O918">
        <v>44.638446913691197</v>
      </c>
      <c r="P918">
        <v>-7.8439435543653305E-2</v>
      </c>
      <c r="Q918">
        <v>5.8987967092372098E-2</v>
      </c>
      <c r="R918">
        <v>0.97270109818068795</v>
      </c>
      <c r="S918" t="s">
        <v>7724</v>
      </c>
      <c r="T918" t="s">
        <v>13610</v>
      </c>
      <c r="U918" t="s">
        <v>13610</v>
      </c>
      <c r="V918" t="s">
        <v>13610</v>
      </c>
      <c r="W918" t="s">
        <v>14501</v>
      </c>
      <c r="X918">
        <v>2</v>
      </c>
      <c r="Y918" t="s">
        <v>21216</v>
      </c>
      <c r="Z918" t="s">
        <v>27773</v>
      </c>
      <c r="AA918">
        <v>0.25886858019128173</v>
      </c>
      <c r="AB918" t="str">
        <f>HYPERLINK("Melting_Curves/meltCurve_I3L0E3_MRPS17.pdf", "Melting_Curves/meltCurve_I3L0E3_MRPS17.pdf")</f>
        <v>Melting_Curves/meltCurve_I3L0E3_MRPS17.pdf</v>
      </c>
    </row>
    <row r="919" spans="1:28" x14ac:dyDescent="0.25">
      <c r="A919" t="s">
        <v>923</v>
      </c>
      <c r="B919">
        <v>0.995954080203443</v>
      </c>
      <c r="C919">
        <v>0.96333228755757705</v>
      </c>
      <c r="D919">
        <v>0.812607964673983</v>
      </c>
      <c r="E919">
        <v>0.738174173114025</v>
      </c>
      <c r="F919">
        <v>0.65167689508106297</v>
      </c>
      <c r="G919">
        <v>0.38349946859330702</v>
      </c>
      <c r="H919">
        <v>0.31451323945635101</v>
      </c>
      <c r="I919">
        <v>0.33847531193927999</v>
      </c>
      <c r="J919">
        <v>0.30916741507100398</v>
      </c>
      <c r="K919">
        <v>0.34049982579189297</v>
      </c>
      <c r="L919">
        <v>680.075353941819</v>
      </c>
      <c r="M919">
        <v>13.149644370560001</v>
      </c>
      <c r="N919">
        <v>55.077547322191002</v>
      </c>
      <c r="O919">
        <v>50.5659303445997</v>
      </c>
      <c r="P919">
        <v>-4.7090237696567103E-2</v>
      </c>
      <c r="Q919">
        <v>0.275795041162957</v>
      </c>
      <c r="R919">
        <v>0.97460654220456799</v>
      </c>
      <c r="S919" t="s">
        <v>7725</v>
      </c>
      <c r="T919" t="s">
        <v>13610</v>
      </c>
      <c r="U919" t="s">
        <v>13610</v>
      </c>
      <c r="V919" t="s">
        <v>13610</v>
      </c>
      <c r="W919" t="s">
        <v>14502</v>
      </c>
      <c r="X919">
        <v>1</v>
      </c>
      <c r="Y919" t="s">
        <v>21217</v>
      </c>
      <c r="Z919" t="s">
        <v>27774</v>
      </c>
      <c r="AA919">
        <v>0.57858013233933847</v>
      </c>
      <c r="AB919" t="str">
        <f>HYPERLINK("Melting_Curves/meltCurve_I3L0N0_ZNF263.pdf", "Melting_Curves/meltCurve_I3L0N0_ZNF263.pdf")</f>
        <v>Melting_Curves/meltCurve_I3L0N0_ZNF263.pdf</v>
      </c>
    </row>
    <row r="920" spans="1:28" x14ac:dyDescent="0.25">
      <c r="A920" t="s">
        <v>924</v>
      </c>
      <c r="B920">
        <v>0.995954080203443</v>
      </c>
      <c r="C920">
        <v>1.0086456517878799</v>
      </c>
      <c r="D920">
        <v>0.95221216599254299</v>
      </c>
      <c r="E920">
        <v>0.80847370132587004</v>
      </c>
      <c r="F920">
        <v>0.50352627040236397</v>
      </c>
      <c r="G920">
        <v>0.23582725612032099</v>
      </c>
      <c r="H920">
        <v>0.114829024040047</v>
      </c>
      <c r="I920">
        <v>9.3468244110783694E-2</v>
      </c>
      <c r="J920">
        <v>8.7785724564477405E-2</v>
      </c>
      <c r="K920">
        <v>8.5201187582463395E-2</v>
      </c>
      <c r="L920">
        <v>1195.93527815435</v>
      </c>
      <c r="M920">
        <v>22.667876863529099</v>
      </c>
      <c r="N920">
        <v>53.166573702203998</v>
      </c>
      <c r="O920">
        <v>52.353573631317801</v>
      </c>
      <c r="P920">
        <v>-9.9613732403406499E-2</v>
      </c>
      <c r="Q920">
        <v>7.9749454846460496E-2</v>
      </c>
      <c r="R920">
        <v>0.99935036904465302</v>
      </c>
      <c r="S920" t="s">
        <v>7726</v>
      </c>
      <c r="T920" t="s">
        <v>13610</v>
      </c>
      <c r="U920" t="s">
        <v>13610</v>
      </c>
      <c r="V920" t="s">
        <v>13610</v>
      </c>
      <c r="W920" t="s">
        <v>14503</v>
      </c>
      <c r="X920">
        <v>12</v>
      </c>
      <c r="Y920" t="s">
        <v>21218</v>
      </c>
      <c r="Z920" t="s">
        <v>27775</v>
      </c>
      <c r="AA920">
        <v>0.48128055586641588</v>
      </c>
      <c r="AB920" t="str">
        <f>HYPERLINK("Melting_Curves/meltCurve_I3L1H5_DPH1.pdf", "Melting_Curves/meltCurve_I3L1H5_DPH1.pdf")</f>
        <v>Melting_Curves/meltCurve_I3L1H5_DPH1.pdf</v>
      </c>
    </row>
    <row r="921" spans="1:28" x14ac:dyDescent="0.25">
      <c r="A921" t="s">
        <v>925</v>
      </c>
      <c r="B921">
        <v>0.995954080203443</v>
      </c>
      <c r="C921">
        <v>0.83906835346726005</v>
      </c>
      <c r="D921">
        <v>0.72977097571485094</v>
      </c>
      <c r="E921">
        <v>0.71693066016947304</v>
      </c>
      <c r="F921">
        <v>0.72421226226350699</v>
      </c>
      <c r="G921">
        <v>0.75523025862151605</v>
      </c>
      <c r="H921">
        <v>0.72307549162164797</v>
      </c>
      <c r="I921">
        <v>0.86893646921073997</v>
      </c>
      <c r="J921">
        <v>1.04744494169083</v>
      </c>
      <c r="K921">
        <v>1.0655928297769499</v>
      </c>
      <c r="L921">
        <v>3955.1345012240499</v>
      </c>
      <c r="M921">
        <v>95.006895362861101</v>
      </c>
      <c r="O921">
        <v>41.611538828683798</v>
      </c>
      <c r="P921">
        <v>-9.7636133605230505E-2</v>
      </c>
      <c r="Q921">
        <v>0.82894759594192202</v>
      </c>
      <c r="R921">
        <v>0.13798150367675299</v>
      </c>
      <c r="S921" t="s">
        <v>7727</v>
      </c>
      <c r="T921" t="s">
        <v>13610</v>
      </c>
      <c r="U921" t="s">
        <v>13610</v>
      </c>
      <c r="V921" t="s">
        <v>13610</v>
      </c>
      <c r="W921" t="s">
        <v>14504</v>
      </c>
      <c r="X921">
        <v>14</v>
      </c>
      <c r="Y921" t="s">
        <v>21219</v>
      </c>
      <c r="Z921" t="s">
        <v>27776</v>
      </c>
      <c r="AA921">
        <v>0.83837454498284358</v>
      </c>
      <c r="AB921" t="str">
        <f>HYPERLINK("Melting_Curves/meltCurve_I3L1K6_MYL4.pdf", "Melting_Curves/meltCurve_I3L1K6_MYL4.pdf")</f>
        <v>Melting_Curves/meltCurve_I3L1K6_MYL4.pdf</v>
      </c>
    </row>
    <row r="922" spans="1:28" x14ac:dyDescent="0.25">
      <c r="A922" t="s">
        <v>926</v>
      </c>
      <c r="B922">
        <v>0.995954080203443</v>
      </c>
      <c r="C922">
        <v>0.88087426687660897</v>
      </c>
      <c r="D922">
        <v>0.73178070824068597</v>
      </c>
      <c r="E922">
        <v>0.81162925058614199</v>
      </c>
      <c r="F922">
        <v>0.58510987975940698</v>
      </c>
      <c r="G922">
        <v>0.41827923187233002</v>
      </c>
      <c r="H922">
        <v>0.28789409337231803</v>
      </c>
      <c r="I922">
        <v>0.27095242818152598</v>
      </c>
      <c r="J922">
        <v>0.22241253156651</v>
      </c>
      <c r="K922">
        <v>0.20865696421145799</v>
      </c>
      <c r="L922">
        <v>456.21415500701698</v>
      </c>
      <c r="M922">
        <v>8.3882369619503496</v>
      </c>
      <c r="N922">
        <v>55.234244395349201</v>
      </c>
      <c r="O922">
        <v>51.559830375417299</v>
      </c>
      <c r="P922">
        <v>-3.8254271796139203E-2</v>
      </c>
      <c r="Q922">
        <v>6.0342398040862701E-2</v>
      </c>
      <c r="R922">
        <v>0.96377373808727196</v>
      </c>
      <c r="S922" t="s">
        <v>7728</v>
      </c>
      <c r="T922" t="s">
        <v>13610</v>
      </c>
      <c r="U922" t="s">
        <v>13610</v>
      </c>
      <c r="V922" t="s">
        <v>13610</v>
      </c>
      <c r="W922" t="s">
        <v>14505</v>
      </c>
      <c r="X922">
        <v>5</v>
      </c>
      <c r="Y922" t="s">
        <v>21220</v>
      </c>
      <c r="Z922" t="s">
        <v>27777</v>
      </c>
      <c r="AA922">
        <v>0.54009391305556453</v>
      </c>
      <c r="AB922" t="str">
        <f>HYPERLINK("Melting_Curves/meltCurve_I3L1Q3_ELP5.pdf", "Melting_Curves/meltCurve_I3L1Q3_ELP5.pdf")</f>
        <v>Melting_Curves/meltCurve_I3L1Q3_ELP5.pdf</v>
      </c>
    </row>
    <row r="923" spans="1:28" x14ac:dyDescent="0.25">
      <c r="A923" t="s">
        <v>927</v>
      </c>
      <c r="B923">
        <v>0.995954080203443</v>
      </c>
      <c r="C923">
        <v>0.91271867464459699</v>
      </c>
      <c r="D923">
        <v>1.4814232353446299</v>
      </c>
      <c r="E923">
        <v>1.00499489027035</v>
      </c>
      <c r="F923">
        <v>0.79793889037932397</v>
      </c>
      <c r="G923">
        <v>0.58763192155411903</v>
      </c>
      <c r="H923">
        <v>0.44635767236101198</v>
      </c>
      <c r="I923">
        <v>0.52943872155364302</v>
      </c>
      <c r="J923">
        <v>0.46692280904609801</v>
      </c>
      <c r="K923">
        <v>0.540073330947758</v>
      </c>
      <c r="L923">
        <v>2137.4921114169201</v>
      </c>
      <c r="M923">
        <v>39.773574074845001</v>
      </c>
      <c r="O923">
        <v>53.606209267855199</v>
      </c>
      <c r="P923">
        <v>-9.2379641186334294E-2</v>
      </c>
      <c r="Q923">
        <v>0.501969754029714</v>
      </c>
      <c r="R923">
        <v>0.74346819560340704</v>
      </c>
      <c r="S923" t="s">
        <v>7729</v>
      </c>
      <c r="T923" t="s">
        <v>13610</v>
      </c>
      <c r="U923" t="s">
        <v>13610</v>
      </c>
      <c r="V923" t="s">
        <v>13610</v>
      </c>
      <c r="W923" t="s">
        <v>14506</v>
      </c>
      <c r="X923">
        <v>2</v>
      </c>
      <c r="Y923" t="s">
        <v>21221</v>
      </c>
      <c r="Z923" t="s">
        <v>27778</v>
      </c>
      <c r="AA923">
        <v>0.73196071362442339</v>
      </c>
      <c r="AB923" t="str">
        <f>HYPERLINK("Melting_Curves/meltCurve_I3L1Z4_ZNF213.pdf", "Melting_Curves/meltCurve_I3L1Z4_ZNF213.pdf")</f>
        <v>Melting_Curves/meltCurve_I3L1Z4_ZNF213.pdf</v>
      </c>
    </row>
    <row r="924" spans="1:28" x14ac:dyDescent="0.25">
      <c r="A924" t="s">
        <v>928</v>
      </c>
      <c r="B924">
        <v>0.995954080203443</v>
      </c>
      <c r="C924">
        <v>0.942386812064679</v>
      </c>
      <c r="D924">
        <v>0.84795824563412203</v>
      </c>
      <c r="E924">
        <v>0.81078388242680599</v>
      </c>
      <c r="F924">
        <v>0.53267773284345299</v>
      </c>
      <c r="G924">
        <v>0.16850504010310299</v>
      </c>
      <c r="H924">
        <v>8.2712272018602997E-2</v>
      </c>
      <c r="I924">
        <v>7.5041768963098596E-2</v>
      </c>
      <c r="J924">
        <v>7.4709343924177801E-2</v>
      </c>
      <c r="K924">
        <v>8.1567251754806502E-2</v>
      </c>
      <c r="L924">
        <v>1161.1863184747499</v>
      </c>
      <c r="M924">
        <v>21.993886535063702</v>
      </c>
      <c r="N924">
        <v>53.070389388268197</v>
      </c>
      <c r="O924">
        <v>52.365218134396699</v>
      </c>
      <c r="P924">
        <v>-9.9358983135112405E-2</v>
      </c>
      <c r="Q924">
        <v>5.3766409764201502E-2</v>
      </c>
      <c r="R924">
        <v>0.98614362697930402</v>
      </c>
      <c r="S924" t="s">
        <v>7730</v>
      </c>
      <c r="T924" t="s">
        <v>13610</v>
      </c>
      <c r="U924" t="s">
        <v>13610</v>
      </c>
      <c r="V924" t="s">
        <v>13610</v>
      </c>
      <c r="W924" t="s">
        <v>14507</v>
      </c>
      <c r="X924">
        <v>7</v>
      </c>
      <c r="Y924" t="s">
        <v>21222</v>
      </c>
      <c r="Z924" t="s">
        <v>27779</v>
      </c>
      <c r="AA924">
        <v>0.46838478308643039</v>
      </c>
      <c r="AB924" t="str">
        <f>HYPERLINK("Melting_Curves/meltCurve_I3L232_B3GNTL1.pdf", "Melting_Curves/meltCurve_I3L232_B3GNTL1.pdf")</f>
        <v>Melting_Curves/meltCurve_I3L232_B3GNTL1.pdf</v>
      </c>
    </row>
    <row r="925" spans="1:28" x14ac:dyDescent="0.25">
      <c r="A925" t="s">
        <v>929</v>
      </c>
      <c r="B925">
        <v>0.995954080203443</v>
      </c>
      <c r="C925">
        <v>1.00584581410433</v>
      </c>
      <c r="D925">
        <v>0.85933720908622102</v>
      </c>
      <c r="E925">
        <v>0.53432447377483505</v>
      </c>
      <c r="F925">
        <v>0.39512344917063003</v>
      </c>
      <c r="G925">
        <v>0.33248200229161401</v>
      </c>
      <c r="H925">
        <v>0.32016468289083799</v>
      </c>
      <c r="I925">
        <v>0.34393685426083398</v>
      </c>
      <c r="J925">
        <v>0.380684226219829</v>
      </c>
      <c r="K925">
        <v>0.41189726957842099</v>
      </c>
      <c r="L925">
        <v>1400.89052192433</v>
      </c>
      <c r="M925">
        <v>29.064967177547199</v>
      </c>
      <c r="N925">
        <v>50.360703546082298</v>
      </c>
      <c r="O925">
        <v>47.972157712640197</v>
      </c>
      <c r="P925">
        <v>-9.7479912609596403E-2</v>
      </c>
      <c r="Q925">
        <v>0.35643661820641498</v>
      </c>
      <c r="R925">
        <v>0.99018454303801995</v>
      </c>
      <c r="S925" t="s">
        <v>7731</v>
      </c>
      <c r="T925" t="s">
        <v>13610</v>
      </c>
      <c r="U925" t="s">
        <v>13610</v>
      </c>
      <c r="V925" t="s">
        <v>13610</v>
      </c>
      <c r="W925" t="s">
        <v>14508</v>
      </c>
      <c r="X925">
        <v>25</v>
      </c>
      <c r="Y925" t="s">
        <v>21223</v>
      </c>
      <c r="Z925" t="s">
        <v>27780</v>
      </c>
      <c r="AA925">
        <v>0.53645900953774805</v>
      </c>
      <c r="AB925" t="str">
        <f>HYPERLINK("Melting_Curves/meltCurve_I3L2B0_CLUH.pdf", "Melting_Curves/meltCurve_I3L2B0_CLUH.pdf")</f>
        <v>Melting_Curves/meltCurve_I3L2B0_CLUH.pdf</v>
      </c>
    </row>
    <row r="926" spans="1:28" x14ac:dyDescent="0.25">
      <c r="A926" t="s">
        <v>930</v>
      </c>
      <c r="B926">
        <v>0.995954080203443</v>
      </c>
      <c r="C926">
        <v>0.92196092802200602</v>
      </c>
      <c r="D926">
        <v>0.52259810796291695</v>
      </c>
      <c r="E926">
        <v>0.35736207597171998</v>
      </c>
      <c r="F926">
        <v>0.20247778911303799</v>
      </c>
      <c r="G926">
        <v>0.11216774198014801</v>
      </c>
      <c r="H926">
        <v>6.9445147861664502E-2</v>
      </c>
      <c r="I926">
        <v>6.2011636904377998E-2</v>
      </c>
      <c r="J926">
        <v>7.1259197105620994E-2</v>
      </c>
      <c r="K926">
        <v>7.29520273109866E-2</v>
      </c>
      <c r="L926">
        <v>818.79367143022398</v>
      </c>
      <c r="M926">
        <v>17.439759999151601</v>
      </c>
      <c r="N926">
        <v>47.3521238358083</v>
      </c>
      <c r="O926">
        <v>46.345548674038703</v>
      </c>
      <c r="P926">
        <v>-8.7601550282620094E-2</v>
      </c>
      <c r="Q926">
        <v>6.8859653237867594E-2</v>
      </c>
      <c r="R926">
        <v>0.98356888243990903</v>
      </c>
      <c r="S926" t="s">
        <v>7732</v>
      </c>
      <c r="T926" t="s">
        <v>13610</v>
      </c>
      <c r="U926" t="s">
        <v>13610</v>
      </c>
      <c r="V926" t="s">
        <v>13610</v>
      </c>
      <c r="W926" t="s">
        <v>14509</v>
      </c>
      <c r="X926">
        <v>12</v>
      </c>
      <c r="Y926" t="s">
        <v>21224</v>
      </c>
      <c r="Z926" t="s">
        <v>27781</v>
      </c>
      <c r="AA926">
        <v>0.30301509625429812</v>
      </c>
      <c r="AB926" t="str">
        <f>HYPERLINK("Melting_Curves/meltCurve_I3L2C7_GEMIN4.pdf", "Melting_Curves/meltCurve_I3L2C7_GEMIN4.pdf")</f>
        <v>Melting_Curves/meltCurve_I3L2C7_GEMIN4.pdf</v>
      </c>
    </row>
    <row r="927" spans="1:28" x14ac:dyDescent="0.25">
      <c r="A927" t="s">
        <v>931</v>
      </c>
      <c r="B927">
        <v>0.995954080203443</v>
      </c>
      <c r="C927">
        <v>0.93195973382330299</v>
      </c>
      <c r="D927">
        <v>0.85626441504279205</v>
      </c>
      <c r="E927">
        <v>0.743165923730851</v>
      </c>
      <c r="F927">
        <v>0.634261911973239</v>
      </c>
      <c r="G927">
        <v>0.47374698294441703</v>
      </c>
      <c r="H927">
        <v>0.42335603173892</v>
      </c>
      <c r="I927">
        <v>0.48910305240684998</v>
      </c>
      <c r="J927">
        <v>0.56185946021995703</v>
      </c>
      <c r="K927">
        <v>0.53657060106267895</v>
      </c>
      <c r="L927">
        <v>824.42976511382801</v>
      </c>
      <c r="M927">
        <v>16.755640475393299</v>
      </c>
      <c r="N927">
        <v>63.2354686371729</v>
      </c>
      <c r="O927">
        <v>48.518308319907298</v>
      </c>
      <c r="P927">
        <v>-4.4219286460498199E-2</v>
      </c>
      <c r="Q927">
        <v>0.48786097298369302</v>
      </c>
      <c r="R927">
        <v>0.94513568991613095</v>
      </c>
      <c r="S927" t="s">
        <v>7733</v>
      </c>
      <c r="T927" t="s">
        <v>13610</v>
      </c>
      <c r="U927" t="s">
        <v>13610</v>
      </c>
      <c r="V927" t="s">
        <v>13610</v>
      </c>
      <c r="W927" t="s">
        <v>14510</v>
      </c>
      <c r="X927">
        <v>15</v>
      </c>
      <c r="Y927" t="s">
        <v>21225</v>
      </c>
      <c r="Z927" t="s">
        <v>27782</v>
      </c>
      <c r="AA927">
        <v>0.65513776028599413</v>
      </c>
      <c r="AB927" t="str">
        <f>HYPERLINK("Melting_Curves/meltCurve_I3L2J0_CIC.pdf", "Melting_Curves/meltCurve_I3L2J0_CIC.pdf")</f>
        <v>Melting_Curves/meltCurve_I3L2J0_CIC.pdf</v>
      </c>
    </row>
    <row r="928" spans="1:28" x14ac:dyDescent="0.25">
      <c r="A928" t="s">
        <v>932</v>
      </c>
      <c r="B928">
        <v>0.995954080203443</v>
      </c>
      <c r="C928">
        <v>0.93255853444655401</v>
      </c>
      <c r="D928">
        <v>1.05966378886618</v>
      </c>
      <c r="E928">
        <v>0.83809208532601898</v>
      </c>
      <c r="F928">
        <v>0.90197721771945205</v>
      </c>
      <c r="G928">
        <v>0.748558612843646</v>
      </c>
      <c r="H928">
        <v>0.663405997451193</v>
      </c>
      <c r="I928">
        <v>0.82364290008362595</v>
      </c>
      <c r="J928">
        <v>0.82136075659389796</v>
      </c>
      <c r="K928">
        <v>0.88433521525035996</v>
      </c>
      <c r="L928">
        <v>5330.74498254226</v>
      </c>
      <c r="M928">
        <v>108.248476040819</v>
      </c>
      <c r="O928">
        <v>49.228649092911397</v>
      </c>
      <c r="P928">
        <v>-0.10602982934244599</v>
      </c>
      <c r="Q928">
        <v>0.80712134505254096</v>
      </c>
      <c r="R928">
        <v>0.60251338433177704</v>
      </c>
      <c r="S928" t="s">
        <v>7734</v>
      </c>
      <c r="T928" t="s">
        <v>13610</v>
      </c>
      <c r="U928" t="s">
        <v>13610</v>
      </c>
      <c r="V928" t="s">
        <v>13610</v>
      </c>
      <c r="W928" t="s">
        <v>14511</v>
      </c>
      <c r="X928">
        <v>6</v>
      </c>
      <c r="Y928" t="s">
        <v>21226</v>
      </c>
      <c r="Z928" t="s">
        <v>27783</v>
      </c>
      <c r="AA928">
        <v>0.86665201180303897</v>
      </c>
      <c r="AB928" t="str">
        <f>HYPERLINK("Melting_Curves/meltCurve_I3L2L5_FAM195B.pdf", "Melting_Curves/meltCurve_I3L2L5_FAM195B.pdf")</f>
        <v>Melting_Curves/meltCurve_I3L2L5_FAM195B.pdf</v>
      </c>
    </row>
    <row r="929" spans="1:28" x14ac:dyDescent="0.25">
      <c r="A929" t="s">
        <v>933</v>
      </c>
      <c r="B929">
        <v>0.995954080203443</v>
      </c>
      <c r="C929">
        <v>0.90417985084817998</v>
      </c>
      <c r="D929">
        <v>0.84628420661274395</v>
      </c>
      <c r="E929">
        <v>0.68938715224776104</v>
      </c>
      <c r="F929">
        <v>0.64301399060587405</v>
      </c>
      <c r="G929">
        <v>0.477671871961799</v>
      </c>
      <c r="H929">
        <v>0.44074484387457402</v>
      </c>
      <c r="I929">
        <v>0.56627860065796898</v>
      </c>
      <c r="J929">
        <v>0.62228046418541405</v>
      </c>
      <c r="K929">
        <v>0.666549677139611</v>
      </c>
      <c r="L929">
        <v>889.38139376267702</v>
      </c>
      <c r="M929">
        <v>18.813197999697699</v>
      </c>
      <c r="O929">
        <v>46.749914092053601</v>
      </c>
      <c r="P929">
        <v>-4.4481035626418003E-2</v>
      </c>
      <c r="Q929">
        <v>0.55788518106030505</v>
      </c>
      <c r="R929">
        <v>0.85215613423908398</v>
      </c>
      <c r="S929" t="s">
        <v>7735</v>
      </c>
      <c r="T929" t="s">
        <v>13610</v>
      </c>
      <c r="U929" t="s">
        <v>13610</v>
      </c>
      <c r="V929" t="s">
        <v>13610</v>
      </c>
      <c r="W929" t="s">
        <v>14512</v>
      </c>
      <c r="X929">
        <v>12</v>
      </c>
      <c r="Y929" t="s">
        <v>21227</v>
      </c>
      <c r="Z929" t="s">
        <v>27784</v>
      </c>
      <c r="AA929">
        <v>0.67240857015954159</v>
      </c>
      <c r="AB929" t="str">
        <f>HYPERLINK("Melting_Curves/meltCurve_I3L2N2_DVL2.pdf", "Melting_Curves/meltCurve_I3L2N2_DVL2.pdf")</f>
        <v>Melting_Curves/meltCurve_I3L2N2_DVL2.pdf</v>
      </c>
    </row>
    <row r="930" spans="1:28" x14ac:dyDescent="0.25">
      <c r="A930" t="s">
        <v>934</v>
      </c>
      <c r="B930">
        <v>0.995954080203443</v>
      </c>
      <c r="C930">
        <v>1.03831454467302</v>
      </c>
      <c r="D930">
        <v>0.75159121782059901</v>
      </c>
      <c r="E930">
        <v>0.89691829687837299</v>
      </c>
      <c r="F930">
        <v>0.388850253630174</v>
      </c>
      <c r="G930">
        <v>0.18672033996276299</v>
      </c>
      <c r="H930">
        <v>0.115444223297824</v>
      </c>
      <c r="I930">
        <v>0.102372572149911</v>
      </c>
      <c r="J930">
        <v>0.114930396212377</v>
      </c>
      <c r="K930">
        <v>0.10015845530586601</v>
      </c>
      <c r="L930">
        <v>2142.2528866089401</v>
      </c>
      <c r="M930">
        <v>41.127694746837399</v>
      </c>
      <c r="N930">
        <v>52.425480808061103</v>
      </c>
      <c r="O930">
        <v>51.9651493557962</v>
      </c>
      <c r="P930">
        <v>-0.17484139694468601</v>
      </c>
      <c r="Q930">
        <v>0.116347996559324</v>
      </c>
      <c r="R930">
        <v>0.95567236360776198</v>
      </c>
      <c r="S930" t="s">
        <v>7736</v>
      </c>
      <c r="T930" t="s">
        <v>13610</v>
      </c>
      <c r="U930" t="s">
        <v>13610</v>
      </c>
      <c r="V930" t="s">
        <v>13610</v>
      </c>
      <c r="W930" t="s">
        <v>14513</v>
      </c>
      <c r="X930">
        <v>1</v>
      </c>
      <c r="Y930" t="s">
        <v>21228</v>
      </c>
      <c r="Z930" t="s">
        <v>27785</v>
      </c>
      <c r="AA930">
        <v>0.47540323920167099</v>
      </c>
      <c r="AB930" t="str">
        <f>HYPERLINK("Melting_Curves/meltCurve_I3L3E4_CHMP6.pdf", "Melting_Curves/meltCurve_I3L3E4_CHMP6.pdf")</f>
        <v>Melting_Curves/meltCurve_I3L3E4_CHMP6.pdf</v>
      </c>
    </row>
    <row r="931" spans="1:28" x14ac:dyDescent="0.25">
      <c r="A931" t="s">
        <v>935</v>
      </c>
      <c r="B931">
        <v>0.995954080203443</v>
      </c>
      <c r="C931">
        <v>0.85664673766870902</v>
      </c>
      <c r="D931">
        <v>0.77278178888642701</v>
      </c>
      <c r="E931">
        <v>0.39911738450430001</v>
      </c>
      <c r="F931">
        <v>0.23431580490081599</v>
      </c>
      <c r="G931">
        <v>0.15593853926843801</v>
      </c>
      <c r="H931">
        <v>9.3475738951912204E-2</v>
      </c>
      <c r="I931">
        <v>6.6268862767890999E-2</v>
      </c>
      <c r="J931">
        <v>0.15556672910388</v>
      </c>
      <c r="K931">
        <v>8.3545253375723494E-2</v>
      </c>
      <c r="L931">
        <v>871.79362084199295</v>
      </c>
      <c r="M931">
        <v>18.057806063659701</v>
      </c>
      <c r="N931">
        <v>48.8187376267364</v>
      </c>
      <c r="O931">
        <v>47.697565169511698</v>
      </c>
      <c r="P931">
        <v>-8.6071774292212605E-2</v>
      </c>
      <c r="Q931">
        <v>9.0650786154809704E-2</v>
      </c>
      <c r="R931">
        <v>0.99097477106421195</v>
      </c>
      <c r="S931" t="s">
        <v>7737</v>
      </c>
      <c r="T931" t="s">
        <v>13610</v>
      </c>
      <c r="U931" t="s">
        <v>13610</v>
      </c>
      <c r="V931" t="s">
        <v>13610</v>
      </c>
      <c r="W931" t="s">
        <v>14514</v>
      </c>
      <c r="X931">
        <v>2</v>
      </c>
      <c r="Y931" t="s">
        <v>21229</v>
      </c>
      <c r="Z931" t="s">
        <v>27786</v>
      </c>
      <c r="AA931">
        <v>0.35747055452447818</v>
      </c>
      <c r="AB931" t="str">
        <f>HYPERLINK("Melting_Curves/meltCurve_I3L3I8_METTL22.pdf", "Melting_Curves/meltCurve_I3L3I8_METTL22.pdf")</f>
        <v>Melting_Curves/meltCurve_I3L3I8_METTL22.pdf</v>
      </c>
    </row>
    <row r="932" spans="1:28" x14ac:dyDescent="0.25">
      <c r="A932" t="s">
        <v>936</v>
      </c>
      <c r="B932">
        <v>0.995954080203443</v>
      </c>
      <c r="C932">
        <v>0.48210716487541</v>
      </c>
      <c r="D932">
        <v>0.24277067250198101</v>
      </c>
      <c r="E932">
        <v>0.29008297305224301</v>
      </c>
      <c r="F932">
        <v>0.15304014099063701</v>
      </c>
      <c r="G932">
        <v>5.77933590808868E-2</v>
      </c>
      <c r="H932">
        <v>3.1462355736723797E-2</v>
      </c>
      <c r="I932">
        <v>2.4022684758744101E-2</v>
      </c>
      <c r="J932">
        <v>2.9909556455740199E-2</v>
      </c>
      <c r="K932">
        <v>2.3217022042631E-2</v>
      </c>
      <c r="L932">
        <v>1065.9856564945701</v>
      </c>
      <c r="M932">
        <v>24.745283954110999</v>
      </c>
      <c r="N932">
        <v>43.374511209794399</v>
      </c>
      <c r="O932">
        <v>42.799964435571397</v>
      </c>
      <c r="P932">
        <v>-0.133307180070383</v>
      </c>
      <c r="Q932">
        <v>7.77294820028709E-2</v>
      </c>
      <c r="R932">
        <v>0.91951443171037806</v>
      </c>
      <c r="S932" t="s">
        <v>7738</v>
      </c>
      <c r="T932" t="s">
        <v>13610</v>
      </c>
      <c r="U932" t="s">
        <v>13610</v>
      </c>
      <c r="V932" t="s">
        <v>13610</v>
      </c>
      <c r="W932" t="s">
        <v>14515</v>
      </c>
      <c r="X932">
        <v>5</v>
      </c>
      <c r="Y932" t="s">
        <v>21230</v>
      </c>
      <c r="Z932" t="s">
        <v>27787</v>
      </c>
      <c r="AA932">
        <v>0.1855951677633797</v>
      </c>
      <c r="AB932" t="str">
        <f>HYPERLINK("Melting_Curves/meltCurve_I3L3P7_RPS15A.pdf", "Melting_Curves/meltCurve_I3L3P7_RPS15A.pdf")</f>
        <v>Melting_Curves/meltCurve_I3L3P7_RPS15A.pdf</v>
      </c>
    </row>
    <row r="933" spans="1:28" x14ac:dyDescent="0.25">
      <c r="A933" t="s">
        <v>937</v>
      </c>
      <c r="B933">
        <v>0.995954080203443</v>
      </c>
      <c r="C933">
        <v>1.02250414191809</v>
      </c>
      <c r="D933">
        <v>1.1185158540054101</v>
      </c>
      <c r="E933">
        <v>0.91086204466629395</v>
      </c>
      <c r="F933">
        <v>0.97875018225702104</v>
      </c>
      <c r="G933">
        <v>0.71284701953514296</v>
      </c>
      <c r="H933">
        <v>0.71866948124305297</v>
      </c>
      <c r="I933">
        <v>0.86110764377147697</v>
      </c>
      <c r="J933">
        <v>0.97039893503446994</v>
      </c>
      <c r="K933">
        <v>1.17450420558595</v>
      </c>
      <c r="L933">
        <v>15000</v>
      </c>
      <c r="M933">
        <v>213.662271702352</v>
      </c>
      <c r="Q933">
        <v>1.5</v>
      </c>
      <c r="R933">
        <v>8.3944493504652905E-3</v>
      </c>
      <c r="S933" t="s">
        <v>7739</v>
      </c>
      <c r="T933" t="s">
        <v>13610</v>
      </c>
      <c r="U933" t="s">
        <v>13610</v>
      </c>
      <c r="V933" t="s">
        <v>13610</v>
      </c>
      <c r="W933" t="s">
        <v>14516</v>
      </c>
      <c r="X933">
        <v>1</v>
      </c>
      <c r="Y933" t="s">
        <v>21231</v>
      </c>
      <c r="Z933" t="s">
        <v>27788</v>
      </c>
      <c r="AA933">
        <v>1.0023130831550471</v>
      </c>
      <c r="AB933" t="str">
        <f>HYPERLINK("Melting_Curves/meltCurve_I3L3S0_TRAPPC1.pdf", "Melting_Curves/meltCurve_I3L3S0_TRAPPC1.pdf")</f>
        <v>Melting_Curves/meltCurve_I3L3S0_TRAPPC1.pdf</v>
      </c>
    </row>
    <row r="934" spans="1:28" x14ac:dyDescent="0.25">
      <c r="A934" t="s">
        <v>938</v>
      </c>
      <c r="B934">
        <v>0.995954080203443</v>
      </c>
      <c r="C934">
        <v>0.97624201841784697</v>
      </c>
      <c r="D934">
        <v>0.93439504431766296</v>
      </c>
      <c r="E934">
        <v>0.847557059311976</v>
      </c>
      <c r="F934">
        <v>0.66512716932661298</v>
      </c>
      <c r="G934">
        <v>0.44561078150942901</v>
      </c>
      <c r="H934">
        <v>0.27715773133590699</v>
      </c>
      <c r="I934">
        <v>0.212594570514378</v>
      </c>
      <c r="J934">
        <v>0.17632080183179399</v>
      </c>
      <c r="K934">
        <v>0.12077612294991</v>
      </c>
      <c r="L934">
        <v>769.19841953788296</v>
      </c>
      <c r="M934">
        <v>13.9282390450819</v>
      </c>
      <c r="N934">
        <v>56.016842889147497</v>
      </c>
      <c r="O934">
        <v>54.124762527102597</v>
      </c>
      <c r="P934">
        <v>-5.85984823607845E-2</v>
      </c>
      <c r="Q934">
        <v>8.9274430133636104E-2</v>
      </c>
      <c r="R934">
        <v>0.99898377364634605</v>
      </c>
      <c r="S934" t="s">
        <v>7740</v>
      </c>
      <c r="T934" t="s">
        <v>13610</v>
      </c>
      <c r="U934" t="s">
        <v>13610</v>
      </c>
      <c r="V934" t="s">
        <v>13610</v>
      </c>
      <c r="W934" t="s">
        <v>14517</v>
      </c>
      <c r="X934">
        <v>6</v>
      </c>
      <c r="Y934" t="s">
        <v>21232</v>
      </c>
      <c r="Z934" t="s">
        <v>27789</v>
      </c>
      <c r="AA934">
        <v>0.57003042804565118</v>
      </c>
      <c r="AB934" t="str">
        <f>HYPERLINK("Melting_Curves/meltCurve_I3L413_CCNE1.pdf", "Melting_Curves/meltCurve_I3L413_CCNE1.pdf")</f>
        <v>Melting_Curves/meltCurve_I3L413_CCNE1.pdf</v>
      </c>
    </row>
    <row r="935" spans="1:28" x14ac:dyDescent="0.25">
      <c r="A935" t="s">
        <v>939</v>
      </c>
      <c r="B935">
        <v>0.995954080203443</v>
      </c>
      <c r="C935">
        <v>0.81624861869091803</v>
      </c>
      <c r="D935">
        <v>0.68686150261005996</v>
      </c>
      <c r="E935">
        <v>0.59533508365131604</v>
      </c>
      <c r="F935">
        <v>0.51842233990522302</v>
      </c>
      <c r="G935">
        <v>0.333756598732665</v>
      </c>
      <c r="H935">
        <v>0.17169926853049999</v>
      </c>
      <c r="I935">
        <v>0.13797951836194</v>
      </c>
      <c r="J935">
        <v>0.127240669865057</v>
      </c>
      <c r="K935">
        <v>0.12935963508804499</v>
      </c>
      <c r="L935">
        <v>438.80758556768598</v>
      </c>
      <c r="M935">
        <v>8.4524534066072903</v>
      </c>
      <c r="N935">
        <v>51.914815217367199</v>
      </c>
      <c r="O935">
        <v>49.2532788351864</v>
      </c>
      <c r="P935">
        <v>-4.2942481497120898E-2</v>
      </c>
      <c r="Q935">
        <v>0</v>
      </c>
      <c r="R935">
        <v>0.97954447097152397</v>
      </c>
      <c r="S935" t="s">
        <v>7741</v>
      </c>
      <c r="T935" t="s">
        <v>13610</v>
      </c>
      <c r="U935" t="s">
        <v>13610</v>
      </c>
      <c r="V935" t="s">
        <v>13610</v>
      </c>
      <c r="W935" t="s">
        <v>14518</v>
      </c>
      <c r="X935">
        <v>1</v>
      </c>
      <c r="Y935" t="s">
        <v>21233</v>
      </c>
      <c r="Z935" t="s">
        <v>27790</v>
      </c>
      <c r="AA935">
        <v>0.44251621589275431</v>
      </c>
      <c r="AB935" t="str">
        <f>HYPERLINK("Melting_Curves/meltCurve_I3L428_SMYD4.pdf", "Melting_Curves/meltCurve_I3L428_SMYD4.pdf")</f>
        <v>Melting_Curves/meltCurve_I3L428_SMYD4.pdf</v>
      </c>
    </row>
    <row r="936" spans="1:28" x14ac:dyDescent="0.25">
      <c r="A936" t="s">
        <v>940</v>
      </c>
      <c r="B936">
        <v>0.995954080203443</v>
      </c>
      <c r="C936">
        <v>1.0161540184203299</v>
      </c>
      <c r="D936">
        <v>0.90327345052252095</v>
      </c>
      <c r="E936">
        <v>0.86346489079025202</v>
      </c>
      <c r="F936">
        <v>0.35387518998420298</v>
      </c>
      <c r="G936">
        <v>0.15461501577200501</v>
      </c>
      <c r="H936">
        <v>8.3987666917044707E-2</v>
      </c>
      <c r="I936">
        <v>7.4454931662963394E-2</v>
      </c>
      <c r="J936">
        <v>7.4946356791823099E-2</v>
      </c>
      <c r="K936">
        <v>8.2558440379204207E-2</v>
      </c>
      <c r="L936">
        <v>2127.56646451798</v>
      </c>
      <c r="M936">
        <v>40.9535138546524</v>
      </c>
      <c r="N936">
        <v>52.194888404671801</v>
      </c>
      <c r="O936">
        <v>51.827357934206198</v>
      </c>
      <c r="P936">
        <v>-0.18033015284153101</v>
      </c>
      <c r="Q936">
        <v>8.7158401940551994E-2</v>
      </c>
      <c r="R936">
        <v>0.99295188622158803</v>
      </c>
      <c r="S936" t="s">
        <v>7742</v>
      </c>
      <c r="T936" t="s">
        <v>13610</v>
      </c>
      <c r="U936" t="s">
        <v>13610</v>
      </c>
      <c r="V936" t="s">
        <v>13610</v>
      </c>
      <c r="W936" t="s">
        <v>14519</v>
      </c>
      <c r="X936">
        <v>6</v>
      </c>
      <c r="Y936" t="s">
        <v>21234</v>
      </c>
      <c r="Z936" t="s">
        <v>27791</v>
      </c>
      <c r="AA936">
        <v>0.45392189473793959</v>
      </c>
      <c r="AB936" t="str">
        <f>HYPERLINK("Melting_Curves/meltCurve_I3L430_HMOX2.pdf", "Melting_Curves/meltCurve_I3L430_HMOX2.pdf")</f>
        <v>Melting_Curves/meltCurve_I3L430_HMOX2.pdf</v>
      </c>
    </row>
    <row r="937" spans="1:28" x14ac:dyDescent="0.25">
      <c r="A937" t="s">
        <v>941</v>
      </c>
      <c r="B937">
        <v>0.995954080203443</v>
      </c>
      <c r="C937">
        <v>1.0016468292115099</v>
      </c>
      <c r="D937">
        <v>0.99550707442127195</v>
      </c>
      <c r="E937">
        <v>0.93040262524558603</v>
      </c>
      <c r="F937">
        <v>0.87223536152553105</v>
      </c>
      <c r="G937">
        <v>0.664598835601098</v>
      </c>
      <c r="H937">
        <v>0.61991324851516105</v>
      </c>
      <c r="I937">
        <v>0.71277840266977799</v>
      </c>
      <c r="J937">
        <v>0.89965181739467903</v>
      </c>
      <c r="K937">
        <v>0.85563378008824797</v>
      </c>
      <c r="L937">
        <v>2120.5588721904201</v>
      </c>
      <c r="M937">
        <v>40.6304650032328</v>
      </c>
      <c r="O937">
        <v>52.065393306285003</v>
      </c>
      <c r="P937">
        <v>-4.8232679983561802E-2</v>
      </c>
      <c r="Q937">
        <v>0.75277183295246497</v>
      </c>
      <c r="R937">
        <v>0.65124392957581601</v>
      </c>
      <c r="S937" t="s">
        <v>7743</v>
      </c>
      <c r="T937" t="s">
        <v>13610</v>
      </c>
      <c r="U937" t="s">
        <v>13610</v>
      </c>
      <c r="V937" t="s">
        <v>13610</v>
      </c>
      <c r="W937" t="s">
        <v>14520</v>
      </c>
      <c r="X937">
        <v>20</v>
      </c>
      <c r="Y937" t="s">
        <v>21235</v>
      </c>
      <c r="Z937" t="s">
        <v>27792</v>
      </c>
      <c r="AA937">
        <v>0.85410382804954066</v>
      </c>
      <c r="AB937" t="str">
        <f>HYPERLINK("Melting_Curves/meltCurve_I3L4C3_SPAG7.pdf", "Melting_Curves/meltCurve_I3L4C3_SPAG7.pdf")</f>
        <v>Melting_Curves/meltCurve_I3L4C3_SPAG7.pdf</v>
      </c>
    </row>
    <row r="938" spans="1:28" x14ac:dyDescent="0.25">
      <c r="A938" t="s">
        <v>942</v>
      </c>
      <c r="B938">
        <v>0.995954080203443</v>
      </c>
      <c r="C938">
        <v>0.98435016214231097</v>
      </c>
      <c r="D938">
        <v>0.96229314649986697</v>
      </c>
      <c r="E938">
        <v>0.81412236059847098</v>
      </c>
      <c r="F938">
        <v>0.50547819228061297</v>
      </c>
      <c r="G938">
        <v>0.18001371289515899</v>
      </c>
      <c r="H938">
        <v>0.11483632333327599</v>
      </c>
      <c r="I938">
        <v>0.115288880880101</v>
      </c>
      <c r="J938">
        <v>0.10816255826953</v>
      </c>
      <c r="K938">
        <v>0.13169739735389599</v>
      </c>
      <c r="L938">
        <v>1462.0447460497501</v>
      </c>
      <c r="M938">
        <v>27.863289881096598</v>
      </c>
      <c r="N938">
        <v>52.937199002012399</v>
      </c>
      <c r="O938">
        <v>52.204030738435002</v>
      </c>
      <c r="P938">
        <v>-0.11894741035097001</v>
      </c>
      <c r="Q938">
        <v>0.10857908402698201</v>
      </c>
      <c r="R938">
        <v>0.99883202190655396</v>
      </c>
      <c r="S938" t="s">
        <v>7744</v>
      </c>
      <c r="T938" t="s">
        <v>13610</v>
      </c>
      <c r="U938" t="s">
        <v>13610</v>
      </c>
      <c r="V938" t="s">
        <v>13610</v>
      </c>
      <c r="W938" t="s">
        <v>14521</v>
      </c>
      <c r="X938">
        <v>7</v>
      </c>
      <c r="Y938" t="s">
        <v>21236</v>
      </c>
      <c r="Z938" t="s">
        <v>27793</v>
      </c>
      <c r="AA938">
        <v>0.48580633323987171</v>
      </c>
      <c r="AB938" t="str">
        <f>HYPERLINK("Melting_Curves/meltCurve_I3L4X3_NFKBIB.pdf", "Melting_Curves/meltCurve_I3L4X3_NFKBIB.pdf")</f>
        <v>Melting_Curves/meltCurve_I3L4X3_NFKBIB.pdf</v>
      </c>
    </row>
    <row r="939" spans="1:28" x14ac:dyDescent="0.25">
      <c r="A939" t="s">
        <v>943</v>
      </c>
      <c r="B939">
        <v>0.995954080203443</v>
      </c>
      <c r="C939">
        <v>0.89387731954754002</v>
      </c>
      <c r="D939">
        <v>0.83305983980627096</v>
      </c>
      <c r="E939">
        <v>0.83411028167711898</v>
      </c>
      <c r="F939">
        <v>0.60368054806007698</v>
      </c>
      <c r="G939">
        <v>0.40073041109114599</v>
      </c>
      <c r="H939">
        <v>0.23788048038288101</v>
      </c>
      <c r="I939">
        <v>0.30848092857611398</v>
      </c>
      <c r="J939">
        <v>0.22424724931516599</v>
      </c>
      <c r="K939">
        <v>0.24026386677416101</v>
      </c>
      <c r="L939">
        <v>693.363016110226</v>
      </c>
      <c r="M939">
        <v>13.046170886669801</v>
      </c>
      <c r="N939">
        <v>55.0464487071389</v>
      </c>
      <c r="O939">
        <v>51.944650982533602</v>
      </c>
      <c r="P939">
        <v>-5.1417196214179103E-2</v>
      </c>
      <c r="Q939">
        <v>0.18125156341186599</v>
      </c>
      <c r="R939">
        <v>0.96993313108040702</v>
      </c>
      <c r="S939" t="s">
        <v>7745</v>
      </c>
      <c r="T939" t="s">
        <v>13610</v>
      </c>
      <c r="U939" t="s">
        <v>13610</v>
      </c>
      <c r="V939" t="s">
        <v>13610</v>
      </c>
      <c r="W939" t="s">
        <v>14522</v>
      </c>
      <c r="X939">
        <v>6</v>
      </c>
      <c r="Y939" t="s">
        <v>21237</v>
      </c>
      <c r="Z939" t="s">
        <v>27794</v>
      </c>
      <c r="AA939">
        <v>0.56099237118310663</v>
      </c>
      <c r="AB939" t="str">
        <f>HYPERLINK("Melting_Curves/meltCurve_I3L4X7_GPS2.pdf", "Melting_Curves/meltCurve_I3L4X7_GPS2.pdf")</f>
        <v>Melting_Curves/meltCurve_I3L4X7_GPS2.pdf</v>
      </c>
    </row>
    <row r="940" spans="1:28" x14ac:dyDescent="0.25">
      <c r="A940" t="s">
        <v>944</v>
      </c>
      <c r="B940">
        <v>0.995954080203443</v>
      </c>
      <c r="C940">
        <v>1.0603518479965199</v>
      </c>
      <c r="D940">
        <v>0.98663577597927399</v>
      </c>
      <c r="E940">
        <v>0.93403417879500605</v>
      </c>
      <c r="F940">
        <v>0.80544075804437998</v>
      </c>
      <c r="G940">
        <v>0.57897753195949198</v>
      </c>
      <c r="H940">
        <v>0.48241042021374703</v>
      </c>
      <c r="I940">
        <v>0.51996701678028701</v>
      </c>
      <c r="J940">
        <v>0.60084398961268604</v>
      </c>
      <c r="K940">
        <v>0.50064381089897803</v>
      </c>
      <c r="L940">
        <v>1726.81688057367</v>
      </c>
      <c r="M940">
        <v>32.305407510263798</v>
      </c>
      <c r="O940">
        <v>53.249302178142798</v>
      </c>
      <c r="P940">
        <v>-7.2242120174661903E-2</v>
      </c>
      <c r="Q940">
        <v>0.52369288984953399</v>
      </c>
      <c r="R940">
        <v>0.97290172178017698</v>
      </c>
      <c r="S940" t="s">
        <v>7746</v>
      </c>
      <c r="T940" t="s">
        <v>13610</v>
      </c>
      <c r="U940" t="s">
        <v>13610</v>
      </c>
      <c r="V940" t="s">
        <v>13610</v>
      </c>
      <c r="W940" t="s">
        <v>14523</v>
      </c>
      <c r="X940">
        <v>4</v>
      </c>
      <c r="Y940" t="s">
        <v>21238</v>
      </c>
      <c r="Z940" t="s">
        <v>27795</v>
      </c>
      <c r="AA940">
        <v>0.73997118915560045</v>
      </c>
      <c r="AB940" t="str">
        <f>HYPERLINK("Melting_Curves/meltCurve_I3L505_NDUFAB1.pdf", "Melting_Curves/meltCurve_I3L505_NDUFAB1.pdf")</f>
        <v>Melting_Curves/meltCurve_I3L505_NDUFAB1.pdf</v>
      </c>
    </row>
    <row r="941" spans="1:28" x14ac:dyDescent="0.25">
      <c r="A941" t="s">
        <v>945</v>
      </c>
      <c r="B941">
        <v>0.995954080203443</v>
      </c>
      <c r="C941">
        <v>0.97990920821358996</v>
      </c>
      <c r="D941">
        <v>0.85368387835593496</v>
      </c>
      <c r="E941">
        <v>0.77994455927884698</v>
      </c>
      <c r="F941">
        <v>0.44883164268440701</v>
      </c>
      <c r="G941">
        <v>0.204634365438391</v>
      </c>
      <c r="H941">
        <v>0.11248520406804</v>
      </c>
      <c r="I941">
        <v>6.6618361800715897E-2</v>
      </c>
      <c r="J941">
        <v>6.1420779120750099E-2</v>
      </c>
      <c r="K941">
        <v>4.8301996581094603E-2</v>
      </c>
      <c r="L941">
        <v>963.00520491675297</v>
      </c>
      <c r="M941">
        <v>18.3661638195207</v>
      </c>
      <c r="N941">
        <v>52.655645488307201</v>
      </c>
      <c r="O941">
        <v>51.823895998873603</v>
      </c>
      <c r="P941">
        <v>-8.5302506715657006E-2</v>
      </c>
      <c r="Q941">
        <v>3.7249742988952901E-2</v>
      </c>
      <c r="R941">
        <v>0.99299802756657596</v>
      </c>
      <c r="S941" t="s">
        <v>7747</v>
      </c>
      <c r="T941" t="s">
        <v>13610</v>
      </c>
      <c r="U941" t="s">
        <v>13610</v>
      </c>
      <c r="V941" t="s">
        <v>13610</v>
      </c>
      <c r="W941" t="s">
        <v>14524</v>
      </c>
      <c r="X941">
        <v>4</v>
      </c>
      <c r="Y941" t="s">
        <v>21239</v>
      </c>
      <c r="Z941" t="s">
        <v>27796</v>
      </c>
      <c r="AA941">
        <v>0.45165920839791118</v>
      </c>
      <c r="AB941" t="str">
        <f>HYPERLINK("Melting_Curves/meltCurve_I3NI44_TOM1L1.pdf", "Melting_Curves/meltCurve_I3NI44_TOM1L1.pdf")</f>
        <v>Melting_Curves/meltCurve_I3NI44_TOM1L1.pdf</v>
      </c>
    </row>
    <row r="942" spans="1:28" x14ac:dyDescent="0.25">
      <c r="A942" t="s">
        <v>946</v>
      </c>
      <c r="B942">
        <v>0.995954080203443</v>
      </c>
      <c r="C942">
        <v>0.96236150244913499</v>
      </c>
      <c r="D942">
        <v>0.95407110603171597</v>
      </c>
      <c r="E942">
        <v>0.89036944375705196</v>
      </c>
      <c r="F942">
        <v>0.77854990088294396</v>
      </c>
      <c r="G942">
        <v>0.58946614110798201</v>
      </c>
      <c r="H942">
        <v>0.446280083009226</v>
      </c>
      <c r="I942">
        <v>0.382645830734829</v>
      </c>
      <c r="J942">
        <v>0.35150407841049502</v>
      </c>
      <c r="K942">
        <v>0.287501856336013</v>
      </c>
      <c r="L942">
        <v>730.74456915774999</v>
      </c>
      <c r="M942">
        <v>12.950636997294501</v>
      </c>
      <c r="N942">
        <v>59.528631078415899</v>
      </c>
      <c r="O942">
        <v>55.1308131644927</v>
      </c>
      <c r="P942">
        <v>-4.4320080949907102E-2</v>
      </c>
      <c r="Q942">
        <v>0.245453526390052</v>
      </c>
      <c r="R942">
        <v>0.99782114560210899</v>
      </c>
      <c r="S942" t="s">
        <v>7748</v>
      </c>
      <c r="T942" t="s">
        <v>13610</v>
      </c>
      <c r="U942" t="s">
        <v>13610</v>
      </c>
      <c r="V942" t="s">
        <v>13610</v>
      </c>
      <c r="W942" t="s">
        <v>14525</v>
      </c>
      <c r="X942">
        <v>17</v>
      </c>
      <c r="Y942" t="s">
        <v>21240</v>
      </c>
      <c r="Z942" t="s">
        <v>27797</v>
      </c>
      <c r="AA942">
        <v>0.67252131226767664</v>
      </c>
      <c r="AB942" t="str">
        <f>HYPERLINK("Melting_Curves/meltCurve_I6L894_ANK2.pdf", "Melting_Curves/meltCurve_I6L894_ANK2.pdf")</f>
        <v>Melting_Curves/meltCurve_I6L894_ANK2.pdf</v>
      </c>
    </row>
    <row r="943" spans="1:28" x14ac:dyDescent="0.25">
      <c r="A943" t="s">
        <v>947</v>
      </c>
      <c r="B943">
        <v>0.995954080203443</v>
      </c>
      <c r="C943">
        <v>1.0174342009162101</v>
      </c>
      <c r="D943">
        <v>1.16950067469348</v>
      </c>
      <c r="E943">
        <v>0.98448398411439098</v>
      </c>
      <c r="F943">
        <v>1.0722093496073399</v>
      </c>
      <c r="G943">
        <v>0.85887701860178001</v>
      </c>
      <c r="H943">
        <v>0.74848564410333396</v>
      </c>
      <c r="I943">
        <v>0.71943424715564697</v>
      </c>
      <c r="J943">
        <v>0.62386503821595596</v>
      </c>
      <c r="K943">
        <v>0.38952456848279499</v>
      </c>
      <c r="L943">
        <v>818.64411327259597</v>
      </c>
      <c r="M943">
        <v>11.9710231423254</v>
      </c>
      <c r="N943">
        <v>68.385476035731998</v>
      </c>
      <c r="O943">
        <v>66.560969865639805</v>
      </c>
      <c r="P943">
        <v>-4.4973564394135197E-2</v>
      </c>
      <c r="Q943">
        <v>0</v>
      </c>
      <c r="R943">
        <v>0.89413897716508395</v>
      </c>
      <c r="S943" t="s">
        <v>7749</v>
      </c>
      <c r="T943" t="s">
        <v>13610</v>
      </c>
      <c r="U943" t="s">
        <v>13610</v>
      </c>
      <c r="V943" t="s">
        <v>13610</v>
      </c>
      <c r="W943" t="s">
        <v>14526</v>
      </c>
      <c r="X943">
        <v>7</v>
      </c>
      <c r="Y943" t="s">
        <v>21241</v>
      </c>
      <c r="Z943" t="s">
        <v>27798</v>
      </c>
      <c r="AA943">
        <v>0.8600200496463184</v>
      </c>
      <c r="AB943" t="str">
        <f>HYPERLINK("Melting_Curves/meltCurve_J3KMY5_NPC2.pdf", "Melting_Curves/meltCurve_J3KMY5_NPC2.pdf")</f>
        <v>Melting_Curves/meltCurve_J3KMY5_NPC2.pdf</v>
      </c>
    </row>
    <row r="944" spans="1:28" x14ac:dyDescent="0.25">
      <c r="A944" t="s">
        <v>948</v>
      </c>
      <c r="B944">
        <v>0.995954080203443</v>
      </c>
      <c r="C944">
        <v>0.65544571951498298</v>
      </c>
      <c r="D944">
        <v>0.41863463075483198</v>
      </c>
      <c r="E944">
        <v>0.43427864053688398</v>
      </c>
      <c r="F944">
        <v>0.16689500721155001</v>
      </c>
      <c r="G944">
        <v>8.9970373427978201E-2</v>
      </c>
      <c r="H944">
        <v>6.23842320970125E-2</v>
      </c>
      <c r="I944">
        <v>6.5217125972437007E-2</v>
      </c>
      <c r="J944">
        <v>7.5675906537501003E-2</v>
      </c>
      <c r="K944">
        <v>6.4840400132741699E-2</v>
      </c>
      <c r="L944">
        <v>586.64013268256497</v>
      </c>
      <c r="M944">
        <v>12.8076910436811</v>
      </c>
      <c r="N944">
        <v>46.165903782225101</v>
      </c>
      <c r="O944">
        <v>44.7302033201005</v>
      </c>
      <c r="P944">
        <v>-6.8174409842601105E-2</v>
      </c>
      <c r="Q944">
        <v>4.7795948712962402E-2</v>
      </c>
      <c r="R944">
        <v>0.944839367242443</v>
      </c>
      <c r="S944" t="s">
        <v>7750</v>
      </c>
      <c r="T944" t="s">
        <v>13610</v>
      </c>
      <c r="U944" t="s">
        <v>13610</v>
      </c>
      <c r="V944" t="s">
        <v>13610</v>
      </c>
      <c r="W944" t="s">
        <v>14527</v>
      </c>
      <c r="X944">
        <v>7</v>
      </c>
      <c r="Y944" t="s">
        <v>21242</v>
      </c>
      <c r="Z944" t="s">
        <v>27799</v>
      </c>
      <c r="AA944">
        <v>0.27095463619024751</v>
      </c>
      <c r="AB944" t="str">
        <f>HYPERLINK("Melting_Curves/meltCurve_J3KMZ7_INTS2.pdf", "Melting_Curves/meltCurve_J3KMZ7_INTS2.pdf")</f>
        <v>Melting_Curves/meltCurve_J3KMZ7_INTS2.pdf</v>
      </c>
    </row>
    <row r="945" spans="1:28" x14ac:dyDescent="0.25">
      <c r="A945" t="s">
        <v>949</v>
      </c>
      <c r="B945">
        <v>0.995954080203443</v>
      </c>
      <c r="C945">
        <v>0.982332263365012</v>
      </c>
      <c r="D945">
        <v>1.00430577989432</v>
      </c>
      <c r="E945">
        <v>0.84036377185877897</v>
      </c>
      <c r="F945">
        <v>0.67669178829293797</v>
      </c>
      <c r="G945">
        <v>0.48928045229474498</v>
      </c>
      <c r="H945">
        <v>0.44765027164388599</v>
      </c>
      <c r="I945">
        <v>0.50625824218125604</v>
      </c>
      <c r="J945">
        <v>0.66930012282404305</v>
      </c>
      <c r="K945">
        <v>0.58126424999372295</v>
      </c>
      <c r="L945">
        <v>1754.62681857552</v>
      </c>
      <c r="M945">
        <v>34.3002192460063</v>
      </c>
      <c r="O945">
        <v>50.982032446486798</v>
      </c>
      <c r="P945">
        <v>-7.7423488307239996E-2</v>
      </c>
      <c r="Q945">
        <v>0.53968905211200202</v>
      </c>
      <c r="R945">
        <v>0.921842851170666</v>
      </c>
      <c r="S945" t="s">
        <v>7751</v>
      </c>
      <c r="T945" t="s">
        <v>13610</v>
      </c>
      <c r="U945" t="s">
        <v>13610</v>
      </c>
      <c r="V945" t="s">
        <v>13610</v>
      </c>
      <c r="W945" t="s">
        <v>14528</v>
      </c>
      <c r="X945">
        <v>78</v>
      </c>
      <c r="Y945" t="s">
        <v>21243</v>
      </c>
      <c r="Z945" t="s">
        <v>27800</v>
      </c>
      <c r="AA945">
        <v>0.7130653138904931</v>
      </c>
      <c r="AB945" t="str">
        <f>HYPERLINK("Melting_Curves/meltCurve_J3KN01_MLLT4.pdf", "Melting_Curves/meltCurve_J3KN01_MLLT4.pdf")</f>
        <v>Melting_Curves/meltCurve_J3KN01_MLLT4.pdf</v>
      </c>
    </row>
    <row r="946" spans="1:28" x14ac:dyDescent="0.25">
      <c r="A946" t="s">
        <v>950</v>
      </c>
      <c r="B946">
        <v>0.995954080203443</v>
      </c>
      <c r="C946">
        <v>0.91893048992036597</v>
      </c>
      <c r="D946">
        <v>0.67555702189736599</v>
      </c>
      <c r="E946">
        <v>0.60999001643843598</v>
      </c>
      <c r="F946">
        <v>0.31653990978232399</v>
      </c>
      <c r="G946">
        <v>0.21407173784684699</v>
      </c>
      <c r="H946">
        <v>0.105685876010276</v>
      </c>
      <c r="I946">
        <v>0.109959646179824</v>
      </c>
      <c r="J946">
        <v>0.118902262577688</v>
      </c>
      <c r="K946">
        <v>9.60537007368895E-2</v>
      </c>
      <c r="L946">
        <v>649.21464424000703</v>
      </c>
      <c r="M946">
        <v>13.0443262546339</v>
      </c>
      <c r="N946">
        <v>50.298194565025</v>
      </c>
      <c r="O946">
        <v>48.643763896571002</v>
      </c>
      <c r="P946">
        <v>-6.2759129762780599E-2</v>
      </c>
      <c r="Q946">
        <v>6.4019754559716494E-2</v>
      </c>
      <c r="R946">
        <v>0.98153766001367904</v>
      </c>
      <c r="S946" t="s">
        <v>7752</v>
      </c>
      <c r="T946" t="s">
        <v>13610</v>
      </c>
      <c r="U946" t="s">
        <v>13610</v>
      </c>
      <c r="V946" t="s">
        <v>13610</v>
      </c>
      <c r="W946" t="s">
        <v>14529</v>
      </c>
      <c r="X946">
        <v>6</v>
      </c>
      <c r="Y946" t="s">
        <v>21244</v>
      </c>
      <c r="Z946" t="s">
        <v>27801</v>
      </c>
      <c r="AA946">
        <v>0.39749664982874178</v>
      </c>
      <c r="AB946" t="str">
        <f>HYPERLINK("Melting_Curves/meltCurve_J3KN25_GALC.pdf", "Melting_Curves/meltCurve_J3KN25_GALC.pdf")</f>
        <v>Melting_Curves/meltCurve_J3KN25_GALC.pdf</v>
      </c>
    </row>
    <row r="947" spans="1:28" x14ac:dyDescent="0.25">
      <c r="A947" t="s">
        <v>951</v>
      </c>
      <c r="B947">
        <v>0.995954080203443</v>
      </c>
      <c r="C947">
        <v>0.99651282712767597</v>
      </c>
      <c r="D947">
        <v>1.0138187594185499</v>
      </c>
      <c r="E947">
        <v>0.90225862185910799</v>
      </c>
      <c r="F947">
        <v>1.1173132165092901</v>
      </c>
      <c r="G947">
        <v>0.85026529729270695</v>
      </c>
      <c r="H947">
        <v>0.89706642470403897</v>
      </c>
      <c r="I947">
        <v>0.99891515045109502</v>
      </c>
      <c r="J947">
        <v>1.2907039106599001</v>
      </c>
      <c r="K947">
        <v>1.2185249983873301</v>
      </c>
      <c r="L947">
        <v>15000</v>
      </c>
      <c r="M947">
        <v>230.15562676347099</v>
      </c>
      <c r="O947">
        <v>65.168371945119105</v>
      </c>
      <c r="P947">
        <v>0.22495655462111599</v>
      </c>
      <c r="Q947">
        <v>1.2547850351904599</v>
      </c>
      <c r="R947">
        <v>0.67267169483408296</v>
      </c>
      <c r="S947" t="s">
        <v>7753</v>
      </c>
      <c r="T947" t="s">
        <v>13610</v>
      </c>
      <c r="U947" t="s">
        <v>13610</v>
      </c>
      <c r="V947" t="s">
        <v>13610</v>
      </c>
      <c r="W947" t="s">
        <v>14530</v>
      </c>
      <c r="X947">
        <v>4</v>
      </c>
      <c r="Y947" t="s">
        <v>21245</v>
      </c>
      <c r="Z947" t="s">
        <v>27802</v>
      </c>
      <c r="AA947">
        <v>1.040958042608316</v>
      </c>
      <c r="AB947" t="str">
        <f>HYPERLINK("Melting_Curves/meltCurve_J3KN27_FBRSL1.pdf", "Melting_Curves/meltCurve_J3KN27_FBRSL1.pdf")</f>
        <v>Melting_Curves/meltCurve_J3KN27_FBRSL1.pdf</v>
      </c>
    </row>
    <row r="948" spans="1:28" x14ac:dyDescent="0.25">
      <c r="A948" t="s">
        <v>952</v>
      </c>
      <c r="B948">
        <v>0.995954080203443</v>
      </c>
      <c r="C948">
        <v>0.827899422860915</v>
      </c>
      <c r="D948">
        <v>0.60170163184410597</v>
      </c>
      <c r="E948">
        <v>0.60797631472725899</v>
      </c>
      <c r="F948">
        <v>0.95627429042366396</v>
      </c>
      <c r="G948">
        <v>0.88592286175406199</v>
      </c>
      <c r="H948">
        <v>0.86809090389305499</v>
      </c>
      <c r="I948">
        <v>0.98768590743042495</v>
      </c>
      <c r="J948">
        <v>1.2826903376479699</v>
      </c>
      <c r="K948">
        <v>1.1135775428655801</v>
      </c>
      <c r="L948">
        <v>15000</v>
      </c>
      <c r="M948">
        <v>230.01240049534201</v>
      </c>
      <c r="O948">
        <v>65.208945309601901</v>
      </c>
      <c r="P948">
        <v>0.17474619342082001</v>
      </c>
      <c r="Q948">
        <v>1.1981634890567301</v>
      </c>
      <c r="R948">
        <v>5.8688259208894396E-3</v>
      </c>
      <c r="S948" t="s">
        <v>7754</v>
      </c>
      <c r="T948" t="s">
        <v>13610</v>
      </c>
      <c r="U948" t="s">
        <v>13610</v>
      </c>
      <c r="V948" t="s">
        <v>13610</v>
      </c>
      <c r="W948" t="s">
        <v>14531</v>
      </c>
      <c r="X948">
        <v>11</v>
      </c>
      <c r="Y948" t="s">
        <v>21246</v>
      </c>
      <c r="Z948" t="s">
        <v>27803</v>
      </c>
      <c r="AA948">
        <v>1.03158771242348</v>
      </c>
      <c r="AB948" t="str">
        <f>HYPERLINK("Melting_Curves/meltCurve_J3KN29_PSMD9.pdf", "Melting_Curves/meltCurve_J3KN29_PSMD9.pdf")</f>
        <v>Melting_Curves/meltCurve_J3KN29_PSMD9.pdf</v>
      </c>
    </row>
    <row r="949" spans="1:28" x14ac:dyDescent="0.25">
      <c r="A949" t="s">
        <v>953</v>
      </c>
      <c r="B949">
        <v>0.995954080203443</v>
      </c>
      <c r="C949">
        <v>1.28325256052139</v>
      </c>
      <c r="D949">
        <v>1.20649247522379</v>
      </c>
      <c r="E949">
        <v>0.98003614979467202</v>
      </c>
      <c r="F949">
        <v>0.54936237488555995</v>
      </c>
      <c r="G949">
        <v>0.28354556372196599</v>
      </c>
      <c r="H949">
        <v>0.16655504569363899</v>
      </c>
      <c r="I949">
        <v>0.179379723061871</v>
      </c>
      <c r="J949">
        <v>0.15374409367606501</v>
      </c>
      <c r="K949">
        <v>0.19574877076838701</v>
      </c>
      <c r="L949">
        <v>2509.3971570233298</v>
      </c>
      <c r="M949">
        <v>47.489348684663</v>
      </c>
      <c r="N949">
        <v>53.374254426298201</v>
      </c>
      <c r="O949">
        <v>52.747793725845398</v>
      </c>
      <c r="P949">
        <v>-0.182579525788678</v>
      </c>
      <c r="Q949">
        <v>0.188815037286128</v>
      </c>
      <c r="R949">
        <v>0.93322748705315794</v>
      </c>
      <c r="S949" t="s">
        <v>7755</v>
      </c>
      <c r="T949" t="s">
        <v>13610</v>
      </c>
      <c r="U949" t="s">
        <v>13610</v>
      </c>
      <c r="V949" t="s">
        <v>13610</v>
      </c>
      <c r="W949" t="s">
        <v>14532</v>
      </c>
      <c r="X949">
        <v>2</v>
      </c>
      <c r="Y949" t="s">
        <v>21247</v>
      </c>
      <c r="Z949" t="s">
        <v>27804</v>
      </c>
      <c r="AA949">
        <v>0.53813309977635748</v>
      </c>
      <c r="AB949" t="str">
        <f>HYPERLINK("Melting_Curves/meltCurve_J3KN33_CNTLN.pdf", "Melting_Curves/meltCurve_J3KN33_CNTLN.pdf")</f>
        <v>Melting_Curves/meltCurve_J3KN33_CNTLN.pdf</v>
      </c>
    </row>
    <row r="950" spans="1:28" x14ac:dyDescent="0.25">
      <c r="A950" t="s">
        <v>954</v>
      </c>
      <c r="B950">
        <v>0.995954080203443</v>
      </c>
      <c r="C950">
        <v>0.85853675977543797</v>
      </c>
      <c r="D950">
        <v>0.98807674440862703</v>
      </c>
      <c r="E950">
        <v>0.790222339820148</v>
      </c>
      <c r="F950">
        <v>0.739130667245812</v>
      </c>
      <c r="G950">
        <v>0.617890961996864</v>
      </c>
      <c r="H950">
        <v>0.69828529212222301</v>
      </c>
      <c r="I950">
        <v>0.91443302303468099</v>
      </c>
      <c r="J950">
        <v>1.0348905865021101</v>
      </c>
      <c r="K950">
        <v>1.1572428172518401</v>
      </c>
      <c r="L950">
        <v>1094.6331391561801</v>
      </c>
      <c r="M950">
        <v>26.087351009631401</v>
      </c>
      <c r="O950">
        <v>41.716068529252901</v>
      </c>
      <c r="P950">
        <v>-2.1731661701161298E-2</v>
      </c>
      <c r="Q950">
        <v>0.860997901849333</v>
      </c>
      <c r="R950">
        <v>5.4087114201702598E-2</v>
      </c>
      <c r="S950" t="s">
        <v>7756</v>
      </c>
      <c r="T950" t="s">
        <v>13610</v>
      </c>
      <c r="U950" t="s">
        <v>13610</v>
      </c>
      <c r="V950" t="s">
        <v>13610</v>
      </c>
      <c r="W950" t="s">
        <v>14533</v>
      </c>
      <c r="X950">
        <v>8</v>
      </c>
      <c r="Y950" t="s">
        <v>21248</v>
      </c>
      <c r="Z950" t="s">
        <v>27805</v>
      </c>
      <c r="AA950">
        <v>0.87258720460289152</v>
      </c>
      <c r="AB950" t="str">
        <f>HYPERLINK("Melting_Curves/meltCurve_J3KN66_TOR1AIP1.pdf", "Melting_Curves/meltCurve_J3KN66_TOR1AIP1.pdf")</f>
        <v>Melting_Curves/meltCurve_J3KN66_TOR1AIP1.pdf</v>
      </c>
    </row>
    <row r="951" spans="1:28" x14ac:dyDescent="0.25">
      <c r="A951" t="s">
        <v>955</v>
      </c>
      <c r="B951">
        <v>0.995954080203443</v>
      </c>
      <c r="C951">
        <v>0.979545277827093</v>
      </c>
      <c r="D951">
        <v>0.88278053493156095</v>
      </c>
      <c r="E951">
        <v>0.78459525564989796</v>
      </c>
      <c r="F951">
        <v>0.68626902751423102</v>
      </c>
      <c r="G951">
        <v>0.502807306259206</v>
      </c>
      <c r="H951">
        <v>0.463241511247453</v>
      </c>
      <c r="I951">
        <v>0.53864428846149903</v>
      </c>
      <c r="J951">
        <v>0.64479837584394495</v>
      </c>
      <c r="K951">
        <v>0.60151083739813105</v>
      </c>
      <c r="L951">
        <v>995.43960683093701</v>
      </c>
      <c r="M951">
        <v>20.037429953853799</v>
      </c>
      <c r="O951">
        <v>49.192123205201803</v>
      </c>
      <c r="P951">
        <v>-4.5985272099297501E-2</v>
      </c>
      <c r="Q951">
        <v>0.54843697903870703</v>
      </c>
      <c r="R951">
        <v>0.90961279369054104</v>
      </c>
      <c r="S951" t="s">
        <v>7757</v>
      </c>
      <c r="T951" t="s">
        <v>13610</v>
      </c>
      <c r="U951" t="s">
        <v>13610</v>
      </c>
      <c r="V951" t="s">
        <v>13610</v>
      </c>
      <c r="W951" t="s">
        <v>14534</v>
      </c>
      <c r="X951">
        <v>7</v>
      </c>
      <c r="Y951" t="s">
        <v>21249</v>
      </c>
      <c r="Z951" t="s">
        <v>27806</v>
      </c>
      <c r="AA951">
        <v>0.70039842305878985</v>
      </c>
      <c r="AB951" t="str">
        <f>HYPERLINK("Melting_Curves/meltCurve_J3KN68_VGLL4.pdf", "Melting_Curves/meltCurve_J3KN68_VGLL4.pdf")</f>
        <v>Melting_Curves/meltCurve_J3KN68_VGLL4.pdf</v>
      </c>
    </row>
    <row r="952" spans="1:28" x14ac:dyDescent="0.25">
      <c r="A952" t="s">
        <v>956</v>
      </c>
      <c r="B952">
        <v>0.995954080203443</v>
      </c>
      <c r="C952">
        <v>0.87654291770269499</v>
      </c>
      <c r="D952">
        <v>0.74101723934312902</v>
      </c>
      <c r="E952">
        <v>0.76559646772073597</v>
      </c>
      <c r="F952">
        <v>0.28574697296685098</v>
      </c>
      <c r="G952">
        <v>0.11234294694876799</v>
      </c>
      <c r="H952">
        <v>7.86608335408054E-2</v>
      </c>
      <c r="I952">
        <v>6.19463178468634E-2</v>
      </c>
      <c r="J952">
        <v>5.9336750849957702E-2</v>
      </c>
      <c r="K952">
        <v>6.5271105423475598E-2</v>
      </c>
      <c r="L952">
        <v>827.56984680007895</v>
      </c>
      <c r="M952">
        <v>16.228990952694598</v>
      </c>
      <c r="N952">
        <v>51.132756544103202</v>
      </c>
      <c r="O952">
        <v>50.237913522148503</v>
      </c>
      <c r="P952">
        <v>-7.9018182462723602E-2</v>
      </c>
      <c r="Q952">
        <v>2.1648684769319498E-2</v>
      </c>
      <c r="R952">
        <v>0.95475306243010205</v>
      </c>
      <c r="S952" t="s">
        <v>7758</v>
      </c>
      <c r="T952" t="s">
        <v>13610</v>
      </c>
      <c r="U952" t="s">
        <v>13610</v>
      </c>
      <c r="V952" t="s">
        <v>13610</v>
      </c>
      <c r="W952" t="s">
        <v>14535</v>
      </c>
      <c r="X952">
        <v>10</v>
      </c>
      <c r="Y952" t="s">
        <v>21250</v>
      </c>
      <c r="Z952" t="s">
        <v>27807</v>
      </c>
      <c r="AA952">
        <v>0.39995179450820167</v>
      </c>
      <c r="AB952" t="str">
        <f>HYPERLINK("Melting_Curves/meltCurve_J3KN93_ANKRD44.pdf", "Melting_Curves/meltCurve_J3KN93_ANKRD44.pdf")</f>
        <v>Melting_Curves/meltCurve_J3KN93_ANKRD44.pdf</v>
      </c>
    </row>
    <row r="953" spans="1:28" x14ac:dyDescent="0.25">
      <c r="A953" t="s">
        <v>957</v>
      </c>
      <c r="B953">
        <v>0.995954080203443</v>
      </c>
      <c r="C953">
        <v>0.70756972073181601</v>
      </c>
      <c r="D953">
        <v>0.55143821238937496</v>
      </c>
      <c r="E953">
        <v>0.47167713387149302</v>
      </c>
      <c r="F953">
        <v>0.38344965731323999</v>
      </c>
      <c r="G953">
        <v>0.28705727624583499</v>
      </c>
      <c r="H953">
        <v>0.27467686056634699</v>
      </c>
      <c r="I953">
        <v>0.31353279003520501</v>
      </c>
      <c r="J953">
        <v>0.35609190659584</v>
      </c>
      <c r="K953">
        <v>0.36156389060840399</v>
      </c>
      <c r="L953">
        <v>783.20548832605596</v>
      </c>
      <c r="M953">
        <v>17.639283711826401</v>
      </c>
      <c r="N953">
        <v>47.223559524159</v>
      </c>
      <c r="O953">
        <v>43.842333766607702</v>
      </c>
      <c r="P953">
        <v>-6.7820238643728603E-2</v>
      </c>
      <c r="Q953">
        <v>0.32576887961502798</v>
      </c>
      <c r="R953">
        <v>0.95199244311682496</v>
      </c>
      <c r="S953" t="s">
        <v>7759</v>
      </c>
      <c r="T953" t="s">
        <v>13610</v>
      </c>
      <c r="U953" t="s">
        <v>13610</v>
      </c>
      <c r="V953" t="s">
        <v>13610</v>
      </c>
      <c r="W953" t="s">
        <v>14536</v>
      </c>
      <c r="X953">
        <v>31</v>
      </c>
      <c r="Y953" t="s">
        <v>21251</v>
      </c>
      <c r="Z953" t="s">
        <v>27808</v>
      </c>
      <c r="AA953">
        <v>0.44107673619697252</v>
      </c>
      <c r="AB953" t="str">
        <f>HYPERLINK("Melting_Curves/meltCurve_J3KNB8_MAP3K4.pdf", "Melting_Curves/meltCurve_J3KNB8_MAP3K4.pdf")</f>
        <v>Melting_Curves/meltCurve_J3KNB8_MAP3K4.pdf</v>
      </c>
    </row>
    <row r="954" spans="1:28" x14ac:dyDescent="0.25">
      <c r="A954" t="s">
        <v>958</v>
      </c>
      <c r="B954">
        <v>0.995954080203443</v>
      </c>
      <c r="C954">
        <v>1.0839297895008999</v>
      </c>
      <c r="D954">
        <v>0.98007885045171805</v>
      </c>
      <c r="E954">
        <v>0.742392277114999</v>
      </c>
      <c r="F954">
        <v>0.20650356813520701</v>
      </c>
      <c r="G954">
        <v>9.5489620425435198E-2</v>
      </c>
      <c r="H954">
        <v>3.6165957742280701E-2</v>
      </c>
      <c r="I954">
        <v>1.6933200362372801E-2</v>
      </c>
      <c r="J954">
        <v>6.39085730891198E-3</v>
      </c>
      <c r="K954">
        <v>0</v>
      </c>
      <c r="L954">
        <v>2119.0106547422502</v>
      </c>
      <c r="M954">
        <v>41.386427069791203</v>
      </c>
      <c r="N954">
        <v>51.267073199676098</v>
      </c>
      <c r="O954">
        <v>51.081524326493899</v>
      </c>
      <c r="P954">
        <v>-0.197262528885771</v>
      </c>
      <c r="Q954">
        <v>2.6110653903467399E-2</v>
      </c>
      <c r="R954">
        <v>0.99415588520824405</v>
      </c>
      <c r="S954" t="s">
        <v>7760</v>
      </c>
      <c r="T954" t="s">
        <v>13610</v>
      </c>
      <c r="U954" t="s">
        <v>13610</v>
      </c>
      <c r="V954" t="s">
        <v>13610</v>
      </c>
      <c r="W954" t="s">
        <v>14537</v>
      </c>
      <c r="X954">
        <v>13</v>
      </c>
      <c r="Y954" t="s">
        <v>21252</v>
      </c>
      <c r="Z954" t="s">
        <v>27809</v>
      </c>
      <c r="AA954">
        <v>0.39293380503511882</v>
      </c>
      <c r="AB954" t="str">
        <f>HYPERLINK("Melting_Curves/meltCurve_J3KND1_SAAL1.pdf", "Melting_Curves/meltCurve_J3KND1_SAAL1.pdf")</f>
        <v>Melting_Curves/meltCurve_J3KND1_SAAL1.pdf</v>
      </c>
    </row>
    <row r="955" spans="1:28" x14ac:dyDescent="0.25">
      <c r="A955" t="s">
        <v>959</v>
      </c>
      <c r="B955">
        <v>0.995954080203443</v>
      </c>
      <c r="C955">
        <v>0.99224276421854596</v>
      </c>
      <c r="D955">
        <v>0.99599299589315304</v>
      </c>
      <c r="E955">
        <v>0.82942146411420403</v>
      </c>
      <c r="F955">
        <v>0.703601520767282</v>
      </c>
      <c r="G955">
        <v>0.37668795300442698</v>
      </c>
      <c r="H955">
        <v>0.205702198455991</v>
      </c>
      <c r="I955">
        <v>0.168179407623437</v>
      </c>
      <c r="J955">
        <v>0.17255399312346401</v>
      </c>
      <c r="K955">
        <v>0.15081976701597699</v>
      </c>
      <c r="L955">
        <v>1082.7868914114399</v>
      </c>
      <c r="M955">
        <v>19.929516971736302</v>
      </c>
      <c r="N955">
        <v>55.211421924592599</v>
      </c>
      <c r="O955">
        <v>53.792666184684499</v>
      </c>
      <c r="P955">
        <v>-8.0013976756672794E-2</v>
      </c>
      <c r="Q955">
        <v>0.13615104382203899</v>
      </c>
      <c r="R955">
        <v>0.99722011652418796</v>
      </c>
      <c r="S955" t="s">
        <v>7761</v>
      </c>
      <c r="T955" t="s">
        <v>13610</v>
      </c>
      <c r="U955" t="s">
        <v>13610</v>
      </c>
      <c r="V955" t="s">
        <v>13610</v>
      </c>
      <c r="W955" t="s">
        <v>14538</v>
      </c>
      <c r="X955">
        <v>12</v>
      </c>
      <c r="Y955" t="s">
        <v>21253</v>
      </c>
      <c r="Z955" t="s">
        <v>27810</v>
      </c>
      <c r="AA955">
        <v>0.56054575822327324</v>
      </c>
      <c r="AB955" t="str">
        <f>HYPERLINK("Melting_Curves/meltCurve_J3KNF4_CCS.pdf", "Melting_Curves/meltCurve_J3KNF4_CCS.pdf")</f>
        <v>Melting_Curves/meltCurve_J3KNF4_CCS.pdf</v>
      </c>
    </row>
    <row r="956" spans="1:28" x14ac:dyDescent="0.25">
      <c r="A956" t="s">
        <v>960</v>
      </c>
      <c r="B956">
        <v>0.995954080203443</v>
      </c>
      <c r="C956">
        <v>0.969550927072934</v>
      </c>
      <c r="D956">
        <v>0.86847184937182498</v>
      </c>
      <c r="E956">
        <v>0.79742521602288596</v>
      </c>
      <c r="F956">
        <v>0.53809125600292995</v>
      </c>
      <c r="G956">
        <v>0.40559262738618801</v>
      </c>
      <c r="H956">
        <v>0.36582343540309198</v>
      </c>
      <c r="I956">
        <v>0.39663063505396301</v>
      </c>
      <c r="J956">
        <v>0.49447444667805002</v>
      </c>
      <c r="K956">
        <v>0.465026972921875</v>
      </c>
      <c r="L956">
        <v>1248.73888151803</v>
      </c>
      <c r="M956">
        <v>24.725223671273</v>
      </c>
      <c r="N956">
        <v>54.471270413624097</v>
      </c>
      <c r="O956">
        <v>50.177759626555002</v>
      </c>
      <c r="P956">
        <v>-7.1771462013881696E-2</v>
      </c>
      <c r="Q956">
        <v>0.41739162903639798</v>
      </c>
      <c r="R956">
        <v>0.955969140321967</v>
      </c>
      <c r="S956" t="s">
        <v>7762</v>
      </c>
      <c r="T956" t="s">
        <v>13610</v>
      </c>
      <c r="U956" t="s">
        <v>13610</v>
      </c>
      <c r="V956" t="s">
        <v>13610</v>
      </c>
      <c r="W956" t="s">
        <v>14539</v>
      </c>
      <c r="X956">
        <v>5</v>
      </c>
      <c r="Y956" t="s">
        <v>21254</v>
      </c>
      <c r="Z956" t="s">
        <v>27811</v>
      </c>
      <c r="AA956">
        <v>0.62674612879349401</v>
      </c>
      <c r="AB956" t="str">
        <f>HYPERLINK("Melting_Curves/meltCurve_J3KNG8_FNIP1.pdf", "Melting_Curves/meltCurve_J3KNG8_FNIP1.pdf")</f>
        <v>Melting_Curves/meltCurve_J3KNG8_FNIP1.pdf</v>
      </c>
    </row>
    <row r="957" spans="1:28" x14ac:dyDescent="0.25">
      <c r="A957" t="s">
        <v>961</v>
      </c>
      <c r="B957">
        <v>0.995954080203443</v>
      </c>
      <c r="C957">
        <v>0.84879557292215801</v>
      </c>
      <c r="D957">
        <v>0.50577563394936698</v>
      </c>
      <c r="E957">
        <v>0.27097907079706701</v>
      </c>
      <c r="F957">
        <v>0.16289881542198401</v>
      </c>
      <c r="G957">
        <v>9.5969873403459194E-2</v>
      </c>
      <c r="H957">
        <v>8.2620171019287494E-2</v>
      </c>
      <c r="I957">
        <v>8.1667466719560003E-2</v>
      </c>
      <c r="J957">
        <v>9.4581186966620101E-2</v>
      </c>
      <c r="K957">
        <v>8.5109468517019504E-2</v>
      </c>
      <c r="L957">
        <v>938.34053947248901</v>
      </c>
      <c r="M957">
        <v>20.397176313327702</v>
      </c>
      <c r="N957">
        <v>46.445362455665403</v>
      </c>
      <c r="O957">
        <v>45.568118048217201</v>
      </c>
      <c r="P957">
        <v>-0.10203816455964999</v>
      </c>
      <c r="Q957">
        <v>8.8197878697914706E-2</v>
      </c>
      <c r="R957">
        <v>0.99536463760104799</v>
      </c>
      <c r="S957" t="s">
        <v>7763</v>
      </c>
      <c r="T957" t="s">
        <v>13610</v>
      </c>
      <c r="U957" t="s">
        <v>13610</v>
      </c>
      <c r="V957" t="s">
        <v>13610</v>
      </c>
      <c r="W957" t="s">
        <v>14540</v>
      </c>
      <c r="X957">
        <v>8</v>
      </c>
      <c r="Y957" t="s">
        <v>21255</v>
      </c>
      <c r="Z957" t="s">
        <v>27812</v>
      </c>
      <c r="AA957">
        <v>0.28413398097472758</v>
      </c>
      <c r="AB957" t="str">
        <f>HYPERLINK("Melting_Curves/meltCurve_J3KNH7_SENP3.pdf", "Melting_Curves/meltCurve_J3KNH7_SENP3.pdf")</f>
        <v>Melting_Curves/meltCurve_J3KNH7_SENP3.pdf</v>
      </c>
    </row>
    <row r="958" spans="1:28" x14ac:dyDescent="0.25">
      <c r="A958" t="s">
        <v>962</v>
      </c>
      <c r="B958">
        <v>0.995954080203443</v>
      </c>
      <c r="C958">
        <v>0.844219742381072</v>
      </c>
      <c r="D958">
        <v>0.93484162201104204</v>
      </c>
      <c r="E958">
        <v>0.69829548102712202</v>
      </c>
      <c r="F958">
        <v>0.71207956677246098</v>
      </c>
      <c r="G958">
        <v>0.56005360473034504</v>
      </c>
      <c r="H958">
        <v>0.59171422698825205</v>
      </c>
      <c r="I958">
        <v>0.61249834720670404</v>
      </c>
      <c r="J958">
        <v>0.77190034169511801</v>
      </c>
      <c r="K958">
        <v>0.65805389789836499</v>
      </c>
      <c r="L958">
        <v>830.49477153738997</v>
      </c>
      <c r="M958">
        <v>17.680093281535399</v>
      </c>
      <c r="O958">
        <v>46.384852715108799</v>
      </c>
      <c r="P958">
        <v>-3.4449936889380299E-2</v>
      </c>
      <c r="Q958">
        <v>0.63849268764973599</v>
      </c>
      <c r="R958">
        <v>0.74991989571169804</v>
      </c>
      <c r="S958" t="s">
        <v>7764</v>
      </c>
      <c r="T958" t="s">
        <v>13610</v>
      </c>
      <c r="U958" t="s">
        <v>13610</v>
      </c>
      <c r="V958" t="s">
        <v>13610</v>
      </c>
      <c r="W958" t="s">
        <v>14541</v>
      </c>
      <c r="X958">
        <v>2</v>
      </c>
      <c r="Y958" t="s">
        <v>21256</v>
      </c>
      <c r="Z958" t="s">
        <v>27813</v>
      </c>
      <c r="AA958">
        <v>0.72946823824464935</v>
      </c>
      <c r="AB958" t="str">
        <f>HYPERLINK("Melting_Curves/meltCurve_J3KNK0_BRSK1.pdf", "Melting_Curves/meltCurve_J3KNK0_BRSK1.pdf")</f>
        <v>Melting_Curves/meltCurve_J3KNK0_BRSK1.pdf</v>
      </c>
    </row>
    <row r="959" spans="1:28" x14ac:dyDescent="0.25">
      <c r="A959" t="s">
        <v>963</v>
      </c>
      <c r="B959">
        <v>0.995954080203443</v>
      </c>
      <c r="C959">
        <v>0.90843797848063301</v>
      </c>
      <c r="D959">
        <v>0.86413710036988001</v>
      </c>
      <c r="E959">
        <v>0.66345309886957105</v>
      </c>
      <c r="F959">
        <v>0.57291489140582996</v>
      </c>
      <c r="G959">
        <v>0.43761875067106498</v>
      </c>
      <c r="H959">
        <v>0.405231924577099</v>
      </c>
      <c r="I959">
        <v>0.473005473368241</v>
      </c>
      <c r="J959">
        <v>0.52173644247679296</v>
      </c>
      <c r="K959">
        <v>0.57291832456787795</v>
      </c>
      <c r="L959">
        <v>944.77515204565896</v>
      </c>
      <c r="M959">
        <v>19.612117307684901</v>
      </c>
      <c r="N959">
        <v>57.599645758309002</v>
      </c>
      <c r="O959">
        <v>47.680571614712001</v>
      </c>
      <c r="P959">
        <v>-5.3492904197316102E-2</v>
      </c>
      <c r="Q959">
        <v>0.47981495376140199</v>
      </c>
      <c r="R959">
        <v>0.93838595690269799</v>
      </c>
      <c r="S959" t="s">
        <v>7765</v>
      </c>
      <c r="T959" t="s">
        <v>13610</v>
      </c>
      <c r="U959" t="s">
        <v>13610</v>
      </c>
      <c r="V959" t="s">
        <v>13610</v>
      </c>
      <c r="W959" t="s">
        <v>14542</v>
      </c>
      <c r="X959">
        <v>46</v>
      </c>
      <c r="Y959" t="s">
        <v>21257</v>
      </c>
      <c r="Z959" t="s">
        <v>27814</v>
      </c>
      <c r="AA959">
        <v>0.62920874216896172</v>
      </c>
      <c r="AB959" t="str">
        <f>HYPERLINK("Melting_Curves/meltCurve_J3KNL6_SEC16A.pdf", "Melting_Curves/meltCurve_J3KNL6_SEC16A.pdf")</f>
        <v>Melting_Curves/meltCurve_J3KNL6_SEC16A.pdf</v>
      </c>
    </row>
    <row r="960" spans="1:28" x14ac:dyDescent="0.25">
      <c r="A960" t="s">
        <v>964</v>
      </c>
      <c r="B960">
        <v>0.995954080203443</v>
      </c>
      <c r="C960">
        <v>0.739157608337767</v>
      </c>
      <c r="D960">
        <v>1.05592416601317</v>
      </c>
      <c r="E960">
        <v>0.632547419387125</v>
      </c>
      <c r="F960">
        <v>0.74257292548868503</v>
      </c>
      <c r="G960">
        <v>0.44717150031858199</v>
      </c>
      <c r="H960">
        <v>0.419539340311957</v>
      </c>
      <c r="I960">
        <v>0.50691491706602099</v>
      </c>
      <c r="J960">
        <v>0.53670623285428498</v>
      </c>
      <c r="K960">
        <v>0.54288563561000003</v>
      </c>
      <c r="L960">
        <v>861.87356645328998</v>
      </c>
      <c r="M960">
        <v>17.314179692463199</v>
      </c>
      <c r="N960">
        <v>62.658728899881403</v>
      </c>
      <c r="O960">
        <v>49.128666920358697</v>
      </c>
      <c r="P960">
        <v>-4.5309639863017899E-2</v>
      </c>
      <c r="Q960">
        <v>0.485768293714468</v>
      </c>
      <c r="R960">
        <v>0.718412151086674</v>
      </c>
      <c r="S960" t="s">
        <v>7766</v>
      </c>
      <c r="T960" t="s">
        <v>13610</v>
      </c>
      <c r="U960" t="s">
        <v>13610</v>
      </c>
      <c r="V960" t="s">
        <v>13610</v>
      </c>
      <c r="W960" t="s">
        <v>14543</v>
      </c>
      <c r="X960">
        <v>6</v>
      </c>
      <c r="Y960" t="s">
        <v>21258</v>
      </c>
      <c r="Z960" t="s">
        <v>27815</v>
      </c>
      <c r="AA960">
        <v>0.6628545458129369</v>
      </c>
      <c r="AB960" t="str">
        <f>HYPERLINK("Melting_Curves/meltCurve_J3KNL9_ZFYVE1.pdf", "Melting_Curves/meltCurve_J3KNL9_ZFYVE1.pdf")</f>
        <v>Melting_Curves/meltCurve_J3KNL9_ZFYVE1.pdf</v>
      </c>
    </row>
    <row r="961" spans="1:28" x14ac:dyDescent="0.25">
      <c r="A961" t="s">
        <v>965</v>
      </c>
      <c r="B961">
        <v>0.995954080203443</v>
      </c>
      <c r="C961">
        <v>0.91273041138060296</v>
      </c>
      <c r="D961">
        <v>1.1457096108643099</v>
      </c>
      <c r="E961">
        <v>0.85938391883239096</v>
      </c>
      <c r="F961">
        <v>0.90569821311253895</v>
      </c>
      <c r="G961">
        <v>0.66549580548435205</v>
      </c>
      <c r="H961">
        <v>0.58364238104793598</v>
      </c>
      <c r="I961">
        <v>0.59299316771091304</v>
      </c>
      <c r="J961">
        <v>0.65791408295642595</v>
      </c>
      <c r="K961">
        <v>0.63759548511956299</v>
      </c>
      <c r="L961">
        <v>1514.11619917028</v>
      </c>
      <c r="M961">
        <v>28.0660736585465</v>
      </c>
      <c r="O961">
        <v>53.676617339467597</v>
      </c>
      <c r="P961">
        <v>-5.0693093126299597E-2</v>
      </c>
      <c r="Q961">
        <v>0.61219931500763403</v>
      </c>
      <c r="R961">
        <v>0.85804648482117796</v>
      </c>
      <c r="S961" t="s">
        <v>7767</v>
      </c>
      <c r="T961" t="s">
        <v>13610</v>
      </c>
      <c r="U961" t="s">
        <v>13610</v>
      </c>
      <c r="V961" t="s">
        <v>13610</v>
      </c>
      <c r="W961" t="s">
        <v>14544</v>
      </c>
      <c r="X961">
        <v>6</v>
      </c>
      <c r="Y961" t="s">
        <v>21259</v>
      </c>
      <c r="Z961" t="s">
        <v>27816</v>
      </c>
      <c r="AA961">
        <v>0.79539663590941467</v>
      </c>
      <c r="AB961" t="str">
        <f>HYPERLINK("Melting_Curves/meltCurve_J3KNM5_YAF2.pdf", "Melting_Curves/meltCurve_J3KNM5_YAF2.pdf")</f>
        <v>Melting_Curves/meltCurve_J3KNM5_YAF2.pdf</v>
      </c>
    </row>
    <row r="962" spans="1:28" x14ac:dyDescent="0.25">
      <c r="A962" t="s">
        <v>966</v>
      </c>
      <c r="B962">
        <v>0.995954080203443</v>
      </c>
      <c r="C962">
        <v>0.97945559705140794</v>
      </c>
      <c r="D962">
        <v>0.89496180372109302</v>
      </c>
      <c r="E962">
        <v>0.57244918293087799</v>
      </c>
      <c r="F962">
        <v>0.24813422439837299</v>
      </c>
      <c r="G962">
        <v>0.135752579796492</v>
      </c>
      <c r="H962">
        <v>8.6489990370995404E-2</v>
      </c>
      <c r="I962">
        <v>7.9346975171490294E-2</v>
      </c>
      <c r="J962">
        <v>9.3460380746273997E-2</v>
      </c>
      <c r="K962">
        <v>8.7249272242391596E-2</v>
      </c>
      <c r="L962">
        <v>1257.71341483216</v>
      </c>
      <c r="M962">
        <v>25.098272494790098</v>
      </c>
      <c r="N962">
        <v>50.475367196480697</v>
      </c>
      <c r="O962">
        <v>49.796671630889897</v>
      </c>
      <c r="P962">
        <v>-0.11557962928057899</v>
      </c>
      <c r="Q962">
        <v>8.2740885684740598E-2</v>
      </c>
      <c r="R962">
        <v>0.99901625767145796</v>
      </c>
      <c r="S962" t="s">
        <v>7768</v>
      </c>
      <c r="T962" t="s">
        <v>13610</v>
      </c>
      <c r="U962" t="s">
        <v>13610</v>
      </c>
      <c r="V962" t="s">
        <v>13610</v>
      </c>
      <c r="W962" t="s">
        <v>14545</v>
      </c>
      <c r="X962">
        <v>23</v>
      </c>
      <c r="Y962" t="s">
        <v>21260</v>
      </c>
      <c r="Z962" t="s">
        <v>27817</v>
      </c>
      <c r="AA962">
        <v>0.4000479429008833</v>
      </c>
      <c r="AB962" t="str">
        <f>HYPERLINK("Melting_Curves/meltCurve_J3KNN7_BRAP.pdf", "Melting_Curves/meltCurve_J3KNN7_BRAP.pdf")</f>
        <v>Melting_Curves/meltCurve_J3KNN7_BRAP.pdf</v>
      </c>
    </row>
    <row r="963" spans="1:28" x14ac:dyDescent="0.25">
      <c r="A963" t="s">
        <v>967</v>
      </c>
      <c r="B963">
        <v>0.995954080203443</v>
      </c>
      <c r="C963">
        <v>0.83454506459827105</v>
      </c>
      <c r="D963">
        <v>0.43624903508274898</v>
      </c>
      <c r="E963">
        <v>0.26215384145408399</v>
      </c>
      <c r="F963">
        <v>0.15089520434216799</v>
      </c>
      <c r="G963">
        <v>8.5226638655395703E-2</v>
      </c>
      <c r="H963">
        <v>6.3241008564993706E-2</v>
      </c>
      <c r="I963">
        <v>6.0443526410543999E-2</v>
      </c>
      <c r="J963">
        <v>6.3319545093279306E-2</v>
      </c>
      <c r="K963">
        <v>6.1857103508868E-2</v>
      </c>
      <c r="L963">
        <v>935.94065909011397</v>
      </c>
      <c r="M963">
        <v>20.503491449831301</v>
      </c>
      <c r="N963">
        <v>45.995660502274198</v>
      </c>
      <c r="O963">
        <v>45.220297881193197</v>
      </c>
      <c r="P963">
        <v>-0.105217357330586</v>
      </c>
      <c r="Q963">
        <v>7.1803012550538406E-2</v>
      </c>
      <c r="R963">
        <v>0.98930054432219805</v>
      </c>
      <c r="S963" t="s">
        <v>7769</v>
      </c>
      <c r="T963" t="s">
        <v>13610</v>
      </c>
      <c r="U963" t="s">
        <v>13610</v>
      </c>
      <c r="V963" t="s">
        <v>13610</v>
      </c>
      <c r="W963" t="s">
        <v>14546</v>
      </c>
      <c r="X963">
        <v>12</v>
      </c>
      <c r="Y963" t="s">
        <v>21261</v>
      </c>
      <c r="Z963" t="s">
        <v>27818</v>
      </c>
      <c r="AA963">
        <v>0.26046735446355129</v>
      </c>
      <c r="AB963" t="str">
        <f>HYPERLINK("Melting_Curves/meltCurve_J3KNU8_ALDH6A1.pdf", "Melting_Curves/meltCurve_J3KNU8_ALDH6A1.pdf")</f>
        <v>Melting_Curves/meltCurve_J3KNU8_ALDH6A1.pdf</v>
      </c>
    </row>
    <row r="964" spans="1:28" x14ac:dyDescent="0.25">
      <c r="A964" t="s">
        <v>968</v>
      </c>
      <c r="B964">
        <v>0.995954080203443</v>
      </c>
      <c r="C964">
        <v>1.0184385788930701</v>
      </c>
      <c r="D964">
        <v>1.0916164722453401</v>
      </c>
      <c r="E964">
        <v>0.76725896866376797</v>
      </c>
      <c r="F964">
        <v>0.38578303189542001</v>
      </c>
      <c r="G964">
        <v>0.25945560852863803</v>
      </c>
      <c r="H964">
        <v>0.224034746570558</v>
      </c>
      <c r="I964">
        <v>0.25882151820037003</v>
      </c>
      <c r="J964">
        <v>0.29714406111742298</v>
      </c>
      <c r="K964">
        <v>0.27803158052930699</v>
      </c>
      <c r="L964">
        <v>2274.4589256661102</v>
      </c>
      <c r="M964">
        <v>44.651163360803203</v>
      </c>
      <c r="N964">
        <v>51.807991519592697</v>
      </c>
      <c r="O964">
        <v>50.836524355921902</v>
      </c>
      <c r="P964">
        <v>-0.161680452407789</v>
      </c>
      <c r="Q964">
        <v>0.263690881215009</v>
      </c>
      <c r="R964">
        <v>0.98897093419841797</v>
      </c>
      <c r="S964" t="s">
        <v>7770</v>
      </c>
      <c r="T964" t="s">
        <v>13610</v>
      </c>
      <c r="U964" t="s">
        <v>13610</v>
      </c>
      <c r="V964" t="s">
        <v>13610</v>
      </c>
      <c r="W964" t="s">
        <v>14547</v>
      </c>
      <c r="X964">
        <v>6</v>
      </c>
      <c r="Y964" t="s">
        <v>21262</v>
      </c>
      <c r="Z964" t="s">
        <v>27819</v>
      </c>
      <c r="AA964">
        <v>0.53423636696563159</v>
      </c>
      <c r="AB964" t="str">
        <f>HYPERLINK("Melting_Curves/meltCurve_J3KNV1_ZNF292.pdf", "Melting_Curves/meltCurve_J3KNV1_ZNF292.pdf")</f>
        <v>Melting_Curves/meltCurve_J3KNV1_ZNF292.pdf</v>
      </c>
    </row>
    <row r="965" spans="1:28" x14ac:dyDescent="0.25">
      <c r="A965" t="s">
        <v>969</v>
      </c>
      <c r="B965">
        <v>0.995954080203443</v>
      </c>
      <c r="C965">
        <v>0.97967358913562697</v>
      </c>
      <c r="D965">
        <v>0.83682164803690795</v>
      </c>
      <c r="E965">
        <v>0.848569377819135</v>
      </c>
      <c r="F965">
        <v>0.97644611518118496</v>
      </c>
      <c r="G965">
        <v>0.55926993220401</v>
      </c>
      <c r="H965">
        <v>0.54018601962521295</v>
      </c>
      <c r="I965">
        <v>0.57515632347706802</v>
      </c>
      <c r="J965">
        <v>0.78700281173708797</v>
      </c>
      <c r="K965">
        <v>0.71537776396174901</v>
      </c>
      <c r="L965">
        <v>748.66962177785695</v>
      </c>
      <c r="M965">
        <v>14.590165927650601</v>
      </c>
      <c r="O965">
        <v>50.378235084938098</v>
      </c>
      <c r="P965">
        <v>-2.6392929516314799E-2</v>
      </c>
      <c r="Q965">
        <v>0.63551345228119804</v>
      </c>
      <c r="R965">
        <v>0.57948376502681698</v>
      </c>
      <c r="S965" t="s">
        <v>7771</v>
      </c>
      <c r="T965" t="s">
        <v>13610</v>
      </c>
      <c r="U965" t="s">
        <v>13610</v>
      </c>
      <c r="V965" t="s">
        <v>13610</v>
      </c>
      <c r="W965" t="s">
        <v>14548</v>
      </c>
      <c r="X965">
        <v>2</v>
      </c>
      <c r="Y965" t="s">
        <v>21263</v>
      </c>
      <c r="Z965" t="s">
        <v>27820</v>
      </c>
      <c r="AA965">
        <v>0.78168109255317375</v>
      </c>
      <c r="AB965" t="str">
        <f>HYPERLINK("Melting_Curves/meltCurve_J3KNX4_MUM1.pdf", "Melting_Curves/meltCurve_J3KNX4_MUM1.pdf")</f>
        <v>Melting_Curves/meltCurve_J3KNX4_MUM1.pdf</v>
      </c>
    </row>
    <row r="966" spans="1:28" x14ac:dyDescent="0.25">
      <c r="A966" t="s">
        <v>970</v>
      </c>
      <c r="B966">
        <v>0.995954080203443</v>
      </c>
      <c r="C966">
        <v>0.90417766947287703</v>
      </c>
      <c r="D966">
        <v>0.94058050083987199</v>
      </c>
      <c r="E966">
        <v>0.79175313355830401</v>
      </c>
      <c r="F966">
        <v>0.72161435510268301</v>
      </c>
      <c r="G966">
        <v>0.56057636403359601</v>
      </c>
      <c r="H966">
        <v>0.45096692594517701</v>
      </c>
      <c r="I966">
        <v>0.55022066590275998</v>
      </c>
      <c r="J966">
        <v>0.53693554711616898</v>
      </c>
      <c r="K966">
        <v>0.60324458660973002</v>
      </c>
      <c r="L966">
        <v>894.01307904980501</v>
      </c>
      <c r="M966">
        <v>17.6086890980338</v>
      </c>
      <c r="O966">
        <v>50.129895878994802</v>
      </c>
      <c r="P966">
        <v>-4.1657024205631298E-2</v>
      </c>
      <c r="Q966">
        <v>0.52565459039185203</v>
      </c>
      <c r="R966">
        <v>0.92889336479644202</v>
      </c>
      <c r="S966" t="s">
        <v>7772</v>
      </c>
      <c r="T966" t="s">
        <v>13610</v>
      </c>
      <c r="U966" t="s">
        <v>13610</v>
      </c>
      <c r="V966" t="s">
        <v>13610</v>
      </c>
      <c r="W966" t="s">
        <v>14549</v>
      </c>
      <c r="X966">
        <v>8</v>
      </c>
      <c r="Y966" t="s">
        <v>21264</v>
      </c>
      <c r="Z966" t="s">
        <v>27821</v>
      </c>
      <c r="AA966">
        <v>0.70430292209877121</v>
      </c>
      <c r="AB966" t="str">
        <f>HYPERLINK("Melting_Curves/meltCurve_J3KNZ9_FBRS.pdf", "Melting_Curves/meltCurve_J3KNZ9_FBRS.pdf")</f>
        <v>Melting_Curves/meltCurve_J3KNZ9_FBRS.pdf</v>
      </c>
    </row>
    <row r="967" spans="1:28" x14ac:dyDescent="0.25">
      <c r="A967" t="s">
        <v>971</v>
      </c>
      <c r="B967">
        <v>0.995954080203443</v>
      </c>
      <c r="C967">
        <v>0.90198740224326901</v>
      </c>
      <c r="D967">
        <v>1.2556481597686699</v>
      </c>
      <c r="E967">
        <v>0.91041713173828798</v>
      </c>
      <c r="F967">
        <v>1.22240775077941</v>
      </c>
      <c r="G967">
        <v>1.11241331772659</v>
      </c>
      <c r="H967">
        <v>1.1065503129771299</v>
      </c>
      <c r="I967">
        <v>1.43580891145957</v>
      </c>
      <c r="J967">
        <v>1.64765168361852</v>
      </c>
      <c r="K967">
        <v>1.6998645785703199</v>
      </c>
      <c r="L967">
        <v>4566.3404553240598</v>
      </c>
      <c r="M967">
        <v>73.528004354017</v>
      </c>
      <c r="O967">
        <v>62.057527309980102</v>
      </c>
      <c r="P967">
        <v>0.14810455143461501</v>
      </c>
      <c r="Q967">
        <v>1.5</v>
      </c>
      <c r="R967">
        <v>0.71630709955190397</v>
      </c>
      <c r="S967" t="s">
        <v>7773</v>
      </c>
      <c r="T967" t="s">
        <v>13610</v>
      </c>
      <c r="U967" t="s">
        <v>13610</v>
      </c>
      <c r="V967" t="s">
        <v>13610</v>
      </c>
      <c r="W967" t="s">
        <v>14550</v>
      </c>
      <c r="X967">
        <v>12</v>
      </c>
      <c r="Y967" t="s">
        <v>21265</v>
      </c>
      <c r="Z967" t="s">
        <v>27822</v>
      </c>
      <c r="AA967">
        <v>1.1309828277183711</v>
      </c>
      <c r="AB967" t="str">
        <f>HYPERLINK("Melting_Curves/meltCurve_J3KP19_SIPA1L1.pdf", "Melting_Curves/meltCurve_J3KP19_SIPA1L1.pdf")</f>
        <v>Melting_Curves/meltCurve_J3KP19_SIPA1L1.pdf</v>
      </c>
    </row>
    <row r="968" spans="1:28" x14ac:dyDescent="0.25">
      <c r="A968" t="s">
        <v>972</v>
      </c>
      <c r="B968">
        <v>0.995954080203443</v>
      </c>
      <c r="C968">
        <v>1.0160825137196701</v>
      </c>
      <c r="D968">
        <v>1.01051321851544</v>
      </c>
      <c r="E968">
        <v>0.87651979749597597</v>
      </c>
      <c r="F968">
        <v>0.34913431052946797</v>
      </c>
      <c r="G968">
        <v>0.12813228044677</v>
      </c>
      <c r="H968">
        <v>8.4434363591602196E-2</v>
      </c>
      <c r="I968">
        <v>6.9296859230523603E-2</v>
      </c>
      <c r="J968">
        <v>6.9854315207124901E-2</v>
      </c>
      <c r="K968">
        <v>6.0916791662962003E-2</v>
      </c>
      <c r="L968">
        <v>2352.7848542964098</v>
      </c>
      <c r="M968">
        <v>45.2365293481759</v>
      </c>
      <c r="N968">
        <v>52.2064071874428</v>
      </c>
      <c r="O968">
        <v>51.909393052606902</v>
      </c>
      <c r="P968">
        <v>-0.20087433797138399</v>
      </c>
      <c r="Q968">
        <v>7.7979510870059707E-2</v>
      </c>
      <c r="R968">
        <v>0.99885787024346895</v>
      </c>
      <c r="S968" t="s">
        <v>7774</v>
      </c>
      <c r="T968" t="s">
        <v>13610</v>
      </c>
      <c r="U968" t="s">
        <v>13610</v>
      </c>
      <c r="V968" t="s">
        <v>13610</v>
      </c>
      <c r="W968" t="s">
        <v>14551</v>
      </c>
      <c r="X968">
        <v>10</v>
      </c>
      <c r="Y968" t="s">
        <v>21266</v>
      </c>
      <c r="Z968" t="s">
        <v>27823</v>
      </c>
      <c r="AA968">
        <v>0.44970435890803728</v>
      </c>
      <c r="AB968" t="str">
        <f>HYPERLINK("Melting_Curves/meltCurve_J3KP22_PTPRA.pdf", "Melting_Curves/meltCurve_J3KP22_PTPRA.pdf")</f>
        <v>Melting_Curves/meltCurve_J3KP22_PTPRA.pdf</v>
      </c>
    </row>
    <row r="969" spans="1:28" x14ac:dyDescent="0.25">
      <c r="A969" t="s">
        <v>973</v>
      </c>
      <c r="B969">
        <v>0.995954080203443</v>
      </c>
      <c r="C969">
        <v>0.97203547776743104</v>
      </c>
      <c r="D969">
        <v>0.91302295234856301</v>
      </c>
      <c r="E969">
        <v>0.82315090704152705</v>
      </c>
      <c r="F969">
        <v>0.81369054767927895</v>
      </c>
      <c r="G969">
        <v>0.59713308379086505</v>
      </c>
      <c r="H969">
        <v>0.58262132479349804</v>
      </c>
      <c r="I969">
        <v>0.68904845057194497</v>
      </c>
      <c r="J969">
        <v>0.74465767082358003</v>
      </c>
      <c r="K969">
        <v>0.78584529406054504</v>
      </c>
      <c r="L969">
        <v>975.79043895007999</v>
      </c>
      <c r="M969">
        <v>19.857560232792199</v>
      </c>
      <c r="O969">
        <v>48.649291642593901</v>
      </c>
      <c r="P969">
        <v>-3.2040616006979897E-2</v>
      </c>
      <c r="Q969">
        <v>0.68602366060926401</v>
      </c>
      <c r="R969">
        <v>0.77233212585497701</v>
      </c>
      <c r="S969" t="s">
        <v>7775</v>
      </c>
      <c r="T969" t="s">
        <v>13610</v>
      </c>
      <c r="U969" t="s">
        <v>13610</v>
      </c>
      <c r="V969" t="s">
        <v>13610</v>
      </c>
      <c r="W969" t="s">
        <v>14552</v>
      </c>
      <c r="X969">
        <v>13</v>
      </c>
      <c r="Y969" t="s">
        <v>21267</v>
      </c>
      <c r="Z969" t="s">
        <v>27824</v>
      </c>
      <c r="AA969">
        <v>0.7861330576439991</v>
      </c>
      <c r="AB969" t="str">
        <f>HYPERLINK("Melting_Curves/meltCurve_J3KP30_DNTTIP2.pdf", "Melting_Curves/meltCurve_J3KP30_DNTTIP2.pdf")</f>
        <v>Melting_Curves/meltCurve_J3KP30_DNTTIP2.pdf</v>
      </c>
    </row>
    <row r="970" spans="1:28" x14ac:dyDescent="0.25">
      <c r="A970" t="s">
        <v>974</v>
      </c>
      <c r="B970">
        <v>0.995954080203443</v>
      </c>
      <c r="C970">
        <v>0.90226473948782204</v>
      </c>
      <c r="D970">
        <v>0.76994867955896096</v>
      </c>
      <c r="E970">
        <v>0.85107041073352996</v>
      </c>
      <c r="F970">
        <v>0.70898135829216802</v>
      </c>
      <c r="G970">
        <v>0.48361670327617401</v>
      </c>
      <c r="H970">
        <v>0.38740951189893402</v>
      </c>
      <c r="I970">
        <v>0.40657995352082998</v>
      </c>
      <c r="J970">
        <v>0.425357637233446</v>
      </c>
      <c r="K970">
        <v>0.427521645874121</v>
      </c>
      <c r="L970">
        <v>538.90354136394706</v>
      </c>
      <c r="M970">
        <v>10.264425604789601</v>
      </c>
      <c r="N970">
        <v>58.793709012602299</v>
      </c>
      <c r="O970">
        <v>50.626405647932302</v>
      </c>
      <c r="P970">
        <v>-3.3807931638990298E-2</v>
      </c>
      <c r="Q970">
        <v>0.33330106893557498</v>
      </c>
      <c r="R970">
        <v>0.92354904454807596</v>
      </c>
      <c r="S970" t="s">
        <v>7776</v>
      </c>
      <c r="T970" t="s">
        <v>13610</v>
      </c>
      <c r="U970" t="s">
        <v>13610</v>
      </c>
      <c r="V970" t="s">
        <v>13610</v>
      </c>
      <c r="W970" t="s">
        <v>14553</v>
      </c>
      <c r="X970">
        <v>33</v>
      </c>
      <c r="Y970" t="s">
        <v>21268</v>
      </c>
      <c r="Z970" t="s">
        <v>27825</v>
      </c>
      <c r="AA970">
        <v>0.63458258466226547</v>
      </c>
      <c r="AB970" t="str">
        <f>HYPERLINK("Melting_Curves/meltCurve_J3KP36_FAM21C.pdf", "Melting_Curves/meltCurve_J3KP36_FAM21C.pdf")</f>
        <v>Melting_Curves/meltCurve_J3KP36_FAM21C.pdf</v>
      </c>
    </row>
    <row r="971" spans="1:28" x14ac:dyDescent="0.25">
      <c r="A971" t="s">
        <v>975</v>
      </c>
      <c r="B971">
        <v>0.995954080203443</v>
      </c>
      <c r="C971">
        <v>1.0051888931969899</v>
      </c>
      <c r="D971">
        <v>0.73962596371279898</v>
      </c>
      <c r="E971">
        <v>0.78559507211825197</v>
      </c>
      <c r="F971">
        <v>0.476900560739766</v>
      </c>
      <c r="G971">
        <v>0.40417639205908801</v>
      </c>
      <c r="H971">
        <v>0.33667495540731801</v>
      </c>
      <c r="I971">
        <v>0.290809757645072</v>
      </c>
      <c r="J971">
        <v>0.15691268395036301</v>
      </c>
      <c r="K971">
        <v>0.43552905890906501</v>
      </c>
      <c r="L971">
        <v>716.87648338215001</v>
      </c>
      <c r="M971">
        <v>14.1331337492093</v>
      </c>
      <c r="N971">
        <v>53.709368540321499</v>
      </c>
      <c r="O971">
        <v>49.740003656628197</v>
      </c>
      <c r="P971">
        <v>-5.1711289022003899E-2</v>
      </c>
      <c r="Q971">
        <v>0.27212413713508599</v>
      </c>
      <c r="R971">
        <v>0.906347606788097</v>
      </c>
      <c r="S971" t="s">
        <v>7777</v>
      </c>
      <c r="T971" t="s">
        <v>13610</v>
      </c>
      <c r="U971" t="s">
        <v>13610</v>
      </c>
      <c r="V971" t="s">
        <v>13610</v>
      </c>
      <c r="W971" t="s">
        <v>14554</v>
      </c>
      <c r="X971">
        <v>1</v>
      </c>
      <c r="Y971" t="s">
        <v>21269</v>
      </c>
      <c r="Z971" t="s">
        <v>27826</v>
      </c>
      <c r="AA971">
        <v>0.5510203909092678</v>
      </c>
      <c r="AB971" t="str">
        <f>HYPERLINK("Melting_Curves/meltCurve_J3KP66_PROX1.pdf", "Melting_Curves/meltCurve_J3KP66_PROX1.pdf")</f>
        <v>Melting_Curves/meltCurve_J3KP66_PROX1.pdf</v>
      </c>
    </row>
    <row r="972" spans="1:28" x14ac:dyDescent="0.25">
      <c r="A972" t="s">
        <v>976</v>
      </c>
      <c r="B972">
        <v>0.995954080203443</v>
      </c>
      <c r="C972">
        <v>0.98519373437524105</v>
      </c>
      <c r="D972">
        <v>0.90025088361804295</v>
      </c>
      <c r="E972">
        <v>0.83600739867378804</v>
      </c>
      <c r="F972">
        <v>0.73986725426014299</v>
      </c>
      <c r="G972">
        <v>0.58402236244563899</v>
      </c>
      <c r="H972">
        <v>0.49419111532580701</v>
      </c>
      <c r="I972">
        <v>0.63043814656138997</v>
      </c>
      <c r="J972">
        <v>0.62507509921217597</v>
      </c>
      <c r="K972">
        <v>0.69704387839422499</v>
      </c>
      <c r="L972">
        <v>1035.5784742059</v>
      </c>
      <c r="M972">
        <v>20.582225086293899</v>
      </c>
      <c r="O972">
        <v>49.846477672416398</v>
      </c>
      <c r="P972">
        <v>-4.09920567742958E-2</v>
      </c>
      <c r="Q972">
        <v>0.602909739340728</v>
      </c>
      <c r="R972">
        <v>0.88781768705571795</v>
      </c>
      <c r="S972" t="s">
        <v>7778</v>
      </c>
      <c r="T972" t="s">
        <v>13610</v>
      </c>
      <c r="U972" t="s">
        <v>13610</v>
      </c>
      <c r="V972" t="s">
        <v>13610</v>
      </c>
      <c r="W972" t="s">
        <v>14555</v>
      </c>
      <c r="X972">
        <v>4</v>
      </c>
      <c r="Y972" t="s">
        <v>21270</v>
      </c>
      <c r="Z972" t="s">
        <v>27827</v>
      </c>
      <c r="AA972">
        <v>0.74465647183419459</v>
      </c>
      <c r="AB972" t="str">
        <f>HYPERLINK("Melting_Curves/meltCurve_J3KPK1_SYNJ1.pdf", "Melting_Curves/meltCurve_J3KPK1_SYNJ1.pdf")</f>
        <v>Melting_Curves/meltCurve_J3KPK1_SYNJ1.pdf</v>
      </c>
    </row>
    <row r="973" spans="1:28" x14ac:dyDescent="0.25">
      <c r="A973" t="s">
        <v>977</v>
      </c>
      <c r="B973">
        <v>0.995954080203443</v>
      </c>
      <c r="C973">
        <v>0.94932326564986902</v>
      </c>
      <c r="D973">
        <v>1.0207111474975601</v>
      </c>
      <c r="E973">
        <v>0.87425460475431704</v>
      </c>
      <c r="F973">
        <v>0.81534717602837403</v>
      </c>
      <c r="G973">
        <v>0.65007422964785599</v>
      </c>
      <c r="H973">
        <v>0.57354794332933901</v>
      </c>
      <c r="I973">
        <v>0.64823325019230604</v>
      </c>
      <c r="J973">
        <v>0.73830123825968696</v>
      </c>
      <c r="K973">
        <v>0.78878351199645502</v>
      </c>
      <c r="L973">
        <v>1541.3288529944</v>
      </c>
      <c r="M973">
        <v>29.9852028708099</v>
      </c>
      <c r="O973">
        <v>51.175980332938103</v>
      </c>
      <c r="P973">
        <v>-4.67502421970993E-2</v>
      </c>
      <c r="Q973">
        <v>0.68084606672542602</v>
      </c>
      <c r="R973">
        <v>0.83116031128054302</v>
      </c>
      <c r="S973" t="s">
        <v>7779</v>
      </c>
      <c r="T973" t="s">
        <v>13610</v>
      </c>
      <c r="U973" t="s">
        <v>13610</v>
      </c>
      <c r="V973" t="s">
        <v>13610</v>
      </c>
      <c r="W973" t="s">
        <v>14556</v>
      </c>
      <c r="X973">
        <v>14</v>
      </c>
      <c r="Y973" t="s">
        <v>21271</v>
      </c>
      <c r="Z973" t="s">
        <v>27828</v>
      </c>
      <c r="AA973">
        <v>0.80417817004864844</v>
      </c>
      <c r="AB973" t="str">
        <f>HYPERLINK("Melting_Curves/meltCurve_J3KPS2_FAM83H.pdf", "Melting_Curves/meltCurve_J3KPS2_FAM83H.pdf")</f>
        <v>Melting_Curves/meltCurve_J3KPS2_FAM83H.pdf</v>
      </c>
    </row>
    <row r="974" spans="1:28" x14ac:dyDescent="0.25">
      <c r="A974" t="s">
        <v>978</v>
      </c>
      <c r="B974">
        <v>0.995954080203443</v>
      </c>
      <c r="C974">
        <v>0.97352249674151503</v>
      </c>
      <c r="D974">
        <v>0.85503317347883601</v>
      </c>
      <c r="E974">
        <v>0.81607132718386399</v>
      </c>
      <c r="F974">
        <v>0.50399877806417803</v>
      </c>
      <c r="G974">
        <v>0.162490448688455</v>
      </c>
      <c r="H974">
        <v>9.9947049609172403E-2</v>
      </c>
      <c r="I974">
        <v>8.9677325464029803E-2</v>
      </c>
      <c r="J974">
        <v>0.11749188365779099</v>
      </c>
      <c r="K974">
        <v>9.4873846918864899E-2</v>
      </c>
      <c r="L974">
        <v>1294.3026823851301</v>
      </c>
      <c r="M974">
        <v>24.652825325719899</v>
      </c>
      <c r="N974">
        <v>52.894676710974203</v>
      </c>
      <c r="O974">
        <v>52.159396255161298</v>
      </c>
      <c r="P974">
        <v>-0.10826306464518699</v>
      </c>
      <c r="Q974">
        <v>8.3779535828051505E-2</v>
      </c>
      <c r="R974">
        <v>0.98782555588572296</v>
      </c>
      <c r="S974" t="s">
        <v>7780</v>
      </c>
      <c r="T974" t="s">
        <v>13610</v>
      </c>
      <c r="U974" t="s">
        <v>13610</v>
      </c>
      <c r="V974" t="s">
        <v>13610</v>
      </c>
      <c r="W974" t="s">
        <v>14557</v>
      </c>
      <c r="X974">
        <v>9</v>
      </c>
      <c r="Y974" t="s">
        <v>21272</v>
      </c>
      <c r="Z974" t="s">
        <v>27829</v>
      </c>
      <c r="AA974">
        <v>0.47420332861863812</v>
      </c>
      <c r="AB974" t="str">
        <f>HYPERLINK("Melting_Curves/meltCurve_J3KPT0_DPP8.pdf", "Melting_Curves/meltCurve_J3KPT0_DPP8.pdf")</f>
        <v>Melting_Curves/meltCurve_J3KPT0_DPP8.pdf</v>
      </c>
    </row>
    <row r="975" spans="1:28" x14ac:dyDescent="0.25">
      <c r="A975" t="s">
        <v>979</v>
      </c>
      <c r="B975">
        <v>0.995954080203443</v>
      </c>
      <c r="C975">
        <v>0.98476926660704101</v>
      </c>
      <c r="D975">
        <v>1.0316445616968799</v>
      </c>
      <c r="E975">
        <v>0.70181045112986096</v>
      </c>
      <c r="F975">
        <v>0.25794632821925301</v>
      </c>
      <c r="G975">
        <v>0.14720222181199299</v>
      </c>
      <c r="H975">
        <v>9.3877016814193096E-2</v>
      </c>
      <c r="I975">
        <v>9.0063714781071905E-2</v>
      </c>
      <c r="J975">
        <v>9.8618513251667997E-2</v>
      </c>
      <c r="K975">
        <v>9.4382590408796402E-2</v>
      </c>
      <c r="L975">
        <v>2014.9217966915801</v>
      </c>
      <c r="M975">
        <v>39.574563416658897</v>
      </c>
      <c r="N975">
        <v>51.208560272915797</v>
      </c>
      <c r="O975">
        <v>50.785091090236399</v>
      </c>
      <c r="P975">
        <v>-0.175016969840464</v>
      </c>
      <c r="Q975">
        <v>0.10162174934495601</v>
      </c>
      <c r="R975">
        <v>0.99778559082088703</v>
      </c>
      <c r="S975" t="s">
        <v>7781</v>
      </c>
      <c r="T975" t="s">
        <v>13610</v>
      </c>
      <c r="U975" t="s">
        <v>13610</v>
      </c>
      <c r="V975" t="s">
        <v>13610</v>
      </c>
      <c r="W975" t="s">
        <v>14558</v>
      </c>
      <c r="X975">
        <v>20</v>
      </c>
      <c r="Y975" t="s">
        <v>21273</v>
      </c>
      <c r="Z975" t="s">
        <v>27830</v>
      </c>
      <c r="AA975">
        <v>0.43169922910815223</v>
      </c>
      <c r="AB975" t="str">
        <f>HYPERLINK("Melting_Curves/meltCurve_J3KPV7_MPST.pdf", "Melting_Curves/meltCurve_J3KPV7_MPST.pdf")</f>
        <v>Melting_Curves/meltCurve_J3KPV7_MPST.pdf</v>
      </c>
    </row>
    <row r="976" spans="1:28" x14ac:dyDescent="0.25">
      <c r="A976" t="s">
        <v>980</v>
      </c>
      <c r="B976">
        <v>0.995954080203443</v>
      </c>
      <c r="C976">
        <v>0.88386315712019103</v>
      </c>
      <c r="D976">
        <v>0.69855968148257297</v>
      </c>
      <c r="E976">
        <v>0.96322937865827596</v>
      </c>
      <c r="F976">
        <v>0.68790387764303496</v>
      </c>
      <c r="G976">
        <v>0.31328294854579902</v>
      </c>
      <c r="H976">
        <v>8.4327003139950396E-2</v>
      </c>
      <c r="I976">
        <v>5.3055975834105297E-2</v>
      </c>
      <c r="J976">
        <v>5.3994722980361502E-2</v>
      </c>
      <c r="K976">
        <v>4.8453193752111198E-2</v>
      </c>
      <c r="L976">
        <v>1228.0956518851599</v>
      </c>
      <c r="M976">
        <v>22.417649408880798</v>
      </c>
      <c r="N976">
        <v>54.902457423534102</v>
      </c>
      <c r="O976">
        <v>54.352196327676602</v>
      </c>
      <c r="P976">
        <v>-0.100651247292493</v>
      </c>
      <c r="Q976">
        <v>2.38935607500473E-2</v>
      </c>
      <c r="R976">
        <v>0.93158900573944803</v>
      </c>
      <c r="S976" t="s">
        <v>7782</v>
      </c>
      <c r="T976" t="s">
        <v>13610</v>
      </c>
      <c r="U976" t="s">
        <v>13610</v>
      </c>
      <c r="V976" t="s">
        <v>13610</v>
      </c>
      <c r="W976" t="s">
        <v>14559</v>
      </c>
      <c r="X976">
        <v>8</v>
      </c>
      <c r="Y976" t="s">
        <v>21274</v>
      </c>
      <c r="Z976" t="s">
        <v>27831</v>
      </c>
      <c r="AA976">
        <v>0.51576559673501199</v>
      </c>
      <c r="AB976" t="str">
        <f>HYPERLINK("Melting_Curves/meltCurve_J3KQ34_COPS7B.pdf", "Melting_Curves/meltCurve_J3KQ34_COPS7B.pdf")</f>
        <v>Melting_Curves/meltCurve_J3KQ34_COPS7B.pdf</v>
      </c>
    </row>
    <row r="977" spans="1:28" x14ac:dyDescent="0.25">
      <c r="A977" t="s">
        <v>981</v>
      </c>
      <c r="B977">
        <v>0.995954080203443</v>
      </c>
      <c r="C977">
        <v>1.1089505709181999</v>
      </c>
      <c r="D977">
        <v>1.01055835976314</v>
      </c>
      <c r="E977">
        <v>0.90984441765662005</v>
      </c>
      <c r="F977">
        <v>0.96137473733415002</v>
      </c>
      <c r="G977">
        <v>0.73975712793961501</v>
      </c>
      <c r="H977">
        <v>0.647956062933018</v>
      </c>
      <c r="I977">
        <v>0.717697896156818</v>
      </c>
      <c r="J977">
        <v>0.87748155440231901</v>
      </c>
      <c r="K977">
        <v>0.79879294123132305</v>
      </c>
      <c r="L977">
        <v>9392.6360926780999</v>
      </c>
      <c r="M977">
        <v>175.55042843245599</v>
      </c>
      <c r="O977">
        <v>53.496975786451799</v>
      </c>
      <c r="P977">
        <v>-0.19989578651217399</v>
      </c>
      <c r="Q977">
        <v>0.75633621991197997</v>
      </c>
      <c r="R977">
        <v>0.745301138496126</v>
      </c>
      <c r="S977" t="s">
        <v>7783</v>
      </c>
      <c r="T977" t="s">
        <v>13610</v>
      </c>
      <c r="U977" t="s">
        <v>13610</v>
      </c>
      <c r="V977" t="s">
        <v>13610</v>
      </c>
      <c r="W977" t="s">
        <v>14560</v>
      </c>
      <c r="X977">
        <v>3</v>
      </c>
      <c r="Y977" t="s">
        <v>21275</v>
      </c>
      <c r="Z977" t="s">
        <v>27832</v>
      </c>
      <c r="AA977">
        <v>0.86606317175171454</v>
      </c>
      <c r="AB977" t="str">
        <f>HYPERLINK("Melting_Curves/meltCurve_J3KQD2_SENP2.pdf", "Melting_Curves/meltCurve_J3KQD2_SENP2.pdf")</f>
        <v>Melting_Curves/meltCurve_J3KQD2_SENP2.pdf</v>
      </c>
    </row>
    <row r="978" spans="1:28" x14ac:dyDescent="0.25">
      <c r="A978" t="s">
        <v>982</v>
      </c>
      <c r="B978">
        <v>0.995954080203443</v>
      </c>
      <c r="C978">
        <v>0.87208802037354005</v>
      </c>
      <c r="D978">
        <v>0.70807863434095597</v>
      </c>
      <c r="E978">
        <v>0.70081789596877597</v>
      </c>
      <c r="F978">
        <v>0.54007418787389305</v>
      </c>
      <c r="G978">
        <v>0.29808233945023099</v>
      </c>
      <c r="H978">
        <v>0.207621270186474</v>
      </c>
      <c r="I978">
        <v>0.21077630809280701</v>
      </c>
      <c r="J978">
        <v>0.220817108866115</v>
      </c>
      <c r="K978">
        <v>0.183342614756171</v>
      </c>
      <c r="L978">
        <v>515.58278062669899</v>
      </c>
      <c r="M978">
        <v>9.9980529853009106</v>
      </c>
      <c r="N978">
        <v>52.8046924219963</v>
      </c>
      <c r="O978">
        <v>49.632632558400303</v>
      </c>
      <c r="P978">
        <v>-4.5126798802349197E-2</v>
      </c>
      <c r="Q978">
        <v>0.10435676766485399</v>
      </c>
      <c r="R978">
        <v>0.96967867853876899</v>
      </c>
      <c r="S978" t="s">
        <v>7784</v>
      </c>
      <c r="T978" t="s">
        <v>13610</v>
      </c>
      <c r="U978" t="s">
        <v>13610</v>
      </c>
      <c r="V978" t="s">
        <v>13610</v>
      </c>
      <c r="W978" t="s">
        <v>14561</v>
      </c>
      <c r="X978">
        <v>2</v>
      </c>
      <c r="Y978" t="s">
        <v>21276</v>
      </c>
      <c r="Z978" t="s">
        <v>27833</v>
      </c>
      <c r="AA978">
        <v>0.48514866532054818</v>
      </c>
      <c r="AB978" t="str">
        <f>HYPERLINK("Melting_Curves/meltCurve_J3KQS2_CDC7.pdf", "Melting_Curves/meltCurve_J3KQS2_CDC7.pdf")</f>
        <v>Melting_Curves/meltCurve_J3KQS2_CDC7.pdf</v>
      </c>
    </row>
    <row r="979" spans="1:28" x14ac:dyDescent="0.25">
      <c r="A979" t="s">
        <v>983</v>
      </c>
      <c r="B979">
        <v>0.995954080203443</v>
      </c>
      <c r="C979">
        <v>0.88468200263425101</v>
      </c>
      <c r="D979">
        <v>0.74526146801303705</v>
      </c>
      <c r="E979">
        <v>0.74456168435817205</v>
      </c>
      <c r="F979">
        <v>0.55043347241267004</v>
      </c>
      <c r="G979">
        <v>0.49579893680802301</v>
      </c>
      <c r="H979">
        <v>0.27139004542975398</v>
      </c>
      <c r="I979">
        <v>0.150978987381405</v>
      </c>
      <c r="J979">
        <v>0.112645621008511</v>
      </c>
      <c r="K979">
        <v>0.127211931926966</v>
      </c>
      <c r="L979">
        <v>487.06054650731897</v>
      </c>
      <c r="M979">
        <v>8.9368514868115607</v>
      </c>
      <c r="N979">
        <v>54.500239440086801</v>
      </c>
      <c r="O979">
        <v>51.978659282335997</v>
      </c>
      <c r="P979">
        <v>-4.3015325029968701E-2</v>
      </c>
      <c r="Q979">
        <v>0</v>
      </c>
      <c r="R979">
        <v>0.97107731799005004</v>
      </c>
      <c r="S979" t="s">
        <v>7785</v>
      </c>
      <c r="T979" t="s">
        <v>13610</v>
      </c>
      <c r="U979" t="s">
        <v>13610</v>
      </c>
      <c r="V979" t="s">
        <v>13610</v>
      </c>
      <c r="W979" t="s">
        <v>14562</v>
      </c>
      <c r="X979">
        <v>12</v>
      </c>
      <c r="Y979" t="s">
        <v>21277</v>
      </c>
      <c r="Z979" t="s">
        <v>27834</v>
      </c>
      <c r="AA979">
        <v>0.51294294226792825</v>
      </c>
      <c r="AB979" t="str">
        <f>HYPERLINK("Melting_Curves/meltCurve_J3KQS6_BABAM1.pdf", "Melting_Curves/meltCurve_J3KQS6_BABAM1.pdf")</f>
        <v>Melting_Curves/meltCurve_J3KQS6_BABAM1.pdf</v>
      </c>
    </row>
    <row r="980" spans="1:28" x14ac:dyDescent="0.25">
      <c r="A980" t="s">
        <v>984</v>
      </c>
      <c r="B980">
        <v>0.995954080203443</v>
      </c>
      <c r="C980">
        <v>0.90737663430448001</v>
      </c>
      <c r="D980">
        <v>0.83556684949096205</v>
      </c>
      <c r="E980">
        <v>0.69069474847703805</v>
      </c>
      <c r="F980">
        <v>0.62890990820600401</v>
      </c>
      <c r="G980">
        <v>0.46608697247312703</v>
      </c>
      <c r="H980">
        <v>0.427461580513956</v>
      </c>
      <c r="I980">
        <v>0.52074360259327301</v>
      </c>
      <c r="J980">
        <v>0.61590683893567599</v>
      </c>
      <c r="K980">
        <v>0.61815166823677103</v>
      </c>
      <c r="L980">
        <v>851.58681426361102</v>
      </c>
      <c r="M980">
        <v>17.910988657291899</v>
      </c>
      <c r="O980">
        <v>46.964717731271399</v>
      </c>
      <c r="P980">
        <v>-4.4713931063463899E-2</v>
      </c>
      <c r="Q980">
        <v>0.53104307245712401</v>
      </c>
      <c r="R980">
        <v>0.88272879771556501</v>
      </c>
      <c r="S980" t="s">
        <v>7786</v>
      </c>
      <c r="T980" t="s">
        <v>13610</v>
      </c>
      <c r="U980" t="s">
        <v>13610</v>
      </c>
      <c r="V980" t="s">
        <v>13610</v>
      </c>
      <c r="W980" t="s">
        <v>14563</v>
      </c>
      <c r="X980">
        <v>4</v>
      </c>
      <c r="Y980" t="s">
        <v>21278</v>
      </c>
      <c r="Z980" t="s">
        <v>27835</v>
      </c>
      <c r="AA980">
        <v>0.65753311667557335</v>
      </c>
      <c r="AB980" t="str">
        <f>HYPERLINK("Melting_Curves/meltCurve_J3KR07_CRAMP1L.pdf", "Melting_Curves/meltCurve_J3KR07_CRAMP1L.pdf")</f>
        <v>Melting_Curves/meltCurve_J3KR07_CRAMP1L.pdf</v>
      </c>
    </row>
    <row r="981" spans="1:28" x14ac:dyDescent="0.25">
      <c r="A981" t="s">
        <v>985</v>
      </c>
      <c r="B981">
        <v>0.995954080203443</v>
      </c>
      <c r="C981">
        <v>1.04737461341905</v>
      </c>
      <c r="D981">
        <v>0.96479290475009205</v>
      </c>
      <c r="E981">
        <v>0.93975034772979804</v>
      </c>
      <c r="F981">
        <v>0.65445829843411096</v>
      </c>
      <c r="G981">
        <v>0.40925179895003699</v>
      </c>
      <c r="H981">
        <v>0.30462128245744502</v>
      </c>
      <c r="I981">
        <v>0.33688479512009301</v>
      </c>
      <c r="J981">
        <v>0.49499006424159703</v>
      </c>
      <c r="K981">
        <v>0.39073259893212903</v>
      </c>
      <c r="L981">
        <v>2236.8540258934499</v>
      </c>
      <c r="M981">
        <v>42.455468245322201</v>
      </c>
      <c r="N981">
        <v>54.544512745724901</v>
      </c>
      <c r="O981">
        <v>52.570574173266799</v>
      </c>
      <c r="P981">
        <v>-0.124728915846564</v>
      </c>
      <c r="Q981">
        <v>0.38221762876326298</v>
      </c>
      <c r="R981">
        <v>0.970237001221677</v>
      </c>
      <c r="S981" t="s">
        <v>7787</v>
      </c>
      <c r="T981" t="s">
        <v>13610</v>
      </c>
      <c r="U981" t="s">
        <v>13610</v>
      </c>
      <c r="V981" t="s">
        <v>13610</v>
      </c>
      <c r="W981" t="s">
        <v>14564</v>
      </c>
      <c r="X981">
        <v>1</v>
      </c>
      <c r="Y981" t="s">
        <v>21279</v>
      </c>
      <c r="Z981" t="s">
        <v>27836</v>
      </c>
      <c r="AA981">
        <v>0.6454735752271622</v>
      </c>
      <c r="AB981" t="str">
        <f>HYPERLINK("Melting_Curves/meltCurve_J3KR62_ZNF525.pdf", "Melting_Curves/meltCurve_J3KR62_ZNF525.pdf")</f>
        <v>Melting_Curves/meltCurve_J3KR62_ZNF525.pdf</v>
      </c>
    </row>
    <row r="982" spans="1:28" x14ac:dyDescent="0.25">
      <c r="A982" t="s">
        <v>986</v>
      </c>
      <c r="B982">
        <v>0.995954080203443</v>
      </c>
      <c r="C982">
        <v>0.91864959245592404</v>
      </c>
      <c r="D982">
        <v>0.86323992047957099</v>
      </c>
      <c r="E982">
        <v>0.73826489209554902</v>
      </c>
      <c r="F982">
        <v>0.640360309711554</v>
      </c>
      <c r="G982">
        <v>0.39971284831217102</v>
      </c>
      <c r="H982">
        <v>0.38411953564682</v>
      </c>
      <c r="I982">
        <v>0.42856374899750199</v>
      </c>
      <c r="J982">
        <v>0.50265571896454597</v>
      </c>
      <c r="K982">
        <v>0.53123210823441502</v>
      </c>
      <c r="L982">
        <v>861.516016834276</v>
      </c>
      <c r="M982">
        <v>17.317451709913101</v>
      </c>
      <c r="N982">
        <v>56.786242744228701</v>
      </c>
      <c r="O982">
        <v>49.099280585099301</v>
      </c>
      <c r="P982">
        <v>-4.9245562301932999E-2</v>
      </c>
      <c r="Q982">
        <v>0.441538615715315</v>
      </c>
      <c r="R982">
        <v>0.92687834981858896</v>
      </c>
      <c r="S982" t="s">
        <v>7788</v>
      </c>
      <c r="T982" t="s">
        <v>13610</v>
      </c>
      <c r="U982" t="s">
        <v>13610</v>
      </c>
      <c r="V982" t="s">
        <v>13610</v>
      </c>
      <c r="W982" t="s">
        <v>14565</v>
      </c>
      <c r="X982">
        <v>1</v>
      </c>
      <c r="Y982" t="s">
        <v>21280</v>
      </c>
      <c r="Z982" t="s">
        <v>27837</v>
      </c>
      <c r="AA982">
        <v>0.63329863748260462</v>
      </c>
      <c r="AB982" t="str">
        <f>HYPERLINK("Melting_Curves/meltCurve_J3KR63_ONECUT2.pdf", "Melting_Curves/meltCurve_J3KR63_ONECUT2.pdf")</f>
        <v>Melting_Curves/meltCurve_J3KR63_ONECUT2.pdf</v>
      </c>
    </row>
    <row r="983" spans="1:28" x14ac:dyDescent="0.25">
      <c r="A983" t="s">
        <v>987</v>
      </c>
      <c r="B983">
        <v>0.995954080203443</v>
      </c>
      <c r="C983">
        <v>0.81042547709028101</v>
      </c>
      <c r="D983">
        <v>0.66545638525253703</v>
      </c>
      <c r="E983">
        <v>0.60941157891000397</v>
      </c>
      <c r="F983">
        <v>0.55837704398396304</v>
      </c>
      <c r="G983">
        <v>0.41939430560351698</v>
      </c>
      <c r="H983">
        <v>0.38314440068086197</v>
      </c>
      <c r="I983">
        <v>0.42584064859667697</v>
      </c>
      <c r="J983">
        <v>0.49821300168135402</v>
      </c>
      <c r="K983">
        <v>0.46110303673497499</v>
      </c>
      <c r="L983">
        <v>646.02097929158197</v>
      </c>
      <c r="M983">
        <v>14.1369650533941</v>
      </c>
      <c r="N983">
        <v>53.496030964080397</v>
      </c>
      <c r="O983">
        <v>44.812060173771698</v>
      </c>
      <c r="P983">
        <v>-4.4461156943007098E-2</v>
      </c>
      <c r="Q983">
        <v>0.436331023557817</v>
      </c>
      <c r="R983">
        <v>0.93588102889478897</v>
      </c>
      <c r="S983" t="s">
        <v>7789</v>
      </c>
      <c r="T983" t="s">
        <v>13610</v>
      </c>
      <c r="U983" t="s">
        <v>13610</v>
      </c>
      <c r="V983" t="s">
        <v>13610</v>
      </c>
      <c r="W983" t="s">
        <v>14566</v>
      </c>
      <c r="X983">
        <v>2</v>
      </c>
      <c r="Y983" t="s">
        <v>21281</v>
      </c>
      <c r="Z983" t="s">
        <v>27838</v>
      </c>
      <c r="AA983">
        <v>0.5624917559391811</v>
      </c>
      <c r="AB983" t="str">
        <f>HYPERLINK("Melting_Curves/meltCurve_J3KRN4_MAP3K3.pdf", "Melting_Curves/meltCurve_J3KRN4_MAP3K3.pdf")</f>
        <v>Melting_Curves/meltCurve_J3KRN4_MAP3K3.pdf</v>
      </c>
    </row>
    <row r="984" spans="1:28" x14ac:dyDescent="0.25">
      <c r="A984" t="s">
        <v>988</v>
      </c>
      <c r="B984">
        <v>0.995954080203443</v>
      </c>
      <c r="C984">
        <v>0.95043910265670395</v>
      </c>
      <c r="D984">
        <v>0.90914043211871798</v>
      </c>
      <c r="E984">
        <v>0.78604996579327202</v>
      </c>
      <c r="F984">
        <v>0.71076356630847703</v>
      </c>
      <c r="G984">
        <v>0.52706221511002505</v>
      </c>
      <c r="H984">
        <v>0.49602328342095198</v>
      </c>
      <c r="I984">
        <v>0.53411963454275502</v>
      </c>
      <c r="J984">
        <v>0.63588659143691995</v>
      </c>
      <c r="K984">
        <v>0.63205555574471195</v>
      </c>
      <c r="L984">
        <v>979.26067803760498</v>
      </c>
      <c r="M984">
        <v>19.640375186043901</v>
      </c>
      <c r="O984">
        <v>49.351318804600901</v>
      </c>
      <c r="P984">
        <v>-4.35576567945214E-2</v>
      </c>
      <c r="Q984">
        <v>0.56221767870445205</v>
      </c>
      <c r="R984">
        <v>0.91744312785818705</v>
      </c>
      <c r="S984" t="s">
        <v>7790</v>
      </c>
      <c r="T984" t="s">
        <v>13610</v>
      </c>
      <c r="U984" t="s">
        <v>13610</v>
      </c>
      <c r="V984" t="s">
        <v>13610</v>
      </c>
      <c r="W984" t="s">
        <v>14567</v>
      </c>
      <c r="X984">
        <v>3</v>
      </c>
      <c r="Y984" t="s">
        <v>21282</v>
      </c>
      <c r="Z984" t="s">
        <v>27839</v>
      </c>
      <c r="AA984">
        <v>0.7124144481095539</v>
      </c>
      <c r="AB984" t="str">
        <f>HYPERLINK("Melting_Curves/meltCurve_J3KRP6_SS18.pdf", "Melting_Curves/meltCurve_J3KRP6_SS18.pdf")</f>
        <v>Melting_Curves/meltCurve_J3KRP6_SS18.pdf</v>
      </c>
    </row>
    <row r="985" spans="1:28" x14ac:dyDescent="0.25">
      <c r="A985" t="s">
        <v>989</v>
      </c>
      <c r="B985">
        <v>0.995954080203443</v>
      </c>
      <c r="C985">
        <v>0.99491725793699204</v>
      </c>
      <c r="D985">
        <v>0.81767395260398201</v>
      </c>
      <c r="E985">
        <v>0.57823266570170095</v>
      </c>
      <c r="F985">
        <v>0.25026789109051401</v>
      </c>
      <c r="G985">
        <v>0.103652318794151</v>
      </c>
      <c r="H985">
        <v>5.8097414375573302E-2</v>
      </c>
      <c r="I985">
        <v>4.5704104633168402E-2</v>
      </c>
      <c r="J985">
        <v>3.8108971963713698E-2</v>
      </c>
      <c r="K985">
        <v>4.5691456876175103E-2</v>
      </c>
      <c r="L985">
        <v>1009.65950270929</v>
      </c>
      <c r="M985">
        <v>20.1175729217534</v>
      </c>
      <c r="N985">
        <v>50.3501751401311</v>
      </c>
      <c r="O985">
        <v>49.699928072775101</v>
      </c>
      <c r="P985">
        <v>-9.8022378460415296E-2</v>
      </c>
      <c r="Q985">
        <v>3.1384135370361201E-2</v>
      </c>
      <c r="R985">
        <v>0.99605559004723498</v>
      </c>
      <c r="S985" t="s">
        <v>7791</v>
      </c>
      <c r="T985" t="s">
        <v>13610</v>
      </c>
      <c r="U985" t="s">
        <v>13610</v>
      </c>
      <c r="V985" t="s">
        <v>13610</v>
      </c>
      <c r="W985" t="s">
        <v>14568</v>
      </c>
      <c r="X985">
        <v>5</v>
      </c>
      <c r="Y985" t="s">
        <v>21283</v>
      </c>
      <c r="Z985" t="s">
        <v>27840</v>
      </c>
      <c r="AA985">
        <v>0.37364733287033608</v>
      </c>
      <c r="AB985" t="str">
        <f>HYPERLINK("Melting_Curves/meltCurve_J3KSB8_MIF4GD.pdf", "Melting_Curves/meltCurve_J3KSB8_MIF4GD.pdf")</f>
        <v>Melting_Curves/meltCurve_J3KSB8_MIF4GD.pdf</v>
      </c>
    </row>
    <row r="986" spans="1:28" x14ac:dyDescent="0.25">
      <c r="A986" t="s">
        <v>990</v>
      </c>
      <c r="B986">
        <v>0.995954080203443</v>
      </c>
      <c r="C986">
        <v>0.85878472487355295</v>
      </c>
      <c r="D986">
        <v>0.55226314972435198</v>
      </c>
      <c r="E986">
        <v>0.52545074855291996</v>
      </c>
      <c r="F986">
        <v>0.22117930539848699</v>
      </c>
      <c r="G986">
        <v>9.0071437047608297E-2</v>
      </c>
      <c r="H986">
        <v>6.4764377959037694E-2</v>
      </c>
      <c r="I986">
        <v>5.7615887426779103E-2</v>
      </c>
      <c r="J986">
        <v>5.7756839909472502E-2</v>
      </c>
      <c r="K986">
        <v>6.3335093305143905E-2</v>
      </c>
      <c r="L986">
        <v>632.80519582200395</v>
      </c>
      <c r="M986">
        <v>13.1165863870055</v>
      </c>
      <c r="N986">
        <v>48.409037043359902</v>
      </c>
      <c r="O986">
        <v>47.164592815982402</v>
      </c>
      <c r="P986">
        <v>-6.8022863595081196E-2</v>
      </c>
      <c r="Q986">
        <v>2.1781072650177102E-2</v>
      </c>
      <c r="R986">
        <v>0.96946711015382903</v>
      </c>
      <c r="S986" t="s">
        <v>7792</v>
      </c>
      <c r="T986" t="s">
        <v>13610</v>
      </c>
      <c r="U986" t="s">
        <v>13610</v>
      </c>
      <c r="V986" t="s">
        <v>13610</v>
      </c>
      <c r="W986" t="s">
        <v>14569</v>
      </c>
      <c r="X986">
        <v>1</v>
      </c>
      <c r="Y986" t="s">
        <v>21284</v>
      </c>
      <c r="Z986" t="s">
        <v>27841</v>
      </c>
      <c r="AA986">
        <v>0.32273680512574798</v>
      </c>
      <c r="AB986" t="str">
        <f>HYPERLINK("Melting_Curves/meltCurve_J3KSK6_MICAL3.pdf", "Melting_Curves/meltCurve_J3KSK6_MICAL3.pdf")</f>
        <v>Melting_Curves/meltCurve_J3KSK6_MICAL3.pdf</v>
      </c>
    </row>
    <row r="987" spans="1:28" x14ac:dyDescent="0.25">
      <c r="A987" t="s">
        <v>991</v>
      </c>
      <c r="B987">
        <v>0.995954080203443</v>
      </c>
      <c r="C987">
        <v>0.84275301375095801</v>
      </c>
      <c r="D987">
        <v>0.730937124295719</v>
      </c>
      <c r="E987">
        <v>0.59623496520267405</v>
      </c>
      <c r="F987">
        <v>0.41071362499241199</v>
      </c>
      <c r="G987">
        <v>0.28512510741957903</v>
      </c>
      <c r="H987">
        <v>0.23323062202096501</v>
      </c>
      <c r="I987">
        <v>0.22561541193272899</v>
      </c>
      <c r="J987">
        <v>0.28577285847469802</v>
      </c>
      <c r="K987">
        <v>0.25701067308895698</v>
      </c>
      <c r="L987">
        <v>638.51053279786902</v>
      </c>
      <c r="M987">
        <v>13.1302136269935</v>
      </c>
      <c r="N987">
        <v>50.860733291550197</v>
      </c>
      <c r="O987">
        <v>47.542609460702998</v>
      </c>
      <c r="P987">
        <v>-5.39355277626875E-2</v>
      </c>
      <c r="Q987">
        <v>0.218961668960752</v>
      </c>
      <c r="R987">
        <v>0.98268638647766204</v>
      </c>
      <c r="S987" t="s">
        <v>7793</v>
      </c>
      <c r="T987" t="s">
        <v>13610</v>
      </c>
      <c r="U987" t="s">
        <v>13610</v>
      </c>
      <c r="V987" t="s">
        <v>13610</v>
      </c>
      <c r="W987" t="s">
        <v>14570</v>
      </c>
      <c r="X987">
        <v>5</v>
      </c>
      <c r="Y987" t="s">
        <v>21285</v>
      </c>
      <c r="Z987" t="s">
        <v>27842</v>
      </c>
      <c r="AA987">
        <v>0.46867753122326761</v>
      </c>
      <c r="AB987" t="str">
        <f>HYPERLINK("Melting_Curves/meltCurve_J3KSW2_POLI.pdf", "Melting_Curves/meltCurve_J3KSW2_POLI.pdf")</f>
        <v>Melting_Curves/meltCurve_J3KSW2_POLI.pdf</v>
      </c>
    </row>
    <row r="988" spans="1:28" x14ac:dyDescent="0.25">
      <c r="A988" t="s">
        <v>992</v>
      </c>
      <c r="B988">
        <v>0.995954080203443</v>
      </c>
      <c r="C988">
        <v>0.98335428993449703</v>
      </c>
      <c r="D988">
        <v>0.91536385616906102</v>
      </c>
      <c r="E988">
        <v>0.86346844627780694</v>
      </c>
      <c r="F988">
        <v>0.85112479374170802</v>
      </c>
      <c r="G988">
        <v>0.65074485373437796</v>
      </c>
      <c r="H988">
        <v>0.640565093650733</v>
      </c>
      <c r="I988">
        <v>0.75141512409037103</v>
      </c>
      <c r="J988">
        <v>0.98540951007081301</v>
      </c>
      <c r="K988">
        <v>0.88279409804599496</v>
      </c>
      <c r="L988">
        <v>1082.16946997228</v>
      </c>
      <c r="M988">
        <v>22.8156441458102</v>
      </c>
      <c r="O988">
        <v>47.071144774643699</v>
      </c>
      <c r="P988">
        <v>-2.5239751502354101E-2</v>
      </c>
      <c r="Q988">
        <v>0.79171458387562899</v>
      </c>
      <c r="R988">
        <v>0.39649218019681698</v>
      </c>
      <c r="S988" t="s">
        <v>7794</v>
      </c>
      <c r="T988" t="s">
        <v>13610</v>
      </c>
      <c r="U988" t="s">
        <v>13610</v>
      </c>
      <c r="V988" t="s">
        <v>13610</v>
      </c>
      <c r="W988" t="s">
        <v>14571</v>
      </c>
      <c r="X988">
        <v>6</v>
      </c>
      <c r="Y988" t="s">
        <v>21286</v>
      </c>
      <c r="Z988" t="s">
        <v>27843</v>
      </c>
      <c r="AA988">
        <v>0.8455610977921314</v>
      </c>
      <c r="AB988" t="str">
        <f>HYPERLINK("Melting_Curves/meltCurve_J3KT51_HN1.pdf", "Melting_Curves/meltCurve_J3KT51_HN1.pdf")</f>
        <v>Melting_Curves/meltCurve_J3KT51_HN1.pdf</v>
      </c>
    </row>
    <row r="989" spans="1:28" x14ac:dyDescent="0.25">
      <c r="A989" t="s">
        <v>993</v>
      </c>
      <c r="B989">
        <v>0.995954080203443</v>
      </c>
      <c r="C989">
        <v>0.98261401482044197</v>
      </c>
      <c r="D989">
        <v>1.0429831828140199</v>
      </c>
      <c r="E989">
        <v>0.893539543176742</v>
      </c>
      <c r="F989">
        <v>0.64587567748229302</v>
      </c>
      <c r="G989">
        <v>0.15562413466801001</v>
      </c>
      <c r="H989">
        <v>8.1368645613133006E-2</v>
      </c>
      <c r="I989">
        <v>6.2939161030590801E-2</v>
      </c>
      <c r="J989">
        <v>7.6542869629562194E-2</v>
      </c>
      <c r="K989">
        <v>6.49096030299572E-2</v>
      </c>
      <c r="L989">
        <v>1837.8257906106101</v>
      </c>
      <c r="M989">
        <v>34.257061717083701</v>
      </c>
      <c r="N989">
        <v>53.861864048339797</v>
      </c>
      <c r="O989">
        <v>53.466259132465503</v>
      </c>
      <c r="P989">
        <v>-0.149999402874849</v>
      </c>
      <c r="Q989">
        <v>6.3565191253117201E-2</v>
      </c>
      <c r="R989">
        <v>0.99750657569290802</v>
      </c>
      <c r="S989" t="s">
        <v>7795</v>
      </c>
      <c r="T989" t="s">
        <v>13610</v>
      </c>
      <c r="U989" t="s">
        <v>13610</v>
      </c>
      <c r="V989" t="s">
        <v>13610</v>
      </c>
      <c r="W989" t="s">
        <v>14572</v>
      </c>
      <c r="X989">
        <v>12</v>
      </c>
      <c r="Y989" t="s">
        <v>21287</v>
      </c>
      <c r="Z989" t="s">
        <v>27844</v>
      </c>
      <c r="AA989">
        <v>0.49430455934886308</v>
      </c>
      <c r="AB989" t="str">
        <f>HYPERLINK("Melting_Curves/meltCurve_J3KTF8_ARHGDIA.pdf", "Melting_Curves/meltCurve_J3KTF8_ARHGDIA.pdf")</f>
        <v>Melting_Curves/meltCurve_J3KTF8_ARHGDIA.pdf</v>
      </c>
    </row>
    <row r="990" spans="1:28" x14ac:dyDescent="0.25">
      <c r="A990" t="s">
        <v>994</v>
      </c>
      <c r="B990">
        <v>0.995954080203443</v>
      </c>
      <c r="C990">
        <v>0.82137708212756699</v>
      </c>
      <c r="D990">
        <v>0.57881020118983495</v>
      </c>
      <c r="E990">
        <v>0.46864866988658799</v>
      </c>
      <c r="F990">
        <v>0.365821831378772</v>
      </c>
      <c r="G990">
        <v>0.255782646134184</v>
      </c>
      <c r="H990">
        <v>0.20433379034042901</v>
      </c>
      <c r="I990">
        <v>0.24486467114136501</v>
      </c>
      <c r="J990">
        <v>0.30599856471280101</v>
      </c>
      <c r="K990">
        <v>0.29723251196188699</v>
      </c>
      <c r="L990">
        <v>750.608698986891</v>
      </c>
      <c r="M990">
        <v>16.324366870498899</v>
      </c>
      <c r="N990">
        <v>48.142655472155703</v>
      </c>
      <c r="O990">
        <v>45.307476781775897</v>
      </c>
      <c r="P990">
        <v>-6.6681138590547501E-2</v>
      </c>
      <c r="Q990">
        <v>0.259772783415742</v>
      </c>
      <c r="R990">
        <v>0.97137802961715203</v>
      </c>
      <c r="S990" t="s">
        <v>7796</v>
      </c>
      <c r="T990" t="s">
        <v>13610</v>
      </c>
      <c r="U990" t="s">
        <v>13610</v>
      </c>
      <c r="V990" t="s">
        <v>13610</v>
      </c>
      <c r="W990" t="s">
        <v>14573</v>
      </c>
      <c r="X990">
        <v>3</v>
      </c>
      <c r="Y990" t="s">
        <v>21288</v>
      </c>
      <c r="Z990" t="s">
        <v>27845</v>
      </c>
      <c r="AA990">
        <v>0.42541109090414381</v>
      </c>
      <c r="AB990" t="str">
        <f>HYPERLINK("Melting_Curves/meltCurve_J3QK86_BAZ2A.pdf", "Melting_Curves/meltCurve_J3QK86_BAZ2A.pdf")</f>
        <v>Melting_Curves/meltCurve_J3QK86_BAZ2A.pdf</v>
      </c>
    </row>
    <row r="991" spans="1:28" x14ac:dyDescent="0.25">
      <c r="A991" t="s">
        <v>995</v>
      </c>
      <c r="B991">
        <v>0.995954080203443</v>
      </c>
      <c r="C991">
        <v>0.93543070037759202</v>
      </c>
      <c r="D991">
        <v>0.71079469707276599</v>
      </c>
      <c r="E991">
        <v>0.43447961256859902</v>
      </c>
      <c r="F991">
        <v>0.15333948894174401</v>
      </c>
      <c r="G991">
        <v>8.6250599137241493E-2</v>
      </c>
      <c r="H991">
        <v>6.3362088693511703E-2</v>
      </c>
      <c r="I991">
        <v>6.3649225252660896E-2</v>
      </c>
      <c r="J991">
        <v>8.1160393111068499E-2</v>
      </c>
      <c r="K991">
        <v>5.8215654699862299E-2</v>
      </c>
      <c r="L991">
        <v>937.51324949420905</v>
      </c>
      <c r="M991">
        <v>19.3872793081526</v>
      </c>
      <c r="N991">
        <v>48.635806890589798</v>
      </c>
      <c r="O991">
        <v>47.851459099526998</v>
      </c>
      <c r="P991">
        <v>-9.5967763170374795E-2</v>
      </c>
      <c r="Q991">
        <v>5.2568787315863202E-2</v>
      </c>
      <c r="R991">
        <v>0.994564490389925</v>
      </c>
      <c r="S991" t="s">
        <v>7797</v>
      </c>
      <c r="T991" t="s">
        <v>13610</v>
      </c>
      <c r="U991" t="s">
        <v>13610</v>
      </c>
      <c r="V991" t="s">
        <v>13610</v>
      </c>
      <c r="W991" t="s">
        <v>14574</v>
      </c>
      <c r="X991">
        <v>6</v>
      </c>
      <c r="Y991" t="s">
        <v>21289</v>
      </c>
      <c r="Z991" t="s">
        <v>27846</v>
      </c>
      <c r="AA991">
        <v>0.33076950780117398</v>
      </c>
      <c r="AB991" t="str">
        <f>HYPERLINK("Melting_Curves/meltCurve_J3QL14_ATP6V0D1.pdf", "Melting_Curves/meltCurve_J3QL14_ATP6V0D1.pdf")</f>
        <v>Melting_Curves/meltCurve_J3QL14_ATP6V0D1.pdf</v>
      </c>
    </row>
    <row r="992" spans="1:28" x14ac:dyDescent="0.25">
      <c r="A992" t="s">
        <v>996</v>
      </c>
      <c r="B992">
        <v>0.995954080203443</v>
      </c>
      <c r="C992">
        <v>0.80482221190645897</v>
      </c>
      <c r="D992">
        <v>0.608448971581385</v>
      </c>
      <c r="E992">
        <v>0.501685162695507</v>
      </c>
      <c r="F992">
        <v>0.30999972110455898</v>
      </c>
      <c r="G992">
        <v>0.15442074606122899</v>
      </c>
      <c r="H992">
        <v>0.10933536579781999</v>
      </c>
      <c r="I992">
        <v>0.120090282334157</v>
      </c>
      <c r="J992">
        <v>0.116535380052481</v>
      </c>
      <c r="K992">
        <v>0.10003000910512801</v>
      </c>
      <c r="L992">
        <v>582.90825832687096</v>
      </c>
      <c r="M992">
        <v>12.092137356138799</v>
      </c>
      <c r="N992">
        <v>48.802336884819603</v>
      </c>
      <c r="O992">
        <v>46.943977367130103</v>
      </c>
      <c r="P992">
        <v>-5.9985005539458097E-2</v>
      </c>
      <c r="Q992">
        <v>6.8725091274193406E-2</v>
      </c>
      <c r="R992">
        <v>0.98376791597637103</v>
      </c>
      <c r="S992" t="s">
        <v>7798</v>
      </c>
      <c r="T992" t="s">
        <v>13610</v>
      </c>
      <c r="U992" t="s">
        <v>13610</v>
      </c>
      <c r="V992" t="s">
        <v>13610</v>
      </c>
      <c r="W992" t="s">
        <v>14575</v>
      </c>
      <c r="X992">
        <v>2</v>
      </c>
      <c r="Y992" t="s">
        <v>21290</v>
      </c>
      <c r="Z992" t="s">
        <v>27847</v>
      </c>
      <c r="AA992">
        <v>0.35892337853069828</v>
      </c>
      <c r="AB992" t="str">
        <f>HYPERLINK("Melting_Curves/meltCurve_J3QL56_SCO1.pdf", "Melting_Curves/meltCurve_J3QL56_SCO1.pdf")</f>
        <v>Melting_Curves/meltCurve_J3QL56_SCO1.pdf</v>
      </c>
    </row>
    <row r="993" spans="1:28" x14ac:dyDescent="0.25">
      <c r="A993" t="s">
        <v>997</v>
      </c>
      <c r="B993">
        <v>0.995954080203443</v>
      </c>
      <c r="C993">
        <v>0.98198933100413099</v>
      </c>
      <c r="D993">
        <v>0.93893384394214896</v>
      </c>
      <c r="E993">
        <v>0.92644183847533601</v>
      </c>
      <c r="F993">
        <v>0.67008126603285401</v>
      </c>
      <c r="G993">
        <v>0.45400191792748401</v>
      </c>
      <c r="H993">
        <v>0.385009974561766</v>
      </c>
      <c r="I993">
        <v>0.44694685656246202</v>
      </c>
      <c r="J993">
        <v>0.50603070523628901</v>
      </c>
      <c r="K993">
        <v>0.503125693994394</v>
      </c>
      <c r="L993">
        <v>2167.5952704464999</v>
      </c>
      <c r="M993">
        <v>41.3880012281764</v>
      </c>
      <c r="N993">
        <v>55.636193862938001</v>
      </c>
      <c r="O993">
        <v>52.250737569846201</v>
      </c>
      <c r="P993">
        <v>-0.107748707259563</v>
      </c>
      <c r="Q993">
        <v>0.45588690103664498</v>
      </c>
      <c r="R993">
        <v>0.97480676210219797</v>
      </c>
      <c r="S993" t="s">
        <v>7799</v>
      </c>
      <c r="T993" t="s">
        <v>13610</v>
      </c>
      <c r="U993" t="s">
        <v>13610</v>
      </c>
      <c r="V993" t="s">
        <v>13610</v>
      </c>
      <c r="W993" t="s">
        <v>14576</v>
      </c>
      <c r="X993">
        <v>8</v>
      </c>
      <c r="Y993" t="s">
        <v>21291</v>
      </c>
      <c r="Z993" t="s">
        <v>27848</v>
      </c>
      <c r="AA993">
        <v>0.68212720728692366</v>
      </c>
      <c r="AB993" t="str">
        <f>HYPERLINK("Melting_Curves/meltCurve_J3QLD9_FLOT2.pdf", "Melting_Curves/meltCurve_J3QLD9_FLOT2.pdf")</f>
        <v>Melting_Curves/meltCurve_J3QLD9_FLOT2.pdf</v>
      </c>
    </row>
    <row r="994" spans="1:28" x14ac:dyDescent="0.25">
      <c r="A994" t="s">
        <v>998</v>
      </c>
      <c r="B994">
        <v>0.995954080203443</v>
      </c>
      <c r="C994">
        <v>0.99900499847403301</v>
      </c>
      <c r="D994">
        <v>0.899768968192876</v>
      </c>
      <c r="E994">
        <v>0.84357217526663597</v>
      </c>
      <c r="F994">
        <v>0.205432667010324</v>
      </c>
      <c r="G994">
        <v>0.12934890709364799</v>
      </c>
      <c r="H994">
        <v>8.7197452960007305E-2</v>
      </c>
      <c r="I994">
        <v>6.9211909152770798E-2</v>
      </c>
      <c r="J994">
        <v>3.4488416256218103E-2</v>
      </c>
      <c r="K994">
        <v>4.7677815275107997E-2</v>
      </c>
      <c r="L994">
        <v>2922.4742617924198</v>
      </c>
      <c r="M994">
        <v>56.883464479523703</v>
      </c>
      <c r="N994">
        <v>51.517574931756101</v>
      </c>
      <c r="O994">
        <v>51.313135971453796</v>
      </c>
      <c r="P994">
        <v>-0.25715398800615002</v>
      </c>
      <c r="Q994">
        <v>7.2112017023458097E-2</v>
      </c>
      <c r="R994">
        <v>0.99130811808987296</v>
      </c>
      <c r="S994" t="s">
        <v>7800</v>
      </c>
      <c r="T994" t="s">
        <v>13610</v>
      </c>
      <c r="U994" t="s">
        <v>13610</v>
      </c>
      <c r="V994" t="s">
        <v>13610</v>
      </c>
      <c r="W994" t="s">
        <v>14577</v>
      </c>
      <c r="X994">
        <v>1</v>
      </c>
      <c r="Y994" t="s">
        <v>20736</v>
      </c>
      <c r="Z994" t="s">
        <v>27849</v>
      </c>
      <c r="AA994">
        <v>0.42560571776587708</v>
      </c>
      <c r="AB994" t="str">
        <f>HYPERLINK("Melting_Curves/meltCurve_J3QLM9_DNAH9.pdf", "Melting_Curves/meltCurve_J3QLM9_DNAH9.pdf")</f>
        <v>Melting_Curves/meltCurve_J3QLM9_DNAH9.pdf</v>
      </c>
    </row>
    <row r="995" spans="1:28" x14ac:dyDescent="0.25">
      <c r="A995" t="s">
        <v>999</v>
      </c>
      <c r="B995">
        <v>0.995954080203443</v>
      </c>
      <c r="C995">
        <v>0.75862279797488297</v>
      </c>
      <c r="D995">
        <v>0.64765659766327899</v>
      </c>
      <c r="E995">
        <v>0.33169477086444898</v>
      </c>
      <c r="F995">
        <v>0.14821177994211099</v>
      </c>
      <c r="G995">
        <v>7.7775188827483202E-2</v>
      </c>
      <c r="H995">
        <v>5.7890170931871598E-2</v>
      </c>
      <c r="I995">
        <v>4.0671578396242102E-2</v>
      </c>
      <c r="J995">
        <v>6.3559058477614894E-2</v>
      </c>
      <c r="K995">
        <v>6.0826134176309998E-2</v>
      </c>
      <c r="L995">
        <v>745.52950388670104</v>
      </c>
      <c r="M995">
        <v>15.818598029307401</v>
      </c>
      <c r="N995">
        <v>47.354741500101802</v>
      </c>
      <c r="O995">
        <v>46.396037649308099</v>
      </c>
      <c r="P995">
        <v>-8.2160341926891894E-2</v>
      </c>
      <c r="Q995">
        <v>3.6172444061862E-2</v>
      </c>
      <c r="R995">
        <v>0.98954703389460497</v>
      </c>
      <c r="S995" t="s">
        <v>7801</v>
      </c>
      <c r="T995" t="s">
        <v>13610</v>
      </c>
      <c r="U995" t="s">
        <v>13610</v>
      </c>
      <c r="V995" t="s">
        <v>13610</v>
      </c>
      <c r="W995" t="s">
        <v>14578</v>
      </c>
      <c r="X995">
        <v>7</v>
      </c>
      <c r="Y995" t="s">
        <v>21292</v>
      </c>
      <c r="Z995" t="s">
        <v>27850</v>
      </c>
      <c r="AA995">
        <v>0.28851316730213278</v>
      </c>
      <c r="AB995" t="str">
        <f>HYPERLINK("Melting_Curves/meltCurve_J3QLN8_AURKB.pdf", "Melting_Curves/meltCurve_J3QLN8_AURKB.pdf")</f>
        <v>Melting_Curves/meltCurve_J3QLN8_AURKB.pdf</v>
      </c>
    </row>
    <row r="996" spans="1:28" x14ac:dyDescent="0.25">
      <c r="A996" t="s">
        <v>1000</v>
      </c>
      <c r="B996">
        <v>0.995954080203443</v>
      </c>
      <c r="C996">
        <v>0.96623543168372805</v>
      </c>
      <c r="D996">
        <v>0.82364676771123302</v>
      </c>
      <c r="E996">
        <v>0.83366676128290895</v>
      </c>
      <c r="F996">
        <v>0.56530911722411703</v>
      </c>
      <c r="G996">
        <v>0.18906274646655499</v>
      </c>
      <c r="H996">
        <v>0.126239574398025</v>
      </c>
      <c r="I996">
        <v>0.11695325399853899</v>
      </c>
      <c r="J996">
        <v>0.18596304696340701</v>
      </c>
      <c r="K996">
        <v>0.121557503964519</v>
      </c>
      <c r="L996">
        <v>1301.4562020189201</v>
      </c>
      <c r="M996">
        <v>24.6776425611638</v>
      </c>
      <c r="N996">
        <v>53.325949729895399</v>
      </c>
      <c r="O996">
        <v>52.3956341933836</v>
      </c>
      <c r="P996">
        <v>-0.10372982511295201</v>
      </c>
      <c r="Q996">
        <v>0.11905506088156299</v>
      </c>
      <c r="R996">
        <v>0.97489801093043205</v>
      </c>
      <c r="S996" t="s">
        <v>7802</v>
      </c>
      <c r="T996" t="s">
        <v>13610</v>
      </c>
      <c r="U996" t="s">
        <v>13610</v>
      </c>
      <c r="V996" t="s">
        <v>13610</v>
      </c>
      <c r="W996" t="s">
        <v>14579</v>
      </c>
      <c r="X996">
        <v>1</v>
      </c>
      <c r="Y996" t="s">
        <v>21293</v>
      </c>
      <c r="Z996" t="s">
        <v>27851</v>
      </c>
      <c r="AA996">
        <v>0.50140808595520359</v>
      </c>
      <c r="AB996" t="str">
        <f>HYPERLINK("Melting_Curves/meltCurve_J3QQ66_ZFHX4.pdf", "Melting_Curves/meltCurve_J3QQ66_ZFHX4.pdf")</f>
        <v>Melting_Curves/meltCurve_J3QQ66_ZFHX4.pdf</v>
      </c>
    </row>
    <row r="997" spans="1:28" x14ac:dyDescent="0.25">
      <c r="A997" t="s">
        <v>1001</v>
      </c>
      <c r="B997">
        <v>0.995954080203443</v>
      </c>
      <c r="C997">
        <v>0.85287245315362104</v>
      </c>
      <c r="D997">
        <v>0.66314714756427995</v>
      </c>
      <c r="E997">
        <v>0.48493043776769801</v>
      </c>
      <c r="F997">
        <v>0.25152863122686098</v>
      </c>
      <c r="G997">
        <v>0.116183566976705</v>
      </c>
      <c r="H997">
        <v>9.1362572625013003E-2</v>
      </c>
      <c r="I997">
        <v>7.3171571237990105E-2</v>
      </c>
      <c r="J997">
        <v>9.4590405084446799E-2</v>
      </c>
      <c r="K997">
        <v>8.1184389620546707E-2</v>
      </c>
      <c r="L997">
        <v>691.43669467330596</v>
      </c>
      <c r="M997">
        <v>14.270865909265501</v>
      </c>
      <c r="N997">
        <v>48.838133658219803</v>
      </c>
      <c r="O997">
        <v>47.529334051257898</v>
      </c>
      <c r="P997">
        <v>-7.10571486896555E-2</v>
      </c>
      <c r="Q997">
        <v>5.3488595796154198E-2</v>
      </c>
      <c r="R997">
        <v>0.991525501201315</v>
      </c>
      <c r="S997" t="s">
        <v>7803</v>
      </c>
      <c r="T997" t="s">
        <v>13610</v>
      </c>
      <c r="U997" t="s">
        <v>13610</v>
      </c>
      <c r="V997" t="s">
        <v>13610</v>
      </c>
      <c r="W997" t="s">
        <v>14580</v>
      </c>
      <c r="X997">
        <v>28</v>
      </c>
      <c r="Y997" t="s">
        <v>21294</v>
      </c>
      <c r="Z997" t="s">
        <v>27852</v>
      </c>
      <c r="AA997">
        <v>0.34638421858978641</v>
      </c>
      <c r="AB997" t="str">
        <f>HYPERLINK("Melting_Curves/meltCurve_J3QQJ5_TRAPPC8.pdf", "Melting_Curves/meltCurve_J3QQJ5_TRAPPC8.pdf")</f>
        <v>Melting_Curves/meltCurve_J3QQJ5_TRAPPC8.pdf</v>
      </c>
    </row>
    <row r="998" spans="1:28" x14ac:dyDescent="0.25">
      <c r="A998" t="s">
        <v>1002</v>
      </c>
      <c r="B998">
        <v>0.995954080203443</v>
      </c>
      <c r="C998">
        <v>0.84475076188527098</v>
      </c>
      <c r="D998">
        <v>0.72871589300290995</v>
      </c>
      <c r="E998">
        <v>0.67551662150616898</v>
      </c>
      <c r="F998">
        <v>0.52862938472344101</v>
      </c>
      <c r="G998">
        <v>0.36882074707728202</v>
      </c>
      <c r="H998">
        <v>0.28303368431044901</v>
      </c>
      <c r="I998">
        <v>0.26046804401649398</v>
      </c>
      <c r="J998">
        <v>0.309824876397301</v>
      </c>
      <c r="K998">
        <v>0.33946619049387899</v>
      </c>
      <c r="L998">
        <v>537.58851937405802</v>
      </c>
      <c r="M998">
        <v>10.8175420853236</v>
      </c>
      <c r="N998">
        <v>53.021905519335498</v>
      </c>
      <c r="O998">
        <v>48.088108756413497</v>
      </c>
      <c r="P998">
        <v>-4.2400606607856099E-2</v>
      </c>
      <c r="Q998">
        <v>0.246323605559091</v>
      </c>
      <c r="R998">
        <v>0.96583312757990403</v>
      </c>
      <c r="S998" t="s">
        <v>7804</v>
      </c>
      <c r="T998" t="s">
        <v>13610</v>
      </c>
      <c r="U998" t="s">
        <v>13610</v>
      </c>
      <c r="V998" t="s">
        <v>13610</v>
      </c>
      <c r="W998" t="s">
        <v>14581</v>
      </c>
      <c r="X998">
        <v>5</v>
      </c>
      <c r="Y998" t="s">
        <v>21295</v>
      </c>
      <c r="Z998" t="s">
        <v>27853</v>
      </c>
      <c r="AA998">
        <v>0.52108164960259695</v>
      </c>
      <c r="AB998" t="str">
        <f>HYPERLINK("Melting_Curves/meltCurve_J3QQT2_RPL17.pdf", "Melting_Curves/meltCurve_J3QQT2_RPL17.pdf")</f>
        <v>Melting_Curves/meltCurve_J3QQT2_RPL17.pdf</v>
      </c>
    </row>
    <row r="999" spans="1:28" x14ac:dyDescent="0.25">
      <c r="A999" t="s">
        <v>1003</v>
      </c>
      <c r="B999">
        <v>0.995954080203443</v>
      </c>
      <c r="C999">
        <v>0.82425054866573699</v>
      </c>
      <c r="D999">
        <v>0.59115787430550804</v>
      </c>
      <c r="E999">
        <v>0.43837832055314901</v>
      </c>
      <c r="F999">
        <v>0.22788494389872799</v>
      </c>
      <c r="G999">
        <v>0.13874643812922099</v>
      </c>
      <c r="H999">
        <v>0.11808876304251199</v>
      </c>
      <c r="I999">
        <v>0.13546253672464101</v>
      </c>
      <c r="J999">
        <v>0.14869917018336401</v>
      </c>
      <c r="K999">
        <v>0.14965639431601599</v>
      </c>
      <c r="L999">
        <v>728.80019276782605</v>
      </c>
      <c r="M999">
        <v>15.510683584415901</v>
      </c>
      <c r="N999">
        <v>47.837063729681198</v>
      </c>
      <c r="O999">
        <v>46.226742597434203</v>
      </c>
      <c r="P999">
        <v>-7.3786369996157203E-2</v>
      </c>
      <c r="Q999">
        <v>0.120451167565489</v>
      </c>
      <c r="R999">
        <v>0.98641736534913205</v>
      </c>
      <c r="S999" t="s">
        <v>7805</v>
      </c>
      <c r="T999" t="s">
        <v>13610</v>
      </c>
      <c r="U999" t="s">
        <v>13610</v>
      </c>
      <c r="V999" t="s">
        <v>13610</v>
      </c>
      <c r="W999" t="s">
        <v>14582</v>
      </c>
      <c r="X999">
        <v>11</v>
      </c>
      <c r="Y999" t="s">
        <v>21296</v>
      </c>
      <c r="Z999" t="s">
        <v>27854</v>
      </c>
      <c r="AA999">
        <v>0.34761092532195648</v>
      </c>
      <c r="AB999" t="str">
        <f>HYPERLINK("Melting_Curves/meltCurve_J3QQW9_SUZ12.pdf", "Melting_Curves/meltCurve_J3QQW9_SUZ12.pdf")</f>
        <v>Melting_Curves/meltCurve_J3QQW9_SUZ12.pdf</v>
      </c>
    </row>
    <row r="1000" spans="1:28" x14ac:dyDescent="0.25">
      <c r="A1000" t="s">
        <v>1004</v>
      </c>
      <c r="B1000">
        <v>0.995954080203443</v>
      </c>
      <c r="C1000">
        <v>0.70989922073667699</v>
      </c>
      <c r="D1000">
        <v>0.30718922942071403</v>
      </c>
      <c r="E1000">
        <v>0.199349650579219</v>
      </c>
      <c r="F1000">
        <v>0.13507557758729699</v>
      </c>
      <c r="G1000">
        <v>0.10673375390364501</v>
      </c>
      <c r="H1000">
        <v>9.5782433498708297E-2</v>
      </c>
      <c r="I1000">
        <v>0.11219847253276199</v>
      </c>
      <c r="J1000">
        <v>0.169891173245483</v>
      </c>
      <c r="K1000">
        <v>0.124622629986181</v>
      </c>
      <c r="L1000">
        <v>1330.39008983739</v>
      </c>
      <c r="M1000">
        <v>30.263459552670799</v>
      </c>
      <c r="N1000">
        <v>44.402261386850903</v>
      </c>
      <c r="O1000">
        <v>43.769671747084899</v>
      </c>
      <c r="P1000">
        <v>-0.15037675456679001</v>
      </c>
      <c r="Q1000">
        <v>0.13005322515690601</v>
      </c>
      <c r="R1000">
        <v>0.99122771308732105</v>
      </c>
      <c r="S1000" t="s">
        <v>7806</v>
      </c>
      <c r="T1000" t="s">
        <v>13610</v>
      </c>
      <c r="U1000" t="s">
        <v>13610</v>
      </c>
      <c r="V1000" t="s">
        <v>13610</v>
      </c>
      <c r="W1000" t="s">
        <v>14583</v>
      </c>
      <c r="X1000">
        <v>21</v>
      </c>
      <c r="Y1000" t="s">
        <v>21297</v>
      </c>
      <c r="Z1000" t="s">
        <v>27855</v>
      </c>
      <c r="AA1000">
        <v>0.25114883831567042</v>
      </c>
      <c r="AB1000" t="str">
        <f>HYPERLINK("Melting_Curves/meltCurve_J3QQX3_FDXR.pdf", "Melting_Curves/meltCurve_J3QQX3_FDXR.pdf")</f>
        <v>Melting_Curves/meltCurve_J3QQX3_FDXR.pdf</v>
      </c>
    </row>
    <row r="1001" spans="1:28" x14ac:dyDescent="0.25">
      <c r="A1001" t="s">
        <v>1005</v>
      </c>
      <c r="B1001">
        <v>0.995954080203443</v>
      </c>
      <c r="C1001">
        <v>0.99466731826962795</v>
      </c>
      <c r="D1001">
        <v>1.01911516298073</v>
      </c>
      <c r="E1001">
        <v>0.90814449785758</v>
      </c>
      <c r="F1001">
        <v>0.893601475174025</v>
      </c>
      <c r="G1001">
        <v>0.663681612867419</v>
      </c>
      <c r="H1001">
        <v>0.60196086701676399</v>
      </c>
      <c r="I1001">
        <v>0.64857429075114603</v>
      </c>
      <c r="J1001">
        <v>0.87301354689156696</v>
      </c>
      <c r="K1001">
        <v>0.77321548918763205</v>
      </c>
      <c r="L1001">
        <v>2396.1766543354402</v>
      </c>
      <c r="M1001">
        <v>45.073695944244101</v>
      </c>
      <c r="O1001">
        <v>53.056983907131197</v>
      </c>
      <c r="P1001">
        <v>-6.1243580031477E-2</v>
      </c>
      <c r="Q1001">
        <v>0.71163709709009704</v>
      </c>
      <c r="R1001">
        <v>0.73922861719177302</v>
      </c>
      <c r="S1001" t="s">
        <v>7807</v>
      </c>
      <c r="T1001" t="s">
        <v>13610</v>
      </c>
      <c r="U1001" t="s">
        <v>13610</v>
      </c>
      <c r="V1001" t="s">
        <v>13610</v>
      </c>
      <c r="W1001" t="s">
        <v>14584</v>
      </c>
      <c r="X1001">
        <v>8</v>
      </c>
      <c r="Y1001" t="s">
        <v>21298</v>
      </c>
      <c r="Z1001" t="s">
        <v>27856</v>
      </c>
      <c r="AA1001">
        <v>0.83897763566559058</v>
      </c>
      <c r="AB1001" t="str">
        <f>HYPERLINK("Melting_Curves/meltCurve_J3QQY0_MSL1.pdf", "Melting_Curves/meltCurve_J3QQY0_MSL1.pdf")</f>
        <v>Melting_Curves/meltCurve_J3QQY0_MSL1.pdf</v>
      </c>
    </row>
    <row r="1002" spans="1:28" x14ac:dyDescent="0.25">
      <c r="A1002" t="s">
        <v>1006</v>
      </c>
      <c r="B1002">
        <v>0.995954080203443</v>
      </c>
      <c r="C1002">
        <v>0.94084084968366299</v>
      </c>
      <c r="D1002">
        <v>0.98625472048547602</v>
      </c>
      <c r="E1002">
        <v>0.84964708254165799</v>
      </c>
      <c r="F1002">
        <v>0.58476357206589502</v>
      </c>
      <c r="G1002">
        <v>0.45847135775518599</v>
      </c>
      <c r="H1002">
        <v>0.352900452880473</v>
      </c>
      <c r="I1002">
        <v>0.37813838197827099</v>
      </c>
      <c r="J1002">
        <v>0.448858496575962</v>
      </c>
      <c r="K1002">
        <v>0.42123007465486301</v>
      </c>
      <c r="L1002">
        <v>1617.16644984407</v>
      </c>
      <c r="M1002">
        <v>31.2922029536068</v>
      </c>
      <c r="N1002">
        <v>54.548708350827702</v>
      </c>
      <c r="O1002">
        <v>51.4698508066746</v>
      </c>
      <c r="P1002">
        <v>-9.0651699057030397E-2</v>
      </c>
      <c r="Q1002">
        <v>0.40358258177177497</v>
      </c>
      <c r="R1002">
        <v>0.98438625080918696</v>
      </c>
      <c r="S1002" t="s">
        <v>7808</v>
      </c>
      <c r="T1002" t="s">
        <v>13610</v>
      </c>
      <c r="U1002" t="s">
        <v>13610</v>
      </c>
      <c r="V1002" t="s">
        <v>13610</v>
      </c>
      <c r="W1002" t="s">
        <v>14585</v>
      </c>
      <c r="X1002">
        <v>9</v>
      </c>
      <c r="Y1002" t="s">
        <v>21299</v>
      </c>
      <c r="Z1002" t="s">
        <v>27857</v>
      </c>
      <c r="AA1002">
        <v>0.63926434581931413</v>
      </c>
      <c r="AB1002" t="str">
        <f>HYPERLINK("Melting_Curves/meltCurve_J3QR09_RPL19.pdf", "Melting_Curves/meltCurve_J3QR09_RPL19.pdf")</f>
        <v>Melting_Curves/meltCurve_J3QR09_RPL19.pdf</v>
      </c>
    </row>
    <row r="1003" spans="1:28" x14ac:dyDescent="0.25">
      <c r="A1003" t="s">
        <v>1007</v>
      </c>
      <c r="B1003">
        <v>0.995954080203443</v>
      </c>
      <c r="C1003">
        <v>0.908166254905171</v>
      </c>
      <c r="D1003">
        <v>0.75950102074058501</v>
      </c>
      <c r="E1003">
        <v>0.63029453469734398</v>
      </c>
      <c r="F1003">
        <v>0.41180760462305399</v>
      </c>
      <c r="G1003">
        <v>0.31854868722554303</v>
      </c>
      <c r="H1003">
        <v>0.31979985882952999</v>
      </c>
      <c r="I1003">
        <v>0.30652968782553303</v>
      </c>
      <c r="J1003">
        <v>0.31558359800823599</v>
      </c>
      <c r="K1003">
        <v>0.34680313238160798</v>
      </c>
      <c r="L1003">
        <v>774.90004770629503</v>
      </c>
      <c r="M1003">
        <v>15.996645340050801</v>
      </c>
      <c r="N1003">
        <v>51.406594257332699</v>
      </c>
      <c r="O1003">
        <v>47.703348724382302</v>
      </c>
      <c r="P1003">
        <v>-5.8581205255418801E-2</v>
      </c>
      <c r="Q1003">
        <v>0.30127842237670099</v>
      </c>
      <c r="R1003">
        <v>0.98456538097451995</v>
      </c>
      <c r="S1003" t="s">
        <v>7809</v>
      </c>
      <c r="T1003" t="s">
        <v>13610</v>
      </c>
      <c r="U1003" t="s">
        <v>13610</v>
      </c>
      <c r="V1003" t="s">
        <v>13610</v>
      </c>
      <c r="W1003" t="s">
        <v>14586</v>
      </c>
      <c r="X1003">
        <v>3</v>
      </c>
      <c r="Y1003" t="s">
        <v>21300</v>
      </c>
      <c r="Z1003" t="s">
        <v>27858</v>
      </c>
      <c r="AA1003">
        <v>0.51342559518458952</v>
      </c>
      <c r="AB1003" t="str">
        <f>HYPERLINK("Melting_Curves/meltCurve_J3QR65_MTMR4.pdf", "Melting_Curves/meltCurve_J3QR65_MTMR4.pdf")</f>
        <v>Melting_Curves/meltCurve_J3QR65_MTMR4.pdf</v>
      </c>
    </row>
    <row r="1004" spans="1:28" x14ac:dyDescent="0.25">
      <c r="A1004" t="s">
        <v>1008</v>
      </c>
      <c r="B1004">
        <v>0.995954080203443</v>
      </c>
      <c r="C1004">
        <v>0.63518349917684203</v>
      </c>
      <c r="D1004">
        <v>0.44642535496784802</v>
      </c>
      <c r="E1004">
        <v>0.48578770956052297</v>
      </c>
      <c r="F1004">
        <v>0.118976440222495</v>
      </c>
      <c r="G1004">
        <v>4.8877509608499403E-2</v>
      </c>
      <c r="H1004">
        <v>3.01191400164167E-2</v>
      </c>
      <c r="I1004">
        <v>2.01597376151464E-2</v>
      </c>
      <c r="J1004">
        <v>1.56725682849298E-2</v>
      </c>
      <c r="K1004">
        <v>1.9073488832575002E-2</v>
      </c>
      <c r="L1004">
        <v>560.388822505956</v>
      </c>
      <c r="M1004">
        <v>12.079002468766699</v>
      </c>
      <c r="N1004">
        <v>46.393642262187697</v>
      </c>
      <c r="O1004">
        <v>45.176926211814099</v>
      </c>
      <c r="P1004">
        <v>-6.6858445220636706E-2</v>
      </c>
      <c r="Q1004">
        <v>0</v>
      </c>
      <c r="R1004">
        <v>0.93067212638489505</v>
      </c>
      <c r="S1004" t="s">
        <v>7810</v>
      </c>
      <c r="T1004" t="s">
        <v>13610</v>
      </c>
      <c r="U1004" t="s">
        <v>13610</v>
      </c>
      <c r="V1004" t="s">
        <v>13610</v>
      </c>
      <c r="W1004" t="s">
        <v>14587</v>
      </c>
      <c r="X1004">
        <v>6</v>
      </c>
      <c r="Y1004" t="s">
        <v>21301</v>
      </c>
      <c r="Z1004" t="s">
        <v>27859</v>
      </c>
      <c r="AA1004">
        <v>0.25660934779186972</v>
      </c>
      <c r="AB1004" t="str">
        <f>HYPERLINK("Melting_Curves/meltCurve_J3QRN6_MYO1D.pdf", "Melting_Curves/meltCurve_J3QRN6_MYO1D.pdf")</f>
        <v>Melting_Curves/meltCurve_J3QRN6_MYO1D.pdf</v>
      </c>
    </row>
    <row r="1005" spans="1:28" x14ac:dyDescent="0.25">
      <c r="A1005" t="s">
        <v>1009</v>
      </c>
      <c r="B1005">
        <v>0.995954080203443</v>
      </c>
      <c r="C1005">
        <v>0.88218653825486604</v>
      </c>
      <c r="D1005">
        <v>0.85555770056359903</v>
      </c>
      <c r="E1005">
        <v>0.87987629324768601</v>
      </c>
      <c r="F1005">
        <v>0.65844259853589404</v>
      </c>
      <c r="G1005">
        <v>0.50917427609516996</v>
      </c>
      <c r="H1005">
        <v>0.46478939820898602</v>
      </c>
      <c r="I1005">
        <v>0.495076042608739</v>
      </c>
      <c r="J1005">
        <v>0.51627343397264702</v>
      </c>
      <c r="K1005">
        <v>0.467216954112741</v>
      </c>
      <c r="L1005">
        <v>678.68827049954598</v>
      </c>
      <c r="M1005">
        <v>13.194920161571</v>
      </c>
      <c r="N1005">
        <v>61.818004904086301</v>
      </c>
      <c r="O1005">
        <v>50.297206771610199</v>
      </c>
      <c r="P1005">
        <v>-3.6373891602662203E-2</v>
      </c>
      <c r="Q1005">
        <v>0.44548351312110501</v>
      </c>
      <c r="R1005">
        <v>0.93054786546406598</v>
      </c>
      <c r="S1005" t="s">
        <v>7811</v>
      </c>
      <c r="T1005" t="s">
        <v>13610</v>
      </c>
      <c r="U1005" t="s">
        <v>13610</v>
      </c>
      <c r="V1005" t="s">
        <v>13610</v>
      </c>
      <c r="W1005" t="s">
        <v>14588</v>
      </c>
      <c r="X1005">
        <v>1</v>
      </c>
      <c r="Y1005" t="s">
        <v>21302</v>
      </c>
      <c r="Z1005" t="s">
        <v>27860</v>
      </c>
      <c r="AA1005">
        <v>0.67224186979887368</v>
      </c>
      <c r="AB1005" t="str">
        <f>HYPERLINK("Melting_Curves/meltCurve_J3QRU4_VAMP2.pdf", "Melting_Curves/meltCurve_J3QRU4_VAMP2.pdf")</f>
        <v>Melting_Curves/meltCurve_J3QRU4_VAMP2.pdf</v>
      </c>
    </row>
    <row r="1006" spans="1:28" x14ac:dyDescent="0.25">
      <c r="A1006" t="s">
        <v>1010</v>
      </c>
      <c r="B1006">
        <v>0.995954080203443</v>
      </c>
      <c r="C1006">
        <v>0.973566164089264</v>
      </c>
      <c r="D1006">
        <v>0.95306020207204201</v>
      </c>
      <c r="E1006">
        <v>0.84776677517366805</v>
      </c>
      <c r="F1006">
        <v>0.76842864705614999</v>
      </c>
      <c r="G1006">
        <v>0.50593338613558203</v>
      </c>
      <c r="H1006">
        <v>0.46492808846363598</v>
      </c>
      <c r="I1006">
        <v>0.53978327636504997</v>
      </c>
      <c r="J1006">
        <v>0.64866841892736005</v>
      </c>
      <c r="K1006">
        <v>0.64141068119690803</v>
      </c>
      <c r="L1006">
        <v>1452.5661104153401</v>
      </c>
      <c r="M1006">
        <v>28.097415091862299</v>
      </c>
      <c r="O1006">
        <v>51.437735575639998</v>
      </c>
      <c r="P1006">
        <v>-6.0078783271030702E-2</v>
      </c>
      <c r="Q1006">
        <v>0.56006038207669495</v>
      </c>
      <c r="R1006">
        <v>0.89469647366727301</v>
      </c>
      <c r="S1006" t="s">
        <v>7812</v>
      </c>
      <c r="T1006" t="s">
        <v>13610</v>
      </c>
      <c r="U1006" t="s">
        <v>13610</v>
      </c>
      <c r="V1006" t="s">
        <v>13610</v>
      </c>
      <c r="W1006" t="s">
        <v>14589</v>
      </c>
      <c r="X1006">
        <v>3</v>
      </c>
      <c r="Y1006" t="s">
        <v>21303</v>
      </c>
      <c r="Z1006" t="s">
        <v>27861</v>
      </c>
      <c r="AA1006">
        <v>0.73478571591975927</v>
      </c>
      <c r="AB1006" t="str">
        <f>HYPERLINK("Melting_Curves/meltCurve_J3QSH4_VEZF1.pdf", "Melting_Curves/meltCurve_J3QSH4_VEZF1.pdf")</f>
        <v>Melting_Curves/meltCurve_J3QSH4_VEZF1.pdf</v>
      </c>
    </row>
    <row r="1007" spans="1:28" x14ac:dyDescent="0.25">
      <c r="A1007" t="s">
        <v>1011</v>
      </c>
      <c r="B1007">
        <v>0.995954080203443</v>
      </c>
      <c r="C1007">
        <v>1.0100622287749701</v>
      </c>
      <c r="D1007">
        <v>1.0041822926755</v>
      </c>
      <c r="E1007">
        <v>0.87153239222017598</v>
      </c>
      <c r="F1007">
        <v>0.71379147697446299</v>
      </c>
      <c r="G1007">
        <v>0.38826700955896098</v>
      </c>
      <c r="H1007">
        <v>0.135960291196419</v>
      </c>
      <c r="I1007">
        <v>0.10940020179118499</v>
      </c>
      <c r="J1007">
        <v>0.11460064030867401</v>
      </c>
      <c r="K1007">
        <v>0.108378463765904</v>
      </c>
      <c r="L1007">
        <v>1186.3704598290699</v>
      </c>
      <c r="M1007">
        <v>21.6209894138198</v>
      </c>
      <c r="N1007">
        <v>55.328128016168101</v>
      </c>
      <c r="O1007">
        <v>54.4082882162906</v>
      </c>
      <c r="P1007">
        <v>-9.1226134556610494E-2</v>
      </c>
      <c r="Q1007">
        <v>8.1755103503870802E-2</v>
      </c>
      <c r="R1007">
        <v>0.99725176968794005</v>
      </c>
      <c r="S1007" t="s">
        <v>7813</v>
      </c>
      <c r="T1007" t="s">
        <v>13610</v>
      </c>
      <c r="U1007" t="s">
        <v>13610</v>
      </c>
      <c r="V1007" t="s">
        <v>13610</v>
      </c>
      <c r="W1007" t="s">
        <v>14590</v>
      </c>
      <c r="X1007">
        <v>17</v>
      </c>
      <c r="Y1007" t="s">
        <v>21304</v>
      </c>
      <c r="Z1007" t="s">
        <v>27862</v>
      </c>
      <c r="AA1007">
        <v>0.54779659662866143</v>
      </c>
      <c r="AB1007" t="str">
        <f>HYPERLINK("Melting_Curves/meltCurve_J3QT28_BUB3.pdf", "Melting_Curves/meltCurve_J3QT28_BUB3.pdf")</f>
        <v>Melting_Curves/meltCurve_J3QT28_BUB3.pdf</v>
      </c>
    </row>
    <row r="1008" spans="1:28" x14ac:dyDescent="0.25">
      <c r="A1008" t="s">
        <v>1012</v>
      </c>
      <c r="B1008">
        <v>0.995954080203443</v>
      </c>
      <c r="C1008">
        <v>0.941696736617329</v>
      </c>
      <c r="D1008">
        <v>0.87706367703326404</v>
      </c>
      <c r="E1008">
        <v>0.77739992164987504</v>
      </c>
      <c r="F1008">
        <v>0.56529447944158395</v>
      </c>
      <c r="G1008">
        <v>0.388194460763579</v>
      </c>
      <c r="H1008">
        <v>0.35417860503700499</v>
      </c>
      <c r="I1008">
        <v>0.41782233950095499</v>
      </c>
      <c r="J1008">
        <v>0.46322164121290599</v>
      </c>
      <c r="K1008">
        <v>0.48419594070141803</v>
      </c>
      <c r="L1008">
        <v>1123.4067421923601</v>
      </c>
      <c r="M1008">
        <v>22.2946670611508</v>
      </c>
      <c r="N1008">
        <v>54.7015638931788</v>
      </c>
      <c r="O1008">
        <v>49.988887877901099</v>
      </c>
      <c r="P1008">
        <v>-6.5364300581575996E-2</v>
      </c>
      <c r="Q1008">
        <v>0.41377559840713302</v>
      </c>
      <c r="R1008">
        <v>0.95522058072602101</v>
      </c>
      <c r="S1008" t="s">
        <v>7814</v>
      </c>
      <c r="T1008" t="s">
        <v>13610</v>
      </c>
      <c r="U1008" t="s">
        <v>13610</v>
      </c>
      <c r="V1008" t="s">
        <v>13610</v>
      </c>
      <c r="W1008" t="s">
        <v>14591</v>
      </c>
      <c r="X1008">
        <v>9</v>
      </c>
      <c r="Y1008" t="s">
        <v>21305</v>
      </c>
      <c r="Z1008" t="s">
        <v>27863</v>
      </c>
      <c r="AA1008">
        <v>0.62338558328234439</v>
      </c>
      <c r="AB1008" t="str">
        <f>HYPERLINK("Melting_Curves/meltCurve_J3QT32_NDEL1.pdf", "Melting_Curves/meltCurve_J3QT32_NDEL1.pdf")</f>
        <v>Melting_Curves/meltCurve_J3QT32_NDEL1.pdf</v>
      </c>
    </row>
    <row r="1009" spans="1:28" x14ac:dyDescent="0.25">
      <c r="A1009" t="s">
        <v>1013</v>
      </c>
      <c r="B1009">
        <v>0.995954080203443</v>
      </c>
      <c r="C1009">
        <v>0.98015181280347297</v>
      </c>
      <c r="D1009">
        <v>0.99783144066764395</v>
      </c>
      <c r="E1009">
        <v>0.88407018051500197</v>
      </c>
      <c r="F1009">
        <v>0.94014351438712995</v>
      </c>
      <c r="G1009">
        <v>0.74809458628435799</v>
      </c>
      <c r="H1009">
        <v>0.73509752916749604</v>
      </c>
      <c r="I1009">
        <v>0.91034899069589104</v>
      </c>
      <c r="J1009">
        <v>1.0665291652218101</v>
      </c>
      <c r="K1009">
        <v>1.06685807214263</v>
      </c>
      <c r="L1009">
        <v>11671.650812371599</v>
      </c>
      <c r="M1009">
        <v>250</v>
      </c>
      <c r="O1009">
        <v>46.683615766868598</v>
      </c>
      <c r="P1009">
        <v>-0.124098671785019</v>
      </c>
      <c r="Q1009">
        <v>0.90730600503446901</v>
      </c>
      <c r="R1009">
        <v>0.11921837742227499</v>
      </c>
      <c r="S1009" t="s">
        <v>7815</v>
      </c>
      <c r="T1009" t="s">
        <v>13610</v>
      </c>
      <c r="U1009" t="s">
        <v>13610</v>
      </c>
      <c r="V1009" t="s">
        <v>13610</v>
      </c>
      <c r="W1009" t="s">
        <v>14592</v>
      </c>
      <c r="X1009">
        <v>19</v>
      </c>
      <c r="Y1009" t="s">
        <v>21306</v>
      </c>
      <c r="Z1009" t="s">
        <v>27864</v>
      </c>
      <c r="AA1009">
        <v>0.92797386544669402</v>
      </c>
      <c r="AB1009" t="str">
        <f>HYPERLINK("Melting_Curves/meltCurve_J3QT34_MAST4.pdf", "Melting_Curves/meltCurve_J3QT34_MAST4.pdf")</f>
        <v>Melting_Curves/meltCurve_J3QT34_MAST4.pdf</v>
      </c>
    </row>
    <row r="1010" spans="1:28" x14ac:dyDescent="0.25">
      <c r="A1010" t="s">
        <v>1014</v>
      </c>
      <c r="B1010">
        <v>0.995954080203443</v>
      </c>
      <c r="C1010">
        <v>0.89266183990595305</v>
      </c>
      <c r="D1010">
        <v>0.72874099973110196</v>
      </c>
      <c r="E1010">
        <v>0.90838999736863701</v>
      </c>
      <c r="F1010">
        <v>0.27683084673534603</v>
      </c>
      <c r="G1010">
        <v>0.10473841763290299</v>
      </c>
      <c r="H1010">
        <v>6.6806024532386404E-2</v>
      </c>
      <c r="I1010">
        <v>6.41633097780092E-2</v>
      </c>
      <c r="J1010">
        <v>8.7696828608667093E-2</v>
      </c>
      <c r="K1010">
        <v>7.4044579940792304E-2</v>
      </c>
      <c r="L1010">
        <v>3009.7658477330001</v>
      </c>
      <c r="M1010">
        <v>58.061075944654803</v>
      </c>
      <c r="N1010">
        <v>51.990036069730998</v>
      </c>
      <c r="O1010">
        <v>51.776545970103498</v>
      </c>
      <c r="P1010">
        <v>-0.258446191275232</v>
      </c>
      <c r="Q1010">
        <v>7.8112618489728003E-2</v>
      </c>
      <c r="R1010">
        <v>0.94245662630199101</v>
      </c>
      <c r="S1010" t="s">
        <v>7816</v>
      </c>
      <c r="T1010" t="s">
        <v>13610</v>
      </c>
      <c r="U1010" t="s">
        <v>13610</v>
      </c>
      <c r="V1010" t="s">
        <v>13610</v>
      </c>
      <c r="W1010" t="s">
        <v>14593</v>
      </c>
      <c r="X1010">
        <v>1</v>
      </c>
      <c r="Y1010" t="s">
        <v>21307</v>
      </c>
      <c r="Z1010" t="s">
        <v>27865</v>
      </c>
      <c r="AA1010">
        <v>0.44344814822309803</v>
      </c>
      <c r="AB1010" t="str">
        <f>HYPERLINK("Melting_Curves/meltCurve_J3QTB1_TMEM173.pdf", "Melting_Curves/meltCurve_J3QTB1_TMEM173.pdf")</f>
        <v>Melting_Curves/meltCurve_J3QTB1_TMEM173.pdf</v>
      </c>
    </row>
    <row r="1011" spans="1:28" x14ac:dyDescent="0.25">
      <c r="A1011" t="s">
        <v>1015</v>
      </c>
      <c r="B1011">
        <v>0.995954080203443</v>
      </c>
      <c r="C1011">
        <v>0.75193227881952596</v>
      </c>
      <c r="D1011">
        <v>0.80773600183752703</v>
      </c>
      <c r="E1011">
        <v>0.60023255710656698</v>
      </c>
      <c r="F1011">
        <v>0.84734960759707301</v>
      </c>
      <c r="G1011">
        <v>0.82880376557742197</v>
      </c>
      <c r="H1011">
        <v>0.91309690384814202</v>
      </c>
      <c r="I1011">
        <v>0.99286490151949502</v>
      </c>
      <c r="J1011">
        <v>1.0296699498955899</v>
      </c>
      <c r="K1011">
        <v>1.5013063207941699</v>
      </c>
      <c r="L1011">
        <v>15000</v>
      </c>
      <c r="M1011">
        <v>221.11856039278399</v>
      </c>
      <c r="O1011">
        <v>67.831357005354803</v>
      </c>
      <c r="P1011">
        <v>0.40747848032051598</v>
      </c>
      <c r="Q1011">
        <v>1.5</v>
      </c>
      <c r="R1011">
        <v>0.384195576662618</v>
      </c>
      <c r="S1011" t="s">
        <v>7817</v>
      </c>
      <c r="T1011" t="s">
        <v>13610</v>
      </c>
      <c r="U1011" t="s">
        <v>13610</v>
      </c>
      <c r="V1011" t="s">
        <v>13610</v>
      </c>
      <c r="W1011" t="s">
        <v>14594</v>
      </c>
      <c r="X1011">
        <v>1</v>
      </c>
      <c r="Y1011" t="s">
        <v>21308</v>
      </c>
      <c r="Z1011" t="s">
        <v>27866</v>
      </c>
      <c r="AA1011">
        <v>1.035981314650807</v>
      </c>
      <c r="AB1011" t="str">
        <f>HYPERLINK("Melting_Curves/meltCurve_J3QTB2_CHCHD6.pdf", "Melting_Curves/meltCurve_J3QTB2_CHCHD6.pdf")</f>
        <v>Melting_Curves/meltCurve_J3QTB2_CHCHD6.pdf</v>
      </c>
    </row>
    <row r="1012" spans="1:28" x14ac:dyDescent="0.25">
      <c r="A1012" t="s">
        <v>1016</v>
      </c>
      <c r="B1012">
        <v>0.995954080203443</v>
      </c>
      <c r="C1012">
        <v>0.90921767025810596</v>
      </c>
      <c r="D1012">
        <v>0.82790650698092905</v>
      </c>
      <c r="E1012">
        <v>0.453853263112942</v>
      </c>
      <c r="F1012">
        <v>0.57011016940750303</v>
      </c>
      <c r="G1012">
        <v>0.63310220094837399</v>
      </c>
      <c r="H1012">
        <v>0.49903813514394402</v>
      </c>
      <c r="I1012">
        <v>0.37744870250419998</v>
      </c>
      <c r="J1012">
        <v>0.22755155128643301</v>
      </c>
      <c r="K1012">
        <v>0.21841690028838001</v>
      </c>
      <c r="L1012">
        <v>319.56825176006998</v>
      </c>
      <c r="M1012">
        <v>5.6158812376727401</v>
      </c>
      <c r="N1012">
        <v>56.904382095772498</v>
      </c>
      <c r="O1012">
        <v>50.917471322384003</v>
      </c>
      <c r="P1012">
        <v>-2.7686332060798902E-2</v>
      </c>
      <c r="Q1012">
        <v>0</v>
      </c>
      <c r="R1012">
        <v>0.85069499737942</v>
      </c>
      <c r="S1012" t="s">
        <v>7818</v>
      </c>
      <c r="T1012" t="s">
        <v>13610</v>
      </c>
      <c r="U1012" t="s">
        <v>13610</v>
      </c>
      <c r="V1012" t="s">
        <v>13610</v>
      </c>
      <c r="W1012" t="s">
        <v>14595</v>
      </c>
      <c r="X1012">
        <v>2</v>
      </c>
      <c r="Y1012" t="s">
        <v>21309</v>
      </c>
      <c r="Z1012" t="s">
        <v>27867</v>
      </c>
      <c r="AA1012">
        <v>0.56570829735587291</v>
      </c>
      <c r="AB1012" t="str">
        <f>HYPERLINK("Melting_Curves/meltCurve_J3QTM1_DNAH12.pdf", "Melting_Curves/meltCurve_J3QTM1_DNAH12.pdf")</f>
        <v>Melting_Curves/meltCurve_J3QTM1_DNAH12.pdf</v>
      </c>
    </row>
    <row r="1013" spans="1:28" x14ac:dyDescent="0.25">
      <c r="A1013" t="s">
        <v>1017</v>
      </c>
      <c r="B1013">
        <v>0.995954080203443</v>
      </c>
      <c r="C1013">
        <v>0.93391353707875602</v>
      </c>
      <c r="D1013">
        <v>0.85898065101497301</v>
      </c>
      <c r="E1013">
        <v>0.76829182861354595</v>
      </c>
      <c r="F1013">
        <v>0.77137597068418495</v>
      </c>
      <c r="G1013">
        <v>0.71971780093647697</v>
      </c>
      <c r="H1013">
        <v>0.67676348521901397</v>
      </c>
      <c r="I1013">
        <v>0.899460784902397</v>
      </c>
      <c r="J1013">
        <v>0.95671227960665295</v>
      </c>
      <c r="K1013">
        <v>1.05784957771423</v>
      </c>
      <c r="L1013">
        <v>1819.03823066376</v>
      </c>
      <c r="M1013">
        <v>41.9740888517656</v>
      </c>
      <c r="O1013">
        <v>43.239149260278403</v>
      </c>
      <c r="P1013">
        <v>-3.9613041296793501E-2</v>
      </c>
      <c r="Q1013">
        <v>0.83677251132802799</v>
      </c>
      <c r="R1013">
        <v>0.193407038637394</v>
      </c>
      <c r="S1013" t="s">
        <v>7819</v>
      </c>
      <c r="T1013" t="s">
        <v>13610</v>
      </c>
      <c r="U1013" t="s">
        <v>13610</v>
      </c>
      <c r="V1013" t="s">
        <v>13610</v>
      </c>
      <c r="W1013" t="s">
        <v>14596</v>
      </c>
      <c r="X1013">
        <v>26</v>
      </c>
      <c r="Y1013" t="s">
        <v>21310</v>
      </c>
      <c r="Z1013" t="s">
        <v>27868</v>
      </c>
      <c r="AA1013">
        <v>0.85550979272396555</v>
      </c>
      <c r="AB1013" t="str">
        <f>HYPERLINK("Melting_Curves/meltCurve_J3QTV4_RGPD2.pdf", "Melting_Curves/meltCurve_J3QTV4_RGPD2.pdf")</f>
        <v>Melting_Curves/meltCurve_J3QTV4_RGPD2.pdf</v>
      </c>
    </row>
    <row r="1014" spans="1:28" x14ac:dyDescent="0.25">
      <c r="A1014" t="s">
        <v>1018</v>
      </c>
      <c r="B1014">
        <v>0.995954080203443</v>
      </c>
      <c r="C1014">
        <v>0.78674096575340802</v>
      </c>
      <c r="D1014">
        <v>0.66431242903291299</v>
      </c>
      <c r="E1014">
        <v>0.77013453802564902</v>
      </c>
      <c r="F1014">
        <v>0.45435475579200502</v>
      </c>
      <c r="G1014">
        <v>0.21644264338366601</v>
      </c>
      <c r="H1014">
        <v>9.6560830838609696E-2</v>
      </c>
      <c r="I1014">
        <v>8.6974097364477795E-2</v>
      </c>
      <c r="J1014">
        <v>8.5237468052509896E-2</v>
      </c>
      <c r="K1014">
        <v>8.6868736930919094E-2</v>
      </c>
      <c r="L1014">
        <v>540.65213714164804</v>
      </c>
      <c r="M1014">
        <v>10.472424062455501</v>
      </c>
      <c r="N1014">
        <v>51.626251170656197</v>
      </c>
      <c r="O1014">
        <v>49.8503267193935</v>
      </c>
      <c r="P1014">
        <v>-5.2540740179373803E-2</v>
      </c>
      <c r="Q1014">
        <v>0</v>
      </c>
      <c r="R1014">
        <v>0.93651333694258898</v>
      </c>
      <c r="S1014" t="s">
        <v>7820</v>
      </c>
      <c r="T1014" t="s">
        <v>13610</v>
      </c>
      <c r="U1014" t="s">
        <v>13610</v>
      </c>
      <c r="V1014" t="s">
        <v>13610</v>
      </c>
      <c r="W1014" t="s">
        <v>14597</v>
      </c>
      <c r="X1014">
        <v>9</v>
      </c>
      <c r="Y1014" t="s">
        <v>21311</v>
      </c>
      <c r="Z1014" t="s">
        <v>27869</v>
      </c>
      <c r="AA1014">
        <v>0.424808834966999</v>
      </c>
      <c r="AB1014" t="str">
        <f>HYPERLINK("Melting_Curves/meltCurve_J9JIC5_C17orf75.pdf", "Melting_Curves/meltCurve_J9JIC5_C17orf75.pdf")</f>
        <v>Melting_Curves/meltCurve_J9JIC5_C17orf75.pdf</v>
      </c>
    </row>
    <row r="1015" spans="1:28" x14ac:dyDescent="0.25">
      <c r="A1015" t="s">
        <v>1019</v>
      </c>
      <c r="B1015">
        <v>0.995954080203443</v>
      </c>
      <c r="C1015">
        <v>0.93840348730827605</v>
      </c>
      <c r="D1015">
        <v>0.78697573648721997</v>
      </c>
      <c r="E1015">
        <v>0.49057648415086103</v>
      </c>
      <c r="F1015">
        <v>0.25950897094124897</v>
      </c>
      <c r="G1015">
        <v>0.157112621880241</v>
      </c>
      <c r="H1015">
        <v>0.12420527250421701</v>
      </c>
      <c r="I1015">
        <v>0.14353770611354499</v>
      </c>
      <c r="J1015">
        <v>0.194397180155267</v>
      </c>
      <c r="K1015">
        <v>0.18592132256938501</v>
      </c>
      <c r="L1015">
        <v>1018.15410575622</v>
      </c>
      <c r="M1015">
        <v>20.931565460701801</v>
      </c>
      <c r="N1015">
        <v>49.4825609848616</v>
      </c>
      <c r="O1015">
        <v>48.204607919111197</v>
      </c>
      <c r="P1015">
        <v>-9.2317890338286607E-2</v>
      </c>
      <c r="Q1015">
        <v>0.14960480321582101</v>
      </c>
      <c r="R1015">
        <v>0.99330426422176599</v>
      </c>
      <c r="S1015" t="s">
        <v>7821</v>
      </c>
      <c r="T1015" t="s">
        <v>13610</v>
      </c>
      <c r="U1015" t="s">
        <v>13610</v>
      </c>
      <c r="V1015" t="s">
        <v>13610</v>
      </c>
      <c r="W1015" t="s">
        <v>14598</v>
      </c>
      <c r="X1015">
        <v>5</v>
      </c>
      <c r="Y1015" t="s">
        <v>21312</v>
      </c>
      <c r="Z1015" t="s">
        <v>27870</v>
      </c>
      <c r="AA1015">
        <v>0.40546044725680408</v>
      </c>
      <c r="AB1015" t="str">
        <f>HYPERLINK("Melting_Curves/meltCurve_K4DI92_RWDD4.pdf", "Melting_Curves/meltCurve_K4DI92_RWDD4.pdf")</f>
        <v>Melting_Curves/meltCurve_K4DI92_RWDD4.pdf</v>
      </c>
    </row>
    <row r="1016" spans="1:28" x14ac:dyDescent="0.25">
      <c r="A1016" t="s">
        <v>1020</v>
      </c>
      <c r="B1016">
        <v>0.995954080203443</v>
      </c>
      <c r="C1016">
        <v>0.86770987675101996</v>
      </c>
      <c r="D1016">
        <v>0.71676007339324099</v>
      </c>
      <c r="E1016">
        <v>0.34255429432161499</v>
      </c>
      <c r="F1016">
        <v>0.16089871833343999</v>
      </c>
      <c r="G1016">
        <v>0.10112765493791601</v>
      </c>
      <c r="H1016">
        <v>6.6037682681808901E-2</v>
      </c>
      <c r="I1016">
        <v>6.1430034176928203E-2</v>
      </c>
      <c r="J1016">
        <v>6.5167796245562695E-2</v>
      </c>
      <c r="K1016">
        <v>6.1909165568316701E-2</v>
      </c>
      <c r="L1016">
        <v>919.05885565098004</v>
      </c>
      <c r="M1016">
        <v>19.226958808846799</v>
      </c>
      <c r="N1016">
        <v>48.093430064145302</v>
      </c>
      <c r="O1016">
        <v>47.292454050117797</v>
      </c>
      <c r="P1016">
        <v>-9.6026690919437302E-2</v>
      </c>
      <c r="Q1016">
        <v>5.5250456523191299E-2</v>
      </c>
      <c r="R1016">
        <v>0.99793201415730004</v>
      </c>
      <c r="S1016" t="s">
        <v>7822</v>
      </c>
      <c r="T1016" t="s">
        <v>13610</v>
      </c>
      <c r="U1016" t="s">
        <v>13610</v>
      </c>
      <c r="V1016" t="s">
        <v>13610</v>
      </c>
      <c r="W1016" t="s">
        <v>14508</v>
      </c>
      <c r="X1016">
        <v>40</v>
      </c>
      <c r="Y1016" t="s">
        <v>21223</v>
      </c>
      <c r="Z1016" t="s">
        <v>27871</v>
      </c>
      <c r="AA1016">
        <v>0.31557154865604659</v>
      </c>
      <c r="AB1016" t="str">
        <f>HYPERLINK("Melting_Curves/meltCurve_K7EIG1_CLUH.pdf", "Melting_Curves/meltCurve_K7EIG1_CLUH.pdf")</f>
        <v>Melting_Curves/meltCurve_K7EIG1_CLUH.pdf</v>
      </c>
    </row>
    <row r="1017" spans="1:28" x14ac:dyDescent="0.25">
      <c r="A1017" t="s">
        <v>1021</v>
      </c>
      <c r="B1017">
        <v>0.995954080203443</v>
      </c>
      <c r="C1017">
        <v>0.924115441317647</v>
      </c>
      <c r="D1017">
        <v>0.78073900123797702</v>
      </c>
      <c r="E1017">
        <v>0.66661837103621802</v>
      </c>
      <c r="F1017">
        <v>0.48313374941283899</v>
      </c>
      <c r="G1017">
        <v>0.373314703494392</v>
      </c>
      <c r="H1017">
        <v>0.19255032493596799</v>
      </c>
      <c r="I1017">
        <v>0.12452736874997899</v>
      </c>
      <c r="J1017">
        <v>9.6451329582599499E-2</v>
      </c>
      <c r="K1017">
        <v>9.8202932126640802E-2</v>
      </c>
      <c r="L1017">
        <v>535.50520635317798</v>
      </c>
      <c r="M1017">
        <v>10.105169157760599</v>
      </c>
      <c r="N1017">
        <v>52.993193956622001</v>
      </c>
      <c r="O1017">
        <v>51.043447451012</v>
      </c>
      <c r="P1017">
        <v>-4.9516107648439001E-2</v>
      </c>
      <c r="Q1017">
        <v>0</v>
      </c>
      <c r="R1017">
        <v>0.99373778796835599</v>
      </c>
      <c r="S1017" t="s">
        <v>7823</v>
      </c>
      <c r="T1017" t="s">
        <v>13610</v>
      </c>
      <c r="U1017" t="s">
        <v>13610</v>
      </c>
      <c r="V1017" t="s">
        <v>13610</v>
      </c>
      <c r="W1017" t="s">
        <v>14599</v>
      </c>
      <c r="X1017">
        <v>5</v>
      </c>
      <c r="Y1017" t="s">
        <v>21313</v>
      </c>
      <c r="Z1017" t="s">
        <v>27872</v>
      </c>
      <c r="AA1017">
        <v>0.4670187028751619</v>
      </c>
      <c r="AB1017" t="str">
        <f>HYPERLINK("Melting_Curves/meltCurve_K7EIJ0_WBP2.pdf", "Melting_Curves/meltCurve_K7EIJ0_WBP2.pdf")</f>
        <v>Melting_Curves/meltCurve_K7EIJ0_WBP2.pdf</v>
      </c>
    </row>
    <row r="1018" spans="1:28" x14ac:dyDescent="0.25">
      <c r="A1018" t="s">
        <v>1022</v>
      </c>
      <c r="B1018">
        <v>0.995954080203443</v>
      </c>
      <c r="C1018">
        <v>1.0001436213255299</v>
      </c>
      <c r="D1018">
        <v>0.86540193865447201</v>
      </c>
      <c r="E1018">
        <v>0.66200038286276897</v>
      </c>
      <c r="F1018">
        <v>0.27410124972804201</v>
      </c>
      <c r="G1018">
        <v>0.174972551420429</v>
      </c>
      <c r="H1018">
        <v>0.12452667587864701</v>
      </c>
      <c r="I1018">
        <v>0.102596286701417</v>
      </c>
      <c r="J1018">
        <v>0.119937158144475</v>
      </c>
      <c r="K1018">
        <v>0.10868520441248999</v>
      </c>
      <c r="L1018">
        <v>1248.2883306164499</v>
      </c>
      <c r="M1018">
        <v>24.704831830203499</v>
      </c>
      <c r="N1018">
        <v>51.029587991611301</v>
      </c>
      <c r="O1018">
        <v>50.200523725275303</v>
      </c>
      <c r="P1018">
        <v>-0.109772400724385</v>
      </c>
      <c r="Q1018">
        <v>0.107777075581574</v>
      </c>
      <c r="R1018">
        <v>0.99321275245153096</v>
      </c>
      <c r="S1018" t="s">
        <v>7824</v>
      </c>
      <c r="T1018" t="s">
        <v>13610</v>
      </c>
      <c r="U1018" t="s">
        <v>13610</v>
      </c>
      <c r="V1018" t="s">
        <v>13610</v>
      </c>
      <c r="W1018" t="s">
        <v>14600</v>
      </c>
      <c r="X1018">
        <v>4</v>
      </c>
      <c r="Y1018" t="s">
        <v>21314</v>
      </c>
      <c r="Z1018" t="s">
        <v>27873</v>
      </c>
      <c r="AA1018">
        <v>0.42910131942095808</v>
      </c>
      <c r="AB1018" t="str">
        <f>HYPERLINK("Melting_Curves/meltCurve_K7EIN2_NUDT16L1.pdf", "Melting_Curves/meltCurve_K7EIN2_NUDT16L1.pdf")</f>
        <v>Melting_Curves/meltCurve_K7EIN2_NUDT16L1.pdf</v>
      </c>
    </row>
    <row r="1019" spans="1:28" x14ac:dyDescent="0.25">
      <c r="A1019" t="s">
        <v>1023</v>
      </c>
      <c r="B1019">
        <v>0.995954080203443</v>
      </c>
      <c r="C1019">
        <v>1.0699766166204301</v>
      </c>
      <c r="D1019">
        <v>0.97247286412669498</v>
      </c>
      <c r="E1019">
        <v>0.79363657586393099</v>
      </c>
      <c r="F1019">
        <v>0.54691370712867404</v>
      </c>
      <c r="G1019">
        <v>0.37596668241681203</v>
      </c>
      <c r="H1019">
        <v>0.23135538385009999</v>
      </c>
      <c r="I1019">
        <v>0.22953342237385699</v>
      </c>
      <c r="J1019">
        <v>0.207099406055097</v>
      </c>
      <c r="K1019">
        <v>0.12928749980468399</v>
      </c>
      <c r="L1019">
        <v>985.178941556219</v>
      </c>
      <c r="M1019">
        <v>18.6170962167044</v>
      </c>
      <c r="N1019">
        <v>54.140570562370698</v>
      </c>
      <c r="O1019">
        <v>52.318746908420003</v>
      </c>
      <c r="P1019">
        <v>-7.3696602114145707E-2</v>
      </c>
      <c r="Q1019">
        <v>0.17161145468322</v>
      </c>
      <c r="R1019">
        <v>0.98975107381381</v>
      </c>
      <c r="S1019" t="s">
        <v>7825</v>
      </c>
      <c r="T1019" t="s">
        <v>13610</v>
      </c>
      <c r="U1019" t="s">
        <v>13610</v>
      </c>
      <c r="V1019" t="s">
        <v>13610</v>
      </c>
      <c r="W1019" t="s">
        <v>14601</v>
      </c>
      <c r="X1019">
        <v>1</v>
      </c>
      <c r="Y1019" t="s">
        <v>21315</v>
      </c>
      <c r="Z1019" t="s">
        <v>27874</v>
      </c>
      <c r="AA1019">
        <v>0.54117445127836461</v>
      </c>
      <c r="AB1019" t="str">
        <f>HYPERLINK("Melting_Curves/meltCurve_K7EIP0_ACP5.pdf", "Melting_Curves/meltCurve_K7EIP0_ACP5.pdf")</f>
        <v>Melting_Curves/meltCurve_K7EIP0_ACP5.pdf</v>
      </c>
    </row>
    <row r="1020" spans="1:28" x14ac:dyDescent="0.25">
      <c r="A1020" t="s">
        <v>1024</v>
      </c>
      <c r="B1020">
        <v>0.995954080203443</v>
      </c>
      <c r="C1020">
        <v>0.936414925121556</v>
      </c>
      <c r="D1020">
        <v>0.83876729164511599</v>
      </c>
      <c r="E1020">
        <v>0.74182153901716497</v>
      </c>
      <c r="F1020">
        <v>0.59687021492701497</v>
      </c>
      <c r="G1020">
        <v>0.29893911476037399</v>
      </c>
      <c r="H1020">
        <v>0.14556134638205501</v>
      </c>
      <c r="I1020">
        <v>6.0565537580733901E-2</v>
      </c>
      <c r="J1020">
        <v>5.8860495408709697E-2</v>
      </c>
      <c r="K1020">
        <v>5.6451970752234397E-2</v>
      </c>
      <c r="L1020">
        <v>733.54197277101002</v>
      </c>
      <c r="M1020">
        <v>13.6624708705034</v>
      </c>
      <c r="N1020">
        <v>53.690287575629597</v>
      </c>
      <c r="O1020">
        <v>52.579229464892499</v>
      </c>
      <c r="P1020">
        <v>-6.49708050803805E-2</v>
      </c>
      <c r="Q1020">
        <v>0</v>
      </c>
      <c r="R1020">
        <v>0.99198330000608004</v>
      </c>
      <c r="S1020" t="s">
        <v>7826</v>
      </c>
      <c r="T1020" t="s">
        <v>13610</v>
      </c>
      <c r="U1020" t="s">
        <v>13610</v>
      </c>
      <c r="V1020" t="s">
        <v>13610</v>
      </c>
      <c r="W1020" t="s">
        <v>14602</v>
      </c>
      <c r="X1020">
        <v>13</v>
      </c>
      <c r="Y1020" t="s">
        <v>21316</v>
      </c>
      <c r="Z1020" t="s">
        <v>27875</v>
      </c>
      <c r="AA1020">
        <v>0.47972141286310271</v>
      </c>
      <c r="AB1020" t="str">
        <f>HYPERLINK("Melting_Curves/meltCurve_K7EIU8_SMAD4.pdf", "Melting_Curves/meltCurve_K7EIU8_SMAD4.pdf")</f>
        <v>Melting_Curves/meltCurve_K7EIU8_SMAD4.pdf</v>
      </c>
    </row>
    <row r="1021" spans="1:28" x14ac:dyDescent="0.25">
      <c r="A1021" t="s">
        <v>1025</v>
      </c>
      <c r="B1021">
        <v>0.995954080203443</v>
      </c>
      <c r="C1021">
        <v>0.92120722341439998</v>
      </c>
      <c r="D1021">
        <v>0.65770733921179303</v>
      </c>
      <c r="E1021">
        <v>0.44854183651336998</v>
      </c>
      <c r="F1021">
        <v>0.20434000380502099</v>
      </c>
      <c r="G1021">
        <v>0.10528880225503801</v>
      </c>
      <c r="H1021">
        <v>8.49674477021818E-2</v>
      </c>
      <c r="I1021">
        <v>7.9507176433444696E-2</v>
      </c>
      <c r="J1021">
        <v>9.1989787731402803E-2</v>
      </c>
      <c r="K1021">
        <v>8.9232535782969205E-2</v>
      </c>
      <c r="L1021">
        <v>822.25617932300599</v>
      </c>
      <c r="M1021">
        <v>17.086053772063899</v>
      </c>
      <c r="N1021">
        <v>48.5486277598445</v>
      </c>
      <c r="O1021">
        <v>47.4796820855262</v>
      </c>
      <c r="P1021">
        <v>-8.3731228606170494E-2</v>
      </c>
      <c r="Q1021">
        <v>6.9348158617780195E-2</v>
      </c>
      <c r="R1021">
        <v>0.99251017357886595</v>
      </c>
      <c r="S1021" t="s">
        <v>7827</v>
      </c>
      <c r="T1021" t="s">
        <v>13610</v>
      </c>
      <c r="U1021" t="s">
        <v>13610</v>
      </c>
      <c r="V1021" t="s">
        <v>13610</v>
      </c>
      <c r="W1021" t="s">
        <v>14603</v>
      </c>
      <c r="X1021">
        <v>1</v>
      </c>
      <c r="Y1021" t="s">
        <v>21317</v>
      </c>
      <c r="Z1021" t="s">
        <v>27876</v>
      </c>
      <c r="AA1021">
        <v>0.33970221991113958</v>
      </c>
      <c r="AB1021" t="str">
        <f>HYPERLINK("Melting_Curves/meltCurve_K7EJ08_SEC14L1.pdf", "Melting_Curves/meltCurve_K7EJ08_SEC14L1.pdf")</f>
        <v>Melting_Curves/meltCurve_K7EJ08_SEC14L1.pdf</v>
      </c>
    </row>
    <row r="1022" spans="1:28" x14ac:dyDescent="0.25">
      <c r="A1022" t="s">
        <v>1026</v>
      </c>
      <c r="B1022">
        <v>0.995954080203443</v>
      </c>
      <c r="C1022">
        <v>0.92603967027968304</v>
      </c>
      <c r="D1022">
        <v>0.89416974026956397</v>
      </c>
      <c r="E1022">
        <v>0.71685620571859598</v>
      </c>
      <c r="F1022">
        <v>0.37041308823351898</v>
      </c>
      <c r="G1022">
        <v>0.17995737371273399</v>
      </c>
      <c r="H1022">
        <v>7.8648194256876899E-2</v>
      </c>
      <c r="I1022">
        <v>7.5346891390352805E-2</v>
      </c>
      <c r="J1022">
        <v>0.117980550241678</v>
      </c>
      <c r="K1022">
        <v>2.5581687183457401E-2</v>
      </c>
      <c r="L1022">
        <v>1052.34086638026</v>
      </c>
      <c r="M1022">
        <v>20.411928717107301</v>
      </c>
      <c r="N1022">
        <v>51.8610680750173</v>
      </c>
      <c r="O1022">
        <v>51.068012973026399</v>
      </c>
      <c r="P1022">
        <v>-9.4261062216807606E-2</v>
      </c>
      <c r="Q1022">
        <v>5.6712241664818301E-2</v>
      </c>
      <c r="R1022">
        <v>0.991915351326905</v>
      </c>
      <c r="S1022" t="s">
        <v>7828</v>
      </c>
      <c r="T1022" t="s">
        <v>13610</v>
      </c>
      <c r="U1022" t="s">
        <v>13610</v>
      </c>
      <c r="V1022" t="s">
        <v>13610</v>
      </c>
      <c r="W1022" t="s">
        <v>14604</v>
      </c>
      <c r="X1022">
        <v>1</v>
      </c>
      <c r="Y1022" t="s">
        <v>21318</v>
      </c>
      <c r="Z1022" t="s">
        <v>27877</v>
      </c>
      <c r="AA1022">
        <v>0.43263593269373379</v>
      </c>
      <c r="AB1022" t="str">
        <f>HYPERLINK("Melting_Curves/meltCurve_K7EJ32_SPHK1.pdf", "Melting_Curves/meltCurve_K7EJ32_SPHK1.pdf")</f>
        <v>Melting_Curves/meltCurve_K7EJ32_SPHK1.pdf</v>
      </c>
    </row>
    <row r="1023" spans="1:28" x14ac:dyDescent="0.25">
      <c r="A1023" t="s">
        <v>1027</v>
      </c>
      <c r="B1023">
        <v>0.995954080203443</v>
      </c>
      <c r="C1023">
        <v>0.88007976496348705</v>
      </c>
      <c r="D1023">
        <v>0.55816184701777805</v>
      </c>
      <c r="E1023">
        <v>1.1236414026691</v>
      </c>
      <c r="F1023">
        <v>0.94024408223981004</v>
      </c>
      <c r="G1023">
        <v>0.79569274619753705</v>
      </c>
      <c r="H1023">
        <v>0.47439580304807</v>
      </c>
      <c r="I1023">
        <v>5.5218196600357303E-2</v>
      </c>
      <c r="J1023">
        <v>2.4080109235846001E-2</v>
      </c>
      <c r="K1023">
        <v>2.9806918564969299E-2</v>
      </c>
      <c r="L1023">
        <v>1834.62474776927</v>
      </c>
      <c r="M1023">
        <v>30.4808939211932</v>
      </c>
      <c r="N1023">
        <v>60.189335366578497</v>
      </c>
      <c r="O1023">
        <v>59.932045461677802</v>
      </c>
      <c r="P1023">
        <v>-0.12714850603918401</v>
      </c>
      <c r="Q1023">
        <v>0</v>
      </c>
      <c r="R1023">
        <v>0.85110395481641798</v>
      </c>
      <c r="S1023" t="s">
        <v>7829</v>
      </c>
      <c r="T1023" t="s">
        <v>13610</v>
      </c>
      <c r="U1023" t="s">
        <v>13610</v>
      </c>
      <c r="V1023" t="s">
        <v>13610</v>
      </c>
      <c r="W1023" t="s">
        <v>14478</v>
      </c>
      <c r="X1023">
        <v>17</v>
      </c>
      <c r="Y1023" t="s">
        <v>21194</v>
      </c>
      <c r="Z1023" t="s">
        <v>27878</v>
      </c>
      <c r="AA1023">
        <v>0.67885048825070249</v>
      </c>
      <c r="AB1023" t="str">
        <f>HYPERLINK("Melting_Curves/meltCurve_K7EJH8_ACTN4.pdf", "Melting_Curves/meltCurve_K7EJH8_ACTN4.pdf")</f>
        <v>Melting_Curves/meltCurve_K7EJH8_ACTN4.pdf</v>
      </c>
    </row>
    <row r="1024" spans="1:28" x14ac:dyDescent="0.25">
      <c r="A1024" t="s">
        <v>1028</v>
      </c>
      <c r="B1024">
        <v>0.995954080203443</v>
      </c>
      <c r="C1024">
        <v>1.2396315936877</v>
      </c>
      <c r="D1024">
        <v>1.34030013408255</v>
      </c>
      <c r="E1024">
        <v>1.19990916293372</v>
      </c>
      <c r="F1024">
        <v>0.96635229478131401</v>
      </c>
      <c r="G1024">
        <v>0.59829883764699798</v>
      </c>
      <c r="H1024">
        <v>0.17670216437630701</v>
      </c>
      <c r="I1024">
        <v>7.0277105345601401E-2</v>
      </c>
      <c r="J1024">
        <v>7.5396450397755596E-2</v>
      </c>
      <c r="K1024">
        <v>7.0396924790345802E-2</v>
      </c>
      <c r="L1024">
        <v>2261.16711260886</v>
      </c>
      <c r="M1024">
        <v>39.360455217261297</v>
      </c>
      <c r="N1024">
        <v>57.670782528695</v>
      </c>
      <c r="O1024">
        <v>57.300002578201699</v>
      </c>
      <c r="P1024">
        <v>-0.15960148133452301</v>
      </c>
      <c r="Q1024">
        <v>7.06261612252332E-2</v>
      </c>
      <c r="R1024">
        <v>0.91630291827948795</v>
      </c>
      <c r="S1024" t="s">
        <v>7830</v>
      </c>
      <c r="T1024" t="s">
        <v>13610</v>
      </c>
      <c r="U1024" t="s">
        <v>13610</v>
      </c>
      <c r="V1024" t="s">
        <v>13610</v>
      </c>
      <c r="W1024" t="s">
        <v>14605</v>
      </c>
      <c r="X1024">
        <v>2</v>
      </c>
      <c r="Y1024" t="s">
        <v>21319</v>
      </c>
      <c r="Z1024" t="s">
        <v>27879</v>
      </c>
      <c r="AA1024">
        <v>0.61489220843255565</v>
      </c>
      <c r="AB1024" t="str">
        <f>HYPERLINK("Melting_Curves/meltCurve_K7EJQ7_SEC11C.pdf", "Melting_Curves/meltCurve_K7EJQ7_SEC11C.pdf")</f>
        <v>Melting_Curves/meltCurve_K7EJQ7_SEC11C.pdf</v>
      </c>
    </row>
    <row r="1025" spans="1:28" x14ac:dyDescent="0.25">
      <c r="A1025" t="s">
        <v>1029</v>
      </c>
      <c r="B1025">
        <v>0.995954080203443</v>
      </c>
      <c r="C1025">
        <v>1.09369025099793</v>
      </c>
      <c r="D1025">
        <v>1.13352660319836</v>
      </c>
      <c r="E1025">
        <v>1.02756217793376</v>
      </c>
      <c r="F1025">
        <v>0.83191913593067901</v>
      </c>
      <c r="G1025">
        <v>0.39041988576416897</v>
      </c>
      <c r="H1025">
        <v>0.29556786477347802</v>
      </c>
      <c r="I1025">
        <v>0.271297422322542</v>
      </c>
      <c r="J1025">
        <v>0.41482599058958503</v>
      </c>
      <c r="K1025">
        <v>0.315215816151451</v>
      </c>
      <c r="L1025">
        <v>2710.9152356177401</v>
      </c>
      <c r="M1025">
        <v>49.994950734816598</v>
      </c>
      <c r="N1025">
        <v>55.391161750015897</v>
      </c>
      <c r="O1025">
        <v>54.137235759003097</v>
      </c>
      <c r="P1025">
        <v>-0.15568374024486401</v>
      </c>
      <c r="Q1025">
        <v>0.32566948892096098</v>
      </c>
      <c r="R1025">
        <v>0.96703487261867005</v>
      </c>
      <c r="S1025" t="s">
        <v>7831</v>
      </c>
      <c r="T1025" t="s">
        <v>13610</v>
      </c>
      <c r="U1025" t="s">
        <v>13610</v>
      </c>
      <c r="V1025" t="s">
        <v>13610</v>
      </c>
      <c r="W1025" t="s">
        <v>14606</v>
      </c>
      <c r="X1025">
        <v>1</v>
      </c>
      <c r="Y1025" t="s">
        <v>21320</v>
      </c>
      <c r="Z1025" t="s">
        <v>27880</v>
      </c>
      <c r="AA1025">
        <v>0.64699979541529018</v>
      </c>
      <c r="AB1025" t="str">
        <f>HYPERLINK("Melting_Curves/meltCurve_K7EJS4_SPINT2.pdf", "Melting_Curves/meltCurve_K7EJS4_SPINT2.pdf")</f>
        <v>Melting_Curves/meltCurve_K7EJS4_SPINT2.pdf</v>
      </c>
    </row>
    <row r="1026" spans="1:28" x14ac:dyDescent="0.25">
      <c r="A1026" t="s">
        <v>1030</v>
      </c>
      <c r="B1026">
        <v>0.995954080203443</v>
      </c>
      <c r="C1026">
        <v>0.91564179545893798</v>
      </c>
      <c r="D1026">
        <v>0.99189691831683702</v>
      </c>
      <c r="E1026">
        <v>0.48665358136118297</v>
      </c>
      <c r="F1026">
        <v>0.27676389219438502</v>
      </c>
      <c r="G1026">
        <v>0.154648570050855</v>
      </c>
      <c r="H1026">
        <v>0.104314211535374</v>
      </c>
      <c r="I1026">
        <v>7.6266123858261994E-2</v>
      </c>
      <c r="J1026">
        <v>8.5610024095119905E-2</v>
      </c>
      <c r="K1026">
        <v>7.7210214321863202E-2</v>
      </c>
      <c r="L1026">
        <v>1380.5371205459001</v>
      </c>
      <c r="M1026">
        <v>27.6883179988546</v>
      </c>
      <c r="N1026">
        <v>50.240971473208603</v>
      </c>
      <c r="O1026">
        <v>49.602013058674899</v>
      </c>
      <c r="P1026">
        <v>-0.126337049730229</v>
      </c>
      <c r="Q1026">
        <v>9.4706306057743203E-2</v>
      </c>
      <c r="R1026">
        <v>0.98907182273350003</v>
      </c>
      <c r="S1026" t="s">
        <v>7832</v>
      </c>
      <c r="T1026" t="s">
        <v>13610</v>
      </c>
      <c r="U1026" t="s">
        <v>13610</v>
      </c>
      <c r="V1026" t="s">
        <v>13610</v>
      </c>
      <c r="W1026" t="s">
        <v>14607</v>
      </c>
      <c r="X1026">
        <v>5</v>
      </c>
      <c r="Y1026" t="s">
        <v>21321</v>
      </c>
      <c r="Z1026" t="s">
        <v>27881</v>
      </c>
      <c r="AA1026">
        <v>0.39881594495814648</v>
      </c>
      <c r="AB1026" t="str">
        <f>HYPERLINK("Melting_Curves/meltCurve_K7EK07_H3F3B.pdf", "Melting_Curves/meltCurve_K7EK07_H3F3B.pdf")</f>
        <v>Melting_Curves/meltCurve_K7EK07_H3F3B.pdf</v>
      </c>
    </row>
    <row r="1027" spans="1:28" x14ac:dyDescent="0.25">
      <c r="A1027" t="s">
        <v>1031</v>
      </c>
      <c r="B1027">
        <v>0.995954080203443</v>
      </c>
      <c r="C1027">
        <v>0.91622111581362997</v>
      </c>
      <c r="D1027">
        <v>0.81616482253364797</v>
      </c>
      <c r="E1027">
        <v>0.41249729984674199</v>
      </c>
      <c r="F1027">
        <v>0.13078034840266101</v>
      </c>
      <c r="G1027">
        <v>7.3432948689480804E-2</v>
      </c>
      <c r="H1027">
        <v>4.8258996181789401E-2</v>
      </c>
      <c r="I1027">
        <v>4.5130872394498901E-2</v>
      </c>
      <c r="J1027">
        <v>5.2194311162699999E-2</v>
      </c>
      <c r="K1027">
        <v>4.7199910469527297E-2</v>
      </c>
      <c r="L1027">
        <v>1141.91065911637</v>
      </c>
      <c r="M1027">
        <v>23.403923272916401</v>
      </c>
      <c r="N1027">
        <v>48.966179366516599</v>
      </c>
      <c r="O1027">
        <v>48.439412470231197</v>
      </c>
      <c r="P1027">
        <v>-0.115952042802244</v>
      </c>
      <c r="Q1027">
        <v>4.0067276370960497E-2</v>
      </c>
      <c r="R1027">
        <v>0.99692033684065495</v>
      </c>
      <c r="S1027" t="s">
        <v>7833</v>
      </c>
      <c r="T1027" t="s">
        <v>13610</v>
      </c>
      <c r="U1027" t="s">
        <v>13610</v>
      </c>
      <c r="V1027" t="s">
        <v>13610</v>
      </c>
      <c r="W1027" t="s">
        <v>14608</v>
      </c>
      <c r="X1027">
        <v>41</v>
      </c>
      <c r="Y1027" t="s">
        <v>21322</v>
      </c>
      <c r="Z1027" t="s">
        <v>27882</v>
      </c>
      <c r="AA1027">
        <v>0.33111417514127439</v>
      </c>
      <c r="AB1027" t="str">
        <f>HYPERLINK("Melting_Curves/meltCurve_K7EK35_STAT5A.pdf", "Melting_Curves/meltCurve_K7EK35_STAT5A.pdf")</f>
        <v>Melting_Curves/meltCurve_K7EK35_STAT5A.pdf</v>
      </c>
    </row>
    <row r="1028" spans="1:28" x14ac:dyDescent="0.25">
      <c r="A1028" t="s">
        <v>1032</v>
      </c>
      <c r="B1028">
        <v>0.995954080203443</v>
      </c>
      <c r="C1028">
        <v>0.94092648793525402</v>
      </c>
      <c r="D1028">
        <v>0.65420615954791295</v>
      </c>
      <c r="E1028">
        <v>0.32605401420167202</v>
      </c>
      <c r="F1028">
        <v>0.18586068971981901</v>
      </c>
      <c r="G1028">
        <v>0.11494755567801999</v>
      </c>
      <c r="H1028">
        <v>7.67403228815874E-2</v>
      </c>
      <c r="I1028">
        <v>6.0267786227500002E-2</v>
      </c>
      <c r="J1028">
        <v>7.2791022662921104E-2</v>
      </c>
      <c r="K1028">
        <v>6.0155627880569898E-2</v>
      </c>
      <c r="L1028">
        <v>949.93161944365204</v>
      </c>
      <c r="M1028">
        <v>19.986704706010901</v>
      </c>
      <c r="N1028">
        <v>47.879042248847298</v>
      </c>
      <c r="O1028">
        <v>47.060078886070499</v>
      </c>
      <c r="P1028">
        <v>-9.8947039786461799E-2</v>
      </c>
      <c r="Q1028">
        <v>6.8120294140305002E-2</v>
      </c>
      <c r="R1028">
        <v>0.99744361333664</v>
      </c>
      <c r="S1028" t="s">
        <v>7834</v>
      </c>
      <c r="T1028" t="s">
        <v>13610</v>
      </c>
      <c r="U1028" t="s">
        <v>13610</v>
      </c>
      <c r="V1028" t="s">
        <v>13610</v>
      </c>
      <c r="W1028" t="s">
        <v>14609</v>
      </c>
      <c r="X1028">
        <v>43</v>
      </c>
      <c r="Y1028" t="s">
        <v>21323</v>
      </c>
      <c r="Z1028" t="s">
        <v>27883</v>
      </c>
      <c r="AA1028">
        <v>0.3153822511186905</v>
      </c>
      <c r="AB1028" t="str">
        <f>HYPERLINK("Melting_Curves/meltCurve_K7EKE6_LONP1.pdf", "Melting_Curves/meltCurve_K7EKE6_LONP1.pdf")</f>
        <v>Melting_Curves/meltCurve_K7EKE6_LONP1.pdf</v>
      </c>
    </row>
    <row r="1029" spans="1:28" x14ac:dyDescent="0.25">
      <c r="A1029" t="s">
        <v>1033</v>
      </c>
      <c r="B1029">
        <v>0.995954080203443</v>
      </c>
      <c r="C1029">
        <v>0.960650902404943</v>
      </c>
      <c r="D1029">
        <v>1.12085153352415</v>
      </c>
      <c r="E1029">
        <v>0.82024182846430105</v>
      </c>
      <c r="F1029">
        <v>0.759033418323659</v>
      </c>
      <c r="G1029">
        <v>0.53306244790169</v>
      </c>
      <c r="H1029">
        <v>0.29707064478324102</v>
      </c>
      <c r="I1029">
        <v>0.23906106231442001</v>
      </c>
      <c r="J1029">
        <v>0.179358560299817</v>
      </c>
      <c r="K1029">
        <v>0.20093390540858799</v>
      </c>
      <c r="L1029">
        <v>935.659038903392</v>
      </c>
      <c r="M1029">
        <v>16.752868045914099</v>
      </c>
      <c r="N1029">
        <v>57.065776437099103</v>
      </c>
      <c r="O1029">
        <v>55.073110375442802</v>
      </c>
      <c r="P1029">
        <v>-6.4644200875212096E-2</v>
      </c>
      <c r="Q1029">
        <v>0.150014734824305</v>
      </c>
      <c r="R1029">
        <v>0.97520368093633303</v>
      </c>
      <c r="S1029" t="s">
        <v>7835</v>
      </c>
      <c r="T1029" t="s">
        <v>13610</v>
      </c>
      <c r="U1029" t="s">
        <v>13610</v>
      </c>
      <c r="V1029" t="s">
        <v>13610</v>
      </c>
      <c r="W1029" t="s">
        <v>14610</v>
      </c>
      <c r="X1029">
        <v>4</v>
      </c>
      <c r="Y1029" t="s">
        <v>21324</v>
      </c>
      <c r="Z1029" t="s">
        <v>27884</v>
      </c>
      <c r="AA1029">
        <v>0.61282492791688015</v>
      </c>
      <c r="AB1029" t="str">
        <f>HYPERLINK("Melting_Curves/meltCurve_K7EKG9_ATXN7L3.pdf", "Melting_Curves/meltCurve_K7EKG9_ATXN7L3.pdf")</f>
        <v>Melting_Curves/meltCurve_K7EKG9_ATXN7L3.pdf</v>
      </c>
    </row>
    <row r="1030" spans="1:28" x14ac:dyDescent="0.25">
      <c r="A1030" t="s">
        <v>1034</v>
      </c>
      <c r="B1030">
        <v>0.995954080203443</v>
      </c>
      <c r="C1030">
        <v>0.74066749994067904</v>
      </c>
      <c r="D1030">
        <v>0.96903769212510704</v>
      </c>
      <c r="E1030">
        <v>0.64018758341846504</v>
      </c>
      <c r="F1030">
        <v>0.630374852456556</v>
      </c>
      <c r="G1030">
        <v>0.30541027716402902</v>
      </c>
      <c r="H1030">
        <v>7.8877211461652399E-2</v>
      </c>
      <c r="I1030">
        <v>5.2463877337020598E-2</v>
      </c>
      <c r="J1030">
        <v>7.14503238849067E-2</v>
      </c>
      <c r="K1030">
        <v>5.4631648092077503E-2</v>
      </c>
      <c r="L1030">
        <v>716.14221460552994</v>
      </c>
      <c r="M1030">
        <v>13.4217008317344</v>
      </c>
      <c r="N1030">
        <v>53.357042060981897</v>
      </c>
      <c r="O1030">
        <v>52.2143252925447</v>
      </c>
      <c r="P1030">
        <v>-6.4272572757127305E-2</v>
      </c>
      <c r="Q1030">
        <v>0</v>
      </c>
      <c r="R1030">
        <v>0.93998957118786997</v>
      </c>
      <c r="S1030" t="s">
        <v>7836</v>
      </c>
      <c r="T1030" t="s">
        <v>13610</v>
      </c>
      <c r="U1030" t="s">
        <v>13610</v>
      </c>
      <c r="V1030" t="s">
        <v>13610</v>
      </c>
      <c r="W1030" t="s">
        <v>14611</v>
      </c>
      <c r="X1030">
        <v>1</v>
      </c>
      <c r="Y1030" t="s">
        <v>21325</v>
      </c>
      <c r="Z1030" t="s">
        <v>27885</v>
      </c>
      <c r="AA1030">
        <v>0.46962580770090828</v>
      </c>
      <c r="AB1030" t="str">
        <f>HYPERLINK("Melting_Curves/meltCurve_K7EKI8_PPL.pdf", "Melting_Curves/meltCurve_K7EKI8_PPL.pdf")</f>
        <v>Melting_Curves/meltCurve_K7EKI8_PPL.pdf</v>
      </c>
    </row>
    <row r="1031" spans="1:28" x14ac:dyDescent="0.25">
      <c r="A1031" t="s">
        <v>1035</v>
      </c>
      <c r="B1031">
        <v>0.995954080203443</v>
      </c>
      <c r="C1031">
        <v>1.0121083840624501</v>
      </c>
      <c r="D1031">
        <v>0.91249947890572902</v>
      </c>
      <c r="E1031">
        <v>0.79024669469671305</v>
      </c>
      <c r="F1031">
        <v>0.569527779605845</v>
      </c>
      <c r="G1031">
        <v>0.45797637475854502</v>
      </c>
      <c r="H1031">
        <v>0.33255702311270102</v>
      </c>
      <c r="I1031">
        <v>0.382424361121811</v>
      </c>
      <c r="J1031">
        <v>0.36090985335054898</v>
      </c>
      <c r="K1031">
        <v>0.45259964152998799</v>
      </c>
      <c r="L1031">
        <v>1133.3318976156099</v>
      </c>
      <c r="M1031">
        <v>22.1317300533664</v>
      </c>
      <c r="N1031">
        <v>54.719456402740697</v>
      </c>
      <c r="O1031">
        <v>50.795875099651298</v>
      </c>
      <c r="P1031">
        <v>-6.7627564308283594E-2</v>
      </c>
      <c r="Q1031">
        <v>0.379148983830847</v>
      </c>
      <c r="R1031">
        <v>0.981176498848359</v>
      </c>
      <c r="S1031" t="s">
        <v>7837</v>
      </c>
      <c r="T1031" t="s">
        <v>13610</v>
      </c>
      <c r="U1031" t="s">
        <v>13610</v>
      </c>
      <c r="V1031" t="s">
        <v>13610</v>
      </c>
      <c r="W1031" t="s">
        <v>14612</v>
      </c>
      <c r="X1031">
        <v>2</v>
      </c>
      <c r="Y1031" t="s">
        <v>21326</v>
      </c>
      <c r="Z1031" t="s">
        <v>27886</v>
      </c>
      <c r="AA1031">
        <v>0.61822595482706066</v>
      </c>
      <c r="AB1031" t="str">
        <f>HYPERLINK("Melting_Curves/meltCurve_K7EKI9_ZNF235.pdf", "Melting_Curves/meltCurve_K7EKI9_ZNF235.pdf")</f>
        <v>Melting_Curves/meltCurve_K7EKI9_ZNF235.pdf</v>
      </c>
    </row>
    <row r="1032" spans="1:28" x14ac:dyDescent="0.25">
      <c r="A1032" t="s">
        <v>1036</v>
      </c>
      <c r="B1032">
        <v>0.995954080203443</v>
      </c>
      <c r="C1032">
        <v>0.378186796092088</v>
      </c>
      <c r="D1032">
        <v>0.34446456073730097</v>
      </c>
      <c r="E1032">
        <v>0.57330705008526595</v>
      </c>
      <c r="F1032">
        <v>0.27975532933602199</v>
      </c>
      <c r="G1032">
        <v>0.13483896242332599</v>
      </c>
      <c r="H1032">
        <v>0.20626439557380299</v>
      </c>
      <c r="I1032">
        <v>0.15434088785403</v>
      </c>
      <c r="J1032">
        <v>0.13260749227822499</v>
      </c>
      <c r="K1032">
        <v>8.8141003933877402E-2</v>
      </c>
      <c r="L1032">
        <v>429.54564824779402</v>
      </c>
      <c r="M1032">
        <v>9.7446991644055991</v>
      </c>
      <c r="N1032">
        <v>45.2950049009644</v>
      </c>
      <c r="O1032">
        <v>42.343788883782402</v>
      </c>
      <c r="P1032">
        <v>-5.0943252489506798E-2</v>
      </c>
      <c r="Q1032">
        <v>0.115017253532448</v>
      </c>
      <c r="R1032">
        <v>0.71427298453691801</v>
      </c>
      <c r="S1032" t="s">
        <v>7838</v>
      </c>
      <c r="T1032" t="s">
        <v>13610</v>
      </c>
      <c r="U1032" t="s">
        <v>13610</v>
      </c>
      <c r="V1032" t="s">
        <v>13610</v>
      </c>
      <c r="W1032" t="s">
        <v>14613</v>
      </c>
      <c r="X1032">
        <v>1</v>
      </c>
      <c r="Y1032" t="s">
        <v>21327</v>
      </c>
      <c r="Z1032" t="s">
        <v>27887</v>
      </c>
      <c r="AA1032">
        <v>0.3045218016957108</v>
      </c>
      <c r="AB1032" t="str">
        <f>HYPERLINK("Melting_Curves/meltCurve_K7EKL8_ICAM1.pdf", "Melting_Curves/meltCurve_K7EKL8_ICAM1.pdf")</f>
        <v>Melting_Curves/meltCurve_K7EKL8_ICAM1.pdf</v>
      </c>
    </row>
    <row r="1033" spans="1:28" x14ac:dyDescent="0.25">
      <c r="A1033" t="s">
        <v>1037</v>
      </c>
      <c r="B1033">
        <v>0.995954080203443</v>
      </c>
      <c r="C1033">
        <v>0.83247425863526003</v>
      </c>
      <c r="D1033">
        <v>1.02662545706555</v>
      </c>
      <c r="E1033">
        <v>0.72645941397658698</v>
      </c>
      <c r="F1033">
        <v>0.88703842205247996</v>
      </c>
      <c r="G1033">
        <v>0.89670426117222601</v>
      </c>
      <c r="H1033">
        <v>1.2096910923292701</v>
      </c>
      <c r="I1033">
        <v>1.8176159437344599</v>
      </c>
      <c r="J1033">
        <v>1.7134988244621301</v>
      </c>
      <c r="K1033">
        <v>1.95176807115252</v>
      </c>
      <c r="L1033">
        <v>15000</v>
      </c>
      <c r="M1033">
        <v>245.57647543830501</v>
      </c>
      <c r="O1033">
        <v>61.076718326702398</v>
      </c>
      <c r="P1033">
        <v>0.50259837666893303</v>
      </c>
      <c r="Q1033">
        <v>1.5</v>
      </c>
      <c r="R1033">
        <v>0.73915429472483096</v>
      </c>
      <c r="S1033" t="s">
        <v>7839</v>
      </c>
      <c r="T1033" t="s">
        <v>13610</v>
      </c>
      <c r="U1033" t="s">
        <v>13610</v>
      </c>
      <c r="V1033" t="s">
        <v>13610</v>
      </c>
      <c r="W1033" t="s">
        <v>14614</v>
      </c>
      <c r="X1033">
        <v>1</v>
      </c>
      <c r="Y1033" t="s">
        <v>21328</v>
      </c>
      <c r="Z1033" t="s">
        <v>27888</v>
      </c>
      <c r="AA1033">
        <v>1.148598301198446</v>
      </c>
      <c r="AB1033" t="str">
        <f>HYPERLINK("Melting_Curves/meltCurve_K7EKT0_DOCK6.pdf", "Melting_Curves/meltCurve_K7EKT0_DOCK6.pdf")</f>
        <v>Melting_Curves/meltCurve_K7EKT0_DOCK6.pdf</v>
      </c>
    </row>
    <row r="1034" spans="1:28" x14ac:dyDescent="0.25">
      <c r="A1034" t="s">
        <v>1038</v>
      </c>
      <c r="B1034">
        <v>0.995954080203443</v>
      </c>
      <c r="C1034">
        <v>1.0634811703690199</v>
      </c>
      <c r="D1034">
        <v>1.01825197456511</v>
      </c>
      <c r="E1034">
        <v>1.00542368521314</v>
      </c>
      <c r="F1034">
        <v>0.79869208562725202</v>
      </c>
      <c r="G1034">
        <v>0.51227099285897704</v>
      </c>
      <c r="H1034">
        <v>0.16074097940257201</v>
      </c>
      <c r="I1034">
        <v>8.5256955908040805E-2</v>
      </c>
      <c r="J1034">
        <v>0.112052368255722</v>
      </c>
      <c r="K1034">
        <v>8.0387959757220906E-2</v>
      </c>
      <c r="L1034">
        <v>1415.87594757224</v>
      </c>
      <c r="M1034">
        <v>25.085373302486499</v>
      </c>
      <c r="N1034">
        <v>56.760267847070502</v>
      </c>
      <c r="O1034">
        <v>56.087267226761398</v>
      </c>
      <c r="P1034">
        <v>-0.104485829212141</v>
      </c>
      <c r="Q1034">
        <v>6.5551524208227296E-2</v>
      </c>
      <c r="R1034">
        <v>0.99285294902465804</v>
      </c>
      <c r="S1034" t="s">
        <v>7840</v>
      </c>
      <c r="T1034" t="s">
        <v>13610</v>
      </c>
      <c r="U1034" t="s">
        <v>13610</v>
      </c>
      <c r="V1034" t="s">
        <v>13610</v>
      </c>
      <c r="W1034" t="s">
        <v>14615</v>
      </c>
      <c r="X1034">
        <v>16</v>
      </c>
      <c r="Y1034" t="s">
        <v>21329</v>
      </c>
      <c r="Z1034" t="s">
        <v>27889</v>
      </c>
      <c r="AA1034">
        <v>0.58617437576734699</v>
      </c>
      <c r="AB1034" t="str">
        <f>HYPERLINK("Melting_Curves/meltCurve_K7EL68_CDC37.pdf", "Melting_Curves/meltCurve_K7EL68_CDC37.pdf")</f>
        <v>Melting_Curves/meltCurve_K7EL68_CDC37.pdf</v>
      </c>
    </row>
    <row r="1035" spans="1:28" x14ac:dyDescent="0.25">
      <c r="A1035" t="s">
        <v>1039</v>
      </c>
      <c r="B1035">
        <v>0.995954080203443</v>
      </c>
      <c r="C1035">
        <v>0.56349031855476905</v>
      </c>
      <c r="D1035">
        <v>0.27230438788041</v>
      </c>
      <c r="E1035">
        <v>0.23809515403135501</v>
      </c>
      <c r="F1035">
        <v>0.123511395497012</v>
      </c>
      <c r="G1035">
        <v>7.6343458384878202E-2</v>
      </c>
      <c r="H1035">
        <v>4.7744197511415197E-2</v>
      </c>
      <c r="I1035">
        <v>4.4266019087879201E-2</v>
      </c>
      <c r="J1035">
        <v>5.0496201032507598E-2</v>
      </c>
      <c r="K1035">
        <v>4.3013114345529499E-2</v>
      </c>
      <c r="L1035">
        <v>1023.53923119385</v>
      </c>
      <c r="M1035">
        <v>23.502677721868501</v>
      </c>
      <c r="N1035">
        <v>43.860083144105197</v>
      </c>
      <c r="O1035">
        <v>43.238290056064699</v>
      </c>
      <c r="P1035">
        <v>-0.12548787302036299</v>
      </c>
      <c r="Q1035">
        <v>7.6566902889315197E-2</v>
      </c>
      <c r="R1035">
        <v>0.96318100946822105</v>
      </c>
      <c r="S1035" t="s">
        <v>7841</v>
      </c>
      <c r="T1035" t="s">
        <v>13610</v>
      </c>
      <c r="U1035" t="s">
        <v>13610</v>
      </c>
      <c r="V1035" t="s">
        <v>13610</v>
      </c>
      <c r="W1035" t="s">
        <v>14616</v>
      </c>
      <c r="X1035">
        <v>6</v>
      </c>
      <c r="Y1035" t="s">
        <v>21330</v>
      </c>
      <c r="Z1035" t="s">
        <v>27890</v>
      </c>
      <c r="AA1035">
        <v>0.199235797899244</v>
      </c>
      <c r="AB1035" t="str">
        <f>HYPERLINK("Melting_Curves/meltCurve_K7EL76_KLC3.pdf", "Melting_Curves/meltCurve_K7EL76_KLC3.pdf")</f>
        <v>Melting_Curves/meltCurve_K7EL76_KLC3.pdf</v>
      </c>
    </row>
    <row r="1036" spans="1:28" x14ac:dyDescent="0.25">
      <c r="A1036" t="s">
        <v>1040</v>
      </c>
      <c r="B1036">
        <v>0.995954080203443</v>
      </c>
      <c r="C1036">
        <v>0.85598604887068197</v>
      </c>
      <c r="D1036">
        <v>1.5901618334137799</v>
      </c>
      <c r="E1036">
        <v>1.18476198601594</v>
      </c>
      <c r="F1036">
        <v>1.61641583232494</v>
      </c>
      <c r="G1036">
        <v>1.4037955882687001</v>
      </c>
      <c r="H1036">
        <v>1.41215657391602</v>
      </c>
      <c r="I1036">
        <v>1.7160612125183099</v>
      </c>
      <c r="J1036">
        <v>2.0768043793875002</v>
      </c>
      <c r="K1036">
        <v>2.0779017053554001</v>
      </c>
      <c r="L1036">
        <v>11110.920803085501</v>
      </c>
      <c r="M1036">
        <v>250</v>
      </c>
      <c r="O1036">
        <v>44.440839083229299</v>
      </c>
      <c r="P1036">
        <v>0.70318204294682796</v>
      </c>
      <c r="Q1036">
        <v>1.5</v>
      </c>
      <c r="R1036">
        <v>0.42608950368992199</v>
      </c>
      <c r="S1036" t="s">
        <v>7842</v>
      </c>
      <c r="T1036" t="s">
        <v>13610</v>
      </c>
      <c r="U1036" t="s">
        <v>13610</v>
      </c>
      <c r="V1036" t="s">
        <v>13610</v>
      </c>
      <c r="W1036" t="s">
        <v>14617</v>
      </c>
      <c r="X1036">
        <v>26</v>
      </c>
      <c r="Y1036" t="s">
        <v>21331</v>
      </c>
      <c r="Z1036" t="s">
        <v>27891</v>
      </c>
      <c r="AA1036">
        <v>1.4258996141414599</v>
      </c>
      <c r="AB1036" t="str">
        <f>HYPERLINK("Melting_Curves/meltCurve_K7EL81_PPP1R12C.pdf", "Melting_Curves/meltCurve_K7EL81_PPP1R12C.pdf")</f>
        <v>Melting_Curves/meltCurve_K7EL81_PPP1R12C.pdf</v>
      </c>
    </row>
    <row r="1037" spans="1:28" x14ac:dyDescent="0.25">
      <c r="A1037" t="s">
        <v>1041</v>
      </c>
      <c r="B1037">
        <v>0.995954080203443</v>
      </c>
      <c r="C1037">
        <v>0.85382185311500902</v>
      </c>
      <c r="D1037">
        <v>0.65945980426862605</v>
      </c>
      <c r="E1037">
        <v>0.47892455585516103</v>
      </c>
      <c r="F1037">
        <v>0.270383276429005</v>
      </c>
      <c r="G1037">
        <v>0.15835545421267</v>
      </c>
      <c r="H1037">
        <v>0.10024421892685501</v>
      </c>
      <c r="I1037">
        <v>0.105414860214241</v>
      </c>
      <c r="J1037">
        <v>0.12624279462978499</v>
      </c>
      <c r="K1037">
        <v>0.126795140895758</v>
      </c>
      <c r="L1037">
        <v>695.97149483873795</v>
      </c>
      <c r="M1037">
        <v>14.4524553231581</v>
      </c>
      <c r="N1037">
        <v>48.831923749061801</v>
      </c>
      <c r="O1037">
        <v>47.262124587400898</v>
      </c>
      <c r="P1037">
        <v>-6.9525683453471196E-2</v>
      </c>
      <c r="Q1037">
        <v>9.0660380180463407E-2</v>
      </c>
      <c r="R1037">
        <v>0.99177633155941503</v>
      </c>
      <c r="S1037" t="s">
        <v>7843</v>
      </c>
      <c r="T1037" t="s">
        <v>13610</v>
      </c>
      <c r="U1037" t="s">
        <v>13610</v>
      </c>
      <c r="V1037" t="s">
        <v>13610</v>
      </c>
      <c r="W1037" t="s">
        <v>14618</v>
      </c>
      <c r="X1037">
        <v>3</v>
      </c>
      <c r="Y1037" t="s">
        <v>21332</v>
      </c>
      <c r="Z1037" t="s">
        <v>27892</v>
      </c>
      <c r="AA1037">
        <v>0.36285725905495009</v>
      </c>
      <c r="AB1037" t="str">
        <f>HYPERLINK("Melting_Curves/meltCurve_K7ELC2_RPS15.pdf", "Melting_Curves/meltCurve_K7ELC2_RPS15.pdf")</f>
        <v>Melting_Curves/meltCurve_K7ELC2_RPS15.pdf</v>
      </c>
    </row>
    <row r="1038" spans="1:28" x14ac:dyDescent="0.25">
      <c r="A1038" t="s">
        <v>1042</v>
      </c>
      <c r="B1038">
        <v>0.995954080203443</v>
      </c>
      <c r="C1038">
        <v>1.0086411883851301</v>
      </c>
      <c r="D1038">
        <v>1.0182324319871301</v>
      </c>
      <c r="E1038">
        <v>0.87770194700139603</v>
      </c>
      <c r="F1038">
        <v>0.88042297402278802</v>
      </c>
      <c r="G1038">
        <v>0.665914435721081</v>
      </c>
      <c r="H1038">
        <v>0.58175969728258503</v>
      </c>
      <c r="I1038">
        <v>0.63366780723629701</v>
      </c>
      <c r="J1038">
        <v>0.70282559635780695</v>
      </c>
      <c r="K1038">
        <v>0.85925718314295796</v>
      </c>
      <c r="L1038">
        <v>1534.1714411192099</v>
      </c>
      <c r="M1038">
        <v>29.271432225256799</v>
      </c>
      <c r="O1038">
        <v>52.169108232169101</v>
      </c>
      <c r="P1038">
        <v>-4.3779797853290697E-2</v>
      </c>
      <c r="Q1038">
        <v>0.68789548311596405</v>
      </c>
      <c r="R1038">
        <v>0.77165768098066101</v>
      </c>
      <c r="S1038" t="s">
        <v>7844</v>
      </c>
      <c r="T1038" t="s">
        <v>13610</v>
      </c>
      <c r="U1038" t="s">
        <v>13610</v>
      </c>
      <c r="V1038" t="s">
        <v>13610</v>
      </c>
      <c r="W1038" t="s">
        <v>14619</v>
      </c>
      <c r="X1038">
        <v>8</v>
      </c>
      <c r="Y1038" t="s">
        <v>21333</v>
      </c>
      <c r="Z1038" t="s">
        <v>27893</v>
      </c>
      <c r="AA1038">
        <v>0.81912887762928432</v>
      </c>
      <c r="AB1038" t="str">
        <f>HYPERLINK("Melting_Curves/meltCurve_K7ELW5_PTBP1.pdf", "Melting_Curves/meltCurve_K7ELW5_PTBP1.pdf")</f>
        <v>Melting_Curves/meltCurve_K7ELW5_PTBP1.pdf</v>
      </c>
    </row>
    <row r="1039" spans="1:28" x14ac:dyDescent="0.25">
      <c r="A1039" t="s">
        <v>1043</v>
      </c>
      <c r="B1039">
        <v>0.995954080203443</v>
      </c>
      <c r="C1039">
        <v>1.20733332736643</v>
      </c>
      <c r="D1039">
        <v>1.22006563217262</v>
      </c>
      <c r="E1039">
        <v>1.1055614931994799</v>
      </c>
      <c r="F1039">
        <v>0.99310556562770003</v>
      </c>
      <c r="G1039">
        <v>0.66046722522510803</v>
      </c>
      <c r="H1039">
        <v>0.39735579738113602</v>
      </c>
      <c r="I1039">
        <v>0.27775514517785299</v>
      </c>
      <c r="J1039">
        <v>0.26181658431994498</v>
      </c>
      <c r="K1039">
        <v>0.24609121180561799</v>
      </c>
      <c r="L1039">
        <v>1891.05057561893</v>
      </c>
      <c r="M1039">
        <v>32.852693113720399</v>
      </c>
      <c r="N1039">
        <v>58.863245073665702</v>
      </c>
      <c r="O1039">
        <v>57.3494891731102</v>
      </c>
      <c r="P1039">
        <v>-0.106234676791647</v>
      </c>
      <c r="Q1039">
        <v>0.25820673132205801</v>
      </c>
      <c r="R1039">
        <v>0.92936597693521095</v>
      </c>
      <c r="S1039" t="s">
        <v>7845</v>
      </c>
      <c r="T1039" t="s">
        <v>13610</v>
      </c>
      <c r="U1039" t="s">
        <v>13610</v>
      </c>
      <c r="V1039" t="s">
        <v>13610</v>
      </c>
      <c r="W1039" t="s">
        <v>14620</v>
      </c>
      <c r="X1039">
        <v>2</v>
      </c>
      <c r="Y1039" t="s">
        <v>21334</v>
      </c>
      <c r="Z1039" t="s">
        <v>27894</v>
      </c>
      <c r="AA1039">
        <v>0.69663385116371546</v>
      </c>
      <c r="AB1039" t="str">
        <f>HYPERLINK("Melting_Curves/meltCurve_K7ELY0_WIPI1.pdf", "Melting_Curves/meltCurve_K7ELY0_WIPI1.pdf")</f>
        <v>Melting_Curves/meltCurve_K7ELY0_WIPI1.pdf</v>
      </c>
    </row>
    <row r="1040" spans="1:28" x14ac:dyDescent="0.25">
      <c r="A1040" t="s">
        <v>1044</v>
      </c>
      <c r="B1040">
        <v>0.995954080203443</v>
      </c>
      <c r="C1040">
        <v>0.75272360672395999</v>
      </c>
      <c r="D1040">
        <v>0.50724292429731099</v>
      </c>
      <c r="E1040">
        <v>0.87058117229379095</v>
      </c>
      <c r="F1040">
        <v>0.59876085456136297</v>
      </c>
      <c r="G1040">
        <v>0.48157995469682602</v>
      </c>
      <c r="H1040">
        <v>0.21217713336945301</v>
      </c>
      <c r="I1040">
        <v>0.17217909626302699</v>
      </c>
      <c r="J1040">
        <v>5.5394095790663199E-2</v>
      </c>
      <c r="K1040">
        <v>5.6299281363113601E-2</v>
      </c>
      <c r="L1040">
        <v>432.24680013988097</v>
      </c>
      <c r="M1040">
        <v>8.0793294403775207</v>
      </c>
      <c r="N1040">
        <v>53.500330776425102</v>
      </c>
      <c r="O1040">
        <v>50.5217223372345</v>
      </c>
      <c r="P1040">
        <v>-4.0023063286201803E-2</v>
      </c>
      <c r="Q1040">
        <v>0</v>
      </c>
      <c r="R1040">
        <v>0.81417202847047998</v>
      </c>
      <c r="S1040" t="s">
        <v>7846</v>
      </c>
      <c r="T1040" t="s">
        <v>13610</v>
      </c>
      <c r="U1040" t="s">
        <v>13610</v>
      </c>
      <c r="V1040" t="s">
        <v>13610</v>
      </c>
      <c r="W1040" t="s">
        <v>14621</v>
      </c>
      <c r="X1040">
        <v>1</v>
      </c>
      <c r="Y1040" t="s">
        <v>21335</v>
      </c>
      <c r="Z1040" t="s">
        <v>27895</v>
      </c>
      <c r="AA1040">
        <v>0.48724942931881432</v>
      </c>
      <c r="AB1040" t="str">
        <f>HYPERLINK("Melting_Curves/meltCurve_K7EM02_KATNAL2.pdf", "Melting_Curves/meltCurve_K7EM02_KATNAL2.pdf")</f>
        <v>Melting_Curves/meltCurve_K7EM02_KATNAL2.pdf</v>
      </c>
    </row>
    <row r="1041" spans="1:28" x14ac:dyDescent="0.25">
      <c r="A1041" t="s">
        <v>1045</v>
      </c>
      <c r="B1041">
        <v>0.995954080203443</v>
      </c>
      <c r="C1041">
        <v>0.96379053384850799</v>
      </c>
      <c r="D1041">
        <v>0.89518551762779197</v>
      </c>
      <c r="E1041">
        <v>0.95982485477709001</v>
      </c>
      <c r="F1041">
        <v>0.61130894275946601</v>
      </c>
      <c r="G1041">
        <v>0.408572232653584</v>
      </c>
      <c r="H1041">
        <v>0.34400257095854198</v>
      </c>
      <c r="I1041">
        <v>0.30083911808957098</v>
      </c>
      <c r="J1041">
        <v>0.44048159529529302</v>
      </c>
      <c r="K1041">
        <v>0.41629023748594801</v>
      </c>
      <c r="L1041">
        <v>2640.5848707180899</v>
      </c>
      <c r="M1041">
        <v>50.318055505062503</v>
      </c>
      <c r="N1041">
        <v>54.003496152941999</v>
      </c>
      <c r="O1041">
        <v>52.395191975905</v>
      </c>
      <c r="P1041">
        <v>-0.14901739509817799</v>
      </c>
      <c r="Q1041">
        <v>0.37932510894861099</v>
      </c>
      <c r="R1041">
        <v>0.96625828739957498</v>
      </c>
      <c r="S1041" t="s">
        <v>7847</v>
      </c>
      <c r="T1041" t="s">
        <v>13610</v>
      </c>
      <c r="U1041" t="s">
        <v>13610</v>
      </c>
      <c r="V1041" t="s">
        <v>13610</v>
      </c>
      <c r="W1041" t="s">
        <v>14622</v>
      </c>
      <c r="X1041">
        <v>1</v>
      </c>
      <c r="Y1041" t="s">
        <v>21336</v>
      </c>
      <c r="Z1041" t="s">
        <v>27896</v>
      </c>
      <c r="AA1041">
        <v>0.63890040948835047</v>
      </c>
      <c r="AB1041" t="str">
        <f>HYPERLINK("Melting_Curves/meltCurve_K7EM09_TMEM205.pdf", "Melting_Curves/meltCurve_K7EM09_TMEM205.pdf")</f>
        <v>Melting_Curves/meltCurve_K7EM09_TMEM205.pdf</v>
      </c>
    </row>
    <row r="1042" spans="1:28" x14ac:dyDescent="0.25">
      <c r="A1042" t="s">
        <v>1046</v>
      </c>
      <c r="B1042">
        <v>0.995954080203443</v>
      </c>
      <c r="C1042">
        <v>0.89066199146730196</v>
      </c>
      <c r="D1042">
        <v>0.81294633985150899</v>
      </c>
      <c r="E1042">
        <v>0.80667187423173303</v>
      </c>
      <c r="F1042">
        <v>0.67596799004253405</v>
      </c>
      <c r="G1042">
        <v>0.46142792077679101</v>
      </c>
      <c r="H1042">
        <v>0.32847306390350201</v>
      </c>
      <c r="I1042">
        <v>0.32605632387276201</v>
      </c>
      <c r="J1042">
        <v>0.33741711234310201</v>
      </c>
      <c r="K1042">
        <v>0.28677335322040998</v>
      </c>
      <c r="L1042">
        <v>536.53803356403205</v>
      </c>
      <c r="M1042">
        <v>9.9780566872364407</v>
      </c>
      <c r="N1042">
        <v>56.708165004589397</v>
      </c>
      <c r="O1042">
        <v>51.745819870194303</v>
      </c>
      <c r="P1042">
        <v>-3.8500314007320902E-2</v>
      </c>
      <c r="Q1042">
        <v>0.20174721859900099</v>
      </c>
      <c r="R1042">
        <v>0.97143299865799404</v>
      </c>
      <c r="S1042" t="s">
        <v>7848</v>
      </c>
      <c r="T1042" t="s">
        <v>13610</v>
      </c>
      <c r="U1042" t="s">
        <v>13610</v>
      </c>
      <c r="V1042" t="s">
        <v>13610</v>
      </c>
      <c r="W1042" t="s">
        <v>14623</v>
      </c>
      <c r="X1042">
        <v>2</v>
      </c>
      <c r="Y1042" t="s">
        <v>21337</v>
      </c>
      <c r="Z1042" t="s">
        <v>27897</v>
      </c>
      <c r="AA1042">
        <v>0.59309861678381892</v>
      </c>
      <c r="AB1042" t="str">
        <f>HYPERLINK("Melting_Curves/meltCurve_K7EM88_UBALD1.pdf", "Melting_Curves/meltCurve_K7EM88_UBALD1.pdf")</f>
        <v>Melting_Curves/meltCurve_K7EM88_UBALD1.pdf</v>
      </c>
    </row>
    <row r="1043" spans="1:28" x14ac:dyDescent="0.25">
      <c r="A1043" t="s">
        <v>1047</v>
      </c>
      <c r="B1043">
        <v>0.995954080203443</v>
      </c>
      <c r="C1043">
        <v>0.98412216813724196</v>
      </c>
      <c r="D1043">
        <v>0.74653266795531503</v>
      </c>
      <c r="E1043">
        <v>0.75931101977869397</v>
      </c>
      <c r="F1043">
        <v>0.70526634118168896</v>
      </c>
      <c r="G1043">
        <v>0.58490618256527704</v>
      </c>
      <c r="H1043">
        <v>0.37292403891077702</v>
      </c>
      <c r="I1043">
        <v>0.30814059435054902</v>
      </c>
      <c r="J1043">
        <v>0.59891045179921998</v>
      </c>
      <c r="K1043">
        <v>0.41239626163904503</v>
      </c>
      <c r="L1043">
        <v>543.06146406691698</v>
      </c>
      <c r="M1043">
        <v>10.562989938302801</v>
      </c>
      <c r="N1043">
        <v>59.429600550021803</v>
      </c>
      <c r="O1043">
        <v>49.671684419749099</v>
      </c>
      <c r="P1043">
        <v>-3.2987619346963502E-2</v>
      </c>
      <c r="Q1043">
        <v>0.37975715319546899</v>
      </c>
      <c r="R1043">
        <v>0.83821906975677396</v>
      </c>
      <c r="S1043" t="s">
        <v>7849</v>
      </c>
      <c r="T1043" t="s">
        <v>13610</v>
      </c>
      <c r="U1043" t="s">
        <v>13610</v>
      </c>
      <c r="V1043" t="s">
        <v>13610</v>
      </c>
      <c r="W1043" t="s">
        <v>14624</v>
      </c>
      <c r="X1043">
        <v>1</v>
      </c>
      <c r="Y1043" t="s">
        <v>21338</v>
      </c>
      <c r="Z1043" t="s">
        <v>27898</v>
      </c>
      <c r="AA1043">
        <v>0.63897904054694865</v>
      </c>
      <c r="AB1043" t="str">
        <f>HYPERLINK("Melting_Curves/meltCurve_K7EML3_C19orf66.pdf", "Melting_Curves/meltCurve_K7EML3_C19orf66.pdf")</f>
        <v>Melting_Curves/meltCurve_K7EML3_C19orf66.pdf</v>
      </c>
    </row>
    <row r="1044" spans="1:28" x14ac:dyDescent="0.25">
      <c r="A1044" t="s">
        <v>1048</v>
      </c>
      <c r="B1044">
        <v>0.995954080203443</v>
      </c>
      <c r="C1044">
        <v>0.95408162386975803</v>
      </c>
      <c r="D1044">
        <v>0.99190690943747895</v>
      </c>
      <c r="E1044">
        <v>0.80630458306066899</v>
      </c>
      <c r="F1044">
        <v>0.56814452725567999</v>
      </c>
      <c r="G1044">
        <v>0.22238598101430501</v>
      </c>
      <c r="H1044">
        <v>0.20853320897265201</v>
      </c>
      <c r="I1044">
        <v>0.118696001344873</v>
      </c>
      <c r="J1044">
        <v>0.15051195196272801</v>
      </c>
      <c r="K1044">
        <v>0.132028723945249</v>
      </c>
      <c r="L1044">
        <v>1291.10745204212</v>
      </c>
      <c r="M1044">
        <v>24.459156035743</v>
      </c>
      <c r="N1044">
        <v>53.471302960595999</v>
      </c>
      <c r="O1044">
        <v>52.437210721013997</v>
      </c>
      <c r="P1044">
        <v>-0.100928147641421</v>
      </c>
      <c r="Q1044">
        <v>0.13450607404855899</v>
      </c>
      <c r="R1044">
        <v>0.99499863097582797</v>
      </c>
      <c r="S1044" t="s">
        <v>7850</v>
      </c>
      <c r="T1044" t="s">
        <v>13610</v>
      </c>
      <c r="U1044" t="s">
        <v>13610</v>
      </c>
      <c r="V1044" t="s">
        <v>13610</v>
      </c>
      <c r="W1044" t="s">
        <v>14625</v>
      </c>
      <c r="X1044">
        <v>4</v>
      </c>
      <c r="Y1044" t="s">
        <v>21339</v>
      </c>
      <c r="Z1044" t="s">
        <v>27899</v>
      </c>
      <c r="AA1044">
        <v>0.51167766477343135</v>
      </c>
      <c r="AB1044" t="str">
        <f>HYPERLINK("Melting_Curves/meltCurve_K7EMW4_NCLN.pdf", "Melting_Curves/meltCurve_K7EMW4_NCLN.pdf")</f>
        <v>Melting_Curves/meltCurve_K7EMW4_NCLN.pdf</v>
      </c>
    </row>
    <row r="1045" spans="1:28" x14ac:dyDescent="0.25">
      <c r="A1045" t="s">
        <v>1049</v>
      </c>
      <c r="B1045">
        <v>0.995954080203443</v>
      </c>
      <c r="C1045">
        <v>0.98299248753232804</v>
      </c>
      <c r="D1045">
        <v>1.09238743483495</v>
      </c>
      <c r="E1045">
        <v>0.73275221379833699</v>
      </c>
      <c r="F1045">
        <v>0.33341367995368398</v>
      </c>
      <c r="G1045">
        <v>0.18047864624462201</v>
      </c>
      <c r="H1045">
        <v>0.12493856684261399</v>
      </c>
      <c r="I1045">
        <v>0.122588846279463</v>
      </c>
      <c r="J1045">
        <v>0.149140796852334</v>
      </c>
      <c r="K1045">
        <v>0.149344171697774</v>
      </c>
      <c r="L1045">
        <v>1932.9191374627101</v>
      </c>
      <c r="M1045">
        <v>37.777420393617199</v>
      </c>
      <c r="N1045">
        <v>51.622262705675702</v>
      </c>
      <c r="O1045">
        <v>51.023250499221596</v>
      </c>
      <c r="P1045">
        <v>-0.15882621579593301</v>
      </c>
      <c r="Q1045">
        <v>0.141941592947739</v>
      </c>
      <c r="R1045">
        <v>0.99167261233401705</v>
      </c>
      <c r="S1045" t="s">
        <v>7851</v>
      </c>
      <c r="T1045" t="s">
        <v>13610</v>
      </c>
      <c r="U1045" t="s">
        <v>13610</v>
      </c>
      <c r="V1045" t="s">
        <v>13610</v>
      </c>
      <c r="W1045" t="s">
        <v>14626</v>
      </c>
      <c r="X1045">
        <v>9</v>
      </c>
      <c r="Y1045" t="s">
        <v>21340</v>
      </c>
      <c r="Z1045" t="s">
        <v>27900</v>
      </c>
      <c r="AA1045">
        <v>0.46471522774007967</v>
      </c>
      <c r="AB1045" t="str">
        <f>HYPERLINK("Melting_Curves/meltCurve_K7EMX1_SPC24.pdf", "Melting_Curves/meltCurve_K7EMX1_SPC24.pdf")</f>
        <v>Melting_Curves/meltCurve_K7EMX1_SPC24.pdf</v>
      </c>
    </row>
    <row r="1046" spans="1:28" x14ac:dyDescent="0.25">
      <c r="A1046" t="s">
        <v>1050</v>
      </c>
      <c r="B1046">
        <v>0.995954080203443</v>
      </c>
      <c r="C1046">
        <v>0.98609415689474</v>
      </c>
      <c r="D1046">
        <v>1.1039651690694601</v>
      </c>
      <c r="E1046">
        <v>0.92339961803132498</v>
      </c>
      <c r="F1046">
        <v>0.89842195807476199</v>
      </c>
      <c r="G1046">
        <v>0.65602916475617101</v>
      </c>
      <c r="H1046">
        <v>0.60616045934628904</v>
      </c>
      <c r="I1046">
        <v>0.73761414533387204</v>
      </c>
      <c r="J1046">
        <v>0.76007891732635602</v>
      </c>
      <c r="K1046">
        <v>0.89411246289675494</v>
      </c>
      <c r="L1046">
        <v>5878.2276463917497</v>
      </c>
      <c r="M1046">
        <v>110.416529407086</v>
      </c>
      <c r="O1046">
        <v>53.219383465357097</v>
      </c>
      <c r="P1046">
        <v>-0.13963184808405599</v>
      </c>
      <c r="Q1046">
        <v>0.73079678301337303</v>
      </c>
      <c r="R1046">
        <v>0.71660754600210996</v>
      </c>
      <c r="S1046" t="s">
        <v>7852</v>
      </c>
      <c r="T1046" t="s">
        <v>13610</v>
      </c>
      <c r="U1046" t="s">
        <v>13610</v>
      </c>
      <c r="V1046" t="s">
        <v>13610</v>
      </c>
      <c r="W1046" t="s">
        <v>14627</v>
      </c>
      <c r="X1046">
        <v>2</v>
      </c>
      <c r="Y1046" t="s">
        <v>21341</v>
      </c>
      <c r="Z1046" t="s">
        <v>27901</v>
      </c>
      <c r="AA1046">
        <v>0.84970587866647806</v>
      </c>
      <c r="AB1046" t="str">
        <f>HYPERLINK("Melting_Curves/meltCurve_K7EMZ7_C19orf57.pdf", "Melting_Curves/meltCurve_K7EMZ7_C19orf57.pdf")</f>
        <v>Melting_Curves/meltCurve_K7EMZ7_C19orf57.pdf</v>
      </c>
    </row>
    <row r="1047" spans="1:28" x14ac:dyDescent="0.25">
      <c r="A1047" t="s">
        <v>1051</v>
      </c>
      <c r="B1047">
        <v>0.995954080203443</v>
      </c>
      <c r="C1047">
        <v>0.97323282351683704</v>
      </c>
      <c r="D1047">
        <v>0.87897097719857298</v>
      </c>
      <c r="E1047">
        <v>0.80471563909844801</v>
      </c>
      <c r="F1047">
        <v>0.57975040891963103</v>
      </c>
      <c r="G1047">
        <v>0.25113515908713602</v>
      </c>
      <c r="H1047">
        <v>0.15812050982234399</v>
      </c>
      <c r="I1047">
        <v>0.15825949373429199</v>
      </c>
      <c r="J1047">
        <v>0.16449937404520601</v>
      </c>
      <c r="K1047">
        <v>0.157657344428005</v>
      </c>
      <c r="L1047">
        <v>1106.8750653402401</v>
      </c>
      <c r="M1047">
        <v>20.972842520803798</v>
      </c>
      <c r="N1047">
        <v>53.582600366824799</v>
      </c>
      <c r="O1047">
        <v>52.303797527722402</v>
      </c>
      <c r="P1047">
        <v>-8.6686595271297601E-2</v>
      </c>
      <c r="Q1047">
        <v>0.13527871751495099</v>
      </c>
      <c r="R1047">
        <v>0.99110947048028297</v>
      </c>
      <c r="S1047" t="s">
        <v>7853</v>
      </c>
      <c r="T1047" t="s">
        <v>13610</v>
      </c>
      <c r="U1047" t="s">
        <v>13610</v>
      </c>
      <c r="V1047" t="s">
        <v>13610</v>
      </c>
      <c r="W1047" t="s">
        <v>14628</v>
      </c>
      <c r="X1047">
        <v>1</v>
      </c>
      <c r="Y1047" t="s">
        <v>21342</v>
      </c>
      <c r="Z1047" t="s">
        <v>27902</v>
      </c>
      <c r="AA1047">
        <v>0.51451721291691033</v>
      </c>
      <c r="AB1047" t="str">
        <f>HYPERLINK("Melting_Curves/meltCurve_K7EN05_ELOF1.pdf", "Melting_Curves/meltCurve_K7EN05_ELOF1.pdf")</f>
        <v>Melting_Curves/meltCurve_K7EN05_ELOF1.pdf</v>
      </c>
    </row>
    <row r="1048" spans="1:28" x14ac:dyDescent="0.25">
      <c r="A1048" t="s">
        <v>1052</v>
      </c>
      <c r="B1048">
        <v>0.995954080203443</v>
      </c>
      <c r="C1048">
        <v>1.01842420663082</v>
      </c>
      <c r="D1048">
        <v>0.93638366948889595</v>
      </c>
      <c r="E1048">
        <v>0.80826555404712597</v>
      </c>
      <c r="F1048">
        <v>0.72271643984749701</v>
      </c>
      <c r="G1048">
        <v>0.56325027494479396</v>
      </c>
      <c r="H1048">
        <v>0.54081530576529402</v>
      </c>
      <c r="I1048">
        <v>0.62737020145886202</v>
      </c>
      <c r="J1048">
        <v>0.70283065293694502</v>
      </c>
      <c r="K1048">
        <v>0.79452038798268199</v>
      </c>
      <c r="L1048">
        <v>1404.13215351125</v>
      </c>
      <c r="M1048">
        <v>28.355498253662699</v>
      </c>
      <c r="O1048">
        <v>49.274538462740601</v>
      </c>
      <c r="P1048">
        <v>-5.0488323647877198E-2</v>
      </c>
      <c r="Q1048">
        <v>0.64906015115613902</v>
      </c>
      <c r="R1048">
        <v>0.82070766923500604</v>
      </c>
      <c r="S1048" t="s">
        <v>7854</v>
      </c>
      <c r="T1048" t="s">
        <v>13610</v>
      </c>
      <c r="U1048" t="s">
        <v>13610</v>
      </c>
      <c r="V1048" t="s">
        <v>13610</v>
      </c>
      <c r="W1048" t="s">
        <v>14043</v>
      </c>
      <c r="X1048">
        <v>6</v>
      </c>
      <c r="Y1048" t="s">
        <v>21343</v>
      </c>
      <c r="Z1048" t="s">
        <v>27903</v>
      </c>
      <c r="AA1048">
        <v>0.76282788075649532</v>
      </c>
      <c r="AB1048" t="str">
        <f>HYPERLINK("Melting_Curves/meltCurve_K7EN65_MBD1.pdf", "Melting_Curves/meltCurve_K7EN65_MBD1.pdf")</f>
        <v>Melting_Curves/meltCurve_K7EN65_MBD1.pdf</v>
      </c>
    </row>
    <row r="1049" spans="1:28" x14ac:dyDescent="0.25">
      <c r="A1049" t="s">
        <v>1053</v>
      </c>
      <c r="B1049">
        <v>0.995954080203443</v>
      </c>
      <c r="C1049">
        <v>0.95312108025336495</v>
      </c>
      <c r="D1049">
        <v>1.05664384739693</v>
      </c>
      <c r="E1049">
        <v>0.71673094941326199</v>
      </c>
      <c r="F1049">
        <v>0.771585629135772</v>
      </c>
      <c r="G1049">
        <v>0.51926864907830905</v>
      </c>
      <c r="H1049">
        <v>0.38990103884769001</v>
      </c>
      <c r="I1049">
        <v>0.36546784933383802</v>
      </c>
      <c r="J1049">
        <v>0.37561673633834203</v>
      </c>
      <c r="K1049">
        <v>0.30363051531672502</v>
      </c>
      <c r="L1049">
        <v>776.46697968294598</v>
      </c>
      <c r="M1049">
        <v>14.361319129295801</v>
      </c>
      <c r="N1049">
        <v>57.718251530637602</v>
      </c>
      <c r="O1049">
        <v>53.050653814750099</v>
      </c>
      <c r="P1049">
        <v>-4.7484253872785799E-2</v>
      </c>
      <c r="Q1049">
        <v>0.29845748153916501</v>
      </c>
      <c r="R1049">
        <v>0.95516064695740899</v>
      </c>
      <c r="S1049" t="s">
        <v>7855</v>
      </c>
      <c r="T1049" t="s">
        <v>13610</v>
      </c>
      <c r="U1049" t="s">
        <v>13610</v>
      </c>
      <c r="V1049" t="s">
        <v>13610</v>
      </c>
      <c r="W1049" t="s">
        <v>14629</v>
      </c>
      <c r="X1049">
        <v>3</v>
      </c>
      <c r="Y1049" t="s">
        <v>21344</v>
      </c>
      <c r="Z1049" t="s">
        <v>27904</v>
      </c>
      <c r="AA1049">
        <v>0.64250944853059921</v>
      </c>
      <c r="AB1049" t="str">
        <f>HYPERLINK("Melting_Curves/meltCurve_K7EN88_hCG_2039718.pdf", "Melting_Curves/meltCurve_K7EN88_hCG_2039718.pdf")</f>
        <v>Melting_Curves/meltCurve_K7EN88_hCG_2039718.pdf</v>
      </c>
    </row>
    <row r="1050" spans="1:28" x14ac:dyDescent="0.25">
      <c r="A1050" t="s">
        <v>1054</v>
      </c>
      <c r="B1050">
        <v>0.995954080203443</v>
      </c>
      <c r="C1050">
        <v>0.94241640659800796</v>
      </c>
      <c r="D1050">
        <v>0.74809112393477795</v>
      </c>
      <c r="E1050">
        <v>0.58058462332385896</v>
      </c>
      <c r="F1050">
        <v>0.14779179831627201</v>
      </c>
      <c r="G1050">
        <v>8.5411370997973399E-2</v>
      </c>
      <c r="H1050">
        <v>5.5818611058187702E-2</v>
      </c>
      <c r="I1050">
        <v>4.6159734111151297E-2</v>
      </c>
      <c r="J1050">
        <v>5.4914915074027203E-2</v>
      </c>
      <c r="K1050">
        <v>4.8624126640281401E-2</v>
      </c>
      <c r="L1050">
        <v>951.91015474769495</v>
      </c>
      <c r="M1050">
        <v>19.232061586370499</v>
      </c>
      <c r="N1050">
        <v>49.653366947877601</v>
      </c>
      <c r="O1050">
        <v>48.9701996455914</v>
      </c>
      <c r="P1050">
        <v>-9.5283311454050099E-2</v>
      </c>
      <c r="Q1050">
        <v>2.9565642139404699E-2</v>
      </c>
      <c r="R1050">
        <v>0.98102615171889795</v>
      </c>
      <c r="S1050" t="s">
        <v>7856</v>
      </c>
      <c r="T1050" t="s">
        <v>13610</v>
      </c>
      <c r="U1050" t="s">
        <v>13610</v>
      </c>
      <c r="V1050" t="s">
        <v>13610</v>
      </c>
      <c r="W1050" t="s">
        <v>14630</v>
      </c>
      <c r="X1050">
        <v>3</v>
      </c>
      <c r="Y1050" t="s">
        <v>21345</v>
      </c>
      <c r="Z1050" t="s">
        <v>27905</v>
      </c>
      <c r="AA1050">
        <v>0.35137734026472939</v>
      </c>
      <c r="AB1050" t="str">
        <f>HYPERLINK("Melting_Curves/meltCurve_K7ENF0_NARS.pdf", "Melting_Curves/meltCurve_K7ENF0_NARS.pdf")</f>
        <v>Melting_Curves/meltCurve_K7ENF0_NARS.pdf</v>
      </c>
    </row>
    <row r="1051" spans="1:28" x14ac:dyDescent="0.25">
      <c r="A1051" t="s">
        <v>1055</v>
      </c>
      <c r="B1051">
        <v>0.995954080203443</v>
      </c>
      <c r="C1051">
        <v>0.95045363191925603</v>
      </c>
      <c r="D1051">
        <v>0.80971097301005901</v>
      </c>
      <c r="E1051">
        <v>0.61727011933994202</v>
      </c>
      <c r="F1051">
        <v>0.15955762490915801</v>
      </c>
      <c r="G1051">
        <v>0.1016068913323</v>
      </c>
      <c r="H1051">
        <v>6.8177805840726094E-2</v>
      </c>
      <c r="I1051">
        <v>6.0931491072664601E-2</v>
      </c>
      <c r="J1051">
        <v>6.3896728560671204E-2</v>
      </c>
      <c r="K1051">
        <v>5.7694325468373997E-2</v>
      </c>
      <c r="L1051">
        <v>1158.8063737555999</v>
      </c>
      <c r="M1051">
        <v>23.180540347524101</v>
      </c>
      <c r="N1051">
        <v>50.211259247676502</v>
      </c>
      <c r="O1051">
        <v>49.622882395253697</v>
      </c>
      <c r="P1051">
        <v>-0.111127222136109</v>
      </c>
      <c r="Q1051">
        <v>4.8451028781444701E-2</v>
      </c>
      <c r="R1051">
        <v>0.98357503712119898</v>
      </c>
      <c r="S1051" t="s">
        <v>7857</v>
      </c>
      <c r="T1051" t="s">
        <v>13610</v>
      </c>
      <c r="U1051" t="s">
        <v>13610</v>
      </c>
      <c r="V1051" t="s">
        <v>13610</v>
      </c>
      <c r="W1051" t="s">
        <v>14631</v>
      </c>
      <c r="X1051">
        <v>15</v>
      </c>
      <c r="Y1051" t="s">
        <v>21346</v>
      </c>
      <c r="Z1051" t="s">
        <v>27906</v>
      </c>
      <c r="AA1051">
        <v>0.37522707930729809</v>
      </c>
      <c r="AB1051" t="str">
        <f>HYPERLINK("Melting_Curves/meltCurve_K7ENL9_C18orf8.pdf", "Melting_Curves/meltCurve_K7ENL9_C18orf8.pdf")</f>
        <v>Melting_Curves/meltCurve_K7ENL9_C18orf8.pdf</v>
      </c>
    </row>
    <row r="1052" spans="1:28" x14ac:dyDescent="0.25">
      <c r="A1052" t="s">
        <v>1056</v>
      </c>
      <c r="B1052">
        <v>0.995954080203443</v>
      </c>
      <c r="C1052">
        <v>1.0224797470859399</v>
      </c>
      <c r="D1052">
        <v>1.2099468382909899</v>
      </c>
      <c r="E1052">
        <v>0.94624983667358797</v>
      </c>
      <c r="F1052">
        <v>0.944398330826832</v>
      </c>
      <c r="G1052">
        <v>0.73600992603469595</v>
      </c>
      <c r="H1052">
        <v>0.68618251013475795</v>
      </c>
      <c r="I1052">
        <v>0.81664941533425095</v>
      </c>
      <c r="J1052">
        <v>0.75037559927279196</v>
      </c>
      <c r="K1052">
        <v>0.95994714365162603</v>
      </c>
      <c r="L1052">
        <v>11390.980021204699</v>
      </c>
      <c r="M1052">
        <v>213.90175869484901</v>
      </c>
      <c r="O1052">
        <v>53.248653188975503</v>
      </c>
      <c r="P1052">
        <v>-0.21106213061389101</v>
      </c>
      <c r="Q1052">
        <v>0.78983290360846603</v>
      </c>
      <c r="R1052">
        <v>0.59756080105325105</v>
      </c>
      <c r="S1052" t="s">
        <v>7858</v>
      </c>
      <c r="T1052" t="s">
        <v>13610</v>
      </c>
      <c r="U1052" t="s">
        <v>13610</v>
      </c>
      <c r="V1052" t="s">
        <v>13610</v>
      </c>
      <c r="W1052" t="s">
        <v>14632</v>
      </c>
      <c r="X1052">
        <v>6</v>
      </c>
      <c r="Y1052" t="s">
        <v>21347</v>
      </c>
      <c r="Z1052" t="s">
        <v>27907</v>
      </c>
      <c r="AA1052">
        <v>0.88270683598290145</v>
      </c>
      <c r="AB1052" t="str">
        <f>HYPERLINK("Melting_Curves/meltCurve_K7ENR1_ELK1.pdf", "Melting_Curves/meltCurve_K7ENR1_ELK1.pdf")</f>
        <v>Melting_Curves/meltCurve_K7ENR1_ELK1.pdf</v>
      </c>
    </row>
    <row r="1053" spans="1:28" x14ac:dyDescent="0.25">
      <c r="A1053" t="s">
        <v>1057</v>
      </c>
      <c r="B1053">
        <v>0.995954080203443</v>
      </c>
      <c r="C1053">
        <v>0.92150568758031004</v>
      </c>
      <c r="D1053">
        <v>0.89661880662884796</v>
      </c>
      <c r="E1053">
        <v>0.885318797690679</v>
      </c>
      <c r="F1053">
        <v>0.79160080152268797</v>
      </c>
      <c r="G1053">
        <v>0.56993051718413201</v>
      </c>
      <c r="H1053">
        <v>0.25347852406639998</v>
      </c>
      <c r="I1053">
        <v>0.124183882994435</v>
      </c>
      <c r="J1053">
        <v>7.8595891802479403E-2</v>
      </c>
      <c r="K1053">
        <v>6.8464157207179702E-2</v>
      </c>
      <c r="L1053">
        <v>920.54555312215496</v>
      </c>
      <c r="M1053">
        <v>16.062005742223501</v>
      </c>
      <c r="N1053">
        <v>57.311992705531402</v>
      </c>
      <c r="O1053">
        <v>56.445693126770003</v>
      </c>
      <c r="P1053">
        <v>-7.1144695296731605E-2</v>
      </c>
      <c r="Q1053">
        <v>0</v>
      </c>
      <c r="R1053">
        <v>0.98693829326004601</v>
      </c>
      <c r="S1053" t="s">
        <v>7859</v>
      </c>
      <c r="T1053" t="s">
        <v>13610</v>
      </c>
      <c r="U1053" t="s">
        <v>13610</v>
      </c>
      <c r="V1053" t="s">
        <v>13610</v>
      </c>
      <c r="W1053" t="s">
        <v>14633</v>
      </c>
      <c r="X1053">
        <v>8</v>
      </c>
      <c r="Y1053" t="s">
        <v>21348</v>
      </c>
      <c r="Z1053" t="s">
        <v>27908</v>
      </c>
      <c r="AA1053">
        <v>0.59163492813834118</v>
      </c>
      <c r="AB1053" t="str">
        <f>HYPERLINK("Melting_Curves/meltCurve_K7ENR6_PSMG2.pdf", "Melting_Curves/meltCurve_K7ENR6_PSMG2.pdf")</f>
        <v>Melting_Curves/meltCurve_K7ENR6_PSMG2.pdf</v>
      </c>
    </row>
    <row r="1054" spans="1:28" x14ac:dyDescent="0.25">
      <c r="A1054" t="s">
        <v>1058</v>
      </c>
      <c r="B1054">
        <v>0.995954080203443</v>
      </c>
      <c r="C1054">
        <v>1.01135273843613</v>
      </c>
      <c r="D1054">
        <v>1.0209020413458201</v>
      </c>
      <c r="E1054">
        <v>0.81971274994989796</v>
      </c>
      <c r="F1054">
        <v>0.72452409795128403</v>
      </c>
      <c r="G1054">
        <v>0.41822174778242499</v>
      </c>
      <c r="H1054">
        <v>0.28483762695562298</v>
      </c>
      <c r="I1054">
        <v>0.254079254416193</v>
      </c>
      <c r="J1054">
        <v>0.22305182821070199</v>
      </c>
      <c r="K1054">
        <v>0.16036309675070301</v>
      </c>
      <c r="L1054">
        <v>970.86082428681095</v>
      </c>
      <c r="M1054">
        <v>17.7933752218905</v>
      </c>
      <c r="N1054">
        <v>55.924005541118397</v>
      </c>
      <c r="O1054">
        <v>53.887868921683499</v>
      </c>
      <c r="P1054">
        <v>-6.8045900497675296E-2</v>
      </c>
      <c r="Q1054">
        <v>0.17572485515014399</v>
      </c>
      <c r="R1054">
        <v>0.99308506177103395</v>
      </c>
      <c r="S1054" t="s">
        <v>7860</v>
      </c>
      <c r="T1054" t="s">
        <v>13610</v>
      </c>
      <c r="U1054" t="s">
        <v>13610</v>
      </c>
      <c r="V1054" t="s">
        <v>13610</v>
      </c>
      <c r="W1054" t="s">
        <v>14634</v>
      </c>
      <c r="X1054">
        <v>2</v>
      </c>
      <c r="Y1054" t="s">
        <v>21349</v>
      </c>
      <c r="Z1054" t="s">
        <v>27909</v>
      </c>
      <c r="AA1054">
        <v>0.58902939385280362</v>
      </c>
      <c r="AB1054" t="str">
        <f>HYPERLINK("Melting_Curves/meltCurve_K7ENY0_MEF2BNB.pdf", "Melting_Curves/meltCurve_K7ENY0_MEF2BNB.pdf")</f>
        <v>Melting_Curves/meltCurve_K7ENY0_MEF2BNB.pdf</v>
      </c>
    </row>
    <row r="1055" spans="1:28" x14ac:dyDescent="0.25">
      <c r="A1055" t="s">
        <v>1059</v>
      </c>
      <c r="B1055">
        <v>0.995954080203443</v>
      </c>
      <c r="C1055">
        <v>1.2593650470651701</v>
      </c>
      <c r="D1055">
        <v>0.81967234931886002</v>
      </c>
      <c r="E1055">
        <v>0.72055553423904495</v>
      </c>
      <c r="F1055">
        <v>0.79799095684354004</v>
      </c>
      <c r="G1055">
        <v>0.51913789998150195</v>
      </c>
      <c r="H1055">
        <v>0.490465388440192</v>
      </c>
      <c r="I1055">
        <v>0.44845764071838001</v>
      </c>
      <c r="J1055">
        <v>0.51264388562260499</v>
      </c>
      <c r="K1055">
        <v>0.66618612712551595</v>
      </c>
      <c r="L1055">
        <v>938.33460751667099</v>
      </c>
      <c r="M1055">
        <v>18.588829275014501</v>
      </c>
      <c r="O1055">
        <v>49.905109267527401</v>
      </c>
      <c r="P1055">
        <v>-4.4310886858309098E-2</v>
      </c>
      <c r="Q1055">
        <v>0.52417799956467503</v>
      </c>
      <c r="R1055">
        <v>0.75799002644162095</v>
      </c>
      <c r="S1055" t="s">
        <v>7861</v>
      </c>
      <c r="T1055" t="s">
        <v>13610</v>
      </c>
      <c r="U1055" t="s">
        <v>13610</v>
      </c>
      <c r="V1055" t="s">
        <v>13610</v>
      </c>
      <c r="W1055" t="s">
        <v>14635</v>
      </c>
      <c r="X1055">
        <v>2</v>
      </c>
      <c r="Y1055" t="s">
        <v>21350</v>
      </c>
      <c r="Z1055" t="s">
        <v>27910</v>
      </c>
      <c r="AA1055">
        <v>0.69797010989240416</v>
      </c>
      <c r="AB1055" t="str">
        <f>HYPERLINK("Melting_Curves/meltCurve_K7EP81_C19orf55.pdf", "Melting_Curves/meltCurve_K7EP81_C19orf55.pdf")</f>
        <v>Melting_Curves/meltCurve_K7EP81_C19orf55.pdf</v>
      </c>
    </row>
    <row r="1056" spans="1:28" x14ac:dyDescent="0.25">
      <c r="A1056" t="s">
        <v>1060</v>
      </c>
      <c r="B1056">
        <v>0.995954080203443</v>
      </c>
      <c r="C1056">
        <v>0.98290275196343602</v>
      </c>
      <c r="D1056">
        <v>1.0122540922403001</v>
      </c>
      <c r="E1056">
        <v>0.82979832124796604</v>
      </c>
      <c r="F1056">
        <v>0.18844162717716101</v>
      </c>
      <c r="G1056">
        <v>0.11865643112341299</v>
      </c>
      <c r="H1056">
        <v>7.8510336253357793E-2</v>
      </c>
      <c r="I1056">
        <v>7.3485887412307105E-2</v>
      </c>
      <c r="J1056">
        <v>9.7649305920193205E-2</v>
      </c>
      <c r="K1056">
        <v>8.7732091674944807E-2</v>
      </c>
      <c r="L1056">
        <v>3156.9822502289599</v>
      </c>
      <c r="M1056">
        <v>61.672353566789702</v>
      </c>
      <c r="N1056">
        <v>51.356282315211203</v>
      </c>
      <c r="O1056">
        <v>51.135845844471397</v>
      </c>
      <c r="P1056">
        <v>-0.27416470195671799</v>
      </c>
      <c r="Q1056">
        <v>9.0701882407741297E-2</v>
      </c>
      <c r="R1056">
        <v>0.99904618799664602</v>
      </c>
      <c r="S1056" t="s">
        <v>7862</v>
      </c>
      <c r="T1056" t="s">
        <v>13610</v>
      </c>
      <c r="U1056" t="s">
        <v>13610</v>
      </c>
      <c r="V1056" t="s">
        <v>13610</v>
      </c>
      <c r="W1056" t="s">
        <v>14636</v>
      </c>
      <c r="X1056">
        <v>11</v>
      </c>
      <c r="Y1056" t="s">
        <v>21345</v>
      </c>
      <c r="Z1056" t="s">
        <v>27911</v>
      </c>
      <c r="AA1056">
        <v>0.43120448286341878</v>
      </c>
      <c r="AB1056" t="str">
        <f>HYPERLINK("Melting_Curves/meltCurve_K7EPK2_NARS.pdf", "Melting_Curves/meltCurve_K7EPK2_NARS.pdf")</f>
        <v>Melting_Curves/meltCurve_K7EPK2_NARS.pdf</v>
      </c>
    </row>
    <row r="1057" spans="1:28" x14ac:dyDescent="0.25">
      <c r="A1057" t="s">
        <v>1061</v>
      </c>
      <c r="B1057">
        <v>0.995954080203443</v>
      </c>
      <c r="C1057">
        <v>0.972405843655061</v>
      </c>
      <c r="D1057">
        <v>0.84589733446918602</v>
      </c>
      <c r="E1057">
        <v>0.76425304876607303</v>
      </c>
      <c r="F1057">
        <v>0.58329131397942502</v>
      </c>
      <c r="G1057">
        <v>0.34281571725927201</v>
      </c>
      <c r="H1057">
        <v>0.19602522226643099</v>
      </c>
      <c r="I1057">
        <v>0.14053646763154201</v>
      </c>
      <c r="J1057">
        <v>8.1255119083653196E-2</v>
      </c>
      <c r="K1057">
        <v>5.5431659531610798E-2</v>
      </c>
      <c r="L1057">
        <v>667.09790410696803</v>
      </c>
      <c r="M1057">
        <v>12.3024521012177</v>
      </c>
      <c r="N1057">
        <v>54.224791678539503</v>
      </c>
      <c r="O1057">
        <v>52.851784807741801</v>
      </c>
      <c r="P1057">
        <v>-5.8205910760771903E-2</v>
      </c>
      <c r="Q1057">
        <v>0</v>
      </c>
      <c r="R1057">
        <v>0.99670559127749003</v>
      </c>
      <c r="S1057" t="s">
        <v>7863</v>
      </c>
      <c r="T1057" t="s">
        <v>13610</v>
      </c>
      <c r="U1057" t="s">
        <v>13610</v>
      </c>
      <c r="V1057" t="s">
        <v>13610</v>
      </c>
      <c r="W1057" t="s">
        <v>14637</v>
      </c>
      <c r="X1057">
        <v>1</v>
      </c>
      <c r="Y1057" t="s">
        <v>21351</v>
      </c>
      <c r="Z1057" t="s">
        <v>27912</v>
      </c>
      <c r="AA1057">
        <v>0.4991465678410324</v>
      </c>
      <c r="AB1057" t="str">
        <f>HYPERLINK("Melting_Curves/meltCurve_K7EPS8_C19orf12.pdf", "Melting_Curves/meltCurve_K7EPS8_C19orf12.pdf")</f>
        <v>Melting_Curves/meltCurve_K7EPS8_C19orf12.pdf</v>
      </c>
    </row>
    <row r="1058" spans="1:28" x14ac:dyDescent="0.25">
      <c r="A1058" t="s">
        <v>1062</v>
      </c>
      <c r="B1058">
        <v>0.995954080203443</v>
      </c>
      <c r="C1058">
        <v>0.93227413817299198</v>
      </c>
      <c r="D1058">
        <v>0.78617004565694404</v>
      </c>
      <c r="E1058">
        <v>0.66294884609265403</v>
      </c>
      <c r="F1058">
        <v>0.402312886747619</v>
      </c>
      <c r="G1058">
        <v>0.224148323932712</v>
      </c>
      <c r="H1058">
        <v>0.18754760952940799</v>
      </c>
      <c r="I1058">
        <v>0.16911744248378399</v>
      </c>
      <c r="J1058">
        <v>0.237263922104019</v>
      </c>
      <c r="K1058">
        <v>0.19420947781615999</v>
      </c>
      <c r="L1058">
        <v>807.78584777847698</v>
      </c>
      <c r="M1058">
        <v>16.113858874404102</v>
      </c>
      <c r="N1058">
        <v>51.434095240059797</v>
      </c>
      <c r="O1058">
        <v>49.376891883661301</v>
      </c>
      <c r="P1058">
        <v>-6.7908567066621794E-2</v>
      </c>
      <c r="Q1058">
        <v>0.167708182893368</v>
      </c>
      <c r="R1058">
        <v>0.98456107739627396</v>
      </c>
      <c r="S1058" t="s">
        <v>7864</v>
      </c>
      <c r="T1058" t="s">
        <v>13610</v>
      </c>
      <c r="U1058" t="s">
        <v>13610</v>
      </c>
      <c r="V1058" t="s">
        <v>13610</v>
      </c>
      <c r="W1058" t="s">
        <v>14638</v>
      </c>
      <c r="X1058">
        <v>1</v>
      </c>
      <c r="Y1058" t="s">
        <v>21352</v>
      </c>
      <c r="Z1058" t="s">
        <v>27913</v>
      </c>
      <c r="AA1058">
        <v>0.46613424892431121</v>
      </c>
      <c r="AB1058" t="str">
        <f>HYPERLINK("Melting_Curves/meltCurve_K7EPU2_NFIX.pdf", "Melting_Curves/meltCurve_K7EPU2_NFIX.pdf")</f>
        <v>Melting_Curves/meltCurve_K7EPU2_NFIX.pdf</v>
      </c>
    </row>
    <row r="1059" spans="1:28" x14ac:dyDescent="0.25">
      <c r="A1059" t="s">
        <v>1063</v>
      </c>
      <c r="B1059">
        <v>0.995954080203443</v>
      </c>
      <c r="C1059">
        <v>0.95188476779861497</v>
      </c>
      <c r="D1059">
        <v>0.94185190128702201</v>
      </c>
      <c r="E1059">
        <v>0.801133177699071</v>
      </c>
      <c r="F1059">
        <v>0.61860598230838004</v>
      </c>
      <c r="G1059">
        <v>0.30438466269764602</v>
      </c>
      <c r="H1059">
        <v>0.29183153340200602</v>
      </c>
      <c r="I1059">
        <v>0.37644991205876799</v>
      </c>
      <c r="J1059">
        <v>0.46195256300636101</v>
      </c>
      <c r="K1059">
        <v>0.41697566076144299</v>
      </c>
      <c r="L1059">
        <v>1532.4073649909899</v>
      </c>
      <c r="M1059">
        <v>29.708226620748999</v>
      </c>
      <c r="N1059">
        <v>54.011134508497697</v>
      </c>
      <c r="O1059">
        <v>51.349914875039701</v>
      </c>
      <c r="P1059">
        <v>-9.1327531108356702E-2</v>
      </c>
      <c r="Q1059">
        <v>0.36857528614634899</v>
      </c>
      <c r="R1059">
        <v>0.95142150926830504</v>
      </c>
      <c r="S1059" t="s">
        <v>7865</v>
      </c>
      <c r="T1059" t="s">
        <v>13610</v>
      </c>
      <c r="U1059" t="s">
        <v>13610</v>
      </c>
      <c r="V1059" t="s">
        <v>13610</v>
      </c>
      <c r="W1059" t="s">
        <v>14639</v>
      </c>
      <c r="X1059">
        <v>5</v>
      </c>
      <c r="Y1059" t="s">
        <v>21353</v>
      </c>
      <c r="Z1059" t="s">
        <v>27914</v>
      </c>
      <c r="AA1059">
        <v>0.61643212668523562</v>
      </c>
      <c r="AB1059" t="str">
        <f>HYPERLINK("Melting_Curves/meltCurve_K7EQU4_SAFB2.pdf", "Melting_Curves/meltCurve_K7EQU4_SAFB2.pdf")</f>
        <v>Melting_Curves/meltCurve_K7EQU4_SAFB2.pdf</v>
      </c>
    </row>
    <row r="1060" spans="1:28" x14ac:dyDescent="0.25">
      <c r="A1060" t="s">
        <v>1064</v>
      </c>
      <c r="B1060">
        <v>0.995954080203443</v>
      </c>
      <c r="C1060">
        <v>0.87250808442696903</v>
      </c>
      <c r="D1060">
        <v>0.768635024715283</v>
      </c>
      <c r="E1060">
        <v>0.65863107691596001</v>
      </c>
      <c r="F1060">
        <v>0.54065408976282003</v>
      </c>
      <c r="G1060">
        <v>0.38973413412916003</v>
      </c>
      <c r="H1060">
        <v>0.32472692244092299</v>
      </c>
      <c r="I1060">
        <v>0.36712410483332802</v>
      </c>
      <c r="J1060">
        <v>0.463088109875672</v>
      </c>
      <c r="K1060">
        <v>0.40785745548925501</v>
      </c>
      <c r="L1060">
        <v>662.65666148512901</v>
      </c>
      <c r="M1060">
        <v>13.711975650195299</v>
      </c>
      <c r="N1060">
        <v>53.5933210764072</v>
      </c>
      <c r="O1060">
        <v>47.333768944052999</v>
      </c>
      <c r="P1060">
        <v>-4.56288352143739E-2</v>
      </c>
      <c r="Q1060">
        <v>0.37004728917650798</v>
      </c>
      <c r="R1060">
        <v>0.95583625548584805</v>
      </c>
      <c r="S1060" t="s">
        <v>7866</v>
      </c>
      <c r="T1060" t="s">
        <v>13610</v>
      </c>
      <c r="U1060" t="s">
        <v>13610</v>
      </c>
      <c r="V1060" t="s">
        <v>13610</v>
      </c>
      <c r="W1060" t="s">
        <v>14640</v>
      </c>
      <c r="X1060">
        <v>1</v>
      </c>
      <c r="Y1060" t="s">
        <v>21354</v>
      </c>
      <c r="Z1060" t="s">
        <v>27915</v>
      </c>
      <c r="AA1060">
        <v>0.56386222293710919</v>
      </c>
      <c r="AB1060" t="str">
        <f>HYPERLINK("Melting_Curves/meltCurve_K7EQV7_ZNF700.pdf", "Melting_Curves/meltCurve_K7EQV7_ZNF700.pdf")</f>
        <v>Melting_Curves/meltCurve_K7EQV7_ZNF700.pdf</v>
      </c>
    </row>
    <row r="1061" spans="1:28" x14ac:dyDescent="0.25">
      <c r="A1061" t="s">
        <v>1065</v>
      </c>
      <c r="B1061">
        <v>0.995954080203443</v>
      </c>
      <c r="C1061">
        <v>0.97167521463973905</v>
      </c>
      <c r="D1061">
        <v>0.83022250214497195</v>
      </c>
      <c r="E1061">
        <v>0.85210959991476498</v>
      </c>
      <c r="F1061">
        <v>0.70440142069035105</v>
      </c>
      <c r="G1061">
        <v>0.526464967296431</v>
      </c>
      <c r="H1061">
        <v>0.41332987281668898</v>
      </c>
      <c r="I1061">
        <v>0.46735882335340401</v>
      </c>
      <c r="J1061">
        <v>0.57003526507131996</v>
      </c>
      <c r="K1061">
        <v>0.47342072778962102</v>
      </c>
      <c r="L1061">
        <v>778.96884747532602</v>
      </c>
      <c r="M1061">
        <v>15.114519419837499</v>
      </c>
      <c r="N1061">
        <v>61.607491050358398</v>
      </c>
      <c r="O1061">
        <v>50.660864007076299</v>
      </c>
      <c r="P1061">
        <v>-4.0450340040681203E-2</v>
      </c>
      <c r="Q1061">
        <v>0.457727140796724</v>
      </c>
      <c r="R1061">
        <v>0.92403281105490398</v>
      </c>
      <c r="S1061" t="s">
        <v>7867</v>
      </c>
      <c r="T1061" t="s">
        <v>13610</v>
      </c>
      <c r="U1061" t="s">
        <v>13610</v>
      </c>
      <c r="V1061" t="s">
        <v>13610</v>
      </c>
      <c r="W1061" t="s">
        <v>14641</v>
      </c>
      <c r="X1061">
        <v>2</v>
      </c>
      <c r="Y1061" t="s">
        <v>21355</v>
      </c>
      <c r="Z1061" t="s">
        <v>27916</v>
      </c>
      <c r="AA1061">
        <v>0.67844766947054702</v>
      </c>
      <c r="AB1061" t="str">
        <f>HYPERLINK("Melting_Curves/meltCurve_K7EQW8_TPM4.pdf", "Melting_Curves/meltCurve_K7EQW8_TPM4.pdf")</f>
        <v>Melting_Curves/meltCurve_K7EQW8_TPM4.pdf</v>
      </c>
    </row>
    <row r="1062" spans="1:28" x14ac:dyDescent="0.25">
      <c r="A1062" t="s">
        <v>1066</v>
      </c>
      <c r="B1062">
        <v>0.995954080203443</v>
      </c>
      <c r="C1062">
        <v>0.93273918361132901</v>
      </c>
      <c r="D1062">
        <v>0.90105163238081498</v>
      </c>
      <c r="E1062">
        <v>0.83727599101109995</v>
      </c>
      <c r="F1062">
        <v>0.81931821483240497</v>
      </c>
      <c r="G1062">
        <v>0.57881929359534801</v>
      </c>
      <c r="H1062">
        <v>0.55512792927467502</v>
      </c>
      <c r="I1062">
        <v>0.67871782952339998</v>
      </c>
      <c r="J1062">
        <v>0.919789645075481</v>
      </c>
      <c r="K1062">
        <v>0.79845126774864195</v>
      </c>
      <c r="L1062">
        <v>890.86342218801303</v>
      </c>
      <c r="M1062">
        <v>18.609519127939802</v>
      </c>
      <c r="O1062">
        <v>47.328875014418998</v>
      </c>
      <c r="P1062">
        <v>-2.7807688407916399E-2</v>
      </c>
      <c r="Q1062">
        <v>0.71712335313037001</v>
      </c>
      <c r="R1062">
        <v>0.484794023436389</v>
      </c>
      <c r="S1062" t="s">
        <v>7868</v>
      </c>
      <c r="T1062" t="s">
        <v>13610</v>
      </c>
      <c r="U1062" t="s">
        <v>13610</v>
      </c>
      <c r="V1062" t="s">
        <v>13610</v>
      </c>
      <c r="W1062" t="s">
        <v>14642</v>
      </c>
      <c r="X1062">
        <v>2</v>
      </c>
      <c r="Y1062" t="s">
        <v>21356</v>
      </c>
      <c r="Z1062" t="s">
        <v>27917</v>
      </c>
      <c r="AA1062">
        <v>0.79604215230372233</v>
      </c>
      <c r="AB1062" t="str">
        <f>HYPERLINK("Melting_Curves/meltCurve_K7EQX8_MXRA7.pdf", "Melting_Curves/meltCurve_K7EQX8_MXRA7.pdf")</f>
        <v>Melting_Curves/meltCurve_K7EQX8_MXRA7.pdf</v>
      </c>
    </row>
    <row r="1063" spans="1:28" x14ac:dyDescent="0.25">
      <c r="A1063" t="s">
        <v>1067</v>
      </c>
      <c r="B1063">
        <v>0.995954080203443</v>
      </c>
      <c r="C1063">
        <v>0.85630696979562104</v>
      </c>
      <c r="D1063">
        <v>0.74433951724688896</v>
      </c>
      <c r="E1063">
        <v>0.62094767269568596</v>
      </c>
      <c r="F1063">
        <v>0.28955868349375202</v>
      </c>
      <c r="G1063">
        <v>0.13528504562174801</v>
      </c>
      <c r="H1063">
        <v>0.100418796621785</v>
      </c>
      <c r="I1063">
        <v>9.5057728475500702E-2</v>
      </c>
      <c r="J1063">
        <v>0.119524431258783</v>
      </c>
      <c r="K1063">
        <v>9.9982313598394906E-2</v>
      </c>
      <c r="L1063">
        <v>726.57651795706704</v>
      </c>
      <c r="M1063">
        <v>14.604243441572599</v>
      </c>
      <c r="N1063">
        <v>50.209505356105801</v>
      </c>
      <c r="O1063">
        <v>48.846160203666798</v>
      </c>
      <c r="P1063">
        <v>-7.0088357351639402E-2</v>
      </c>
      <c r="Q1063">
        <v>6.2419601920137999E-2</v>
      </c>
      <c r="R1063">
        <v>0.979247370293722</v>
      </c>
      <c r="S1063" t="s">
        <v>7869</v>
      </c>
      <c r="T1063" t="s">
        <v>13610</v>
      </c>
      <c r="U1063" t="s">
        <v>13610</v>
      </c>
      <c r="V1063" t="s">
        <v>13610</v>
      </c>
      <c r="W1063" t="s">
        <v>14643</v>
      </c>
      <c r="X1063">
        <v>7</v>
      </c>
      <c r="Y1063" t="s">
        <v>21357</v>
      </c>
      <c r="Z1063" t="s">
        <v>27918</v>
      </c>
      <c r="AA1063">
        <v>0.39081052352484419</v>
      </c>
      <c r="AB1063" t="str">
        <f>HYPERLINK("Melting_Curves/meltCurve_K7ERF1_EIF3K.pdf", "Melting_Curves/meltCurve_K7ERF1_EIF3K.pdf")</f>
        <v>Melting_Curves/meltCurve_K7ERF1_EIF3K.pdf</v>
      </c>
    </row>
    <row r="1064" spans="1:28" x14ac:dyDescent="0.25">
      <c r="A1064" t="s">
        <v>1068</v>
      </c>
      <c r="B1064">
        <v>0.995954080203443</v>
      </c>
      <c r="C1064">
        <v>0.97144957940701804</v>
      </c>
      <c r="D1064">
        <v>0.73200517298491696</v>
      </c>
      <c r="E1064">
        <v>0.72582903026759205</v>
      </c>
      <c r="F1064">
        <v>0.53385176109012999</v>
      </c>
      <c r="G1064">
        <v>0.24603739007227701</v>
      </c>
      <c r="H1064">
        <v>0.16728885579873701</v>
      </c>
      <c r="I1064">
        <v>0.11585095970786299</v>
      </c>
      <c r="J1064">
        <v>0.171463186289388</v>
      </c>
      <c r="K1064">
        <v>0.147581400138837</v>
      </c>
      <c r="L1064">
        <v>671.12061598712603</v>
      </c>
      <c r="M1064">
        <v>12.91057931442</v>
      </c>
      <c r="N1064">
        <v>52.7069639039847</v>
      </c>
      <c r="O1064">
        <v>50.7824745285265</v>
      </c>
      <c r="P1064">
        <v>-5.83996434728297E-2</v>
      </c>
      <c r="Q1064">
        <v>8.1330051549657195E-2</v>
      </c>
      <c r="R1064">
        <v>0.97096013002361103</v>
      </c>
      <c r="S1064" t="s">
        <v>7870</v>
      </c>
      <c r="T1064" t="s">
        <v>13610</v>
      </c>
      <c r="U1064" t="s">
        <v>13610</v>
      </c>
      <c r="V1064" t="s">
        <v>13610</v>
      </c>
      <c r="W1064" t="s">
        <v>14369</v>
      </c>
      <c r="X1064">
        <v>7</v>
      </c>
      <c r="Z1064" t="s">
        <v>27919</v>
      </c>
      <c r="AA1064">
        <v>0.47379774397246088</v>
      </c>
      <c r="AB1064" t="str">
        <f>HYPERLINK("Melting_Curves/meltCurve_K7ERQ8_.pdf", "Melting_Curves/meltCurve_K7ERQ8_.pdf")</f>
        <v>Melting_Curves/meltCurve_K7ERQ8_.pdf</v>
      </c>
    </row>
    <row r="1065" spans="1:28" x14ac:dyDescent="0.25">
      <c r="A1065" t="s">
        <v>1069</v>
      </c>
      <c r="B1065">
        <v>0.995954080203443</v>
      </c>
      <c r="C1065">
        <v>0.97512179952039102</v>
      </c>
      <c r="D1065">
        <v>0.88216576504826105</v>
      </c>
      <c r="E1065">
        <v>0.868690772509358</v>
      </c>
      <c r="F1065">
        <v>0.73241226601501597</v>
      </c>
      <c r="G1065">
        <v>0.58795766244353798</v>
      </c>
      <c r="H1065">
        <v>0.57791264324762204</v>
      </c>
      <c r="I1065">
        <v>0.67891179631469301</v>
      </c>
      <c r="J1065">
        <v>0.74543745199923706</v>
      </c>
      <c r="K1065">
        <v>0.77253163555806104</v>
      </c>
      <c r="L1065">
        <v>1018.33284085711</v>
      </c>
      <c r="M1065">
        <v>20.750255180331202</v>
      </c>
      <c r="O1065">
        <v>48.626706370627502</v>
      </c>
      <c r="P1065">
        <v>-3.4797422239995698E-2</v>
      </c>
      <c r="Q1065">
        <v>0.67382833783387497</v>
      </c>
      <c r="R1065">
        <v>0.78251342057414797</v>
      </c>
      <c r="S1065" t="s">
        <v>7871</v>
      </c>
      <c r="T1065" t="s">
        <v>13610</v>
      </c>
      <c r="U1065" t="s">
        <v>13610</v>
      </c>
      <c r="V1065" t="s">
        <v>13610</v>
      </c>
      <c r="W1065" t="s">
        <v>14644</v>
      </c>
      <c r="X1065">
        <v>7</v>
      </c>
      <c r="Y1065" t="s">
        <v>21358</v>
      </c>
      <c r="Z1065" t="s">
        <v>27920</v>
      </c>
      <c r="AA1065">
        <v>0.77673932530731216</v>
      </c>
      <c r="AB1065" t="str">
        <f>HYPERLINK("Melting_Curves/meltCurve_K7ERU7_C19orf43.pdf", "Melting_Curves/meltCurve_K7ERU7_C19orf43.pdf")</f>
        <v>Melting_Curves/meltCurve_K7ERU7_C19orf43.pdf</v>
      </c>
    </row>
    <row r="1066" spans="1:28" x14ac:dyDescent="0.25">
      <c r="A1066" t="s">
        <v>1070</v>
      </c>
      <c r="B1066">
        <v>0.995954080203443</v>
      </c>
      <c r="C1066">
        <v>0.93376922309150701</v>
      </c>
      <c r="D1066">
        <v>0.85238196180146697</v>
      </c>
      <c r="E1066">
        <v>0.780564247355931</v>
      </c>
      <c r="F1066">
        <v>0.539292231019323</v>
      </c>
      <c r="G1066">
        <v>0.45119950956953903</v>
      </c>
      <c r="H1066">
        <v>0.46736265635887603</v>
      </c>
      <c r="I1066">
        <v>0.55949542017016096</v>
      </c>
      <c r="J1066">
        <v>0.79773361996529102</v>
      </c>
      <c r="K1066">
        <v>0.70980975463263696</v>
      </c>
      <c r="L1066">
        <v>1119.65728955907</v>
      </c>
      <c r="M1066">
        <v>23.548864860443398</v>
      </c>
      <c r="O1066">
        <v>47.207240096982503</v>
      </c>
      <c r="P1066">
        <v>-5.0915285910328997E-2</v>
      </c>
      <c r="Q1066">
        <v>0.59173758774141705</v>
      </c>
      <c r="R1066">
        <v>0.67071167277399502</v>
      </c>
      <c r="S1066" t="s">
        <v>7872</v>
      </c>
      <c r="T1066" t="s">
        <v>13610</v>
      </c>
      <c r="U1066" t="s">
        <v>13610</v>
      </c>
      <c r="V1066" t="s">
        <v>13610</v>
      </c>
      <c r="W1066" t="s">
        <v>14645</v>
      </c>
      <c r="X1066">
        <v>30</v>
      </c>
      <c r="Y1066" t="s">
        <v>21359</v>
      </c>
      <c r="Z1066" t="s">
        <v>27921</v>
      </c>
      <c r="AA1066">
        <v>0.698547780046885</v>
      </c>
      <c r="AB1066" t="str">
        <f>HYPERLINK("Melting_Curves/meltCurve_K7ES11_UBE2O.pdf", "Melting_Curves/meltCurve_K7ES11_UBE2O.pdf")</f>
        <v>Melting_Curves/meltCurve_K7ES11_UBE2O.pdf</v>
      </c>
    </row>
    <row r="1067" spans="1:28" x14ac:dyDescent="0.25">
      <c r="A1067" t="s">
        <v>1071</v>
      </c>
      <c r="B1067">
        <v>0.995954080203443</v>
      </c>
      <c r="C1067">
        <v>0.97507739933478998</v>
      </c>
      <c r="D1067">
        <v>0.84224555010777902</v>
      </c>
      <c r="E1067">
        <v>0.75283732851150398</v>
      </c>
      <c r="F1067">
        <v>0.38841512835973402</v>
      </c>
      <c r="G1067">
        <v>0.18859014021257001</v>
      </c>
      <c r="H1067">
        <v>0.14643313556670901</v>
      </c>
      <c r="I1067">
        <v>0.12883020104699899</v>
      </c>
      <c r="J1067">
        <v>0.15464534303810901</v>
      </c>
      <c r="K1067">
        <v>0.14075526515495601</v>
      </c>
      <c r="L1067">
        <v>1155.14768371013</v>
      </c>
      <c r="M1067">
        <v>22.503942847838001</v>
      </c>
      <c r="N1067">
        <v>52.007075007768201</v>
      </c>
      <c r="O1067">
        <v>50.930742096592802</v>
      </c>
      <c r="P1067">
        <v>-9.6454868280724998E-2</v>
      </c>
      <c r="Q1067">
        <v>0.12683460569930299</v>
      </c>
      <c r="R1067">
        <v>0.98762491895040005</v>
      </c>
      <c r="S1067" t="s">
        <v>7873</v>
      </c>
      <c r="T1067" t="s">
        <v>13610</v>
      </c>
      <c r="U1067" t="s">
        <v>13610</v>
      </c>
      <c r="V1067" t="s">
        <v>13610</v>
      </c>
      <c r="W1067" t="s">
        <v>14646</v>
      </c>
      <c r="X1067">
        <v>2</v>
      </c>
      <c r="Y1067" t="s">
        <v>21360</v>
      </c>
      <c r="Z1067" t="s">
        <v>27922</v>
      </c>
      <c r="AA1067">
        <v>0.46632821102498812</v>
      </c>
      <c r="AB1067" t="str">
        <f>HYPERLINK("Melting_Curves/meltCurve_K7ES84_FAM86A.pdf", "Melting_Curves/meltCurve_K7ES84_FAM86A.pdf")</f>
        <v>Melting_Curves/meltCurve_K7ES84_FAM86A.pdf</v>
      </c>
    </row>
    <row r="1068" spans="1:28" x14ac:dyDescent="0.25">
      <c r="A1068" t="s">
        <v>1072</v>
      </c>
      <c r="B1068">
        <v>0.995954080203443</v>
      </c>
      <c r="C1068">
        <v>0.89837543050761504</v>
      </c>
      <c r="D1068">
        <v>0.74099328532042097</v>
      </c>
      <c r="E1068">
        <v>0.49940621855537598</v>
      </c>
      <c r="F1068">
        <v>0.25015970212174798</v>
      </c>
      <c r="G1068">
        <v>0.151964424030027</v>
      </c>
      <c r="H1068">
        <v>0.103951465494137</v>
      </c>
      <c r="I1068">
        <v>7.6577013095574006E-2</v>
      </c>
      <c r="J1068">
        <v>0</v>
      </c>
      <c r="K1068">
        <v>7.7229210228750803E-2</v>
      </c>
      <c r="L1068">
        <v>745.00478263410901</v>
      </c>
      <c r="M1068">
        <v>15.1162618636213</v>
      </c>
      <c r="N1068">
        <v>49.529902360953997</v>
      </c>
      <c r="O1068">
        <v>48.446589348266599</v>
      </c>
      <c r="P1068">
        <v>-7.5203140975736701E-2</v>
      </c>
      <c r="Q1068">
        <v>3.60106884267931E-2</v>
      </c>
      <c r="R1068">
        <v>0.99415471777296505</v>
      </c>
      <c r="S1068" t="s">
        <v>7874</v>
      </c>
      <c r="T1068" t="s">
        <v>13610</v>
      </c>
      <c r="U1068" t="s">
        <v>13610</v>
      </c>
      <c r="V1068" t="s">
        <v>13610</v>
      </c>
      <c r="W1068" t="s">
        <v>14647</v>
      </c>
      <c r="X1068">
        <v>2</v>
      </c>
      <c r="Y1068" t="s">
        <v>21361</v>
      </c>
      <c r="Z1068" t="s">
        <v>27923</v>
      </c>
      <c r="AA1068">
        <v>0.3575773457729578</v>
      </c>
      <c r="AB1068" t="str">
        <f>HYPERLINK("Melting_Curves/meltCurve_K7ESB0_APITD1.pdf", "Melting_Curves/meltCurve_K7ESB0_APITD1.pdf")</f>
        <v>Melting_Curves/meltCurve_K7ESB0_APITD1.pdf</v>
      </c>
    </row>
    <row r="1069" spans="1:28" x14ac:dyDescent="0.25">
      <c r="A1069" t="s">
        <v>1073</v>
      </c>
      <c r="B1069">
        <v>0.995954080203443</v>
      </c>
      <c r="C1069">
        <v>0.97074129914665497</v>
      </c>
      <c r="D1069">
        <v>1.13776951334123</v>
      </c>
      <c r="E1069">
        <v>0.89856948242463097</v>
      </c>
      <c r="F1069">
        <v>1.04006131475251</v>
      </c>
      <c r="G1069">
        <v>0.857954152353819</v>
      </c>
      <c r="H1069">
        <v>0.804204640789695</v>
      </c>
      <c r="I1069">
        <v>0.940787217510345</v>
      </c>
      <c r="J1069">
        <v>1.09970685525773</v>
      </c>
      <c r="K1069">
        <v>1.00511936468725</v>
      </c>
      <c r="L1069">
        <v>12004.4918879985</v>
      </c>
      <c r="M1069">
        <v>250</v>
      </c>
      <c r="O1069">
        <v>48.014895099734503</v>
      </c>
      <c r="P1069">
        <v>-6.5752376537882906E-2</v>
      </c>
      <c r="Q1069">
        <v>0.94948650506566601</v>
      </c>
      <c r="R1069">
        <v>0.11950023274975199</v>
      </c>
      <c r="S1069" t="s">
        <v>7875</v>
      </c>
      <c r="T1069" t="s">
        <v>13610</v>
      </c>
      <c r="U1069" t="s">
        <v>13610</v>
      </c>
      <c r="V1069" t="s">
        <v>13610</v>
      </c>
      <c r="W1069" t="s">
        <v>14648</v>
      </c>
      <c r="X1069">
        <v>18</v>
      </c>
      <c r="Y1069" t="s">
        <v>21362</v>
      </c>
      <c r="Z1069" t="s">
        <v>27924</v>
      </c>
      <c r="AA1069">
        <v>0.96299128065495088</v>
      </c>
      <c r="AB1069" t="str">
        <f>HYPERLINK("Melting_Curves/meltCurve_K7ESE3_RAD23A.pdf", "Melting_Curves/meltCurve_K7ESE3_RAD23A.pdf")</f>
        <v>Melting_Curves/meltCurve_K7ESE3_RAD23A.pdf</v>
      </c>
    </row>
    <row r="1070" spans="1:28" x14ac:dyDescent="0.25">
      <c r="A1070" t="s">
        <v>1074</v>
      </c>
      <c r="B1070">
        <v>0.995954080203443</v>
      </c>
      <c r="C1070">
        <v>0.38937163292679</v>
      </c>
      <c r="D1070">
        <v>0.72097873650931099</v>
      </c>
      <c r="E1070">
        <v>0.47024973134497899</v>
      </c>
      <c r="F1070">
        <v>0.14264961942818</v>
      </c>
      <c r="G1070">
        <v>0.10053035400067201</v>
      </c>
      <c r="H1070">
        <v>5.3346151561466999E-2</v>
      </c>
      <c r="I1070">
        <v>4.4383210684060898E-2</v>
      </c>
      <c r="J1070">
        <v>3.5127208399167401E-2</v>
      </c>
      <c r="K1070">
        <v>3.3119795380054502E-2</v>
      </c>
      <c r="L1070">
        <v>472.75252366377401</v>
      </c>
      <c r="M1070">
        <v>10.1030423902309</v>
      </c>
      <c r="N1070">
        <v>46.7930873818542</v>
      </c>
      <c r="O1070">
        <v>45.070752430773602</v>
      </c>
      <c r="P1070">
        <v>-5.6066086487469802E-2</v>
      </c>
      <c r="Q1070">
        <v>0</v>
      </c>
      <c r="R1070">
        <v>0.81871098646497398</v>
      </c>
      <c r="S1070" t="s">
        <v>7876</v>
      </c>
      <c r="T1070" t="s">
        <v>13610</v>
      </c>
      <c r="U1070" t="s">
        <v>13610</v>
      </c>
      <c r="V1070" t="s">
        <v>13610</v>
      </c>
      <c r="W1070" t="s">
        <v>14649</v>
      </c>
      <c r="X1070">
        <v>52</v>
      </c>
      <c r="Y1070" t="s">
        <v>21363</v>
      </c>
      <c r="Z1070" t="s">
        <v>27925</v>
      </c>
      <c r="AA1070">
        <v>0.28391979208705942</v>
      </c>
      <c r="AB1070" t="str">
        <f>HYPERLINK("Melting_Curves/meltCurve_K7ESI9_DNM2.pdf", "Melting_Curves/meltCurve_K7ESI9_DNM2.pdf")</f>
        <v>Melting_Curves/meltCurve_K7ESI9_DNM2.pdf</v>
      </c>
    </row>
    <row r="1071" spans="1:28" x14ac:dyDescent="0.25">
      <c r="A1071" t="s">
        <v>1075</v>
      </c>
      <c r="B1071">
        <v>0.995954080203443</v>
      </c>
      <c r="C1071">
        <v>0.88134487149698404</v>
      </c>
      <c r="D1071">
        <v>1.1948092260137699</v>
      </c>
      <c r="E1071">
        <v>0.88438356382740702</v>
      </c>
      <c r="F1071">
        <v>2.3126280468863598</v>
      </c>
      <c r="G1071">
        <v>2.1517353841109799</v>
      </c>
      <c r="H1071">
        <v>2.8213919903646199</v>
      </c>
      <c r="I1071">
        <v>4.8522965877000299</v>
      </c>
      <c r="J1071">
        <v>4.3499721646926401</v>
      </c>
      <c r="K1071">
        <v>5.3814491640043096</v>
      </c>
      <c r="L1071">
        <v>5425.5747373883496</v>
      </c>
      <c r="M1071">
        <v>106.328772170166</v>
      </c>
      <c r="O1071">
        <v>51.008364557307999</v>
      </c>
      <c r="P1071">
        <v>0.26056703360607503</v>
      </c>
      <c r="Q1071">
        <v>1.5</v>
      </c>
      <c r="R1071">
        <v>-0.40179720120830698</v>
      </c>
      <c r="S1071" t="s">
        <v>7877</v>
      </c>
      <c r="T1071" t="s">
        <v>13610</v>
      </c>
      <c r="U1071" t="s">
        <v>13610</v>
      </c>
      <c r="V1071" t="s">
        <v>13610</v>
      </c>
      <c r="W1071" t="s">
        <v>14650</v>
      </c>
      <c r="X1071">
        <v>1</v>
      </c>
      <c r="Y1071" t="s">
        <v>21364</v>
      </c>
      <c r="Z1071" t="s">
        <v>27926</v>
      </c>
      <c r="AA1071">
        <v>1.315978851063085</v>
      </c>
      <c r="AB1071" t="str">
        <f>HYPERLINK("Melting_Curves/meltCurve_L7N2F3_C18orf21.pdf", "Melting_Curves/meltCurve_L7N2F3_C18orf21.pdf")</f>
        <v>Melting_Curves/meltCurve_L7N2F3_C18orf21.pdf</v>
      </c>
    </row>
    <row r="1072" spans="1:28" x14ac:dyDescent="0.25">
      <c r="A1072" t="s">
        <v>1076</v>
      </c>
      <c r="B1072">
        <v>0.995954080203443</v>
      </c>
      <c r="C1072">
        <v>0.89066341176911801</v>
      </c>
      <c r="D1072">
        <v>0.66681120036159303</v>
      </c>
      <c r="E1072">
        <v>0.61000445891437705</v>
      </c>
      <c r="F1072">
        <v>0.22530508278588801</v>
      </c>
      <c r="G1072">
        <v>0.109335109089591</v>
      </c>
      <c r="H1072">
        <v>7.7803888672439106E-2</v>
      </c>
      <c r="I1072">
        <v>7.6417934007333904E-2</v>
      </c>
      <c r="J1072">
        <v>9.1201254212249505E-2</v>
      </c>
      <c r="K1072">
        <v>8.2848395048834803E-2</v>
      </c>
      <c r="L1072">
        <v>719.74310323869304</v>
      </c>
      <c r="M1072">
        <v>14.6126195386516</v>
      </c>
      <c r="N1072">
        <v>49.560198350333003</v>
      </c>
      <c r="O1072">
        <v>48.360023978128297</v>
      </c>
      <c r="P1072">
        <v>-7.2297478922566105E-2</v>
      </c>
      <c r="Q1072">
        <v>4.3041792277543497E-2</v>
      </c>
      <c r="R1072">
        <v>0.970300772031643</v>
      </c>
      <c r="S1072" t="s">
        <v>7878</v>
      </c>
      <c r="T1072" t="s">
        <v>13610</v>
      </c>
      <c r="U1072" t="s">
        <v>13610</v>
      </c>
      <c r="V1072" t="s">
        <v>13610</v>
      </c>
      <c r="W1072" t="s">
        <v>14651</v>
      </c>
      <c r="X1072">
        <v>16</v>
      </c>
      <c r="Y1072" t="s">
        <v>21365</v>
      </c>
      <c r="Z1072" t="s">
        <v>27927</v>
      </c>
      <c r="AA1072">
        <v>0.36281666630311171</v>
      </c>
      <c r="AB1072" t="str">
        <f>HYPERLINK("Melting_Curves/meltCurve_M0QWZ7_SARS2.pdf", "Melting_Curves/meltCurve_M0QWZ7_SARS2.pdf")</f>
        <v>Melting_Curves/meltCurve_M0QWZ7_SARS2.pdf</v>
      </c>
    </row>
    <row r="1073" spans="1:28" x14ac:dyDescent="0.25">
      <c r="A1073" t="s">
        <v>1077</v>
      </c>
      <c r="B1073">
        <v>0.995954080203443</v>
      </c>
      <c r="C1073">
        <v>0.91745192117922203</v>
      </c>
      <c r="D1073">
        <v>0.70909559579068004</v>
      </c>
      <c r="E1073">
        <v>0.47671006750464701</v>
      </c>
      <c r="F1073">
        <v>0.32266779158325898</v>
      </c>
      <c r="G1073">
        <v>0.246260829464859</v>
      </c>
      <c r="H1073">
        <v>0.208425850064445</v>
      </c>
      <c r="I1073">
        <v>0.22091909648842201</v>
      </c>
      <c r="J1073">
        <v>0.30315261193360998</v>
      </c>
      <c r="K1073">
        <v>0.29539241179325398</v>
      </c>
      <c r="L1073">
        <v>930.80760737849005</v>
      </c>
      <c r="M1073">
        <v>19.658079356450902</v>
      </c>
      <c r="N1073">
        <v>49.064897248307801</v>
      </c>
      <c r="O1073">
        <v>46.8680525018327</v>
      </c>
      <c r="P1073">
        <v>-7.8804973165127704E-2</v>
      </c>
      <c r="Q1073">
        <v>0.24849079028641199</v>
      </c>
      <c r="R1073">
        <v>0.98633846435685302</v>
      </c>
      <c r="S1073" t="s">
        <v>7879</v>
      </c>
      <c r="T1073" t="s">
        <v>13610</v>
      </c>
      <c r="U1073" t="s">
        <v>13610</v>
      </c>
      <c r="V1073" t="s">
        <v>13610</v>
      </c>
      <c r="W1073" t="s">
        <v>14652</v>
      </c>
      <c r="X1073">
        <v>24</v>
      </c>
      <c r="Y1073" t="s">
        <v>21366</v>
      </c>
      <c r="Z1073" t="s">
        <v>27928</v>
      </c>
      <c r="AA1073">
        <v>0.44388634737372062</v>
      </c>
      <c r="AB1073" t="str">
        <f>HYPERLINK("Melting_Curves/meltCurve_M0QX35_PAF1.pdf", "Melting_Curves/meltCurve_M0QX35_PAF1.pdf")</f>
        <v>Melting_Curves/meltCurve_M0QX35_PAF1.pdf</v>
      </c>
    </row>
    <row r="1074" spans="1:28" x14ac:dyDescent="0.25">
      <c r="A1074" t="s">
        <v>1078</v>
      </c>
      <c r="B1074">
        <v>0.995954080203443</v>
      </c>
      <c r="C1074">
        <v>0.97082831804787795</v>
      </c>
      <c r="D1074">
        <v>0.87305281742505603</v>
      </c>
      <c r="E1074">
        <v>0.77386005777310196</v>
      </c>
      <c r="F1074">
        <v>0.32564475458294601</v>
      </c>
      <c r="G1074">
        <v>0.132676200899953</v>
      </c>
      <c r="H1074">
        <v>8.9539183584082693E-2</v>
      </c>
      <c r="I1074">
        <v>6.2023537738313601E-2</v>
      </c>
      <c r="J1074">
        <v>0.15928458965766301</v>
      </c>
      <c r="K1074">
        <v>5.9016022263234699E-2</v>
      </c>
      <c r="L1074">
        <v>1665.0277007802199</v>
      </c>
      <c r="M1074">
        <v>32.360207729072101</v>
      </c>
      <c r="N1074">
        <v>51.769813438438803</v>
      </c>
      <c r="O1074">
        <v>51.257631176308799</v>
      </c>
      <c r="P1074">
        <v>-0.143651470773626</v>
      </c>
      <c r="Q1074">
        <v>8.9845168331255804E-2</v>
      </c>
      <c r="R1074">
        <v>0.98637155755324202</v>
      </c>
      <c r="S1074" t="s">
        <v>7880</v>
      </c>
      <c r="T1074" t="s">
        <v>13610</v>
      </c>
      <c r="U1074" t="s">
        <v>13610</v>
      </c>
      <c r="V1074" t="s">
        <v>13610</v>
      </c>
      <c r="W1074" t="s">
        <v>14653</v>
      </c>
      <c r="X1074">
        <v>3</v>
      </c>
      <c r="Y1074" t="s">
        <v>21367</v>
      </c>
      <c r="Z1074" t="s">
        <v>27929</v>
      </c>
      <c r="AA1074">
        <v>0.44226499956027793</v>
      </c>
      <c r="AB1074" t="str">
        <f>HYPERLINK("Melting_Curves/meltCurve_M0QXX4_KPTN.pdf", "Melting_Curves/meltCurve_M0QXX4_KPTN.pdf")</f>
        <v>Melting_Curves/meltCurve_M0QXX4_KPTN.pdf</v>
      </c>
    </row>
    <row r="1075" spans="1:28" x14ac:dyDescent="0.25">
      <c r="A1075" t="s">
        <v>1079</v>
      </c>
      <c r="B1075">
        <v>0.995954080203443</v>
      </c>
      <c r="C1075">
        <v>0.98663505374492499</v>
      </c>
      <c r="D1075">
        <v>0.91546353978875805</v>
      </c>
      <c r="E1075">
        <v>0.82376771325561104</v>
      </c>
      <c r="F1075">
        <v>0.714890486500671</v>
      </c>
      <c r="G1075">
        <v>0.47822802066435799</v>
      </c>
      <c r="H1075">
        <v>0.395743294142544</v>
      </c>
      <c r="I1075">
        <v>0.445937261016571</v>
      </c>
      <c r="J1075">
        <v>0.57609836077730503</v>
      </c>
      <c r="K1075">
        <v>0.53054611244557504</v>
      </c>
      <c r="L1075">
        <v>1211.2843876869299</v>
      </c>
      <c r="M1075">
        <v>23.4586935146482</v>
      </c>
      <c r="N1075">
        <v>59.487395443891003</v>
      </c>
      <c r="O1075">
        <v>51.263946412101703</v>
      </c>
      <c r="P1075">
        <v>-5.9787266591116002E-2</v>
      </c>
      <c r="Q1075">
        <v>0.47740002168759599</v>
      </c>
      <c r="R1075">
        <v>0.93488601287018103</v>
      </c>
      <c r="S1075" t="s">
        <v>7881</v>
      </c>
      <c r="T1075" t="s">
        <v>13610</v>
      </c>
      <c r="U1075" t="s">
        <v>13610</v>
      </c>
      <c r="V1075" t="s">
        <v>13610</v>
      </c>
      <c r="W1075" t="s">
        <v>14654</v>
      </c>
      <c r="X1075">
        <v>2</v>
      </c>
      <c r="Y1075" t="s">
        <v>21368</v>
      </c>
      <c r="Z1075" t="s">
        <v>27930</v>
      </c>
      <c r="AA1075">
        <v>0.68545143362569394</v>
      </c>
      <c r="AB1075" t="str">
        <f>HYPERLINK("Melting_Curves/meltCurve_M0QY01_EPS15L1.pdf", "Melting_Curves/meltCurve_M0QY01_EPS15L1.pdf")</f>
        <v>Melting_Curves/meltCurve_M0QY01_EPS15L1.pdf</v>
      </c>
    </row>
    <row r="1076" spans="1:28" x14ac:dyDescent="0.25">
      <c r="A1076" t="s">
        <v>1080</v>
      </c>
      <c r="B1076">
        <v>0.995954080203443</v>
      </c>
      <c r="C1076">
        <v>0.80324657023337498</v>
      </c>
      <c r="D1076">
        <v>1.8132278593351501</v>
      </c>
      <c r="E1076">
        <v>1.05112541445084</v>
      </c>
      <c r="F1076">
        <v>2.1911144843560701</v>
      </c>
      <c r="G1076">
        <v>1.7665719411921601</v>
      </c>
      <c r="H1076">
        <v>1.98964185977924</v>
      </c>
      <c r="I1076">
        <v>2.78806764979926</v>
      </c>
      <c r="J1076">
        <v>3.2220007787241598</v>
      </c>
      <c r="K1076">
        <v>3.1432842094901901</v>
      </c>
      <c r="L1076">
        <v>11090.1628853819</v>
      </c>
      <c r="M1076">
        <v>250</v>
      </c>
      <c r="O1076">
        <v>44.357811452631502</v>
      </c>
      <c r="P1076">
        <v>0.70449821792303002</v>
      </c>
      <c r="Q1076">
        <v>1.5</v>
      </c>
      <c r="R1076">
        <v>-0.22797815396729701</v>
      </c>
      <c r="S1076" t="s">
        <v>7882</v>
      </c>
      <c r="T1076" t="s">
        <v>13610</v>
      </c>
      <c r="U1076" t="s">
        <v>13610</v>
      </c>
      <c r="V1076" t="s">
        <v>13610</v>
      </c>
      <c r="W1076" t="s">
        <v>14655</v>
      </c>
      <c r="X1076">
        <v>1</v>
      </c>
      <c r="Y1076" t="s">
        <v>21369</v>
      </c>
      <c r="Z1076" t="s">
        <v>27931</v>
      </c>
      <c r="AA1076">
        <v>1.427283548181344</v>
      </c>
      <c r="AB1076" t="str">
        <f>HYPERLINK("Melting_Curves/meltCurve_M0QY46_USF2.pdf", "Melting_Curves/meltCurve_M0QY46_USF2.pdf")</f>
        <v>Melting_Curves/meltCurve_M0QY46_USF2.pdf</v>
      </c>
    </row>
    <row r="1077" spans="1:28" x14ac:dyDescent="0.25">
      <c r="A1077" t="s">
        <v>1081</v>
      </c>
      <c r="B1077">
        <v>0.995954080203443</v>
      </c>
      <c r="C1077">
        <v>0.86089428021922398</v>
      </c>
      <c r="D1077">
        <v>0.97364442644246496</v>
      </c>
      <c r="E1077">
        <v>0.88367430760726995</v>
      </c>
      <c r="F1077">
        <v>1.0051326325446199</v>
      </c>
      <c r="G1077">
        <v>0.72026231447021105</v>
      </c>
      <c r="H1077">
        <v>0.77913681773386301</v>
      </c>
      <c r="I1077">
        <v>0.91306604762599997</v>
      </c>
      <c r="J1077">
        <v>1.2613641697739</v>
      </c>
      <c r="K1077">
        <v>1.04040231667533</v>
      </c>
      <c r="L1077">
        <v>10106.8085428543</v>
      </c>
      <c r="M1077">
        <v>250</v>
      </c>
      <c r="O1077">
        <v>40.424646388675001</v>
      </c>
      <c r="P1077">
        <v>-9.6617114649742097E-2</v>
      </c>
      <c r="Q1077">
        <v>0.93750859586165503</v>
      </c>
      <c r="R1077">
        <v>1.4918955073948701E-2</v>
      </c>
      <c r="S1077" t="s">
        <v>7883</v>
      </c>
      <c r="T1077" t="s">
        <v>13610</v>
      </c>
      <c r="U1077" t="s">
        <v>13610</v>
      </c>
      <c r="V1077" t="s">
        <v>13610</v>
      </c>
      <c r="W1077" t="s">
        <v>14656</v>
      </c>
      <c r="X1077">
        <v>7</v>
      </c>
      <c r="Y1077" t="s">
        <v>21370</v>
      </c>
      <c r="Z1077" t="s">
        <v>27932</v>
      </c>
      <c r="AA1077">
        <v>0.93842487912957939</v>
      </c>
      <c r="AB1077" t="str">
        <f>HYPERLINK("Melting_Curves/meltCurve_M0QYR7_SMG9.pdf", "Melting_Curves/meltCurve_M0QYR7_SMG9.pdf")</f>
        <v>Melting_Curves/meltCurve_M0QYR7_SMG9.pdf</v>
      </c>
    </row>
    <row r="1078" spans="1:28" x14ac:dyDescent="0.25">
      <c r="A1078" t="s">
        <v>1082</v>
      </c>
      <c r="B1078">
        <v>0.995954080203443</v>
      </c>
      <c r="C1078">
        <v>0.978436636134424</v>
      </c>
      <c r="D1078">
        <v>1.03950213885982</v>
      </c>
      <c r="E1078">
        <v>0.84962675892517403</v>
      </c>
      <c r="F1078">
        <v>0.657228772875873</v>
      </c>
      <c r="G1078">
        <v>0.330615511441406</v>
      </c>
      <c r="H1078">
        <v>0.15576223608949799</v>
      </c>
      <c r="I1078">
        <v>0.121703975768958</v>
      </c>
      <c r="J1078">
        <v>0.120859229852158</v>
      </c>
      <c r="K1078">
        <v>0.12776335885752599</v>
      </c>
      <c r="L1078">
        <v>1211.20356274295</v>
      </c>
      <c r="M1078">
        <v>22.407104294762799</v>
      </c>
      <c r="N1078">
        <v>54.639850027170603</v>
      </c>
      <c r="O1078">
        <v>53.6294360103158</v>
      </c>
      <c r="P1078">
        <v>-9.3308834014780698E-2</v>
      </c>
      <c r="Q1078">
        <v>0.106712641785914</v>
      </c>
      <c r="R1078">
        <v>0.99658548922819601</v>
      </c>
      <c r="S1078" t="s">
        <v>7884</v>
      </c>
      <c r="T1078" t="s">
        <v>13610</v>
      </c>
      <c r="U1078" t="s">
        <v>13610</v>
      </c>
      <c r="V1078" t="s">
        <v>13610</v>
      </c>
      <c r="W1078" t="s">
        <v>14657</v>
      </c>
      <c r="X1078">
        <v>11</v>
      </c>
      <c r="Y1078" t="s">
        <v>21371</v>
      </c>
      <c r="Z1078" t="s">
        <v>27933</v>
      </c>
      <c r="AA1078">
        <v>0.53523946051340865</v>
      </c>
      <c r="AB1078" t="str">
        <f>HYPERLINK("Melting_Curves/meltCurve_M0QZ22_SAMD4B.pdf", "Melting_Curves/meltCurve_M0QZ22_SAMD4B.pdf")</f>
        <v>Melting_Curves/meltCurve_M0QZ22_SAMD4B.pdf</v>
      </c>
    </row>
    <row r="1079" spans="1:28" x14ac:dyDescent="0.25">
      <c r="A1079" t="s">
        <v>1083</v>
      </c>
      <c r="B1079">
        <v>0.995954080203443</v>
      </c>
      <c r="C1079">
        <v>0.99007491176743601</v>
      </c>
      <c r="D1079">
        <v>0.93925857305641802</v>
      </c>
      <c r="E1079">
        <v>0.86351877254083598</v>
      </c>
      <c r="F1079">
        <v>0.80740225829382195</v>
      </c>
      <c r="G1079">
        <v>0.56731300807641105</v>
      </c>
      <c r="H1079">
        <v>0.53563143401272195</v>
      </c>
      <c r="I1079">
        <v>0.61721967318306403</v>
      </c>
      <c r="J1079">
        <v>0.75061734728037799</v>
      </c>
      <c r="K1079">
        <v>0.69922180584532001</v>
      </c>
      <c r="L1079">
        <v>1396.31010970785</v>
      </c>
      <c r="M1079">
        <v>27.177718346669099</v>
      </c>
      <c r="O1079">
        <v>51.101273555280898</v>
      </c>
      <c r="P1079">
        <v>-4.8381625363130898E-2</v>
      </c>
      <c r="Q1079">
        <v>0.63612268233304503</v>
      </c>
      <c r="R1079">
        <v>0.83527301390583097</v>
      </c>
      <c r="S1079" t="s">
        <v>7885</v>
      </c>
      <c r="T1079" t="s">
        <v>13610</v>
      </c>
      <c r="U1079" t="s">
        <v>13610</v>
      </c>
      <c r="V1079" t="s">
        <v>13610</v>
      </c>
      <c r="W1079" t="s">
        <v>14658</v>
      </c>
      <c r="X1079">
        <v>12</v>
      </c>
      <c r="Y1079" t="s">
        <v>21372</v>
      </c>
      <c r="Z1079" t="s">
        <v>27934</v>
      </c>
      <c r="AA1079">
        <v>0.77691848785826467</v>
      </c>
      <c r="AB1079" t="str">
        <f>HYPERLINK("Melting_Curves/meltCurve_M0QZ28_DTNA.pdf", "Melting_Curves/meltCurve_M0QZ28_DTNA.pdf")</f>
        <v>Melting_Curves/meltCurve_M0QZ28_DTNA.pdf</v>
      </c>
    </row>
    <row r="1080" spans="1:28" x14ac:dyDescent="0.25">
      <c r="A1080" t="s">
        <v>1084</v>
      </c>
      <c r="B1080">
        <v>0.995954080203443</v>
      </c>
      <c r="C1080">
        <v>0.90746334757532598</v>
      </c>
      <c r="D1080">
        <v>0.84064375356676602</v>
      </c>
      <c r="E1080">
        <v>0.758981511877038</v>
      </c>
      <c r="F1080">
        <v>0.64987387692812804</v>
      </c>
      <c r="G1080">
        <v>0.48026575990126902</v>
      </c>
      <c r="H1080">
        <v>0.38377425490297101</v>
      </c>
      <c r="I1080">
        <v>0.446722701609437</v>
      </c>
      <c r="J1080">
        <v>0.57897112085522295</v>
      </c>
      <c r="K1080">
        <v>0.51752417934258499</v>
      </c>
      <c r="L1080">
        <v>728.98558144497599</v>
      </c>
      <c r="M1080">
        <v>14.724788870841399</v>
      </c>
      <c r="N1080">
        <v>60.415794035038502</v>
      </c>
      <c r="O1080">
        <v>48.621155840178297</v>
      </c>
      <c r="P1080">
        <v>-4.0511861447735401E-2</v>
      </c>
      <c r="Q1080">
        <v>0.46497850921136702</v>
      </c>
      <c r="R1080">
        <v>0.91033765421770796</v>
      </c>
      <c r="S1080" t="s">
        <v>7886</v>
      </c>
      <c r="T1080" t="s">
        <v>13610</v>
      </c>
      <c r="U1080" t="s">
        <v>13610</v>
      </c>
      <c r="V1080" t="s">
        <v>13610</v>
      </c>
      <c r="W1080" t="s">
        <v>14659</v>
      </c>
      <c r="X1080">
        <v>6</v>
      </c>
      <c r="Y1080" t="s">
        <v>21373</v>
      </c>
      <c r="Z1080" t="s">
        <v>27935</v>
      </c>
      <c r="AA1080">
        <v>0.64794582822124724</v>
      </c>
      <c r="AB1080" t="str">
        <f>HYPERLINK("Melting_Curves/meltCurve_M0QZ43_HRC.pdf", "Melting_Curves/meltCurve_M0QZ43_HRC.pdf")</f>
        <v>Melting_Curves/meltCurve_M0QZ43_HRC.pdf</v>
      </c>
    </row>
    <row r="1081" spans="1:28" x14ac:dyDescent="0.25">
      <c r="A1081" t="s">
        <v>1085</v>
      </c>
      <c r="B1081">
        <v>0.995954080203443</v>
      </c>
      <c r="C1081">
        <v>0.86954176357605995</v>
      </c>
      <c r="D1081">
        <v>0.83516801509471195</v>
      </c>
      <c r="E1081">
        <v>0.69513055780659005</v>
      </c>
      <c r="F1081">
        <v>0.53965659952643796</v>
      </c>
      <c r="G1081">
        <v>0.42679374310988699</v>
      </c>
      <c r="H1081">
        <v>0.29936031331639401</v>
      </c>
      <c r="I1081">
        <v>0.37605832298978398</v>
      </c>
      <c r="J1081">
        <v>0.35793812601796499</v>
      </c>
      <c r="K1081">
        <v>0.32948860204000802</v>
      </c>
      <c r="L1081">
        <v>625.09833170575496</v>
      </c>
      <c r="M1081">
        <v>12.445385596499101</v>
      </c>
      <c r="N1081">
        <v>54.276517929945904</v>
      </c>
      <c r="O1081">
        <v>48.983389762579399</v>
      </c>
      <c r="P1081">
        <v>-4.4318428466277801E-2</v>
      </c>
      <c r="Q1081">
        <v>0.30242013508240501</v>
      </c>
      <c r="R1081">
        <v>0.98014682268806697</v>
      </c>
      <c r="S1081" t="s">
        <v>7887</v>
      </c>
      <c r="T1081" t="s">
        <v>13610</v>
      </c>
      <c r="U1081" t="s">
        <v>13610</v>
      </c>
      <c r="V1081" t="s">
        <v>13610</v>
      </c>
      <c r="W1081" t="s">
        <v>14660</v>
      </c>
      <c r="X1081">
        <v>3</v>
      </c>
      <c r="Y1081" t="s">
        <v>21374</v>
      </c>
      <c r="Z1081" t="s">
        <v>27936</v>
      </c>
      <c r="AA1081">
        <v>0.56274875940660496</v>
      </c>
      <c r="AB1081" t="str">
        <f>HYPERLINK("Melting_Curves/meltCurve_M0QZ57_ZBTB45.pdf", "Melting_Curves/meltCurve_M0QZ57_ZBTB45.pdf")</f>
        <v>Melting_Curves/meltCurve_M0QZ57_ZBTB45.pdf</v>
      </c>
    </row>
    <row r="1082" spans="1:28" x14ac:dyDescent="0.25">
      <c r="A1082" t="s">
        <v>1086</v>
      </c>
      <c r="B1082">
        <v>0.995954080203443</v>
      </c>
      <c r="C1082">
        <v>0.88643472168551596</v>
      </c>
      <c r="D1082">
        <v>0.91039638603394901</v>
      </c>
      <c r="E1082">
        <v>0.714247082566559</v>
      </c>
      <c r="F1082">
        <v>0.62064100894212804</v>
      </c>
      <c r="G1082">
        <v>0.30654538363364298</v>
      </c>
      <c r="H1082">
        <v>0.21410314898921001</v>
      </c>
      <c r="I1082">
        <v>0.24250307892258899</v>
      </c>
      <c r="J1082">
        <v>0.28722613810068998</v>
      </c>
      <c r="K1082">
        <v>0.275603274237466</v>
      </c>
      <c r="L1082">
        <v>880.28139655682605</v>
      </c>
      <c r="M1082">
        <v>16.977468409901999</v>
      </c>
      <c r="N1082">
        <v>53.749712232231197</v>
      </c>
      <c r="O1082">
        <v>51.146633971197303</v>
      </c>
      <c r="P1082">
        <v>-6.4266307787507304E-2</v>
      </c>
      <c r="Q1082">
        <v>0.22560858737987299</v>
      </c>
      <c r="R1082">
        <v>0.96997320013842403</v>
      </c>
      <c r="S1082" t="s">
        <v>7888</v>
      </c>
      <c r="T1082" t="s">
        <v>13610</v>
      </c>
      <c r="U1082" t="s">
        <v>13610</v>
      </c>
      <c r="V1082" t="s">
        <v>13610</v>
      </c>
      <c r="W1082" t="s">
        <v>14661</v>
      </c>
      <c r="X1082">
        <v>1</v>
      </c>
      <c r="Y1082" t="s">
        <v>21375</v>
      </c>
      <c r="Z1082" t="s">
        <v>27937</v>
      </c>
      <c r="AA1082">
        <v>0.54575105245713984</v>
      </c>
      <c r="AB1082" t="str">
        <f>HYPERLINK("Melting_Curves/meltCurve_M0QZH0_RCN3.pdf", "Melting_Curves/meltCurve_M0QZH0_RCN3.pdf")</f>
        <v>Melting_Curves/meltCurve_M0QZH0_RCN3.pdf</v>
      </c>
    </row>
    <row r="1083" spans="1:28" x14ac:dyDescent="0.25">
      <c r="A1083" t="s">
        <v>1087</v>
      </c>
      <c r="B1083">
        <v>0.995954080203443</v>
      </c>
      <c r="C1083">
        <v>1.08216382022267</v>
      </c>
      <c r="D1083">
        <v>1.1076616618047199</v>
      </c>
      <c r="E1083">
        <v>0.77629737140611399</v>
      </c>
      <c r="F1083">
        <v>0.65031723733413105</v>
      </c>
      <c r="G1083">
        <v>0.4226475523764</v>
      </c>
      <c r="H1083">
        <v>0.410886442179345</v>
      </c>
      <c r="I1083">
        <v>0.479613523194105</v>
      </c>
      <c r="J1083">
        <v>0.55819097240479199</v>
      </c>
      <c r="K1083">
        <v>0.57284871606897503</v>
      </c>
      <c r="L1083">
        <v>1789.99934213501</v>
      </c>
      <c r="M1083">
        <v>35.201493656623001</v>
      </c>
      <c r="N1083">
        <v>58.0308396495316</v>
      </c>
      <c r="O1083">
        <v>50.686835429113103</v>
      </c>
      <c r="P1083">
        <v>-8.7925474588987501E-2</v>
      </c>
      <c r="Q1083">
        <v>0.49358420852414903</v>
      </c>
      <c r="R1083">
        <v>0.92179431153038305</v>
      </c>
      <c r="S1083" t="s">
        <v>7889</v>
      </c>
      <c r="T1083" t="s">
        <v>13610</v>
      </c>
      <c r="U1083" t="s">
        <v>13610</v>
      </c>
      <c r="V1083" t="s">
        <v>13610</v>
      </c>
      <c r="W1083" t="s">
        <v>14662</v>
      </c>
      <c r="X1083">
        <v>27</v>
      </c>
      <c r="Y1083" t="s">
        <v>21376</v>
      </c>
      <c r="Z1083" t="s">
        <v>27938</v>
      </c>
      <c r="AA1083">
        <v>0.67904229845824693</v>
      </c>
      <c r="AB1083" t="str">
        <f>HYPERLINK("Melting_Curves/meltCurve_M0QZM1_HNRNPM.pdf", "Melting_Curves/meltCurve_M0QZM1_HNRNPM.pdf")</f>
        <v>Melting_Curves/meltCurve_M0QZM1_HNRNPM.pdf</v>
      </c>
    </row>
    <row r="1084" spans="1:28" x14ac:dyDescent="0.25">
      <c r="A1084" t="s">
        <v>1088</v>
      </c>
      <c r="B1084">
        <v>0.995954080203443</v>
      </c>
      <c r="C1084">
        <v>0.97584521354678699</v>
      </c>
      <c r="D1084">
        <v>0.83195442310794498</v>
      </c>
      <c r="E1084">
        <v>0.50794822549957996</v>
      </c>
      <c r="F1084">
        <v>0.31674252093620398</v>
      </c>
      <c r="G1084">
        <v>0.20552991946826399</v>
      </c>
      <c r="H1084">
        <v>0.17373016078069001</v>
      </c>
      <c r="I1084">
        <v>0.20104223899273899</v>
      </c>
      <c r="J1084">
        <v>0.21742337585278401</v>
      </c>
      <c r="K1084">
        <v>0.22265340765275099</v>
      </c>
      <c r="L1084">
        <v>1112.53547907489</v>
      </c>
      <c r="M1084">
        <v>22.759512607977499</v>
      </c>
      <c r="N1084">
        <v>49.979115501958702</v>
      </c>
      <c r="O1084">
        <v>48.509549505408302</v>
      </c>
      <c r="P1084">
        <v>-9.4237638630333895E-2</v>
      </c>
      <c r="Q1084">
        <v>0.19658477704979699</v>
      </c>
      <c r="R1084">
        <v>0.997341423771131</v>
      </c>
      <c r="S1084" t="s">
        <v>7890</v>
      </c>
      <c r="T1084" t="s">
        <v>13610</v>
      </c>
      <c r="U1084" t="s">
        <v>13610</v>
      </c>
      <c r="V1084" t="s">
        <v>13610</v>
      </c>
      <c r="W1084" t="s">
        <v>14663</v>
      </c>
      <c r="X1084">
        <v>46</v>
      </c>
      <c r="Y1084" t="s">
        <v>21377</v>
      </c>
      <c r="Z1084" t="s">
        <v>27939</v>
      </c>
      <c r="AA1084">
        <v>0.44309302019006991</v>
      </c>
      <c r="AB1084" t="str">
        <f>HYPERLINK("Melting_Curves/meltCurve_M0QZR4_ARHGEF1.pdf", "Melting_Curves/meltCurve_M0QZR4_ARHGEF1.pdf")</f>
        <v>Melting_Curves/meltCurve_M0QZR4_ARHGEF1.pdf</v>
      </c>
    </row>
    <row r="1085" spans="1:28" x14ac:dyDescent="0.25">
      <c r="A1085" t="s">
        <v>1089</v>
      </c>
      <c r="B1085">
        <v>0.995954080203443</v>
      </c>
      <c r="C1085">
        <v>1.2978303391399999</v>
      </c>
      <c r="D1085">
        <v>1.1869420752080599</v>
      </c>
      <c r="E1085">
        <v>1.4502158413537301</v>
      </c>
      <c r="F1085">
        <v>1.1668318674901199</v>
      </c>
      <c r="G1085">
        <v>1.27439808416505</v>
      </c>
      <c r="H1085">
        <v>0.78411944056823002</v>
      </c>
      <c r="I1085">
        <v>0.94540522851428999</v>
      </c>
      <c r="J1085">
        <v>0.45351829283142903</v>
      </c>
      <c r="K1085">
        <v>0.156073041122642</v>
      </c>
      <c r="L1085">
        <v>3908.1141848699399</v>
      </c>
      <c r="M1085">
        <v>58.766657313950901</v>
      </c>
      <c r="N1085">
        <v>66.782354942441998</v>
      </c>
      <c r="O1085">
        <v>66.425355740694599</v>
      </c>
      <c r="P1085">
        <v>-0.197016020933068</v>
      </c>
      <c r="Q1085">
        <v>0.109232690659415</v>
      </c>
      <c r="R1085">
        <v>0.67941318669415496</v>
      </c>
      <c r="S1085" t="s">
        <v>7891</v>
      </c>
      <c r="T1085" t="s">
        <v>13610</v>
      </c>
      <c r="U1085" t="s">
        <v>13610</v>
      </c>
      <c r="V1085" t="s">
        <v>13610</v>
      </c>
      <c r="W1085" t="s">
        <v>14664</v>
      </c>
      <c r="X1085">
        <v>2</v>
      </c>
      <c r="Y1085" t="s">
        <v>21378</v>
      </c>
      <c r="Z1085" t="s">
        <v>27940</v>
      </c>
      <c r="AA1085">
        <v>0.8960338134922099</v>
      </c>
      <c r="AB1085" t="str">
        <f>HYPERLINK("Melting_Curves/meltCurve_M0QZW6_CCDC155.pdf", "Melting_Curves/meltCurve_M0QZW6_CCDC155.pdf")</f>
        <v>Melting_Curves/meltCurve_M0QZW6_CCDC155.pdf</v>
      </c>
    </row>
    <row r="1086" spans="1:28" x14ac:dyDescent="0.25">
      <c r="A1086" t="s">
        <v>1090</v>
      </c>
      <c r="B1086">
        <v>0.995954080203443</v>
      </c>
      <c r="C1086">
        <v>1.01674862551978</v>
      </c>
      <c r="D1086">
        <v>0.961218701950176</v>
      </c>
      <c r="E1086">
        <v>0.92093077194179995</v>
      </c>
      <c r="F1086">
        <v>0.82790854151480597</v>
      </c>
      <c r="G1086">
        <v>0.59968380920450204</v>
      </c>
      <c r="H1086">
        <v>0.37808344445004299</v>
      </c>
      <c r="I1086">
        <v>0.32141120107416998</v>
      </c>
      <c r="J1086">
        <v>0.32995865703053701</v>
      </c>
      <c r="K1086">
        <v>0.30279980636127102</v>
      </c>
      <c r="L1086">
        <v>1108.2130073035501</v>
      </c>
      <c r="M1086">
        <v>19.787081921975499</v>
      </c>
      <c r="N1086">
        <v>58.474931900593802</v>
      </c>
      <c r="O1086">
        <v>55.444262411333703</v>
      </c>
      <c r="P1086">
        <v>-6.3964866688052402E-2</v>
      </c>
      <c r="Q1086">
        <v>0.28309500535847298</v>
      </c>
      <c r="R1086">
        <v>0.99625356857661096</v>
      </c>
      <c r="S1086" t="s">
        <v>7892</v>
      </c>
      <c r="T1086" t="s">
        <v>13610</v>
      </c>
      <c r="U1086" t="s">
        <v>13610</v>
      </c>
      <c r="V1086" t="s">
        <v>13610</v>
      </c>
      <c r="X1086">
        <v>14</v>
      </c>
      <c r="Z1086" t="s">
        <v>27941</v>
      </c>
      <c r="AA1086">
        <v>0.67497560339363194</v>
      </c>
      <c r="AB1086" t="str">
        <f>HYPERLINK("Melting_Curves/meltCurve_M0R009_.pdf", "Melting_Curves/meltCurve_M0R009_.pdf")</f>
        <v>Melting_Curves/meltCurve_M0R009_.pdf</v>
      </c>
    </row>
    <row r="1087" spans="1:28" x14ac:dyDescent="0.25">
      <c r="A1087" t="s">
        <v>1091</v>
      </c>
      <c r="B1087">
        <v>0.995954080203443</v>
      </c>
      <c r="C1087">
        <v>0.88042139592233803</v>
      </c>
      <c r="D1087">
        <v>0.72979990476478296</v>
      </c>
      <c r="E1087">
        <v>0.70402411579885904</v>
      </c>
      <c r="F1087">
        <v>0.485843817622583</v>
      </c>
      <c r="G1087">
        <v>0.313852203102293</v>
      </c>
      <c r="H1087">
        <v>0.144765068261036</v>
      </c>
      <c r="I1087">
        <v>0.116298229343532</v>
      </c>
      <c r="J1087">
        <v>8.4592930796766302E-2</v>
      </c>
      <c r="K1087">
        <v>0.11585691203043</v>
      </c>
      <c r="L1087">
        <v>537.73347547880599</v>
      </c>
      <c r="M1087">
        <v>10.240452232305699</v>
      </c>
      <c r="N1087">
        <v>52.510711798740303</v>
      </c>
      <c r="O1087">
        <v>50.626469218298503</v>
      </c>
      <c r="P1087">
        <v>-5.05911435870234E-2</v>
      </c>
      <c r="Q1087">
        <v>0</v>
      </c>
      <c r="R1087">
        <v>0.98206772200702896</v>
      </c>
      <c r="S1087" t="s">
        <v>7893</v>
      </c>
      <c r="T1087" t="s">
        <v>13610</v>
      </c>
      <c r="U1087" t="s">
        <v>13610</v>
      </c>
      <c r="V1087" t="s">
        <v>13610</v>
      </c>
      <c r="W1087" t="s">
        <v>14665</v>
      </c>
      <c r="X1087">
        <v>2</v>
      </c>
      <c r="Y1087" t="s">
        <v>21379</v>
      </c>
      <c r="Z1087" t="s">
        <v>27942</v>
      </c>
      <c r="AA1087">
        <v>0.45224256808541918</v>
      </c>
      <c r="AB1087" t="str">
        <f>HYPERLINK("Melting_Curves/meltCurve_M0R044_MPND.pdf", "Melting_Curves/meltCurve_M0R044_MPND.pdf")</f>
        <v>Melting_Curves/meltCurve_M0R044_MPND.pdf</v>
      </c>
    </row>
    <row r="1088" spans="1:28" x14ac:dyDescent="0.25">
      <c r="A1088" t="s">
        <v>1092</v>
      </c>
      <c r="B1088">
        <v>0.995954080203443</v>
      </c>
      <c r="C1088">
        <v>0.91884019877749701</v>
      </c>
      <c r="D1088">
        <v>0.75252998842127805</v>
      </c>
      <c r="E1088">
        <v>0.71553291791616302</v>
      </c>
      <c r="F1088">
        <v>0.51156781786572003</v>
      </c>
      <c r="G1088">
        <v>0.289381975857256</v>
      </c>
      <c r="H1088">
        <v>0.134003824860812</v>
      </c>
      <c r="I1088">
        <v>7.2923429214980601E-2</v>
      </c>
      <c r="J1088">
        <v>8.5903066240329007E-2</v>
      </c>
      <c r="K1088">
        <v>3.7517735108275899E-2</v>
      </c>
      <c r="L1088">
        <v>625.02211566486096</v>
      </c>
      <c r="M1088">
        <v>11.8611702375288</v>
      </c>
      <c r="N1088">
        <v>52.694806286012103</v>
      </c>
      <c r="O1088">
        <v>51.263923645627699</v>
      </c>
      <c r="P1088">
        <v>-5.7858228989979298E-2</v>
      </c>
      <c r="Q1088">
        <v>0</v>
      </c>
      <c r="R1088">
        <v>0.98628228763527603</v>
      </c>
      <c r="S1088" t="s">
        <v>7894</v>
      </c>
      <c r="T1088" t="s">
        <v>13610</v>
      </c>
      <c r="U1088" t="s">
        <v>13610</v>
      </c>
      <c r="V1088" t="s">
        <v>13610</v>
      </c>
      <c r="W1088" t="s">
        <v>14666</v>
      </c>
      <c r="X1088">
        <v>4</v>
      </c>
      <c r="Y1088" t="s">
        <v>21380</v>
      </c>
      <c r="Z1088" t="s">
        <v>27943</v>
      </c>
      <c r="AA1088">
        <v>0.45269821963599838</v>
      </c>
      <c r="AB1088" t="str">
        <f>HYPERLINK("Melting_Curves/meltCurve_M0R0B4_KXD1.pdf", "Melting_Curves/meltCurve_M0R0B4_KXD1.pdf")</f>
        <v>Melting_Curves/meltCurve_M0R0B4_KXD1.pdf</v>
      </c>
    </row>
    <row r="1089" spans="1:28" x14ac:dyDescent="0.25">
      <c r="A1089" t="s">
        <v>1093</v>
      </c>
      <c r="B1089">
        <v>0.995954080203443</v>
      </c>
      <c r="C1089">
        <v>0.59588154122549197</v>
      </c>
      <c r="D1089">
        <v>0.42097389359554599</v>
      </c>
      <c r="E1089">
        <v>0.29842942638543601</v>
      </c>
      <c r="F1089">
        <v>0.19948415036575201</v>
      </c>
      <c r="G1089">
        <v>0.112379979906761</v>
      </c>
      <c r="H1089">
        <v>7.7500310392607505E-2</v>
      </c>
      <c r="I1089">
        <v>7.3779379970618703E-2</v>
      </c>
      <c r="J1089">
        <v>8.2004317938380394E-2</v>
      </c>
      <c r="K1089">
        <v>7.7896598309397005E-2</v>
      </c>
      <c r="L1089">
        <v>676.74713423014202</v>
      </c>
      <c r="M1089">
        <v>15.1272244218876</v>
      </c>
      <c r="N1089">
        <v>45.275747412632903</v>
      </c>
      <c r="O1089">
        <v>43.977069819713599</v>
      </c>
      <c r="P1089">
        <v>-7.89199648936251E-2</v>
      </c>
      <c r="Q1089">
        <v>8.2361757751515899E-2</v>
      </c>
      <c r="R1089">
        <v>0.96286827257786001</v>
      </c>
      <c r="S1089" t="s">
        <v>7895</v>
      </c>
      <c r="T1089" t="s">
        <v>13610</v>
      </c>
      <c r="U1089" t="s">
        <v>13610</v>
      </c>
      <c r="V1089" t="s">
        <v>13610</v>
      </c>
      <c r="W1089" t="s">
        <v>14667</v>
      </c>
      <c r="X1089">
        <v>8</v>
      </c>
      <c r="Y1089" t="s">
        <v>21381</v>
      </c>
      <c r="Z1089" t="s">
        <v>27944</v>
      </c>
      <c r="AA1089">
        <v>0.25707963624264901</v>
      </c>
      <c r="AB1089" t="str">
        <f>HYPERLINK("Melting_Curves/meltCurve_M0R0F0_RPS5.pdf", "Melting_Curves/meltCurve_M0R0F0_RPS5.pdf")</f>
        <v>Melting_Curves/meltCurve_M0R0F0_RPS5.pdf</v>
      </c>
    </row>
    <row r="1090" spans="1:28" x14ac:dyDescent="0.25">
      <c r="A1090" t="s">
        <v>1094</v>
      </c>
      <c r="B1090">
        <v>0.995954080203443</v>
      </c>
      <c r="C1090">
        <v>0.72204061137748499</v>
      </c>
      <c r="D1090">
        <v>0.69868422225722004</v>
      </c>
      <c r="E1090">
        <v>0.71092138723990705</v>
      </c>
      <c r="F1090">
        <v>1.0342329720771399</v>
      </c>
      <c r="G1090">
        <v>1.1358922967828899</v>
      </c>
      <c r="H1090">
        <v>0.97757543263400704</v>
      </c>
      <c r="I1090">
        <v>1.6604630879095801</v>
      </c>
      <c r="J1090">
        <v>0.84925692302738498</v>
      </c>
      <c r="K1090">
        <v>1.11832390965637</v>
      </c>
      <c r="L1090">
        <v>13313.7920294906</v>
      </c>
      <c r="M1090">
        <v>250</v>
      </c>
      <c r="O1090">
        <v>53.251760156300598</v>
      </c>
      <c r="P1090">
        <v>0.174058019309803</v>
      </c>
      <c r="Q1090">
        <v>1.1483023341430501</v>
      </c>
      <c r="R1090">
        <v>0.14816994408685499</v>
      </c>
      <c r="S1090" t="s">
        <v>7896</v>
      </c>
      <c r="T1090" t="s">
        <v>13610</v>
      </c>
      <c r="U1090" t="s">
        <v>13610</v>
      </c>
      <c r="V1090" t="s">
        <v>13610</v>
      </c>
      <c r="W1090" t="s">
        <v>14668</v>
      </c>
      <c r="X1090">
        <v>1</v>
      </c>
      <c r="Y1090" t="s">
        <v>21382</v>
      </c>
      <c r="Z1090" t="s">
        <v>27945</v>
      </c>
      <c r="AA1090">
        <v>1.0827627277998539</v>
      </c>
      <c r="AB1090" t="str">
        <f>HYPERLINK("Melting_Curves/meltCurve_M0R0Q5_ZNF414.pdf", "Melting_Curves/meltCurve_M0R0Q5_ZNF414.pdf")</f>
        <v>Melting_Curves/meltCurve_M0R0Q5_ZNF414.pdf</v>
      </c>
    </row>
    <row r="1091" spans="1:28" x14ac:dyDescent="0.25">
      <c r="A1091" t="s">
        <v>1095</v>
      </c>
      <c r="B1091">
        <v>0.995954080203443</v>
      </c>
      <c r="C1091">
        <v>0.57640264954105802</v>
      </c>
      <c r="D1091">
        <v>0.35713014027003698</v>
      </c>
      <c r="E1091">
        <v>0.420537512059101</v>
      </c>
      <c r="F1091">
        <v>0.22085387728994299</v>
      </c>
      <c r="G1091">
        <v>0.10226282322136</v>
      </c>
      <c r="H1091">
        <v>6.5787701400613005E-2</v>
      </c>
      <c r="I1091">
        <v>5.2010638013019098E-2</v>
      </c>
      <c r="J1091">
        <v>5.6090867279553702E-2</v>
      </c>
      <c r="K1091">
        <v>5.7608784261952997E-2</v>
      </c>
      <c r="L1091">
        <v>536.544632525461</v>
      </c>
      <c r="M1091">
        <v>11.858462368125201</v>
      </c>
      <c r="N1091">
        <v>45.602563760403697</v>
      </c>
      <c r="O1091">
        <v>44.016572827940003</v>
      </c>
      <c r="P1091">
        <v>-6.43841565621152E-2</v>
      </c>
      <c r="Q1091">
        <v>4.4309481487880401E-2</v>
      </c>
      <c r="R1091">
        <v>0.91566393301855098</v>
      </c>
      <c r="S1091" t="s">
        <v>7897</v>
      </c>
      <c r="T1091" t="s">
        <v>13610</v>
      </c>
      <c r="U1091" t="s">
        <v>13610</v>
      </c>
      <c r="V1091" t="s">
        <v>13610</v>
      </c>
      <c r="W1091" t="s">
        <v>14669</v>
      </c>
      <c r="X1091">
        <v>7</v>
      </c>
      <c r="Y1091" t="s">
        <v>21383</v>
      </c>
      <c r="Z1091" t="s">
        <v>27946</v>
      </c>
      <c r="AA1091">
        <v>0.25904708604457283</v>
      </c>
      <c r="AB1091" t="str">
        <f>HYPERLINK("Melting_Curves/meltCurve_M0R299_FBL.pdf", "Melting_Curves/meltCurve_M0R299_FBL.pdf")</f>
        <v>Melting_Curves/meltCurve_M0R299_FBL.pdf</v>
      </c>
    </row>
    <row r="1092" spans="1:28" x14ac:dyDescent="0.25">
      <c r="A1092" t="s">
        <v>1096</v>
      </c>
      <c r="B1092">
        <v>0.995954080203443</v>
      </c>
      <c r="C1092">
        <v>0.86079385504119799</v>
      </c>
      <c r="D1092">
        <v>0.69506812206657698</v>
      </c>
      <c r="E1092">
        <v>0.57126691933917395</v>
      </c>
      <c r="F1092">
        <v>0.40446841870574701</v>
      </c>
      <c r="G1092">
        <v>0.24399468991996301</v>
      </c>
      <c r="H1092">
        <v>0.17068469994961599</v>
      </c>
      <c r="I1092">
        <v>0.18365498342096101</v>
      </c>
      <c r="J1092">
        <v>0.20350775388862799</v>
      </c>
      <c r="K1092">
        <v>0.17064293241163001</v>
      </c>
      <c r="L1092">
        <v>602.634031817714</v>
      </c>
      <c r="M1092">
        <v>12.262574325158599</v>
      </c>
      <c r="N1092">
        <v>50.485590095097798</v>
      </c>
      <c r="O1092">
        <v>47.892041837190803</v>
      </c>
      <c r="P1092">
        <v>-5.5124060344067603E-2</v>
      </c>
      <c r="Q1092">
        <v>0.13903277465407601</v>
      </c>
      <c r="R1092">
        <v>0.98805115211450401</v>
      </c>
      <c r="S1092" t="s">
        <v>7898</v>
      </c>
      <c r="T1092" t="s">
        <v>13610</v>
      </c>
      <c r="U1092" t="s">
        <v>13610</v>
      </c>
      <c r="V1092" t="s">
        <v>13610</v>
      </c>
      <c r="W1092" t="s">
        <v>14670</v>
      </c>
      <c r="X1092">
        <v>1</v>
      </c>
      <c r="Y1092" t="s">
        <v>21384</v>
      </c>
      <c r="Z1092" t="s">
        <v>27947</v>
      </c>
      <c r="AA1092">
        <v>0.43170282246746589</v>
      </c>
      <c r="AB1092" t="str">
        <f>HYPERLINK("Melting_Curves/meltCurve_M0R2C3_ZNF552.pdf", "Melting_Curves/meltCurve_M0R2C3_ZNF552.pdf")</f>
        <v>Melting_Curves/meltCurve_M0R2C3_ZNF552.pdf</v>
      </c>
    </row>
    <row r="1093" spans="1:28" x14ac:dyDescent="0.25">
      <c r="A1093" t="s">
        <v>1097</v>
      </c>
      <c r="B1093">
        <v>0.995954080203443</v>
      </c>
      <c r="C1093">
        <v>0.86582542933157702</v>
      </c>
      <c r="D1093">
        <v>1.1925348466054699</v>
      </c>
      <c r="E1093">
        <v>0.98530177644406303</v>
      </c>
      <c r="F1093">
        <v>1.2791119464788001</v>
      </c>
      <c r="G1093">
        <v>1.4552350854517799</v>
      </c>
      <c r="H1093">
        <v>1.9861496098500799</v>
      </c>
      <c r="I1093">
        <v>3.39308054608225</v>
      </c>
      <c r="J1093">
        <v>3.2950705548071699</v>
      </c>
      <c r="K1093">
        <v>4.0938020396336796</v>
      </c>
      <c r="L1093">
        <v>13237.6002955357</v>
      </c>
      <c r="M1093">
        <v>250</v>
      </c>
      <c r="O1093">
        <v>52.947015726199503</v>
      </c>
      <c r="P1093">
        <v>0.59021271337033199</v>
      </c>
      <c r="Q1093">
        <v>1.5</v>
      </c>
      <c r="R1093">
        <v>-8.2502846201038899E-2</v>
      </c>
      <c r="S1093" t="s">
        <v>7899</v>
      </c>
      <c r="T1093" t="s">
        <v>13610</v>
      </c>
      <c r="U1093" t="s">
        <v>13610</v>
      </c>
      <c r="V1093" t="s">
        <v>13610</v>
      </c>
      <c r="W1093" t="s">
        <v>14671</v>
      </c>
      <c r="X1093">
        <v>1</v>
      </c>
      <c r="Y1093" t="s">
        <v>21385</v>
      </c>
      <c r="Z1093" t="s">
        <v>27948</v>
      </c>
      <c r="AA1093">
        <v>1.284113516732627</v>
      </c>
      <c r="AB1093" t="str">
        <f>HYPERLINK("Melting_Curves/meltCurve_M0R2S3_CCDC94.pdf", "Melting_Curves/meltCurve_M0R2S3_CCDC94.pdf")</f>
        <v>Melting_Curves/meltCurve_M0R2S3_CCDC94.pdf</v>
      </c>
    </row>
    <row r="1094" spans="1:28" x14ac:dyDescent="0.25">
      <c r="A1094" t="s">
        <v>1098</v>
      </c>
      <c r="B1094">
        <v>0.995954080203443</v>
      </c>
      <c r="C1094">
        <v>0.88007171237687498</v>
      </c>
      <c r="D1094">
        <v>0.80270839319808296</v>
      </c>
      <c r="E1094">
        <v>0.699924960289662</v>
      </c>
      <c r="F1094">
        <v>0.65245686839817796</v>
      </c>
      <c r="G1094">
        <v>0.49683364866276802</v>
      </c>
      <c r="H1094">
        <v>0.47806349439950002</v>
      </c>
      <c r="I1094">
        <v>0.568207876264612</v>
      </c>
      <c r="J1094">
        <v>0.69543273626054403</v>
      </c>
      <c r="K1094">
        <v>0.69582280232243998</v>
      </c>
      <c r="L1094">
        <v>824.19217170304501</v>
      </c>
      <c r="M1094">
        <v>17.9208047034057</v>
      </c>
      <c r="O1094">
        <v>45.429598646401203</v>
      </c>
      <c r="P1094">
        <v>-4.02130289852978E-2</v>
      </c>
      <c r="Q1094">
        <v>0.59225714403039698</v>
      </c>
      <c r="R1094">
        <v>0.79025787132909098</v>
      </c>
      <c r="S1094" t="s">
        <v>7900</v>
      </c>
      <c r="T1094" t="s">
        <v>13610</v>
      </c>
      <c r="U1094" t="s">
        <v>13610</v>
      </c>
      <c r="V1094" t="s">
        <v>13610</v>
      </c>
      <c r="W1094" t="s">
        <v>14672</v>
      </c>
      <c r="X1094">
        <v>26</v>
      </c>
      <c r="Y1094" t="s">
        <v>21386</v>
      </c>
      <c r="Z1094" t="s">
        <v>27949</v>
      </c>
      <c r="AA1094">
        <v>0.68177083695668517</v>
      </c>
      <c r="AB1094" t="str">
        <f>HYPERLINK("Melting_Curves/meltCurve_M0R300_MYO9B.pdf", "Melting_Curves/meltCurve_M0R300_MYO9B.pdf")</f>
        <v>Melting_Curves/meltCurve_M0R300_MYO9B.pdf</v>
      </c>
    </row>
    <row r="1095" spans="1:28" x14ac:dyDescent="0.25">
      <c r="A1095" t="s">
        <v>1099</v>
      </c>
      <c r="B1095">
        <v>0.995954080203443</v>
      </c>
      <c r="C1095">
        <v>0.973999475169539</v>
      </c>
      <c r="D1095">
        <v>0.84528892670346201</v>
      </c>
      <c r="E1095">
        <v>0.97928106758835898</v>
      </c>
      <c r="F1095">
        <v>0.61062690544341303</v>
      </c>
      <c r="G1095">
        <v>0.46722477970950899</v>
      </c>
      <c r="H1095">
        <v>0.26181792237083501</v>
      </c>
      <c r="I1095">
        <v>0.211921924489585</v>
      </c>
      <c r="J1095">
        <v>0.18328011494895499</v>
      </c>
      <c r="K1095">
        <v>0.17832317995706701</v>
      </c>
      <c r="L1095">
        <v>936.93216484049799</v>
      </c>
      <c r="M1095">
        <v>17.134504766138299</v>
      </c>
      <c r="N1095">
        <v>55.855157425331299</v>
      </c>
      <c r="O1095">
        <v>53.952509160079202</v>
      </c>
      <c r="P1095">
        <v>-6.7393418087832793E-2</v>
      </c>
      <c r="Q1095">
        <v>0.151227016795838</v>
      </c>
      <c r="R1095">
        <v>0.96672317669714403</v>
      </c>
      <c r="S1095" t="s">
        <v>7901</v>
      </c>
      <c r="T1095" t="s">
        <v>13610</v>
      </c>
      <c r="U1095" t="s">
        <v>13610</v>
      </c>
      <c r="V1095" t="s">
        <v>13610</v>
      </c>
      <c r="W1095" t="s">
        <v>14673</v>
      </c>
      <c r="X1095">
        <v>2</v>
      </c>
      <c r="Y1095" t="s">
        <v>21387</v>
      </c>
      <c r="Z1095" t="s">
        <v>27950</v>
      </c>
      <c r="AA1095">
        <v>0.58080060247149845</v>
      </c>
      <c r="AB1095" t="str">
        <f>HYPERLINK("Melting_Curves/meltCurve_M0R3D4_RABAC1.pdf", "Melting_Curves/meltCurve_M0R3D4_RABAC1.pdf")</f>
        <v>Melting_Curves/meltCurve_M0R3D4_RABAC1.pdf</v>
      </c>
    </row>
    <row r="1096" spans="1:28" x14ac:dyDescent="0.25">
      <c r="A1096" t="s">
        <v>1100</v>
      </c>
      <c r="B1096">
        <v>0.995954080203443</v>
      </c>
      <c r="C1096">
        <v>0.80383893713397903</v>
      </c>
      <c r="D1096">
        <v>0.60493817004984796</v>
      </c>
      <c r="E1096">
        <v>0.427140674611933</v>
      </c>
      <c r="F1096">
        <v>0.152070908601213</v>
      </c>
      <c r="G1096">
        <v>8.6124101474725406E-2</v>
      </c>
      <c r="H1096">
        <v>3.4816676570648901E-2</v>
      </c>
      <c r="I1096">
        <v>5.7554443384858003E-2</v>
      </c>
      <c r="J1096">
        <v>1.0867984613198999E-2</v>
      </c>
      <c r="K1096">
        <v>2.0808639832650602E-2</v>
      </c>
      <c r="L1096">
        <v>672.264043336079</v>
      </c>
      <c r="M1096">
        <v>14.0601400483345</v>
      </c>
      <c r="N1096">
        <v>47.8268573826739</v>
      </c>
      <c r="O1096">
        <v>46.877420469630103</v>
      </c>
      <c r="P1096">
        <v>-7.4845990755408001E-2</v>
      </c>
      <c r="Q1096">
        <v>1.96429372692002E-3</v>
      </c>
      <c r="R1096">
        <v>0.98802454498635295</v>
      </c>
      <c r="S1096" t="s">
        <v>7902</v>
      </c>
      <c r="T1096" t="s">
        <v>13610</v>
      </c>
      <c r="U1096" t="s">
        <v>13610</v>
      </c>
      <c r="V1096" t="s">
        <v>13610</v>
      </c>
      <c r="W1096" t="s">
        <v>14674</v>
      </c>
      <c r="X1096">
        <v>3</v>
      </c>
      <c r="Y1096" t="s">
        <v>21388</v>
      </c>
      <c r="Z1096" t="s">
        <v>27951</v>
      </c>
      <c r="AA1096">
        <v>0.29133830332609129</v>
      </c>
      <c r="AB1096" t="str">
        <f>HYPERLINK("Melting_Curves/meltCurve_O00116_AGPS.pdf", "Melting_Curves/meltCurve_O00116_AGPS.pdf")</f>
        <v>Melting_Curves/meltCurve_O00116_AGPS.pdf</v>
      </c>
    </row>
    <row r="1097" spans="1:28" x14ac:dyDescent="0.25">
      <c r="A1097" t="s">
        <v>1101</v>
      </c>
      <c r="B1097">
        <v>0.995954080203443</v>
      </c>
      <c r="C1097">
        <v>1.02624284636859</v>
      </c>
      <c r="D1097">
        <v>0.877528886429087</v>
      </c>
      <c r="E1097">
        <v>0.83811480522595105</v>
      </c>
      <c r="F1097">
        <v>0.69396649847936098</v>
      </c>
      <c r="G1097">
        <v>0.39310020675929103</v>
      </c>
      <c r="H1097">
        <v>0.21855995594234701</v>
      </c>
      <c r="I1097">
        <v>0.16857725532314699</v>
      </c>
      <c r="J1097">
        <v>0.177728838860781</v>
      </c>
      <c r="K1097">
        <v>9.5688394709592103E-2</v>
      </c>
      <c r="L1097">
        <v>856.97952019800005</v>
      </c>
      <c r="M1097">
        <v>15.638935400702801</v>
      </c>
      <c r="N1097">
        <v>55.460053989296</v>
      </c>
      <c r="O1097">
        <v>53.925297779369501</v>
      </c>
      <c r="P1097">
        <v>-6.63333744737786E-2</v>
      </c>
      <c r="Q1097">
        <v>8.5170467476645501E-2</v>
      </c>
      <c r="R1097">
        <v>0.99078153569630301</v>
      </c>
      <c r="S1097" t="s">
        <v>7903</v>
      </c>
      <c r="T1097" t="s">
        <v>13610</v>
      </c>
      <c r="U1097" t="s">
        <v>13610</v>
      </c>
      <c r="V1097" t="s">
        <v>13610</v>
      </c>
      <c r="W1097" t="s">
        <v>14675</v>
      </c>
      <c r="X1097">
        <v>1</v>
      </c>
      <c r="Y1097" t="s">
        <v>21389</v>
      </c>
      <c r="Z1097" t="s">
        <v>27952</v>
      </c>
      <c r="AA1097">
        <v>0.55348231561625405</v>
      </c>
      <c r="AB1097" t="str">
        <f>HYPERLINK("Melting_Curves/meltCurve_O00124_2_UBXN8.pdf", "Melting_Curves/meltCurve_O00124_2_UBXN8.pdf")</f>
        <v>Melting_Curves/meltCurve_O00124_2_UBXN8.pdf</v>
      </c>
    </row>
    <row r="1098" spans="1:28" x14ac:dyDescent="0.25">
      <c r="A1098" t="s">
        <v>1102</v>
      </c>
      <c r="B1098">
        <v>0.995954080203443</v>
      </c>
      <c r="C1098">
        <v>0.83575161132782105</v>
      </c>
      <c r="D1098">
        <v>0.44918813317982997</v>
      </c>
      <c r="E1098">
        <v>0.29057006054486501</v>
      </c>
      <c r="F1098">
        <v>0.18736756482700201</v>
      </c>
      <c r="G1098">
        <v>0.117678748331497</v>
      </c>
      <c r="H1098">
        <v>9.8873911076573701E-2</v>
      </c>
      <c r="I1098">
        <v>0.101122973623028</v>
      </c>
      <c r="J1098">
        <v>0.15313240254250901</v>
      </c>
      <c r="K1098">
        <v>0.118000242740482</v>
      </c>
      <c r="L1098">
        <v>996.34202357920901</v>
      </c>
      <c r="M1098">
        <v>21.937450146941298</v>
      </c>
      <c r="N1098">
        <v>46.025163291595703</v>
      </c>
      <c r="O1098">
        <v>45.0450636124597</v>
      </c>
      <c r="P1098">
        <v>-0.10644486555532399</v>
      </c>
      <c r="Q1098">
        <v>0.125749487097639</v>
      </c>
      <c r="R1098">
        <v>0.98745255188051095</v>
      </c>
      <c r="S1098" t="s">
        <v>7904</v>
      </c>
      <c r="T1098" t="s">
        <v>13610</v>
      </c>
      <c r="U1098" t="s">
        <v>13610</v>
      </c>
      <c r="V1098" t="s">
        <v>13610</v>
      </c>
      <c r="W1098" t="s">
        <v>14676</v>
      </c>
      <c r="X1098">
        <v>27</v>
      </c>
      <c r="Y1098" t="s">
        <v>21390</v>
      </c>
      <c r="Z1098" t="s">
        <v>27953</v>
      </c>
      <c r="AA1098">
        <v>0.29504078325278033</v>
      </c>
      <c r="AB1098" t="str">
        <f>HYPERLINK("Melting_Curves/meltCurve_O00139_1_KIF2A.pdf", "Melting_Curves/meltCurve_O00139_1_KIF2A.pdf")</f>
        <v>Melting_Curves/meltCurve_O00139_1_KIF2A.pdf</v>
      </c>
    </row>
    <row r="1099" spans="1:28" x14ac:dyDescent="0.25">
      <c r="A1099" t="s">
        <v>1103</v>
      </c>
      <c r="B1099">
        <v>0.995954080203443</v>
      </c>
      <c r="C1099">
        <v>0.865443517581025</v>
      </c>
      <c r="D1099">
        <v>0.546873366359935</v>
      </c>
      <c r="E1099">
        <v>0.50726525374305698</v>
      </c>
      <c r="F1099">
        <v>0.58711786824638701</v>
      </c>
      <c r="G1099">
        <v>0.414338433880449</v>
      </c>
      <c r="H1099">
        <v>0.45969394066637997</v>
      </c>
      <c r="I1099">
        <v>0.52147935006684099</v>
      </c>
      <c r="J1099">
        <v>0.65765462509880601</v>
      </c>
      <c r="K1099">
        <v>0.67050077188076496</v>
      </c>
      <c r="L1099">
        <v>4043.86957911424</v>
      </c>
      <c r="M1099">
        <v>93.396337837129906</v>
      </c>
      <c r="O1099">
        <v>43.278109274911003</v>
      </c>
      <c r="P1099">
        <v>-0.245272521590606</v>
      </c>
      <c r="Q1099">
        <v>0.545381340561512</v>
      </c>
      <c r="R1099">
        <v>0.81292835811779696</v>
      </c>
      <c r="S1099" t="s">
        <v>7905</v>
      </c>
      <c r="T1099" t="s">
        <v>13610</v>
      </c>
      <c r="U1099" t="s">
        <v>13610</v>
      </c>
      <c r="V1099" t="s">
        <v>13610</v>
      </c>
      <c r="W1099" t="s">
        <v>14677</v>
      </c>
      <c r="X1099">
        <v>27</v>
      </c>
      <c r="Y1099" t="s">
        <v>21390</v>
      </c>
      <c r="Z1099" t="s">
        <v>27954</v>
      </c>
      <c r="AA1099">
        <v>0.59560878339942913</v>
      </c>
      <c r="AB1099" t="str">
        <f>HYPERLINK("Melting_Curves/meltCurve_O00139_2_KIF2A.pdf", "Melting_Curves/meltCurve_O00139_2_KIF2A.pdf")</f>
        <v>Melting_Curves/meltCurve_O00139_2_KIF2A.pdf</v>
      </c>
    </row>
    <row r="1100" spans="1:28" x14ac:dyDescent="0.25">
      <c r="A1100" t="s">
        <v>1104</v>
      </c>
      <c r="B1100">
        <v>0.995954080203443</v>
      </c>
      <c r="C1100">
        <v>0.61202483588796897</v>
      </c>
      <c r="D1100">
        <v>0.36524435924392401</v>
      </c>
      <c r="E1100">
        <v>0.34424238332118501</v>
      </c>
      <c r="F1100">
        <v>0.20375560140262799</v>
      </c>
      <c r="G1100">
        <v>0.121199886236756</v>
      </c>
      <c r="H1100">
        <v>9.0852774708648595E-2</v>
      </c>
      <c r="I1100">
        <v>8.0517229372923396E-2</v>
      </c>
      <c r="J1100">
        <v>9.0646062503642197E-2</v>
      </c>
      <c r="K1100">
        <v>8.2259616278880496E-2</v>
      </c>
      <c r="L1100">
        <v>698.28577917417203</v>
      </c>
      <c r="M1100">
        <v>15.6885963287781</v>
      </c>
      <c r="N1100">
        <v>45.135623054748997</v>
      </c>
      <c r="O1100">
        <v>43.8047934044831</v>
      </c>
      <c r="P1100">
        <v>-8.0783241939553399E-2</v>
      </c>
      <c r="Q1100">
        <v>9.7843206450793502E-2</v>
      </c>
      <c r="R1100">
        <v>0.94989226628319601</v>
      </c>
      <c r="S1100" t="s">
        <v>7906</v>
      </c>
      <c r="T1100" t="s">
        <v>13610</v>
      </c>
      <c r="U1100" t="s">
        <v>13610</v>
      </c>
      <c r="V1100" t="s">
        <v>13610</v>
      </c>
      <c r="W1100" t="s">
        <v>14678</v>
      </c>
      <c r="X1100">
        <v>23</v>
      </c>
      <c r="Y1100" t="s">
        <v>21391</v>
      </c>
      <c r="Z1100" t="s">
        <v>27955</v>
      </c>
      <c r="AA1100">
        <v>0.2613422907909061</v>
      </c>
      <c r="AB1100" t="str">
        <f>HYPERLINK("Melting_Curves/meltCurve_O00148_DDX39A.pdf", "Melting_Curves/meltCurve_O00148_DDX39A.pdf")</f>
        <v>Melting_Curves/meltCurve_O00148_DDX39A.pdf</v>
      </c>
    </row>
    <row r="1101" spans="1:28" x14ac:dyDescent="0.25">
      <c r="A1101" t="s">
        <v>1105</v>
      </c>
      <c r="B1101">
        <v>0.995954080203443</v>
      </c>
      <c r="C1101">
        <v>1.0051579417404199</v>
      </c>
      <c r="D1101">
        <v>0.99533321503557504</v>
      </c>
      <c r="E1101">
        <v>0.94212908097236903</v>
      </c>
      <c r="F1101">
        <v>0.85739674384931497</v>
      </c>
      <c r="G1101">
        <v>0.58522959157756504</v>
      </c>
      <c r="H1101">
        <v>0.44456753555446599</v>
      </c>
      <c r="I1101">
        <v>0.47790186166258802</v>
      </c>
      <c r="J1101">
        <v>0.58763550332939996</v>
      </c>
      <c r="K1101">
        <v>0.53601126517209496</v>
      </c>
      <c r="L1101">
        <v>2001.90005179423</v>
      </c>
      <c r="M1101">
        <v>36.969090644637703</v>
      </c>
      <c r="O1101">
        <v>53.992923547807699</v>
      </c>
      <c r="P1101">
        <v>-8.3659444447053505E-2</v>
      </c>
      <c r="Q1101">
        <v>0.51126679244264295</v>
      </c>
      <c r="R1101">
        <v>0.97078571801674296</v>
      </c>
      <c r="S1101" t="s">
        <v>7907</v>
      </c>
      <c r="T1101" t="s">
        <v>13610</v>
      </c>
      <c r="U1101" t="s">
        <v>13610</v>
      </c>
      <c r="V1101" t="s">
        <v>13610</v>
      </c>
      <c r="W1101" t="s">
        <v>14679</v>
      </c>
      <c r="X1101">
        <v>25</v>
      </c>
      <c r="Y1101" t="s">
        <v>21392</v>
      </c>
      <c r="Z1101" t="s">
        <v>27956</v>
      </c>
      <c r="AA1101">
        <v>0.74393200261044412</v>
      </c>
      <c r="AB1101" t="str">
        <f>HYPERLINK("Melting_Curves/meltCurve_O00151_PDLIM1.pdf", "Melting_Curves/meltCurve_O00151_PDLIM1.pdf")</f>
        <v>Melting_Curves/meltCurve_O00151_PDLIM1.pdf</v>
      </c>
    </row>
    <row r="1102" spans="1:28" x14ac:dyDescent="0.25">
      <c r="A1102" t="s">
        <v>1106</v>
      </c>
      <c r="B1102">
        <v>0.995954080203443</v>
      </c>
      <c r="C1102">
        <v>0.97864161119248505</v>
      </c>
      <c r="D1102">
        <v>0.92361685874465804</v>
      </c>
      <c r="E1102">
        <v>0.869866057688227</v>
      </c>
      <c r="F1102">
        <v>0.791179628681148</v>
      </c>
      <c r="G1102">
        <v>0.64589601649225303</v>
      </c>
      <c r="H1102">
        <v>0.44527741393333298</v>
      </c>
      <c r="I1102">
        <v>0.25023479523902598</v>
      </c>
      <c r="J1102">
        <v>0.14661363079117701</v>
      </c>
      <c r="K1102">
        <v>0.111414679747514</v>
      </c>
      <c r="L1102">
        <v>738.53934958427305</v>
      </c>
      <c r="M1102">
        <v>12.5073681666832</v>
      </c>
      <c r="N1102">
        <v>59.048341779381801</v>
      </c>
      <c r="O1102">
        <v>57.599827654788101</v>
      </c>
      <c r="P1102">
        <v>-5.4296759157284401E-2</v>
      </c>
      <c r="Q1102">
        <v>0</v>
      </c>
      <c r="R1102">
        <v>0.99144076851666896</v>
      </c>
      <c r="S1102" t="s">
        <v>7908</v>
      </c>
      <c r="T1102" t="s">
        <v>13610</v>
      </c>
      <c r="U1102" t="s">
        <v>13610</v>
      </c>
      <c r="V1102" t="s">
        <v>13610</v>
      </c>
      <c r="W1102" t="s">
        <v>14680</v>
      </c>
      <c r="X1102">
        <v>20</v>
      </c>
      <c r="Y1102" t="s">
        <v>21393</v>
      </c>
      <c r="Z1102" t="s">
        <v>27957</v>
      </c>
      <c r="AA1102">
        <v>0.64334263650785117</v>
      </c>
      <c r="AB1102" t="str">
        <f>HYPERLINK("Melting_Curves/meltCurve_O00154_6_ACOT7.pdf", "Melting_Curves/meltCurve_O00154_6_ACOT7.pdf")</f>
        <v>Melting_Curves/meltCurve_O00154_6_ACOT7.pdf</v>
      </c>
    </row>
    <row r="1103" spans="1:28" x14ac:dyDescent="0.25">
      <c r="A1103" t="s">
        <v>1107</v>
      </c>
      <c r="B1103">
        <v>0.995954080203443</v>
      </c>
      <c r="C1103">
        <v>0.71908434253374298</v>
      </c>
      <c r="D1103">
        <v>0.44016892739997598</v>
      </c>
      <c r="E1103">
        <v>0.38472056040401498</v>
      </c>
      <c r="F1103">
        <v>0.23976785020521399</v>
      </c>
      <c r="G1103">
        <v>0.185036367891207</v>
      </c>
      <c r="H1103">
        <v>0.121695772645828</v>
      </c>
      <c r="I1103">
        <v>0.107009098984089</v>
      </c>
      <c r="J1103">
        <v>0.188321637500278</v>
      </c>
      <c r="K1103">
        <v>0.130153252918388</v>
      </c>
      <c r="L1103">
        <v>710.09557534234204</v>
      </c>
      <c r="M1103">
        <v>15.7061094919627</v>
      </c>
      <c r="N1103">
        <v>46.207181638577502</v>
      </c>
      <c r="O1103">
        <v>44.497526632837001</v>
      </c>
      <c r="P1103">
        <v>-7.5579083321903898E-2</v>
      </c>
      <c r="Q1103">
        <v>0.14356929530559001</v>
      </c>
      <c r="R1103">
        <v>0.96465031774379495</v>
      </c>
      <c r="S1103" t="s">
        <v>7909</v>
      </c>
      <c r="T1103" t="s">
        <v>13610</v>
      </c>
      <c r="U1103" t="s">
        <v>13610</v>
      </c>
      <c r="V1103" t="s">
        <v>13610</v>
      </c>
      <c r="W1103" t="s">
        <v>14681</v>
      </c>
      <c r="X1103">
        <v>3</v>
      </c>
      <c r="Y1103" t="s">
        <v>21394</v>
      </c>
      <c r="Z1103" t="s">
        <v>27958</v>
      </c>
      <c r="AA1103">
        <v>0.31673954712299129</v>
      </c>
      <c r="AB1103" t="str">
        <f>HYPERLINK("Melting_Curves/meltCurve_O00159_MYO1C.pdf", "Melting_Curves/meltCurve_O00159_MYO1C.pdf")</f>
        <v>Melting_Curves/meltCurve_O00159_MYO1C.pdf</v>
      </c>
    </row>
    <row r="1104" spans="1:28" x14ac:dyDescent="0.25">
      <c r="A1104" t="s">
        <v>1108</v>
      </c>
      <c r="B1104">
        <v>0.995954080203443</v>
      </c>
      <c r="C1104">
        <v>0.920801821013846</v>
      </c>
      <c r="D1104">
        <v>0.799182828040499</v>
      </c>
      <c r="E1104">
        <v>0.48649380621162802</v>
      </c>
      <c r="F1104">
        <v>0.24088454941874701</v>
      </c>
      <c r="G1104">
        <v>0.15521732689322501</v>
      </c>
      <c r="H1104">
        <v>0.10959044930629699</v>
      </c>
      <c r="I1104">
        <v>9.8830937147968603E-2</v>
      </c>
      <c r="J1104">
        <v>0.10389475377799499</v>
      </c>
      <c r="K1104">
        <v>9.7154808654864699E-2</v>
      </c>
      <c r="L1104">
        <v>934.39472506329105</v>
      </c>
      <c r="M1104">
        <v>19.0484067223985</v>
      </c>
      <c r="N1104">
        <v>49.575393588160303</v>
      </c>
      <c r="O1104">
        <v>48.522652774942998</v>
      </c>
      <c r="P1104">
        <v>-8.92321145214717E-2</v>
      </c>
      <c r="Q1104">
        <v>9.0819913066037997E-2</v>
      </c>
      <c r="R1104">
        <v>0.99841422201493402</v>
      </c>
      <c r="S1104" t="s">
        <v>7910</v>
      </c>
      <c r="T1104" t="s">
        <v>13610</v>
      </c>
      <c r="U1104" t="s">
        <v>13610</v>
      </c>
      <c r="V1104" t="s">
        <v>13610</v>
      </c>
      <c r="W1104" t="s">
        <v>14682</v>
      </c>
      <c r="X1104">
        <v>25</v>
      </c>
      <c r="Y1104" t="s">
        <v>21395</v>
      </c>
      <c r="Z1104" t="s">
        <v>27959</v>
      </c>
      <c r="AA1104">
        <v>0.37924825194885242</v>
      </c>
      <c r="AB1104" t="str">
        <f>HYPERLINK("Melting_Curves/meltCurve_O00160_MYO1F.pdf", "Melting_Curves/meltCurve_O00160_MYO1F.pdf")</f>
        <v>Melting_Curves/meltCurve_O00160_MYO1F.pdf</v>
      </c>
    </row>
    <row r="1105" spans="1:28" x14ac:dyDescent="0.25">
      <c r="A1105" t="s">
        <v>1109</v>
      </c>
      <c r="B1105">
        <v>0.995954080203443</v>
      </c>
      <c r="C1105">
        <v>1.00519266991527</v>
      </c>
      <c r="D1105">
        <v>1.05930677758008</v>
      </c>
      <c r="E1105">
        <v>0.98747472314840201</v>
      </c>
      <c r="F1105">
        <v>1.01312733876186</v>
      </c>
      <c r="G1105">
        <v>0.77728145560764506</v>
      </c>
      <c r="H1105">
        <v>0.76649135585392902</v>
      </c>
      <c r="I1105">
        <v>0.89595538166048405</v>
      </c>
      <c r="J1105">
        <v>1.0996565081593399</v>
      </c>
      <c r="K1105">
        <v>1.0593067014358299</v>
      </c>
      <c r="L1105">
        <v>15000</v>
      </c>
      <c r="M1105">
        <v>228.31440016649901</v>
      </c>
      <c r="O1105">
        <v>65.693849604102894</v>
      </c>
      <c r="P1105">
        <v>6.9252580961423504E-2</v>
      </c>
      <c r="Q1105">
        <v>1.0797053150506499</v>
      </c>
      <c r="R1105">
        <v>8.1225215375998507E-3</v>
      </c>
      <c r="S1105" t="s">
        <v>7911</v>
      </c>
      <c r="T1105" t="s">
        <v>13610</v>
      </c>
      <c r="U1105" t="s">
        <v>13610</v>
      </c>
      <c r="V1105" t="s">
        <v>13610</v>
      </c>
      <c r="W1105" t="s">
        <v>14683</v>
      </c>
      <c r="X1105">
        <v>17</v>
      </c>
      <c r="Y1105" t="s">
        <v>21396</v>
      </c>
      <c r="Z1105" t="s">
        <v>27960</v>
      </c>
      <c r="AA1105">
        <v>1.011416390047069</v>
      </c>
      <c r="AB1105" t="str">
        <f>HYPERLINK("Melting_Curves/meltCurve_O00161_SNAP23.pdf", "Melting_Curves/meltCurve_O00161_SNAP23.pdf")</f>
        <v>Melting_Curves/meltCurve_O00161_SNAP23.pdf</v>
      </c>
    </row>
    <row r="1106" spans="1:28" x14ac:dyDescent="0.25">
      <c r="A1106" t="s">
        <v>1110</v>
      </c>
      <c r="B1106">
        <v>0.995954080203443</v>
      </c>
      <c r="C1106">
        <v>0.99813313271662496</v>
      </c>
      <c r="D1106">
        <v>0.94800980935852597</v>
      </c>
      <c r="E1106">
        <v>0.68981628286836205</v>
      </c>
      <c r="F1106">
        <v>0.33637251721552902</v>
      </c>
      <c r="G1106">
        <v>0.158057119246894</v>
      </c>
      <c r="H1106">
        <v>0.106046299937405</v>
      </c>
      <c r="I1106">
        <v>0.100317784218726</v>
      </c>
      <c r="J1106">
        <v>0.11034731031030499</v>
      </c>
      <c r="K1106">
        <v>0.10016038110954401</v>
      </c>
      <c r="L1106">
        <v>1415.5088062833299</v>
      </c>
      <c r="M1106">
        <v>27.704572649069</v>
      </c>
      <c r="N1106">
        <v>51.515310362794303</v>
      </c>
      <c r="O1106">
        <v>50.828988968489398</v>
      </c>
      <c r="P1106">
        <v>-0.12242132552882599</v>
      </c>
      <c r="Q1106">
        <v>0.10159284600297599</v>
      </c>
      <c r="R1106">
        <v>0.99969687302002297</v>
      </c>
      <c r="S1106" t="s">
        <v>7912</v>
      </c>
      <c r="T1106" t="s">
        <v>13610</v>
      </c>
      <c r="U1106" t="s">
        <v>13610</v>
      </c>
      <c r="V1106" t="s">
        <v>13610</v>
      </c>
      <c r="W1106" t="s">
        <v>14684</v>
      </c>
      <c r="X1106">
        <v>17</v>
      </c>
      <c r="Y1106" t="s">
        <v>21397</v>
      </c>
      <c r="Z1106" t="s">
        <v>27961</v>
      </c>
      <c r="AA1106">
        <v>0.44042401288109251</v>
      </c>
      <c r="AB1106" t="str">
        <f>HYPERLINK("Melting_Curves/meltCurve_O00170_AIP.pdf", "Melting_Curves/meltCurve_O00170_AIP.pdf")</f>
        <v>Melting_Curves/meltCurve_O00170_AIP.pdf</v>
      </c>
    </row>
    <row r="1107" spans="1:28" x14ac:dyDescent="0.25">
      <c r="A1107" t="s">
        <v>1111</v>
      </c>
      <c r="B1107">
        <v>0.995954080203443</v>
      </c>
      <c r="C1107">
        <v>0.89072300441653096</v>
      </c>
      <c r="D1107">
        <v>0.69781133073255297</v>
      </c>
      <c r="E1107">
        <v>0.39852086404068698</v>
      </c>
      <c r="F1107">
        <v>0.187115647555777</v>
      </c>
      <c r="G1107">
        <v>0.10809671200729599</v>
      </c>
      <c r="H1107">
        <v>7.4461878830633196E-2</v>
      </c>
      <c r="I1107">
        <v>6.8948755492580199E-2</v>
      </c>
      <c r="J1107">
        <v>8.0991765461454895E-2</v>
      </c>
      <c r="K1107">
        <v>6.8354986593859995E-2</v>
      </c>
      <c r="L1107">
        <v>858.761959821696</v>
      </c>
      <c r="M1107">
        <v>17.875071855857801</v>
      </c>
      <c r="N1107">
        <v>48.391644131824002</v>
      </c>
      <c r="O1107">
        <v>47.453275969047397</v>
      </c>
      <c r="P1107">
        <v>-8.8477925908944197E-2</v>
      </c>
      <c r="Q1107">
        <v>6.0512315803866901E-2</v>
      </c>
      <c r="R1107">
        <v>0.998254367598573</v>
      </c>
      <c r="S1107" t="s">
        <v>7913</v>
      </c>
      <c r="T1107" t="s">
        <v>13610</v>
      </c>
      <c r="U1107" t="s">
        <v>13610</v>
      </c>
      <c r="V1107" t="s">
        <v>13610</v>
      </c>
      <c r="W1107" t="s">
        <v>14685</v>
      </c>
      <c r="X1107">
        <v>17</v>
      </c>
      <c r="Y1107" t="s">
        <v>21398</v>
      </c>
      <c r="Z1107" t="s">
        <v>27962</v>
      </c>
      <c r="AA1107">
        <v>0.32926219703490328</v>
      </c>
      <c r="AB1107" t="str">
        <f>HYPERLINK("Melting_Curves/meltCurve_O00178_GTPBP1.pdf", "Melting_Curves/meltCurve_O00178_GTPBP1.pdf")</f>
        <v>Melting_Curves/meltCurve_O00178_GTPBP1.pdf</v>
      </c>
    </row>
    <row r="1108" spans="1:28" x14ac:dyDescent="0.25">
      <c r="A1108" t="s">
        <v>1112</v>
      </c>
      <c r="B1108">
        <v>0.995954080203443</v>
      </c>
      <c r="C1108">
        <v>0.82459842339714595</v>
      </c>
      <c r="D1108">
        <v>0.65665588133335795</v>
      </c>
      <c r="E1108">
        <v>0.47324109405611098</v>
      </c>
      <c r="F1108">
        <v>0.280160370004013</v>
      </c>
      <c r="G1108">
        <v>0.1752335060511</v>
      </c>
      <c r="H1108">
        <v>0.141176347932542</v>
      </c>
      <c r="I1108">
        <v>0.121820033188466</v>
      </c>
      <c r="J1108">
        <v>0.15241019961520699</v>
      </c>
      <c r="K1108">
        <v>0.132950585122381</v>
      </c>
      <c r="L1108">
        <v>669.18206009673304</v>
      </c>
      <c r="M1108">
        <v>13.9798302594004</v>
      </c>
      <c r="N1108">
        <v>48.745003352870199</v>
      </c>
      <c r="O1108">
        <v>46.920128358726302</v>
      </c>
      <c r="P1108">
        <v>-6.6211099681360505E-2</v>
      </c>
      <c r="Q1108">
        <v>0.111228143529987</v>
      </c>
      <c r="R1108">
        <v>0.99196072421884496</v>
      </c>
      <c r="S1108" t="s">
        <v>7914</v>
      </c>
      <c r="T1108" t="s">
        <v>13610</v>
      </c>
      <c r="U1108" t="s">
        <v>13610</v>
      </c>
      <c r="V1108" t="s">
        <v>13610</v>
      </c>
      <c r="W1108" t="s">
        <v>14686</v>
      </c>
      <c r="X1108">
        <v>4</v>
      </c>
      <c r="Y1108" t="s">
        <v>21399</v>
      </c>
      <c r="Z1108" t="s">
        <v>27963</v>
      </c>
      <c r="AA1108">
        <v>0.37074139267252548</v>
      </c>
      <c r="AB1108" t="str">
        <f>HYPERLINK("Melting_Curves/meltCurve_O00186_STXBP3.pdf", "Melting_Curves/meltCurve_O00186_STXBP3.pdf")</f>
        <v>Melting_Curves/meltCurve_O00186_STXBP3.pdf</v>
      </c>
    </row>
    <row r="1109" spans="1:28" x14ac:dyDescent="0.25">
      <c r="A1109" t="s">
        <v>1113</v>
      </c>
      <c r="B1109">
        <v>0.995954080203443</v>
      </c>
      <c r="C1109">
        <v>0.95720565494166199</v>
      </c>
      <c r="D1109">
        <v>0.77872936366416101</v>
      </c>
      <c r="E1109">
        <v>0.58275759211468503</v>
      </c>
      <c r="F1109">
        <v>0.315255868891406</v>
      </c>
      <c r="G1109">
        <v>0.180546702851209</v>
      </c>
      <c r="H1109">
        <v>6.11175189858673E-2</v>
      </c>
      <c r="I1109">
        <v>2.8804259372042399E-2</v>
      </c>
      <c r="J1109">
        <v>3.0107111797509401E-2</v>
      </c>
      <c r="K1109">
        <v>8.0591934504365401E-2</v>
      </c>
      <c r="L1109">
        <v>780.63168336385104</v>
      </c>
      <c r="M1109">
        <v>15.471444254154401</v>
      </c>
      <c r="N1109">
        <v>50.593781447718598</v>
      </c>
      <c r="O1109">
        <v>49.635878337514001</v>
      </c>
      <c r="P1109">
        <v>-7.6327588715371902E-2</v>
      </c>
      <c r="Q1109">
        <v>2.0583252881540601E-2</v>
      </c>
      <c r="R1109">
        <v>0.99416236652908896</v>
      </c>
      <c r="S1109" t="s">
        <v>7915</v>
      </c>
      <c r="T1109" t="s">
        <v>13610</v>
      </c>
      <c r="U1109" t="s">
        <v>13610</v>
      </c>
      <c r="V1109" t="s">
        <v>13610</v>
      </c>
      <c r="W1109" t="s">
        <v>14687</v>
      </c>
      <c r="X1109">
        <v>3</v>
      </c>
      <c r="Y1109" t="s">
        <v>21400</v>
      </c>
      <c r="Z1109" t="s">
        <v>27964</v>
      </c>
      <c r="AA1109">
        <v>0.38377023166705487</v>
      </c>
      <c r="AB1109" t="str">
        <f>HYPERLINK("Melting_Curves/meltCurve_O00213_3_APBB1.pdf", "Melting_Curves/meltCurve_O00213_3_APBB1.pdf")</f>
        <v>Melting_Curves/meltCurve_O00213_3_APBB1.pdf</v>
      </c>
    </row>
    <row r="1110" spans="1:28" x14ac:dyDescent="0.25">
      <c r="A1110" t="s">
        <v>1114</v>
      </c>
      <c r="B1110">
        <v>0.995954080203443</v>
      </c>
      <c r="C1110">
        <v>0.70029483343933197</v>
      </c>
      <c r="D1110">
        <v>0.52846813463980602</v>
      </c>
      <c r="E1110">
        <v>0.52671496536190898</v>
      </c>
      <c r="F1110">
        <v>0.42650574831355298</v>
      </c>
      <c r="G1110">
        <v>0.31676941891041599</v>
      </c>
      <c r="H1110">
        <v>0.26836659928482498</v>
      </c>
      <c r="I1110">
        <v>0.29583187848687698</v>
      </c>
      <c r="J1110">
        <v>0.29483462739614802</v>
      </c>
      <c r="K1110">
        <v>0.282812057698341</v>
      </c>
      <c r="L1110">
        <v>567.20972089349902</v>
      </c>
      <c r="M1110">
        <v>12.5274389567859</v>
      </c>
      <c r="N1110">
        <v>48.4529293136059</v>
      </c>
      <c r="O1110">
        <v>44.170091581047302</v>
      </c>
      <c r="P1110">
        <v>-5.1060855154379699E-2</v>
      </c>
      <c r="Q1110">
        <v>0.28001144815164603</v>
      </c>
      <c r="R1110">
        <v>0.935992911924169</v>
      </c>
      <c r="S1110" t="s">
        <v>7916</v>
      </c>
      <c r="T1110" t="s">
        <v>13610</v>
      </c>
      <c r="U1110" t="s">
        <v>13610</v>
      </c>
      <c r="V1110" t="s">
        <v>13610</v>
      </c>
      <c r="W1110" t="s">
        <v>14688</v>
      </c>
      <c r="X1110">
        <v>4</v>
      </c>
      <c r="Y1110" t="s">
        <v>21401</v>
      </c>
      <c r="Z1110" t="s">
        <v>27965</v>
      </c>
      <c r="AA1110">
        <v>0.43893987770276027</v>
      </c>
      <c r="AB1110" t="str">
        <f>HYPERLINK("Melting_Curves/meltCurve_O00220_TNFRSF10A.pdf", "Melting_Curves/meltCurve_O00220_TNFRSF10A.pdf")</f>
        <v>Melting_Curves/meltCurve_O00220_TNFRSF10A.pdf</v>
      </c>
    </row>
    <row r="1111" spans="1:28" x14ac:dyDescent="0.25">
      <c r="A1111" t="s">
        <v>1115</v>
      </c>
      <c r="B1111">
        <v>0.995954080203443</v>
      </c>
      <c r="C1111">
        <v>1.01958699483454</v>
      </c>
      <c r="D1111">
        <v>0.94046620198933295</v>
      </c>
      <c r="E1111">
        <v>0.75932879717950397</v>
      </c>
      <c r="F1111">
        <v>0.356449301260026</v>
      </c>
      <c r="G1111">
        <v>0.19029872232641801</v>
      </c>
      <c r="H1111">
        <v>0.16709736674300801</v>
      </c>
      <c r="I1111">
        <v>0.17430224967278601</v>
      </c>
      <c r="J1111">
        <v>0.225192723032133</v>
      </c>
      <c r="K1111">
        <v>0.197938486573734</v>
      </c>
      <c r="L1111">
        <v>1900.95927919173</v>
      </c>
      <c r="M1111">
        <v>37.189705866066298</v>
      </c>
      <c r="N1111">
        <v>51.767539079043303</v>
      </c>
      <c r="O1111">
        <v>50.968071460614901</v>
      </c>
      <c r="P1111">
        <v>-0.14829180013804799</v>
      </c>
      <c r="Q1111">
        <v>0.18707319354135801</v>
      </c>
      <c r="R1111">
        <v>0.99603685976320799</v>
      </c>
      <c r="S1111" t="s">
        <v>7917</v>
      </c>
      <c r="T1111" t="s">
        <v>13610</v>
      </c>
      <c r="U1111" t="s">
        <v>13610</v>
      </c>
      <c r="V1111" t="s">
        <v>13610</v>
      </c>
      <c r="W1111" t="s">
        <v>14689</v>
      </c>
      <c r="X1111">
        <v>8</v>
      </c>
      <c r="Y1111" t="s">
        <v>21402</v>
      </c>
      <c r="Z1111" t="s">
        <v>27966</v>
      </c>
      <c r="AA1111">
        <v>0.4915937734136559</v>
      </c>
      <c r="AB1111" t="str">
        <f>HYPERLINK("Melting_Curves/meltCurve_O00221_NFKBIE.pdf", "Melting_Curves/meltCurve_O00221_NFKBIE.pdf")</f>
        <v>Melting_Curves/meltCurve_O00221_NFKBIE.pdf</v>
      </c>
    </row>
    <row r="1112" spans="1:28" x14ac:dyDescent="0.25">
      <c r="A1112" t="s">
        <v>1116</v>
      </c>
      <c r="B1112">
        <v>0.995954080203443</v>
      </c>
      <c r="C1112">
        <v>0.65415640068854297</v>
      </c>
      <c r="D1112">
        <v>0.45757236080845198</v>
      </c>
      <c r="E1112">
        <v>0.52626806448903196</v>
      </c>
      <c r="F1112">
        <v>0.15602017174826399</v>
      </c>
      <c r="G1112">
        <v>8.2161866004672998E-2</v>
      </c>
      <c r="H1112">
        <v>4.85741575584119E-2</v>
      </c>
      <c r="I1112">
        <v>3.8294064052301298E-2</v>
      </c>
      <c r="J1112">
        <v>4.0638773485044903E-2</v>
      </c>
      <c r="K1112">
        <v>3.69816650201618E-2</v>
      </c>
      <c r="L1112">
        <v>522.33778824655803</v>
      </c>
      <c r="M1112">
        <v>11.1359377407304</v>
      </c>
      <c r="N1112">
        <v>46.905598309741499</v>
      </c>
      <c r="O1112">
        <v>45.469234129770697</v>
      </c>
      <c r="P1112">
        <v>-6.1247574151803701E-2</v>
      </c>
      <c r="Q1112">
        <v>0</v>
      </c>
      <c r="R1112">
        <v>0.926718934540253</v>
      </c>
      <c r="S1112" t="s">
        <v>7918</v>
      </c>
      <c r="T1112" t="s">
        <v>13610</v>
      </c>
      <c r="U1112" t="s">
        <v>13610</v>
      </c>
      <c r="V1112" t="s">
        <v>13610</v>
      </c>
      <c r="W1112" t="s">
        <v>14690</v>
      </c>
      <c r="X1112">
        <v>22</v>
      </c>
      <c r="Y1112" t="s">
        <v>21403</v>
      </c>
      <c r="Z1112" t="s">
        <v>27967</v>
      </c>
      <c r="AA1112">
        <v>0.27852133879945312</v>
      </c>
      <c r="AB1112" t="str">
        <f>HYPERLINK("Melting_Curves/meltCurve_O00231_PSMD11.pdf", "Melting_Curves/meltCurve_O00231_PSMD11.pdf")</f>
        <v>Melting_Curves/meltCurve_O00231_PSMD11.pdf</v>
      </c>
    </row>
    <row r="1113" spans="1:28" x14ac:dyDescent="0.25">
      <c r="A1113" t="s">
        <v>1117</v>
      </c>
      <c r="B1113">
        <v>0.995954080203443</v>
      </c>
      <c r="C1113">
        <v>0.69836116645342505</v>
      </c>
      <c r="D1113">
        <v>0.49661083201849399</v>
      </c>
      <c r="E1113">
        <v>0.57549926380205296</v>
      </c>
      <c r="F1113">
        <v>0.164293626119389</v>
      </c>
      <c r="G1113">
        <v>8.6295087358821507E-2</v>
      </c>
      <c r="H1113">
        <v>4.89120241141245E-2</v>
      </c>
      <c r="I1113">
        <v>4.0026707487751501E-2</v>
      </c>
      <c r="J1113">
        <v>4.3183705741601401E-2</v>
      </c>
      <c r="K1113">
        <v>3.8613842838132399E-2</v>
      </c>
      <c r="L1113">
        <v>535.92158215566803</v>
      </c>
      <c r="M1113">
        <v>11.2661649638966</v>
      </c>
      <c r="N1113">
        <v>47.569123795608</v>
      </c>
      <c r="O1113">
        <v>46.1442789260458</v>
      </c>
      <c r="P1113">
        <v>-6.1056493905866198E-2</v>
      </c>
      <c r="Q1113">
        <v>0</v>
      </c>
      <c r="R1113">
        <v>0.927505027207986</v>
      </c>
      <c r="S1113" t="s">
        <v>7919</v>
      </c>
      <c r="T1113" t="s">
        <v>13610</v>
      </c>
      <c r="U1113" t="s">
        <v>13610</v>
      </c>
      <c r="V1113" t="s">
        <v>13610</v>
      </c>
      <c r="W1113" t="s">
        <v>14691</v>
      </c>
      <c r="X1113">
        <v>31</v>
      </c>
      <c r="Y1113" t="s">
        <v>21404</v>
      </c>
      <c r="Z1113" t="s">
        <v>27968</v>
      </c>
      <c r="AA1113">
        <v>0.29733243661901831</v>
      </c>
      <c r="AB1113" t="str">
        <f>HYPERLINK("Melting_Curves/meltCurve_O00232_PSMD12.pdf", "Melting_Curves/meltCurve_O00232_PSMD12.pdf")</f>
        <v>Melting_Curves/meltCurve_O00232_PSMD12.pdf</v>
      </c>
    </row>
    <row r="1114" spans="1:28" x14ac:dyDescent="0.25">
      <c r="A1114" t="s">
        <v>1118</v>
      </c>
      <c r="B1114">
        <v>0.995954080203443</v>
      </c>
      <c r="C1114">
        <v>0.96386246787239105</v>
      </c>
      <c r="D1114">
        <v>0.92899457425045195</v>
      </c>
      <c r="E1114">
        <v>0.84079356269693795</v>
      </c>
      <c r="F1114">
        <v>0.800021811511889</v>
      </c>
      <c r="G1114">
        <v>0.58483736156995403</v>
      </c>
      <c r="H1114">
        <v>0.507416570579447</v>
      </c>
      <c r="I1114">
        <v>0.60046460302761195</v>
      </c>
      <c r="J1114">
        <v>0.57082857735857395</v>
      </c>
      <c r="K1114">
        <v>0.61918544637168005</v>
      </c>
      <c r="L1114">
        <v>984.29919027865799</v>
      </c>
      <c r="M1114">
        <v>18.978957327183601</v>
      </c>
      <c r="O1114">
        <v>51.29716563046</v>
      </c>
      <c r="P1114">
        <v>-4.0507633794853899E-2</v>
      </c>
      <c r="Q1114">
        <v>0.56207423359178998</v>
      </c>
      <c r="R1114">
        <v>0.94115956766923803</v>
      </c>
      <c r="S1114" t="s">
        <v>7920</v>
      </c>
      <c r="T1114" t="s">
        <v>13610</v>
      </c>
      <c r="U1114" t="s">
        <v>13610</v>
      </c>
      <c r="V1114" t="s">
        <v>13610</v>
      </c>
      <c r="W1114" t="s">
        <v>14692</v>
      </c>
      <c r="X1114">
        <v>8</v>
      </c>
      <c r="Y1114" t="s">
        <v>21405</v>
      </c>
      <c r="Z1114" t="s">
        <v>27969</v>
      </c>
      <c r="AA1114">
        <v>0.7418974158961823</v>
      </c>
      <c r="AB1114" t="str">
        <f>HYPERLINK("Melting_Curves/meltCurve_O00244_ATOX1.pdf", "Melting_Curves/meltCurve_O00244_ATOX1.pdf")</f>
        <v>Melting_Curves/meltCurve_O00244_ATOX1.pdf</v>
      </c>
    </row>
    <row r="1115" spans="1:28" x14ac:dyDescent="0.25">
      <c r="A1115" t="s">
        <v>1119</v>
      </c>
      <c r="B1115">
        <v>0.995954080203443</v>
      </c>
      <c r="C1115">
        <v>0.93289426268277298</v>
      </c>
      <c r="D1115">
        <v>0.71266467065265604</v>
      </c>
      <c r="E1115">
        <v>0.55545839687437504</v>
      </c>
      <c r="F1115">
        <v>0.33528003919105798</v>
      </c>
      <c r="G1115">
        <v>0.229358421457386</v>
      </c>
      <c r="H1115">
        <v>0.187456033292587</v>
      </c>
      <c r="I1115">
        <v>0.15873349276683699</v>
      </c>
      <c r="J1115">
        <v>0.179054011999811</v>
      </c>
      <c r="K1115">
        <v>0.17882913859220201</v>
      </c>
      <c r="L1115">
        <v>743.71893096206497</v>
      </c>
      <c r="M1115">
        <v>15.212106610242399</v>
      </c>
      <c r="N1115">
        <v>50.0985084019919</v>
      </c>
      <c r="O1115">
        <v>48.0684174128913</v>
      </c>
      <c r="P1115">
        <v>-6.6972055008275799E-2</v>
      </c>
      <c r="Q1115">
        <v>0.15358656012965499</v>
      </c>
      <c r="R1115">
        <v>0.99232692539983902</v>
      </c>
      <c r="S1115" t="s">
        <v>7921</v>
      </c>
      <c r="T1115" t="s">
        <v>13610</v>
      </c>
      <c r="U1115" t="s">
        <v>13610</v>
      </c>
      <c r="V1115" t="s">
        <v>13610</v>
      </c>
      <c r="W1115" t="s">
        <v>14693</v>
      </c>
      <c r="X1115">
        <v>7</v>
      </c>
      <c r="Y1115" t="s">
        <v>21406</v>
      </c>
      <c r="Z1115" t="s">
        <v>27970</v>
      </c>
      <c r="AA1115">
        <v>0.42483041570033903</v>
      </c>
      <c r="AB1115" t="str">
        <f>HYPERLINK("Melting_Curves/meltCurve_O00255_2_MEN1.pdf", "Melting_Curves/meltCurve_O00255_2_MEN1.pdf")</f>
        <v>Melting_Curves/meltCurve_O00255_2_MEN1.pdf</v>
      </c>
    </row>
    <row r="1116" spans="1:28" x14ac:dyDescent="0.25">
      <c r="A1116" t="s">
        <v>1120</v>
      </c>
      <c r="B1116">
        <v>0.995954080203443</v>
      </c>
      <c r="C1116">
        <v>0.908923411359566</v>
      </c>
      <c r="D1116">
        <v>1.0588374354191199</v>
      </c>
      <c r="E1116">
        <v>0.85029347069460204</v>
      </c>
      <c r="F1116">
        <v>0.95723832719972601</v>
      </c>
      <c r="G1116">
        <v>0.77141448961275505</v>
      </c>
      <c r="H1116">
        <v>0.80876911418430397</v>
      </c>
      <c r="I1116">
        <v>1.0359582294631799</v>
      </c>
      <c r="J1116">
        <v>1.2423737924815601</v>
      </c>
      <c r="K1116">
        <v>1.2152061114023001</v>
      </c>
      <c r="L1116">
        <v>15000</v>
      </c>
      <c r="M1116">
        <v>232.69587825014</v>
      </c>
      <c r="O1116">
        <v>64.4570830880144</v>
      </c>
      <c r="P1116">
        <v>0.206501526266409</v>
      </c>
      <c r="Q1116">
        <v>1.2288047600584999</v>
      </c>
      <c r="R1116">
        <v>0.45273600108652401</v>
      </c>
      <c r="S1116" t="s">
        <v>7922</v>
      </c>
      <c r="T1116" t="s">
        <v>13610</v>
      </c>
      <c r="U1116" t="s">
        <v>13610</v>
      </c>
      <c r="V1116" t="s">
        <v>13610</v>
      </c>
      <c r="W1116" t="s">
        <v>14694</v>
      </c>
      <c r="X1116">
        <v>16</v>
      </c>
      <c r="Y1116" t="s">
        <v>21407</v>
      </c>
      <c r="Z1116" t="s">
        <v>27971</v>
      </c>
      <c r="AA1116">
        <v>1.0422088471421831</v>
      </c>
      <c r="AB1116" t="str">
        <f>HYPERLINK("Melting_Curves/meltCurve_O00257_CBX4.pdf", "Melting_Curves/meltCurve_O00257_CBX4.pdf")</f>
        <v>Melting_Curves/meltCurve_O00257_CBX4.pdf</v>
      </c>
    </row>
    <row r="1117" spans="1:28" x14ac:dyDescent="0.25">
      <c r="A1117" t="s">
        <v>1121</v>
      </c>
      <c r="B1117">
        <v>0.995954080203443</v>
      </c>
      <c r="C1117">
        <v>0.83016633088976</v>
      </c>
      <c r="D1117">
        <v>0.66462521653671303</v>
      </c>
      <c r="E1117">
        <v>0.64047888241810502</v>
      </c>
      <c r="F1117">
        <v>0.36482577694739199</v>
      </c>
      <c r="G1117">
        <v>0.18237014804731499</v>
      </c>
      <c r="H1117">
        <v>0.135241433750698</v>
      </c>
      <c r="I1117">
        <v>0.13140575525075299</v>
      </c>
      <c r="J1117">
        <v>0.14035765260875599</v>
      </c>
      <c r="K1117">
        <v>0.12559535155465401</v>
      </c>
      <c r="L1117">
        <v>566.09127892804702</v>
      </c>
      <c r="M1117">
        <v>11.3732459050723</v>
      </c>
      <c r="N1117">
        <v>50.395042538375797</v>
      </c>
      <c r="O1117">
        <v>48.309650114620197</v>
      </c>
      <c r="P1117">
        <v>-5.50233908596083E-2</v>
      </c>
      <c r="Q1117">
        <v>6.5395273732666501E-2</v>
      </c>
      <c r="R1117">
        <v>0.96980458800555103</v>
      </c>
      <c r="S1117" t="s">
        <v>7923</v>
      </c>
      <c r="T1117" t="s">
        <v>13610</v>
      </c>
      <c r="U1117" t="s">
        <v>13610</v>
      </c>
      <c r="V1117" t="s">
        <v>13610</v>
      </c>
      <c r="W1117" t="s">
        <v>14695</v>
      </c>
      <c r="X1117">
        <v>5</v>
      </c>
      <c r="Y1117" t="s">
        <v>21408</v>
      </c>
      <c r="Z1117" t="s">
        <v>27972</v>
      </c>
      <c r="AA1117">
        <v>0.40553596941156028</v>
      </c>
      <c r="AB1117" t="str">
        <f>HYPERLINK("Melting_Curves/meltCurve_O00264_PGRMC1.pdf", "Melting_Curves/meltCurve_O00264_PGRMC1.pdf")</f>
        <v>Melting_Curves/meltCurve_O00264_PGRMC1.pdf</v>
      </c>
    </row>
    <row r="1118" spans="1:28" x14ac:dyDescent="0.25">
      <c r="A1118" t="s">
        <v>1122</v>
      </c>
      <c r="B1118">
        <v>0.995954080203443</v>
      </c>
      <c r="C1118">
        <v>0.915910685476923</v>
      </c>
      <c r="D1118">
        <v>0.85741972151758605</v>
      </c>
      <c r="E1118">
        <v>0.72717342639609395</v>
      </c>
      <c r="F1118">
        <v>0.66942526233866995</v>
      </c>
      <c r="G1118">
        <v>0.47752463805822598</v>
      </c>
      <c r="H1118">
        <v>0.42918905303988403</v>
      </c>
      <c r="I1118">
        <v>0.48547426286301798</v>
      </c>
      <c r="J1118">
        <v>0.54025563805820398</v>
      </c>
      <c r="K1118">
        <v>0.55285120109198405</v>
      </c>
      <c r="L1118">
        <v>752.00269717836204</v>
      </c>
      <c r="M1118">
        <v>15.280790619366201</v>
      </c>
      <c r="N1118">
        <v>64.088591904850304</v>
      </c>
      <c r="O1118">
        <v>48.392565003344899</v>
      </c>
      <c r="P1118">
        <v>-4.0611933588801503E-2</v>
      </c>
      <c r="Q1118">
        <v>0.48559439847651598</v>
      </c>
      <c r="R1118">
        <v>0.94039783627477003</v>
      </c>
      <c r="S1118" t="s">
        <v>7924</v>
      </c>
      <c r="T1118" t="s">
        <v>13610</v>
      </c>
      <c r="U1118" t="s">
        <v>13610</v>
      </c>
      <c r="V1118" t="s">
        <v>13610</v>
      </c>
      <c r="W1118" t="s">
        <v>14696</v>
      </c>
      <c r="X1118">
        <v>16</v>
      </c>
      <c r="Y1118" t="s">
        <v>21409</v>
      </c>
      <c r="Z1118" t="s">
        <v>27973</v>
      </c>
      <c r="AA1118">
        <v>0.65572548258820818</v>
      </c>
      <c r="AB1118" t="str">
        <f>HYPERLINK("Melting_Curves/meltCurve_O00268_TAF4.pdf", "Melting_Curves/meltCurve_O00268_TAF4.pdf")</f>
        <v>Melting_Curves/meltCurve_O00268_TAF4.pdf</v>
      </c>
    </row>
    <row r="1119" spans="1:28" x14ac:dyDescent="0.25">
      <c r="A1119" t="s">
        <v>1123</v>
      </c>
      <c r="B1119">
        <v>0.995954080203443</v>
      </c>
      <c r="C1119">
        <v>0.97536729875672501</v>
      </c>
      <c r="D1119">
        <v>1.0257670429979</v>
      </c>
      <c r="E1119">
        <v>0.89626621922062499</v>
      </c>
      <c r="F1119">
        <v>0.92558283181956102</v>
      </c>
      <c r="G1119">
        <v>0.70231415048434398</v>
      </c>
      <c r="H1119">
        <v>0.64574181940310804</v>
      </c>
      <c r="I1119">
        <v>0.75535410135088399</v>
      </c>
      <c r="J1119">
        <v>1.0125642342109999</v>
      </c>
      <c r="K1119">
        <v>0.86895273366032999</v>
      </c>
      <c r="L1119">
        <v>1598.7605228692601</v>
      </c>
      <c r="M1119">
        <v>31.201614923700699</v>
      </c>
      <c r="O1119">
        <v>51.030573922950602</v>
      </c>
      <c r="P1119">
        <v>-2.9960510202998499E-2</v>
      </c>
      <c r="Q1119">
        <v>0.80399815798103502</v>
      </c>
      <c r="R1119">
        <v>0.42205054724500402</v>
      </c>
      <c r="S1119" t="s">
        <v>7925</v>
      </c>
      <c r="T1119" t="s">
        <v>13610</v>
      </c>
      <c r="U1119" t="s">
        <v>13610</v>
      </c>
      <c r="V1119" t="s">
        <v>13610</v>
      </c>
      <c r="W1119" t="s">
        <v>14697</v>
      </c>
      <c r="X1119">
        <v>18</v>
      </c>
      <c r="Y1119" t="s">
        <v>21410</v>
      </c>
      <c r="Z1119" t="s">
        <v>27974</v>
      </c>
      <c r="AA1119">
        <v>0.87857507588665362</v>
      </c>
      <c r="AB1119" t="str">
        <f>HYPERLINK("Melting_Curves/meltCurve_O00273_DFFA.pdf", "Melting_Curves/meltCurve_O00273_DFFA.pdf")</f>
        <v>Melting_Curves/meltCurve_O00273_DFFA.pdf</v>
      </c>
    </row>
    <row r="1120" spans="1:28" x14ac:dyDescent="0.25">
      <c r="A1120" t="s">
        <v>1124</v>
      </c>
      <c r="B1120">
        <v>0.995954080203443</v>
      </c>
      <c r="C1120">
        <v>0.98202739936290895</v>
      </c>
      <c r="D1120">
        <v>0.91770644500504195</v>
      </c>
      <c r="E1120">
        <v>0.86802783950842599</v>
      </c>
      <c r="F1120">
        <v>0.76597728138042298</v>
      </c>
      <c r="G1120">
        <v>0.47013583768432099</v>
      </c>
      <c r="H1120">
        <v>0.45289814790507799</v>
      </c>
      <c r="I1120">
        <v>0.52785515710398401</v>
      </c>
      <c r="J1120">
        <v>0.69619630606774197</v>
      </c>
      <c r="K1120">
        <v>0.61095195196371299</v>
      </c>
      <c r="L1120">
        <v>1642.15876755469</v>
      </c>
      <c r="M1120">
        <v>31.620222365263501</v>
      </c>
      <c r="O1120">
        <v>51.727408431471503</v>
      </c>
      <c r="P1120">
        <v>-6.8341841423079197E-2</v>
      </c>
      <c r="Q1120">
        <v>0.55280156399322999</v>
      </c>
      <c r="R1120">
        <v>0.85337307952862196</v>
      </c>
      <c r="S1120" t="s">
        <v>7926</v>
      </c>
      <c r="T1120" t="s">
        <v>13610</v>
      </c>
      <c r="U1120" t="s">
        <v>13610</v>
      </c>
      <c r="V1120" t="s">
        <v>13610</v>
      </c>
      <c r="W1120" t="s">
        <v>14698</v>
      </c>
      <c r="X1120">
        <v>14</v>
      </c>
      <c r="Y1120" t="s">
        <v>21410</v>
      </c>
      <c r="Z1120" t="s">
        <v>27975</v>
      </c>
      <c r="AA1120">
        <v>0.73326515045485308</v>
      </c>
      <c r="AB1120" t="str">
        <f>HYPERLINK("Melting_Curves/meltCurve_O00273_2_DFFA.pdf", "Melting_Curves/meltCurve_O00273_2_DFFA.pdf")</f>
        <v>Melting_Curves/meltCurve_O00273_2_DFFA.pdf</v>
      </c>
    </row>
    <row r="1121" spans="1:28" x14ac:dyDescent="0.25">
      <c r="A1121" t="s">
        <v>1125</v>
      </c>
      <c r="B1121">
        <v>0.995954080203443</v>
      </c>
      <c r="C1121">
        <v>0.99359962145996295</v>
      </c>
      <c r="D1121">
        <v>0.88282266195033998</v>
      </c>
      <c r="E1121">
        <v>0.88845811904643801</v>
      </c>
      <c r="F1121">
        <v>0.75816837115495905</v>
      </c>
      <c r="G1121">
        <v>0.52789163143740303</v>
      </c>
      <c r="H1121">
        <v>0.43156788553576297</v>
      </c>
      <c r="I1121">
        <v>0.46200004047028298</v>
      </c>
      <c r="J1121">
        <v>0.54034424719268304</v>
      </c>
      <c r="K1121">
        <v>0.53589477098038496</v>
      </c>
      <c r="L1121">
        <v>1327.5525211921999</v>
      </c>
      <c r="M1121">
        <v>25.189634402860101</v>
      </c>
      <c r="N1121">
        <v>61.210359174352398</v>
      </c>
      <c r="O1121">
        <v>52.373570918278602</v>
      </c>
      <c r="P1121">
        <v>-6.1934105195481197E-2</v>
      </c>
      <c r="Q1121">
        <v>0.48492043902590098</v>
      </c>
      <c r="R1121">
        <v>0.94814556220235502</v>
      </c>
      <c r="S1121" t="s">
        <v>7927</v>
      </c>
      <c r="T1121" t="s">
        <v>13610</v>
      </c>
      <c r="U1121" t="s">
        <v>13610</v>
      </c>
      <c r="V1121" t="s">
        <v>13610</v>
      </c>
      <c r="W1121" t="s">
        <v>14699</v>
      </c>
      <c r="X1121">
        <v>5</v>
      </c>
      <c r="Y1121" t="s">
        <v>21411</v>
      </c>
      <c r="Z1121" t="s">
        <v>27976</v>
      </c>
      <c r="AA1121">
        <v>0.70767540625981085</v>
      </c>
      <c r="AB1121" t="str">
        <f>HYPERLINK("Melting_Curves/meltCurve_O00287_RFXAP.pdf", "Melting_Curves/meltCurve_O00287_RFXAP.pdf")</f>
        <v>Melting_Curves/meltCurve_O00287_RFXAP.pdf</v>
      </c>
    </row>
    <row r="1122" spans="1:28" x14ac:dyDescent="0.25">
      <c r="A1122" t="s">
        <v>1126</v>
      </c>
      <c r="B1122">
        <v>0.995954080203443</v>
      </c>
      <c r="C1122">
        <v>1.1176497576042299</v>
      </c>
      <c r="D1122">
        <v>0.96915044835413799</v>
      </c>
      <c r="E1122">
        <v>0.73507352181581198</v>
      </c>
      <c r="F1122">
        <v>0.235658857783132</v>
      </c>
      <c r="G1122">
        <v>0.102803183208241</v>
      </c>
      <c r="H1122">
        <v>2.84973104887319E-2</v>
      </c>
      <c r="I1122">
        <v>5.4165158569447099E-2</v>
      </c>
      <c r="J1122">
        <v>6.4539349955916897E-2</v>
      </c>
      <c r="K1122">
        <v>6.1044799912962501E-2</v>
      </c>
      <c r="L1122">
        <v>2058.9731108924698</v>
      </c>
      <c r="M1122">
        <v>40.261651285308098</v>
      </c>
      <c r="N1122">
        <v>51.296699584450799</v>
      </c>
      <c r="O1122">
        <v>51.014130329822898</v>
      </c>
      <c r="P1122">
        <v>-0.185876685567787</v>
      </c>
      <c r="Q1122">
        <v>5.7930492938851497E-2</v>
      </c>
      <c r="R1122">
        <v>0.99135965475015297</v>
      </c>
      <c r="S1122" t="s">
        <v>7928</v>
      </c>
      <c r="T1122" t="s">
        <v>13610</v>
      </c>
      <c r="U1122" t="s">
        <v>13610</v>
      </c>
      <c r="V1122" t="s">
        <v>13610</v>
      </c>
      <c r="W1122" t="s">
        <v>14700</v>
      </c>
      <c r="X1122">
        <v>4</v>
      </c>
      <c r="Y1122" t="s">
        <v>21412</v>
      </c>
      <c r="Z1122" t="s">
        <v>27977</v>
      </c>
      <c r="AA1122">
        <v>0.4110325979794836</v>
      </c>
      <c r="AB1122" t="str">
        <f>HYPERLINK("Melting_Curves/meltCurve_O00291_3_HIP1.pdf", "Melting_Curves/meltCurve_O00291_3_HIP1.pdf")</f>
        <v>Melting_Curves/meltCurve_O00291_3_HIP1.pdf</v>
      </c>
    </row>
    <row r="1123" spans="1:28" x14ac:dyDescent="0.25">
      <c r="A1123" t="s">
        <v>1127</v>
      </c>
      <c r="B1123">
        <v>0.995954080203443</v>
      </c>
      <c r="C1123">
        <v>0.92654573074714697</v>
      </c>
      <c r="D1123">
        <v>1.1592804027755801</v>
      </c>
      <c r="E1123">
        <v>0.98595005556736104</v>
      </c>
      <c r="F1123">
        <v>0.676482052813284</v>
      </c>
      <c r="G1123">
        <v>0.112988148033448</v>
      </c>
      <c r="H1123">
        <v>6.8648123664167907E-2</v>
      </c>
      <c r="I1123">
        <v>5.0241319284842698E-2</v>
      </c>
      <c r="J1123">
        <v>5.5382990984463303E-2</v>
      </c>
      <c r="K1123">
        <v>5.03982316520745E-2</v>
      </c>
      <c r="L1123">
        <v>2648.28672305283</v>
      </c>
      <c r="M1123">
        <v>49.305609549885197</v>
      </c>
      <c r="N1123">
        <v>53.842337493748303</v>
      </c>
      <c r="O1123">
        <v>53.623554323918903</v>
      </c>
      <c r="P1123">
        <v>-0.21690688156342999</v>
      </c>
      <c r="Q1123">
        <v>5.6391037468034498E-2</v>
      </c>
      <c r="R1123">
        <v>0.98492976419963396</v>
      </c>
      <c r="S1123" t="s">
        <v>7929</v>
      </c>
      <c r="T1123" t="s">
        <v>13610</v>
      </c>
      <c r="U1123" t="s">
        <v>13610</v>
      </c>
      <c r="V1123" t="s">
        <v>13610</v>
      </c>
      <c r="W1123" t="s">
        <v>14701</v>
      </c>
      <c r="X1123">
        <v>16</v>
      </c>
      <c r="Y1123" t="s">
        <v>21413</v>
      </c>
      <c r="Z1123" t="s">
        <v>27978</v>
      </c>
      <c r="AA1123">
        <v>0.48997170475443907</v>
      </c>
      <c r="AB1123" t="str">
        <f>HYPERLINK("Melting_Curves/meltCurve_O00299_CLIC1.pdf", "Melting_Curves/meltCurve_O00299_CLIC1.pdf")</f>
        <v>Melting_Curves/meltCurve_O00299_CLIC1.pdf</v>
      </c>
    </row>
    <row r="1124" spans="1:28" x14ac:dyDescent="0.25">
      <c r="A1124" t="s">
        <v>1128</v>
      </c>
      <c r="B1124">
        <v>0.995954080203443</v>
      </c>
      <c r="C1124">
        <v>0.79273302095972298</v>
      </c>
      <c r="D1124">
        <v>0.56051644712133597</v>
      </c>
      <c r="E1124">
        <v>0.26695148727816098</v>
      </c>
      <c r="F1124">
        <v>0.119903652334737</v>
      </c>
      <c r="G1124">
        <v>7.2389033406083297E-2</v>
      </c>
      <c r="H1124">
        <v>4.6866743584989101E-2</v>
      </c>
      <c r="I1124">
        <v>4.1237200950818897E-2</v>
      </c>
      <c r="J1124">
        <v>4.3588659880192997E-2</v>
      </c>
      <c r="K1124">
        <v>4.32231500821929E-2</v>
      </c>
      <c r="L1124">
        <v>824.32359694288095</v>
      </c>
      <c r="M1124">
        <v>17.744398697520801</v>
      </c>
      <c r="N1124">
        <v>46.6555601635093</v>
      </c>
      <c r="O1124">
        <v>45.877468465680899</v>
      </c>
      <c r="P1124">
        <v>-9.3155936341274101E-2</v>
      </c>
      <c r="Q1124">
        <v>3.6645958356941503E-2</v>
      </c>
      <c r="R1124">
        <v>0.99688013523554497</v>
      </c>
      <c r="S1124" t="s">
        <v>7930</v>
      </c>
      <c r="T1124" t="s">
        <v>13610</v>
      </c>
      <c r="U1124" t="s">
        <v>13610</v>
      </c>
      <c r="V1124" t="s">
        <v>13610</v>
      </c>
      <c r="W1124" t="s">
        <v>14702</v>
      </c>
      <c r="X1124">
        <v>10</v>
      </c>
      <c r="Y1124" t="s">
        <v>21414</v>
      </c>
      <c r="Z1124" t="s">
        <v>27979</v>
      </c>
      <c r="AA1124">
        <v>0.26285268275030721</v>
      </c>
      <c r="AB1124" t="str">
        <f>HYPERLINK("Melting_Curves/meltCurve_O00303_EIF3F.pdf", "Melting_Curves/meltCurve_O00303_EIF3F.pdf")</f>
        <v>Melting_Curves/meltCurve_O00303_EIF3F.pdf</v>
      </c>
    </row>
    <row r="1125" spans="1:28" x14ac:dyDescent="0.25">
      <c r="A1125" t="s">
        <v>1129</v>
      </c>
      <c r="B1125">
        <v>0.995954080203443</v>
      </c>
      <c r="C1125">
        <v>0.94576052653543896</v>
      </c>
      <c r="D1125">
        <v>1.23494009425221</v>
      </c>
      <c r="E1125">
        <v>0.705401010900644</v>
      </c>
      <c r="F1125">
        <v>0.649036423229152</v>
      </c>
      <c r="G1125">
        <v>0.37478697803580102</v>
      </c>
      <c r="H1125">
        <v>0.36071391026564997</v>
      </c>
      <c r="I1125">
        <v>0.48800217258164902</v>
      </c>
      <c r="J1125">
        <v>0.44977385734488501</v>
      </c>
      <c r="K1125">
        <v>0.49620452853569302</v>
      </c>
      <c r="L1125">
        <v>1716.80878280247</v>
      </c>
      <c r="M1125">
        <v>33.814256091000701</v>
      </c>
      <c r="N1125">
        <v>54.225152424371799</v>
      </c>
      <c r="O1125">
        <v>50.595163978120198</v>
      </c>
      <c r="P1125">
        <v>-9.3238754367637094E-2</v>
      </c>
      <c r="Q1125">
        <v>0.44196195142312</v>
      </c>
      <c r="R1125">
        <v>0.87255101852415495</v>
      </c>
      <c r="S1125" t="s">
        <v>7931</v>
      </c>
      <c r="T1125" t="s">
        <v>13610</v>
      </c>
      <c r="U1125" t="s">
        <v>13610</v>
      </c>
      <c r="V1125" t="s">
        <v>13610</v>
      </c>
      <c r="W1125" t="s">
        <v>14703</v>
      </c>
      <c r="X1125">
        <v>4</v>
      </c>
      <c r="Y1125" t="s">
        <v>21415</v>
      </c>
      <c r="Z1125" t="s">
        <v>27980</v>
      </c>
      <c r="AA1125">
        <v>0.64507765738401024</v>
      </c>
      <c r="AB1125" t="str">
        <f>HYPERLINK("Melting_Curves/meltCurve_O00308_WWP2.pdf", "Melting_Curves/meltCurve_O00308_WWP2.pdf")</f>
        <v>Melting_Curves/meltCurve_O00308_WWP2.pdf</v>
      </c>
    </row>
    <row r="1126" spans="1:28" x14ac:dyDescent="0.25">
      <c r="A1126" t="s">
        <v>1130</v>
      </c>
      <c r="B1126">
        <v>0.995954080203443</v>
      </c>
      <c r="C1126">
        <v>0.84345151840941501</v>
      </c>
      <c r="D1126">
        <v>0.80916591403584004</v>
      </c>
      <c r="E1126">
        <v>0.66465562306626502</v>
      </c>
      <c r="F1126">
        <v>0.30072980304941099</v>
      </c>
      <c r="G1126">
        <v>0.23016127244361601</v>
      </c>
      <c r="H1126">
        <v>0.17929883139618799</v>
      </c>
      <c r="I1126">
        <v>0.22757698655174599</v>
      </c>
      <c r="J1126">
        <v>0.202261681479453</v>
      </c>
      <c r="K1126">
        <v>0.26616792174280302</v>
      </c>
      <c r="L1126">
        <v>860.07617872253195</v>
      </c>
      <c r="M1126">
        <v>17.413348027381598</v>
      </c>
      <c r="N1126">
        <v>50.8239289399801</v>
      </c>
      <c r="O1126">
        <v>48.754193931445599</v>
      </c>
      <c r="P1126">
        <v>-7.1982358988360001E-2</v>
      </c>
      <c r="Q1126">
        <v>0.19389549169467499</v>
      </c>
      <c r="R1126">
        <v>0.95860379196411705</v>
      </c>
      <c r="S1126" t="s">
        <v>7932</v>
      </c>
      <c r="T1126" t="s">
        <v>13610</v>
      </c>
      <c r="U1126" t="s">
        <v>13610</v>
      </c>
      <c r="V1126" t="s">
        <v>13610</v>
      </c>
      <c r="W1126" t="s">
        <v>14704</v>
      </c>
      <c r="X1126">
        <v>8</v>
      </c>
      <c r="Y1126" t="s">
        <v>21416</v>
      </c>
      <c r="Z1126" t="s">
        <v>27981</v>
      </c>
      <c r="AA1126">
        <v>0.46104635211912048</v>
      </c>
      <c r="AB1126" t="str">
        <f>HYPERLINK("Melting_Curves/meltCurve_O00329_PIK3CD.pdf", "Melting_Curves/meltCurve_O00329_PIK3CD.pdf")</f>
        <v>Melting_Curves/meltCurve_O00329_PIK3CD.pdf</v>
      </c>
    </row>
    <row r="1127" spans="1:28" x14ac:dyDescent="0.25">
      <c r="A1127" t="s">
        <v>1131</v>
      </c>
      <c r="B1127">
        <v>0.995954080203443</v>
      </c>
      <c r="C1127">
        <v>0.82075030254529502</v>
      </c>
      <c r="D1127">
        <v>0.99220382347737901</v>
      </c>
      <c r="E1127">
        <v>0.94392539276894305</v>
      </c>
      <c r="F1127">
        <v>0.86516282482304596</v>
      </c>
      <c r="G1127">
        <v>0.60681910951363405</v>
      </c>
      <c r="H1127">
        <v>0.43613901950525302</v>
      </c>
      <c r="I1127">
        <v>0.35760884567551698</v>
      </c>
      <c r="J1127">
        <v>0.19432579143789699</v>
      </c>
      <c r="K1127">
        <v>0.210811799009611</v>
      </c>
      <c r="L1127">
        <v>834.97628034460001</v>
      </c>
      <c r="M1127">
        <v>14.272442524184999</v>
      </c>
      <c r="N1127">
        <v>59.6160813916538</v>
      </c>
      <c r="O1127">
        <v>57.390137943858903</v>
      </c>
      <c r="P1127">
        <v>-5.4905889429880297E-2</v>
      </c>
      <c r="Q1127">
        <v>0.11699209715699101</v>
      </c>
      <c r="R1127">
        <v>0.96048629671367503</v>
      </c>
      <c r="S1127" t="s">
        <v>7933</v>
      </c>
      <c r="T1127" t="s">
        <v>13610</v>
      </c>
      <c r="U1127" t="s">
        <v>13610</v>
      </c>
      <c r="V1127" t="s">
        <v>13610</v>
      </c>
      <c r="W1127" t="s">
        <v>14705</v>
      </c>
      <c r="X1127">
        <v>3</v>
      </c>
      <c r="Y1127" t="s">
        <v>21417</v>
      </c>
      <c r="Z1127" t="s">
        <v>27982</v>
      </c>
      <c r="AA1127">
        <v>0.67210346601646065</v>
      </c>
      <c r="AB1127" t="str">
        <f>HYPERLINK("Melting_Curves/meltCurve_O00399_DCTN6.pdf", "Melting_Curves/meltCurve_O00399_DCTN6.pdf")</f>
        <v>Melting_Curves/meltCurve_O00399_DCTN6.pdf</v>
      </c>
    </row>
    <row r="1128" spans="1:28" x14ac:dyDescent="0.25">
      <c r="A1128" t="s">
        <v>1132</v>
      </c>
      <c r="B1128">
        <v>0.995954080203443</v>
      </c>
      <c r="C1128">
        <v>0.97125156363322895</v>
      </c>
      <c r="D1128">
        <v>0.88492917632760704</v>
      </c>
      <c r="E1128">
        <v>0.66253332722753999</v>
      </c>
      <c r="F1128">
        <v>0.50175367431582396</v>
      </c>
      <c r="G1128">
        <v>0.34413255998351699</v>
      </c>
      <c r="H1128">
        <v>0.31347298430848097</v>
      </c>
      <c r="I1128">
        <v>0.37114800810786902</v>
      </c>
      <c r="J1128">
        <v>0.42698511528289301</v>
      </c>
      <c r="K1128">
        <v>0.41688014011980901</v>
      </c>
      <c r="L1128">
        <v>1125.5028028819199</v>
      </c>
      <c r="M1128">
        <v>22.7428383974684</v>
      </c>
      <c r="N1128">
        <v>52.604916825725503</v>
      </c>
      <c r="O1128">
        <v>49.110385124687703</v>
      </c>
      <c r="P1128">
        <v>-7.2933496126861105E-2</v>
      </c>
      <c r="Q1128">
        <v>0.37004847460234902</v>
      </c>
      <c r="R1128">
        <v>0.97922714966265301</v>
      </c>
      <c r="S1128" t="s">
        <v>7934</v>
      </c>
      <c r="T1128" t="s">
        <v>13610</v>
      </c>
      <c r="U1128" t="s">
        <v>13610</v>
      </c>
      <c r="V1128" t="s">
        <v>13610</v>
      </c>
      <c r="W1128" t="s">
        <v>14706</v>
      </c>
      <c r="X1128">
        <v>18</v>
      </c>
      <c r="Y1128" t="s">
        <v>21418</v>
      </c>
      <c r="Z1128" t="s">
        <v>27983</v>
      </c>
      <c r="AA1128">
        <v>0.57607598038023855</v>
      </c>
      <c r="AB1128" t="str">
        <f>HYPERLINK("Melting_Curves/meltCurve_O00401_WASL.pdf", "Melting_Curves/meltCurve_O00401_WASL.pdf")</f>
        <v>Melting_Curves/meltCurve_O00401_WASL.pdf</v>
      </c>
    </row>
    <row r="1129" spans="1:28" x14ac:dyDescent="0.25">
      <c r="A1129" t="s">
        <v>1133</v>
      </c>
      <c r="B1129">
        <v>0.995954080203443</v>
      </c>
      <c r="C1129">
        <v>0.71700944643757403</v>
      </c>
      <c r="D1129">
        <v>1.4801782291532599</v>
      </c>
      <c r="E1129">
        <v>0.75225128514175699</v>
      </c>
      <c r="F1129">
        <v>1.6175626684787601</v>
      </c>
      <c r="G1129">
        <v>1.1005357540360201</v>
      </c>
      <c r="H1129">
        <v>1.12212796295007</v>
      </c>
      <c r="I1129">
        <v>1.4198886558700901</v>
      </c>
      <c r="J1129">
        <v>1.69216001330071</v>
      </c>
      <c r="K1129">
        <v>1.59093017556316</v>
      </c>
      <c r="L1129">
        <v>601.34455678778295</v>
      </c>
      <c r="M1129">
        <v>10.951255622033999</v>
      </c>
      <c r="O1129">
        <v>53.1752821710107</v>
      </c>
      <c r="P1129">
        <v>2.5752129753237499E-2</v>
      </c>
      <c r="Q1129">
        <v>1.5</v>
      </c>
      <c r="R1129">
        <v>0.33442679435299699</v>
      </c>
      <c r="S1129" t="s">
        <v>7935</v>
      </c>
      <c r="T1129" t="s">
        <v>13610</v>
      </c>
      <c r="U1129" t="s">
        <v>13610</v>
      </c>
      <c r="V1129" t="s">
        <v>13610</v>
      </c>
      <c r="W1129" t="s">
        <v>14707</v>
      </c>
      <c r="X1129">
        <v>1</v>
      </c>
      <c r="Y1129" t="s">
        <v>21419</v>
      </c>
      <c r="Z1129" t="s">
        <v>27984</v>
      </c>
      <c r="AA1129">
        <v>1.238919341153965</v>
      </c>
      <c r="AB1129" t="str">
        <f>HYPERLINK("Melting_Curves/meltCurve_O00409_2_FOXN3.pdf", "Melting_Curves/meltCurve_O00409_2_FOXN3.pdf")</f>
        <v>Melting_Curves/meltCurve_O00409_2_FOXN3.pdf</v>
      </c>
    </row>
    <row r="1130" spans="1:28" x14ac:dyDescent="0.25">
      <c r="A1130" t="s">
        <v>1134</v>
      </c>
      <c r="B1130">
        <v>0.995954080203443</v>
      </c>
      <c r="C1130">
        <v>0.969173151713703</v>
      </c>
      <c r="D1130">
        <v>0.88358447746441104</v>
      </c>
      <c r="E1130">
        <v>0.91414983864289401</v>
      </c>
      <c r="F1130">
        <v>0.66636272040061095</v>
      </c>
      <c r="G1130">
        <v>0.26817180637069898</v>
      </c>
      <c r="H1130">
        <v>6.5899231229786595E-2</v>
      </c>
      <c r="I1130">
        <v>5.0567961346157098E-2</v>
      </c>
      <c r="J1130">
        <v>5.0419456892753498E-2</v>
      </c>
      <c r="K1130">
        <v>4.7559464155155801E-2</v>
      </c>
      <c r="L1130">
        <v>1356.9041759723</v>
      </c>
      <c r="M1130">
        <v>24.966247679731101</v>
      </c>
      <c r="N1130">
        <v>54.492707159866299</v>
      </c>
      <c r="O1130">
        <v>54.004453260863301</v>
      </c>
      <c r="P1130">
        <v>-0.111907746604697</v>
      </c>
      <c r="Q1130">
        <v>3.1743213047424702E-2</v>
      </c>
      <c r="R1130">
        <v>0.99201852831413495</v>
      </c>
      <c r="S1130" t="s">
        <v>7936</v>
      </c>
      <c r="T1130" t="s">
        <v>13610</v>
      </c>
      <c r="U1130" t="s">
        <v>13610</v>
      </c>
      <c r="V1130" t="s">
        <v>13610</v>
      </c>
      <c r="W1130" t="s">
        <v>14708</v>
      </c>
      <c r="X1130">
        <v>42</v>
      </c>
      <c r="Y1130" t="s">
        <v>21420</v>
      </c>
      <c r="Z1130" t="s">
        <v>27985</v>
      </c>
      <c r="AA1130">
        <v>0.50386539605148861</v>
      </c>
      <c r="AB1130" t="str">
        <f>HYPERLINK("Melting_Curves/meltCurve_O00410_IPO5.pdf", "Melting_Curves/meltCurve_O00410_IPO5.pdf")</f>
        <v>Melting_Curves/meltCurve_O00410_IPO5.pdf</v>
      </c>
    </row>
    <row r="1131" spans="1:28" x14ac:dyDescent="0.25">
      <c r="A1131" t="s">
        <v>1135</v>
      </c>
      <c r="B1131">
        <v>0.995954080203443</v>
      </c>
      <c r="C1131">
        <v>1.1456746559125199</v>
      </c>
      <c r="D1131">
        <v>1.0532358428719799</v>
      </c>
      <c r="E1131">
        <v>0.81144329425902595</v>
      </c>
      <c r="F1131">
        <v>0.88516515950073704</v>
      </c>
      <c r="G1131">
        <v>0.577384451723571</v>
      </c>
      <c r="H1131">
        <v>0.36364753868560701</v>
      </c>
      <c r="I1131">
        <v>0.29901087016974698</v>
      </c>
      <c r="J1131">
        <v>0.31606263608402901</v>
      </c>
      <c r="K1131">
        <v>0.24214431353292301</v>
      </c>
      <c r="L1131">
        <v>1058.43530484192</v>
      </c>
      <c r="M1131">
        <v>18.787359370291401</v>
      </c>
      <c r="N1131">
        <v>58.356071708393799</v>
      </c>
      <c r="O1131">
        <v>55.710982170271997</v>
      </c>
      <c r="P1131">
        <v>-6.41662947320015E-2</v>
      </c>
      <c r="Q1131">
        <v>0.23893118290676199</v>
      </c>
      <c r="R1131">
        <v>0.95615310210611004</v>
      </c>
      <c r="S1131" t="s">
        <v>7937</v>
      </c>
      <c r="T1131" t="s">
        <v>13610</v>
      </c>
      <c r="U1131" t="s">
        <v>13610</v>
      </c>
      <c r="V1131" t="s">
        <v>13610</v>
      </c>
      <c r="W1131" t="s">
        <v>14709</v>
      </c>
      <c r="X1131">
        <v>38</v>
      </c>
      <c r="Y1131" t="s">
        <v>21420</v>
      </c>
      <c r="Z1131" t="s">
        <v>27986</v>
      </c>
      <c r="AA1131">
        <v>0.66384576191852063</v>
      </c>
      <c r="AB1131" t="str">
        <f>HYPERLINK("Melting_Curves/meltCurve_O00410_2_IPO5.pdf", "Melting_Curves/meltCurve_O00410_2_IPO5.pdf")</f>
        <v>Melting_Curves/meltCurve_O00410_2_IPO5.pdf</v>
      </c>
    </row>
    <row r="1132" spans="1:28" x14ac:dyDescent="0.25">
      <c r="A1132" t="s">
        <v>1136</v>
      </c>
      <c r="B1132">
        <v>0.995954080203443</v>
      </c>
      <c r="C1132">
        <v>0.936228922631546</v>
      </c>
      <c r="D1132">
        <v>1.0809744038750499</v>
      </c>
      <c r="E1132">
        <v>0.91111743458278005</v>
      </c>
      <c r="F1132">
        <v>0.99452930211772805</v>
      </c>
      <c r="G1132">
        <v>0.80798794973953103</v>
      </c>
      <c r="H1132">
        <v>0.760280655305131</v>
      </c>
      <c r="I1132">
        <v>0.91392591750517604</v>
      </c>
      <c r="J1132">
        <v>1.0994194956493699</v>
      </c>
      <c r="K1132">
        <v>1.11916071966856</v>
      </c>
      <c r="L1132">
        <v>15000</v>
      </c>
      <c r="M1132">
        <v>225.48896836261699</v>
      </c>
      <c r="O1132">
        <v>66.516857204148195</v>
      </c>
      <c r="P1132">
        <v>0.10103903782462199</v>
      </c>
      <c r="Q1132">
        <v>1.11922180408246</v>
      </c>
      <c r="R1132">
        <v>7.3955721030530705E-2</v>
      </c>
      <c r="S1132" t="s">
        <v>7938</v>
      </c>
      <c r="T1132" t="s">
        <v>13610</v>
      </c>
      <c r="U1132" t="s">
        <v>13610</v>
      </c>
      <c r="V1132" t="s">
        <v>13610</v>
      </c>
      <c r="W1132" t="s">
        <v>14710</v>
      </c>
      <c r="X1132">
        <v>8</v>
      </c>
      <c r="Y1132" t="s">
        <v>21421</v>
      </c>
      <c r="Z1132" t="s">
        <v>27987</v>
      </c>
      <c r="AA1132">
        <v>1.0138042865059189</v>
      </c>
      <c r="AB1132" t="str">
        <f>HYPERLINK("Melting_Curves/meltCurve_O00411_POLRMT.pdf", "Melting_Curves/meltCurve_O00411_POLRMT.pdf")</f>
        <v>Melting_Curves/meltCurve_O00411_POLRMT.pdf</v>
      </c>
    </row>
    <row r="1133" spans="1:28" x14ac:dyDescent="0.25">
      <c r="A1133" t="s">
        <v>1137</v>
      </c>
      <c r="B1133">
        <v>0.995954080203443</v>
      </c>
      <c r="C1133">
        <v>0.65823394578913896</v>
      </c>
      <c r="D1133">
        <v>0.28861964313029898</v>
      </c>
      <c r="E1133">
        <v>0.21520758958080299</v>
      </c>
      <c r="F1133">
        <v>0.148600648755701</v>
      </c>
      <c r="G1133">
        <v>9.7218639408101604E-2</v>
      </c>
      <c r="H1133">
        <v>8.4569412609382999E-2</v>
      </c>
      <c r="I1133">
        <v>9.2427334262204397E-2</v>
      </c>
      <c r="J1133">
        <v>0.110123067801775</v>
      </c>
      <c r="K1133">
        <v>0.114124806625976</v>
      </c>
      <c r="L1133">
        <v>1232.0654318496499</v>
      </c>
      <c r="M1133">
        <v>28.1629174657002</v>
      </c>
      <c r="N1133">
        <v>44.165327222754698</v>
      </c>
      <c r="O1133">
        <v>43.529000010227797</v>
      </c>
      <c r="P1133">
        <v>-0.142844673603924</v>
      </c>
      <c r="Q1133">
        <v>0.116876483664324</v>
      </c>
      <c r="R1133">
        <v>0.98623281571711796</v>
      </c>
      <c r="S1133" t="s">
        <v>7939</v>
      </c>
      <c r="T1133" t="s">
        <v>13610</v>
      </c>
      <c r="U1133" t="s">
        <v>13610</v>
      </c>
      <c r="V1133" t="s">
        <v>13610</v>
      </c>
      <c r="W1133" t="s">
        <v>14711</v>
      </c>
      <c r="X1133">
        <v>14</v>
      </c>
      <c r="Y1133" t="s">
        <v>21422</v>
      </c>
      <c r="Z1133" t="s">
        <v>27988</v>
      </c>
      <c r="AA1133">
        <v>0.23511642447840361</v>
      </c>
      <c r="AB1133" t="str">
        <f>HYPERLINK("Melting_Curves/meltCurve_O00418_EEF2K.pdf", "Melting_Curves/meltCurve_O00418_EEF2K.pdf")</f>
        <v>Melting_Curves/meltCurve_O00418_EEF2K.pdf</v>
      </c>
    </row>
    <row r="1134" spans="1:28" x14ac:dyDescent="0.25">
      <c r="A1134" t="s">
        <v>1138</v>
      </c>
      <c r="B1134">
        <v>0.995954080203443</v>
      </c>
      <c r="C1134">
        <v>0.64103757710355003</v>
      </c>
      <c r="D1134">
        <v>0.76085446869483597</v>
      </c>
      <c r="E1134">
        <v>0.41063301963609899</v>
      </c>
      <c r="F1134">
        <v>0.37663275031653498</v>
      </c>
      <c r="G1134">
        <v>0.23758758846304701</v>
      </c>
      <c r="H1134">
        <v>0.18101817701524101</v>
      </c>
      <c r="I1134">
        <v>0.20612103243476301</v>
      </c>
      <c r="J1134">
        <v>0.24418258487794101</v>
      </c>
      <c r="K1134">
        <v>0.23810832976986501</v>
      </c>
      <c r="L1134">
        <v>573.89679761637603</v>
      </c>
      <c r="M1134">
        <v>12.2433439598862</v>
      </c>
      <c r="N1134">
        <v>48.760476938836703</v>
      </c>
      <c r="O1134">
        <v>45.6762842048227</v>
      </c>
      <c r="P1134">
        <v>-5.43831160555018E-2</v>
      </c>
      <c r="Q1134">
        <v>0.188631626081736</v>
      </c>
      <c r="R1134">
        <v>0.91953406836199703</v>
      </c>
      <c r="S1134" t="s">
        <v>7940</v>
      </c>
      <c r="T1134" t="s">
        <v>13610</v>
      </c>
      <c r="U1134" t="s">
        <v>13610</v>
      </c>
      <c r="V1134" t="s">
        <v>13610</v>
      </c>
      <c r="W1134" t="s">
        <v>14712</v>
      </c>
      <c r="X1134">
        <v>3</v>
      </c>
      <c r="Y1134" t="s">
        <v>21423</v>
      </c>
      <c r="Z1134" t="s">
        <v>27989</v>
      </c>
      <c r="AA1134">
        <v>0.40768419350188823</v>
      </c>
      <c r="AB1134" t="str">
        <f>HYPERLINK("Melting_Curves/meltCurve_O00422_SAP18.pdf", "Melting_Curves/meltCurve_O00422_SAP18.pdf")</f>
        <v>Melting_Curves/meltCurve_O00422_SAP18.pdf</v>
      </c>
    </row>
    <row r="1135" spans="1:28" x14ac:dyDescent="0.25">
      <c r="A1135" t="s">
        <v>1139</v>
      </c>
      <c r="B1135">
        <v>0.995954080203443</v>
      </c>
      <c r="C1135">
        <v>0.85136330390806003</v>
      </c>
      <c r="D1135">
        <v>0.78309017504339395</v>
      </c>
      <c r="E1135">
        <v>0.65202582618013105</v>
      </c>
      <c r="F1135">
        <v>0.51426987413491898</v>
      </c>
      <c r="G1135">
        <v>0.35674231431495501</v>
      </c>
      <c r="H1135">
        <v>0.32906848607868</v>
      </c>
      <c r="I1135">
        <v>0.37836886133130998</v>
      </c>
      <c r="J1135">
        <v>0.42246532702759598</v>
      </c>
      <c r="K1135">
        <v>0.43161747460376598</v>
      </c>
      <c r="L1135">
        <v>690.95508571354299</v>
      </c>
      <c r="M1135">
        <v>14.3541614651083</v>
      </c>
      <c r="N1135">
        <v>53.036345732979498</v>
      </c>
      <c r="O1135">
        <v>47.230882032061999</v>
      </c>
      <c r="P1135">
        <v>-4.8080612675067101E-2</v>
      </c>
      <c r="Q1135">
        <v>0.36725886368080901</v>
      </c>
      <c r="R1135">
        <v>0.95648960762502799</v>
      </c>
      <c r="S1135" t="s">
        <v>7941</v>
      </c>
      <c r="T1135" t="s">
        <v>13610</v>
      </c>
      <c r="U1135" t="s">
        <v>13610</v>
      </c>
      <c r="V1135" t="s">
        <v>13610</v>
      </c>
      <c r="W1135" t="s">
        <v>14713</v>
      </c>
      <c r="X1135">
        <v>18</v>
      </c>
      <c r="Y1135" t="s">
        <v>21424</v>
      </c>
      <c r="Z1135" t="s">
        <v>27990</v>
      </c>
      <c r="AA1135">
        <v>0.55649228790284888</v>
      </c>
      <c r="AB1135" t="str">
        <f>HYPERLINK("Melting_Curves/meltCurve_O00425_IGF2BP3.pdf", "Melting_Curves/meltCurve_O00425_IGF2BP3.pdf")</f>
        <v>Melting_Curves/meltCurve_O00425_IGF2BP3.pdf</v>
      </c>
    </row>
    <row r="1136" spans="1:28" x14ac:dyDescent="0.25">
      <c r="A1136" t="s">
        <v>1140</v>
      </c>
      <c r="B1136">
        <v>0.995954080203443</v>
      </c>
      <c r="C1136">
        <v>1.16888639797081</v>
      </c>
      <c r="D1136">
        <v>1.04014945928168</v>
      </c>
      <c r="E1136">
        <v>0.65167477550213804</v>
      </c>
      <c r="F1136">
        <v>0.29804626773042497</v>
      </c>
      <c r="G1136">
        <v>0.22281092354380999</v>
      </c>
      <c r="H1136">
        <v>0.22498684296704599</v>
      </c>
      <c r="I1136">
        <v>0.25189681304356798</v>
      </c>
      <c r="J1136">
        <v>0.34004481196515102</v>
      </c>
      <c r="K1136">
        <v>0.313232689335954</v>
      </c>
      <c r="L1136">
        <v>3376.5399140287</v>
      </c>
      <c r="M1136">
        <v>67.438549003759107</v>
      </c>
      <c r="N1136">
        <v>50.658894375855397</v>
      </c>
      <c r="O1136">
        <v>50.024423680621901</v>
      </c>
      <c r="P1136">
        <v>-0.245293940424127</v>
      </c>
      <c r="Q1136">
        <v>0.27218571580766199</v>
      </c>
      <c r="R1136">
        <v>0.96780827973475103</v>
      </c>
      <c r="S1136" t="s">
        <v>7942</v>
      </c>
      <c r="T1136" t="s">
        <v>13610</v>
      </c>
      <c r="U1136" t="s">
        <v>13610</v>
      </c>
      <c r="V1136" t="s">
        <v>13610</v>
      </c>
      <c r="W1136" t="s">
        <v>14714</v>
      </c>
      <c r="X1136">
        <v>45</v>
      </c>
      <c r="Y1136" t="s">
        <v>21425</v>
      </c>
      <c r="Z1136" t="s">
        <v>27991</v>
      </c>
      <c r="AA1136">
        <v>0.51733113089485028</v>
      </c>
      <c r="AB1136" t="str">
        <f>HYPERLINK("Melting_Curves/meltCurve_O00429_3_DNM1L.pdf", "Melting_Curves/meltCurve_O00429_3_DNM1L.pdf")</f>
        <v>Melting_Curves/meltCurve_O00429_3_DNM1L.pdf</v>
      </c>
    </row>
    <row r="1137" spans="1:28" x14ac:dyDescent="0.25">
      <c r="A1137" t="s">
        <v>1141</v>
      </c>
      <c r="B1137">
        <v>0.995954080203443</v>
      </c>
      <c r="C1137">
        <v>1.2496995297679001</v>
      </c>
      <c r="D1137">
        <v>0.61254583235654003</v>
      </c>
      <c r="E1137">
        <v>0.50500109890620604</v>
      </c>
      <c r="F1137">
        <v>0.100756355609294</v>
      </c>
      <c r="G1137">
        <v>6.3546774400810996E-2</v>
      </c>
      <c r="H1137">
        <v>4.6854613550915601E-2</v>
      </c>
      <c r="I1137">
        <v>4.6604255626806999E-2</v>
      </c>
      <c r="J1137">
        <v>5.4491040350941697E-2</v>
      </c>
      <c r="K1137">
        <v>5.03032530001912E-2</v>
      </c>
      <c r="L1137">
        <v>1089.54060174918</v>
      </c>
      <c r="M1137">
        <v>22.359051329796898</v>
      </c>
      <c r="N1137">
        <v>48.906110684108803</v>
      </c>
      <c r="O1137">
        <v>48.344523179306201</v>
      </c>
      <c r="P1137">
        <v>-0.11113618360061001</v>
      </c>
      <c r="Q1137">
        <v>3.8829980136191197E-2</v>
      </c>
      <c r="R1137">
        <v>0.92263199550816699</v>
      </c>
      <c r="S1137" t="s">
        <v>7943</v>
      </c>
      <c r="T1137" t="s">
        <v>13610</v>
      </c>
      <c r="U1137" t="s">
        <v>13610</v>
      </c>
      <c r="V1137" t="s">
        <v>13610</v>
      </c>
      <c r="W1137" t="s">
        <v>14715</v>
      </c>
      <c r="X1137">
        <v>46</v>
      </c>
      <c r="Y1137" t="s">
        <v>21425</v>
      </c>
      <c r="Z1137" t="s">
        <v>27992</v>
      </c>
      <c r="AA1137">
        <v>0.32923074574907618</v>
      </c>
      <c r="AB1137" t="str">
        <f>HYPERLINK("Melting_Curves/meltCurve_O00429_4_DNM1L.pdf", "Melting_Curves/meltCurve_O00429_4_DNM1L.pdf")</f>
        <v>Melting_Curves/meltCurve_O00429_4_DNM1L.pdf</v>
      </c>
    </row>
    <row r="1138" spans="1:28" x14ac:dyDescent="0.25">
      <c r="A1138" t="s">
        <v>1142</v>
      </c>
      <c r="B1138">
        <v>0.995954080203443</v>
      </c>
      <c r="C1138">
        <v>0.97114918815507301</v>
      </c>
      <c r="D1138">
        <v>0.78378956233831498</v>
      </c>
      <c r="E1138">
        <v>0.69316391547360001</v>
      </c>
      <c r="F1138">
        <v>0.53734104865561905</v>
      </c>
      <c r="G1138">
        <v>0.42323340324114</v>
      </c>
      <c r="H1138">
        <v>0.20904197640688901</v>
      </c>
      <c r="I1138">
        <v>6.8488295686703907E-2</v>
      </c>
      <c r="J1138">
        <v>5.8545803271948298E-2</v>
      </c>
      <c r="K1138">
        <v>6.0803874658662299E-2</v>
      </c>
      <c r="L1138">
        <v>599.64213839098795</v>
      </c>
      <c r="M1138">
        <v>11.1800143371866</v>
      </c>
      <c r="N1138">
        <v>53.635184461938401</v>
      </c>
      <c r="O1138">
        <v>52.005028199898902</v>
      </c>
      <c r="P1138">
        <v>-5.3761905119351201E-2</v>
      </c>
      <c r="Q1138">
        <v>0</v>
      </c>
      <c r="R1138">
        <v>0.98296639135784203</v>
      </c>
      <c r="S1138" t="s">
        <v>7944</v>
      </c>
      <c r="T1138" t="s">
        <v>13610</v>
      </c>
      <c r="U1138" t="s">
        <v>13610</v>
      </c>
      <c r="V1138" t="s">
        <v>13610</v>
      </c>
      <c r="W1138" t="s">
        <v>14716</v>
      </c>
      <c r="X1138">
        <v>15</v>
      </c>
      <c r="Y1138" t="s">
        <v>21426</v>
      </c>
      <c r="Z1138" t="s">
        <v>27993</v>
      </c>
      <c r="AA1138">
        <v>0.48339426945354153</v>
      </c>
      <c r="AB1138" t="str">
        <f>HYPERLINK("Melting_Curves/meltCurve_O00442_RTCA.pdf", "Melting_Curves/meltCurve_O00442_RTCA.pdf")</f>
        <v>Melting_Curves/meltCurve_O00442_RTCA.pdf</v>
      </c>
    </row>
    <row r="1139" spans="1:28" x14ac:dyDescent="0.25">
      <c r="A1139" t="s">
        <v>1143</v>
      </c>
      <c r="B1139">
        <v>0.995954080203443</v>
      </c>
      <c r="C1139">
        <v>0.999306619976568</v>
      </c>
      <c r="D1139">
        <v>1.08368794062215</v>
      </c>
      <c r="E1139">
        <v>0.68635399938060104</v>
      </c>
      <c r="F1139">
        <v>0.68121492232162895</v>
      </c>
      <c r="G1139">
        <v>0.517825806358021</v>
      </c>
      <c r="H1139">
        <v>0.43155551815759602</v>
      </c>
      <c r="I1139">
        <v>0.47641485947624201</v>
      </c>
      <c r="J1139">
        <v>0.566843620495462</v>
      </c>
      <c r="K1139">
        <v>0.51393214458573999</v>
      </c>
      <c r="L1139">
        <v>1465.46411937575</v>
      </c>
      <c r="M1139">
        <v>29.2182773679375</v>
      </c>
      <c r="O1139">
        <v>49.922544526664701</v>
      </c>
      <c r="P1139">
        <v>-7.2187486239791598E-2</v>
      </c>
      <c r="Q1139">
        <v>0.506643425529549</v>
      </c>
      <c r="R1139">
        <v>0.927869310490545</v>
      </c>
      <c r="S1139" t="s">
        <v>7945</v>
      </c>
      <c r="T1139" t="s">
        <v>13610</v>
      </c>
      <c r="U1139" t="s">
        <v>13610</v>
      </c>
      <c r="V1139" t="s">
        <v>13610</v>
      </c>
      <c r="W1139" t="s">
        <v>14717</v>
      </c>
      <c r="X1139">
        <v>6</v>
      </c>
      <c r="Y1139" t="s">
        <v>21427</v>
      </c>
      <c r="Z1139" t="s">
        <v>27994</v>
      </c>
      <c r="AA1139">
        <v>0.67688346620030682</v>
      </c>
      <c r="AB1139" t="str">
        <f>HYPERLINK("Melting_Curves/meltCurve_O00443_PIK3C2A.pdf", "Melting_Curves/meltCurve_O00443_PIK3C2A.pdf")</f>
        <v>Melting_Curves/meltCurve_O00443_PIK3C2A.pdf</v>
      </c>
    </row>
    <row r="1140" spans="1:28" x14ac:dyDescent="0.25">
      <c r="A1140" t="s">
        <v>1144</v>
      </c>
      <c r="B1140">
        <v>0.995954080203443</v>
      </c>
      <c r="C1140">
        <v>0.87275793890822695</v>
      </c>
      <c r="D1140">
        <v>0.76512683573629203</v>
      </c>
      <c r="E1140">
        <v>0.43596261149765803</v>
      </c>
      <c r="F1140">
        <v>0.19917831225212901</v>
      </c>
      <c r="G1140">
        <v>0.13873285830715501</v>
      </c>
      <c r="H1140">
        <v>9.9233643632306898E-2</v>
      </c>
      <c r="I1140">
        <v>0.10598443128172801</v>
      </c>
      <c r="J1140">
        <v>0.109843106226968</v>
      </c>
      <c r="K1140">
        <v>9.7282453043006006E-2</v>
      </c>
      <c r="L1140">
        <v>906.66257285147697</v>
      </c>
      <c r="M1140">
        <v>18.7440692255912</v>
      </c>
      <c r="N1140">
        <v>48.888158600405497</v>
      </c>
      <c r="O1140">
        <v>47.830165255671403</v>
      </c>
      <c r="P1140">
        <v>-8.9159464763665694E-2</v>
      </c>
      <c r="Q1140">
        <v>8.99878765555365E-2</v>
      </c>
      <c r="R1140">
        <v>0.99522842900220199</v>
      </c>
      <c r="S1140" t="s">
        <v>7946</v>
      </c>
      <c r="T1140" t="s">
        <v>13610</v>
      </c>
      <c r="U1140" t="s">
        <v>13610</v>
      </c>
      <c r="V1140" t="s">
        <v>13610</v>
      </c>
      <c r="W1140" t="s">
        <v>14718</v>
      </c>
      <c r="X1140">
        <v>19</v>
      </c>
      <c r="Y1140" t="s">
        <v>21428</v>
      </c>
      <c r="Z1140" t="s">
        <v>27995</v>
      </c>
      <c r="AA1140">
        <v>0.35860095186631141</v>
      </c>
      <c r="AB1140" t="str">
        <f>HYPERLINK("Melting_Curves/meltCurve_O00459_PIK3R2.pdf", "Melting_Curves/meltCurve_O00459_PIK3R2.pdf")</f>
        <v>Melting_Curves/meltCurve_O00459_PIK3R2.pdf</v>
      </c>
    </row>
    <row r="1141" spans="1:28" x14ac:dyDescent="0.25">
      <c r="A1141" t="s">
        <v>1145</v>
      </c>
      <c r="B1141">
        <v>0.995954080203443</v>
      </c>
      <c r="C1141">
        <v>0.98798561352663605</v>
      </c>
      <c r="D1141">
        <v>0.88700294924238499</v>
      </c>
      <c r="E1141">
        <v>0.83179187127816601</v>
      </c>
      <c r="F1141">
        <v>0.62073564784275304</v>
      </c>
      <c r="G1141">
        <v>0.36341353196956899</v>
      </c>
      <c r="H1141">
        <v>0.132329940520307</v>
      </c>
      <c r="I1141">
        <v>9.2169956413027304E-2</v>
      </c>
      <c r="J1141">
        <v>0.100663985156732</v>
      </c>
      <c r="K1141">
        <v>9.6031185519620796E-2</v>
      </c>
      <c r="L1141">
        <v>912.01402573984706</v>
      </c>
      <c r="M1141">
        <v>16.8137199589099</v>
      </c>
      <c r="N1141">
        <v>54.567519923105799</v>
      </c>
      <c r="O1141">
        <v>53.492387150969002</v>
      </c>
      <c r="P1141">
        <v>-7.4837930777222297E-2</v>
      </c>
      <c r="Q1141">
        <v>4.7682194506829603E-2</v>
      </c>
      <c r="R1141">
        <v>0.99362756361899895</v>
      </c>
      <c r="S1141" t="s">
        <v>7947</v>
      </c>
      <c r="T1141" t="s">
        <v>13610</v>
      </c>
      <c r="U1141" t="s">
        <v>13610</v>
      </c>
      <c r="V1141" t="s">
        <v>13610</v>
      </c>
      <c r="W1141" t="s">
        <v>14719</v>
      </c>
      <c r="X1141">
        <v>15</v>
      </c>
      <c r="Y1141" t="s">
        <v>21429</v>
      </c>
      <c r="Z1141" t="s">
        <v>27996</v>
      </c>
      <c r="AA1141">
        <v>0.5164416774424897</v>
      </c>
      <c r="AB1141" t="str">
        <f>HYPERLINK("Melting_Curves/meltCurve_O00462_MANBA.pdf", "Melting_Curves/meltCurve_O00462_MANBA.pdf")</f>
        <v>Melting_Curves/meltCurve_O00462_MANBA.pdf</v>
      </c>
    </row>
    <row r="1142" spans="1:28" x14ac:dyDescent="0.25">
      <c r="A1142" t="s">
        <v>1146</v>
      </c>
      <c r="B1142">
        <v>0.995954080203443</v>
      </c>
      <c r="C1142">
        <v>0.87894407688006404</v>
      </c>
      <c r="D1142">
        <v>0.86022037813499497</v>
      </c>
      <c r="E1142">
        <v>0.70603965432753102</v>
      </c>
      <c r="F1142">
        <v>0.49617244969697599</v>
      </c>
      <c r="G1142">
        <v>0.35178470469770901</v>
      </c>
      <c r="H1142">
        <v>0.27434321193113897</v>
      </c>
      <c r="I1142">
        <v>0.26784814126392797</v>
      </c>
      <c r="J1142">
        <v>0.24868002122074501</v>
      </c>
      <c r="K1142">
        <v>0.231488248407512</v>
      </c>
      <c r="L1142">
        <v>681.03959059365502</v>
      </c>
      <c r="M1142">
        <v>13.30910553407</v>
      </c>
      <c r="N1142">
        <v>53.299037905688301</v>
      </c>
      <c r="O1142">
        <v>50.057116488623699</v>
      </c>
      <c r="P1142">
        <v>-5.27781913359891E-2</v>
      </c>
      <c r="Q1142">
        <v>0.20610826358731399</v>
      </c>
      <c r="R1142">
        <v>0.99123659285590304</v>
      </c>
      <c r="S1142" t="s">
        <v>7948</v>
      </c>
      <c r="T1142" t="s">
        <v>13610</v>
      </c>
      <c r="U1142" t="s">
        <v>13610</v>
      </c>
      <c r="V1142" t="s">
        <v>13610</v>
      </c>
      <c r="W1142" t="s">
        <v>14720</v>
      </c>
      <c r="X1142">
        <v>2</v>
      </c>
      <c r="Y1142" t="s">
        <v>21430</v>
      </c>
      <c r="Z1142" t="s">
        <v>27997</v>
      </c>
      <c r="AA1142">
        <v>0.52375039517953836</v>
      </c>
      <c r="AB1142" t="str">
        <f>HYPERLINK("Melting_Curves/meltCurve_O00468_2_AGRN.pdf", "Melting_Curves/meltCurve_O00468_2_AGRN.pdf")</f>
        <v>Melting_Curves/meltCurve_O00468_2_AGRN.pdf</v>
      </c>
    </row>
    <row r="1143" spans="1:28" x14ac:dyDescent="0.25">
      <c r="A1143" t="s">
        <v>1147</v>
      </c>
      <c r="B1143">
        <v>0.995954080203443</v>
      </c>
      <c r="C1143">
        <v>0.76729696342153497</v>
      </c>
      <c r="D1143">
        <v>0.59539880571331205</v>
      </c>
      <c r="E1143">
        <v>0.34514933275680898</v>
      </c>
      <c r="F1143">
        <v>0.177632568180422</v>
      </c>
      <c r="G1143">
        <v>0.102171267575058</v>
      </c>
      <c r="H1143">
        <v>7.7631757709328106E-2</v>
      </c>
      <c r="I1143">
        <v>7.0438916228300896E-2</v>
      </c>
      <c r="J1143">
        <v>9.3406176705372698E-2</v>
      </c>
      <c r="K1143">
        <v>8.1586413242080602E-2</v>
      </c>
      <c r="L1143">
        <v>726.89472077537505</v>
      </c>
      <c r="M1143">
        <v>15.546927724219399</v>
      </c>
      <c r="N1143">
        <v>47.177374004619601</v>
      </c>
      <c r="O1143">
        <v>46.001820661058701</v>
      </c>
      <c r="P1143">
        <v>-7.9007228042872593E-2</v>
      </c>
      <c r="Q1143">
        <v>6.4983841128966893E-2</v>
      </c>
      <c r="R1143">
        <v>0.99228503834773996</v>
      </c>
      <c r="S1143" t="s">
        <v>7949</v>
      </c>
      <c r="T1143" t="s">
        <v>13610</v>
      </c>
      <c r="U1143" t="s">
        <v>13610</v>
      </c>
      <c r="V1143" t="s">
        <v>13610</v>
      </c>
      <c r="W1143" t="s">
        <v>14721</v>
      </c>
      <c r="X1143">
        <v>28</v>
      </c>
      <c r="Y1143" t="s">
        <v>21431</v>
      </c>
      <c r="Z1143" t="s">
        <v>27998</v>
      </c>
      <c r="AA1143">
        <v>0.29946499123727538</v>
      </c>
      <c r="AB1143" t="str">
        <f>HYPERLINK("Melting_Curves/meltCurve_O00471_EXOC5.pdf", "Melting_Curves/meltCurve_O00471_EXOC5.pdf")</f>
        <v>Melting_Curves/meltCurve_O00471_EXOC5.pdf</v>
      </c>
    </row>
    <row r="1144" spans="1:28" x14ac:dyDescent="0.25">
      <c r="A1144" t="s">
        <v>1148</v>
      </c>
      <c r="B1144">
        <v>0.995954080203443</v>
      </c>
      <c r="C1144">
        <v>0.57630221373171198</v>
      </c>
      <c r="D1144">
        <v>1.0358943049676399</v>
      </c>
      <c r="E1144">
        <v>0.58189726347142001</v>
      </c>
      <c r="F1144">
        <v>1.19570614731236</v>
      </c>
      <c r="G1144">
        <v>0.644579434035643</v>
      </c>
      <c r="H1144">
        <v>1.00858431935714</v>
      </c>
      <c r="I1144">
        <v>0.99748593591622203</v>
      </c>
      <c r="J1144">
        <v>4.86555237957855</v>
      </c>
      <c r="K1144">
        <v>1.3218249636342501</v>
      </c>
      <c r="L1144">
        <v>15000</v>
      </c>
      <c r="M1144">
        <v>231.540403050203</v>
      </c>
      <c r="O1144">
        <v>64.778680352758798</v>
      </c>
      <c r="P1144">
        <v>0.44679131785973702</v>
      </c>
      <c r="Q1144">
        <v>1.5</v>
      </c>
      <c r="R1144">
        <v>0.18211485439049399</v>
      </c>
      <c r="S1144" t="s">
        <v>7950</v>
      </c>
      <c r="T1144" t="s">
        <v>13610</v>
      </c>
      <c r="U1144" t="s">
        <v>13610</v>
      </c>
      <c r="V1144" t="s">
        <v>13610</v>
      </c>
      <c r="W1144" t="s">
        <v>14722</v>
      </c>
      <c r="X1144">
        <v>7</v>
      </c>
      <c r="Y1144" t="s">
        <v>21432</v>
      </c>
      <c r="Z1144" t="s">
        <v>27999</v>
      </c>
      <c r="AA1144">
        <v>1.086875226297543</v>
      </c>
      <c r="AB1144" t="str">
        <f>HYPERLINK("Melting_Curves/meltCurve_O00479_HMGN4.pdf", "Melting_Curves/meltCurve_O00479_HMGN4.pdf")</f>
        <v>Melting_Curves/meltCurve_O00479_HMGN4.pdf</v>
      </c>
    </row>
    <row r="1145" spans="1:28" x14ac:dyDescent="0.25">
      <c r="A1145" t="s">
        <v>1149</v>
      </c>
      <c r="B1145">
        <v>0.995954080203443</v>
      </c>
      <c r="C1145">
        <v>0.67709779635957401</v>
      </c>
      <c r="D1145">
        <v>0.47120733181950403</v>
      </c>
      <c r="E1145">
        <v>0.57038037707057399</v>
      </c>
      <c r="F1145">
        <v>0.15248432393300099</v>
      </c>
      <c r="G1145">
        <v>8.16180386441379E-2</v>
      </c>
      <c r="H1145">
        <v>4.7883971851085401E-2</v>
      </c>
      <c r="I1145">
        <v>3.7591454917725503E-2</v>
      </c>
      <c r="J1145">
        <v>3.7736002181667297E-2</v>
      </c>
      <c r="K1145">
        <v>3.2283572023064901E-2</v>
      </c>
      <c r="L1145">
        <v>529.37407854524804</v>
      </c>
      <c r="M1145">
        <v>11.2012505310531</v>
      </c>
      <c r="N1145">
        <v>47.260267909260897</v>
      </c>
      <c r="O1145">
        <v>45.829047922092101</v>
      </c>
      <c r="P1145">
        <v>-6.1122683941955497E-2</v>
      </c>
      <c r="Q1145">
        <v>0</v>
      </c>
      <c r="R1145">
        <v>0.91873065817537003</v>
      </c>
      <c r="S1145" t="s">
        <v>7951</v>
      </c>
      <c r="T1145" t="s">
        <v>13610</v>
      </c>
      <c r="U1145" t="s">
        <v>13610</v>
      </c>
      <c r="V1145" t="s">
        <v>13610</v>
      </c>
      <c r="W1145" t="s">
        <v>14723</v>
      </c>
      <c r="X1145">
        <v>12</v>
      </c>
      <c r="Y1145" t="s">
        <v>21433</v>
      </c>
      <c r="Z1145" t="s">
        <v>28000</v>
      </c>
      <c r="AA1145">
        <v>0.28855422228331878</v>
      </c>
      <c r="AB1145" t="str">
        <f>HYPERLINK("Melting_Curves/meltCurve_O00487_PSMD14.pdf", "Melting_Curves/meltCurve_O00487_PSMD14.pdf")</f>
        <v>Melting_Curves/meltCurve_O00487_PSMD14.pdf</v>
      </c>
    </row>
    <row r="1146" spans="1:28" x14ac:dyDescent="0.25">
      <c r="A1146" t="s">
        <v>1150</v>
      </c>
      <c r="B1146">
        <v>0.995954080203443</v>
      </c>
      <c r="C1146">
        <v>1.0213989166398101</v>
      </c>
      <c r="D1146">
        <v>0.968447770368699</v>
      </c>
      <c r="E1146">
        <v>0.716290103528751</v>
      </c>
      <c r="F1146">
        <v>0.43201880114935298</v>
      </c>
      <c r="G1146">
        <v>0.259281100739508</v>
      </c>
      <c r="H1146">
        <v>0.23419756839851899</v>
      </c>
      <c r="I1146">
        <v>0.257024009735208</v>
      </c>
      <c r="J1146">
        <v>0.30995840335703501</v>
      </c>
      <c r="K1146">
        <v>0.29522635323732999</v>
      </c>
      <c r="L1146">
        <v>1623.4215314324899</v>
      </c>
      <c r="M1146">
        <v>31.983785598560399</v>
      </c>
      <c r="N1146">
        <v>52.005587675669702</v>
      </c>
      <c r="O1146">
        <v>50.560452254020198</v>
      </c>
      <c r="P1146">
        <v>-0.115777426984812</v>
      </c>
      <c r="Q1146">
        <v>0.26791285940089199</v>
      </c>
      <c r="R1146">
        <v>0.99445624514868602</v>
      </c>
      <c r="S1146" t="s">
        <v>7952</v>
      </c>
      <c r="T1146" t="s">
        <v>13610</v>
      </c>
      <c r="U1146" t="s">
        <v>13610</v>
      </c>
      <c r="V1146" t="s">
        <v>13610</v>
      </c>
      <c r="W1146" t="s">
        <v>14724</v>
      </c>
      <c r="X1146">
        <v>1</v>
      </c>
      <c r="Y1146" t="s">
        <v>21434</v>
      </c>
      <c r="Z1146" t="s">
        <v>28001</v>
      </c>
      <c r="AA1146">
        <v>0.53446149422072298</v>
      </c>
      <c r="AB1146" t="str">
        <f>HYPERLINK("Melting_Curves/meltCurve_O00488_ZNF593.pdf", "Melting_Curves/meltCurve_O00488_ZNF593.pdf")</f>
        <v>Melting_Curves/meltCurve_O00488_ZNF593.pdf</v>
      </c>
    </row>
    <row r="1147" spans="1:28" x14ac:dyDescent="0.25">
      <c r="A1147" t="s">
        <v>1151</v>
      </c>
      <c r="B1147">
        <v>0.995954080203443</v>
      </c>
      <c r="C1147">
        <v>0.95761918477720698</v>
      </c>
      <c r="D1147">
        <v>0.98895740930546805</v>
      </c>
      <c r="E1147">
        <v>0.76913432139457605</v>
      </c>
      <c r="F1147">
        <v>0.631740938524467</v>
      </c>
      <c r="G1147">
        <v>0.45167459444997299</v>
      </c>
      <c r="H1147">
        <v>0.410425609270548</v>
      </c>
      <c r="I1147">
        <v>0.47075110417630001</v>
      </c>
      <c r="J1147">
        <v>0.67454686174754197</v>
      </c>
      <c r="K1147">
        <v>0.55999811814291001</v>
      </c>
      <c r="L1147">
        <v>1623.1645135484</v>
      </c>
      <c r="M1147">
        <v>32.260070929427997</v>
      </c>
      <c r="O1147">
        <v>50.122803099345198</v>
      </c>
      <c r="P1147">
        <v>-7.7840717078155999E-2</v>
      </c>
      <c r="Q1147">
        <v>0.516234578384415</v>
      </c>
      <c r="R1147">
        <v>0.89326038119856699</v>
      </c>
      <c r="S1147" t="s">
        <v>7953</v>
      </c>
      <c r="T1147" t="s">
        <v>13610</v>
      </c>
      <c r="U1147" t="s">
        <v>13610</v>
      </c>
      <c r="V1147" t="s">
        <v>13610</v>
      </c>
      <c r="W1147" t="s">
        <v>14725</v>
      </c>
      <c r="X1147">
        <v>11</v>
      </c>
      <c r="Y1147" t="s">
        <v>21435</v>
      </c>
      <c r="Z1147" t="s">
        <v>28002</v>
      </c>
      <c r="AA1147">
        <v>0.68516629324152944</v>
      </c>
      <c r="AB1147" t="str">
        <f>HYPERLINK("Melting_Curves/meltCurve_O00499_6_BIN1.pdf", "Melting_Curves/meltCurve_O00499_6_BIN1.pdf")</f>
        <v>Melting_Curves/meltCurve_O00499_6_BIN1.pdf</v>
      </c>
    </row>
    <row r="1148" spans="1:28" x14ac:dyDescent="0.25">
      <c r="A1148" t="s">
        <v>1152</v>
      </c>
      <c r="B1148">
        <v>0.995954080203443</v>
      </c>
      <c r="C1148">
        <v>1.0675023978326901</v>
      </c>
      <c r="D1148">
        <v>0.96468453451014802</v>
      </c>
      <c r="E1148">
        <v>0.94569614778837896</v>
      </c>
      <c r="F1148">
        <v>0.681522989788648</v>
      </c>
      <c r="G1148">
        <v>0.28006617866119399</v>
      </c>
      <c r="H1148">
        <v>0.12110046052036599</v>
      </c>
      <c r="I1148">
        <v>0.100695714957638</v>
      </c>
      <c r="J1148">
        <v>0.12204643885284</v>
      </c>
      <c r="K1148">
        <v>0.103579890331382</v>
      </c>
      <c r="L1148">
        <v>1604.40782805557</v>
      </c>
      <c r="M1148">
        <v>29.625882903562701</v>
      </c>
      <c r="N1148">
        <v>54.578161911535901</v>
      </c>
      <c r="O1148">
        <v>53.910663592209303</v>
      </c>
      <c r="P1148">
        <v>-0.12330563196133</v>
      </c>
      <c r="Q1148">
        <v>0.102481742919564</v>
      </c>
      <c r="R1148">
        <v>0.99600846031378998</v>
      </c>
      <c r="S1148" t="s">
        <v>7954</v>
      </c>
      <c r="T1148" t="s">
        <v>13610</v>
      </c>
      <c r="U1148" t="s">
        <v>13610</v>
      </c>
      <c r="V1148" t="s">
        <v>13610</v>
      </c>
      <c r="W1148" t="s">
        <v>14726</v>
      </c>
      <c r="X1148">
        <v>13</v>
      </c>
      <c r="Y1148" t="s">
        <v>21436</v>
      </c>
      <c r="Z1148" t="s">
        <v>28003</v>
      </c>
      <c r="AA1148">
        <v>0.5320290397647377</v>
      </c>
      <c r="AB1148" t="str">
        <f>HYPERLINK("Melting_Curves/meltCurve_O00505_KPNA3.pdf", "Melting_Curves/meltCurve_O00505_KPNA3.pdf")</f>
        <v>Melting_Curves/meltCurve_O00505_KPNA3.pdf</v>
      </c>
    </row>
    <row r="1149" spans="1:28" x14ac:dyDescent="0.25">
      <c r="A1149" t="s">
        <v>1153</v>
      </c>
      <c r="B1149">
        <v>0.995954080203443</v>
      </c>
      <c r="C1149">
        <v>0.75520678895965798</v>
      </c>
      <c r="D1149">
        <v>0.54730403316325105</v>
      </c>
      <c r="E1149">
        <v>0.44598291912902299</v>
      </c>
      <c r="F1149">
        <v>0.31840694504411998</v>
      </c>
      <c r="G1149">
        <v>0.22150295809328499</v>
      </c>
      <c r="H1149">
        <v>0.153910268263688</v>
      </c>
      <c r="I1149">
        <v>9.9507046216626704E-2</v>
      </c>
      <c r="J1149">
        <v>8.7286845914568104E-2</v>
      </c>
      <c r="K1149">
        <v>9.7676882375038299E-2</v>
      </c>
      <c r="L1149">
        <v>515.779752119416</v>
      </c>
      <c r="M1149">
        <v>10.8343821985413</v>
      </c>
      <c r="N1149">
        <v>48.241185942368098</v>
      </c>
      <c r="O1149">
        <v>46.070101838573599</v>
      </c>
      <c r="P1149">
        <v>-5.4903540923219397E-2</v>
      </c>
      <c r="Q1149">
        <v>6.6487720718639703E-2</v>
      </c>
      <c r="R1149">
        <v>0.97828131707065402</v>
      </c>
      <c r="S1149" t="s">
        <v>7955</v>
      </c>
      <c r="T1149" t="s">
        <v>13610</v>
      </c>
      <c r="U1149" t="s">
        <v>13610</v>
      </c>
      <c r="V1149" t="s">
        <v>13610</v>
      </c>
      <c r="W1149" t="s">
        <v>14727</v>
      </c>
      <c r="X1149">
        <v>8</v>
      </c>
      <c r="Y1149" t="s">
        <v>21437</v>
      </c>
      <c r="Z1149" t="s">
        <v>28004</v>
      </c>
      <c r="AA1149">
        <v>0.34795719477139581</v>
      </c>
      <c r="AB1149" t="str">
        <f>HYPERLINK("Melting_Curves/meltCurve_O00506_STK25.pdf", "Melting_Curves/meltCurve_O00506_STK25.pdf")</f>
        <v>Melting_Curves/meltCurve_O00506_STK25.pdf</v>
      </c>
    </row>
    <row r="1150" spans="1:28" x14ac:dyDescent="0.25">
      <c r="A1150" t="s">
        <v>1154</v>
      </c>
      <c r="B1150">
        <v>0.995954080203443</v>
      </c>
      <c r="C1150">
        <v>0.97320139989486099</v>
      </c>
      <c r="D1150">
        <v>0.97273750929962199</v>
      </c>
      <c r="E1150">
        <v>0.90106917446736701</v>
      </c>
      <c r="F1150">
        <v>0.82024762158742903</v>
      </c>
      <c r="G1150">
        <v>0.62788322183717704</v>
      </c>
      <c r="H1150">
        <v>0.59774650300848398</v>
      </c>
      <c r="I1150">
        <v>0.69848375391849704</v>
      </c>
      <c r="J1150">
        <v>0.86553961389194101</v>
      </c>
      <c r="K1150">
        <v>0.81879583978539605</v>
      </c>
      <c r="L1150">
        <v>1806.28184055718</v>
      </c>
      <c r="M1150">
        <v>35.355987012312099</v>
      </c>
      <c r="O1150">
        <v>50.925821532976897</v>
      </c>
      <c r="P1150">
        <v>-4.7678951975459703E-2</v>
      </c>
      <c r="Q1150">
        <v>0.72529897774246799</v>
      </c>
      <c r="R1150">
        <v>0.68419442023983001</v>
      </c>
      <c r="S1150" t="s">
        <v>7956</v>
      </c>
      <c r="T1150" t="s">
        <v>13610</v>
      </c>
      <c r="U1150" t="s">
        <v>13610</v>
      </c>
      <c r="V1150" t="s">
        <v>13610</v>
      </c>
      <c r="W1150" t="s">
        <v>14728</v>
      </c>
      <c r="X1150">
        <v>16</v>
      </c>
      <c r="Y1150" t="s">
        <v>21438</v>
      </c>
      <c r="Z1150" t="s">
        <v>28005</v>
      </c>
      <c r="AA1150">
        <v>0.82807603979344058</v>
      </c>
      <c r="AB1150" t="str">
        <f>HYPERLINK("Melting_Curves/meltCurve_O00512_BCL9.pdf", "Melting_Curves/meltCurve_O00512_BCL9.pdf")</f>
        <v>Melting_Curves/meltCurve_O00512_BCL9.pdf</v>
      </c>
    </row>
    <row r="1151" spans="1:28" x14ac:dyDescent="0.25">
      <c r="A1151" t="s">
        <v>1155</v>
      </c>
      <c r="B1151">
        <v>0.995954080203443</v>
      </c>
      <c r="C1151">
        <v>0.92276384257427502</v>
      </c>
      <c r="D1151">
        <v>0.65501247168210597</v>
      </c>
      <c r="E1151">
        <v>0.49209537952040899</v>
      </c>
      <c r="F1151">
        <v>0.15425360989492801</v>
      </c>
      <c r="G1151">
        <v>9.4302498225869905E-2</v>
      </c>
      <c r="H1151">
        <v>5.2424937714940903E-2</v>
      </c>
      <c r="I1151">
        <v>4.5959365689399803E-2</v>
      </c>
      <c r="J1151">
        <v>4.7687054456178997E-2</v>
      </c>
      <c r="K1151">
        <v>4.85256057987139E-2</v>
      </c>
      <c r="L1151">
        <v>801.86019494348204</v>
      </c>
      <c r="M1151">
        <v>16.520178440762901</v>
      </c>
      <c r="N1151">
        <v>48.702039391999399</v>
      </c>
      <c r="O1151">
        <v>47.8437287238621</v>
      </c>
      <c r="P1151">
        <v>-8.3996520857258394E-2</v>
      </c>
      <c r="Q1151">
        <v>2.7025288115658699E-2</v>
      </c>
      <c r="R1151">
        <v>0.98553768686595999</v>
      </c>
      <c r="S1151" t="s">
        <v>7957</v>
      </c>
      <c r="T1151" t="s">
        <v>13610</v>
      </c>
      <c r="U1151" t="s">
        <v>13610</v>
      </c>
      <c r="V1151" t="s">
        <v>13610</v>
      </c>
      <c r="W1151" t="s">
        <v>14729</v>
      </c>
      <c r="X1151">
        <v>2</v>
      </c>
      <c r="Y1151" t="s">
        <v>21439</v>
      </c>
      <c r="Z1151" t="s">
        <v>28006</v>
      </c>
      <c r="AA1151">
        <v>0.32417300504611812</v>
      </c>
      <c r="AB1151" t="str">
        <f>HYPERLINK("Melting_Curves/meltCurve_O00522_3_KRIT1.pdf", "Melting_Curves/meltCurve_O00522_3_KRIT1.pdf")</f>
        <v>Melting_Curves/meltCurve_O00522_3_KRIT1.pdf</v>
      </c>
    </row>
    <row r="1152" spans="1:28" x14ac:dyDescent="0.25">
      <c r="A1152" t="s">
        <v>1156</v>
      </c>
      <c r="B1152">
        <v>0.995954080203443</v>
      </c>
      <c r="C1152">
        <v>0.98189284467015103</v>
      </c>
      <c r="D1152">
        <v>0.96243599197148</v>
      </c>
      <c r="E1152">
        <v>0.86761947099781001</v>
      </c>
      <c r="F1152">
        <v>0.80114311763551604</v>
      </c>
      <c r="G1152">
        <v>0.58514822671325895</v>
      </c>
      <c r="H1152">
        <v>0.49679501551008798</v>
      </c>
      <c r="I1152">
        <v>0.58444481531566805</v>
      </c>
      <c r="J1152">
        <v>0.68765141030204102</v>
      </c>
      <c r="K1152">
        <v>0.66459833219671105</v>
      </c>
      <c r="L1152">
        <v>1417.8997596419499</v>
      </c>
      <c r="M1152">
        <v>27.279619894319399</v>
      </c>
      <c r="O1152">
        <v>51.699621325181504</v>
      </c>
      <c r="P1152">
        <v>-5.2636306713053103E-2</v>
      </c>
      <c r="Q1152">
        <v>0.60098398652017304</v>
      </c>
      <c r="R1152">
        <v>0.89764484327820104</v>
      </c>
      <c r="S1152" t="s">
        <v>7958</v>
      </c>
      <c r="T1152" t="s">
        <v>13610</v>
      </c>
      <c r="U1152" t="s">
        <v>13610</v>
      </c>
      <c r="V1152" t="s">
        <v>13610</v>
      </c>
      <c r="W1152" t="s">
        <v>14730</v>
      </c>
      <c r="X1152">
        <v>11</v>
      </c>
      <c r="Y1152" t="s">
        <v>21440</v>
      </c>
      <c r="Z1152" t="s">
        <v>28007</v>
      </c>
      <c r="AA1152">
        <v>0.76335195817394075</v>
      </c>
      <c r="AB1152" t="str">
        <f>HYPERLINK("Melting_Curves/meltCurve_O00534_VWA5A.pdf", "Melting_Curves/meltCurve_O00534_VWA5A.pdf")</f>
        <v>Melting_Curves/meltCurve_O00534_VWA5A.pdf</v>
      </c>
    </row>
    <row r="1153" spans="1:28" x14ac:dyDescent="0.25">
      <c r="A1153" t="s">
        <v>1157</v>
      </c>
      <c r="B1153">
        <v>0.995954080203443</v>
      </c>
      <c r="C1153">
        <v>1.04892331316334</v>
      </c>
      <c r="D1153">
        <v>0.98887433914595502</v>
      </c>
      <c r="E1153">
        <v>0.97533798193601795</v>
      </c>
      <c r="F1153">
        <v>0.55971867973408096</v>
      </c>
      <c r="G1153">
        <v>0.18591226724471799</v>
      </c>
      <c r="H1153">
        <v>0.15405915201563899</v>
      </c>
      <c r="I1153">
        <v>0.14828897302015201</v>
      </c>
      <c r="J1153">
        <v>0.17266846315616</v>
      </c>
      <c r="K1153">
        <v>0.19453061454082099</v>
      </c>
      <c r="L1153">
        <v>3096.8618162777402</v>
      </c>
      <c r="M1153">
        <v>58.546805342433899</v>
      </c>
      <c r="N1153">
        <v>53.269526004369901</v>
      </c>
      <c r="O1153">
        <v>52.833884423501402</v>
      </c>
      <c r="P1153">
        <v>-0.230342407544845</v>
      </c>
      <c r="Q1153">
        <v>0.168536850076029</v>
      </c>
      <c r="R1153">
        <v>0.99747522846041203</v>
      </c>
      <c r="S1153" t="s">
        <v>7959</v>
      </c>
      <c r="T1153" t="s">
        <v>13610</v>
      </c>
      <c r="U1153" t="s">
        <v>13610</v>
      </c>
      <c r="V1153" t="s">
        <v>13610</v>
      </c>
      <c r="W1153" t="s">
        <v>14731</v>
      </c>
      <c r="X1153">
        <v>4</v>
      </c>
      <c r="Y1153" t="s">
        <v>21441</v>
      </c>
      <c r="Z1153" t="s">
        <v>28008</v>
      </c>
      <c r="AA1153">
        <v>0.52735369746077454</v>
      </c>
      <c r="AB1153" t="str">
        <f>HYPERLINK("Melting_Curves/meltCurve_O00560_3_SDCBP.pdf", "Melting_Curves/meltCurve_O00560_3_SDCBP.pdf")</f>
        <v>Melting_Curves/meltCurve_O00560_3_SDCBP.pdf</v>
      </c>
    </row>
    <row r="1154" spans="1:28" x14ac:dyDescent="0.25">
      <c r="A1154" t="s">
        <v>1158</v>
      </c>
      <c r="B1154">
        <v>0.995954080203443</v>
      </c>
      <c r="C1154">
        <v>0.99328290137858199</v>
      </c>
      <c r="D1154">
        <v>0.95732161289727202</v>
      </c>
      <c r="E1154">
        <v>0.79311906418451705</v>
      </c>
      <c r="F1154">
        <v>0.53411400724194003</v>
      </c>
      <c r="G1154">
        <v>0.358572828843645</v>
      </c>
      <c r="H1154">
        <v>0.301269657520638</v>
      </c>
      <c r="I1154">
        <v>0.340841375330526</v>
      </c>
      <c r="J1154">
        <v>0.42395140894656502</v>
      </c>
      <c r="K1154">
        <v>0.39101414058823403</v>
      </c>
      <c r="L1154">
        <v>1604.3605564331899</v>
      </c>
      <c r="M1154">
        <v>31.340122984512199</v>
      </c>
      <c r="N1154">
        <v>53.342891947171601</v>
      </c>
      <c r="O1154">
        <v>50.984830422603501</v>
      </c>
      <c r="P1154">
        <v>-9.85508626589644E-2</v>
      </c>
      <c r="Q1154">
        <v>0.35870430859163299</v>
      </c>
      <c r="R1154">
        <v>0.98593737151891503</v>
      </c>
      <c r="S1154" t="s">
        <v>7960</v>
      </c>
      <c r="T1154" t="s">
        <v>13610</v>
      </c>
      <c r="U1154" t="s">
        <v>13610</v>
      </c>
      <c r="V1154" t="s">
        <v>13610</v>
      </c>
      <c r="W1154" t="s">
        <v>14732</v>
      </c>
      <c r="X1154">
        <v>14</v>
      </c>
      <c r="Y1154" t="s">
        <v>21442</v>
      </c>
      <c r="Z1154" t="s">
        <v>28009</v>
      </c>
      <c r="AA1154">
        <v>0.60165427736530508</v>
      </c>
      <c r="AB1154" t="str">
        <f>HYPERLINK("Melting_Curves/meltCurve_O00566_MPHOSPH10.pdf", "Melting_Curves/meltCurve_O00566_MPHOSPH10.pdf")</f>
        <v>Melting_Curves/meltCurve_O00566_MPHOSPH10.pdf</v>
      </c>
    </row>
    <row r="1155" spans="1:28" x14ac:dyDescent="0.25">
      <c r="A1155" t="s">
        <v>1159</v>
      </c>
      <c r="B1155">
        <v>0.995954080203443</v>
      </c>
      <c r="C1155">
        <v>0.91476100735545596</v>
      </c>
      <c r="D1155">
        <v>0.95026412997228704</v>
      </c>
      <c r="E1155">
        <v>0.87433525199734097</v>
      </c>
      <c r="F1155">
        <v>0.83962202740745895</v>
      </c>
      <c r="G1155">
        <v>0.62305641715768201</v>
      </c>
      <c r="H1155">
        <v>0.61031776274528304</v>
      </c>
      <c r="I1155">
        <v>0.69198374143352603</v>
      </c>
      <c r="J1155">
        <v>0.91029555475831203</v>
      </c>
      <c r="K1155">
        <v>0.84137126283794705</v>
      </c>
      <c r="L1155">
        <v>1228.42030526537</v>
      </c>
      <c r="M1155">
        <v>24.674193448440999</v>
      </c>
      <c r="O1155">
        <v>49.462079571180602</v>
      </c>
      <c r="P1155">
        <v>-3.2151929892606901E-2</v>
      </c>
      <c r="Q1155">
        <v>0.74219566604209697</v>
      </c>
      <c r="R1155">
        <v>0.49291835688156199</v>
      </c>
      <c r="S1155" t="s">
        <v>7961</v>
      </c>
      <c r="T1155" t="s">
        <v>13610</v>
      </c>
      <c r="U1155" t="s">
        <v>13610</v>
      </c>
      <c r="V1155" t="s">
        <v>13610</v>
      </c>
      <c r="W1155" t="s">
        <v>14733</v>
      </c>
      <c r="X1155">
        <v>15</v>
      </c>
      <c r="Y1155" t="s">
        <v>21443</v>
      </c>
      <c r="Z1155" t="s">
        <v>28010</v>
      </c>
      <c r="AA1155">
        <v>0.82864932487444276</v>
      </c>
      <c r="AB1155" t="str">
        <f>HYPERLINK("Melting_Curves/meltCurve_O00567_NOP56.pdf", "Melting_Curves/meltCurve_O00567_NOP56.pdf")</f>
        <v>Melting_Curves/meltCurve_O00567_NOP56.pdf</v>
      </c>
    </row>
    <row r="1156" spans="1:28" x14ac:dyDescent="0.25">
      <c r="A1156" t="s">
        <v>1160</v>
      </c>
      <c r="B1156">
        <v>0.995954080203443</v>
      </c>
      <c r="C1156">
        <v>1.09862528629489</v>
      </c>
      <c r="D1156">
        <v>0.73417103880599799</v>
      </c>
      <c r="E1156">
        <v>0.56860409629819197</v>
      </c>
      <c r="F1156">
        <v>1.14420203857586</v>
      </c>
      <c r="G1156">
        <v>0.64383971623995095</v>
      </c>
      <c r="H1156">
        <v>0.66552376840216998</v>
      </c>
      <c r="I1156">
        <v>0.77972240264909498</v>
      </c>
      <c r="J1156">
        <v>0.87920423205807297</v>
      </c>
      <c r="K1156">
        <v>0.91978199404982897</v>
      </c>
      <c r="L1156">
        <v>11112.303430005501</v>
      </c>
      <c r="M1156">
        <v>250</v>
      </c>
      <c r="O1156">
        <v>44.446369236342001</v>
      </c>
      <c r="P1156">
        <v>-0.29265814011504598</v>
      </c>
      <c r="Q1156">
        <v>0.79187853201976899</v>
      </c>
      <c r="R1156">
        <v>0.28624334855149702</v>
      </c>
      <c r="S1156" t="s">
        <v>7962</v>
      </c>
      <c r="T1156" t="s">
        <v>13610</v>
      </c>
      <c r="U1156" t="s">
        <v>13610</v>
      </c>
      <c r="V1156" t="s">
        <v>13610</v>
      </c>
      <c r="W1156" t="s">
        <v>14734</v>
      </c>
      <c r="X1156">
        <v>1</v>
      </c>
      <c r="Y1156" t="s">
        <v>21444</v>
      </c>
      <c r="Z1156" t="s">
        <v>28011</v>
      </c>
      <c r="AA1156">
        <v>0.82276066345124943</v>
      </c>
      <c r="AB1156" t="str">
        <f>HYPERLINK("Melting_Curves/meltCurve_O00570_SOX1.pdf", "Melting_Curves/meltCurve_O00570_SOX1.pdf")</f>
        <v>Melting_Curves/meltCurve_O00570_SOX1.pdf</v>
      </c>
    </row>
    <row r="1157" spans="1:28" x14ac:dyDescent="0.25">
      <c r="A1157" t="s">
        <v>1161</v>
      </c>
      <c r="B1157">
        <v>0.995954080203443</v>
      </c>
      <c r="C1157">
        <v>0.94719159145884901</v>
      </c>
      <c r="D1157">
        <v>0.912200999786691</v>
      </c>
      <c r="E1157">
        <v>0.37821135624015401</v>
      </c>
      <c r="F1157">
        <v>0.24295275813938</v>
      </c>
      <c r="G1157">
        <v>0.159744522537109</v>
      </c>
      <c r="H1157">
        <v>0.14188450831771099</v>
      </c>
      <c r="I1157">
        <v>0.151944725094108</v>
      </c>
      <c r="J1157">
        <v>0.23374181967628899</v>
      </c>
      <c r="K1157">
        <v>0.17390987104434999</v>
      </c>
      <c r="L1157">
        <v>1733.1328428986801</v>
      </c>
      <c r="M1157">
        <v>35.709371296023001</v>
      </c>
      <c r="N1157">
        <v>49.128534128665898</v>
      </c>
      <c r="O1157">
        <v>48.382935116521203</v>
      </c>
      <c r="P1157">
        <v>-0.152160778511055</v>
      </c>
      <c r="Q1157">
        <v>0.17534673706265</v>
      </c>
      <c r="R1157">
        <v>0.99271185545708596</v>
      </c>
      <c r="S1157" t="s">
        <v>7963</v>
      </c>
      <c r="T1157" t="s">
        <v>13610</v>
      </c>
      <c r="U1157" t="s">
        <v>13610</v>
      </c>
      <c r="V1157" t="s">
        <v>13610</v>
      </c>
      <c r="W1157" t="s">
        <v>14735</v>
      </c>
      <c r="X1157">
        <v>50</v>
      </c>
      <c r="Y1157" t="s">
        <v>21445</v>
      </c>
      <c r="Z1157" t="s">
        <v>28012</v>
      </c>
      <c r="AA1157">
        <v>0.41343475284079029</v>
      </c>
      <c r="AB1157" t="str">
        <f>HYPERLINK("Melting_Curves/meltCurve_O00571_DDX3X.pdf", "Melting_Curves/meltCurve_O00571_DDX3X.pdf")</f>
        <v>Melting_Curves/meltCurve_O00571_DDX3X.pdf</v>
      </c>
    </row>
    <row r="1158" spans="1:28" x14ac:dyDescent="0.25">
      <c r="A1158" t="s">
        <v>1162</v>
      </c>
      <c r="B1158">
        <v>0.995954080203443</v>
      </c>
      <c r="C1158">
        <v>1.05986810796341</v>
      </c>
      <c r="D1158">
        <v>1.0582431350474799</v>
      </c>
      <c r="E1158">
        <v>0.68887860824371205</v>
      </c>
      <c r="F1158">
        <v>0.45179461283136202</v>
      </c>
      <c r="G1158">
        <v>0.26974096545168402</v>
      </c>
      <c r="H1158">
        <v>0.15494854985950399</v>
      </c>
      <c r="I1158">
        <v>9.4565884229053807E-2</v>
      </c>
      <c r="J1158">
        <v>9.4222995556391895E-2</v>
      </c>
      <c r="K1158">
        <v>8.6635000650921001E-2</v>
      </c>
      <c r="L1158">
        <v>1128.7155563752301</v>
      </c>
      <c r="M1158">
        <v>21.6920651948199</v>
      </c>
      <c r="N1158">
        <v>52.5744185576253</v>
      </c>
      <c r="O1158">
        <v>51.597408848505196</v>
      </c>
      <c r="P1158">
        <v>-9.4594362992277803E-2</v>
      </c>
      <c r="Q1158">
        <v>0.10000107216061099</v>
      </c>
      <c r="R1158">
        <v>0.98569624341566697</v>
      </c>
      <c r="S1158" t="s">
        <v>7964</v>
      </c>
      <c r="T1158" t="s">
        <v>13610</v>
      </c>
      <c r="U1158" t="s">
        <v>13610</v>
      </c>
      <c r="V1158" t="s">
        <v>13610</v>
      </c>
      <c r="W1158" t="s">
        <v>14736</v>
      </c>
      <c r="X1158">
        <v>12</v>
      </c>
      <c r="Y1158" t="s">
        <v>21446</v>
      </c>
      <c r="Z1158" t="s">
        <v>28013</v>
      </c>
      <c r="AA1158">
        <v>0.47175088278712701</v>
      </c>
      <c r="AB1158" t="str">
        <f>HYPERLINK("Melting_Curves/meltCurve_O00625_PIR.pdf", "Melting_Curves/meltCurve_O00625_PIR.pdf")</f>
        <v>Melting_Curves/meltCurve_O00625_PIR.pdf</v>
      </c>
    </row>
    <row r="1159" spans="1:28" x14ac:dyDescent="0.25">
      <c r="A1159" t="s">
        <v>1163</v>
      </c>
      <c r="B1159">
        <v>0.995954080203443</v>
      </c>
      <c r="C1159">
        <v>1.0180904962804</v>
      </c>
      <c r="D1159">
        <v>0.95879899432299998</v>
      </c>
      <c r="E1159">
        <v>0.86093540729229001</v>
      </c>
      <c r="F1159">
        <v>0.620060141240108</v>
      </c>
      <c r="G1159">
        <v>0.47552386077304498</v>
      </c>
      <c r="H1159">
        <v>0.22594377568071</v>
      </c>
      <c r="I1159">
        <v>0.22068998528693001</v>
      </c>
      <c r="J1159">
        <v>0.26196586307271302</v>
      </c>
      <c r="K1159">
        <v>0.24968777152413399</v>
      </c>
      <c r="L1159">
        <v>1026.05986861876</v>
      </c>
      <c r="M1159">
        <v>19.118904946953499</v>
      </c>
      <c r="N1159">
        <v>55.317582167946199</v>
      </c>
      <c r="O1159">
        <v>53.090513358392798</v>
      </c>
      <c r="P1159">
        <v>-7.0465164700481003E-2</v>
      </c>
      <c r="Q1159">
        <v>0.217343097569412</v>
      </c>
      <c r="R1159">
        <v>0.98807753451040903</v>
      </c>
      <c r="S1159" t="s">
        <v>7965</v>
      </c>
      <c r="T1159" t="s">
        <v>13610</v>
      </c>
      <c r="U1159" t="s">
        <v>13610</v>
      </c>
      <c r="V1159" t="s">
        <v>13610</v>
      </c>
      <c r="W1159" t="s">
        <v>14737</v>
      </c>
      <c r="X1159">
        <v>13</v>
      </c>
      <c r="Y1159" t="s">
        <v>21447</v>
      </c>
      <c r="Z1159" t="s">
        <v>28014</v>
      </c>
      <c r="AA1159">
        <v>0.58540032734354075</v>
      </c>
      <c r="AB1159" t="str">
        <f>HYPERLINK("Melting_Curves/meltCurve_O00629_KPNA4.pdf", "Melting_Curves/meltCurve_O00629_KPNA4.pdf")</f>
        <v>Melting_Curves/meltCurve_O00629_KPNA4.pdf</v>
      </c>
    </row>
    <row r="1160" spans="1:28" x14ac:dyDescent="0.25">
      <c r="A1160" t="s">
        <v>1164</v>
      </c>
      <c r="B1160">
        <v>0.995954080203443</v>
      </c>
      <c r="C1160">
        <v>0.31995227084370498</v>
      </c>
      <c r="D1160">
        <v>0.281785148415861</v>
      </c>
      <c r="E1160">
        <v>0.192300730008374</v>
      </c>
      <c r="F1160">
        <v>0.25587211056370401</v>
      </c>
      <c r="G1160">
        <v>0.124593874921861</v>
      </c>
      <c r="H1160">
        <v>0.128018963130238</v>
      </c>
      <c r="I1160">
        <v>5.42793523360455E-2</v>
      </c>
      <c r="J1160">
        <v>4.9817275098007402E-2</v>
      </c>
      <c r="K1160">
        <v>0.14073984813637</v>
      </c>
      <c r="L1160">
        <v>3184.9242019246799</v>
      </c>
      <c r="M1160">
        <v>75.625929351058502</v>
      </c>
      <c r="N1160">
        <v>42.318568326916797</v>
      </c>
      <c r="O1160">
        <v>42.084764027908903</v>
      </c>
      <c r="P1160">
        <v>-0.38051804576842002</v>
      </c>
      <c r="Q1160">
        <v>0.15298844123951899</v>
      </c>
      <c r="R1160">
        <v>0.92649898465221403</v>
      </c>
      <c r="S1160" t="s">
        <v>7966</v>
      </c>
      <c r="T1160" t="s">
        <v>13610</v>
      </c>
      <c r="U1160" t="s">
        <v>13610</v>
      </c>
      <c r="V1160" t="s">
        <v>13610</v>
      </c>
      <c r="W1160" t="s">
        <v>14738</v>
      </c>
      <c r="X1160">
        <v>5</v>
      </c>
      <c r="Y1160" t="s">
        <v>21448</v>
      </c>
      <c r="Z1160" t="s">
        <v>28015</v>
      </c>
      <c r="AA1160">
        <v>0.21361717996654539</v>
      </c>
      <c r="AB1160" t="str">
        <f>HYPERLINK("Melting_Curves/meltCurve_O00635_TRIM38.pdf", "Melting_Curves/meltCurve_O00635_TRIM38.pdf")</f>
        <v>Melting_Curves/meltCurve_O00635_TRIM38.pdf</v>
      </c>
    </row>
    <row r="1161" spans="1:28" x14ac:dyDescent="0.25">
      <c r="A1161" t="s">
        <v>1165</v>
      </c>
      <c r="B1161">
        <v>0.995954080203443</v>
      </c>
      <c r="C1161">
        <v>0.69756936878025999</v>
      </c>
      <c r="D1161">
        <v>0.816071933541897</v>
      </c>
      <c r="E1161">
        <v>0.67078061005003897</v>
      </c>
      <c r="F1161">
        <v>0.68960338706769397</v>
      </c>
      <c r="G1161">
        <v>0.43834794161808699</v>
      </c>
      <c r="H1161">
        <v>0.26502638905576598</v>
      </c>
      <c r="I1161">
        <v>0.284227853287493</v>
      </c>
      <c r="J1161">
        <v>0.29709108452482902</v>
      </c>
      <c r="K1161">
        <v>0.26367625754318502</v>
      </c>
      <c r="L1161">
        <v>348.487329653904</v>
      </c>
      <c r="M1161">
        <v>6.33520883881814</v>
      </c>
      <c r="N1161">
        <v>55.5207819271563</v>
      </c>
      <c r="O1161">
        <v>50.291520362275499</v>
      </c>
      <c r="P1161">
        <v>-3.0679116749954601E-2</v>
      </c>
      <c r="Q1161">
        <v>2.8414729159426999E-2</v>
      </c>
      <c r="R1161">
        <v>0.90251794695676202</v>
      </c>
      <c r="S1161" t="s">
        <v>7967</v>
      </c>
      <c r="T1161" t="s">
        <v>13610</v>
      </c>
      <c r="U1161" t="s">
        <v>13610</v>
      </c>
      <c r="V1161" t="s">
        <v>13610</v>
      </c>
      <c r="W1161" t="s">
        <v>14739</v>
      </c>
      <c r="X1161">
        <v>1</v>
      </c>
      <c r="Y1161" t="s">
        <v>21449</v>
      </c>
      <c r="Z1161" t="s">
        <v>28016</v>
      </c>
      <c r="AA1161">
        <v>0.54016988498431762</v>
      </c>
      <c r="AB1161" t="str">
        <f>HYPERLINK("Melting_Curves/meltCurve_O00716_2_E2F3.pdf", "Melting_Curves/meltCurve_O00716_2_E2F3.pdf")</f>
        <v>Melting_Curves/meltCurve_O00716_2_E2F3.pdf</v>
      </c>
    </row>
    <row r="1162" spans="1:28" x14ac:dyDescent="0.25">
      <c r="A1162" t="s">
        <v>1166</v>
      </c>
      <c r="B1162">
        <v>0.995954080203443</v>
      </c>
      <c r="C1162">
        <v>0.90251238030189995</v>
      </c>
      <c r="D1162">
        <v>0.75353926150391404</v>
      </c>
      <c r="E1162">
        <v>0.83225177781375204</v>
      </c>
      <c r="F1162">
        <v>0.63190482202238996</v>
      </c>
      <c r="G1162">
        <v>0.45555221265631402</v>
      </c>
      <c r="H1162">
        <v>0.28845361866507002</v>
      </c>
      <c r="I1162">
        <v>0.19917401853668201</v>
      </c>
      <c r="J1162">
        <v>0.16277511880094001</v>
      </c>
      <c r="K1162">
        <v>0.13430652886623001</v>
      </c>
      <c r="L1162">
        <v>518.13110121508601</v>
      </c>
      <c r="M1162">
        <v>9.3118301151555603</v>
      </c>
      <c r="N1162">
        <v>55.642241619279197</v>
      </c>
      <c r="O1162">
        <v>53.256802840214498</v>
      </c>
      <c r="P1162">
        <v>-4.37398263697098E-2</v>
      </c>
      <c r="Q1162">
        <v>0</v>
      </c>
      <c r="R1162">
        <v>0.97233045310813004</v>
      </c>
      <c r="S1162" t="s">
        <v>7968</v>
      </c>
      <c r="T1162" t="s">
        <v>13610</v>
      </c>
      <c r="U1162" t="s">
        <v>13610</v>
      </c>
      <c r="V1162" t="s">
        <v>13610</v>
      </c>
      <c r="W1162" t="s">
        <v>14740</v>
      </c>
      <c r="X1162">
        <v>13</v>
      </c>
      <c r="Y1162" t="s">
        <v>21450</v>
      </c>
      <c r="Z1162" t="s">
        <v>28017</v>
      </c>
      <c r="AA1162">
        <v>0.54439745175668464</v>
      </c>
      <c r="AB1162" t="str">
        <f>HYPERLINK("Melting_Curves/meltCurve_O00743_PPP6C.pdf", "Melting_Curves/meltCurve_O00743_PPP6C.pdf")</f>
        <v>Melting_Curves/meltCurve_O00743_PPP6C.pdf</v>
      </c>
    </row>
    <row r="1163" spans="1:28" x14ac:dyDescent="0.25">
      <c r="A1163" t="s">
        <v>1167</v>
      </c>
      <c r="B1163">
        <v>0.995954080203443</v>
      </c>
      <c r="C1163">
        <v>0.92557999042354</v>
      </c>
      <c r="D1163">
        <v>0.89911225139445905</v>
      </c>
      <c r="E1163">
        <v>0.79367116169385299</v>
      </c>
      <c r="F1163">
        <v>0.59540892501162601</v>
      </c>
      <c r="G1163">
        <v>0.251216794734759</v>
      </c>
      <c r="H1163">
        <v>0.19457777130269199</v>
      </c>
      <c r="I1163">
        <v>0.215766056017381</v>
      </c>
      <c r="J1163">
        <v>0.22631748849220901</v>
      </c>
      <c r="K1163">
        <v>0.20075032160237399</v>
      </c>
      <c r="L1163">
        <v>1157.6049614380599</v>
      </c>
      <c r="M1163">
        <v>22.061759166437898</v>
      </c>
      <c r="N1163">
        <v>53.6156206749354</v>
      </c>
      <c r="O1163">
        <v>52.045689788606403</v>
      </c>
      <c r="P1163">
        <v>-8.6073844237883307E-2</v>
      </c>
      <c r="Q1163">
        <v>0.18779372986148599</v>
      </c>
      <c r="R1163">
        <v>0.98464190337666901</v>
      </c>
      <c r="S1163" t="s">
        <v>7969</v>
      </c>
      <c r="T1163" t="s">
        <v>13610</v>
      </c>
      <c r="U1163" t="s">
        <v>13610</v>
      </c>
      <c r="V1163" t="s">
        <v>13610</v>
      </c>
      <c r="W1163" t="s">
        <v>14741</v>
      </c>
      <c r="X1163">
        <v>6</v>
      </c>
      <c r="Y1163" t="s">
        <v>21451</v>
      </c>
      <c r="Z1163" t="s">
        <v>28018</v>
      </c>
      <c r="AA1163">
        <v>0.53483663618058441</v>
      </c>
      <c r="AB1163" t="str">
        <f>HYPERLINK("Melting_Curves/meltCurve_O00748_CES2.pdf", "Melting_Curves/meltCurve_O00748_CES2.pdf")</f>
        <v>Melting_Curves/meltCurve_O00748_CES2.pdf</v>
      </c>
    </row>
    <row r="1164" spans="1:28" x14ac:dyDescent="0.25">
      <c r="A1164" t="s">
        <v>1168</v>
      </c>
      <c r="B1164">
        <v>0.995954080203443</v>
      </c>
      <c r="C1164">
        <v>0.89543174735734399</v>
      </c>
      <c r="D1164">
        <v>0.78800408815815204</v>
      </c>
      <c r="E1164">
        <v>0.79550684281469597</v>
      </c>
      <c r="F1164">
        <v>0.61133622939623</v>
      </c>
      <c r="G1164">
        <v>0.43120785657557997</v>
      </c>
      <c r="H1164">
        <v>0.29672686353997002</v>
      </c>
      <c r="I1164">
        <v>0.31619037336252598</v>
      </c>
      <c r="J1164">
        <v>0.28623989164053698</v>
      </c>
      <c r="K1164">
        <v>0.34565902377854901</v>
      </c>
      <c r="L1164">
        <v>583.30915803379901</v>
      </c>
      <c r="M1164">
        <v>11.1702432806754</v>
      </c>
      <c r="N1164">
        <v>55.426061381591403</v>
      </c>
      <c r="O1164">
        <v>50.630134135099098</v>
      </c>
      <c r="P1164">
        <v>-4.2043987258798203E-2</v>
      </c>
      <c r="Q1164">
        <v>0.237969679276607</v>
      </c>
      <c r="R1164">
        <v>0.96308334767336901</v>
      </c>
      <c r="S1164" t="s">
        <v>7970</v>
      </c>
      <c r="T1164" t="s">
        <v>13610</v>
      </c>
      <c r="U1164" t="s">
        <v>13610</v>
      </c>
      <c r="V1164" t="s">
        <v>13610</v>
      </c>
      <c r="W1164" t="s">
        <v>14742</v>
      </c>
      <c r="X1164">
        <v>22</v>
      </c>
      <c r="Y1164" t="s">
        <v>21452</v>
      </c>
      <c r="Z1164" t="s">
        <v>28019</v>
      </c>
      <c r="AA1164">
        <v>0.57341936198847754</v>
      </c>
      <c r="AB1164" t="str">
        <f>HYPERLINK("Melting_Curves/meltCurve_O00754_2_MAN2B1.pdf", "Melting_Curves/meltCurve_O00754_2_MAN2B1.pdf")</f>
        <v>Melting_Curves/meltCurve_O00754_2_MAN2B1.pdf</v>
      </c>
    </row>
    <row r="1165" spans="1:28" x14ac:dyDescent="0.25">
      <c r="A1165" t="s">
        <v>1169</v>
      </c>
      <c r="B1165">
        <v>0.995954080203443</v>
      </c>
      <c r="C1165">
        <v>0.62958514859297299</v>
      </c>
      <c r="D1165">
        <v>1.10655487877289</v>
      </c>
      <c r="E1165">
        <v>0.79908000669733803</v>
      </c>
      <c r="F1165">
        <v>0.61191161263174798</v>
      </c>
      <c r="G1165">
        <v>0.134742868021902</v>
      </c>
      <c r="H1165">
        <v>5.2199011486465101E-2</v>
      </c>
      <c r="I1165">
        <v>4.1334269285603999E-2</v>
      </c>
      <c r="J1165">
        <v>4.4996723553555003E-2</v>
      </c>
      <c r="K1165">
        <v>4.3341342600876201E-2</v>
      </c>
      <c r="L1165">
        <v>1456.0123319566901</v>
      </c>
      <c r="M1165">
        <v>27.2752949363848</v>
      </c>
      <c r="N1165">
        <v>53.4984836299666</v>
      </c>
      <c r="O1165">
        <v>53.097620873788401</v>
      </c>
      <c r="P1165">
        <v>-0.124722328000986</v>
      </c>
      <c r="Q1165">
        <v>2.88067973279812E-2</v>
      </c>
      <c r="R1165">
        <v>0.90408121109219897</v>
      </c>
      <c r="S1165" t="s">
        <v>7971</v>
      </c>
      <c r="T1165" t="s">
        <v>13610</v>
      </c>
      <c r="U1165" t="s">
        <v>13610</v>
      </c>
      <c r="V1165" t="s">
        <v>13610</v>
      </c>
      <c r="W1165" t="s">
        <v>14743</v>
      </c>
      <c r="X1165">
        <v>13</v>
      </c>
      <c r="Y1165" t="s">
        <v>21453</v>
      </c>
      <c r="Z1165" t="s">
        <v>28020</v>
      </c>
      <c r="AA1165">
        <v>0.46963417551587489</v>
      </c>
      <c r="AB1165" t="str">
        <f>HYPERLINK("Melting_Curves/meltCurve_O00764_PDXK.pdf", "Melting_Curves/meltCurve_O00764_PDXK.pdf")</f>
        <v>Melting_Curves/meltCurve_O00764_PDXK.pdf</v>
      </c>
    </row>
    <row r="1166" spans="1:28" x14ac:dyDescent="0.25">
      <c r="A1166" t="s">
        <v>1170</v>
      </c>
      <c r="B1166">
        <v>0.995954080203443</v>
      </c>
      <c r="C1166">
        <v>0.88529462945395498</v>
      </c>
      <c r="D1166">
        <v>0.73934024064099202</v>
      </c>
      <c r="E1166">
        <v>0.52331294083394198</v>
      </c>
      <c r="F1166">
        <v>0.36452425970424601</v>
      </c>
      <c r="G1166">
        <v>0.25365564967326798</v>
      </c>
      <c r="H1166">
        <v>0.22579553887508799</v>
      </c>
      <c r="I1166">
        <v>0.26023446758348401</v>
      </c>
      <c r="J1166">
        <v>0.32933616926256498</v>
      </c>
      <c r="K1166">
        <v>0.302363730032911</v>
      </c>
      <c r="L1166">
        <v>845.64288370699001</v>
      </c>
      <c r="M1166">
        <v>17.740513694646701</v>
      </c>
      <c r="N1166">
        <v>49.777872889745403</v>
      </c>
      <c r="O1166">
        <v>47.074030446838798</v>
      </c>
      <c r="P1166">
        <v>-6.9315231381540096E-2</v>
      </c>
      <c r="Q1166">
        <v>0.26433319993773302</v>
      </c>
      <c r="R1166">
        <v>0.98268826246501595</v>
      </c>
      <c r="S1166" t="s">
        <v>7972</v>
      </c>
      <c r="T1166" t="s">
        <v>13610</v>
      </c>
      <c r="U1166" t="s">
        <v>13610</v>
      </c>
      <c r="V1166" t="s">
        <v>13610</v>
      </c>
      <c r="W1166" t="s">
        <v>14744</v>
      </c>
      <c r="X1166">
        <v>56</v>
      </c>
      <c r="Y1166" t="s">
        <v>21454</v>
      </c>
      <c r="Z1166" t="s">
        <v>28021</v>
      </c>
      <c r="AA1166">
        <v>0.46596137834101548</v>
      </c>
      <c r="AB1166" t="str">
        <f>HYPERLINK("Melting_Curves/meltCurve_O14497_ARID1A.pdf", "Melting_Curves/meltCurve_O14497_ARID1A.pdf")</f>
        <v>Melting_Curves/meltCurve_O14497_ARID1A.pdf</v>
      </c>
    </row>
    <row r="1167" spans="1:28" x14ac:dyDescent="0.25">
      <c r="A1167" t="s">
        <v>1171</v>
      </c>
      <c r="B1167">
        <v>0.995954080203443</v>
      </c>
      <c r="C1167">
        <v>0.97557580398447896</v>
      </c>
      <c r="D1167">
        <v>0.84802716533317701</v>
      </c>
      <c r="E1167">
        <v>0.76383810018477805</v>
      </c>
      <c r="F1167">
        <v>0.40095703144096301</v>
      </c>
      <c r="G1167">
        <v>0.25018116303167698</v>
      </c>
      <c r="H1167">
        <v>0.193013253459038</v>
      </c>
      <c r="I1167">
        <v>0.17668756943745301</v>
      </c>
      <c r="J1167">
        <v>0.17330985372937999</v>
      </c>
      <c r="K1167">
        <v>0.22475726956540501</v>
      </c>
      <c r="L1167">
        <v>1152.0405427410701</v>
      </c>
      <c r="M1167">
        <v>22.504028502376201</v>
      </c>
      <c r="N1167">
        <v>52.2257113762006</v>
      </c>
      <c r="O1167">
        <v>50.793536910096499</v>
      </c>
      <c r="P1167">
        <v>-9.0867180877332004E-2</v>
      </c>
      <c r="Q1167">
        <v>0.179636387985321</v>
      </c>
      <c r="R1167">
        <v>0.984954180169056</v>
      </c>
      <c r="S1167" t="s">
        <v>7973</v>
      </c>
      <c r="T1167" t="s">
        <v>13610</v>
      </c>
      <c r="U1167" t="s">
        <v>13610</v>
      </c>
      <c r="V1167" t="s">
        <v>13610</v>
      </c>
      <c r="W1167" t="s">
        <v>14745</v>
      </c>
      <c r="X1167">
        <v>4</v>
      </c>
      <c r="Y1167" t="s">
        <v>21455</v>
      </c>
      <c r="Z1167" t="s">
        <v>28022</v>
      </c>
      <c r="AA1167">
        <v>0.49481234196644031</v>
      </c>
      <c r="AB1167" t="str">
        <f>HYPERLINK("Melting_Curves/meltCurve_O14503_BHLHE40.pdf", "Melting_Curves/meltCurve_O14503_BHLHE40.pdf")</f>
        <v>Melting_Curves/meltCurve_O14503_BHLHE40.pdf</v>
      </c>
    </row>
    <row r="1168" spans="1:28" x14ac:dyDescent="0.25">
      <c r="A1168" t="s">
        <v>1172</v>
      </c>
      <c r="B1168">
        <v>0.995954080203443</v>
      </c>
      <c r="C1168">
        <v>1.00568797937465</v>
      </c>
      <c r="D1168">
        <v>0.95581915515108695</v>
      </c>
      <c r="E1168">
        <v>0.86707823648682802</v>
      </c>
      <c r="F1168">
        <v>0.62884146717726497</v>
      </c>
      <c r="G1168">
        <v>0.155519985142545</v>
      </c>
      <c r="H1168">
        <v>6.4989047703358505E-2</v>
      </c>
      <c r="I1168">
        <v>5.4880708890140101E-2</v>
      </c>
      <c r="J1168">
        <v>6.22382571234458E-2</v>
      </c>
      <c r="K1168">
        <v>5.7966055132902303E-2</v>
      </c>
      <c r="L1168">
        <v>1619.3389785831</v>
      </c>
      <c r="M1168">
        <v>30.225595289844701</v>
      </c>
      <c r="N1168">
        <v>53.754960915016198</v>
      </c>
      <c r="O1168">
        <v>53.342216771928499</v>
      </c>
      <c r="P1168">
        <v>-0.13484644290405701</v>
      </c>
      <c r="Q1168">
        <v>4.8096471361677197E-2</v>
      </c>
      <c r="R1168">
        <v>0.99751467780745096</v>
      </c>
      <c r="S1168" t="s">
        <v>7974</v>
      </c>
      <c r="T1168" t="s">
        <v>13610</v>
      </c>
      <c r="U1168" t="s">
        <v>13610</v>
      </c>
      <c r="V1168" t="s">
        <v>13610</v>
      </c>
      <c r="W1168" t="s">
        <v>14746</v>
      </c>
      <c r="X1168">
        <v>11</v>
      </c>
      <c r="Y1168" t="s">
        <v>21456</v>
      </c>
      <c r="Z1168" t="s">
        <v>28023</v>
      </c>
      <c r="AA1168">
        <v>0.48496645168005259</v>
      </c>
      <c r="AB1168" t="str">
        <f>HYPERLINK("Melting_Curves/meltCurve_O14508_SOCS2.pdf", "Melting_Curves/meltCurve_O14508_SOCS2.pdf")</f>
        <v>Melting_Curves/meltCurve_O14508_SOCS2.pdf</v>
      </c>
    </row>
    <row r="1169" spans="1:28" x14ac:dyDescent="0.25">
      <c r="A1169" t="s">
        <v>1173</v>
      </c>
      <c r="B1169">
        <v>0.995954080203443</v>
      </c>
      <c r="C1169">
        <v>0.74045040891727898</v>
      </c>
      <c r="D1169">
        <v>1.12955891228372</v>
      </c>
      <c r="E1169">
        <v>0.53707095527561299</v>
      </c>
      <c r="F1169">
        <v>0.83132287143530403</v>
      </c>
      <c r="G1169">
        <v>0.61672658327204699</v>
      </c>
      <c r="H1169">
        <v>0.463118957074448</v>
      </c>
      <c r="I1169">
        <v>0.582492235673436</v>
      </c>
      <c r="J1169">
        <v>0.51543860349564796</v>
      </c>
      <c r="K1169">
        <v>0.61810294334804705</v>
      </c>
      <c r="L1169">
        <v>645.49601665625096</v>
      </c>
      <c r="M1169">
        <v>12.987971041041799</v>
      </c>
      <c r="O1169">
        <v>48.565593433527397</v>
      </c>
      <c r="P1169">
        <v>-3.1127176838549001E-2</v>
      </c>
      <c r="Q1169">
        <v>0.53451038512353799</v>
      </c>
      <c r="R1169">
        <v>0.54595313027533898</v>
      </c>
      <c r="S1169" t="s">
        <v>7975</v>
      </c>
      <c r="T1169" t="s">
        <v>13610</v>
      </c>
      <c r="U1169" t="s">
        <v>13610</v>
      </c>
      <c r="V1169" t="s">
        <v>13610</v>
      </c>
      <c r="W1169" t="s">
        <v>14747</v>
      </c>
      <c r="X1169">
        <v>2</v>
      </c>
      <c r="Y1169" t="s">
        <v>21457</v>
      </c>
      <c r="Z1169" t="s">
        <v>28024</v>
      </c>
      <c r="AA1169">
        <v>0.69942000287457151</v>
      </c>
      <c r="AB1169" t="str">
        <f>HYPERLINK("Melting_Curves/meltCurve_O14519_2_CDK2AP1.pdf", "Melting_Curves/meltCurve_O14519_2_CDK2AP1.pdf")</f>
        <v>Melting_Curves/meltCurve_O14519_2_CDK2AP1.pdf</v>
      </c>
    </row>
    <row r="1170" spans="1:28" x14ac:dyDescent="0.25">
      <c r="A1170" t="s">
        <v>1174</v>
      </c>
      <c r="B1170">
        <v>0.995954080203443</v>
      </c>
      <c r="C1170">
        <v>0.85299791857909002</v>
      </c>
      <c r="D1170">
        <v>1.1490560972641399</v>
      </c>
      <c r="E1170">
        <v>0.81080002892847103</v>
      </c>
      <c r="F1170">
        <v>1.02053522724348</v>
      </c>
      <c r="G1170">
        <v>0.86964219854983305</v>
      </c>
      <c r="H1170">
        <v>0.85668927896231195</v>
      </c>
      <c r="I1170">
        <v>1.0831570153833301</v>
      </c>
      <c r="J1170">
        <v>1.1377173084095</v>
      </c>
      <c r="K1170">
        <v>1.2579442792053399</v>
      </c>
      <c r="L1170">
        <v>2919.6304978759699</v>
      </c>
      <c r="M1170">
        <v>43.6579467975833</v>
      </c>
      <c r="O1170">
        <v>66.735271362164795</v>
      </c>
      <c r="P1170">
        <v>4.7481705892862797E-2</v>
      </c>
      <c r="Q1170">
        <v>1.29032053359704</v>
      </c>
      <c r="R1170">
        <v>0.42203691076268102</v>
      </c>
      <c r="S1170" t="s">
        <v>7976</v>
      </c>
      <c r="T1170" t="s">
        <v>13610</v>
      </c>
      <c r="U1170" t="s">
        <v>13610</v>
      </c>
      <c r="V1170" t="s">
        <v>13610</v>
      </c>
      <c r="W1170" t="s">
        <v>14748</v>
      </c>
      <c r="X1170">
        <v>5</v>
      </c>
      <c r="Y1170" t="s">
        <v>21458</v>
      </c>
      <c r="Z1170" t="s">
        <v>28025</v>
      </c>
      <c r="AA1170">
        <v>1.031393771073235</v>
      </c>
      <c r="AB1170" t="str">
        <f>HYPERLINK("Melting_Curves/meltCurve_O14526_2_FCHO1.pdf", "Melting_Curves/meltCurve_O14526_2_FCHO1.pdf")</f>
        <v>Melting_Curves/meltCurve_O14526_2_FCHO1.pdf</v>
      </c>
    </row>
    <row r="1171" spans="1:28" x14ac:dyDescent="0.25">
      <c r="A1171" t="s">
        <v>1175</v>
      </c>
      <c r="B1171">
        <v>0.995954080203443</v>
      </c>
      <c r="C1171">
        <v>0.98653138560499398</v>
      </c>
      <c r="D1171">
        <v>1.05035040368388</v>
      </c>
      <c r="E1171">
        <v>0.84658940379421499</v>
      </c>
      <c r="F1171">
        <v>0.72656447899643095</v>
      </c>
      <c r="G1171">
        <v>0.49008031862784002</v>
      </c>
      <c r="H1171">
        <v>0.44737615559909699</v>
      </c>
      <c r="I1171">
        <v>0.52834448197080597</v>
      </c>
      <c r="J1171">
        <v>0.63584704941803905</v>
      </c>
      <c r="K1171">
        <v>0.63197850003837197</v>
      </c>
      <c r="L1171">
        <v>1719.70533161666</v>
      </c>
      <c r="M1171">
        <v>33.3346751333208</v>
      </c>
      <c r="O1171">
        <v>51.404484309900702</v>
      </c>
      <c r="P1171">
        <v>-7.3280871805638401E-2</v>
      </c>
      <c r="Q1171">
        <v>0.54798428261536702</v>
      </c>
      <c r="R1171">
        <v>0.91379223211328398</v>
      </c>
      <c r="S1171" t="s">
        <v>7977</v>
      </c>
      <c r="T1171" t="s">
        <v>13610</v>
      </c>
      <c r="U1171" t="s">
        <v>13610</v>
      </c>
      <c r="V1171" t="s">
        <v>13610</v>
      </c>
      <c r="W1171" t="s">
        <v>14749</v>
      </c>
      <c r="X1171">
        <v>16</v>
      </c>
      <c r="Y1171" t="s">
        <v>21459</v>
      </c>
      <c r="Z1171" t="s">
        <v>28026</v>
      </c>
      <c r="AA1171">
        <v>0.72492353706453805</v>
      </c>
      <c r="AB1171" t="str">
        <f>HYPERLINK("Melting_Curves/meltCurve_O14545_TRAFD1.pdf", "Melting_Curves/meltCurve_O14545_TRAFD1.pdf")</f>
        <v>Melting_Curves/meltCurve_O14545_TRAFD1.pdf</v>
      </c>
    </row>
    <row r="1172" spans="1:28" x14ac:dyDescent="0.25">
      <c r="A1172" t="s">
        <v>1176</v>
      </c>
      <c r="B1172">
        <v>0.995954080203443</v>
      </c>
      <c r="C1172">
        <v>1.08853261227312</v>
      </c>
      <c r="D1172">
        <v>1.0605305336595101</v>
      </c>
      <c r="E1172">
        <v>0.95979757321215398</v>
      </c>
      <c r="F1172">
        <v>0.88650394151537104</v>
      </c>
      <c r="G1172">
        <v>0.65387040883038505</v>
      </c>
      <c r="H1172">
        <v>0.49956777289399201</v>
      </c>
      <c r="I1172">
        <v>0.55679230305641003</v>
      </c>
      <c r="J1172">
        <v>0.43499191434548801</v>
      </c>
      <c r="K1172">
        <v>0.56841656458298095</v>
      </c>
      <c r="L1172">
        <v>1653.7270144020199</v>
      </c>
      <c r="M1172">
        <v>29.984338850840899</v>
      </c>
      <c r="O1172">
        <v>54.909436571006701</v>
      </c>
      <c r="P1172">
        <v>-6.7200664985405306E-2</v>
      </c>
      <c r="Q1172">
        <v>0.50775270615042001</v>
      </c>
      <c r="R1172">
        <v>0.957483161669482</v>
      </c>
      <c r="S1172" t="s">
        <v>7978</v>
      </c>
      <c r="T1172" t="s">
        <v>13610</v>
      </c>
      <c r="U1172" t="s">
        <v>13610</v>
      </c>
      <c r="V1172" t="s">
        <v>13610</v>
      </c>
      <c r="W1172" t="s">
        <v>14750</v>
      </c>
      <c r="X1172">
        <v>5</v>
      </c>
      <c r="Y1172" t="s">
        <v>21238</v>
      </c>
      <c r="Z1172" t="s">
        <v>28027</v>
      </c>
      <c r="AA1172">
        <v>0.75965941888322752</v>
      </c>
      <c r="AB1172" t="str">
        <f>HYPERLINK("Melting_Curves/meltCurve_O14561_NDUFAB1.pdf", "Melting_Curves/meltCurve_O14561_NDUFAB1.pdf")</f>
        <v>Melting_Curves/meltCurve_O14561_NDUFAB1.pdf</v>
      </c>
    </row>
    <row r="1173" spans="1:28" x14ac:dyDescent="0.25">
      <c r="A1173" t="s">
        <v>1177</v>
      </c>
      <c r="B1173">
        <v>0.995954080203443</v>
      </c>
      <c r="C1173">
        <v>0.95962084590796004</v>
      </c>
      <c r="D1173">
        <v>0.930488187170744</v>
      </c>
      <c r="E1173">
        <v>0.75020618256250504</v>
      </c>
      <c r="F1173">
        <v>0.51116103091642695</v>
      </c>
      <c r="G1173">
        <v>0.22983698483948201</v>
      </c>
      <c r="H1173">
        <v>0.152615089362134</v>
      </c>
      <c r="I1173">
        <v>0.15759802728971001</v>
      </c>
      <c r="J1173">
        <v>0.18938361953400601</v>
      </c>
      <c r="K1173">
        <v>0.181972360906512</v>
      </c>
      <c r="L1173">
        <v>1174.9882266593299</v>
      </c>
      <c r="M1173">
        <v>22.6132738011563</v>
      </c>
      <c r="N1173">
        <v>52.833253151050599</v>
      </c>
      <c r="O1173">
        <v>51.558885654129398</v>
      </c>
      <c r="P1173">
        <v>-9.2554071246699704E-2</v>
      </c>
      <c r="Q1173">
        <v>0.155913594837328</v>
      </c>
      <c r="R1173">
        <v>0.995323760675211</v>
      </c>
      <c r="S1173" t="s">
        <v>7979</v>
      </c>
      <c r="T1173" t="s">
        <v>13610</v>
      </c>
      <c r="U1173" t="s">
        <v>13610</v>
      </c>
      <c r="V1173" t="s">
        <v>13610</v>
      </c>
      <c r="W1173" t="s">
        <v>14751</v>
      </c>
      <c r="X1173">
        <v>31</v>
      </c>
      <c r="Y1173" t="s">
        <v>21460</v>
      </c>
      <c r="Z1173" t="s">
        <v>28028</v>
      </c>
      <c r="AA1173">
        <v>0.50174871649087738</v>
      </c>
      <c r="AB1173" t="str">
        <f>HYPERLINK("Melting_Curves/meltCurve_O14578_4_CIT.pdf", "Melting_Curves/meltCurve_O14578_4_CIT.pdf")</f>
        <v>Melting_Curves/meltCurve_O14578_4_CIT.pdf</v>
      </c>
    </row>
    <row r="1174" spans="1:28" x14ac:dyDescent="0.25">
      <c r="A1174" t="s">
        <v>1178</v>
      </c>
      <c r="B1174">
        <v>0.995954080203443</v>
      </c>
      <c r="C1174">
        <v>0.73408602949308299</v>
      </c>
      <c r="D1174">
        <v>0.56498599106817704</v>
      </c>
      <c r="E1174">
        <v>0.62401224593050497</v>
      </c>
      <c r="F1174">
        <v>0.25534458826190598</v>
      </c>
      <c r="G1174">
        <v>0.111089496399985</v>
      </c>
      <c r="H1174">
        <v>7.1421803336325099E-2</v>
      </c>
      <c r="I1174">
        <v>6.5264039281208303E-2</v>
      </c>
      <c r="J1174">
        <v>7.1913148548216996E-2</v>
      </c>
      <c r="K1174">
        <v>6.6470302663253905E-2</v>
      </c>
      <c r="L1174">
        <v>516.53175104620004</v>
      </c>
      <c r="M1174">
        <v>10.590459419716</v>
      </c>
      <c r="N1174">
        <v>48.773309167210002</v>
      </c>
      <c r="O1174">
        <v>47.130629753549101</v>
      </c>
      <c r="P1174">
        <v>-5.6198002490886002E-2</v>
      </c>
      <c r="Q1174">
        <v>0</v>
      </c>
      <c r="R1174">
        <v>0.93857830467081405</v>
      </c>
      <c r="S1174" t="s">
        <v>7980</v>
      </c>
      <c r="T1174" t="s">
        <v>13610</v>
      </c>
      <c r="U1174" t="s">
        <v>13610</v>
      </c>
      <c r="V1174" t="s">
        <v>13610</v>
      </c>
      <c r="W1174" t="s">
        <v>14752</v>
      </c>
      <c r="X1174">
        <v>19</v>
      </c>
      <c r="Y1174" t="s">
        <v>21461</v>
      </c>
      <c r="Z1174" t="s">
        <v>28029</v>
      </c>
      <c r="AA1174">
        <v>0.33809882182364398</v>
      </c>
      <c r="AB1174" t="str">
        <f>HYPERLINK("Melting_Curves/meltCurve_O14579_COPE.pdf", "Melting_Curves/meltCurve_O14579_COPE.pdf")</f>
        <v>Melting_Curves/meltCurve_O14579_COPE.pdf</v>
      </c>
    </row>
    <row r="1175" spans="1:28" x14ac:dyDescent="0.25">
      <c r="A1175" t="s">
        <v>1179</v>
      </c>
      <c r="B1175">
        <v>0.995954080203443</v>
      </c>
      <c r="C1175">
        <v>0.89808800077085404</v>
      </c>
      <c r="D1175">
        <v>0.76303024229057703</v>
      </c>
      <c r="E1175">
        <v>0.55783688365601902</v>
      </c>
      <c r="F1175">
        <v>0.229170277692474</v>
      </c>
      <c r="G1175">
        <v>0.12590723013589999</v>
      </c>
      <c r="H1175">
        <v>8.6135674026304093E-2</v>
      </c>
      <c r="I1175">
        <v>8.7378013990203396E-2</v>
      </c>
      <c r="J1175">
        <v>8.6950393231725806E-2</v>
      </c>
      <c r="K1175">
        <v>9.2494465925388902E-2</v>
      </c>
      <c r="L1175">
        <v>847.09249068461304</v>
      </c>
      <c r="M1175">
        <v>17.161301798027399</v>
      </c>
      <c r="N1175">
        <v>49.756903694629102</v>
      </c>
      <c r="O1175">
        <v>48.705000858093399</v>
      </c>
      <c r="P1175">
        <v>-8.2466266831452403E-2</v>
      </c>
      <c r="Q1175">
        <v>6.3875107750043E-2</v>
      </c>
      <c r="R1175">
        <v>0.98987899400961299</v>
      </c>
      <c r="S1175" t="s">
        <v>7981</v>
      </c>
      <c r="T1175" t="s">
        <v>13610</v>
      </c>
      <c r="U1175" t="s">
        <v>13610</v>
      </c>
      <c r="V1175" t="s">
        <v>13610</v>
      </c>
      <c r="W1175" t="s">
        <v>14753</v>
      </c>
      <c r="X1175">
        <v>35</v>
      </c>
      <c r="Y1175" t="s">
        <v>21462</v>
      </c>
      <c r="Z1175" t="s">
        <v>28030</v>
      </c>
      <c r="AA1175">
        <v>0.37364679785655369</v>
      </c>
      <c r="AB1175" t="str">
        <f>HYPERLINK("Melting_Curves/meltCurve_O14617_AP3D1.pdf", "Melting_Curves/meltCurve_O14617_AP3D1.pdf")</f>
        <v>Melting_Curves/meltCurve_O14617_AP3D1.pdf</v>
      </c>
    </row>
    <row r="1176" spans="1:28" x14ac:dyDescent="0.25">
      <c r="A1176" t="s">
        <v>1180</v>
      </c>
      <c r="B1176">
        <v>0.995954080203443</v>
      </c>
      <c r="C1176">
        <v>0.84681068874759202</v>
      </c>
      <c r="D1176">
        <v>0.78964713290861899</v>
      </c>
      <c r="E1176">
        <v>0.71474519312692197</v>
      </c>
      <c r="F1176">
        <v>0.71237612875505596</v>
      </c>
      <c r="G1176">
        <v>0.54128515295358604</v>
      </c>
      <c r="H1176">
        <v>0.44091874421115501</v>
      </c>
      <c r="I1176">
        <v>0.43683887801042298</v>
      </c>
      <c r="J1176">
        <v>0.50665204302097899</v>
      </c>
      <c r="K1176">
        <v>0.47731833060052398</v>
      </c>
      <c r="L1176">
        <v>446.93111296638801</v>
      </c>
      <c r="M1176">
        <v>8.8964244648641309</v>
      </c>
      <c r="N1176">
        <v>61.695659086977003</v>
      </c>
      <c r="O1176">
        <v>47.893264977799902</v>
      </c>
      <c r="P1176">
        <v>-2.76894425604979E-2</v>
      </c>
      <c r="Q1176">
        <v>0.40419552455753999</v>
      </c>
      <c r="R1176">
        <v>0.93751655448789195</v>
      </c>
      <c r="S1176" t="s">
        <v>7982</v>
      </c>
      <c r="T1176" t="s">
        <v>13610</v>
      </c>
      <c r="U1176" t="s">
        <v>13610</v>
      </c>
      <c r="V1176" t="s">
        <v>13610</v>
      </c>
      <c r="W1176" t="s">
        <v>14754</v>
      </c>
      <c r="X1176">
        <v>11</v>
      </c>
      <c r="Y1176" t="s">
        <v>21463</v>
      </c>
      <c r="Z1176" t="s">
        <v>28031</v>
      </c>
      <c r="AA1176">
        <v>0.63816448262368941</v>
      </c>
      <c r="AB1176" t="str">
        <f>HYPERLINK("Melting_Curves/meltCurve_O14646_2_CHD1.pdf", "Melting_Curves/meltCurve_O14646_2_CHD1.pdf")</f>
        <v>Melting_Curves/meltCurve_O14646_2_CHD1.pdf</v>
      </c>
    </row>
    <row r="1177" spans="1:28" x14ac:dyDescent="0.25">
      <c r="A1177" t="s">
        <v>1181</v>
      </c>
      <c r="B1177">
        <v>0.995954080203443</v>
      </c>
      <c r="C1177">
        <v>0.91634823806707999</v>
      </c>
      <c r="D1177">
        <v>1.0943095941249299</v>
      </c>
      <c r="E1177">
        <v>0.828080646854921</v>
      </c>
      <c r="F1177">
        <v>0.89807424933181501</v>
      </c>
      <c r="G1177">
        <v>0.80275990079702098</v>
      </c>
      <c r="H1177">
        <v>0.83903142363462202</v>
      </c>
      <c r="I1177">
        <v>0.984614768845952</v>
      </c>
      <c r="J1177">
        <v>1.2194133299955301</v>
      </c>
      <c r="K1177">
        <v>0.89552347116395703</v>
      </c>
      <c r="L1177">
        <v>11980.8047236687</v>
      </c>
      <c r="M1177">
        <v>250</v>
      </c>
      <c r="O1177">
        <v>47.920151998359202</v>
      </c>
      <c r="P1177">
        <v>-9.9216175702038903E-2</v>
      </c>
      <c r="Q1177">
        <v>0.92392873236028294</v>
      </c>
      <c r="R1177">
        <v>8.4379036723344306E-2</v>
      </c>
      <c r="S1177" t="s">
        <v>7983</v>
      </c>
      <c r="T1177" t="s">
        <v>13610</v>
      </c>
      <c r="U1177" t="s">
        <v>13610</v>
      </c>
      <c r="V1177" t="s">
        <v>13610</v>
      </c>
      <c r="W1177" t="s">
        <v>14755</v>
      </c>
      <c r="X1177">
        <v>6</v>
      </c>
      <c r="Y1177" t="s">
        <v>21464</v>
      </c>
      <c r="Z1177" t="s">
        <v>28032</v>
      </c>
      <c r="AA1177">
        <v>0.94402610713328616</v>
      </c>
      <c r="AB1177" t="str">
        <f>HYPERLINK("Melting_Curves/meltCurve_O14647_CHD2.pdf", "Melting_Curves/meltCurve_O14647_CHD2.pdf")</f>
        <v>Melting_Curves/meltCurve_O14647_CHD2.pdf</v>
      </c>
    </row>
    <row r="1178" spans="1:28" x14ac:dyDescent="0.25">
      <c r="A1178" t="s">
        <v>1182</v>
      </c>
      <c r="B1178">
        <v>0.995954080203443</v>
      </c>
      <c r="C1178">
        <v>1.4366762533875099</v>
      </c>
      <c r="D1178">
        <v>1.67280626998325</v>
      </c>
      <c r="E1178">
        <v>1.6580081251355301</v>
      </c>
      <c r="F1178">
        <v>1.5378244358722299</v>
      </c>
      <c r="G1178">
        <v>1.60846564947752</v>
      </c>
      <c r="H1178">
        <v>1.6730631059161101</v>
      </c>
      <c r="I1178">
        <v>1.40244064212324</v>
      </c>
      <c r="J1178">
        <v>1.98425999960934</v>
      </c>
      <c r="K1178">
        <v>1.17908392046091</v>
      </c>
      <c r="L1178">
        <v>10642.163025195599</v>
      </c>
      <c r="M1178">
        <v>250</v>
      </c>
      <c r="O1178">
        <v>42.565928062878697</v>
      </c>
      <c r="P1178">
        <v>0.73415526250033702</v>
      </c>
      <c r="Q1178">
        <v>1.5</v>
      </c>
      <c r="R1178">
        <v>0.36505296071906201</v>
      </c>
      <c r="S1178" t="s">
        <v>7984</v>
      </c>
      <c r="T1178" t="s">
        <v>13610</v>
      </c>
      <c r="U1178" t="s">
        <v>13610</v>
      </c>
      <c r="V1178" t="s">
        <v>13610</v>
      </c>
      <c r="W1178" t="s">
        <v>14756</v>
      </c>
      <c r="X1178">
        <v>1</v>
      </c>
      <c r="Y1178" t="s">
        <v>21465</v>
      </c>
      <c r="Z1178" t="s">
        <v>28033</v>
      </c>
      <c r="AA1178">
        <v>1.4571517777275089</v>
      </c>
      <c r="AB1178" t="str">
        <f>HYPERLINK("Melting_Curves/meltCurve_O14649_KCNK3.pdf", "Melting_Curves/meltCurve_O14649_KCNK3.pdf")</f>
        <v>Melting_Curves/meltCurve_O14649_KCNK3.pdf</v>
      </c>
    </row>
    <row r="1179" spans="1:28" x14ac:dyDescent="0.25">
      <c r="A1179" t="s">
        <v>1183</v>
      </c>
      <c r="B1179">
        <v>0.995954080203443</v>
      </c>
      <c r="C1179">
        <v>0.83773116207283804</v>
      </c>
      <c r="D1179">
        <v>0.90946807583693301</v>
      </c>
      <c r="E1179">
        <v>0.78766984573158605</v>
      </c>
      <c r="F1179">
        <v>0.76250760073573598</v>
      </c>
      <c r="G1179">
        <v>0.65073404418387404</v>
      </c>
      <c r="H1179">
        <v>0.52670643999437505</v>
      </c>
      <c r="I1179">
        <v>0.58869309754749699</v>
      </c>
      <c r="J1179">
        <v>0.48317793835818501</v>
      </c>
      <c r="K1179">
        <v>0.39317878621539198</v>
      </c>
      <c r="L1179">
        <v>298.11680265435001</v>
      </c>
      <c r="M1179">
        <v>4.5680223712145898</v>
      </c>
      <c r="N1179">
        <v>65.261677511943006</v>
      </c>
      <c r="O1179">
        <v>55.689078331935697</v>
      </c>
      <c r="P1179">
        <v>-2.06774196854921E-2</v>
      </c>
      <c r="Q1179">
        <v>0</v>
      </c>
      <c r="R1179">
        <v>0.94605341961591005</v>
      </c>
      <c r="S1179" t="s">
        <v>7985</v>
      </c>
      <c r="T1179" t="s">
        <v>13610</v>
      </c>
      <c r="U1179" t="s">
        <v>13610</v>
      </c>
      <c r="V1179" t="s">
        <v>13610</v>
      </c>
      <c r="W1179" t="s">
        <v>14757</v>
      </c>
      <c r="X1179">
        <v>7</v>
      </c>
      <c r="Y1179" t="s">
        <v>21466</v>
      </c>
      <c r="Z1179" t="s">
        <v>28034</v>
      </c>
      <c r="AA1179">
        <v>0.6966481830372625</v>
      </c>
      <c r="AB1179" t="str">
        <f>HYPERLINK("Melting_Curves/meltCurve_O14653_3_GOSR2.pdf", "Melting_Curves/meltCurve_O14653_3_GOSR2.pdf")</f>
        <v>Melting_Curves/meltCurve_O14653_3_GOSR2.pdf</v>
      </c>
    </row>
    <row r="1180" spans="1:28" x14ac:dyDescent="0.25">
      <c r="A1180" t="s">
        <v>1184</v>
      </c>
      <c r="B1180">
        <v>0.995954080203443</v>
      </c>
      <c r="C1180">
        <v>0.96329030719525299</v>
      </c>
      <c r="D1180">
        <v>1.39582046259325</v>
      </c>
      <c r="E1180">
        <v>1.0148337921595001</v>
      </c>
      <c r="F1180">
        <v>1.2978912113486401</v>
      </c>
      <c r="G1180">
        <v>1.15400841043073</v>
      </c>
      <c r="H1180">
        <v>1.0898685687899301</v>
      </c>
      <c r="I1180">
        <v>1.39460550831521</v>
      </c>
      <c r="J1180">
        <v>1.7190050810634001</v>
      </c>
      <c r="K1180">
        <v>1.4210052166507801</v>
      </c>
      <c r="L1180">
        <v>422.59592567889598</v>
      </c>
      <c r="M1180">
        <v>7.6507074109499502</v>
      </c>
      <c r="O1180">
        <v>51.841928482903803</v>
      </c>
      <c r="P1180">
        <v>1.8471838355632299E-2</v>
      </c>
      <c r="Q1180">
        <v>1.5</v>
      </c>
      <c r="R1180">
        <v>0.41281631407186198</v>
      </c>
      <c r="S1180" t="s">
        <v>7986</v>
      </c>
      <c r="T1180" t="s">
        <v>13610</v>
      </c>
      <c r="U1180" t="s">
        <v>13610</v>
      </c>
      <c r="V1180" t="s">
        <v>13610</v>
      </c>
      <c r="W1180" t="s">
        <v>14758</v>
      </c>
      <c r="X1180">
        <v>1</v>
      </c>
      <c r="Y1180" t="s">
        <v>21467</v>
      </c>
      <c r="Z1180" t="s">
        <v>28035</v>
      </c>
      <c r="AA1180">
        <v>1.2333839990596589</v>
      </c>
      <c r="AB1180" t="str">
        <f>HYPERLINK("Melting_Curves/meltCurve_O14654_IRS4.pdf", "Melting_Curves/meltCurve_O14654_IRS4.pdf")</f>
        <v>Melting_Curves/meltCurve_O14654_IRS4.pdf</v>
      </c>
    </row>
    <row r="1181" spans="1:28" x14ac:dyDescent="0.25">
      <c r="A1181" t="s">
        <v>1185</v>
      </c>
      <c r="B1181">
        <v>0.995954080203443</v>
      </c>
      <c r="C1181">
        <v>0.855628044789429</v>
      </c>
      <c r="D1181">
        <v>0.65137792394059302</v>
      </c>
      <c r="E1181">
        <v>0.50920740726243297</v>
      </c>
      <c r="F1181">
        <v>0.27257001394455299</v>
      </c>
      <c r="G1181">
        <v>0.15525257340347201</v>
      </c>
      <c r="H1181">
        <v>0.113400098741762</v>
      </c>
      <c r="I1181">
        <v>0.11831895992960401</v>
      </c>
      <c r="J1181">
        <v>0.128658704400723</v>
      </c>
      <c r="K1181">
        <v>0.10576079037002099</v>
      </c>
      <c r="L1181">
        <v>671.31657372782797</v>
      </c>
      <c r="M1181">
        <v>13.8854014138988</v>
      </c>
      <c r="N1181">
        <v>49.009452287264601</v>
      </c>
      <c r="O1181">
        <v>47.377246812673903</v>
      </c>
      <c r="P1181">
        <v>-6.7009747606413594E-2</v>
      </c>
      <c r="Q1181">
        <v>8.557061712116E-2</v>
      </c>
      <c r="R1181">
        <v>0.98889832451807402</v>
      </c>
      <c r="S1181" t="s">
        <v>7987</v>
      </c>
      <c r="T1181" t="s">
        <v>13610</v>
      </c>
      <c r="U1181" t="s">
        <v>13610</v>
      </c>
      <c r="V1181" t="s">
        <v>13610</v>
      </c>
      <c r="W1181" t="s">
        <v>14759</v>
      </c>
      <c r="X1181">
        <v>3</v>
      </c>
      <c r="Y1181" t="s">
        <v>21468</v>
      </c>
      <c r="Z1181" t="s">
        <v>28036</v>
      </c>
      <c r="AA1181">
        <v>0.3668517181037026</v>
      </c>
      <c r="AB1181" t="str">
        <f>HYPERLINK("Melting_Curves/meltCurve_O14656_TOR1A.pdf", "Melting_Curves/meltCurve_O14656_TOR1A.pdf")</f>
        <v>Melting_Curves/meltCurve_O14656_TOR1A.pdf</v>
      </c>
    </row>
    <row r="1182" spans="1:28" x14ac:dyDescent="0.25">
      <c r="A1182" t="s">
        <v>1186</v>
      </c>
      <c r="B1182">
        <v>0.995954080203443</v>
      </c>
      <c r="C1182">
        <v>0.85898191736563101</v>
      </c>
      <c r="D1182">
        <v>0.61060214089019504</v>
      </c>
      <c r="E1182">
        <v>0.43417243046822801</v>
      </c>
      <c r="F1182">
        <v>0.20108111241294199</v>
      </c>
      <c r="G1182">
        <v>0.110920450998601</v>
      </c>
      <c r="H1182">
        <v>6.71843192418589E-2</v>
      </c>
      <c r="I1182">
        <v>4.7425464257438002E-2</v>
      </c>
      <c r="J1182">
        <v>7.3904970203138104E-2</v>
      </c>
      <c r="K1182">
        <v>7.5652092304172996E-2</v>
      </c>
      <c r="L1182">
        <v>717.99100670974701</v>
      </c>
      <c r="M1182">
        <v>15.013328636371</v>
      </c>
      <c r="N1182">
        <v>48.1293863459451</v>
      </c>
      <c r="O1182">
        <v>46.999165159507797</v>
      </c>
      <c r="P1182">
        <v>-7.6234118207136201E-2</v>
      </c>
      <c r="Q1182">
        <v>4.5493780523685703E-2</v>
      </c>
      <c r="R1182">
        <v>0.99105781742277699</v>
      </c>
      <c r="S1182" t="s">
        <v>7988</v>
      </c>
      <c r="T1182" t="s">
        <v>13610</v>
      </c>
      <c r="U1182" t="s">
        <v>13610</v>
      </c>
      <c r="V1182" t="s">
        <v>13610</v>
      </c>
      <c r="W1182" t="s">
        <v>14760</v>
      </c>
      <c r="X1182">
        <v>5</v>
      </c>
      <c r="Y1182" t="s">
        <v>21469</v>
      </c>
      <c r="Z1182" t="s">
        <v>28037</v>
      </c>
      <c r="AA1182">
        <v>0.31914435479357312</v>
      </c>
      <c r="AB1182" t="str">
        <f>HYPERLINK("Melting_Curves/meltCurve_O14657_TOR1B.pdf", "Melting_Curves/meltCurve_O14657_TOR1B.pdf")</f>
        <v>Melting_Curves/meltCurve_O14657_TOR1B.pdf</v>
      </c>
    </row>
    <row r="1183" spans="1:28" x14ac:dyDescent="0.25">
      <c r="A1183" t="s">
        <v>1187</v>
      </c>
      <c r="B1183">
        <v>0.995954080203443</v>
      </c>
      <c r="C1183">
        <v>0.91942085479315405</v>
      </c>
      <c r="D1183">
        <v>0.875603417750768</v>
      </c>
      <c r="E1183">
        <v>0.73457381460203097</v>
      </c>
      <c r="F1183">
        <v>0.45943962741877697</v>
      </c>
      <c r="G1183">
        <v>0.20974211090189299</v>
      </c>
      <c r="H1183">
        <v>0.17700076031074399</v>
      </c>
      <c r="I1183">
        <v>0.13656691875461499</v>
      </c>
      <c r="J1183">
        <v>0.168243723350851</v>
      </c>
      <c r="K1183">
        <v>0.13760992724846099</v>
      </c>
      <c r="L1183">
        <v>977.22220886273499</v>
      </c>
      <c r="M1183">
        <v>18.933508410318801</v>
      </c>
      <c r="N1183">
        <v>52.426812559519199</v>
      </c>
      <c r="O1183">
        <v>51.047940362427703</v>
      </c>
      <c r="P1183">
        <v>-8.0925951967949897E-2</v>
      </c>
      <c r="Q1183">
        <v>0.12727506331876201</v>
      </c>
      <c r="R1183">
        <v>0.99100879267767805</v>
      </c>
      <c r="S1183" t="s">
        <v>7989</v>
      </c>
      <c r="T1183" t="s">
        <v>13610</v>
      </c>
      <c r="U1183" t="s">
        <v>13610</v>
      </c>
      <c r="V1183" t="s">
        <v>13610</v>
      </c>
      <c r="W1183" t="s">
        <v>14761</v>
      </c>
      <c r="X1183">
        <v>3</v>
      </c>
      <c r="Y1183" t="s">
        <v>21470</v>
      </c>
      <c r="Z1183" t="s">
        <v>28038</v>
      </c>
      <c r="AA1183">
        <v>0.47846885900109493</v>
      </c>
      <c r="AB1183" t="str">
        <f>HYPERLINK("Melting_Curves/meltCurve_O14672_ADAM10.pdf", "Melting_Curves/meltCurve_O14672_ADAM10.pdf")</f>
        <v>Melting_Curves/meltCurve_O14672_ADAM10.pdf</v>
      </c>
    </row>
    <row r="1184" spans="1:28" x14ac:dyDescent="0.25">
      <c r="A1184" t="s">
        <v>1188</v>
      </c>
      <c r="B1184">
        <v>0.995954080203443</v>
      </c>
      <c r="C1184">
        <v>0.92081651933303998</v>
      </c>
      <c r="D1184">
        <v>0.91357347289601398</v>
      </c>
      <c r="E1184">
        <v>0.71062806551610602</v>
      </c>
      <c r="F1184">
        <v>0.649941757068911</v>
      </c>
      <c r="G1184">
        <v>0.52561547491162097</v>
      </c>
      <c r="H1184">
        <v>0.48879553760148198</v>
      </c>
      <c r="I1184">
        <v>0.57896723725977095</v>
      </c>
      <c r="J1184">
        <v>0.691660793925158</v>
      </c>
      <c r="K1184">
        <v>0.69894499795509102</v>
      </c>
      <c r="L1184">
        <v>1180.8566879329501</v>
      </c>
      <c r="M1184">
        <v>24.601441662606302</v>
      </c>
      <c r="O1184">
        <v>47.685709484700602</v>
      </c>
      <c r="P1184">
        <v>-5.1796735866265299E-2</v>
      </c>
      <c r="Q1184">
        <v>0.59840909892128302</v>
      </c>
      <c r="R1184">
        <v>0.84480203839446799</v>
      </c>
      <c r="S1184" t="s">
        <v>7990</v>
      </c>
      <c r="T1184" t="s">
        <v>13610</v>
      </c>
      <c r="U1184" t="s">
        <v>13610</v>
      </c>
      <c r="V1184" t="s">
        <v>13610</v>
      </c>
      <c r="W1184" t="s">
        <v>14762</v>
      </c>
      <c r="X1184">
        <v>67</v>
      </c>
      <c r="Y1184" t="s">
        <v>21471</v>
      </c>
      <c r="Z1184" t="s">
        <v>28039</v>
      </c>
      <c r="AA1184">
        <v>0.70916599911626632</v>
      </c>
      <c r="AB1184" t="str">
        <f>HYPERLINK("Melting_Curves/meltCurve_O14686_MLL2.pdf", "Melting_Curves/meltCurve_O14686_MLL2.pdf")</f>
        <v>Melting_Curves/meltCurve_O14686_MLL2.pdf</v>
      </c>
    </row>
    <row r="1185" spans="1:28" x14ac:dyDescent="0.25">
      <c r="A1185" t="s">
        <v>1189</v>
      </c>
      <c r="B1185">
        <v>0.995954080203443</v>
      </c>
      <c r="C1185">
        <v>0.88826406700440097</v>
      </c>
      <c r="D1185">
        <v>0.63716103912642597</v>
      </c>
      <c r="E1185">
        <v>0.36226875441449402</v>
      </c>
      <c r="F1185">
        <v>0.16411637669429299</v>
      </c>
      <c r="G1185">
        <v>9.8353879165896302E-2</v>
      </c>
      <c r="H1185">
        <v>5.9952072675294101E-2</v>
      </c>
      <c r="I1185">
        <v>5.1584329949266899E-2</v>
      </c>
      <c r="J1185">
        <v>5.7184212960163697E-2</v>
      </c>
      <c r="K1185">
        <v>5.18243794063993E-2</v>
      </c>
      <c r="L1185">
        <v>837.24406758949897</v>
      </c>
      <c r="M1185">
        <v>17.590143857941602</v>
      </c>
      <c r="N1185">
        <v>47.857926927753503</v>
      </c>
      <c r="O1185">
        <v>46.994969469199702</v>
      </c>
      <c r="P1185">
        <v>-8.9306160424359904E-2</v>
      </c>
      <c r="Q1185">
        <v>4.5667352941590598E-2</v>
      </c>
      <c r="R1185">
        <v>0.99761151629238998</v>
      </c>
      <c r="S1185" t="s">
        <v>7991</v>
      </c>
      <c r="T1185" t="s">
        <v>13610</v>
      </c>
      <c r="U1185" t="s">
        <v>13610</v>
      </c>
      <c r="V1185" t="s">
        <v>13610</v>
      </c>
      <c r="W1185" t="s">
        <v>14763</v>
      </c>
      <c r="X1185">
        <v>13</v>
      </c>
      <c r="Y1185" t="s">
        <v>21472</v>
      </c>
      <c r="Z1185" t="s">
        <v>28040</v>
      </c>
      <c r="AA1185">
        <v>0.30536848108649739</v>
      </c>
      <c r="AB1185" t="str">
        <f>HYPERLINK("Melting_Curves/meltCurve_O14733_MAP2K7.pdf", "Melting_Curves/meltCurve_O14733_MAP2K7.pdf")</f>
        <v>Melting_Curves/meltCurve_O14733_MAP2K7.pdf</v>
      </c>
    </row>
    <row r="1186" spans="1:28" x14ac:dyDescent="0.25">
      <c r="A1186" t="s">
        <v>1190</v>
      </c>
      <c r="B1186">
        <v>0.995954080203443</v>
      </c>
      <c r="C1186">
        <v>0.96812592838473199</v>
      </c>
      <c r="D1186">
        <v>0.89033000797898199</v>
      </c>
      <c r="E1186">
        <v>1.0398429289105999</v>
      </c>
      <c r="F1186">
        <v>0.88616611403905599</v>
      </c>
      <c r="G1186">
        <v>0.80148659870585903</v>
      </c>
      <c r="H1186">
        <v>1.07902484614614</v>
      </c>
      <c r="I1186">
        <v>1.41790486239402</v>
      </c>
      <c r="J1186">
        <v>1.7585963545907299</v>
      </c>
      <c r="K1186">
        <v>1.75940956908922</v>
      </c>
      <c r="L1186">
        <v>4996.1278175692096</v>
      </c>
      <c r="M1186">
        <v>80.053563197603395</v>
      </c>
      <c r="O1186">
        <v>62.370875716656698</v>
      </c>
      <c r="P1186">
        <v>0.16043855316132799</v>
      </c>
      <c r="Q1186">
        <v>1.5</v>
      </c>
      <c r="R1186">
        <v>0.82272134954637499</v>
      </c>
      <c r="S1186" t="s">
        <v>7992</v>
      </c>
      <c r="T1186" t="s">
        <v>13610</v>
      </c>
      <c r="U1186" t="s">
        <v>13610</v>
      </c>
      <c r="V1186" t="s">
        <v>13610</v>
      </c>
      <c r="W1186" t="s">
        <v>14764</v>
      </c>
      <c r="X1186">
        <v>11</v>
      </c>
      <c r="Y1186" t="s">
        <v>21473</v>
      </c>
      <c r="Z1186" t="s">
        <v>28041</v>
      </c>
      <c r="AA1186">
        <v>1.125970864631163</v>
      </c>
      <c r="AB1186" t="str">
        <f>HYPERLINK("Melting_Curves/meltCurve_O14737_PDCD5.pdf", "Melting_Curves/meltCurve_O14737_PDCD5.pdf")</f>
        <v>Melting_Curves/meltCurve_O14737_PDCD5.pdf</v>
      </c>
    </row>
    <row r="1187" spans="1:28" x14ac:dyDescent="0.25">
      <c r="A1187" t="s">
        <v>1191</v>
      </c>
      <c r="B1187">
        <v>0.995954080203443</v>
      </c>
      <c r="C1187">
        <v>0.782982034526154</v>
      </c>
      <c r="D1187">
        <v>0.59998596079730304</v>
      </c>
      <c r="E1187">
        <v>0.93328928072546002</v>
      </c>
      <c r="F1187">
        <v>0.554144235535318</v>
      </c>
      <c r="G1187">
        <v>0.121330625622826</v>
      </c>
      <c r="H1187">
        <v>7.15885062233899E-2</v>
      </c>
      <c r="I1187">
        <v>5.8992508725995998E-2</v>
      </c>
      <c r="J1187">
        <v>6.7322159684240698E-2</v>
      </c>
      <c r="K1187">
        <v>6.2347692715366901E-2</v>
      </c>
      <c r="L1187">
        <v>742.34569214099099</v>
      </c>
      <c r="M1187">
        <v>14.053333765467601</v>
      </c>
      <c r="N1187">
        <v>52.823468761158601</v>
      </c>
      <c r="O1187">
        <v>51.788361550813804</v>
      </c>
      <c r="P1187">
        <v>-6.78490574758982E-2</v>
      </c>
      <c r="Q1187">
        <v>0</v>
      </c>
      <c r="R1187">
        <v>0.84980346717223698</v>
      </c>
      <c r="S1187" t="s">
        <v>7993</v>
      </c>
      <c r="T1187" t="s">
        <v>13610</v>
      </c>
      <c r="U1187" t="s">
        <v>13610</v>
      </c>
      <c r="V1187" t="s">
        <v>13610</v>
      </c>
      <c r="W1187" t="s">
        <v>14765</v>
      </c>
      <c r="X1187">
        <v>23</v>
      </c>
      <c r="Y1187" t="s">
        <v>21474</v>
      </c>
      <c r="Z1187" t="s">
        <v>28042</v>
      </c>
      <c r="AA1187">
        <v>0.4511626931399087</v>
      </c>
      <c r="AB1187" t="str">
        <f>HYPERLINK("Melting_Curves/meltCurve_O14744_PRMT5.pdf", "Melting_Curves/meltCurve_O14744_PRMT5.pdf")</f>
        <v>Melting_Curves/meltCurve_O14744_PRMT5.pdf</v>
      </c>
    </row>
    <row r="1188" spans="1:28" x14ac:dyDescent="0.25">
      <c r="A1188" t="s">
        <v>1192</v>
      </c>
      <c r="B1188">
        <v>0.995954080203443</v>
      </c>
      <c r="C1188">
        <v>0.97264881671352499</v>
      </c>
      <c r="D1188">
        <v>0.99433483514070398</v>
      </c>
      <c r="E1188">
        <v>0.87230629842872798</v>
      </c>
      <c r="F1188">
        <v>0.80133156049235799</v>
      </c>
      <c r="G1188">
        <v>0.64849479053375503</v>
      </c>
      <c r="H1188">
        <v>0.53599295363973198</v>
      </c>
      <c r="I1188">
        <v>0.61042858516922704</v>
      </c>
      <c r="J1188">
        <v>0.72383440003674104</v>
      </c>
      <c r="K1188">
        <v>0.73972444784723201</v>
      </c>
      <c r="L1188">
        <v>1432.9991019317699</v>
      </c>
      <c r="M1188">
        <v>27.773746790433702</v>
      </c>
      <c r="O1188">
        <v>51.330216008113403</v>
      </c>
      <c r="P1188">
        <v>-4.7358945065947802E-2</v>
      </c>
      <c r="Q1188">
        <v>0.64989636720660104</v>
      </c>
      <c r="R1188">
        <v>0.86851630252718404</v>
      </c>
      <c r="S1188" t="s">
        <v>7994</v>
      </c>
      <c r="T1188" t="s">
        <v>13610</v>
      </c>
      <c r="U1188" t="s">
        <v>13610</v>
      </c>
      <c r="V1188" t="s">
        <v>13610</v>
      </c>
      <c r="W1188" t="s">
        <v>14766</v>
      </c>
      <c r="X1188">
        <v>17</v>
      </c>
      <c r="Y1188" t="s">
        <v>21475</v>
      </c>
      <c r="Z1188" t="s">
        <v>28043</v>
      </c>
      <c r="AA1188">
        <v>0.78780669465520958</v>
      </c>
      <c r="AB1188" t="str">
        <f>HYPERLINK("Melting_Curves/meltCurve_O14745_SLC9A3R1.pdf", "Melting_Curves/meltCurve_O14745_SLC9A3R1.pdf")</f>
        <v>Melting_Curves/meltCurve_O14745_SLC9A3R1.pdf</v>
      </c>
    </row>
    <row r="1189" spans="1:28" x14ac:dyDescent="0.25">
      <c r="A1189" t="s">
        <v>1193</v>
      </c>
      <c r="B1189">
        <v>0.995954080203443</v>
      </c>
      <c r="C1189">
        <v>0.71609883610922898</v>
      </c>
      <c r="D1189">
        <v>0.73736728950335695</v>
      </c>
      <c r="E1189">
        <v>0.53310429456127395</v>
      </c>
      <c r="F1189">
        <v>0.36319210876820002</v>
      </c>
      <c r="G1189">
        <v>0.129954725728643</v>
      </c>
      <c r="H1189">
        <v>8.3651701131337505E-2</v>
      </c>
      <c r="I1189">
        <v>7.2384360513810003E-2</v>
      </c>
      <c r="J1189">
        <v>8.11695519289274E-2</v>
      </c>
      <c r="K1189">
        <v>8.0846427589811198E-2</v>
      </c>
      <c r="L1189">
        <v>535.23037863448405</v>
      </c>
      <c r="M1189">
        <v>10.775561107722201</v>
      </c>
      <c r="N1189">
        <v>49.673118462462099</v>
      </c>
      <c r="O1189">
        <v>48.051820059413501</v>
      </c>
      <c r="P1189">
        <v>-5.6068247817401801E-2</v>
      </c>
      <c r="Q1189">
        <v>2.57122695634964E-4</v>
      </c>
      <c r="R1189">
        <v>0.96836345120331802</v>
      </c>
      <c r="S1189" t="s">
        <v>7995</v>
      </c>
      <c r="T1189" t="s">
        <v>13610</v>
      </c>
      <c r="U1189" t="s">
        <v>13610</v>
      </c>
      <c r="V1189" t="s">
        <v>13610</v>
      </c>
      <c r="W1189" t="s">
        <v>14767</v>
      </c>
      <c r="X1189">
        <v>7</v>
      </c>
      <c r="Y1189" t="s">
        <v>21476</v>
      </c>
      <c r="Z1189" t="s">
        <v>28044</v>
      </c>
      <c r="AA1189">
        <v>0.36419403327456651</v>
      </c>
      <c r="AB1189" t="str">
        <f>HYPERLINK("Melting_Curves/meltCurve_O14757_CHEK1.pdf", "Melting_Curves/meltCurve_O14757_CHEK1.pdf")</f>
        <v>Melting_Curves/meltCurve_O14757_CHEK1.pdf</v>
      </c>
    </row>
    <row r="1190" spans="1:28" x14ac:dyDescent="0.25">
      <c r="A1190" t="s">
        <v>1194</v>
      </c>
      <c r="B1190">
        <v>0.995954080203443</v>
      </c>
      <c r="C1190">
        <v>1.0795948999495899</v>
      </c>
      <c r="D1190">
        <v>1.08182137386441</v>
      </c>
      <c r="E1190">
        <v>0.90955187010487004</v>
      </c>
      <c r="F1190">
        <v>0.74994001488715401</v>
      </c>
      <c r="G1190">
        <v>0.58023680288313295</v>
      </c>
      <c r="H1190">
        <v>0.37566032551621997</v>
      </c>
      <c r="I1190">
        <v>0.274657203932822</v>
      </c>
      <c r="J1190">
        <v>0.188797123196353</v>
      </c>
      <c r="K1190">
        <v>0.1058462766167</v>
      </c>
      <c r="L1190">
        <v>807.01480412897797</v>
      </c>
      <c r="M1190">
        <v>13.929108049475801</v>
      </c>
      <c r="N1190">
        <v>58.414041058508097</v>
      </c>
      <c r="O1190">
        <v>56.782316107128104</v>
      </c>
      <c r="P1190">
        <v>-5.8039557351466299E-2</v>
      </c>
      <c r="Q1190">
        <v>5.3729587159351798E-2</v>
      </c>
      <c r="R1190">
        <v>0.98267556817872004</v>
      </c>
      <c r="S1190" t="s">
        <v>7996</v>
      </c>
      <c r="T1190" t="s">
        <v>13610</v>
      </c>
      <c r="U1190" t="s">
        <v>13610</v>
      </c>
      <c r="V1190" t="s">
        <v>13610</v>
      </c>
      <c r="W1190" t="s">
        <v>14768</v>
      </c>
      <c r="X1190">
        <v>3</v>
      </c>
      <c r="Y1190" t="s">
        <v>21477</v>
      </c>
      <c r="Z1190" t="s">
        <v>28045</v>
      </c>
      <c r="AA1190">
        <v>0.63245788252946256</v>
      </c>
      <c r="AB1190" t="str">
        <f>HYPERLINK("Melting_Curves/meltCurve_O14770_6_MEIS2.pdf", "Melting_Curves/meltCurve_O14770_6_MEIS2.pdf")</f>
        <v>Melting_Curves/meltCurve_O14770_6_MEIS2.pdf</v>
      </c>
    </row>
    <row r="1191" spans="1:28" x14ac:dyDescent="0.25">
      <c r="A1191" t="s">
        <v>1195</v>
      </c>
      <c r="B1191">
        <v>0.995954080203443</v>
      </c>
      <c r="C1191">
        <v>1.0634660557020299</v>
      </c>
      <c r="D1191">
        <v>1.01045855151328</v>
      </c>
      <c r="E1191">
        <v>0.74912961459113903</v>
      </c>
      <c r="F1191">
        <v>0.34342571309267</v>
      </c>
      <c r="G1191">
        <v>0.17038848764838799</v>
      </c>
      <c r="H1191">
        <v>0.13458737876297899</v>
      </c>
      <c r="I1191">
        <v>0.16008413803072599</v>
      </c>
      <c r="J1191">
        <v>0.20630838257217199</v>
      </c>
      <c r="K1191">
        <v>0.21017207405161201</v>
      </c>
      <c r="L1191">
        <v>2018.10424183175</v>
      </c>
      <c r="M1191">
        <v>39.498301899443199</v>
      </c>
      <c r="N1191">
        <v>51.654325584141702</v>
      </c>
      <c r="O1191">
        <v>50.9630011220436</v>
      </c>
      <c r="P1191">
        <v>-0.15997152980104601</v>
      </c>
      <c r="Q1191">
        <v>0.174383596465324</v>
      </c>
      <c r="R1191">
        <v>0.99364195611718598</v>
      </c>
      <c r="S1191" t="s">
        <v>7997</v>
      </c>
      <c r="T1191" t="s">
        <v>13610</v>
      </c>
      <c r="U1191" t="s">
        <v>13610</v>
      </c>
      <c r="V1191" t="s">
        <v>13610</v>
      </c>
      <c r="W1191" t="s">
        <v>14769</v>
      </c>
      <c r="X1191">
        <v>17</v>
      </c>
      <c r="Y1191" t="s">
        <v>21478</v>
      </c>
      <c r="Z1191" t="s">
        <v>28046</v>
      </c>
      <c r="AA1191">
        <v>0.48267184613198932</v>
      </c>
      <c r="AB1191" t="str">
        <f>HYPERLINK("Melting_Curves/meltCurve_O14772_FPGT.pdf", "Melting_Curves/meltCurve_O14772_FPGT.pdf")</f>
        <v>Melting_Curves/meltCurve_O14772_FPGT.pdf</v>
      </c>
    </row>
    <row r="1192" spans="1:28" x14ac:dyDescent="0.25">
      <c r="A1192" t="s">
        <v>1196</v>
      </c>
      <c r="B1192">
        <v>0.995954080203443</v>
      </c>
      <c r="C1192">
        <v>0.57172648583401697</v>
      </c>
      <c r="D1192">
        <v>0.30809357887047101</v>
      </c>
      <c r="E1192">
        <v>0.27565431724962502</v>
      </c>
      <c r="F1192">
        <v>0.162624785120875</v>
      </c>
      <c r="G1192">
        <v>9.2414078222800997E-2</v>
      </c>
      <c r="H1192">
        <v>5.8587680144304502E-2</v>
      </c>
      <c r="I1192">
        <v>4.7353490947755102E-2</v>
      </c>
      <c r="J1192">
        <v>4.8922627467891999E-2</v>
      </c>
      <c r="K1192">
        <v>4.8581724229868499E-2</v>
      </c>
      <c r="L1192">
        <v>839.99332573536401</v>
      </c>
      <c r="M1192">
        <v>19.136204118473</v>
      </c>
      <c r="N1192">
        <v>44.289945339570401</v>
      </c>
      <c r="O1192">
        <v>43.424576315533898</v>
      </c>
      <c r="P1192">
        <v>-0.101541738466291</v>
      </c>
      <c r="Q1192">
        <v>7.8346768159286206E-2</v>
      </c>
      <c r="R1192">
        <v>0.95278277956624902</v>
      </c>
      <c r="S1192" t="s">
        <v>7998</v>
      </c>
      <c r="T1192" t="s">
        <v>13610</v>
      </c>
      <c r="U1192" t="s">
        <v>13610</v>
      </c>
      <c r="V1192" t="s">
        <v>13610</v>
      </c>
      <c r="W1192" t="s">
        <v>14770</v>
      </c>
      <c r="X1192">
        <v>4</v>
      </c>
      <c r="Y1192" t="s">
        <v>21479</v>
      </c>
      <c r="Z1192" t="s">
        <v>28047</v>
      </c>
      <c r="AA1192">
        <v>0.2181745908988138</v>
      </c>
      <c r="AB1192" t="str">
        <f>HYPERLINK("Melting_Curves/meltCurve_O14773_2_TPP1.pdf", "Melting_Curves/meltCurve_O14773_2_TPP1.pdf")</f>
        <v>Melting_Curves/meltCurve_O14773_2_TPP1.pdf</v>
      </c>
    </row>
    <row r="1193" spans="1:28" x14ac:dyDescent="0.25">
      <c r="A1193" t="s">
        <v>1197</v>
      </c>
      <c r="B1193">
        <v>0.995954080203443</v>
      </c>
      <c r="C1193">
        <v>0.94861016972120304</v>
      </c>
      <c r="D1193">
        <v>0.90732390101210703</v>
      </c>
      <c r="E1193">
        <v>0.511551314919374</v>
      </c>
      <c r="F1193">
        <v>0.43364812115642398</v>
      </c>
      <c r="G1193">
        <v>0.30713235580266401</v>
      </c>
      <c r="H1193">
        <v>0.27655969259414098</v>
      </c>
      <c r="I1193">
        <v>0.32914117224380501</v>
      </c>
      <c r="J1193">
        <v>0.427885522433752</v>
      </c>
      <c r="K1193">
        <v>0.37377034790872798</v>
      </c>
      <c r="L1193">
        <v>1471.3290095657501</v>
      </c>
      <c r="M1193">
        <v>30.375265716685199</v>
      </c>
      <c r="N1193">
        <v>50.403105969127502</v>
      </c>
      <c r="O1193">
        <v>48.229907531353099</v>
      </c>
      <c r="P1193">
        <v>-0.102819048640698</v>
      </c>
      <c r="Q1193">
        <v>0.34697897588383297</v>
      </c>
      <c r="R1193">
        <v>0.97430364726719398</v>
      </c>
      <c r="S1193" t="s">
        <v>7999</v>
      </c>
      <c r="T1193" t="s">
        <v>13610</v>
      </c>
      <c r="U1193" t="s">
        <v>13610</v>
      </c>
      <c r="V1193" t="s">
        <v>13610</v>
      </c>
      <c r="W1193" t="s">
        <v>14771</v>
      </c>
      <c r="X1193">
        <v>51</v>
      </c>
      <c r="Y1193" t="s">
        <v>21480</v>
      </c>
      <c r="Z1193" t="s">
        <v>28048</v>
      </c>
      <c r="AA1193">
        <v>0.53450846772187222</v>
      </c>
      <c r="AB1193" t="str">
        <f>HYPERLINK("Melting_Curves/meltCurve_O14776_2_TCERG1.pdf", "Melting_Curves/meltCurve_O14776_2_TCERG1.pdf")</f>
        <v>Melting_Curves/meltCurve_O14776_2_TCERG1.pdf</v>
      </c>
    </row>
    <row r="1194" spans="1:28" x14ac:dyDescent="0.25">
      <c r="A1194" t="s">
        <v>1198</v>
      </c>
      <c r="B1194">
        <v>0.995954080203443</v>
      </c>
      <c r="C1194">
        <v>0.91716749185783997</v>
      </c>
      <c r="D1194">
        <v>0.58408531940858799</v>
      </c>
      <c r="E1194">
        <v>0.33663711761646198</v>
      </c>
      <c r="F1194">
        <v>0.19379088505045899</v>
      </c>
      <c r="G1194">
        <v>0.13862508374905999</v>
      </c>
      <c r="H1194">
        <v>0.108308541461088</v>
      </c>
      <c r="I1194">
        <v>0.111455517980888</v>
      </c>
      <c r="J1194">
        <v>0.128625412634362</v>
      </c>
      <c r="K1194">
        <v>0.12845123514885601</v>
      </c>
      <c r="L1194">
        <v>959.54515050904104</v>
      </c>
      <c r="M1194">
        <v>20.539341154785799</v>
      </c>
      <c r="N1194">
        <v>47.349020072436097</v>
      </c>
      <c r="O1194">
        <v>46.281339483173497</v>
      </c>
      <c r="P1194">
        <v>-9.7656798998018199E-2</v>
      </c>
      <c r="Q1194">
        <v>0.119824725225478</v>
      </c>
      <c r="R1194">
        <v>0.99440484182369604</v>
      </c>
      <c r="S1194" t="s">
        <v>8000</v>
      </c>
      <c r="T1194" t="s">
        <v>13610</v>
      </c>
      <c r="U1194" t="s">
        <v>13610</v>
      </c>
      <c r="V1194" t="s">
        <v>13610</v>
      </c>
      <c r="W1194" t="s">
        <v>14772</v>
      </c>
      <c r="X1194">
        <v>11</v>
      </c>
      <c r="Y1194" t="s">
        <v>21481</v>
      </c>
      <c r="Z1194" t="s">
        <v>28049</v>
      </c>
      <c r="AA1194">
        <v>0.32920036438189032</v>
      </c>
      <c r="AB1194" t="str">
        <f>HYPERLINK("Melting_Curves/meltCurve_O14777_NDC80.pdf", "Melting_Curves/meltCurve_O14777_NDC80.pdf")</f>
        <v>Melting_Curves/meltCurve_O14777_NDC80.pdf</v>
      </c>
    </row>
    <row r="1195" spans="1:28" x14ac:dyDescent="0.25">
      <c r="A1195" t="s">
        <v>1199</v>
      </c>
      <c r="B1195">
        <v>0.995954080203443</v>
      </c>
      <c r="C1195">
        <v>0.98457907098358199</v>
      </c>
      <c r="D1195">
        <v>0.84176225549854999</v>
      </c>
      <c r="E1195">
        <v>0.55797219474880899</v>
      </c>
      <c r="F1195">
        <v>0.16452625005862601</v>
      </c>
      <c r="G1195">
        <v>8.2312322354345893E-2</v>
      </c>
      <c r="H1195">
        <v>4.7194447040198602E-2</v>
      </c>
      <c r="I1195">
        <v>3.5031648993906997E-2</v>
      </c>
      <c r="J1195">
        <v>3.2522531667710602E-2</v>
      </c>
      <c r="K1195">
        <v>3.65500546316724E-2</v>
      </c>
      <c r="L1195">
        <v>1215.993862627</v>
      </c>
      <c r="M1195">
        <v>24.357083746942202</v>
      </c>
      <c r="N1195">
        <v>50.047602736993603</v>
      </c>
      <c r="O1195">
        <v>49.590755978384799</v>
      </c>
      <c r="P1195">
        <v>-0.119197284710452</v>
      </c>
      <c r="Q1195">
        <v>2.9277006609314499E-2</v>
      </c>
      <c r="R1195">
        <v>0.99472362352559995</v>
      </c>
      <c r="S1195" t="s">
        <v>8001</v>
      </c>
      <c r="T1195" t="s">
        <v>13610</v>
      </c>
      <c r="U1195" t="s">
        <v>13610</v>
      </c>
      <c r="V1195" t="s">
        <v>13610</v>
      </c>
      <c r="W1195" t="s">
        <v>14773</v>
      </c>
      <c r="X1195">
        <v>23</v>
      </c>
      <c r="Y1195" t="s">
        <v>21482</v>
      </c>
      <c r="Z1195" t="s">
        <v>28050</v>
      </c>
      <c r="AA1195">
        <v>0.35951607048815998</v>
      </c>
      <c r="AB1195" t="str">
        <f>HYPERLINK("Melting_Curves/meltCurve_O14787_2_TNPO2.pdf", "Melting_Curves/meltCurve_O14787_2_TNPO2.pdf")</f>
        <v>Melting_Curves/meltCurve_O14787_2_TNPO2.pdf</v>
      </c>
    </row>
    <row r="1196" spans="1:28" x14ac:dyDescent="0.25">
      <c r="A1196" t="s">
        <v>1200</v>
      </c>
      <c r="B1196">
        <v>0.995954080203443</v>
      </c>
      <c r="C1196">
        <v>0.95276655265105503</v>
      </c>
      <c r="D1196">
        <v>0.72001136386356002</v>
      </c>
      <c r="E1196">
        <v>0.59644697634853705</v>
      </c>
      <c r="F1196">
        <v>0.44478703017030202</v>
      </c>
      <c r="G1196">
        <v>0.30761555874109803</v>
      </c>
      <c r="H1196">
        <v>0.27726585316487501</v>
      </c>
      <c r="I1196">
        <v>0.32134893614839299</v>
      </c>
      <c r="J1196">
        <v>0.32402328793076501</v>
      </c>
      <c r="K1196">
        <v>0.39493933269316001</v>
      </c>
      <c r="L1196">
        <v>817.484618511549</v>
      </c>
      <c r="M1196">
        <v>17.030738268949399</v>
      </c>
      <c r="N1196">
        <v>50.997213600528703</v>
      </c>
      <c r="O1196">
        <v>47.353391391195501</v>
      </c>
      <c r="P1196">
        <v>-6.1486492296035103E-2</v>
      </c>
      <c r="Q1196">
        <v>0.31619751612015201</v>
      </c>
      <c r="R1196">
        <v>0.97082848402016098</v>
      </c>
      <c r="S1196" t="s">
        <v>8002</v>
      </c>
      <c r="T1196" t="s">
        <v>13610</v>
      </c>
      <c r="U1196" t="s">
        <v>13610</v>
      </c>
      <c r="V1196" t="s">
        <v>13610</v>
      </c>
      <c r="W1196" t="s">
        <v>14774</v>
      </c>
      <c r="X1196">
        <v>12</v>
      </c>
      <c r="Y1196" t="s">
        <v>21483</v>
      </c>
      <c r="Z1196" t="s">
        <v>28051</v>
      </c>
      <c r="AA1196">
        <v>0.51216664408395307</v>
      </c>
      <c r="AB1196" t="str">
        <f>HYPERLINK("Melting_Curves/meltCurve_O14795_UNC13B.pdf", "Melting_Curves/meltCurve_O14795_UNC13B.pdf")</f>
        <v>Melting_Curves/meltCurve_O14795_UNC13B.pdf</v>
      </c>
    </row>
    <row r="1197" spans="1:28" x14ac:dyDescent="0.25">
      <c r="A1197" t="s">
        <v>1201</v>
      </c>
      <c r="B1197">
        <v>0.995954080203443</v>
      </c>
      <c r="C1197">
        <v>0.59796387992153999</v>
      </c>
      <c r="D1197">
        <v>0.40530066922362501</v>
      </c>
      <c r="E1197">
        <v>0.49321377713994102</v>
      </c>
      <c r="F1197">
        <v>0.23829265452315401</v>
      </c>
      <c r="G1197">
        <v>0.11155036363834001</v>
      </c>
      <c r="H1197">
        <v>7.7571137766569195E-2</v>
      </c>
      <c r="I1197">
        <v>7.0178459868228599E-2</v>
      </c>
      <c r="J1197">
        <v>7.2121849760034801E-2</v>
      </c>
      <c r="K1197">
        <v>6.4174009451094596E-2</v>
      </c>
      <c r="L1197">
        <v>479.78021471756301</v>
      </c>
      <c r="M1197">
        <v>10.383896750460099</v>
      </c>
      <c r="N1197">
        <v>46.473307128659798</v>
      </c>
      <c r="O1197">
        <v>44.589152248212898</v>
      </c>
      <c r="P1197">
        <v>-5.6545276971599903E-2</v>
      </c>
      <c r="Q1197">
        <v>2.9171360890617799E-2</v>
      </c>
      <c r="R1197">
        <v>0.91081094071499102</v>
      </c>
      <c r="S1197" t="s">
        <v>8003</v>
      </c>
      <c r="T1197" t="s">
        <v>13610</v>
      </c>
      <c r="U1197" t="s">
        <v>13610</v>
      </c>
      <c r="V1197" t="s">
        <v>13610</v>
      </c>
      <c r="W1197" t="s">
        <v>14775</v>
      </c>
      <c r="X1197">
        <v>25</v>
      </c>
      <c r="Y1197" t="s">
        <v>21484</v>
      </c>
      <c r="Z1197" t="s">
        <v>28052</v>
      </c>
      <c r="AA1197">
        <v>0.28601440564917829</v>
      </c>
      <c r="AB1197" t="str">
        <f>HYPERLINK("Melting_Curves/meltCurve_O14802_POLR3A.pdf", "Melting_Curves/meltCurve_O14802_POLR3A.pdf")</f>
        <v>Melting_Curves/meltCurve_O14802_POLR3A.pdf</v>
      </c>
    </row>
    <row r="1198" spans="1:28" x14ac:dyDescent="0.25">
      <c r="A1198" t="s">
        <v>1202</v>
      </c>
      <c r="B1198">
        <v>0.995954080203443</v>
      </c>
      <c r="C1198">
        <v>0.72340263608514899</v>
      </c>
      <c r="D1198">
        <v>0.48415059162843099</v>
      </c>
      <c r="E1198">
        <v>0.92058851112641904</v>
      </c>
      <c r="F1198">
        <v>0.62275313479567096</v>
      </c>
      <c r="G1198">
        <v>0.577647504400571</v>
      </c>
      <c r="H1198">
        <v>0.27305961123404698</v>
      </c>
      <c r="I1198">
        <v>0.28476313662536901</v>
      </c>
      <c r="J1198">
        <v>8.3203123127483E-2</v>
      </c>
      <c r="K1198">
        <v>0.35483805381237599</v>
      </c>
      <c r="L1198">
        <v>315.893294027286</v>
      </c>
      <c r="M1198">
        <v>5.6964341634642803</v>
      </c>
      <c r="N1198">
        <v>55.454567702060601</v>
      </c>
      <c r="O1198">
        <v>49.7574245892473</v>
      </c>
      <c r="P1198">
        <v>-2.8732462661662499E-2</v>
      </c>
      <c r="Q1198">
        <v>0</v>
      </c>
      <c r="R1198">
        <v>0.67520930745596697</v>
      </c>
      <c r="S1198" t="s">
        <v>8004</v>
      </c>
      <c r="T1198" t="s">
        <v>13610</v>
      </c>
      <c r="U1198" t="s">
        <v>13610</v>
      </c>
      <c r="V1198" t="s">
        <v>13610</v>
      </c>
      <c r="W1198" t="s">
        <v>14776</v>
      </c>
      <c r="X1198">
        <v>16</v>
      </c>
      <c r="Y1198" t="s">
        <v>21485</v>
      </c>
      <c r="Z1198" t="s">
        <v>28053</v>
      </c>
      <c r="AA1198">
        <v>0.53547823553124385</v>
      </c>
      <c r="AB1198" t="str">
        <f>HYPERLINK("Melting_Curves/meltCurve_O14818_PSMA7.pdf", "Melting_Curves/meltCurve_O14818_PSMA7.pdf")</f>
        <v>Melting_Curves/meltCurve_O14818_PSMA7.pdf</v>
      </c>
    </row>
    <row r="1199" spans="1:28" x14ac:dyDescent="0.25">
      <c r="A1199" t="s">
        <v>1203</v>
      </c>
      <c r="B1199">
        <v>0.995954080203443</v>
      </c>
      <c r="C1199">
        <v>0.94597019338758903</v>
      </c>
      <c r="D1199">
        <v>0.89081981618302097</v>
      </c>
      <c r="E1199">
        <v>0.79990999705855703</v>
      </c>
      <c r="F1199">
        <v>0.76389806821820705</v>
      </c>
      <c r="G1199">
        <v>0.52050578392892999</v>
      </c>
      <c r="H1199">
        <v>0.40853416751899602</v>
      </c>
      <c r="I1199">
        <v>0.39688642421484499</v>
      </c>
      <c r="J1199">
        <v>0.73823374056052704</v>
      </c>
      <c r="K1199">
        <v>0.37955245596329601</v>
      </c>
      <c r="L1199">
        <v>810.87534747793302</v>
      </c>
      <c r="M1199">
        <v>15.651784149862801</v>
      </c>
      <c r="N1199">
        <v>61.704699621643996</v>
      </c>
      <c r="O1199">
        <v>50.983636946370702</v>
      </c>
      <c r="P1199">
        <v>-4.1494964657229703E-2</v>
      </c>
      <c r="Q1199">
        <v>0.45938865169466703</v>
      </c>
      <c r="R1199">
        <v>0.79106592937849596</v>
      </c>
      <c r="S1199" t="s">
        <v>8005</v>
      </c>
      <c r="T1199" t="s">
        <v>13610</v>
      </c>
      <c r="U1199" t="s">
        <v>13610</v>
      </c>
      <c r="V1199" t="s">
        <v>13610</v>
      </c>
      <c r="W1199" t="s">
        <v>14777</v>
      </c>
      <c r="X1199">
        <v>2</v>
      </c>
      <c r="Y1199" t="s">
        <v>21486</v>
      </c>
      <c r="Z1199" t="s">
        <v>28054</v>
      </c>
      <c r="AA1199">
        <v>0.68353767185887504</v>
      </c>
      <c r="AB1199" t="str">
        <f>HYPERLINK("Melting_Curves/meltCurve_O14828_SCAMP3.pdf", "Melting_Curves/meltCurve_O14828_SCAMP3.pdf")</f>
        <v>Melting_Curves/meltCurve_O14828_SCAMP3.pdf</v>
      </c>
    </row>
    <row r="1200" spans="1:28" x14ac:dyDescent="0.25">
      <c r="A1200" t="s">
        <v>1204</v>
      </c>
      <c r="B1200">
        <v>0.995954080203443</v>
      </c>
      <c r="C1200">
        <v>0.86635762218782097</v>
      </c>
      <c r="D1200">
        <v>0.74426919087214605</v>
      </c>
      <c r="E1200">
        <v>0.67793575572873599</v>
      </c>
      <c r="F1200">
        <v>0.38231434653241902</v>
      </c>
      <c r="G1200">
        <v>0.15708263061407601</v>
      </c>
      <c r="H1200">
        <v>9.7620741636825006E-2</v>
      </c>
      <c r="I1200">
        <v>8.9292754335657698E-2</v>
      </c>
      <c r="J1200">
        <v>9.6804478020077994E-2</v>
      </c>
      <c r="K1200">
        <v>9.3066092703352907E-2</v>
      </c>
      <c r="L1200">
        <v>670.09711703446499</v>
      </c>
      <c r="M1200">
        <v>13.1792393851089</v>
      </c>
      <c r="N1200">
        <v>51.109957880218602</v>
      </c>
      <c r="O1200">
        <v>49.7170179303791</v>
      </c>
      <c r="P1200">
        <v>-6.4092905049154103E-2</v>
      </c>
      <c r="Q1200">
        <v>3.3032198066890402E-2</v>
      </c>
      <c r="R1200">
        <v>0.97812885037005004</v>
      </c>
      <c r="S1200" t="s">
        <v>8006</v>
      </c>
      <c r="T1200" t="s">
        <v>13610</v>
      </c>
      <c r="U1200" t="s">
        <v>13610</v>
      </c>
      <c r="V1200" t="s">
        <v>13610</v>
      </c>
      <c r="W1200" t="s">
        <v>14778</v>
      </c>
      <c r="X1200">
        <v>42</v>
      </c>
      <c r="Y1200" t="s">
        <v>21487</v>
      </c>
      <c r="Z1200" t="s">
        <v>28055</v>
      </c>
      <c r="AA1200">
        <v>0.41024525066146711</v>
      </c>
      <c r="AB1200" t="str">
        <f>HYPERLINK("Melting_Curves/meltCurve_O14841_OPLAH.pdf", "Melting_Curves/meltCurve_O14841_OPLAH.pdf")</f>
        <v>Melting_Curves/meltCurve_O14841_OPLAH.pdf</v>
      </c>
    </row>
    <row r="1201" spans="1:28" x14ac:dyDescent="0.25">
      <c r="A1201" t="s">
        <v>1205</v>
      </c>
      <c r="B1201">
        <v>0.995954080203443</v>
      </c>
      <c r="C1201">
        <v>0.97126518916036997</v>
      </c>
      <c r="D1201">
        <v>0.940841600607494</v>
      </c>
      <c r="E1201">
        <v>0.86440385619795002</v>
      </c>
      <c r="F1201">
        <v>0.81455139633285201</v>
      </c>
      <c r="G1201">
        <v>0.63736293187598703</v>
      </c>
      <c r="H1201">
        <v>0.57728136735501601</v>
      </c>
      <c r="I1201">
        <v>0.64322064374737098</v>
      </c>
      <c r="J1201">
        <v>0.74800112963116605</v>
      </c>
      <c r="K1201">
        <v>0.68607543323074005</v>
      </c>
      <c r="L1201">
        <v>1128.27499094669</v>
      </c>
      <c r="M1201">
        <v>22.047386508732199</v>
      </c>
      <c r="O1201">
        <v>50.759557706677597</v>
      </c>
      <c r="P1201">
        <v>-3.74061096832215E-2</v>
      </c>
      <c r="Q1201">
        <v>0.65552816506999301</v>
      </c>
      <c r="R1201">
        <v>0.88500773458704196</v>
      </c>
      <c r="S1201" t="s">
        <v>8007</v>
      </c>
      <c r="T1201" t="s">
        <v>13610</v>
      </c>
      <c r="U1201" t="s">
        <v>13610</v>
      </c>
      <c r="V1201" t="s">
        <v>13610</v>
      </c>
      <c r="W1201" t="s">
        <v>14779</v>
      </c>
      <c r="X1201">
        <v>24</v>
      </c>
      <c r="Y1201" t="s">
        <v>21488</v>
      </c>
      <c r="Z1201" t="s">
        <v>28056</v>
      </c>
      <c r="AA1201">
        <v>0.78782126780528094</v>
      </c>
      <c r="AB1201" t="str">
        <f>HYPERLINK("Melting_Curves/meltCurve_O14867_BACH1.pdf", "Melting_Curves/meltCurve_O14867_BACH1.pdf")</f>
        <v>Melting_Curves/meltCurve_O14867_BACH1.pdf</v>
      </c>
    </row>
    <row r="1202" spans="1:28" x14ac:dyDescent="0.25">
      <c r="A1202" t="s">
        <v>1206</v>
      </c>
      <c r="B1202">
        <v>0.995954080203443</v>
      </c>
      <c r="C1202">
        <v>0.95475326351361101</v>
      </c>
      <c r="D1202">
        <v>0.87170334689402196</v>
      </c>
      <c r="E1202">
        <v>0.51148135069626099</v>
      </c>
      <c r="F1202">
        <v>0.18251883528502699</v>
      </c>
      <c r="G1202">
        <v>9.4003699967330101E-2</v>
      </c>
      <c r="H1202">
        <v>5.8874817968475497E-2</v>
      </c>
      <c r="I1202">
        <v>6.0835487289179001E-2</v>
      </c>
      <c r="J1202">
        <v>8.1272290520399804E-2</v>
      </c>
      <c r="K1202">
        <v>9.0121373568463697E-2</v>
      </c>
      <c r="L1202">
        <v>1290.2781130134499</v>
      </c>
      <c r="M1202">
        <v>26.0173410258407</v>
      </c>
      <c r="N1202">
        <v>49.863948256283798</v>
      </c>
      <c r="O1202">
        <v>49.302802888054899</v>
      </c>
      <c r="P1202">
        <v>-0.123231758461863</v>
      </c>
      <c r="Q1202">
        <v>6.5915154848485105E-2</v>
      </c>
      <c r="R1202">
        <v>0.99724246574977404</v>
      </c>
      <c r="S1202" t="s">
        <v>8008</v>
      </c>
      <c r="T1202" t="s">
        <v>13610</v>
      </c>
      <c r="U1202" t="s">
        <v>13610</v>
      </c>
      <c r="V1202" t="s">
        <v>13610</v>
      </c>
      <c r="W1202" t="s">
        <v>14780</v>
      </c>
      <c r="X1202">
        <v>3</v>
      </c>
      <c r="Y1202" t="s">
        <v>21489</v>
      </c>
      <c r="Z1202" t="s">
        <v>28057</v>
      </c>
      <c r="AA1202">
        <v>0.37227321596652119</v>
      </c>
      <c r="AB1202" t="str">
        <f>HYPERLINK("Melting_Curves/meltCurve_O14907_TAX1BP3.pdf", "Melting_Curves/meltCurve_O14907_TAX1BP3.pdf")</f>
        <v>Melting_Curves/meltCurve_O14907_TAX1BP3.pdf</v>
      </c>
    </row>
    <row r="1203" spans="1:28" x14ac:dyDescent="0.25">
      <c r="A1203" t="s">
        <v>1207</v>
      </c>
      <c r="B1203">
        <v>0.995954080203443</v>
      </c>
      <c r="C1203">
        <v>1.0169429737450999</v>
      </c>
      <c r="D1203">
        <v>0.894306933985341</v>
      </c>
      <c r="E1203">
        <v>0.77212021994121705</v>
      </c>
      <c r="F1203">
        <v>0.59269467915980201</v>
      </c>
      <c r="G1203">
        <v>0.44223963487845802</v>
      </c>
      <c r="H1203">
        <v>0.40868905637498398</v>
      </c>
      <c r="I1203">
        <v>0.47564771676586398</v>
      </c>
      <c r="J1203">
        <v>0.58168175147538403</v>
      </c>
      <c r="K1203">
        <v>0.56574455268170099</v>
      </c>
      <c r="L1203">
        <v>1301.47863324421</v>
      </c>
      <c r="M1203">
        <v>26.046930267385399</v>
      </c>
      <c r="N1203">
        <v>59.750421769020797</v>
      </c>
      <c r="O1203">
        <v>49.674948176717898</v>
      </c>
      <c r="P1203">
        <v>-6.6465184832914706E-2</v>
      </c>
      <c r="Q1203">
        <v>0.49297414683872698</v>
      </c>
      <c r="R1203">
        <v>0.93430299737810696</v>
      </c>
      <c r="S1203" t="s">
        <v>8009</v>
      </c>
      <c r="T1203" t="s">
        <v>13610</v>
      </c>
      <c r="U1203" t="s">
        <v>13610</v>
      </c>
      <c r="V1203" t="s">
        <v>13610</v>
      </c>
      <c r="W1203" t="s">
        <v>14781</v>
      </c>
      <c r="X1203">
        <v>13</v>
      </c>
      <c r="Y1203" t="s">
        <v>21490</v>
      </c>
      <c r="Z1203" t="s">
        <v>28058</v>
      </c>
      <c r="AA1203">
        <v>0.66559037721205383</v>
      </c>
      <c r="AB1203" t="str">
        <f>HYPERLINK("Melting_Curves/meltCurve_O14908_GIPC1.pdf", "Melting_Curves/meltCurve_O14908_GIPC1.pdf")</f>
        <v>Melting_Curves/meltCurve_O14908_GIPC1.pdf</v>
      </c>
    </row>
    <row r="1204" spans="1:28" x14ac:dyDescent="0.25">
      <c r="A1204" t="s">
        <v>1208</v>
      </c>
      <c r="B1204">
        <v>0.995954080203443</v>
      </c>
      <c r="C1204">
        <v>0.48735043691685198</v>
      </c>
      <c r="D1204">
        <v>0.17690192310389499</v>
      </c>
      <c r="E1204">
        <v>0.16754976239077099</v>
      </c>
      <c r="F1204">
        <v>0.10223519951632</v>
      </c>
      <c r="G1204">
        <v>5.7103051631973198E-2</v>
      </c>
      <c r="H1204">
        <v>3.7456828095555401E-2</v>
      </c>
      <c r="I1204">
        <v>3.5684159172517799E-2</v>
      </c>
      <c r="J1204">
        <v>3.7738895380843802E-2</v>
      </c>
      <c r="K1204">
        <v>3.5313356777468503E-2</v>
      </c>
      <c r="L1204">
        <v>1647.8217685995501</v>
      </c>
      <c r="M1204">
        <v>38.508932286910401</v>
      </c>
      <c r="N1204">
        <v>42.9632296007454</v>
      </c>
      <c r="O1204">
        <v>42.675732770474298</v>
      </c>
      <c r="P1204">
        <v>-0.209424721405012</v>
      </c>
      <c r="Q1204">
        <v>7.1661419816656802E-2</v>
      </c>
      <c r="R1204">
        <v>0.976083663172712</v>
      </c>
      <c r="S1204" t="s">
        <v>8010</v>
      </c>
      <c r="T1204" t="s">
        <v>13610</v>
      </c>
      <c r="U1204" t="s">
        <v>13610</v>
      </c>
      <c r="V1204" t="s">
        <v>13610</v>
      </c>
      <c r="W1204" t="s">
        <v>14782</v>
      </c>
      <c r="X1204">
        <v>19</v>
      </c>
      <c r="Y1204" t="s">
        <v>21491</v>
      </c>
      <c r="Z1204" t="s">
        <v>28059</v>
      </c>
      <c r="AA1204">
        <v>0.16287082138559389</v>
      </c>
      <c r="AB1204" t="str">
        <f>HYPERLINK("Melting_Curves/meltCurve_O14920_IKBKB.pdf", "Melting_Curves/meltCurve_O14920_IKBKB.pdf")</f>
        <v>Melting_Curves/meltCurve_O14920_IKBKB.pdf</v>
      </c>
    </row>
    <row r="1205" spans="1:28" x14ac:dyDescent="0.25">
      <c r="A1205" t="s">
        <v>1209</v>
      </c>
      <c r="B1205">
        <v>0.995954080203443</v>
      </c>
      <c r="C1205">
        <v>1.03864551299484</v>
      </c>
      <c r="D1205">
        <v>0.97449522730705296</v>
      </c>
      <c r="E1205">
        <v>0.85032979703338796</v>
      </c>
      <c r="F1205">
        <v>0.74462396923625196</v>
      </c>
      <c r="G1205">
        <v>0.50257626274672895</v>
      </c>
      <c r="H1205">
        <v>0.46313056519749302</v>
      </c>
      <c r="I1205">
        <v>0.462524764567466</v>
      </c>
      <c r="J1205">
        <v>0.63858015092645903</v>
      </c>
      <c r="K1205">
        <v>0.613669874952808</v>
      </c>
      <c r="L1205">
        <v>1524.52463100716</v>
      </c>
      <c r="M1205">
        <v>29.401736880577399</v>
      </c>
      <c r="O1205">
        <v>51.613425189107403</v>
      </c>
      <c r="P1205">
        <v>-6.6345046367186702E-2</v>
      </c>
      <c r="Q1205">
        <v>0.53414032356628205</v>
      </c>
      <c r="R1205">
        <v>0.91797912441834895</v>
      </c>
      <c r="S1205" t="s">
        <v>8011</v>
      </c>
      <c r="T1205" t="s">
        <v>13610</v>
      </c>
      <c r="U1205" t="s">
        <v>13610</v>
      </c>
      <c r="V1205" t="s">
        <v>13610</v>
      </c>
      <c r="W1205" t="s">
        <v>14783</v>
      </c>
      <c r="X1205">
        <v>1</v>
      </c>
      <c r="Y1205" t="s">
        <v>21492</v>
      </c>
      <c r="Z1205" t="s">
        <v>28060</v>
      </c>
      <c r="AA1205">
        <v>0.72126911021812146</v>
      </c>
      <c r="AB1205" t="str">
        <f>HYPERLINK("Melting_Curves/meltCurve_O14924_2_RGS12.pdf", "Melting_Curves/meltCurve_O14924_2_RGS12.pdf")</f>
        <v>Melting_Curves/meltCurve_O14924_2_RGS12.pdf</v>
      </c>
    </row>
    <row r="1206" spans="1:28" x14ac:dyDescent="0.25">
      <c r="A1206" t="s">
        <v>1210</v>
      </c>
      <c r="B1206">
        <v>0.995954080203443</v>
      </c>
      <c r="C1206">
        <v>0.87316929307949198</v>
      </c>
      <c r="D1206">
        <v>0.76900569972318</v>
      </c>
      <c r="E1206">
        <v>0.56426373430556598</v>
      </c>
      <c r="F1206">
        <v>0.17873389046251301</v>
      </c>
      <c r="G1206">
        <v>9.2966126115832201E-2</v>
      </c>
      <c r="H1206">
        <v>5.9789947186437903E-2</v>
      </c>
      <c r="I1206">
        <v>5.2243880376575201E-2</v>
      </c>
      <c r="J1206">
        <v>6.1793518055809002E-2</v>
      </c>
      <c r="K1206">
        <v>5.4839682315626699E-2</v>
      </c>
      <c r="L1206">
        <v>869.33816882636495</v>
      </c>
      <c r="M1206">
        <v>17.5854352401231</v>
      </c>
      <c r="N1206">
        <v>49.6156592074759</v>
      </c>
      <c r="O1206">
        <v>48.809150255795899</v>
      </c>
      <c r="P1206">
        <v>-8.7285650759329397E-2</v>
      </c>
      <c r="Q1206">
        <v>3.0991733873739501E-2</v>
      </c>
      <c r="R1206">
        <v>0.98365267342068696</v>
      </c>
      <c r="S1206" t="s">
        <v>8012</v>
      </c>
      <c r="T1206" t="s">
        <v>13610</v>
      </c>
      <c r="U1206" t="s">
        <v>13610</v>
      </c>
      <c r="V1206" t="s">
        <v>13610</v>
      </c>
      <c r="W1206" t="s">
        <v>14784</v>
      </c>
      <c r="X1206">
        <v>17</v>
      </c>
      <c r="Y1206" t="s">
        <v>21493</v>
      </c>
      <c r="Z1206" t="s">
        <v>28061</v>
      </c>
      <c r="AA1206">
        <v>0.35318060148110042</v>
      </c>
      <c r="AB1206" t="str">
        <f>HYPERLINK("Melting_Curves/meltCurve_O14929_HAT1.pdf", "Melting_Curves/meltCurve_O14929_HAT1.pdf")</f>
        <v>Melting_Curves/meltCurve_O14929_HAT1.pdf</v>
      </c>
    </row>
    <row r="1207" spans="1:28" x14ac:dyDescent="0.25">
      <c r="A1207" t="s">
        <v>1211</v>
      </c>
      <c r="B1207">
        <v>0.995954080203443</v>
      </c>
      <c r="C1207">
        <v>1.00225142375141</v>
      </c>
      <c r="D1207">
        <v>1.13777734661256</v>
      </c>
      <c r="E1207">
        <v>0.74213174238793</v>
      </c>
      <c r="F1207">
        <v>0.35046327032872399</v>
      </c>
      <c r="G1207">
        <v>0.138956175594105</v>
      </c>
      <c r="H1207">
        <v>9.0165451120907805E-2</v>
      </c>
      <c r="I1207">
        <v>0.10083362746017301</v>
      </c>
      <c r="J1207">
        <v>9.32850771843243E-2</v>
      </c>
      <c r="K1207">
        <v>9.3685449191502707E-2</v>
      </c>
      <c r="L1207">
        <v>1833.5444909625401</v>
      </c>
      <c r="M1207">
        <v>35.610313710734303</v>
      </c>
      <c r="N1207">
        <v>51.805629380208998</v>
      </c>
      <c r="O1207">
        <v>51.327576294523602</v>
      </c>
      <c r="P1207">
        <v>-0.156491420338494</v>
      </c>
      <c r="Q1207">
        <v>9.7755898844374106E-2</v>
      </c>
      <c r="R1207">
        <v>0.98651421823195895</v>
      </c>
      <c r="S1207" t="s">
        <v>8013</v>
      </c>
      <c r="T1207" t="s">
        <v>13610</v>
      </c>
      <c r="U1207" t="s">
        <v>13610</v>
      </c>
      <c r="V1207" t="s">
        <v>13610</v>
      </c>
      <c r="W1207" t="s">
        <v>14785</v>
      </c>
      <c r="X1207">
        <v>9</v>
      </c>
      <c r="Y1207" t="s">
        <v>21494</v>
      </c>
      <c r="Z1207" t="s">
        <v>28062</v>
      </c>
      <c r="AA1207">
        <v>0.44734568953928672</v>
      </c>
      <c r="AB1207" t="str">
        <f>HYPERLINK("Melting_Curves/meltCurve_O14933_UBE2L6.pdf", "Melting_Curves/meltCurve_O14933_UBE2L6.pdf")</f>
        <v>Melting_Curves/meltCurve_O14933_UBE2L6.pdf</v>
      </c>
    </row>
    <row r="1208" spans="1:28" x14ac:dyDescent="0.25">
      <c r="A1208" t="s">
        <v>1212</v>
      </c>
      <c r="B1208">
        <v>0.995954080203443</v>
      </c>
      <c r="C1208">
        <v>1.0066149252486001</v>
      </c>
      <c r="D1208">
        <v>1.1981532004845401</v>
      </c>
      <c r="E1208">
        <v>0.90649587279708399</v>
      </c>
      <c r="F1208">
        <v>0.740983456654837</v>
      </c>
      <c r="G1208">
        <v>0.39213205095446901</v>
      </c>
      <c r="H1208">
        <v>0.18316665981410499</v>
      </c>
      <c r="I1208">
        <v>0.18068502616290999</v>
      </c>
      <c r="J1208">
        <v>0.21027743684828101</v>
      </c>
      <c r="K1208">
        <v>0.20035851570045299</v>
      </c>
      <c r="L1208">
        <v>1524.54933509629</v>
      </c>
      <c r="M1208">
        <v>27.970365617128</v>
      </c>
      <c r="N1208">
        <v>55.4106876940007</v>
      </c>
      <c r="O1208">
        <v>54.229536696406498</v>
      </c>
      <c r="P1208">
        <v>-0.105306522975272</v>
      </c>
      <c r="Q1208">
        <v>0.18332478689600201</v>
      </c>
      <c r="R1208">
        <v>0.96971604876641004</v>
      </c>
      <c r="S1208" t="s">
        <v>8014</v>
      </c>
      <c r="T1208" t="s">
        <v>13610</v>
      </c>
      <c r="U1208" t="s">
        <v>13610</v>
      </c>
      <c r="V1208" t="s">
        <v>13610</v>
      </c>
      <c r="W1208" t="s">
        <v>14786</v>
      </c>
      <c r="X1208">
        <v>23</v>
      </c>
      <c r="Y1208" t="s">
        <v>21495</v>
      </c>
      <c r="Z1208" t="s">
        <v>28063</v>
      </c>
      <c r="AA1208">
        <v>0.58436850747988911</v>
      </c>
      <c r="AB1208" t="str">
        <f>HYPERLINK("Melting_Curves/meltCurve_O14964_HGS.pdf", "Melting_Curves/meltCurve_O14964_HGS.pdf")</f>
        <v>Melting_Curves/meltCurve_O14964_HGS.pdf</v>
      </c>
    </row>
    <row r="1209" spans="1:28" x14ac:dyDescent="0.25">
      <c r="A1209" t="s">
        <v>1213</v>
      </c>
      <c r="B1209">
        <v>0.995954080203443</v>
      </c>
      <c r="C1209">
        <v>0.84068529540858805</v>
      </c>
      <c r="D1209">
        <v>0.827606129339856</v>
      </c>
      <c r="E1209">
        <v>0.51871762984480996</v>
      </c>
      <c r="F1209">
        <v>0.32911253676827201</v>
      </c>
      <c r="G1209">
        <v>0.17737215045566099</v>
      </c>
      <c r="H1209">
        <v>0.12814563427531001</v>
      </c>
      <c r="I1209">
        <v>0.118207940336172</v>
      </c>
      <c r="J1209">
        <v>0.16146563580613599</v>
      </c>
      <c r="K1209">
        <v>0.13923859593079299</v>
      </c>
      <c r="L1209">
        <v>798.05916238308703</v>
      </c>
      <c r="M1209">
        <v>16.1810358825904</v>
      </c>
      <c r="N1209">
        <v>50.115058831958997</v>
      </c>
      <c r="O1209">
        <v>48.585803406034202</v>
      </c>
      <c r="P1209">
        <v>-7.3847139277163701E-2</v>
      </c>
      <c r="Q1209">
        <v>0.113121533679425</v>
      </c>
      <c r="R1209">
        <v>0.98835069962105804</v>
      </c>
      <c r="S1209" t="s">
        <v>8015</v>
      </c>
      <c r="T1209" t="s">
        <v>13610</v>
      </c>
      <c r="U1209" t="s">
        <v>13610</v>
      </c>
      <c r="V1209" t="s">
        <v>13610</v>
      </c>
      <c r="W1209" t="s">
        <v>14787</v>
      </c>
      <c r="X1209">
        <v>4</v>
      </c>
      <c r="Y1209" t="s">
        <v>21496</v>
      </c>
      <c r="Z1209" t="s">
        <v>28064</v>
      </c>
      <c r="AA1209">
        <v>0.40743428130646081</v>
      </c>
      <c r="AB1209" t="str">
        <f>HYPERLINK("Melting_Curves/meltCurve_O14965_AURKA.pdf", "Melting_Curves/meltCurve_O14965_AURKA.pdf")</f>
        <v>Melting_Curves/meltCurve_O14965_AURKA.pdf</v>
      </c>
    </row>
    <row r="1210" spans="1:28" x14ac:dyDescent="0.25">
      <c r="A1210" t="s">
        <v>1214</v>
      </c>
      <c r="B1210">
        <v>0.995954080203443</v>
      </c>
      <c r="C1210">
        <v>0.93706993759357204</v>
      </c>
      <c r="D1210">
        <v>0.93808328715172196</v>
      </c>
      <c r="E1210">
        <v>0.75269208500888496</v>
      </c>
      <c r="F1210">
        <v>0.67756568054718702</v>
      </c>
      <c r="G1210">
        <v>0.53021089513792696</v>
      </c>
      <c r="H1210">
        <v>0.54069300034265699</v>
      </c>
      <c r="I1210">
        <v>0.69654594351755506</v>
      </c>
      <c r="J1210">
        <v>0.86522799207223999</v>
      </c>
      <c r="K1210">
        <v>0.84550332982156096</v>
      </c>
      <c r="L1210">
        <v>1686.19269829105</v>
      </c>
      <c r="M1210">
        <v>35.376416910711797</v>
      </c>
      <c r="O1210">
        <v>47.512779488696196</v>
      </c>
      <c r="P1210">
        <v>-5.7201331897594299E-2</v>
      </c>
      <c r="Q1210">
        <v>0.69270093040351499</v>
      </c>
      <c r="R1210">
        <v>0.56472923466763802</v>
      </c>
      <c r="S1210" t="s">
        <v>8016</v>
      </c>
      <c r="T1210" t="s">
        <v>13610</v>
      </c>
      <c r="U1210" t="s">
        <v>13610</v>
      </c>
      <c r="V1210" t="s">
        <v>13610</v>
      </c>
      <c r="W1210" t="s">
        <v>14788</v>
      </c>
      <c r="X1210">
        <v>55</v>
      </c>
      <c r="Y1210" t="s">
        <v>21497</v>
      </c>
      <c r="Z1210" t="s">
        <v>28065</v>
      </c>
      <c r="AA1210">
        <v>0.77251699492465797</v>
      </c>
      <c r="AB1210" t="str">
        <f>HYPERLINK("Melting_Curves/meltCurve_O14974_PPP1R12A.pdf", "Melting_Curves/meltCurve_O14974_PPP1R12A.pdf")</f>
        <v>Melting_Curves/meltCurve_O14974_PPP1R12A.pdf</v>
      </c>
    </row>
    <row r="1211" spans="1:28" x14ac:dyDescent="0.25">
      <c r="A1211" t="s">
        <v>1215</v>
      </c>
      <c r="B1211">
        <v>0.995954080203443</v>
      </c>
      <c r="C1211">
        <v>0.97072890698789205</v>
      </c>
      <c r="D1211">
        <v>0.95116215891935796</v>
      </c>
      <c r="E1211">
        <v>0.70409526098532005</v>
      </c>
      <c r="F1211">
        <v>0.60928809037588605</v>
      </c>
      <c r="G1211">
        <v>0.34225708322911802</v>
      </c>
      <c r="H1211">
        <v>0.142286568095805</v>
      </c>
      <c r="I1211">
        <v>0.111541197411212</v>
      </c>
      <c r="J1211">
        <v>0.120989719249478</v>
      </c>
      <c r="K1211">
        <v>0.109106494659869</v>
      </c>
      <c r="L1211">
        <v>812.89022671495604</v>
      </c>
      <c r="M1211">
        <v>15.1927878467153</v>
      </c>
      <c r="N1211">
        <v>53.968596548288403</v>
      </c>
      <c r="O1211">
        <v>52.6037286607623</v>
      </c>
      <c r="P1211">
        <v>-6.7793328788737103E-2</v>
      </c>
      <c r="Q1211">
        <v>6.1176062746992201E-2</v>
      </c>
      <c r="R1211">
        <v>0.99305080633425602</v>
      </c>
      <c r="S1211" t="s">
        <v>8017</v>
      </c>
      <c r="T1211" t="s">
        <v>13610</v>
      </c>
      <c r="U1211" t="s">
        <v>13610</v>
      </c>
      <c r="V1211" t="s">
        <v>13610</v>
      </c>
      <c r="W1211" t="s">
        <v>14789</v>
      </c>
      <c r="X1211">
        <v>32</v>
      </c>
      <c r="Y1211" t="s">
        <v>21498</v>
      </c>
      <c r="Z1211" t="s">
        <v>28066</v>
      </c>
      <c r="AA1211">
        <v>0.50322291938419406</v>
      </c>
      <c r="AB1211" t="str">
        <f>HYPERLINK("Melting_Curves/meltCurve_O14976_GAK.pdf", "Melting_Curves/meltCurve_O14976_GAK.pdf")</f>
        <v>Melting_Curves/meltCurve_O14976_GAK.pdf</v>
      </c>
    </row>
    <row r="1212" spans="1:28" x14ac:dyDescent="0.25">
      <c r="A1212" t="s">
        <v>1216</v>
      </c>
      <c r="B1212">
        <v>0.995954080203443</v>
      </c>
      <c r="C1212">
        <v>0.92210794745136504</v>
      </c>
      <c r="D1212">
        <v>0.87855185094430599</v>
      </c>
      <c r="E1212">
        <v>0.93377066425071897</v>
      </c>
      <c r="F1212">
        <v>0.812615947689868</v>
      </c>
      <c r="G1212">
        <v>0.55514375670688199</v>
      </c>
      <c r="H1212">
        <v>0.49350892312805</v>
      </c>
      <c r="I1212">
        <v>0.55375957945809295</v>
      </c>
      <c r="J1212">
        <v>0.76880798893592595</v>
      </c>
      <c r="K1212">
        <v>0.64032342912307505</v>
      </c>
      <c r="L1212">
        <v>2529.5226420075101</v>
      </c>
      <c r="M1212">
        <v>47.7860436787821</v>
      </c>
      <c r="O1212">
        <v>52.841888030276799</v>
      </c>
      <c r="P1212">
        <v>-9.0132116237405496E-2</v>
      </c>
      <c r="Q1212">
        <v>0.60132744738724397</v>
      </c>
      <c r="R1212">
        <v>0.76543428033824501</v>
      </c>
      <c r="S1212" t="s">
        <v>8018</v>
      </c>
      <c r="T1212" t="s">
        <v>13610</v>
      </c>
      <c r="U1212" t="s">
        <v>13610</v>
      </c>
      <c r="V1212" t="s">
        <v>13610</v>
      </c>
      <c r="W1212" t="s">
        <v>14790</v>
      </c>
      <c r="X1212">
        <v>9</v>
      </c>
      <c r="Y1212" t="s">
        <v>21499</v>
      </c>
      <c r="Z1212" t="s">
        <v>28067</v>
      </c>
      <c r="AA1212">
        <v>0.77423242809121318</v>
      </c>
      <c r="AB1212" t="str">
        <f>HYPERLINK("Melting_Curves/meltCurve_O14979_3_HNRPDL.pdf", "Melting_Curves/meltCurve_O14979_3_HNRPDL.pdf")</f>
        <v>Melting_Curves/meltCurve_O14979_3_HNRPDL.pdf</v>
      </c>
    </row>
    <row r="1213" spans="1:28" x14ac:dyDescent="0.25">
      <c r="A1213" t="s">
        <v>1217</v>
      </c>
      <c r="B1213">
        <v>0.995954080203443</v>
      </c>
      <c r="C1213">
        <v>1.0084788821844799</v>
      </c>
      <c r="D1213">
        <v>0.90551142723295097</v>
      </c>
      <c r="E1213">
        <v>0.652863074952307</v>
      </c>
      <c r="F1213">
        <v>0.145293482934504</v>
      </c>
      <c r="G1213">
        <v>8.9878607944773994E-2</v>
      </c>
      <c r="H1213">
        <v>5.76031256111217E-2</v>
      </c>
      <c r="I1213">
        <v>4.9796052777010602E-2</v>
      </c>
      <c r="J1213">
        <v>5.8557380703721698E-2</v>
      </c>
      <c r="K1213">
        <v>5.0189115548504103E-2</v>
      </c>
      <c r="L1213">
        <v>2246.9880804960499</v>
      </c>
      <c r="M1213">
        <v>44.452010094331797</v>
      </c>
      <c r="N1213">
        <v>50.687079436320403</v>
      </c>
      <c r="O1213">
        <v>50.446645827721198</v>
      </c>
      <c r="P1213">
        <v>-0.20769847110972001</v>
      </c>
      <c r="Q1213">
        <v>5.7169586786337899E-2</v>
      </c>
      <c r="R1213">
        <v>0.99508239573323898</v>
      </c>
      <c r="S1213" t="s">
        <v>8019</v>
      </c>
      <c r="T1213" t="s">
        <v>13610</v>
      </c>
      <c r="U1213" t="s">
        <v>13610</v>
      </c>
      <c r="V1213" t="s">
        <v>13610</v>
      </c>
      <c r="W1213" t="s">
        <v>14791</v>
      </c>
      <c r="X1213">
        <v>43</v>
      </c>
      <c r="Y1213" t="s">
        <v>21500</v>
      </c>
      <c r="Z1213" t="s">
        <v>28068</v>
      </c>
      <c r="AA1213">
        <v>0.39135207180576409</v>
      </c>
      <c r="AB1213" t="str">
        <f>HYPERLINK("Melting_Curves/meltCurve_O14980_XPO1.pdf", "Melting_Curves/meltCurve_O14980_XPO1.pdf")</f>
        <v>Melting_Curves/meltCurve_O14980_XPO1.pdf</v>
      </c>
    </row>
    <row r="1214" spans="1:28" x14ac:dyDescent="0.25">
      <c r="A1214" t="s">
        <v>1218</v>
      </c>
      <c r="B1214">
        <v>0.995954080203443</v>
      </c>
      <c r="C1214">
        <v>0.89437346526006001</v>
      </c>
      <c r="D1214">
        <v>0.76915379046339005</v>
      </c>
      <c r="E1214">
        <v>0.47433034920408901</v>
      </c>
      <c r="F1214">
        <v>0.159819049764826</v>
      </c>
      <c r="G1214">
        <v>9.2201897528662799E-2</v>
      </c>
      <c r="H1214">
        <v>5.1246338764556802E-2</v>
      </c>
      <c r="I1214">
        <v>4.3966846930161799E-2</v>
      </c>
      <c r="J1214">
        <v>4.8128156866520999E-2</v>
      </c>
      <c r="K1214">
        <v>4.3302571458689501E-2</v>
      </c>
      <c r="L1214">
        <v>918.12932576949299</v>
      </c>
      <c r="M1214">
        <v>18.753755966973799</v>
      </c>
      <c r="N1214">
        <v>49.120152441789898</v>
      </c>
      <c r="O1214">
        <v>48.410626214856499</v>
      </c>
      <c r="P1214">
        <v>-9.3928524965196297E-2</v>
      </c>
      <c r="Q1214">
        <v>3.0178855432236799E-2</v>
      </c>
      <c r="R1214">
        <v>0.99400875320091198</v>
      </c>
      <c r="S1214" t="s">
        <v>8020</v>
      </c>
      <c r="T1214" t="s">
        <v>13610</v>
      </c>
      <c r="U1214" t="s">
        <v>13610</v>
      </c>
      <c r="V1214" t="s">
        <v>13610</v>
      </c>
      <c r="W1214" t="s">
        <v>14792</v>
      </c>
      <c r="X1214">
        <v>34</v>
      </c>
      <c r="Y1214" t="s">
        <v>21501</v>
      </c>
      <c r="Z1214" t="s">
        <v>28069</v>
      </c>
      <c r="AA1214">
        <v>0.33522121448087128</v>
      </c>
      <c r="AB1214" t="str">
        <f>HYPERLINK("Melting_Curves/meltCurve_O14981_BTAF1.pdf", "Melting_Curves/meltCurve_O14981_BTAF1.pdf")</f>
        <v>Melting_Curves/meltCurve_O14981_BTAF1.pdf</v>
      </c>
    </row>
    <row r="1215" spans="1:28" x14ac:dyDescent="0.25">
      <c r="A1215" t="s">
        <v>1219</v>
      </c>
      <c r="B1215">
        <v>0.995954080203443</v>
      </c>
      <c r="C1215">
        <v>0.72624076145116401</v>
      </c>
      <c r="D1215">
        <v>0.57760441875694102</v>
      </c>
      <c r="E1215">
        <v>0.48710963948656699</v>
      </c>
      <c r="F1215">
        <v>0.53436165407879199</v>
      </c>
      <c r="G1215">
        <v>0.30799242534389998</v>
      </c>
      <c r="H1215">
        <v>0.34867709014570197</v>
      </c>
      <c r="I1215">
        <v>0.36681369477238901</v>
      </c>
      <c r="J1215">
        <v>1.06444717204993</v>
      </c>
      <c r="K1215">
        <v>0.44682350098795098</v>
      </c>
      <c r="L1215">
        <v>1642.9299871486501</v>
      </c>
      <c r="M1215">
        <v>38.417473191476503</v>
      </c>
      <c r="O1215">
        <v>42.649808847488003</v>
      </c>
      <c r="P1215">
        <v>-0.10998461132251799</v>
      </c>
      <c r="Q1215">
        <v>0.511596238716166</v>
      </c>
      <c r="R1215">
        <v>0.36166682559423202</v>
      </c>
      <c r="S1215" t="s">
        <v>8021</v>
      </c>
      <c r="T1215" t="s">
        <v>13610</v>
      </c>
      <c r="U1215" t="s">
        <v>13610</v>
      </c>
      <c r="V1215" t="s">
        <v>13610</v>
      </c>
      <c r="W1215" t="s">
        <v>14793</v>
      </c>
      <c r="X1215">
        <v>4</v>
      </c>
      <c r="Y1215" t="s">
        <v>21502</v>
      </c>
      <c r="Z1215" t="s">
        <v>28070</v>
      </c>
      <c r="AA1215">
        <v>0.55920700017474578</v>
      </c>
      <c r="AB1215" t="str">
        <f>HYPERLINK("Melting_Curves/meltCurve_O15013_7_ARHGEF10.pdf", "Melting_Curves/meltCurve_O15013_7_ARHGEF10.pdf")</f>
        <v>Melting_Curves/meltCurve_O15013_7_ARHGEF10.pdf</v>
      </c>
    </row>
    <row r="1216" spans="1:28" x14ac:dyDescent="0.25">
      <c r="A1216" t="s">
        <v>1220</v>
      </c>
      <c r="B1216">
        <v>0.995954080203443</v>
      </c>
      <c r="C1216">
        <v>0.99148451505589696</v>
      </c>
      <c r="D1216">
        <v>0.975201036229698</v>
      </c>
      <c r="E1216">
        <v>0.88408059552419405</v>
      </c>
      <c r="F1216">
        <v>0.81072567455959099</v>
      </c>
      <c r="G1216">
        <v>0.60010487980910199</v>
      </c>
      <c r="H1216">
        <v>0.59064568770786896</v>
      </c>
      <c r="I1216">
        <v>0.72995738524783604</v>
      </c>
      <c r="J1216">
        <v>0.93708198952245203</v>
      </c>
      <c r="K1216">
        <v>0.86907959714104099</v>
      </c>
      <c r="L1216">
        <v>1932.5423649905299</v>
      </c>
      <c r="M1216">
        <v>38.441632096554102</v>
      </c>
      <c r="O1216">
        <v>50.136655461301999</v>
      </c>
      <c r="P1216">
        <v>-4.7920056125868901E-2</v>
      </c>
      <c r="Q1216">
        <v>0.75000588209705799</v>
      </c>
      <c r="R1216">
        <v>0.52633310884276796</v>
      </c>
      <c r="S1216" t="s">
        <v>8022</v>
      </c>
      <c r="T1216" t="s">
        <v>13610</v>
      </c>
      <c r="U1216" t="s">
        <v>13610</v>
      </c>
      <c r="V1216" t="s">
        <v>13610</v>
      </c>
      <c r="W1216" t="s">
        <v>14794</v>
      </c>
      <c r="X1216">
        <v>44</v>
      </c>
      <c r="Y1216" t="s">
        <v>21503</v>
      </c>
      <c r="Z1216" t="s">
        <v>28071</v>
      </c>
      <c r="AA1216">
        <v>0.83654630923588291</v>
      </c>
      <c r="AB1216" t="str">
        <f>HYPERLINK("Melting_Curves/meltCurve_O15014_ZNF609.pdf", "Melting_Curves/meltCurve_O15014_ZNF609.pdf")</f>
        <v>Melting_Curves/meltCurve_O15014_ZNF609.pdf</v>
      </c>
    </row>
    <row r="1217" spans="1:28" x14ac:dyDescent="0.25">
      <c r="A1217" t="s">
        <v>1221</v>
      </c>
      <c r="B1217">
        <v>0.995954080203443</v>
      </c>
      <c r="C1217">
        <v>0.95219461379709003</v>
      </c>
      <c r="D1217">
        <v>0.957708393407249</v>
      </c>
      <c r="E1217">
        <v>0.86821151819176701</v>
      </c>
      <c r="F1217">
        <v>0.77388941677888001</v>
      </c>
      <c r="G1217">
        <v>0.61375066620317797</v>
      </c>
      <c r="H1217">
        <v>0.52010668555784501</v>
      </c>
      <c r="I1217">
        <v>0.59742429142457998</v>
      </c>
      <c r="J1217">
        <v>0.73641093196702301</v>
      </c>
      <c r="K1217">
        <v>0.731342991853977</v>
      </c>
      <c r="L1217">
        <v>1425.93325973627</v>
      </c>
      <c r="M1217">
        <v>27.864293976776601</v>
      </c>
      <c r="O1217">
        <v>50.912810804440198</v>
      </c>
      <c r="P1217">
        <v>-4.93176266564328E-2</v>
      </c>
      <c r="Q1217">
        <v>0.63955633961976899</v>
      </c>
      <c r="R1217">
        <v>0.83467761243882799</v>
      </c>
      <c r="S1217" t="s">
        <v>8023</v>
      </c>
      <c r="T1217" t="s">
        <v>13610</v>
      </c>
      <c r="U1217" t="s">
        <v>13610</v>
      </c>
      <c r="V1217" t="s">
        <v>13610</v>
      </c>
      <c r="W1217" t="s">
        <v>14795</v>
      </c>
      <c r="X1217">
        <v>7</v>
      </c>
      <c r="Y1217" t="s">
        <v>21504</v>
      </c>
      <c r="Z1217" t="s">
        <v>28072</v>
      </c>
      <c r="AA1217">
        <v>0.77644543269399879</v>
      </c>
      <c r="AB1217" t="str">
        <f>HYPERLINK("Melting_Curves/meltCurve_O15015_ZNF646.pdf", "Melting_Curves/meltCurve_O15015_ZNF646.pdf")</f>
        <v>Melting_Curves/meltCurve_O15015_ZNF646.pdf</v>
      </c>
    </row>
    <row r="1218" spans="1:28" x14ac:dyDescent="0.25">
      <c r="A1218" t="s">
        <v>1222</v>
      </c>
      <c r="B1218">
        <v>0.995954080203443</v>
      </c>
      <c r="C1218">
        <v>0.73015487423352199</v>
      </c>
      <c r="D1218">
        <v>0.57754836349086602</v>
      </c>
      <c r="E1218">
        <v>0.39653653723065801</v>
      </c>
      <c r="F1218">
        <v>0.25958312553152801</v>
      </c>
      <c r="G1218">
        <v>0.12514535213849501</v>
      </c>
      <c r="H1218">
        <v>0.108783114871008</v>
      </c>
      <c r="I1218">
        <v>0.107402479183655</v>
      </c>
      <c r="J1218">
        <v>0.117792605564737</v>
      </c>
      <c r="K1218">
        <v>0.111711406946228</v>
      </c>
      <c r="L1218">
        <v>624.373312918583</v>
      </c>
      <c r="M1218">
        <v>13.356118792791699</v>
      </c>
      <c r="N1218">
        <v>47.431221211300603</v>
      </c>
      <c r="O1218">
        <v>45.737412737231899</v>
      </c>
      <c r="P1218">
        <v>-6.6627501441701195E-2</v>
      </c>
      <c r="Q1218">
        <v>8.7493613763482803E-2</v>
      </c>
      <c r="R1218">
        <v>0.98399494326249903</v>
      </c>
      <c r="S1218" t="s">
        <v>8024</v>
      </c>
      <c r="T1218" t="s">
        <v>13610</v>
      </c>
      <c r="U1218" t="s">
        <v>13610</v>
      </c>
      <c r="V1218" t="s">
        <v>13610</v>
      </c>
      <c r="W1218" t="s">
        <v>14796</v>
      </c>
      <c r="X1218">
        <v>20</v>
      </c>
      <c r="Y1218" t="s">
        <v>21505</v>
      </c>
      <c r="Z1218" t="s">
        <v>28073</v>
      </c>
      <c r="AA1218">
        <v>0.32460486843079422</v>
      </c>
      <c r="AB1218" t="str">
        <f>HYPERLINK("Melting_Curves/meltCurve_O15020_SPTBN2.pdf", "Melting_Curves/meltCurve_O15020_SPTBN2.pdf")</f>
        <v>Melting_Curves/meltCurve_O15020_SPTBN2.pdf</v>
      </c>
    </row>
    <row r="1219" spans="1:28" x14ac:dyDescent="0.25">
      <c r="A1219" t="s">
        <v>1223</v>
      </c>
      <c r="B1219">
        <v>0.995954080203443</v>
      </c>
      <c r="C1219">
        <v>0.77224461430798397</v>
      </c>
      <c r="D1219">
        <v>0.53021133961939904</v>
      </c>
      <c r="E1219">
        <v>0.55997363634909803</v>
      </c>
      <c r="F1219">
        <v>0.53664605189939796</v>
      </c>
      <c r="G1219">
        <v>0.365456444395165</v>
      </c>
      <c r="H1219">
        <v>8.6109338558064596</v>
      </c>
      <c r="I1219">
        <v>0.46882940363089898</v>
      </c>
      <c r="J1219">
        <v>0.17531923150894901</v>
      </c>
      <c r="K1219">
        <v>0.174020038428014</v>
      </c>
      <c r="L1219">
        <v>15000</v>
      </c>
      <c r="M1219">
        <v>234.96242215482499</v>
      </c>
      <c r="N1219">
        <v>63.9568759183609</v>
      </c>
      <c r="O1219">
        <v>63.8353707238103</v>
      </c>
      <c r="P1219">
        <v>-0.75957722906424496</v>
      </c>
      <c r="Q1219">
        <v>0.17454215079437499</v>
      </c>
      <c r="R1219">
        <v>1.0512124934578799E-2</v>
      </c>
      <c r="S1219" t="s">
        <v>8025</v>
      </c>
      <c r="T1219" t="s">
        <v>13610</v>
      </c>
      <c r="U1219" t="s">
        <v>13610</v>
      </c>
      <c r="V1219" t="s">
        <v>13610</v>
      </c>
      <c r="W1219" t="s">
        <v>14797</v>
      </c>
      <c r="X1219">
        <v>3</v>
      </c>
      <c r="Y1219" t="s">
        <v>21505</v>
      </c>
      <c r="Z1219" t="s">
        <v>28074</v>
      </c>
      <c r="AA1219">
        <v>0.83061057009191852</v>
      </c>
      <c r="AB1219" t="str">
        <f>HYPERLINK("Melting_Curves/meltCurve_O15020_2_SPTBN2.pdf", "Melting_Curves/meltCurve_O15020_2_SPTBN2.pdf")</f>
        <v>Melting_Curves/meltCurve_O15020_2_SPTBN2.pdf</v>
      </c>
    </row>
    <row r="1220" spans="1:28" x14ac:dyDescent="0.25">
      <c r="A1220" t="s">
        <v>1224</v>
      </c>
      <c r="B1220">
        <v>0.995954080203443</v>
      </c>
      <c r="C1220">
        <v>0.95189538273997898</v>
      </c>
      <c r="D1220">
        <v>0.981343778813907</v>
      </c>
      <c r="E1220">
        <v>0.78769179341569695</v>
      </c>
      <c r="F1220">
        <v>0.610682434643113</v>
      </c>
      <c r="G1220">
        <v>0.43405256571241602</v>
      </c>
      <c r="H1220">
        <v>0.41848736764879302</v>
      </c>
      <c r="I1220">
        <v>0.461241663018856</v>
      </c>
      <c r="J1220">
        <v>0.56213576451165503</v>
      </c>
      <c r="K1220">
        <v>0.55862388149997699</v>
      </c>
      <c r="L1220">
        <v>1652.4872992255</v>
      </c>
      <c r="M1220">
        <v>32.637701386255998</v>
      </c>
      <c r="N1220">
        <v>57.119340636959002</v>
      </c>
      <c r="O1220">
        <v>50.442301194970597</v>
      </c>
      <c r="P1220">
        <v>-8.2864320682637799E-2</v>
      </c>
      <c r="Q1220">
        <v>0.48772775209103603</v>
      </c>
      <c r="R1220">
        <v>0.95118040166536</v>
      </c>
      <c r="S1220" t="s">
        <v>8026</v>
      </c>
      <c r="T1220" t="s">
        <v>13610</v>
      </c>
      <c r="U1220" t="s">
        <v>13610</v>
      </c>
      <c r="V1220" t="s">
        <v>13610</v>
      </c>
      <c r="W1220" t="s">
        <v>14798</v>
      </c>
      <c r="X1220">
        <v>12</v>
      </c>
      <c r="Y1220" t="s">
        <v>21506</v>
      </c>
      <c r="Z1220" t="s">
        <v>28075</v>
      </c>
      <c r="AA1220">
        <v>0.67196598001302144</v>
      </c>
      <c r="AB1220" t="str">
        <f>HYPERLINK("Melting_Curves/meltCurve_O15037_KHNYN.pdf", "Melting_Curves/meltCurve_O15037_KHNYN.pdf")</f>
        <v>Melting_Curves/meltCurve_O15037_KHNYN.pdf</v>
      </c>
    </row>
    <row r="1221" spans="1:28" x14ac:dyDescent="0.25">
      <c r="A1221" t="s">
        <v>1225</v>
      </c>
      <c r="B1221">
        <v>0.995954080203443</v>
      </c>
      <c r="C1221">
        <v>0.99681045071030905</v>
      </c>
      <c r="D1221">
        <v>0.81557804485212604</v>
      </c>
      <c r="E1221">
        <v>0.86224466999256399</v>
      </c>
      <c r="F1221">
        <v>0.75115810518246395</v>
      </c>
      <c r="G1221">
        <v>0.53498667448051695</v>
      </c>
      <c r="H1221">
        <v>0.37181892577015202</v>
      </c>
      <c r="I1221">
        <v>0.34806986010826901</v>
      </c>
      <c r="J1221">
        <v>0.23387646681843899</v>
      </c>
      <c r="K1221">
        <v>0.12410764449358</v>
      </c>
      <c r="L1221">
        <v>551.190763406305</v>
      </c>
      <c r="M1221">
        <v>9.4594840931135291</v>
      </c>
      <c r="N1221">
        <v>58.268585934077599</v>
      </c>
      <c r="O1221">
        <v>55.842675927958297</v>
      </c>
      <c r="P1221">
        <v>-4.2374273976299899E-2</v>
      </c>
      <c r="Q1221">
        <v>0</v>
      </c>
      <c r="R1221">
        <v>0.97779194820417903</v>
      </c>
      <c r="S1221" t="s">
        <v>8027</v>
      </c>
      <c r="T1221" t="s">
        <v>13610</v>
      </c>
      <c r="U1221" t="s">
        <v>13610</v>
      </c>
      <c r="V1221" t="s">
        <v>13610</v>
      </c>
      <c r="W1221" t="s">
        <v>14799</v>
      </c>
      <c r="X1221">
        <v>3</v>
      </c>
      <c r="Y1221" t="s">
        <v>21507</v>
      </c>
      <c r="Z1221" t="s">
        <v>28076</v>
      </c>
      <c r="AA1221">
        <v>0.61573319905382795</v>
      </c>
      <c r="AB1221" t="str">
        <f>HYPERLINK("Melting_Curves/meltCurve_O15040_2_TECPR2.pdf", "Melting_Curves/meltCurve_O15040_2_TECPR2.pdf")</f>
        <v>Melting_Curves/meltCurve_O15040_2_TECPR2.pdf</v>
      </c>
    </row>
    <row r="1222" spans="1:28" x14ac:dyDescent="0.25">
      <c r="A1222" t="s">
        <v>1226</v>
      </c>
      <c r="B1222">
        <v>0.995954080203443</v>
      </c>
      <c r="C1222">
        <v>0.90043882784409501</v>
      </c>
      <c r="D1222">
        <v>0.76153169625406603</v>
      </c>
      <c r="E1222">
        <v>0.62383649608622904</v>
      </c>
      <c r="F1222">
        <v>0.52012380081346998</v>
      </c>
      <c r="G1222">
        <v>0.374342013624611</v>
      </c>
      <c r="H1222">
        <v>0.28931772036433701</v>
      </c>
      <c r="I1222">
        <v>0.382713452990738</v>
      </c>
      <c r="J1222">
        <v>0.42242123237051499</v>
      </c>
      <c r="K1222">
        <v>0.45396336315187402</v>
      </c>
      <c r="L1222">
        <v>751.70927953494504</v>
      </c>
      <c r="M1222">
        <v>15.683377535241</v>
      </c>
      <c r="N1222">
        <v>52.580339543535501</v>
      </c>
      <c r="O1222">
        <v>47.171345185391601</v>
      </c>
      <c r="P1222">
        <v>-5.1946739256720401E-2</v>
      </c>
      <c r="Q1222">
        <v>0.37508613554453502</v>
      </c>
      <c r="R1222">
        <v>0.95308767657398397</v>
      </c>
      <c r="S1222" t="s">
        <v>8028</v>
      </c>
      <c r="T1222" t="s">
        <v>13610</v>
      </c>
      <c r="U1222" t="s">
        <v>13610</v>
      </c>
      <c r="V1222" t="s">
        <v>13610</v>
      </c>
      <c r="W1222" t="s">
        <v>14800</v>
      </c>
      <c r="X1222">
        <v>20</v>
      </c>
      <c r="Y1222" t="s">
        <v>21508</v>
      </c>
      <c r="Z1222" t="s">
        <v>28077</v>
      </c>
      <c r="AA1222">
        <v>0.5550360521051988</v>
      </c>
      <c r="AB1222" t="str">
        <f>HYPERLINK("Melting_Curves/meltCurve_O15047_SETD1A.pdf", "Melting_Curves/meltCurve_O15047_SETD1A.pdf")</f>
        <v>Melting_Curves/meltCurve_O15047_SETD1A.pdf</v>
      </c>
    </row>
    <row r="1223" spans="1:28" x14ac:dyDescent="0.25">
      <c r="A1223" t="s">
        <v>1227</v>
      </c>
      <c r="B1223">
        <v>0.995954080203443</v>
      </c>
      <c r="C1223">
        <v>1.07984375830197</v>
      </c>
      <c r="D1223">
        <v>0.96614897504054997</v>
      </c>
      <c r="E1223">
        <v>0.90882259744037996</v>
      </c>
      <c r="F1223">
        <v>0.90341594590905305</v>
      </c>
      <c r="G1223">
        <v>0.60282179887172704</v>
      </c>
      <c r="H1223">
        <v>0.52914781273288003</v>
      </c>
      <c r="I1223">
        <v>0.54588807901873704</v>
      </c>
      <c r="J1223">
        <v>0.78259188603501195</v>
      </c>
      <c r="K1223">
        <v>0.64256169398889695</v>
      </c>
      <c r="L1223">
        <v>4293.73601869508</v>
      </c>
      <c r="M1223">
        <v>79.969337195080996</v>
      </c>
      <c r="O1223">
        <v>53.658734113720897</v>
      </c>
      <c r="P1223">
        <v>-0.141587810188708</v>
      </c>
      <c r="Q1223">
        <v>0.619983282070243</v>
      </c>
      <c r="R1223">
        <v>0.84589602720604595</v>
      </c>
      <c r="S1223" t="s">
        <v>8029</v>
      </c>
      <c r="T1223" t="s">
        <v>13610</v>
      </c>
      <c r="U1223" t="s">
        <v>13610</v>
      </c>
      <c r="V1223" t="s">
        <v>13610</v>
      </c>
      <c r="W1223" t="s">
        <v>14801</v>
      </c>
      <c r="X1223">
        <v>2</v>
      </c>
      <c r="Y1223" t="s">
        <v>21509</v>
      </c>
      <c r="Z1223" t="s">
        <v>28078</v>
      </c>
      <c r="AA1223">
        <v>0.79377709907652683</v>
      </c>
      <c r="AB1223" t="str">
        <f>HYPERLINK("Melting_Curves/meltCurve_O15050_TRANK1.pdf", "Melting_Curves/meltCurve_O15050_TRANK1.pdf")</f>
        <v>Melting_Curves/meltCurve_O15050_TRANK1.pdf</v>
      </c>
    </row>
    <row r="1224" spans="1:28" x14ac:dyDescent="0.25">
      <c r="A1224" t="s">
        <v>1228</v>
      </c>
      <c r="B1224">
        <v>0.995954080203443</v>
      </c>
      <c r="C1224">
        <v>0.96442552288569505</v>
      </c>
      <c r="D1224">
        <v>1.0258484019859</v>
      </c>
      <c r="E1224">
        <v>0.81650550927713195</v>
      </c>
      <c r="F1224">
        <v>0.81920247665763402</v>
      </c>
      <c r="G1224">
        <v>0.65324931217951698</v>
      </c>
      <c r="H1224">
        <v>0.57004206251961698</v>
      </c>
      <c r="I1224">
        <v>0.64092692430323095</v>
      </c>
      <c r="J1224">
        <v>0.70819465096678402</v>
      </c>
      <c r="K1224">
        <v>0.61043271741619498</v>
      </c>
      <c r="L1224">
        <v>1098.1641823693701</v>
      </c>
      <c r="M1224">
        <v>21.3084047099412</v>
      </c>
      <c r="O1224">
        <v>51.089205929642603</v>
      </c>
      <c r="P1224">
        <v>-3.8735782591395103E-2</v>
      </c>
      <c r="Q1224">
        <v>0.62851650324705499</v>
      </c>
      <c r="R1224">
        <v>0.91432963004369405</v>
      </c>
      <c r="S1224" t="s">
        <v>8030</v>
      </c>
      <c r="T1224" t="s">
        <v>13610</v>
      </c>
      <c r="U1224" t="s">
        <v>13610</v>
      </c>
      <c r="V1224" t="s">
        <v>13610</v>
      </c>
      <c r="W1224" t="s">
        <v>14802</v>
      </c>
      <c r="X1224">
        <v>9</v>
      </c>
      <c r="Y1224" t="s">
        <v>21510</v>
      </c>
      <c r="Z1224" t="s">
        <v>28079</v>
      </c>
      <c r="AA1224">
        <v>0.77595235832669829</v>
      </c>
      <c r="AB1224" t="str">
        <f>HYPERLINK("Melting_Curves/meltCurve_O15054_KDM6B.pdf", "Melting_Curves/meltCurve_O15054_KDM6B.pdf")</f>
        <v>Melting_Curves/meltCurve_O15054_KDM6B.pdf</v>
      </c>
    </row>
    <row r="1225" spans="1:28" x14ac:dyDescent="0.25">
      <c r="A1225" t="s">
        <v>1229</v>
      </c>
      <c r="B1225">
        <v>0.995954080203443</v>
      </c>
      <c r="C1225">
        <v>0.93021252415351197</v>
      </c>
      <c r="D1225">
        <v>0.81984788744887704</v>
      </c>
      <c r="E1225">
        <v>0.52316262633320498</v>
      </c>
      <c r="F1225">
        <v>0.35492233282233498</v>
      </c>
      <c r="G1225">
        <v>0.23857773268079399</v>
      </c>
      <c r="H1225">
        <v>0.198585871866967</v>
      </c>
      <c r="I1225">
        <v>0.222095041691558</v>
      </c>
      <c r="J1225">
        <v>0.257069789660341</v>
      </c>
      <c r="K1225">
        <v>0.246621907768863</v>
      </c>
      <c r="L1225">
        <v>977.931250250777</v>
      </c>
      <c r="M1225">
        <v>20.065031046323799</v>
      </c>
      <c r="N1225">
        <v>50.201821775214199</v>
      </c>
      <c r="O1225">
        <v>48.261737215740197</v>
      </c>
      <c r="P1225">
        <v>-8.0923277580131195E-2</v>
      </c>
      <c r="Q1225">
        <v>0.22145710526972701</v>
      </c>
      <c r="R1225">
        <v>0.99548318551319404</v>
      </c>
      <c r="S1225" t="s">
        <v>8031</v>
      </c>
      <c r="T1225" t="s">
        <v>13610</v>
      </c>
      <c r="U1225" t="s">
        <v>13610</v>
      </c>
      <c r="V1225" t="s">
        <v>13610</v>
      </c>
      <c r="W1225" t="s">
        <v>14803</v>
      </c>
      <c r="X1225">
        <v>22</v>
      </c>
      <c r="Y1225" t="s">
        <v>21511</v>
      </c>
      <c r="Z1225" t="s">
        <v>28080</v>
      </c>
      <c r="AA1225">
        <v>0.45908578991503263</v>
      </c>
      <c r="AB1225" t="str">
        <f>HYPERLINK("Melting_Curves/meltCurve_O15056_SYNJ2.pdf", "Melting_Curves/meltCurve_O15056_SYNJ2.pdf")</f>
        <v>Melting_Curves/meltCurve_O15056_SYNJ2.pdf</v>
      </c>
    </row>
    <row r="1226" spans="1:28" x14ac:dyDescent="0.25">
      <c r="A1226" t="s">
        <v>1230</v>
      </c>
      <c r="B1226">
        <v>0.995954080203443</v>
      </c>
      <c r="C1226">
        <v>1.006923753373</v>
      </c>
      <c r="D1226">
        <v>0.70063876259739299</v>
      </c>
      <c r="E1226">
        <v>0.85222382200283298</v>
      </c>
      <c r="F1226">
        <v>0.65156403975379096</v>
      </c>
      <c r="G1226">
        <v>0.46629760386347902</v>
      </c>
      <c r="H1226">
        <v>0.36708950130821399</v>
      </c>
      <c r="I1226">
        <v>0.41812199064216499</v>
      </c>
      <c r="J1226">
        <v>0.46589129178107902</v>
      </c>
      <c r="K1226">
        <v>0.46203722588165203</v>
      </c>
      <c r="L1226">
        <v>636.14715513351496</v>
      </c>
      <c r="M1226">
        <v>12.5080208581062</v>
      </c>
      <c r="N1226">
        <v>57.940665706514103</v>
      </c>
      <c r="O1226">
        <v>49.611637643292497</v>
      </c>
      <c r="P1226">
        <v>-3.8355433404506201E-2</v>
      </c>
      <c r="Q1226">
        <v>0.39159507362511498</v>
      </c>
      <c r="R1226">
        <v>0.87511522042863998</v>
      </c>
      <c r="S1226" t="s">
        <v>8032</v>
      </c>
      <c r="T1226" t="s">
        <v>13610</v>
      </c>
      <c r="U1226" t="s">
        <v>13610</v>
      </c>
      <c r="V1226" t="s">
        <v>13610</v>
      </c>
      <c r="W1226" t="s">
        <v>14804</v>
      </c>
      <c r="X1226">
        <v>5</v>
      </c>
      <c r="Y1226" t="s">
        <v>21512</v>
      </c>
      <c r="Z1226" t="s">
        <v>28081</v>
      </c>
      <c r="AA1226">
        <v>0.63064836878666275</v>
      </c>
      <c r="AB1226" t="str">
        <f>HYPERLINK("Melting_Curves/meltCurve_O15060_ZBTB39.pdf", "Melting_Curves/meltCurve_O15060_ZBTB39.pdf")</f>
        <v>Melting_Curves/meltCurve_O15060_ZBTB39.pdf</v>
      </c>
    </row>
    <row r="1227" spans="1:28" x14ac:dyDescent="0.25">
      <c r="A1227" t="s">
        <v>1231</v>
      </c>
      <c r="B1227">
        <v>0.995954080203443</v>
      </c>
      <c r="C1227">
        <v>0.899789358794575</v>
      </c>
      <c r="D1227">
        <v>1.1044746176822999</v>
      </c>
      <c r="E1227">
        <v>0.89897315032171399</v>
      </c>
      <c r="F1227">
        <v>1.1256065399001001</v>
      </c>
      <c r="G1227">
        <v>0.83943854631900705</v>
      </c>
      <c r="H1227">
        <v>0.69451821271674097</v>
      </c>
      <c r="I1227">
        <v>0.81240052734068202</v>
      </c>
      <c r="J1227">
        <v>0.65733791265354802</v>
      </c>
      <c r="K1227">
        <v>0.85081782300057796</v>
      </c>
      <c r="L1227">
        <v>14214.1940286344</v>
      </c>
      <c r="M1227">
        <v>250</v>
      </c>
      <c r="O1227">
        <v>56.853130489034697</v>
      </c>
      <c r="P1227">
        <v>-0.27068798737649302</v>
      </c>
      <c r="Q1227">
        <v>0.753768617688373</v>
      </c>
      <c r="R1227">
        <v>0.66273436736662605</v>
      </c>
      <c r="S1227" t="s">
        <v>8033</v>
      </c>
      <c r="T1227" t="s">
        <v>13610</v>
      </c>
      <c r="U1227" t="s">
        <v>13610</v>
      </c>
      <c r="V1227" t="s">
        <v>13610</v>
      </c>
      <c r="W1227" t="s">
        <v>14805</v>
      </c>
      <c r="X1227">
        <v>2</v>
      </c>
      <c r="Y1227" t="s">
        <v>21513</v>
      </c>
      <c r="Z1227" t="s">
        <v>28082</v>
      </c>
      <c r="AA1227">
        <v>0.89214876346794825</v>
      </c>
      <c r="AB1227" t="str">
        <f>HYPERLINK("Melting_Curves/meltCurve_O15062_ZBTB5.pdf", "Melting_Curves/meltCurve_O15062_ZBTB5.pdf")</f>
        <v>Melting_Curves/meltCurve_O15062_ZBTB5.pdf</v>
      </c>
    </row>
    <row r="1228" spans="1:28" x14ac:dyDescent="0.25">
      <c r="A1228" t="s">
        <v>1232</v>
      </c>
      <c r="B1228">
        <v>0.995954080203443</v>
      </c>
      <c r="C1228">
        <v>0.94954791026680796</v>
      </c>
      <c r="D1228">
        <v>0.67990211447554905</v>
      </c>
      <c r="E1228">
        <v>0.47855427372225401</v>
      </c>
      <c r="F1228">
        <v>0.283887920575841</v>
      </c>
      <c r="G1228">
        <v>0.20187241953163301</v>
      </c>
      <c r="H1228">
        <v>0.148841919429301</v>
      </c>
      <c r="I1228">
        <v>0.17209424367415899</v>
      </c>
      <c r="J1228">
        <v>0.161091636325086</v>
      </c>
      <c r="K1228">
        <v>0.168395104101945</v>
      </c>
      <c r="L1228">
        <v>834.41025010538601</v>
      </c>
      <c r="M1228">
        <v>17.359985407421298</v>
      </c>
      <c r="N1228">
        <v>49.098696660825802</v>
      </c>
      <c r="O1228">
        <v>47.440951149366597</v>
      </c>
      <c r="P1228">
        <v>-7.7484749868944505E-2</v>
      </c>
      <c r="Q1228">
        <v>0.15305432650588599</v>
      </c>
      <c r="R1228">
        <v>0.99249232505424401</v>
      </c>
      <c r="S1228" t="s">
        <v>8034</v>
      </c>
      <c r="T1228" t="s">
        <v>13610</v>
      </c>
      <c r="U1228" t="s">
        <v>13610</v>
      </c>
      <c r="V1228" t="s">
        <v>13610</v>
      </c>
      <c r="W1228" t="s">
        <v>14806</v>
      </c>
      <c r="X1228">
        <v>10</v>
      </c>
      <c r="Y1228" t="s">
        <v>21514</v>
      </c>
      <c r="Z1228" t="s">
        <v>28083</v>
      </c>
      <c r="AA1228">
        <v>0.39691322968609433</v>
      </c>
      <c r="AB1228" t="str">
        <f>HYPERLINK("Melting_Curves/meltCurve_O15063_KIAA0355.pdf", "Melting_Curves/meltCurve_O15063_KIAA0355.pdf")</f>
        <v>Melting_Curves/meltCurve_O15063_KIAA0355.pdf</v>
      </c>
    </row>
    <row r="1229" spans="1:28" x14ac:dyDescent="0.25">
      <c r="A1229" t="s">
        <v>1233</v>
      </c>
      <c r="B1229">
        <v>0.995954080203443</v>
      </c>
      <c r="C1229">
        <v>0.78542459897406502</v>
      </c>
      <c r="D1229">
        <v>0.44024522856425202</v>
      </c>
      <c r="E1229">
        <v>0.292507660301568</v>
      </c>
      <c r="F1229">
        <v>0.18315201802125</v>
      </c>
      <c r="G1229">
        <v>0.10470393437076</v>
      </c>
      <c r="H1229">
        <v>8.0583135666119493E-2</v>
      </c>
      <c r="I1229">
        <v>8.7104330800625407E-2</v>
      </c>
      <c r="J1229">
        <v>9.7668109279927598E-2</v>
      </c>
      <c r="K1229">
        <v>8.6912227701664402E-2</v>
      </c>
      <c r="L1229">
        <v>847.64104091329102</v>
      </c>
      <c r="M1229">
        <v>18.639788817317399</v>
      </c>
      <c r="N1229">
        <v>45.989435030417297</v>
      </c>
      <c r="O1229">
        <v>44.961109714643797</v>
      </c>
      <c r="P1229">
        <v>-9.38915965359432E-2</v>
      </c>
      <c r="Q1229">
        <v>9.4133751442822294E-2</v>
      </c>
      <c r="R1229">
        <v>0.98746597129765201</v>
      </c>
      <c r="S1229" t="s">
        <v>8035</v>
      </c>
      <c r="T1229" t="s">
        <v>13610</v>
      </c>
      <c r="U1229" t="s">
        <v>13610</v>
      </c>
      <c r="V1229" t="s">
        <v>13610</v>
      </c>
      <c r="W1229" t="s">
        <v>14807</v>
      </c>
      <c r="X1229">
        <v>8</v>
      </c>
      <c r="Y1229" t="s">
        <v>21515</v>
      </c>
      <c r="Z1229" t="s">
        <v>28084</v>
      </c>
      <c r="AA1229">
        <v>0.27663025282606069</v>
      </c>
      <c r="AB1229" t="str">
        <f>HYPERLINK("Melting_Curves/meltCurve_O15066_KIF3B.pdf", "Melting_Curves/meltCurve_O15066_KIF3B.pdf")</f>
        <v>Melting_Curves/meltCurve_O15066_KIF3B.pdf</v>
      </c>
    </row>
    <row r="1230" spans="1:28" x14ac:dyDescent="0.25">
      <c r="A1230" t="s">
        <v>1234</v>
      </c>
      <c r="B1230">
        <v>0.995954080203443</v>
      </c>
      <c r="C1230">
        <v>0.94278860007835696</v>
      </c>
      <c r="D1230">
        <v>0.93574059401347598</v>
      </c>
      <c r="E1230">
        <v>0.36253009874033898</v>
      </c>
      <c r="F1230">
        <v>0.17174652313854599</v>
      </c>
      <c r="G1230">
        <v>0.108080352209678</v>
      </c>
      <c r="H1230">
        <v>7.7924493639312004E-2</v>
      </c>
      <c r="I1230">
        <v>7.5255572520219693E-2</v>
      </c>
      <c r="J1230">
        <v>8.8071465859781803E-2</v>
      </c>
      <c r="K1230">
        <v>7.5888780903592606E-2</v>
      </c>
      <c r="L1230">
        <v>1742.41672971702</v>
      </c>
      <c r="M1230">
        <v>35.612331684524698</v>
      </c>
      <c r="N1230">
        <v>49.1926242963685</v>
      </c>
      <c r="O1230">
        <v>48.773832985385702</v>
      </c>
      <c r="P1230">
        <v>-0.16659071699407799</v>
      </c>
      <c r="Q1230">
        <v>8.7367710021239206E-2</v>
      </c>
      <c r="R1230">
        <v>0.99679857581702902</v>
      </c>
      <c r="S1230" t="s">
        <v>8036</v>
      </c>
      <c r="T1230" t="s">
        <v>13610</v>
      </c>
      <c r="U1230" t="s">
        <v>13610</v>
      </c>
      <c r="V1230" t="s">
        <v>13610</v>
      </c>
      <c r="W1230" t="s">
        <v>14808</v>
      </c>
      <c r="X1230">
        <v>52</v>
      </c>
      <c r="Y1230" t="s">
        <v>21516</v>
      </c>
      <c r="Z1230" t="s">
        <v>28085</v>
      </c>
      <c r="AA1230">
        <v>0.36285862932131041</v>
      </c>
      <c r="AB1230" t="str">
        <f>HYPERLINK("Melting_Curves/meltCurve_O15067_PFAS.pdf", "Melting_Curves/meltCurve_O15067_PFAS.pdf")</f>
        <v>Melting_Curves/meltCurve_O15067_PFAS.pdf</v>
      </c>
    </row>
    <row r="1231" spans="1:28" x14ac:dyDescent="0.25">
      <c r="A1231" t="s">
        <v>1235</v>
      </c>
      <c r="B1231">
        <v>0.995954080203443</v>
      </c>
      <c r="C1231">
        <v>0.94512548722150702</v>
      </c>
      <c r="D1231">
        <v>0.97593112590506703</v>
      </c>
      <c r="E1231">
        <v>0.89590202595617296</v>
      </c>
      <c r="F1231">
        <v>0.786915009027504</v>
      </c>
      <c r="G1231">
        <v>0.484946409503687</v>
      </c>
      <c r="H1231">
        <v>0.27128780953707399</v>
      </c>
      <c r="I1231">
        <v>0.16776340708731499</v>
      </c>
      <c r="J1231">
        <v>0.157143097594202</v>
      </c>
      <c r="K1231">
        <v>0.15600710779072099</v>
      </c>
      <c r="L1231">
        <v>1060.8758748842299</v>
      </c>
      <c r="M1231">
        <v>18.9636426131059</v>
      </c>
      <c r="N1231">
        <v>56.753976426265602</v>
      </c>
      <c r="O1231">
        <v>55.331680245926599</v>
      </c>
      <c r="P1231">
        <v>-7.5511594378602803E-2</v>
      </c>
      <c r="Q1231">
        <v>0.118731529697521</v>
      </c>
      <c r="R1231">
        <v>0.99642461822920902</v>
      </c>
      <c r="S1231" t="s">
        <v>8037</v>
      </c>
      <c r="T1231" t="s">
        <v>13610</v>
      </c>
      <c r="U1231" t="s">
        <v>13610</v>
      </c>
      <c r="V1231" t="s">
        <v>13610</v>
      </c>
      <c r="W1231" t="s">
        <v>14809</v>
      </c>
      <c r="X1231">
        <v>6</v>
      </c>
      <c r="Y1231" t="s">
        <v>21517</v>
      </c>
      <c r="Z1231" t="s">
        <v>28086</v>
      </c>
      <c r="AA1231">
        <v>0.59926588665175551</v>
      </c>
      <c r="AB1231" t="str">
        <f>HYPERLINK("Melting_Curves/meltCurve_O15078_CEP290.pdf", "Melting_Curves/meltCurve_O15078_CEP290.pdf")</f>
        <v>Melting_Curves/meltCurve_O15078_CEP290.pdf</v>
      </c>
    </row>
    <row r="1232" spans="1:28" x14ac:dyDescent="0.25">
      <c r="A1232" t="s">
        <v>1236</v>
      </c>
      <c r="B1232">
        <v>0.995954080203443</v>
      </c>
      <c r="C1232">
        <v>0.72355462661530101</v>
      </c>
      <c r="D1232">
        <v>0.47545152452344402</v>
      </c>
      <c r="E1232">
        <v>0.66972560029449502</v>
      </c>
      <c r="F1232">
        <v>0.22822106685803301</v>
      </c>
      <c r="G1232">
        <v>9.7099368260728597E-2</v>
      </c>
      <c r="H1232">
        <v>6.3029775661403206E-2</v>
      </c>
      <c r="I1232">
        <v>5.0962383635577597E-2</v>
      </c>
      <c r="J1232">
        <v>5.7548461714491697E-2</v>
      </c>
      <c r="K1232">
        <v>5.5577424674108297E-2</v>
      </c>
      <c r="L1232">
        <v>503.74465743856803</v>
      </c>
      <c r="M1232">
        <v>10.4308413803835</v>
      </c>
      <c r="N1232">
        <v>48.2937705489826</v>
      </c>
      <c r="O1232">
        <v>46.619933105605</v>
      </c>
      <c r="P1232">
        <v>-5.5958649577285399E-2</v>
      </c>
      <c r="Q1232">
        <v>0</v>
      </c>
      <c r="R1232">
        <v>0.89609245027677897</v>
      </c>
      <c r="S1232" t="s">
        <v>8038</v>
      </c>
      <c r="T1232" t="s">
        <v>13610</v>
      </c>
      <c r="U1232" t="s">
        <v>13610</v>
      </c>
      <c r="V1232" t="s">
        <v>13610</v>
      </c>
      <c r="W1232" t="s">
        <v>14810</v>
      </c>
      <c r="X1232">
        <v>14</v>
      </c>
      <c r="Y1232" t="s">
        <v>21518</v>
      </c>
      <c r="Z1232" t="s">
        <v>28087</v>
      </c>
      <c r="AA1232">
        <v>0.3249200046158634</v>
      </c>
      <c r="AB1232" t="str">
        <f>HYPERLINK("Melting_Curves/meltCurve_O15084_ANKRD28.pdf", "Melting_Curves/meltCurve_O15084_ANKRD28.pdf")</f>
        <v>Melting_Curves/meltCurve_O15084_ANKRD28.pdf</v>
      </c>
    </row>
    <row r="1233" spans="1:28" x14ac:dyDescent="0.25">
      <c r="A1233" t="s">
        <v>1237</v>
      </c>
      <c r="B1233">
        <v>0.995954080203443</v>
      </c>
      <c r="C1233">
        <v>0.97343264779544103</v>
      </c>
      <c r="D1233">
        <v>0.85033676229767596</v>
      </c>
      <c r="E1233">
        <v>0.64298376748296704</v>
      </c>
      <c r="F1233">
        <v>0.42231775916877001</v>
      </c>
      <c r="G1233">
        <v>0.27507395556106401</v>
      </c>
      <c r="H1233">
        <v>0.22733072395089299</v>
      </c>
      <c r="I1233">
        <v>0.23438597931799901</v>
      </c>
      <c r="J1233">
        <v>0.28292814080841899</v>
      </c>
      <c r="K1233">
        <v>0.265507848320089</v>
      </c>
      <c r="L1233">
        <v>988.14644127484701</v>
      </c>
      <c r="M1233">
        <v>19.785553988910898</v>
      </c>
      <c r="N1233">
        <v>51.645376491691898</v>
      </c>
      <c r="O1233">
        <v>49.4410555985164</v>
      </c>
      <c r="P1233">
        <v>-7.6081231639731003E-2</v>
      </c>
      <c r="Q1233">
        <v>0.23956497955932399</v>
      </c>
      <c r="R1233">
        <v>0.99375046503842401</v>
      </c>
      <c r="S1233" t="s">
        <v>8039</v>
      </c>
      <c r="T1233" t="s">
        <v>13610</v>
      </c>
      <c r="U1233" t="s">
        <v>13610</v>
      </c>
      <c r="V1233" t="s">
        <v>13610</v>
      </c>
      <c r="W1233" t="s">
        <v>14811</v>
      </c>
      <c r="X1233">
        <v>23</v>
      </c>
      <c r="Y1233" t="s">
        <v>21519</v>
      </c>
      <c r="Z1233" t="s">
        <v>28088</v>
      </c>
      <c r="AA1233">
        <v>0.50240797119854597</v>
      </c>
      <c r="AB1233" t="str">
        <f>HYPERLINK("Melting_Curves/meltCurve_O15085_2_ARHGEF11.pdf", "Melting_Curves/meltCurve_O15085_2_ARHGEF11.pdf")</f>
        <v>Melting_Curves/meltCurve_O15085_2_ARHGEF11.pdf</v>
      </c>
    </row>
    <row r="1234" spans="1:28" x14ac:dyDescent="0.25">
      <c r="A1234" t="s">
        <v>1238</v>
      </c>
      <c r="B1234">
        <v>0.995954080203443</v>
      </c>
      <c r="C1234">
        <v>0.40560837334102001</v>
      </c>
      <c r="D1234">
        <v>0.17749689974175001</v>
      </c>
      <c r="E1234">
        <v>0.178995034777338</v>
      </c>
      <c r="F1234">
        <v>9.7079833107300603E-2</v>
      </c>
      <c r="G1234">
        <v>4.5632999267875098E-2</v>
      </c>
      <c r="H1234">
        <v>2.9816459279267599E-2</v>
      </c>
      <c r="I1234">
        <v>2.7294205260963302E-2</v>
      </c>
      <c r="J1234">
        <v>3.6178600338556501E-2</v>
      </c>
      <c r="K1234">
        <v>3.44657370463834E-2</v>
      </c>
      <c r="L1234">
        <v>2077.3816715947901</v>
      </c>
      <c r="M1234">
        <v>48.935834229728101</v>
      </c>
      <c r="N1234">
        <v>42.591495678492599</v>
      </c>
      <c r="O1234">
        <v>42.380409036380101</v>
      </c>
      <c r="P1234">
        <v>-0.267172809812463</v>
      </c>
      <c r="Q1234">
        <v>7.4470771447324002E-2</v>
      </c>
      <c r="R1234">
        <v>0.96597522568202798</v>
      </c>
      <c r="S1234" t="s">
        <v>8040</v>
      </c>
      <c r="T1234" t="s">
        <v>13610</v>
      </c>
      <c r="U1234" t="s">
        <v>13610</v>
      </c>
      <c r="V1234" t="s">
        <v>13610</v>
      </c>
      <c r="W1234" t="s">
        <v>14812</v>
      </c>
      <c r="X1234">
        <v>10</v>
      </c>
      <c r="Y1234" t="s">
        <v>21520</v>
      </c>
      <c r="Z1234" t="s">
        <v>28089</v>
      </c>
      <c r="AA1234">
        <v>0.15301372216025599</v>
      </c>
      <c r="AB1234" t="str">
        <f>HYPERLINK("Melting_Curves/meltCurve_O15111_CHUK.pdf", "Melting_Curves/meltCurve_O15111_CHUK.pdf")</f>
        <v>Melting_Curves/meltCurve_O15111_CHUK.pdf</v>
      </c>
    </row>
    <row r="1235" spans="1:28" x14ac:dyDescent="0.25">
      <c r="A1235" t="s">
        <v>1239</v>
      </c>
      <c r="B1235">
        <v>0.995954080203443</v>
      </c>
      <c r="C1235">
        <v>1.02582777600097</v>
      </c>
      <c r="D1235">
        <v>0.99532971296399997</v>
      </c>
      <c r="E1235">
        <v>0.93851293476213904</v>
      </c>
      <c r="F1235">
        <v>0.82206052278462904</v>
      </c>
      <c r="G1235">
        <v>0.65462170289236998</v>
      </c>
      <c r="H1235">
        <v>0.52241410563571899</v>
      </c>
      <c r="I1235">
        <v>0.52137850682606901</v>
      </c>
      <c r="J1235">
        <v>0.48622579255581899</v>
      </c>
      <c r="K1235">
        <v>0.35806573852371298</v>
      </c>
      <c r="L1235">
        <v>836.84078506646097</v>
      </c>
      <c r="M1235">
        <v>14.8280957362996</v>
      </c>
      <c r="N1235">
        <v>62.723530714875999</v>
      </c>
      <c r="O1235">
        <v>55.439534855790498</v>
      </c>
      <c r="P1235">
        <v>-4.0999743085237399E-2</v>
      </c>
      <c r="Q1235">
        <v>0.38690267253897498</v>
      </c>
      <c r="R1235">
        <v>0.98255435932464796</v>
      </c>
      <c r="S1235" t="s">
        <v>8041</v>
      </c>
      <c r="T1235" t="s">
        <v>13610</v>
      </c>
      <c r="U1235" t="s">
        <v>13610</v>
      </c>
      <c r="V1235" t="s">
        <v>13610</v>
      </c>
      <c r="W1235" t="s">
        <v>14813</v>
      </c>
      <c r="X1235">
        <v>7</v>
      </c>
      <c r="Y1235" t="s">
        <v>21521</v>
      </c>
      <c r="Z1235" t="s">
        <v>28090</v>
      </c>
      <c r="AA1235">
        <v>0.7332839985219699</v>
      </c>
      <c r="AB1235" t="str">
        <f>HYPERLINK("Melting_Curves/meltCurve_O15116_LSM1.pdf", "Melting_Curves/meltCurve_O15116_LSM1.pdf")</f>
        <v>Melting_Curves/meltCurve_O15116_LSM1.pdf</v>
      </c>
    </row>
    <row r="1236" spans="1:28" x14ac:dyDescent="0.25">
      <c r="A1236" t="s">
        <v>1240</v>
      </c>
      <c r="B1236">
        <v>0.995954080203443</v>
      </c>
      <c r="C1236">
        <v>0.83773079293735397</v>
      </c>
      <c r="D1236">
        <v>0.97630282073777896</v>
      </c>
      <c r="E1236">
        <v>0.76695556496039397</v>
      </c>
      <c r="F1236">
        <v>0.79714413148858299</v>
      </c>
      <c r="G1236">
        <v>0.54526811437410005</v>
      </c>
      <c r="H1236">
        <v>0.47657662844826099</v>
      </c>
      <c r="I1236">
        <v>0.56299331760426796</v>
      </c>
      <c r="J1236">
        <v>0.66796555003843106</v>
      </c>
      <c r="K1236">
        <v>0.64613432044956298</v>
      </c>
      <c r="L1236">
        <v>859.27717576760801</v>
      </c>
      <c r="M1236">
        <v>17.091775194667701</v>
      </c>
      <c r="O1236">
        <v>49.601232071059599</v>
      </c>
      <c r="P1236">
        <v>-3.6561203910951197E-2</v>
      </c>
      <c r="Q1236">
        <v>0.575615529122112</v>
      </c>
      <c r="R1236">
        <v>0.77028227815011396</v>
      </c>
      <c r="S1236" t="s">
        <v>8042</v>
      </c>
      <c r="T1236" t="s">
        <v>13610</v>
      </c>
      <c r="U1236" t="s">
        <v>13610</v>
      </c>
      <c r="V1236" t="s">
        <v>13610</v>
      </c>
      <c r="W1236" t="s">
        <v>14814</v>
      </c>
      <c r="X1236">
        <v>2</v>
      </c>
      <c r="Y1236" t="s">
        <v>21522</v>
      </c>
      <c r="Z1236" t="s">
        <v>28091</v>
      </c>
      <c r="AA1236">
        <v>0.72889722380405242</v>
      </c>
      <c r="AB1236" t="str">
        <f>HYPERLINK("Melting_Curves/meltCurve_O15117_FYB.pdf", "Melting_Curves/meltCurve_O15117_FYB.pdf")</f>
        <v>Melting_Curves/meltCurve_O15117_FYB.pdf</v>
      </c>
    </row>
    <row r="1237" spans="1:28" x14ac:dyDescent="0.25">
      <c r="A1237" t="s">
        <v>1241</v>
      </c>
      <c r="B1237">
        <v>0.995954080203443</v>
      </c>
      <c r="C1237">
        <v>1.0304170260765599</v>
      </c>
      <c r="D1237">
        <v>1.0527397667551199</v>
      </c>
      <c r="E1237">
        <v>0.89130175416203095</v>
      </c>
      <c r="F1237">
        <v>0.73636530484817098</v>
      </c>
      <c r="G1237">
        <v>0.57217210331249002</v>
      </c>
      <c r="H1237">
        <v>0.51507142112979298</v>
      </c>
      <c r="I1237">
        <v>0.515582731845456</v>
      </c>
      <c r="J1237">
        <v>0.71895766732994204</v>
      </c>
      <c r="K1237">
        <v>0.51275306800334697</v>
      </c>
      <c r="L1237">
        <v>1742.6125678170099</v>
      </c>
      <c r="M1237">
        <v>33.461435843184198</v>
      </c>
      <c r="O1237">
        <v>51.893266034273303</v>
      </c>
      <c r="P1237">
        <v>-7.0436421496857304E-2</v>
      </c>
      <c r="Q1237">
        <v>0.56305974559221506</v>
      </c>
      <c r="R1237">
        <v>0.917775431612468</v>
      </c>
      <c r="S1237" t="s">
        <v>8043</v>
      </c>
      <c r="T1237" t="s">
        <v>13610</v>
      </c>
      <c r="U1237" t="s">
        <v>13610</v>
      </c>
      <c r="V1237" t="s">
        <v>13610</v>
      </c>
      <c r="W1237" t="s">
        <v>14815</v>
      </c>
      <c r="X1237">
        <v>2</v>
      </c>
      <c r="Y1237" t="s">
        <v>21523</v>
      </c>
      <c r="Z1237" t="s">
        <v>28092</v>
      </c>
      <c r="AA1237">
        <v>0.74122433617619665</v>
      </c>
      <c r="AB1237" t="str">
        <f>HYPERLINK("Melting_Curves/meltCurve_O15118_NPC1.pdf", "Melting_Curves/meltCurve_O15118_NPC1.pdf")</f>
        <v>Melting_Curves/meltCurve_O15118_NPC1.pdf</v>
      </c>
    </row>
    <row r="1238" spans="1:28" x14ac:dyDescent="0.25">
      <c r="A1238" t="s">
        <v>1242</v>
      </c>
      <c r="B1238">
        <v>0.995954080203443</v>
      </c>
      <c r="C1238">
        <v>0.95072429140081105</v>
      </c>
      <c r="D1238">
        <v>0.75856726689682796</v>
      </c>
      <c r="E1238">
        <v>0.464446138726272</v>
      </c>
      <c r="F1238">
        <v>0.17596493438324901</v>
      </c>
      <c r="G1238">
        <v>0.10163067840901301</v>
      </c>
      <c r="H1238">
        <v>7.2648745571263093E-2</v>
      </c>
      <c r="I1238">
        <v>9.3932732091635399E-2</v>
      </c>
      <c r="J1238">
        <v>0.100184880338211</v>
      </c>
      <c r="K1238">
        <v>9.5343436815844299E-2</v>
      </c>
      <c r="L1238">
        <v>1016.26839218782</v>
      </c>
      <c r="M1238">
        <v>20.878524994174001</v>
      </c>
      <c r="N1238">
        <v>49.070623085433198</v>
      </c>
      <c r="O1238">
        <v>48.235333118684999</v>
      </c>
      <c r="P1238">
        <v>-9.9837911804936202E-2</v>
      </c>
      <c r="Q1238">
        <v>7.7408940702585402E-2</v>
      </c>
      <c r="R1238">
        <v>0.99483635289906902</v>
      </c>
      <c r="S1238" t="s">
        <v>8044</v>
      </c>
      <c r="T1238" t="s">
        <v>13610</v>
      </c>
      <c r="U1238" t="s">
        <v>13610</v>
      </c>
      <c r="V1238" t="s">
        <v>13610</v>
      </c>
      <c r="W1238" t="s">
        <v>14816</v>
      </c>
      <c r="X1238">
        <v>8</v>
      </c>
      <c r="Y1238" t="s">
        <v>21524</v>
      </c>
      <c r="Z1238" t="s">
        <v>28093</v>
      </c>
      <c r="AA1238">
        <v>0.35606735062787581</v>
      </c>
      <c r="AB1238" t="str">
        <f>HYPERLINK("Melting_Curves/meltCurve_O15131_KPNA5.pdf", "Melting_Curves/meltCurve_O15131_KPNA5.pdf")</f>
        <v>Melting_Curves/meltCurve_O15131_KPNA5.pdf</v>
      </c>
    </row>
    <row r="1239" spans="1:28" x14ac:dyDescent="0.25">
      <c r="A1239" t="s">
        <v>1243</v>
      </c>
      <c r="B1239">
        <v>0.995954080203443</v>
      </c>
      <c r="C1239">
        <v>0.86203991899654098</v>
      </c>
      <c r="D1239">
        <v>0.79257377795561201</v>
      </c>
      <c r="E1239">
        <v>0.79755166723112003</v>
      </c>
      <c r="F1239">
        <v>0.61429506742450701</v>
      </c>
      <c r="G1239">
        <v>0.41341847581589602</v>
      </c>
      <c r="H1239">
        <v>0.179688132997775</v>
      </c>
      <c r="I1239">
        <v>0.109884084565347</v>
      </c>
      <c r="J1239">
        <v>0.122529216605684</v>
      </c>
      <c r="K1239">
        <v>0.119073842436399</v>
      </c>
      <c r="L1239">
        <v>595.13958113109697</v>
      </c>
      <c r="M1239">
        <v>10.9097003693331</v>
      </c>
      <c r="N1239">
        <v>54.551413909951201</v>
      </c>
      <c r="O1239">
        <v>52.814573250314297</v>
      </c>
      <c r="P1239">
        <v>-5.1659508416936797E-2</v>
      </c>
      <c r="Q1239">
        <v>0</v>
      </c>
      <c r="R1239">
        <v>0.97194500161455999</v>
      </c>
      <c r="S1239" t="s">
        <v>8045</v>
      </c>
      <c r="T1239" t="s">
        <v>13610</v>
      </c>
      <c r="U1239" t="s">
        <v>13610</v>
      </c>
      <c r="V1239" t="s">
        <v>13610</v>
      </c>
      <c r="W1239" t="s">
        <v>14817</v>
      </c>
      <c r="X1239">
        <v>22</v>
      </c>
      <c r="Y1239" t="s">
        <v>21525</v>
      </c>
      <c r="Z1239" t="s">
        <v>28094</v>
      </c>
      <c r="AA1239">
        <v>0.51151257234135117</v>
      </c>
      <c r="AB1239" t="str">
        <f>HYPERLINK("Melting_Curves/meltCurve_O15143_ARPC1B.pdf", "Melting_Curves/meltCurve_O15143_ARPC1B.pdf")</f>
        <v>Melting_Curves/meltCurve_O15143_ARPC1B.pdf</v>
      </c>
    </row>
    <row r="1240" spans="1:28" x14ac:dyDescent="0.25">
      <c r="A1240" t="s">
        <v>1244</v>
      </c>
      <c r="B1240">
        <v>0.995954080203443</v>
      </c>
      <c r="C1240">
        <v>0.914273577388236</v>
      </c>
      <c r="D1240">
        <v>0.80997949323728502</v>
      </c>
      <c r="E1240">
        <v>0.86239801447623099</v>
      </c>
      <c r="F1240">
        <v>0.63202332250187598</v>
      </c>
      <c r="G1240">
        <v>0.42306179921263998</v>
      </c>
      <c r="H1240">
        <v>0.17183097823767499</v>
      </c>
      <c r="I1240">
        <v>8.4811004055448003E-2</v>
      </c>
      <c r="J1240">
        <v>8.9701393335752694E-2</v>
      </c>
      <c r="K1240">
        <v>7.9647105178760405E-2</v>
      </c>
      <c r="L1240">
        <v>742.32559381764997</v>
      </c>
      <c r="M1240">
        <v>13.477686870622801</v>
      </c>
      <c r="N1240">
        <v>55.078115474507001</v>
      </c>
      <c r="O1240">
        <v>53.907974200350999</v>
      </c>
      <c r="P1240">
        <v>-6.2512809450984794E-2</v>
      </c>
      <c r="Q1240">
        <v>0</v>
      </c>
      <c r="R1240">
        <v>0.97693225778972603</v>
      </c>
      <c r="S1240" t="s">
        <v>8046</v>
      </c>
      <c r="T1240" t="s">
        <v>13610</v>
      </c>
      <c r="U1240" t="s">
        <v>13610</v>
      </c>
      <c r="V1240" t="s">
        <v>13610</v>
      </c>
      <c r="W1240" t="s">
        <v>14818</v>
      </c>
      <c r="X1240">
        <v>26</v>
      </c>
      <c r="Y1240" t="s">
        <v>21526</v>
      </c>
      <c r="Z1240" t="s">
        <v>28095</v>
      </c>
      <c r="AA1240">
        <v>0.52384816160002179</v>
      </c>
      <c r="AB1240" t="str">
        <f>HYPERLINK("Melting_Curves/meltCurve_O15144_ARPC2.pdf", "Melting_Curves/meltCurve_O15144_ARPC2.pdf")</f>
        <v>Melting_Curves/meltCurve_O15144_ARPC2.pdf</v>
      </c>
    </row>
    <row r="1241" spans="1:28" x14ac:dyDescent="0.25">
      <c r="A1241" t="s">
        <v>1245</v>
      </c>
      <c r="B1241">
        <v>0.995954080203443</v>
      </c>
      <c r="C1241">
        <v>0.96309001638437497</v>
      </c>
      <c r="D1241">
        <v>0.96093274935620798</v>
      </c>
      <c r="E1241">
        <v>0.97157967104768805</v>
      </c>
      <c r="F1241">
        <v>0.75510800289452196</v>
      </c>
      <c r="G1241">
        <v>0.46836715004627399</v>
      </c>
      <c r="H1241">
        <v>0.155164122719015</v>
      </c>
      <c r="I1241">
        <v>8.9144860143043306E-2</v>
      </c>
      <c r="J1241">
        <v>8.3678564000288502E-2</v>
      </c>
      <c r="K1241">
        <v>7.8618397386164093E-2</v>
      </c>
      <c r="L1241">
        <v>1245.7521329792701</v>
      </c>
      <c r="M1241">
        <v>22.243677380831699</v>
      </c>
      <c r="N1241">
        <v>56.275034161557798</v>
      </c>
      <c r="O1241">
        <v>55.5580177790482</v>
      </c>
      <c r="P1241">
        <v>-9.5023357894221602E-2</v>
      </c>
      <c r="Q1241">
        <v>5.0661183970175501E-2</v>
      </c>
      <c r="R1241">
        <v>0.99540978816901404</v>
      </c>
      <c r="S1241" t="s">
        <v>8047</v>
      </c>
      <c r="T1241" t="s">
        <v>13610</v>
      </c>
      <c r="U1241" t="s">
        <v>13610</v>
      </c>
      <c r="V1241" t="s">
        <v>13610</v>
      </c>
      <c r="W1241" t="s">
        <v>14819</v>
      </c>
      <c r="X1241">
        <v>9</v>
      </c>
      <c r="Y1241" t="s">
        <v>21527</v>
      </c>
      <c r="Z1241" t="s">
        <v>28096</v>
      </c>
      <c r="AA1241">
        <v>0.56761917888616076</v>
      </c>
      <c r="AB1241" t="str">
        <f>HYPERLINK("Melting_Curves/meltCurve_O15145_ARPC3.pdf", "Melting_Curves/meltCurve_O15145_ARPC3.pdf")</f>
        <v>Melting_Curves/meltCurve_O15145_ARPC3.pdf</v>
      </c>
    </row>
    <row r="1242" spans="1:28" x14ac:dyDescent="0.25">
      <c r="A1242" t="s">
        <v>1246</v>
      </c>
      <c r="B1242">
        <v>0.995954080203443</v>
      </c>
      <c r="C1242">
        <v>0.85003315984668804</v>
      </c>
      <c r="D1242">
        <v>1.13545069781199</v>
      </c>
      <c r="E1242">
        <v>0.76490482721743303</v>
      </c>
      <c r="F1242">
        <v>0.88759166431735703</v>
      </c>
      <c r="G1242">
        <v>0.67770946013618905</v>
      </c>
      <c r="H1242">
        <v>0.53318872310367504</v>
      </c>
      <c r="I1242">
        <v>0.59925204985945202</v>
      </c>
      <c r="J1242">
        <v>0.58271041405372404</v>
      </c>
      <c r="K1242">
        <v>0.62963715287962196</v>
      </c>
      <c r="L1242">
        <v>966.14831512310002</v>
      </c>
      <c r="M1242">
        <v>18.153187975706501</v>
      </c>
      <c r="O1242">
        <v>52.588715482821897</v>
      </c>
      <c r="P1242">
        <v>-3.6653059464994399E-2</v>
      </c>
      <c r="Q1242">
        <v>0.57529324220637801</v>
      </c>
      <c r="R1242">
        <v>0.76918072440338203</v>
      </c>
      <c r="S1242" t="s">
        <v>8048</v>
      </c>
      <c r="T1242" t="s">
        <v>13610</v>
      </c>
      <c r="U1242" t="s">
        <v>13610</v>
      </c>
      <c r="V1242" t="s">
        <v>13610</v>
      </c>
      <c r="W1242" t="s">
        <v>14820</v>
      </c>
      <c r="X1242">
        <v>9</v>
      </c>
      <c r="Y1242" t="s">
        <v>21528</v>
      </c>
      <c r="Z1242" t="s">
        <v>28097</v>
      </c>
      <c r="AA1242">
        <v>0.76930650720630167</v>
      </c>
      <c r="AB1242" t="str">
        <f>HYPERLINK("Melting_Curves/meltCurve_O15156_ZBTB7B.pdf", "Melting_Curves/meltCurve_O15156_ZBTB7B.pdf")</f>
        <v>Melting_Curves/meltCurve_O15156_ZBTB7B.pdf</v>
      </c>
    </row>
    <row r="1243" spans="1:28" x14ac:dyDescent="0.25">
      <c r="A1243" t="s">
        <v>1247</v>
      </c>
      <c r="B1243">
        <v>0.995954080203443</v>
      </c>
      <c r="C1243">
        <v>0.82227112602481001</v>
      </c>
      <c r="D1243">
        <v>0.47530986141667703</v>
      </c>
      <c r="E1243">
        <v>0.355904535066909</v>
      </c>
      <c r="F1243">
        <v>0.18444288014685001</v>
      </c>
      <c r="G1243">
        <v>0.10654460239285</v>
      </c>
      <c r="H1243">
        <v>7.2012000536724102E-2</v>
      </c>
      <c r="I1243">
        <v>6.5820624206219799E-2</v>
      </c>
      <c r="J1243">
        <v>7.7076386805082706E-2</v>
      </c>
      <c r="K1243">
        <v>7.1937871626139599E-2</v>
      </c>
      <c r="L1243">
        <v>745.32453052059998</v>
      </c>
      <c r="M1243">
        <v>16.090868895550301</v>
      </c>
      <c r="N1243">
        <v>46.745052050213602</v>
      </c>
      <c r="O1243">
        <v>45.622020653944503</v>
      </c>
      <c r="P1243">
        <v>-8.2176622967785704E-2</v>
      </c>
      <c r="Q1243">
        <v>6.8098547473704002E-2</v>
      </c>
      <c r="R1243">
        <v>0.98354040913704099</v>
      </c>
      <c r="S1243" t="s">
        <v>8049</v>
      </c>
      <c r="T1243" t="s">
        <v>13610</v>
      </c>
      <c r="U1243" t="s">
        <v>13610</v>
      </c>
      <c r="V1243" t="s">
        <v>13610</v>
      </c>
      <c r="W1243" t="s">
        <v>14821</v>
      </c>
      <c r="X1243">
        <v>10</v>
      </c>
      <c r="Y1243" t="s">
        <v>21529</v>
      </c>
      <c r="Z1243" t="s">
        <v>28098</v>
      </c>
      <c r="AA1243">
        <v>0.28726995909759467</v>
      </c>
      <c r="AB1243" t="str">
        <f>HYPERLINK("Melting_Curves/meltCurve_O15160_2_POLR1C.pdf", "Melting_Curves/meltCurve_O15160_2_POLR1C.pdf")</f>
        <v>Melting_Curves/meltCurve_O15160_2_POLR1C.pdf</v>
      </c>
    </row>
    <row r="1244" spans="1:28" x14ac:dyDescent="0.25">
      <c r="A1244" t="s">
        <v>1248</v>
      </c>
      <c r="B1244">
        <v>0.995954080203443</v>
      </c>
      <c r="C1244">
        <v>0.89611364433069096</v>
      </c>
      <c r="D1244">
        <v>0.78753215786442499</v>
      </c>
      <c r="E1244">
        <v>0.67186520214871503</v>
      </c>
      <c r="F1244">
        <v>0.41202712217049497</v>
      </c>
      <c r="G1244">
        <v>0.24308774727670801</v>
      </c>
      <c r="H1244">
        <v>0.18949539930706699</v>
      </c>
      <c r="I1244">
        <v>0.194244899129425</v>
      </c>
      <c r="J1244">
        <v>0.21040735388057</v>
      </c>
      <c r="K1244">
        <v>0.20965414343731201</v>
      </c>
      <c r="L1244">
        <v>743.62118847411796</v>
      </c>
      <c r="M1244">
        <v>14.8127012599831</v>
      </c>
      <c r="N1244">
        <v>51.5999137462235</v>
      </c>
      <c r="O1244">
        <v>49.313274456923601</v>
      </c>
      <c r="P1244">
        <v>-6.2687410905569493E-2</v>
      </c>
      <c r="Q1244">
        <v>0.165312664813039</v>
      </c>
      <c r="R1244">
        <v>0.98471002134866503</v>
      </c>
      <c r="S1244" t="s">
        <v>8050</v>
      </c>
      <c r="T1244" t="s">
        <v>13610</v>
      </c>
      <c r="U1244" t="s">
        <v>13610</v>
      </c>
      <c r="V1244" t="s">
        <v>13610</v>
      </c>
      <c r="W1244" t="s">
        <v>14822</v>
      </c>
      <c r="X1244">
        <v>19</v>
      </c>
      <c r="Y1244" t="s">
        <v>21530</v>
      </c>
      <c r="Z1244" t="s">
        <v>28099</v>
      </c>
      <c r="AA1244">
        <v>0.46936464846076281</v>
      </c>
      <c r="AB1244" t="str">
        <f>HYPERLINK("Melting_Curves/meltCurve_O15164_TRIM24.pdf", "Melting_Curves/meltCurve_O15164_TRIM24.pdf")</f>
        <v>Melting_Curves/meltCurve_O15164_TRIM24.pdf</v>
      </c>
    </row>
    <row r="1245" spans="1:28" x14ac:dyDescent="0.25">
      <c r="A1245" t="s">
        <v>1249</v>
      </c>
      <c r="B1245">
        <v>0.995954080203443</v>
      </c>
      <c r="C1245">
        <v>0.91126310328487503</v>
      </c>
      <c r="D1245">
        <v>0.98009688571592102</v>
      </c>
      <c r="E1245">
        <v>0.88090055132843104</v>
      </c>
      <c r="F1245">
        <v>0.81627571563535495</v>
      </c>
      <c r="G1245">
        <v>0.60150224429933397</v>
      </c>
      <c r="H1245">
        <v>0.5510497308583</v>
      </c>
      <c r="I1245">
        <v>0.64285467591785395</v>
      </c>
      <c r="J1245">
        <v>0.75428519961142904</v>
      </c>
      <c r="K1245">
        <v>0.69065159972257095</v>
      </c>
      <c r="L1245">
        <v>1528.0978817211801</v>
      </c>
      <c r="M1245">
        <v>29.505546075560101</v>
      </c>
      <c r="O1245">
        <v>51.554042295886902</v>
      </c>
      <c r="P1245">
        <v>-5.02958745767609E-2</v>
      </c>
      <c r="Q1245">
        <v>0.64848134391935797</v>
      </c>
      <c r="R1245">
        <v>0.82780967187416599</v>
      </c>
      <c r="S1245" t="s">
        <v>8051</v>
      </c>
      <c r="T1245" t="s">
        <v>13610</v>
      </c>
      <c r="U1245" t="s">
        <v>13610</v>
      </c>
      <c r="V1245" t="s">
        <v>13610</v>
      </c>
      <c r="W1245" t="s">
        <v>14823</v>
      </c>
      <c r="X1245">
        <v>8</v>
      </c>
      <c r="Y1245" t="s">
        <v>21531</v>
      </c>
      <c r="Z1245" t="s">
        <v>28100</v>
      </c>
      <c r="AA1245">
        <v>0.78894408770668278</v>
      </c>
      <c r="AB1245" t="str">
        <f>HYPERLINK("Melting_Curves/meltCurve_O15169_2_AXIN1.pdf", "Melting_Curves/meltCurve_O15169_2_AXIN1.pdf")</f>
        <v>Melting_Curves/meltCurve_O15169_2_AXIN1.pdf</v>
      </c>
    </row>
    <row r="1246" spans="1:28" x14ac:dyDescent="0.25">
      <c r="A1246" t="s">
        <v>1250</v>
      </c>
      <c r="B1246">
        <v>0.995954080203443</v>
      </c>
      <c r="C1246">
        <v>0.86120733857311305</v>
      </c>
      <c r="D1246">
        <v>1.31723394135396</v>
      </c>
      <c r="E1246">
        <v>0.99681394761069997</v>
      </c>
      <c r="F1246">
        <v>0.68765843559681095</v>
      </c>
      <c r="G1246">
        <v>0.40609929259446997</v>
      </c>
      <c r="H1246">
        <v>0.38175308638484301</v>
      </c>
      <c r="I1246">
        <v>0.42735056843095998</v>
      </c>
      <c r="J1246">
        <v>0.50614413679778003</v>
      </c>
      <c r="K1246">
        <v>0.52740194449785005</v>
      </c>
      <c r="L1246">
        <v>11704.536008549399</v>
      </c>
      <c r="M1246">
        <v>221.11251381656299</v>
      </c>
      <c r="N1246">
        <v>53.490575981577699</v>
      </c>
      <c r="O1246">
        <v>52.930419844785803</v>
      </c>
      <c r="P1246">
        <v>-0.57465632566060798</v>
      </c>
      <c r="Q1246">
        <v>0.44974979695473499</v>
      </c>
      <c r="R1246">
        <v>0.85053120411109095</v>
      </c>
      <c r="S1246" t="s">
        <v>8052</v>
      </c>
      <c r="T1246" t="s">
        <v>13610</v>
      </c>
      <c r="U1246" t="s">
        <v>13610</v>
      </c>
      <c r="V1246" t="s">
        <v>13610</v>
      </c>
      <c r="W1246" t="s">
        <v>14824</v>
      </c>
      <c r="X1246">
        <v>4</v>
      </c>
      <c r="Y1246" t="s">
        <v>21532</v>
      </c>
      <c r="Z1246" t="s">
        <v>28101</v>
      </c>
      <c r="AA1246">
        <v>0.68706013926362719</v>
      </c>
      <c r="AB1246" t="str">
        <f>HYPERLINK("Melting_Curves/meltCurve_O15173_PGRMC2.pdf", "Melting_Curves/meltCurve_O15173_PGRMC2.pdf")</f>
        <v>Melting_Curves/meltCurve_O15173_PGRMC2.pdf</v>
      </c>
    </row>
    <row r="1247" spans="1:28" x14ac:dyDescent="0.25">
      <c r="A1247" t="s">
        <v>1251</v>
      </c>
      <c r="B1247">
        <v>0.995954080203443</v>
      </c>
      <c r="C1247">
        <v>0.96173458319410798</v>
      </c>
      <c r="D1247">
        <v>0.77389562626720299</v>
      </c>
      <c r="E1247">
        <v>0.70163941918524397</v>
      </c>
      <c r="F1247">
        <v>0.551378979221396</v>
      </c>
      <c r="G1247">
        <v>0.393176053762058</v>
      </c>
      <c r="H1247">
        <v>0.31999331068943698</v>
      </c>
      <c r="I1247">
        <v>0.33503872296074499</v>
      </c>
      <c r="J1247">
        <v>0.41905659104498699</v>
      </c>
      <c r="K1247">
        <v>0.34863517088145402</v>
      </c>
      <c r="L1247">
        <v>706.01424334234605</v>
      </c>
      <c r="M1247">
        <v>14.1825601965877</v>
      </c>
      <c r="N1247">
        <v>53.894070470653602</v>
      </c>
      <c r="O1247">
        <v>48.8221167578942</v>
      </c>
      <c r="P1247">
        <v>-4.8618183168405202E-2</v>
      </c>
      <c r="Q1247">
        <v>0.33063030041257002</v>
      </c>
      <c r="R1247">
        <v>0.97076187344564202</v>
      </c>
      <c r="S1247" t="s">
        <v>8053</v>
      </c>
      <c r="T1247" t="s">
        <v>13610</v>
      </c>
      <c r="U1247" t="s">
        <v>13610</v>
      </c>
      <c r="V1247" t="s">
        <v>13610</v>
      </c>
      <c r="W1247" t="s">
        <v>14825</v>
      </c>
      <c r="X1247">
        <v>6</v>
      </c>
      <c r="Y1247" t="s">
        <v>21533</v>
      </c>
      <c r="Z1247" t="s">
        <v>28102</v>
      </c>
      <c r="AA1247">
        <v>0.56661059083197007</v>
      </c>
      <c r="AB1247" t="str">
        <f>HYPERLINK("Melting_Curves/meltCurve_O15211_RGL2.pdf", "Melting_Curves/meltCurve_O15211_RGL2.pdf")</f>
        <v>Melting_Curves/meltCurve_O15211_RGL2.pdf</v>
      </c>
    </row>
    <row r="1248" spans="1:28" x14ac:dyDescent="0.25">
      <c r="A1248" t="s">
        <v>1252</v>
      </c>
      <c r="B1248">
        <v>0.995954080203443</v>
      </c>
      <c r="C1248">
        <v>0.96291532234039101</v>
      </c>
      <c r="D1248">
        <v>0.86722749071090499</v>
      </c>
      <c r="E1248">
        <v>0.89138133002022801</v>
      </c>
      <c r="F1248">
        <v>0.66924878789567799</v>
      </c>
      <c r="G1248">
        <v>0.53986900503091995</v>
      </c>
      <c r="H1248">
        <v>0.453664516005303</v>
      </c>
      <c r="I1248">
        <v>0.496684347790182</v>
      </c>
      <c r="J1248">
        <v>0.46224552972663902</v>
      </c>
      <c r="K1248">
        <v>0.51337937427039604</v>
      </c>
      <c r="L1248">
        <v>985.15572045161196</v>
      </c>
      <c r="M1248">
        <v>18.960786896390999</v>
      </c>
      <c r="N1248">
        <v>60.608100851658499</v>
      </c>
      <c r="O1248">
        <v>51.389963155981299</v>
      </c>
      <c r="P1248">
        <v>-4.9202022778631602E-2</v>
      </c>
      <c r="Q1248">
        <v>0.46660708700700398</v>
      </c>
      <c r="R1248">
        <v>0.96036032898282597</v>
      </c>
      <c r="S1248" t="s">
        <v>8054</v>
      </c>
      <c r="T1248" t="s">
        <v>13610</v>
      </c>
      <c r="U1248" t="s">
        <v>13610</v>
      </c>
      <c r="V1248" t="s">
        <v>13610</v>
      </c>
      <c r="W1248" t="s">
        <v>14826</v>
      </c>
      <c r="X1248">
        <v>12</v>
      </c>
      <c r="Y1248" t="s">
        <v>21534</v>
      </c>
      <c r="Z1248" t="s">
        <v>28103</v>
      </c>
      <c r="AA1248">
        <v>0.68732545007924795</v>
      </c>
      <c r="AB1248" t="str">
        <f>HYPERLINK("Melting_Curves/meltCurve_O15212_PFDN6.pdf", "Melting_Curves/meltCurve_O15212_PFDN6.pdf")</f>
        <v>Melting_Curves/meltCurve_O15212_PFDN6.pdf</v>
      </c>
    </row>
    <row r="1249" spans="1:28" x14ac:dyDescent="0.25">
      <c r="A1249" t="s">
        <v>1253</v>
      </c>
      <c r="B1249">
        <v>0.995954080203443</v>
      </c>
      <c r="C1249">
        <v>0.85391873961725995</v>
      </c>
      <c r="D1249">
        <v>0.744159576573028</v>
      </c>
      <c r="E1249">
        <v>0.52110410111511596</v>
      </c>
      <c r="F1249">
        <v>0.33563191728585701</v>
      </c>
      <c r="G1249">
        <v>0.171549367697135</v>
      </c>
      <c r="H1249">
        <v>0.11347155819073999</v>
      </c>
      <c r="I1249">
        <v>0.10420340717269</v>
      </c>
      <c r="J1249">
        <v>0.11645095758955799</v>
      </c>
      <c r="K1249">
        <v>8.9690617030042399E-2</v>
      </c>
      <c r="L1249">
        <v>667.372990616744</v>
      </c>
      <c r="M1249">
        <v>13.511515884703099</v>
      </c>
      <c r="N1249">
        <v>49.9153162052528</v>
      </c>
      <c r="O1249">
        <v>48.348609652058698</v>
      </c>
      <c r="P1249">
        <v>-6.52685081557874E-2</v>
      </c>
      <c r="Q1249">
        <v>6.5933964515903401E-2</v>
      </c>
      <c r="R1249">
        <v>0.99537049878920902</v>
      </c>
      <c r="S1249" t="s">
        <v>8055</v>
      </c>
      <c r="T1249" t="s">
        <v>13610</v>
      </c>
      <c r="U1249" t="s">
        <v>13610</v>
      </c>
      <c r="V1249" t="s">
        <v>13610</v>
      </c>
      <c r="W1249" t="s">
        <v>14827</v>
      </c>
      <c r="X1249">
        <v>7</v>
      </c>
      <c r="Y1249" t="s">
        <v>21535</v>
      </c>
      <c r="Z1249" t="s">
        <v>28104</v>
      </c>
      <c r="AA1249">
        <v>0.38580769983968233</v>
      </c>
      <c r="AB1249" t="str">
        <f>HYPERLINK("Melting_Curves/meltCurve_O15213_WDR46.pdf", "Melting_Curves/meltCurve_O15213_WDR46.pdf")</f>
        <v>Melting_Curves/meltCurve_O15213_WDR46.pdf</v>
      </c>
    </row>
    <row r="1250" spans="1:28" x14ac:dyDescent="0.25">
      <c r="A1250" t="s">
        <v>1254</v>
      </c>
      <c r="B1250">
        <v>0.995954080203443</v>
      </c>
      <c r="C1250">
        <v>0.91066087137081897</v>
      </c>
      <c r="D1250">
        <v>0.94730326845718404</v>
      </c>
      <c r="E1250">
        <v>0.74657117112264004</v>
      </c>
      <c r="F1250">
        <v>0.72169135962474396</v>
      </c>
      <c r="G1250">
        <v>0.56733957784808597</v>
      </c>
      <c r="H1250">
        <v>0.56828514905017402</v>
      </c>
      <c r="I1250">
        <v>0.60877510962666603</v>
      </c>
      <c r="J1250">
        <v>0.76810229982311795</v>
      </c>
      <c r="K1250">
        <v>0.72687670642189195</v>
      </c>
      <c r="L1250">
        <v>1211.1889000741801</v>
      </c>
      <c r="M1250">
        <v>25.069823659946401</v>
      </c>
      <c r="O1250">
        <v>48.008360400711801</v>
      </c>
      <c r="P1250">
        <v>-4.5461227826907299E-2</v>
      </c>
      <c r="Q1250">
        <v>0.65177416072349403</v>
      </c>
      <c r="R1250">
        <v>0.79168137806237204</v>
      </c>
      <c r="S1250" t="s">
        <v>8056</v>
      </c>
      <c r="T1250" t="s">
        <v>13610</v>
      </c>
      <c r="U1250" t="s">
        <v>13610</v>
      </c>
      <c r="V1250" t="s">
        <v>13610</v>
      </c>
      <c r="W1250" t="s">
        <v>14828</v>
      </c>
      <c r="X1250">
        <v>13</v>
      </c>
      <c r="Y1250" t="s">
        <v>21536</v>
      </c>
      <c r="Z1250" t="s">
        <v>28105</v>
      </c>
      <c r="AA1250">
        <v>0.75132246930603208</v>
      </c>
      <c r="AB1250" t="str">
        <f>HYPERLINK("Melting_Curves/meltCurve_O15226_NKRF.pdf", "Melting_Curves/meltCurve_O15226_NKRF.pdf")</f>
        <v>Melting_Curves/meltCurve_O15226_NKRF.pdf</v>
      </c>
    </row>
    <row r="1251" spans="1:28" x14ac:dyDescent="0.25">
      <c r="A1251" t="s">
        <v>1255</v>
      </c>
      <c r="B1251">
        <v>0.995954080203443</v>
      </c>
      <c r="C1251">
        <v>0.82788198435678295</v>
      </c>
      <c r="D1251">
        <v>1.0510017792382</v>
      </c>
      <c r="E1251">
        <v>0.86623936445931804</v>
      </c>
      <c r="F1251">
        <v>1.05170849704438</v>
      </c>
      <c r="G1251">
        <v>0.91163232811633799</v>
      </c>
      <c r="H1251">
        <v>0.98720505580060602</v>
      </c>
      <c r="I1251">
        <v>1.34434227238367</v>
      </c>
      <c r="J1251">
        <v>1.4887580160702301</v>
      </c>
      <c r="K1251">
        <v>1.52946518813511</v>
      </c>
      <c r="L1251">
        <v>15000</v>
      </c>
      <c r="M1251">
        <v>235.16895832230799</v>
      </c>
      <c r="O1251">
        <v>63.779314963968297</v>
      </c>
      <c r="P1251">
        <v>0.460903657182335</v>
      </c>
      <c r="Q1251">
        <v>1.5</v>
      </c>
      <c r="R1251">
        <v>0.89483985036677505</v>
      </c>
      <c r="S1251" t="s">
        <v>8057</v>
      </c>
      <c r="T1251" t="s">
        <v>13610</v>
      </c>
      <c r="U1251" t="s">
        <v>13610</v>
      </c>
      <c r="V1251" t="s">
        <v>13610</v>
      </c>
      <c r="W1251" t="s">
        <v>14829</v>
      </c>
      <c r="X1251">
        <v>10</v>
      </c>
      <c r="Y1251" t="s">
        <v>21537</v>
      </c>
      <c r="Z1251" t="s">
        <v>28106</v>
      </c>
      <c r="AA1251">
        <v>1.1035379394400551</v>
      </c>
      <c r="AB1251" t="str">
        <f>HYPERLINK("Melting_Curves/meltCurve_O15234_CASC3.pdf", "Melting_Curves/meltCurve_O15234_CASC3.pdf")</f>
        <v>Melting_Curves/meltCurve_O15234_CASC3.pdf</v>
      </c>
    </row>
    <row r="1252" spans="1:28" x14ac:dyDescent="0.25">
      <c r="A1252" t="s">
        <v>1256</v>
      </c>
      <c r="B1252">
        <v>0.995954080203443</v>
      </c>
      <c r="C1252">
        <v>0.98743493694586804</v>
      </c>
      <c r="D1252">
        <v>1.0179427845987301</v>
      </c>
      <c r="E1252">
        <v>0.81719057161018605</v>
      </c>
      <c r="F1252">
        <v>0.82903148062741905</v>
      </c>
      <c r="G1252">
        <v>0.65628722260088201</v>
      </c>
      <c r="H1252">
        <v>0.59877933183696896</v>
      </c>
      <c r="I1252">
        <v>0.68773628377798102</v>
      </c>
      <c r="J1252">
        <v>0.77597318217552402</v>
      </c>
      <c r="K1252">
        <v>0.81651842306031497</v>
      </c>
      <c r="L1252">
        <v>1460.0863677500799</v>
      </c>
      <c r="M1252">
        <v>29.218239040039901</v>
      </c>
      <c r="O1252">
        <v>49.739391039213402</v>
      </c>
      <c r="P1252">
        <v>-4.2004698095238303E-2</v>
      </c>
      <c r="Q1252">
        <v>0.71397673525402106</v>
      </c>
      <c r="R1252">
        <v>0.78848145057838304</v>
      </c>
      <c r="S1252" t="s">
        <v>8058</v>
      </c>
      <c r="T1252" t="s">
        <v>13610</v>
      </c>
      <c r="U1252" t="s">
        <v>13610</v>
      </c>
      <c r="V1252" t="s">
        <v>13610</v>
      </c>
      <c r="W1252" t="s">
        <v>14830</v>
      </c>
      <c r="X1252">
        <v>11</v>
      </c>
      <c r="Y1252" t="s">
        <v>21538</v>
      </c>
      <c r="Z1252" t="s">
        <v>28107</v>
      </c>
      <c r="AA1252">
        <v>0.81091379326575452</v>
      </c>
      <c r="AB1252" t="str">
        <f>HYPERLINK("Melting_Curves/meltCurve_O15240_VGF.pdf", "Melting_Curves/meltCurve_O15240_VGF.pdf")</f>
        <v>Melting_Curves/meltCurve_O15240_VGF.pdf</v>
      </c>
    </row>
    <row r="1253" spans="1:28" x14ac:dyDescent="0.25">
      <c r="A1253" t="s">
        <v>1257</v>
      </c>
      <c r="B1253">
        <v>0.995954080203443</v>
      </c>
      <c r="C1253">
        <v>1.0177865899144301</v>
      </c>
      <c r="D1253">
        <v>0.86946036030427298</v>
      </c>
      <c r="E1253">
        <v>0.47075316675269702</v>
      </c>
      <c r="F1253">
        <v>0.142942447759591</v>
      </c>
      <c r="G1253">
        <v>8.1047917918253096E-2</v>
      </c>
      <c r="H1253">
        <v>4.9307573783124801E-2</v>
      </c>
      <c r="I1253">
        <v>4.2290296237475197E-2</v>
      </c>
      <c r="J1253">
        <v>4.5023548751689603E-2</v>
      </c>
      <c r="K1253">
        <v>4.06020657371318E-2</v>
      </c>
      <c r="L1253">
        <v>1374.7580394736101</v>
      </c>
      <c r="M1253">
        <v>27.793912902052199</v>
      </c>
      <c r="N1253">
        <v>49.620087755942002</v>
      </c>
      <c r="O1253">
        <v>49.208630570426898</v>
      </c>
      <c r="P1253">
        <v>-0.135242847473558</v>
      </c>
      <c r="Q1253">
        <v>4.2228188061604999E-2</v>
      </c>
      <c r="R1253">
        <v>0.99808161996466205</v>
      </c>
      <c r="S1253" t="s">
        <v>8059</v>
      </c>
      <c r="T1253" t="s">
        <v>13610</v>
      </c>
      <c r="U1253" t="s">
        <v>13610</v>
      </c>
      <c r="V1253" t="s">
        <v>13610</v>
      </c>
      <c r="W1253" t="s">
        <v>14831</v>
      </c>
      <c r="X1253">
        <v>18</v>
      </c>
      <c r="Y1253" t="s">
        <v>21539</v>
      </c>
      <c r="Z1253" t="s">
        <v>28108</v>
      </c>
      <c r="AA1253">
        <v>0.35119019060473888</v>
      </c>
      <c r="AB1253" t="str">
        <f>HYPERLINK("Melting_Curves/meltCurve_O15247_CLIC2.pdf", "Melting_Curves/meltCurve_O15247_CLIC2.pdf")</f>
        <v>Melting_Curves/meltCurve_O15247_CLIC2.pdf</v>
      </c>
    </row>
    <row r="1254" spans="1:28" x14ac:dyDescent="0.25">
      <c r="A1254" t="s">
        <v>1258</v>
      </c>
      <c r="B1254">
        <v>0.995954080203443</v>
      </c>
      <c r="C1254">
        <v>0.87144962379532598</v>
      </c>
      <c r="D1254">
        <v>0.71034202862610596</v>
      </c>
      <c r="E1254">
        <v>0.67625151793218097</v>
      </c>
      <c r="F1254">
        <v>0.21067467125212999</v>
      </c>
      <c r="G1254">
        <v>0.10870293681718</v>
      </c>
      <c r="H1254">
        <v>5.0062107238659101E-2</v>
      </c>
      <c r="I1254">
        <v>2.5312740724237101E-2</v>
      </c>
      <c r="J1254">
        <v>3.0211825413135399E-2</v>
      </c>
      <c r="K1254">
        <v>2.6054163794292502E-2</v>
      </c>
      <c r="L1254">
        <v>756.65306931355599</v>
      </c>
      <c r="M1254">
        <v>15.0968256172296</v>
      </c>
      <c r="N1254">
        <v>50.120008726346803</v>
      </c>
      <c r="O1254">
        <v>49.265273909579101</v>
      </c>
      <c r="P1254">
        <v>-7.6617419746361298E-2</v>
      </c>
      <c r="Q1254">
        <v>0</v>
      </c>
      <c r="R1254">
        <v>0.96510644554969705</v>
      </c>
      <c r="S1254" t="s">
        <v>8060</v>
      </c>
      <c r="T1254" t="s">
        <v>13610</v>
      </c>
      <c r="U1254" t="s">
        <v>13610</v>
      </c>
      <c r="V1254" t="s">
        <v>13610</v>
      </c>
      <c r="W1254" t="s">
        <v>14832</v>
      </c>
      <c r="X1254">
        <v>2</v>
      </c>
      <c r="Y1254" t="s">
        <v>21540</v>
      </c>
      <c r="Z1254" t="s">
        <v>28109</v>
      </c>
      <c r="AA1254">
        <v>0.36082075798631807</v>
      </c>
      <c r="AB1254" t="str">
        <f>HYPERLINK("Melting_Curves/meltCurve_O15260_2_SURF4.pdf", "Melting_Curves/meltCurve_O15260_2_SURF4.pdf")</f>
        <v>Melting_Curves/meltCurve_O15260_2_SURF4.pdf</v>
      </c>
    </row>
    <row r="1255" spans="1:28" x14ac:dyDescent="0.25">
      <c r="A1255" t="s">
        <v>1259</v>
      </c>
      <c r="B1255">
        <v>0.995954080203443</v>
      </c>
      <c r="C1255">
        <v>0.89784507067833097</v>
      </c>
      <c r="D1255">
        <v>0.84922959001506204</v>
      </c>
      <c r="E1255">
        <v>0.71035638234014098</v>
      </c>
      <c r="F1255">
        <v>0.64040636210566104</v>
      </c>
      <c r="G1255">
        <v>0.42321797120273602</v>
      </c>
      <c r="H1255">
        <v>0.352585700818634</v>
      </c>
      <c r="I1255">
        <v>0.45037561596931602</v>
      </c>
      <c r="J1255">
        <v>0.483872713412283</v>
      </c>
      <c r="K1255">
        <v>0.48123430442534998</v>
      </c>
      <c r="L1255">
        <v>735.27639700697796</v>
      </c>
      <c r="M1255">
        <v>14.8461197415988</v>
      </c>
      <c r="N1255">
        <v>56.581194187623701</v>
      </c>
      <c r="O1255">
        <v>48.653962196428999</v>
      </c>
      <c r="P1255">
        <v>-4.4137806079176702E-2</v>
      </c>
      <c r="Q1255">
        <v>0.42146415434226597</v>
      </c>
      <c r="R1255">
        <v>0.93960392373689905</v>
      </c>
      <c r="S1255" t="s">
        <v>8061</v>
      </c>
      <c r="T1255" t="s">
        <v>13610</v>
      </c>
      <c r="U1255" t="s">
        <v>13610</v>
      </c>
      <c r="V1255" t="s">
        <v>13610</v>
      </c>
      <c r="W1255" t="s">
        <v>14833</v>
      </c>
      <c r="X1255">
        <v>4</v>
      </c>
      <c r="Y1255" t="s">
        <v>21541</v>
      </c>
      <c r="Z1255" t="s">
        <v>28110</v>
      </c>
      <c r="AA1255">
        <v>0.6194575047336115</v>
      </c>
      <c r="AB1255" t="str">
        <f>HYPERLINK("Melting_Curves/meltCurve_O15265_ATXN7.pdf", "Melting_Curves/meltCurve_O15265_ATXN7.pdf")</f>
        <v>Melting_Curves/meltCurve_O15265_ATXN7.pdf</v>
      </c>
    </row>
    <row r="1256" spans="1:28" x14ac:dyDescent="0.25">
      <c r="A1256" t="s">
        <v>1260</v>
      </c>
      <c r="B1256">
        <v>0.995954080203443</v>
      </c>
      <c r="C1256">
        <v>0.72437812519289502</v>
      </c>
      <c r="D1256">
        <v>0.55150476667652903</v>
      </c>
      <c r="E1256">
        <v>0.421021691595724</v>
      </c>
      <c r="F1256">
        <v>0.23782992573896</v>
      </c>
      <c r="G1256">
        <v>9.8001970669204005E-2</v>
      </c>
      <c r="H1256">
        <v>5.9856000336949398E-2</v>
      </c>
      <c r="I1256">
        <v>7.9467631114136003E-2</v>
      </c>
      <c r="J1256">
        <v>5.3057534017237402E-2</v>
      </c>
      <c r="K1256">
        <v>5.38707964372604E-2</v>
      </c>
      <c r="L1256">
        <v>573.99253446854698</v>
      </c>
      <c r="M1256">
        <v>12.144127719721199</v>
      </c>
      <c r="N1256">
        <v>47.4632136386927</v>
      </c>
      <c r="O1256">
        <v>46.0381820681595</v>
      </c>
      <c r="P1256">
        <v>-6.4330508985657994E-2</v>
      </c>
      <c r="Q1256">
        <v>2.47210744283121E-2</v>
      </c>
      <c r="R1256">
        <v>0.98020565347272404</v>
      </c>
      <c r="S1256" t="s">
        <v>8062</v>
      </c>
      <c r="T1256" t="s">
        <v>13610</v>
      </c>
      <c r="U1256" t="s">
        <v>13610</v>
      </c>
      <c r="V1256" t="s">
        <v>13610</v>
      </c>
      <c r="W1256" t="s">
        <v>14834</v>
      </c>
      <c r="X1256">
        <v>3</v>
      </c>
      <c r="Y1256" t="s">
        <v>21542</v>
      </c>
      <c r="Z1256" t="s">
        <v>28111</v>
      </c>
      <c r="AA1256">
        <v>0.30019059483481142</v>
      </c>
      <c r="AB1256" t="str">
        <f>HYPERLINK("Melting_Curves/meltCurve_O15269_SPTLC1.pdf", "Melting_Curves/meltCurve_O15269_SPTLC1.pdf")</f>
        <v>Melting_Curves/meltCurve_O15269_SPTLC1.pdf</v>
      </c>
    </row>
    <row r="1257" spans="1:28" x14ac:dyDescent="0.25">
      <c r="A1257" t="s">
        <v>1261</v>
      </c>
      <c r="B1257">
        <v>0.995954080203443</v>
      </c>
      <c r="C1257">
        <v>0.93231914221440204</v>
      </c>
      <c r="D1257">
        <v>0.76784763993863803</v>
      </c>
      <c r="E1257">
        <v>0.386901442221042</v>
      </c>
      <c r="F1257">
        <v>0.197080830972442</v>
      </c>
      <c r="G1257">
        <v>0.10718089479102499</v>
      </c>
      <c r="H1257">
        <v>7.6663913858908903E-2</v>
      </c>
      <c r="I1257">
        <v>7.5034891273564996E-2</v>
      </c>
      <c r="J1257">
        <v>8.7628613163650101E-2</v>
      </c>
      <c r="K1257">
        <v>7.1248456642172706E-2</v>
      </c>
      <c r="L1257">
        <v>1016.68802745491</v>
      </c>
      <c r="M1257">
        <v>21.0123988645691</v>
      </c>
      <c r="N1257">
        <v>48.744120264986002</v>
      </c>
      <c r="O1257">
        <v>47.9533003476052</v>
      </c>
      <c r="P1257">
        <v>-0.101696290482055</v>
      </c>
      <c r="Q1257">
        <v>7.1682851312919599E-2</v>
      </c>
      <c r="R1257">
        <v>0.99971235607131204</v>
      </c>
      <c r="S1257" t="s">
        <v>8063</v>
      </c>
      <c r="T1257" t="s">
        <v>13610</v>
      </c>
      <c r="U1257" t="s">
        <v>13610</v>
      </c>
      <c r="V1257" t="s">
        <v>13610</v>
      </c>
      <c r="W1257" t="s">
        <v>14835</v>
      </c>
      <c r="X1257">
        <v>22</v>
      </c>
      <c r="Y1257" t="s">
        <v>21543</v>
      </c>
      <c r="Z1257" t="s">
        <v>28112</v>
      </c>
      <c r="AA1257">
        <v>0.34296841094315561</v>
      </c>
      <c r="AB1257" t="str">
        <f>HYPERLINK("Melting_Curves/meltCurve_O15294_OGT.pdf", "Melting_Curves/meltCurve_O15294_OGT.pdf")</f>
        <v>Melting_Curves/meltCurve_O15294_OGT.pdf</v>
      </c>
    </row>
    <row r="1258" spans="1:28" x14ac:dyDescent="0.25">
      <c r="A1258" t="s">
        <v>1262</v>
      </c>
      <c r="B1258">
        <v>0.995954080203443</v>
      </c>
      <c r="C1258">
        <v>1.1044288632549</v>
      </c>
      <c r="D1258">
        <v>1.17808728984008</v>
      </c>
      <c r="E1258">
        <v>0.83180868740301095</v>
      </c>
      <c r="F1258">
        <v>0.52317519741729601</v>
      </c>
      <c r="G1258">
        <v>0.20196658574784199</v>
      </c>
      <c r="H1258">
        <v>8.7729259284030706E-2</v>
      </c>
      <c r="I1258">
        <v>8.3259191668952806E-2</v>
      </c>
      <c r="J1258">
        <v>0.104882620517217</v>
      </c>
      <c r="K1258">
        <v>9.1629001736186197E-2</v>
      </c>
      <c r="L1258">
        <v>1608.90781035178</v>
      </c>
      <c r="M1258">
        <v>30.458078823621999</v>
      </c>
      <c r="N1258">
        <v>53.175166961746498</v>
      </c>
      <c r="O1258">
        <v>52.597540022001702</v>
      </c>
      <c r="P1258">
        <v>-0.13157039785191099</v>
      </c>
      <c r="Q1258">
        <v>9.1178813239321602E-2</v>
      </c>
      <c r="R1258">
        <v>0.97492830403534403</v>
      </c>
      <c r="S1258" t="s">
        <v>8064</v>
      </c>
      <c r="T1258" t="s">
        <v>13610</v>
      </c>
      <c r="U1258" t="s">
        <v>13610</v>
      </c>
      <c r="V1258" t="s">
        <v>13610</v>
      </c>
      <c r="W1258" t="s">
        <v>14836</v>
      </c>
      <c r="X1258">
        <v>12</v>
      </c>
      <c r="Y1258" t="s">
        <v>21544</v>
      </c>
      <c r="Z1258" t="s">
        <v>28113</v>
      </c>
      <c r="AA1258">
        <v>0.48536634860520272</v>
      </c>
      <c r="AB1258" t="str">
        <f>HYPERLINK("Melting_Curves/meltCurve_O15305_PMM2.pdf", "Melting_Curves/meltCurve_O15305_PMM2.pdf")</f>
        <v>Melting_Curves/meltCurve_O15305_PMM2.pdf</v>
      </c>
    </row>
    <row r="1259" spans="1:28" x14ac:dyDescent="0.25">
      <c r="A1259" t="s">
        <v>1263</v>
      </c>
      <c r="B1259">
        <v>0.995954080203443</v>
      </c>
      <c r="C1259">
        <v>0.81064328678061004</v>
      </c>
      <c r="D1259">
        <v>0.55370941200394497</v>
      </c>
      <c r="E1259">
        <v>0.34847184236447099</v>
      </c>
      <c r="F1259">
        <v>0.16190892847813201</v>
      </c>
      <c r="G1259">
        <v>6.8848840712870493E-2</v>
      </c>
      <c r="H1259">
        <v>3.4415455370352697E-2</v>
      </c>
      <c r="I1259">
        <v>2.5696264001357001E-2</v>
      </c>
      <c r="J1259">
        <v>9.0008266165573902E-3</v>
      </c>
      <c r="K1259">
        <v>2.2625262407758299E-2</v>
      </c>
      <c r="L1259">
        <v>702.99611917227298</v>
      </c>
      <c r="M1259">
        <v>14.901103910931001</v>
      </c>
      <c r="N1259">
        <v>47.214738078522302</v>
      </c>
      <c r="O1259">
        <v>46.352246621396603</v>
      </c>
      <c r="P1259">
        <v>-7.9907141242586993E-2</v>
      </c>
      <c r="Q1259">
        <v>5.8479195773903396E-3</v>
      </c>
      <c r="R1259">
        <v>0.99360622166185497</v>
      </c>
      <c r="S1259" t="s">
        <v>8065</v>
      </c>
      <c r="T1259" t="s">
        <v>13610</v>
      </c>
      <c r="U1259" t="s">
        <v>13610</v>
      </c>
      <c r="V1259" t="s">
        <v>13610</v>
      </c>
      <c r="W1259" t="s">
        <v>14837</v>
      </c>
      <c r="X1259">
        <v>2</v>
      </c>
      <c r="Y1259" t="s">
        <v>21545</v>
      </c>
      <c r="Z1259" t="s">
        <v>28114</v>
      </c>
      <c r="AA1259">
        <v>0.27078152675279971</v>
      </c>
      <c r="AB1259" t="str">
        <f>HYPERLINK("Melting_Curves/meltCurve_O15315_5_RAD51B.pdf", "Melting_Curves/meltCurve_O15315_5_RAD51B.pdf")</f>
        <v>Melting_Curves/meltCurve_O15315_5_RAD51B.pdf</v>
      </c>
    </row>
    <row r="1260" spans="1:28" x14ac:dyDescent="0.25">
      <c r="A1260" t="s">
        <v>1264</v>
      </c>
      <c r="B1260">
        <v>0.995954080203443</v>
      </c>
      <c r="C1260">
        <v>0.89810609506084205</v>
      </c>
      <c r="D1260">
        <v>0.70790519434542998</v>
      </c>
      <c r="E1260">
        <v>0.430217625994885</v>
      </c>
      <c r="F1260">
        <v>0.14296872117644499</v>
      </c>
      <c r="G1260">
        <v>8.70198878624764E-2</v>
      </c>
      <c r="H1260">
        <v>6.3838232883522805E-2</v>
      </c>
      <c r="I1260">
        <v>6.01597454350958E-2</v>
      </c>
      <c r="J1260">
        <v>6.6588583437719506E-2</v>
      </c>
      <c r="K1260">
        <v>6.03235365438951E-2</v>
      </c>
      <c r="L1260">
        <v>896.00534205475901</v>
      </c>
      <c r="M1260">
        <v>18.568734433943199</v>
      </c>
      <c r="N1260">
        <v>48.508896706769697</v>
      </c>
      <c r="O1260">
        <v>47.704241506838102</v>
      </c>
      <c r="P1260">
        <v>-9.2783317753395794E-2</v>
      </c>
      <c r="Q1260">
        <v>4.6576998721870898E-2</v>
      </c>
      <c r="R1260">
        <v>0.99411532808111003</v>
      </c>
      <c r="S1260" t="s">
        <v>8066</v>
      </c>
      <c r="T1260" t="s">
        <v>13610</v>
      </c>
      <c r="U1260" t="s">
        <v>13610</v>
      </c>
      <c r="V1260" t="s">
        <v>13610</v>
      </c>
      <c r="W1260" t="s">
        <v>14838</v>
      </c>
      <c r="X1260">
        <v>20</v>
      </c>
      <c r="Y1260" t="s">
        <v>21546</v>
      </c>
      <c r="Z1260" t="s">
        <v>28115</v>
      </c>
      <c r="AA1260">
        <v>0.32462416724698762</v>
      </c>
      <c r="AB1260" t="str">
        <f>HYPERLINK("Melting_Curves/meltCurve_O15344_MID1.pdf", "Melting_Curves/meltCurve_O15344_MID1.pdf")</f>
        <v>Melting_Curves/meltCurve_O15344_MID1.pdf</v>
      </c>
    </row>
    <row r="1261" spans="1:28" x14ac:dyDescent="0.25">
      <c r="A1261" t="s">
        <v>1265</v>
      </c>
      <c r="B1261">
        <v>0.995954080203443</v>
      </c>
      <c r="C1261">
        <v>0.90873894456246596</v>
      </c>
      <c r="D1261">
        <v>0.73870835690667702</v>
      </c>
      <c r="E1261">
        <v>0.51319827073576396</v>
      </c>
      <c r="F1261">
        <v>0.38721970205032602</v>
      </c>
      <c r="G1261">
        <v>0.28975534543216203</v>
      </c>
      <c r="H1261">
        <v>0.259103931820856</v>
      </c>
      <c r="I1261">
        <v>0.31686911886824798</v>
      </c>
      <c r="J1261">
        <v>0.422660515327895</v>
      </c>
      <c r="K1261">
        <v>0.420687952598847</v>
      </c>
      <c r="L1261">
        <v>999.37288975757394</v>
      </c>
      <c r="M1261">
        <v>21.268148305332101</v>
      </c>
      <c r="N1261">
        <v>49.6489787350108</v>
      </c>
      <c r="O1261">
        <v>46.5796775382872</v>
      </c>
      <c r="P1261">
        <v>-7.5341337641437606E-2</v>
      </c>
      <c r="Q1261">
        <v>0.33999225484182299</v>
      </c>
      <c r="R1261">
        <v>0.95727057389341197</v>
      </c>
      <c r="S1261" t="s">
        <v>8067</v>
      </c>
      <c r="T1261" t="s">
        <v>13610</v>
      </c>
      <c r="U1261" t="s">
        <v>13610</v>
      </c>
      <c r="V1261" t="s">
        <v>13610</v>
      </c>
      <c r="W1261" t="s">
        <v>14839</v>
      </c>
      <c r="X1261">
        <v>26</v>
      </c>
      <c r="Y1261" t="s">
        <v>21547</v>
      </c>
      <c r="Z1261" t="s">
        <v>28116</v>
      </c>
      <c r="AA1261">
        <v>0.50219107780888828</v>
      </c>
      <c r="AB1261" t="str">
        <f>HYPERLINK("Melting_Curves/meltCurve_O15355_PPM1G.pdf", "Melting_Curves/meltCurve_O15355_PPM1G.pdf")</f>
        <v>Melting_Curves/meltCurve_O15355_PPM1G.pdf</v>
      </c>
    </row>
    <row r="1262" spans="1:28" x14ac:dyDescent="0.25">
      <c r="A1262" t="s">
        <v>1266</v>
      </c>
      <c r="B1262">
        <v>0.995954080203443</v>
      </c>
      <c r="C1262">
        <v>0.93781976255924204</v>
      </c>
      <c r="D1262">
        <v>0.82732094511019305</v>
      </c>
      <c r="E1262">
        <v>0.53654768575039702</v>
      </c>
      <c r="F1262">
        <v>0.25966940970205499</v>
      </c>
      <c r="G1262">
        <v>0.17788829017990501</v>
      </c>
      <c r="H1262">
        <v>0.15398818040640899</v>
      </c>
      <c r="I1262">
        <v>0.17220831373995199</v>
      </c>
      <c r="J1262">
        <v>0.210870770204964</v>
      </c>
      <c r="K1262">
        <v>0.191844220129087</v>
      </c>
      <c r="L1262">
        <v>1106.01650057853</v>
      </c>
      <c r="M1262">
        <v>22.563568971066601</v>
      </c>
      <c r="N1262">
        <v>49.932175503230198</v>
      </c>
      <c r="O1262">
        <v>48.637645820503103</v>
      </c>
      <c r="P1262">
        <v>-9.6352720476705705E-2</v>
      </c>
      <c r="Q1262">
        <v>0.169231630642666</v>
      </c>
      <c r="R1262">
        <v>0.99276555553133705</v>
      </c>
      <c r="S1262" t="s">
        <v>8068</v>
      </c>
      <c r="T1262" t="s">
        <v>13610</v>
      </c>
      <c r="U1262" t="s">
        <v>13610</v>
      </c>
      <c r="V1262" t="s">
        <v>13610</v>
      </c>
      <c r="W1262" t="s">
        <v>14840</v>
      </c>
      <c r="X1262">
        <v>46</v>
      </c>
      <c r="Y1262" t="s">
        <v>21548</v>
      </c>
      <c r="Z1262" t="s">
        <v>28117</v>
      </c>
      <c r="AA1262">
        <v>0.42804746551824702</v>
      </c>
      <c r="AB1262" t="str">
        <f>HYPERLINK("Melting_Curves/meltCurve_O15357_INPPL1.pdf", "Melting_Curves/meltCurve_O15357_INPPL1.pdf")</f>
        <v>Melting_Curves/meltCurve_O15357_INPPL1.pdf</v>
      </c>
    </row>
    <row r="1263" spans="1:28" x14ac:dyDescent="0.25">
      <c r="A1263" t="s">
        <v>1267</v>
      </c>
      <c r="B1263">
        <v>0.995954080203443</v>
      </c>
      <c r="C1263">
        <v>0.77325595521812895</v>
      </c>
      <c r="D1263">
        <v>0.69172808969723298</v>
      </c>
      <c r="E1263">
        <v>0.60816280841066905</v>
      </c>
      <c r="F1263">
        <v>0.36290305197814399</v>
      </c>
      <c r="G1263">
        <v>0.21015233706589201</v>
      </c>
      <c r="H1263">
        <v>0.10522926314441799</v>
      </c>
      <c r="I1263">
        <v>7.7629223937281E-2</v>
      </c>
      <c r="J1263">
        <v>7.2460782046204403E-2</v>
      </c>
      <c r="K1263">
        <v>7.1787910907788993E-2</v>
      </c>
      <c r="L1263">
        <v>520.83467845713801</v>
      </c>
      <c r="M1263">
        <v>10.3544584982468</v>
      </c>
      <c r="N1263">
        <v>50.3005230576697</v>
      </c>
      <c r="O1263">
        <v>48.532821843394402</v>
      </c>
      <c r="P1263">
        <v>-5.3360106479121698E-2</v>
      </c>
      <c r="Q1263">
        <v>0</v>
      </c>
      <c r="R1263">
        <v>0.97865920830453901</v>
      </c>
      <c r="S1263" t="s">
        <v>8069</v>
      </c>
      <c r="T1263" t="s">
        <v>13610</v>
      </c>
      <c r="U1263" t="s">
        <v>13610</v>
      </c>
      <c r="V1263" t="s">
        <v>13610</v>
      </c>
      <c r="W1263" t="s">
        <v>14841</v>
      </c>
      <c r="X1263">
        <v>11</v>
      </c>
      <c r="Y1263" t="s">
        <v>21549</v>
      </c>
      <c r="Z1263" t="s">
        <v>28118</v>
      </c>
      <c r="AA1263">
        <v>0.38544132941874337</v>
      </c>
      <c r="AB1263" t="str">
        <f>HYPERLINK("Melting_Curves/meltCurve_O15372_EIF3H.pdf", "Melting_Curves/meltCurve_O15372_EIF3H.pdf")</f>
        <v>Melting_Curves/meltCurve_O15372_EIF3H.pdf</v>
      </c>
    </row>
    <row r="1264" spans="1:28" x14ac:dyDescent="0.25">
      <c r="A1264" t="s">
        <v>1268</v>
      </c>
      <c r="B1264">
        <v>0.995954080203443</v>
      </c>
      <c r="C1264">
        <v>0.82395853523153895</v>
      </c>
      <c r="D1264">
        <v>0.74928452455109995</v>
      </c>
      <c r="E1264">
        <v>0.81204575174793703</v>
      </c>
      <c r="F1264">
        <v>0.60075227995246305</v>
      </c>
      <c r="G1264">
        <v>0.34911542148890801</v>
      </c>
      <c r="H1264">
        <v>0.113815889411447</v>
      </c>
      <c r="I1264">
        <v>7.5408576576019806E-2</v>
      </c>
      <c r="J1264">
        <v>8.3545294059410802E-2</v>
      </c>
      <c r="K1264">
        <v>7.5708694839141902E-2</v>
      </c>
      <c r="L1264">
        <v>651.27874937063598</v>
      </c>
      <c r="M1264">
        <v>12.1058088862567</v>
      </c>
      <c r="N1264">
        <v>53.798862164304701</v>
      </c>
      <c r="O1264">
        <v>52.393942628766801</v>
      </c>
      <c r="P1264">
        <v>-5.7776858823311801E-2</v>
      </c>
      <c r="Q1264">
        <v>0</v>
      </c>
      <c r="R1264">
        <v>0.95214023706766204</v>
      </c>
      <c r="S1264" t="s">
        <v>8070</v>
      </c>
      <c r="T1264" t="s">
        <v>13610</v>
      </c>
      <c r="U1264" t="s">
        <v>13610</v>
      </c>
      <c r="V1264" t="s">
        <v>13610</v>
      </c>
      <c r="W1264" t="s">
        <v>14842</v>
      </c>
      <c r="X1264">
        <v>10</v>
      </c>
      <c r="Y1264" t="s">
        <v>21550</v>
      </c>
      <c r="Z1264" t="s">
        <v>28119</v>
      </c>
      <c r="AA1264">
        <v>0.48634936300792669</v>
      </c>
      <c r="AB1264" t="str">
        <f>HYPERLINK("Melting_Curves/meltCurve_O15379_HDAC3.pdf", "Melting_Curves/meltCurve_O15379_HDAC3.pdf")</f>
        <v>Melting_Curves/meltCurve_O15379_HDAC3.pdf</v>
      </c>
    </row>
    <row r="1265" spans="1:28" x14ac:dyDescent="0.25">
      <c r="A1265" t="s">
        <v>1269</v>
      </c>
      <c r="B1265">
        <v>0.995954080203443</v>
      </c>
      <c r="C1265">
        <v>0.91230553957341198</v>
      </c>
      <c r="D1265">
        <v>0.88804636222538302</v>
      </c>
      <c r="E1265">
        <v>0.73544839215282398</v>
      </c>
      <c r="F1265">
        <v>0.72852390636874698</v>
      </c>
      <c r="G1265">
        <v>0.57731307729672199</v>
      </c>
      <c r="H1265">
        <v>0.53005488407234702</v>
      </c>
      <c r="I1265">
        <v>0.66832679470752698</v>
      </c>
      <c r="J1265">
        <v>0.62267567561431103</v>
      </c>
      <c r="K1265">
        <v>0.80397210616044301</v>
      </c>
      <c r="L1265">
        <v>891.98846980425401</v>
      </c>
      <c r="M1265">
        <v>18.870650502417</v>
      </c>
      <c r="O1265">
        <v>46.747334200932002</v>
      </c>
      <c r="P1265">
        <v>-3.5882670668993699E-2</v>
      </c>
      <c r="Q1265">
        <v>0.64445306088802601</v>
      </c>
      <c r="R1265">
        <v>0.75710987221086001</v>
      </c>
      <c r="S1265" t="s">
        <v>8071</v>
      </c>
      <c r="T1265" t="s">
        <v>13610</v>
      </c>
      <c r="U1265" t="s">
        <v>13610</v>
      </c>
      <c r="V1265" t="s">
        <v>13610</v>
      </c>
      <c r="W1265" t="s">
        <v>14843</v>
      </c>
      <c r="X1265">
        <v>16</v>
      </c>
      <c r="Y1265" t="s">
        <v>21551</v>
      </c>
      <c r="Z1265" t="s">
        <v>28120</v>
      </c>
      <c r="AA1265">
        <v>0.73644636323594381</v>
      </c>
      <c r="AB1265" t="str">
        <f>HYPERLINK("Melting_Curves/meltCurve_O15381_NVL.pdf", "Melting_Curves/meltCurve_O15381_NVL.pdf")</f>
        <v>Melting_Curves/meltCurve_O15381_NVL.pdf</v>
      </c>
    </row>
    <row r="1266" spans="1:28" x14ac:dyDescent="0.25">
      <c r="A1266" t="s">
        <v>1270</v>
      </c>
      <c r="B1266">
        <v>0.995954080203443</v>
      </c>
      <c r="C1266">
        <v>0.95688351120732695</v>
      </c>
      <c r="D1266">
        <v>0.93921216329753099</v>
      </c>
      <c r="E1266">
        <v>0.80111630512170595</v>
      </c>
      <c r="F1266">
        <v>0.70732780474674395</v>
      </c>
      <c r="G1266">
        <v>0.47217579185724101</v>
      </c>
      <c r="H1266">
        <v>0.24322879942324399</v>
      </c>
      <c r="I1266">
        <v>0.17227390706380599</v>
      </c>
      <c r="J1266">
        <v>0.14454570521231999</v>
      </c>
      <c r="K1266">
        <v>0.121191069541413</v>
      </c>
      <c r="L1266">
        <v>739.53423524242203</v>
      </c>
      <c r="M1266">
        <v>13.268739356712899</v>
      </c>
      <c r="N1266">
        <v>56.1228038090035</v>
      </c>
      <c r="O1266">
        <v>54.514750749581601</v>
      </c>
      <c r="P1266">
        <v>-5.8193866208633697E-2</v>
      </c>
      <c r="Q1266">
        <v>4.3795627281033603E-2</v>
      </c>
      <c r="R1266">
        <v>0.99641149780263405</v>
      </c>
      <c r="S1266" t="s">
        <v>8072</v>
      </c>
      <c r="T1266" t="s">
        <v>13610</v>
      </c>
      <c r="U1266" t="s">
        <v>13610</v>
      </c>
      <c r="V1266" t="s">
        <v>13610</v>
      </c>
      <c r="W1266" t="s">
        <v>14844</v>
      </c>
      <c r="X1266">
        <v>14</v>
      </c>
      <c r="Y1266" t="s">
        <v>21552</v>
      </c>
      <c r="Z1266" t="s">
        <v>28121</v>
      </c>
      <c r="AA1266">
        <v>0.56449301735453494</v>
      </c>
      <c r="AB1266" t="str">
        <f>HYPERLINK("Melting_Curves/meltCurve_O15382_BCAT2.pdf", "Melting_Curves/meltCurve_O15382_BCAT2.pdf")</f>
        <v>Melting_Curves/meltCurve_O15382_BCAT2.pdf</v>
      </c>
    </row>
    <row r="1267" spans="1:28" x14ac:dyDescent="0.25">
      <c r="A1267" t="s">
        <v>1271</v>
      </c>
      <c r="B1267">
        <v>0.995954080203443</v>
      </c>
      <c r="C1267">
        <v>0.95097504642221897</v>
      </c>
      <c r="D1267">
        <v>0.74841506392065804</v>
      </c>
      <c r="E1267">
        <v>0.79116311844133802</v>
      </c>
      <c r="F1267">
        <v>0.57499866438025105</v>
      </c>
      <c r="G1267">
        <v>0.40787018572915801</v>
      </c>
      <c r="H1267">
        <v>0.26455945489739602</v>
      </c>
      <c r="I1267">
        <v>0.21766152360560101</v>
      </c>
      <c r="J1267">
        <v>0.21385074570534199</v>
      </c>
      <c r="K1267">
        <v>0.19524980146054699</v>
      </c>
      <c r="L1267">
        <v>549.50951732061003</v>
      </c>
      <c r="M1267">
        <v>10.263577898630601</v>
      </c>
      <c r="N1267">
        <v>54.6992479030963</v>
      </c>
      <c r="O1267">
        <v>51.626708056062903</v>
      </c>
      <c r="P1267">
        <v>-4.4861790582521002E-2</v>
      </c>
      <c r="Q1267">
        <v>9.7761996972663606E-2</v>
      </c>
      <c r="R1267">
        <v>0.97510120805891198</v>
      </c>
      <c r="S1267" t="s">
        <v>8073</v>
      </c>
      <c r="T1267" t="s">
        <v>13610</v>
      </c>
      <c r="U1267" t="s">
        <v>13610</v>
      </c>
      <c r="V1267" t="s">
        <v>13610</v>
      </c>
      <c r="W1267" t="s">
        <v>14845</v>
      </c>
      <c r="X1267">
        <v>5</v>
      </c>
      <c r="Y1267" t="s">
        <v>21553</v>
      </c>
      <c r="Z1267" t="s">
        <v>28122</v>
      </c>
      <c r="AA1267">
        <v>0.5333179960051373</v>
      </c>
      <c r="AB1267" t="str">
        <f>HYPERLINK("Melting_Curves/meltCurve_O15392_5_BIRC5.pdf", "Melting_Curves/meltCurve_O15392_5_BIRC5.pdf")</f>
        <v>Melting_Curves/meltCurve_O15392_5_BIRC5.pdf</v>
      </c>
    </row>
    <row r="1268" spans="1:28" x14ac:dyDescent="0.25">
      <c r="A1268" t="s">
        <v>1272</v>
      </c>
      <c r="B1268">
        <v>0.995954080203443</v>
      </c>
      <c r="C1268">
        <v>0.95195953263225097</v>
      </c>
      <c r="D1268">
        <v>0.82982344310401801</v>
      </c>
      <c r="E1268">
        <v>0.642831369682897</v>
      </c>
      <c r="F1268">
        <v>0.32987498973991403</v>
      </c>
      <c r="G1268">
        <v>0.13911760041552701</v>
      </c>
      <c r="H1268">
        <v>8.1627408854577893E-2</v>
      </c>
      <c r="I1268">
        <v>7.8777008821716801E-2</v>
      </c>
      <c r="J1268">
        <v>9.2041649953963106E-2</v>
      </c>
      <c r="K1268">
        <v>8.1261694734580794E-2</v>
      </c>
      <c r="L1268">
        <v>952.379190894065</v>
      </c>
      <c r="M1268">
        <v>18.789729373879702</v>
      </c>
      <c r="N1268">
        <v>51.038699525705901</v>
      </c>
      <c r="O1268">
        <v>50.122511406306103</v>
      </c>
      <c r="P1268">
        <v>-8.8019056733834505E-2</v>
      </c>
      <c r="Q1268">
        <v>6.0858763037499E-2</v>
      </c>
      <c r="R1268">
        <v>0.99454949898719103</v>
      </c>
      <c r="S1268" t="s">
        <v>8074</v>
      </c>
      <c r="T1268" t="s">
        <v>13610</v>
      </c>
      <c r="U1268" t="s">
        <v>13610</v>
      </c>
      <c r="V1268" t="s">
        <v>13610</v>
      </c>
      <c r="W1268" t="s">
        <v>14846</v>
      </c>
      <c r="X1268">
        <v>23</v>
      </c>
      <c r="Y1268" t="s">
        <v>21554</v>
      </c>
      <c r="Z1268" t="s">
        <v>28123</v>
      </c>
      <c r="AA1268">
        <v>0.41005646110209149</v>
      </c>
      <c r="AB1268" t="str">
        <f>HYPERLINK("Melting_Curves/meltCurve_O15397_IPO8.pdf", "Melting_Curves/meltCurve_O15397_IPO8.pdf")</f>
        <v>Melting_Curves/meltCurve_O15397_IPO8.pdf</v>
      </c>
    </row>
    <row r="1269" spans="1:28" x14ac:dyDescent="0.25">
      <c r="A1269" t="s">
        <v>1273</v>
      </c>
      <c r="B1269">
        <v>0.995954080203443</v>
      </c>
      <c r="C1269">
        <v>1.0503567307794299</v>
      </c>
      <c r="D1269">
        <v>1.17984084835192</v>
      </c>
      <c r="E1269">
        <v>1.0063088381242999</v>
      </c>
      <c r="F1269">
        <v>1.0823990350852899</v>
      </c>
      <c r="G1269">
        <v>0.88547257228991605</v>
      </c>
      <c r="H1269">
        <v>0.81494352720694696</v>
      </c>
      <c r="I1269">
        <v>0.95254216514479795</v>
      </c>
      <c r="J1269">
        <v>1.1381877904455799</v>
      </c>
      <c r="K1269">
        <v>1.11193576415625</v>
      </c>
      <c r="L1269">
        <v>15000</v>
      </c>
      <c r="M1269">
        <v>228.50173962653099</v>
      </c>
      <c r="O1269">
        <v>65.6399906691952</v>
      </c>
      <c r="P1269">
        <v>0.109254488504419</v>
      </c>
      <c r="Q1269">
        <v>1.1255388795354999</v>
      </c>
      <c r="R1269">
        <v>0.22386905444123201</v>
      </c>
      <c r="S1269" t="s">
        <v>8075</v>
      </c>
      <c r="T1269" t="s">
        <v>13610</v>
      </c>
      <c r="U1269" t="s">
        <v>13610</v>
      </c>
      <c r="V1269" t="s">
        <v>13610</v>
      </c>
      <c r="W1269" t="s">
        <v>14847</v>
      </c>
      <c r="X1269">
        <v>9</v>
      </c>
      <c r="Y1269" t="s">
        <v>21555</v>
      </c>
      <c r="Z1269" t="s">
        <v>28124</v>
      </c>
      <c r="AA1269">
        <v>1.0182066880946541</v>
      </c>
      <c r="AB1269" t="str">
        <f>HYPERLINK("Melting_Curves/meltCurve_O15400_2_STX7.pdf", "Melting_Curves/meltCurve_O15400_2_STX7.pdf")</f>
        <v>Melting_Curves/meltCurve_O15400_2_STX7.pdf</v>
      </c>
    </row>
    <row r="1270" spans="1:28" x14ac:dyDescent="0.25">
      <c r="A1270" t="s">
        <v>1274</v>
      </c>
      <c r="B1270">
        <v>0.995954080203443</v>
      </c>
      <c r="C1270">
        <v>0.95541422836893297</v>
      </c>
      <c r="D1270">
        <v>1.0084873344981999</v>
      </c>
      <c r="E1270">
        <v>0.93036333383563896</v>
      </c>
      <c r="F1270">
        <v>0.99686007051669201</v>
      </c>
      <c r="G1270">
        <v>0.794154594584773</v>
      </c>
      <c r="H1270">
        <v>0.74522086524789899</v>
      </c>
      <c r="I1270">
        <v>0.927596702240715</v>
      </c>
      <c r="J1270">
        <v>1.0299292080965701</v>
      </c>
      <c r="K1270">
        <v>1.0825441822947599</v>
      </c>
      <c r="L1270">
        <v>1689.36030433159</v>
      </c>
      <c r="M1270">
        <v>34.599249745079398</v>
      </c>
      <c r="O1270">
        <v>48.664255663642798</v>
      </c>
      <c r="P1270">
        <v>-1.3131214488898601E-2</v>
      </c>
      <c r="Q1270">
        <v>0.92612343626452698</v>
      </c>
      <c r="R1270">
        <v>6.3062475468998305E-2</v>
      </c>
      <c r="S1270" t="s">
        <v>8076</v>
      </c>
      <c r="T1270" t="s">
        <v>13610</v>
      </c>
      <c r="U1270" t="s">
        <v>13610</v>
      </c>
      <c r="V1270" t="s">
        <v>13610</v>
      </c>
      <c r="W1270" t="s">
        <v>14070</v>
      </c>
      <c r="X1270">
        <v>12</v>
      </c>
      <c r="Y1270" t="s">
        <v>21556</v>
      </c>
      <c r="Z1270" t="s">
        <v>28125</v>
      </c>
      <c r="AA1270">
        <v>0.94819436301877191</v>
      </c>
      <c r="AB1270" t="str">
        <f>HYPERLINK("Melting_Curves/meltCurve_O15446_CD3EAP.pdf", "Melting_Curves/meltCurve_O15446_CD3EAP.pdf")</f>
        <v>Melting_Curves/meltCurve_O15446_CD3EAP.pdf</v>
      </c>
    </row>
    <row r="1271" spans="1:28" x14ac:dyDescent="0.25">
      <c r="A1271" t="s">
        <v>1275</v>
      </c>
      <c r="B1271">
        <v>0.995954080203443</v>
      </c>
      <c r="C1271">
        <v>0.84888085550998404</v>
      </c>
      <c r="D1271">
        <v>0.535307501943038</v>
      </c>
      <c r="E1271">
        <v>0.39987935787769802</v>
      </c>
      <c r="F1271">
        <v>0.26434419858856401</v>
      </c>
      <c r="G1271">
        <v>0.145649692044684</v>
      </c>
      <c r="H1271">
        <v>0.13169908025636901</v>
      </c>
      <c r="I1271">
        <v>0.142431501774058</v>
      </c>
      <c r="J1271">
        <v>0.193731010795783</v>
      </c>
      <c r="K1271">
        <v>0.17106932086013399</v>
      </c>
      <c r="L1271">
        <v>791.95949023278797</v>
      </c>
      <c r="M1271">
        <v>17.097518781621201</v>
      </c>
      <c r="N1271">
        <v>47.336497324367002</v>
      </c>
      <c r="O1271">
        <v>45.7004101154713</v>
      </c>
      <c r="P1271">
        <v>-7.9166185967211297E-2</v>
      </c>
      <c r="Q1271">
        <v>0.15362957347497599</v>
      </c>
      <c r="R1271">
        <v>0.98186711152788197</v>
      </c>
      <c r="S1271" t="s">
        <v>8077</v>
      </c>
      <c r="T1271" t="s">
        <v>13610</v>
      </c>
      <c r="U1271" t="s">
        <v>13610</v>
      </c>
      <c r="V1271" t="s">
        <v>13610</v>
      </c>
      <c r="W1271" t="s">
        <v>14848</v>
      </c>
      <c r="X1271">
        <v>5</v>
      </c>
      <c r="Y1271" t="s">
        <v>21557</v>
      </c>
      <c r="Z1271" t="s">
        <v>28126</v>
      </c>
      <c r="AA1271">
        <v>0.35013041072666651</v>
      </c>
      <c r="AB1271" t="str">
        <f>HYPERLINK("Melting_Curves/meltCurve_O15479_MAGEB2.pdf", "Melting_Curves/meltCurve_O15479_MAGEB2.pdf")</f>
        <v>Melting_Curves/meltCurve_O15479_MAGEB2.pdf</v>
      </c>
    </row>
    <row r="1272" spans="1:28" x14ac:dyDescent="0.25">
      <c r="A1272" t="s">
        <v>1276</v>
      </c>
      <c r="B1272">
        <v>0.995954080203443</v>
      </c>
      <c r="C1272">
        <v>0.94142731085267894</v>
      </c>
      <c r="D1272">
        <v>1.25961101818858</v>
      </c>
      <c r="E1272">
        <v>0.81417416510428897</v>
      </c>
      <c r="F1272">
        <v>0.86805877520698604</v>
      </c>
      <c r="G1272">
        <v>0.63020133807980805</v>
      </c>
      <c r="H1272">
        <v>0.61199139807027103</v>
      </c>
      <c r="I1272">
        <v>0.78593407355748202</v>
      </c>
      <c r="J1272">
        <v>1.0216379780329701</v>
      </c>
      <c r="K1272">
        <v>0.88496025642073295</v>
      </c>
      <c r="L1272">
        <v>12369.6652228937</v>
      </c>
      <c r="M1272">
        <v>249.999968308729</v>
      </c>
      <c r="O1272">
        <v>49.475492871851799</v>
      </c>
      <c r="P1272">
        <v>-0.252064177759525</v>
      </c>
      <c r="Q1272">
        <v>0.80046395177642404</v>
      </c>
      <c r="R1272">
        <v>0.40355982299762999</v>
      </c>
      <c r="S1272" t="s">
        <v>8078</v>
      </c>
      <c r="T1272" t="s">
        <v>13610</v>
      </c>
      <c r="U1272" t="s">
        <v>13610</v>
      </c>
      <c r="V1272" t="s">
        <v>13610</v>
      </c>
      <c r="W1272" t="s">
        <v>14849</v>
      </c>
      <c r="X1272">
        <v>4</v>
      </c>
      <c r="Y1272" t="s">
        <v>21558</v>
      </c>
      <c r="Z1272" t="s">
        <v>28127</v>
      </c>
      <c r="AA1272">
        <v>0.86352580462804707</v>
      </c>
      <c r="AB1272" t="str">
        <f>HYPERLINK("Melting_Curves/meltCurve_O15488_4_GYG2.pdf", "Melting_Curves/meltCurve_O15488_4_GYG2.pdf")</f>
        <v>Melting_Curves/meltCurve_O15488_4_GYG2.pdf</v>
      </c>
    </row>
    <row r="1273" spans="1:28" x14ac:dyDescent="0.25">
      <c r="A1273" t="s">
        <v>1277</v>
      </c>
      <c r="B1273">
        <v>0.995954080203443</v>
      </c>
      <c r="C1273">
        <v>0.99917746265859197</v>
      </c>
      <c r="D1273">
        <v>1.10116850796941</v>
      </c>
      <c r="E1273">
        <v>0.94954552696397199</v>
      </c>
      <c r="F1273">
        <v>0.973018861950812</v>
      </c>
      <c r="G1273">
        <v>0.69023548292096704</v>
      </c>
      <c r="H1273">
        <v>0.34507795384566797</v>
      </c>
      <c r="I1273">
        <v>0.13366058006710799</v>
      </c>
      <c r="J1273">
        <v>0.10581660507521</v>
      </c>
      <c r="K1273">
        <v>0.102699928973009</v>
      </c>
      <c r="L1273">
        <v>1558.0895975585599</v>
      </c>
      <c r="M1273">
        <v>26.571575028908299</v>
      </c>
      <c r="N1273">
        <v>58.999886185903499</v>
      </c>
      <c r="O1273">
        <v>58.308347818203899</v>
      </c>
      <c r="P1273">
        <v>-0.105349332687432</v>
      </c>
      <c r="Q1273">
        <v>7.5300288146769701E-2</v>
      </c>
      <c r="R1273">
        <v>0.99067928536180405</v>
      </c>
      <c r="S1273" t="s">
        <v>8079</v>
      </c>
      <c r="T1273" t="s">
        <v>13610</v>
      </c>
      <c r="U1273" t="s">
        <v>13610</v>
      </c>
      <c r="V1273" t="s">
        <v>13610</v>
      </c>
      <c r="W1273" t="s">
        <v>14850</v>
      </c>
      <c r="X1273">
        <v>13</v>
      </c>
      <c r="Y1273" t="s">
        <v>21559</v>
      </c>
      <c r="Z1273" t="s">
        <v>28128</v>
      </c>
      <c r="AA1273">
        <v>0.65693811436186089</v>
      </c>
      <c r="AB1273" t="str">
        <f>HYPERLINK("Melting_Curves/meltCurve_O15498_YKT6.pdf", "Melting_Curves/meltCurve_O15498_YKT6.pdf")</f>
        <v>Melting_Curves/meltCurve_O15498_YKT6.pdf</v>
      </c>
    </row>
    <row r="1274" spans="1:28" x14ac:dyDescent="0.25">
      <c r="A1274" t="s">
        <v>1278</v>
      </c>
      <c r="B1274">
        <v>0.995954080203443</v>
      </c>
      <c r="C1274">
        <v>0.96270307025972801</v>
      </c>
      <c r="D1274">
        <v>0.85797222123880601</v>
      </c>
      <c r="E1274">
        <v>0.76937538046166898</v>
      </c>
      <c r="F1274">
        <v>0.49935316968897397</v>
      </c>
      <c r="G1274">
        <v>0.22311701892341099</v>
      </c>
      <c r="H1274">
        <v>0.14466481008891799</v>
      </c>
      <c r="I1274">
        <v>0.14656237059216001</v>
      </c>
      <c r="J1274">
        <v>0.12998904049426499</v>
      </c>
      <c r="K1274">
        <v>0.14344089870298199</v>
      </c>
      <c r="L1274">
        <v>1003.40518978661</v>
      </c>
      <c r="M1274">
        <v>19.241988137350202</v>
      </c>
      <c r="N1274">
        <v>52.8541346647865</v>
      </c>
      <c r="O1274">
        <v>51.593225561678999</v>
      </c>
      <c r="P1274">
        <v>-8.2656394846449904E-2</v>
      </c>
      <c r="Q1274">
        <v>0.113532699177264</v>
      </c>
      <c r="R1274">
        <v>0.99144374030626203</v>
      </c>
      <c r="S1274" t="s">
        <v>8080</v>
      </c>
      <c r="T1274" t="s">
        <v>13610</v>
      </c>
      <c r="U1274" t="s">
        <v>13610</v>
      </c>
      <c r="V1274" t="s">
        <v>13610</v>
      </c>
      <c r="W1274" t="s">
        <v>14851</v>
      </c>
      <c r="X1274">
        <v>2</v>
      </c>
      <c r="Y1274" t="s">
        <v>21560</v>
      </c>
      <c r="Z1274" t="s">
        <v>28129</v>
      </c>
      <c r="AA1274">
        <v>0.4855776322952553</v>
      </c>
      <c r="AB1274" t="str">
        <f>HYPERLINK("Melting_Curves/meltCurve_O15504_NUPL2.pdf", "Melting_Curves/meltCurve_O15504_NUPL2.pdf")</f>
        <v>Melting_Curves/meltCurve_O15504_NUPL2.pdf</v>
      </c>
    </row>
    <row r="1275" spans="1:28" x14ac:dyDescent="0.25">
      <c r="A1275" t="s">
        <v>1279</v>
      </c>
      <c r="B1275">
        <v>0.995954080203443</v>
      </c>
      <c r="C1275">
        <v>1.0347098853411201</v>
      </c>
      <c r="D1275">
        <v>0.89259283522064403</v>
      </c>
      <c r="E1275">
        <v>0.97152632888337898</v>
      </c>
      <c r="F1275">
        <v>0.62989020966192399</v>
      </c>
      <c r="G1275">
        <v>0.44696359317189799</v>
      </c>
      <c r="H1275">
        <v>0.20195949618981601</v>
      </c>
      <c r="I1275">
        <v>0.129364154685815</v>
      </c>
      <c r="J1275">
        <v>0.11916497010635201</v>
      </c>
      <c r="K1275">
        <v>0.11236604553743799</v>
      </c>
      <c r="L1275">
        <v>1025.32630538733</v>
      </c>
      <c r="M1275">
        <v>18.612875185209599</v>
      </c>
      <c r="N1275">
        <v>55.639663022314103</v>
      </c>
      <c r="O1275">
        <v>54.462881789820699</v>
      </c>
      <c r="P1275">
        <v>-7.8230204281832194E-2</v>
      </c>
      <c r="Q1275">
        <v>8.4406312234323794E-2</v>
      </c>
      <c r="R1275">
        <v>0.98247611500579302</v>
      </c>
      <c r="S1275" t="s">
        <v>8081</v>
      </c>
      <c r="T1275" t="s">
        <v>13610</v>
      </c>
      <c r="U1275" t="s">
        <v>13610</v>
      </c>
      <c r="V1275" t="s">
        <v>13610</v>
      </c>
      <c r="W1275" t="s">
        <v>14852</v>
      </c>
      <c r="X1275">
        <v>7</v>
      </c>
      <c r="Y1275" t="s">
        <v>21561</v>
      </c>
      <c r="Z1275" t="s">
        <v>28130</v>
      </c>
      <c r="AA1275">
        <v>0.5583418001921151</v>
      </c>
      <c r="AB1275" t="str">
        <f>HYPERLINK("Melting_Curves/meltCurve_O15511_ARPC5.pdf", "Melting_Curves/meltCurve_O15511_ARPC5.pdf")</f>
        <v>Melting_Curves/meltCurve_O15511_ARPC5.pdf</v>
      </c>
    </row>
    <row r="1276" spans="1:28" x14ac:dyDescent="0.25">
      <c r="A1276" t="s">
        <v>1280</v>
      </c>
      <c r="B1276">
        <v>0.995954080203443</v>
      </c>
      <c r="C1276">
        <v>0.99207819020366295</v>
      </c>
      <c r="D1276">
        <v>0.78348368690666303</v>
      </c>
      <c r="E1276">
        <v>1.0127266992605699</v>
      </c>
      <c r="F1276">
        <v>0.90765735402516701</v>
      </c>
      <c r="G1276">
        <v>0.66419940294086799</v>
      </c>
      <c r="H1276">
        <v>0.49295743145461002</v>
      </c>
      <c r="I1276">
        <v>0.31756732902563201</v>
      </c>
      <c r="J1276">
        <v>0.13079304617567999</v>
      </c>
      <c r="K1276">
        <v>0.13103961355684501</v>
      </c>
      <c r="L1276">
        <v>893.14569425041498</v>
      </c>
      <c r="M1276">
        <v>14.8055696385034</v>
      </c>
      <c r="N1276">
        <v>60.324980252989597</v>
      </c>
      <c r="O1276">
        <v>59.256534108935597</v>
      </c>
      <c r="P1276">
        <v>-6.2470513475174197E-2</v>
      </c>
      <c r="Q1276">
        <v>0</v>
      </c>
      <c r="R1276">
        <v>0.95301183089379304</v>
      </c>
      <c r="S1276" t="s">
        <v>8082</v>
      </c>
      <c r="T1276" t="s">
        <v>13610</v>
      </c>
      <c r="U1276" t="s">
        <v>13610</v>
      </c>
      <c r="V1276" t="s">
        <v>13610</v>
      </c>
      <c r="W1276" t="s">
        <v>14853</v>
      </c>
      <c r="X1276">
        <v>13</v>
      </c>
      <c r="Y1276" t="s">
        <v>21562</v>
      </c>
      <c r="Z1276" t="s">
        <v>28131</v>
      </c>
      <c r="AA1276">
        <v>0.6828288453253426</v>
      </c>
      <c r="AB1276" t="str">
        <f>HYPERLINK("Melting_Curves/meltCurve_O15514_POLR2D.pdf", "Melting_Curves/meltCurve_O15514_POLR2D.pdf")</f>
        <v>Melting_Curves/meltCurve_O15514_POLR2D.pdf</v>
      </c>
    </row>
    <row r="1277" spans="1:28" x14ac:dyDescent="0.25">
      <c r="A1277" t="s">
        <v>1281</v>
      </c>
      <c r="B1277">
        <v>0.995954080203443</v>
      </c>
      <c r="C1277">
        <v>0.88715623466887605</v>
      </c>
      <c r="D1277">
        <v>0.63581503501595804</v>
      </c>
      <c r="E1277">
        <v>0.51031866225560496</v>
      </c>
      <c r="F1277">
        <v>0.21676156036275099</v>
      </c>
      <c r="G1277">
        <v>9.1309161026987398E-2</v>
      </c>
      <c r="H1277">
        <v>4.8918782711139697E-2</v>
      </c>
      <c r="I1277">
        <v>4.3731477512180303E-2</v>
      </c>
      <c r="J1277">
        <v>4.8625662249878701E-2</v>
      </c>
      <c r="K1277">
        <v>3.3722503457741998E-2</v>
      </c>
      <c r="L1277">
        <v>693.96624885863105</v>
      </c>
      <c r="M1277">
        <v>14.220700255915601</v>
      </c>
      <c r="N1277">
        <v>48.860687652810199</v>
      </c>
      <c r="O1277">
        <v>47.865154071938399</v>
      </c>
      <c r="P1277">
        <v>-7.3630864200438101E-2</v>
      </c>
      <c r="Q1277">
        <v>8.7933554581125801E-3</v>
      </c>
      <c r="R1277">
        <v>0.98631547318789303</v>
      </c>
      <c r="S1277" t="s">
        <v>8083</v>
      </c>
      <c r="T1277" t="s">
        <v>13610</v>
      </c>
      <c r="U1277" t="s">
        <v>13610</v>
      </c>
      <c r="V1277" t="s">
        <v>13610</v>
      </c>
      <c r="W1277" t="s">
        <v>14854</v>
      </c>
      <c r="X1277">
        <v>2</v>
      </c>
      <c r="Y1277" t="s">
        <v>21563</v>
      </c>
      <c r="Z1277" t="s">
        <v>28132</v>
      </c>
      <c r="AA1277">
        <v>0.3267899983238054</v>
      </c>
      <c r="AB1277" t="str">
        <f>HYPERLINK("Melting_Curves/meltCurve_O15524_SOCS1.pdf", "Melting_Curves/meltCurve_O15524_SOCS1.pdf")</f>
        <v>Melting_Curves/meltCurve_O15524_SOCS1.pdf</v>
      </c>
    </row>
    <row r="1278" spans="1:28" x14ac:dyDescent="0.25">
      <c r="A1278" t="s">
        <v>1282</v>
      </c>
      <c r="B1278">
        <v>0.995954080203443</v>
      </c>
      <c r="C1278">
        <v>0.99307986908583901</v>
      </c>
      <c r="D1278">
        <v>0.96510846913097603</v>
      </c>
      <c r="E1278">
        <v>0.88126759065819205</v>
      </c>
      <c r="F1278">
        <v>0.71415974736785603</v>
      </c>
      <c r="G1278">
        <v>0.46874492325856798</v>
      </c>
      <c r="H1278">
        <v>0.40378926033326101</v>
      </c>
      <c r="I1278">
        <v>0.50630445288269399</v>
      </c>
      <c r="J1278">
        <v>0.59789241197420895</v>
      </c>
      <c r="K1278">
        <v>0.57907597048747705</v>
      </c>
      <c r="L1278">
        <v>1815.7460692269001</v>
      </c>
      <c r="M1278">
        <v>34.881093047430397</v>
      </c>
      <c r="O1278">
        <v>51.885101572430997</v>
      </c>
      <c r="P1278">
        <v>-8.2378435646210196E-2</v>
      </c>
      <c r="Q1278">
        <v>0.50985499734216899</v>
      </c>
      <c r="R1278">
        <v>0.93512112233004496</v>
      </c>
      <c r="S1278" t="s">
        <v>8084</v>
      </c>
      <c r="T1278" t="s">
        <v>13610</v>
      </c>
      <c r="U1278" t="s">
        <v>13610</v>
      </c>
      <c r="V1278" t="s">
        <v>13610</v>
      </c>
      <c r="W1278" t="s">
        <v>14855</v>
      </c>
      <c r="X1278">
        <v>13</v>
      </c>
      <c r="Y1278" t="s">
        <v>21564</v>
      </c>
      <c r="Z1278" t="s">
        <v>28133</v>
      </c>
      <c r="AA1278">
        <v>0.70913724174584702</v>
      </c>
      <c r="AB1278" t="str">
        <f>HYPERLINK("Melting_Curves/meltCurve_O15541_RNF113A.pdf", "Melting_Curves/meltCurve_O15541_RNF113A.pdf")</f>
        <v>Melting_Curves/meltCurve_O15541_RNF113A.pdf</v>
      </c>
    </row>
    <row r="1279" spans="1:28" x14ac:dyDescent="0.25">
      <c r="A1279" t="s">
        <v>1283</v>
      </c>
      <c r="B1279">
        <v>0.995954080203443</v>
      </c>
      <c r="C1279">
        <v>0.867194352573604</v>
      </c>
      <c r="D1279">
        <v>0.699391848361821</v>
      </c>
      <c r="E1279">
        <v>0.52157879129592699</v>
      </c>
      <c r="F1279">
        <v>0.30840129935633598</v>
      </c>
      <c r="G1279">
        <v>0.18604823288737601</v>
      </c>
      <c r="H1279">
        <v>0.129236507494535</v>
      </c>
      <c r="I1279">
        <v>0.12896982822514799</v>
      </c>
      <c r="J1279">
        <v>0.14306972438481899</v>
      </c>
      <c r="K1279">
        <v>0.14468791975711801</v>
      </c>
      <c r="L1279">
        <v>692.02267483453397</v>
      </c>
      <c r="M1279">
        <v>14.216330825475399</v>
      </c>
      <c r="N1279">
        <v>49.526610768925103</v>
      </c>
      <c r="O1279">
        <v>47.745225476936497</v>
      </c>
      <c r="P1279">
        <v>-6.6400437668205303E-2</v>
      </c>
      <c r="Q1279">
        <v>0.108094106795478</v>
      </c>
      <c r="R1279">
        <v>0.99279627080972799</v>
      </c>
      <c r="S1279" t="s">
        <v>8085</v>
      </c>
      <c r="T1279" t="s">
        <v>13610</v>
      </c>
      <c r="U1279" t="s">
        <v>13610</v>
      </c>
      <c r="V1279" t="s">
        <v>13610</v>
      </c>
      <c r="W1279" t="s">
        <v>14856</v>
      </c>
      <c r="X1279">
        <v>16</v>
      </c>
      <c r="Y1279" t="s">
        <v>21565</v>
      </c>
      <c r="Z1279" t="s">
        <v>28134</v>
      </c>
      <c r="AA1279">
        <v>0.39076292160952042</v>
      </c>
      <c r="AB1279" t="str">
        <f>HYPERLINK("Melting_Curves/meltCurve_O15550_KDM6A.pdf", "Melting_Curves/meltCurve_O15550_KDM6A.pdf")</f>
        <v>Melting_Curves/meltCurve_O15550_KDM6A.pdf</v>
      </c>
    </row>
    <row r="1280" spans="1:28" x14ac:dyDescent="0.25">
      <c r="A1280" t="s">
        <v>1284</v>
      </c>
      <c r="B1280">
        <v>0.995954080203443</v>
      </c>
      <c r="C1280">
        <v>0.99740689740257704</v>
      </c>
      <c r="D1280">
        <v>0.92515169113559304</v>
      </c>
      <c r="E1280">
        <v>0.84074580167204604</v>
      </c>
      <c r="F1280">
        <v>0.61733159608042698</v>
      </c>
      <c r="G1280">
        <v>0.28572706626704603</v>
      </c>
      <c r="H1280">
        <v>0.14215605058630501</v>
      </c>
      <c r="I1280">
        <v>0.13746050318518799</v>
      </c>
      <c r="J1280">
        <v>0.16301426528792901</v>
      </c>
      <c r="K1280">
        <v>0.14764894704739301</v>
      </c>
      <c r="L1280">
        <v>1231.1888017552301</v>
      </c>
      <c r="M1280">
        <v>23.0748353840067</v>
      </c>
      <c r="N1280">
        <v>54.058386810234502</v>
      </c>
      <c r="O1280">
        <v>52.960470165147903</v>
      </c>
      <c r="P1280">
        <v>-9.4824351825991804E-2</v>
      </c>
      <c r="Q1280">
        <v>0.129467649968003</v>
      </c>
      <c r="R1280">
        <v>0.99597083031772504</v>
      </c>
      <c r="S1280" t="s">
        <v>8086</v>
      </c>
      <c r="T1280" t="s">
        <v>13610</v>
      </c>
      <c r="U1280" t="s">
        <v>13610</v>
      </c>
      <c r="V1280" t="s">
        <v>13610</v>
      </c>
      <c r="W1280" t="s">
        <v>14857</v>
      </c>
      <c r="X1280">
        <v>45</v>
      </c>
      <c r="Y1280" t="s">
        <v>21566</v>
      </c>
      <c r="Z1280" t="s">
        <v>28135</v>
      </c>
      <c r="AA1280">
        <v>0.52634159626506016</v>
      </c>
      <c r="AB1280" t="str">
        <f>HYPERLINK("Melting_Curves/meltCurve_O43143_DHX15.pdf", "Melting_Curves/meltCurve_O43143_DHX15.pdf")</f>
        <v>Melting_Curves/meltCurve_O43143_DHX15.pdf</v>
      </c>
    </row>
    <row r="1281" spans="1:28" x14ac:dyDescent="0.25">
      <c r="A1281" t="s">
        <v>1285</v>
      </c>
      <c r="B1281">
        <v>0.995954080203443</v>
      </c>
      <c r="C1281">
        <v>0.99758897822270298</v>
      </c>
      <c r="D1281">
        <v>0.95704524934496704</v>
      </c>
      <c r="E1281">
        <v>0.89719032373036101</v>
      </c>
      <c r="F1281">
        <v>0.69795621250486595</v>
      </c>
      <c r="G1281">
        <v>0.338979609442286</v>
      </c>
      <c r="H1281">
        <v>0.16585609487696601</v>
      </c>
      <c r="I1281">
        <v>0.17194229576454401</v>
      </c>
      <c r="J1281">
        <v>0.21355599185979299</v>
      </c>
      <c r="K1281">
        <v>0.18477765949465999</v>
      </c>
      <c r="L1281">
        <v>1458.3103996305799</v>
      </c>
      <c r="M1281">
        <v>27.0181581912829</v>
      </c>
      <c r="N1281">
        <v>54.8375023644873</v>
      </c>
      <c r="O1281">
        <v>53.682107729332103</v>
      </c>
      <c r="P1281">
        <v>-0.10405003497469301</v>
      </c>
      <c r="Q1281">
        <v>0.17306428852394601</v>
      </c>
      <c r="R1281">
        <v>0.996054295394735</v>
      </c>
      <c r="S1281" t="s">
        <v>8087</v>
      </c>
      <c r="T1281" t="s">
        <v>13610</v>
      </c>
      <c r="U1281" t="s">
        <v>13610</v>
      </c>
      <c r="V1281" t="s">
        <v>13610</v>
      </c>
      <c r="W1281" t="s">
        <v>14858</v>
      </c>
      <c r="X1281">
        <v>28</v>
      </c>
      <c r="Y1281" t="s">
        <v>21567</v>
      </c>
      <c r="Z1281" t="s">
        <v>28136</v>
      </c>
      <c r="AA1281">
        <v>0.5649120394220809</v>
      </c>
      <c r="AB1281" t="str">
        <f>HYPERLINK("Melting_Curves/meltCurve_O43148_RNMT.pdf", "Melting_Curves/meltCurve_O43148_RNMT.pdf")</f>
        <v>Melting_Curves/meltCurve_O43148_RNMT.pdf</v>
      </c>
    </row>
    <row r="1282" spans="1:28" x14ac:dyDescent="0.25">
      <c r="A1282" t="s">
        <v>1286</v>
      </c>
      <c r="B1282">
        <v>0.995954080203443</v>
      </c>
      <c r="C1282">
        <v>0.71008842161056795</v>
      </c>
      <c r="D1282">
        <v>0.54236915890138604</v>
      </c>
      <c r="E1282">
        <v>0.76011891209804605</v>
      </c>
      <c r="F1282">
        <v>0.42693682279067602</v>
      </c>
      <c r="G1282">
        <v>0.24482372289180801</v>
      </c>
      <c r="H1282">
        <v>0.20066643431184999</v>
      </c>
      <c r="I1282">
        <v>0.196828656191299</v>
      </c>
      <c r="J1282">
        <v>0.26889562454780502</v>
      </c>
      <c r="K1282">
        <v>0.24845482627947499</v>
      </c>
      <c r="L1282">
        <v>421.85611581815101</v>
      </c>
      <c r="M1282">
        <v>8.6409179122784092</v>
      </c>
      <c r="N1282">
        <v>50.751687007471801</v>
      </c>
      <c r="O1282">
        <v>46.417201141018197</v>
      </c>
      <c r="P1282">
        <v>-4.0053543232014002E-2</v>
      </c>
      <c r="Q1282">
        <v>0.14009155247954799</v>
      </c>
      <c r="R1282">
        <v>0.840992693211985</v>
      </c>
      <c r="S1282" t="s">
        <v>8088</v>
      </c>
      <c r="T1282" t="s">
        <v>13610</v>
      </c>
      <c r="U1282" t="s">
        <v>13610</v>
      </c>
      <c r="V1282" t="s">
        <v>13610</v>
      </c>
      <c r="W1282" t="s">
        <v>14859</v>
      </c>
      <c r="X1282">
        <v>5</v>
      </c>
      <c r="Y1282" t="s">
        <v>21568</v>
      </c>
      <c r="Z1282" t="s">
        <v>28137</v>
      </c>
      <c r="AA1282">
        <v>0.44530700595304601</v>
      </c>
      <c r="AB1282" t="str">
        <f>HYPERLINK("Melting_Curves/meltCurve_O43149_ZZEF1.pdf", "Melting_Curves/meltCurve_O43149_ZZEF1.pdf")</f>
        <v>Melting_Curves/meltCurve_O43149_ZZEF1.pdf</v>
      </c>
    </row>
    <row r="1283" spans="1:28" x14ac:dyDescent="0.25">
      <c r="A1283" t="s">
        <v>1287</v>
      </c>
      <c r="B1283">
        <v>0.995954080203443</v>
      </c>
      <c r="C1283">
        <v>0.56427518352363304</v>
      </c>
      <c r="D1283">
        <v>0.277388957688052</v>
      </c>
      <c r="E1283">
        <v>0.239151282277213</v>
      </c>
      <c r="F1283">
        <v>0.13612892787633701</v>
      </c>
      <c r="G1283">
        <v>7.4894723073675604E-2</v>
      </c>
      <c r="H1283">
        <v>4.67681296859482E-2</v>
      </c>
      <c r="I1283">
        <v>4.3237424121227899E-2</v>
      </c>
      <c r="J1283">
        <v>4.6493722370647597E-2</v>
      </c>
      <c r="K1283">
        <v>3.8681258332532303E-2</v>
      </c>
      <c r="L1283">
        <v>988.62402975124803</v>
      </c>
      <c r="M1283">
        <v>22.671811574526998</v>
      </c>
      <c r="N1283">
        <v>43.919658164425201</v>
      </c>
      <c r="O1283">
        <v>43.270868152549703</v>
      </c>
      <c r="P1283">
        <v>-0.121196005611626</v>
      </c>
      <c r="Q1283">
        <v>7.4771369264534093E-2</v>
      </c>
      <c r="R1283">
        <v>0.96135346166471503</v>
      </c>
      <c r="S1283" t="s">
        <v>8089</v>
      </c>
      <c r="T1283" t="s">
        <v>13610</v>
      </c>
      <c r="U1283" t="s">
        <v>13610</v>
      </c>
      <c r="V1283" t="s">
        <v>13610</v>
      </c>
      <c r="W1283" t="s">
        <v>14860</v>
      </c>
      <c r="X1283">
        <v>12</v>
      </c>
      <c r="Y1283" t="s">
        <v>21569</v>
      </c>
      <c r="Z1283" t="s">
        <v>28138</v>
      </c>
      <c r="AA1283">
        <v>0.20042622103766411</v>
      </c>
      <c r="AB1283" t="str">
        <f>HYPERLINK("Melting_Curves/meltCurve_O43156_TTI1.pdf", "Melting_Curves/meltCurve_O43156_TTI1.pdf")</f>
        <v>Melting_Curves/meltCurve_O43156_TTI1.pdf</v>
      </c>
    </row>
    <row r="1284" spans="1:28" x14ac:dyDescent="0.25">
      <c r="A1284" t="s">
        <v>1288</v>
      </c>
      <c r="B1284">
        <v>0.995954080203443</v>
      </c>
      <c r="C1284">
        <v>0.91968815155238104</v>
      </c>
      <c r="D1284">
        <v>0.94011632608475604</v>
      </c>
      <c r="E1284">
        <v>0.85623750905533302</v>
      </c>
      <c r="F1284">
        <v>0.98306993834406198</v>
      </c>
      <c r="G1284">
        <v>0.80572567175155696</v>
      </c>
      <c r="H1284">
        <v>0.85052413933005599</v>
      </c>
      <c r="I1284">
        <v>1.11075918359104</v>
      </c>
      <c r="J1284">
        <v>1.20028759667684</v>
      </c>
      <c r="K1284">
        <v>1.2742020455762599</v>
      </c>
      <c r="L1284">
        <v>15000</v>
      </c>
      <c r="M1284">
        <v>234.24201479879301</v>
      </c>
      <c r="O1284">
        <v>64.031675238877298</v>
      </c>
      <c r="P1284">
        <v>0.21697900792508201</v>
      </c>
      <c r="Q1284">
        <v>1.23725081964339</v>
      </c>
      <c r="R1284">
        <v>0.57012614258692595</v>
      </c>
      <c r="S1284" t="s">
        <v>8090</v>
      </c>
      <c r="T1284" t="s">
        <v>13610</v>
      </c>
      <c r="U1284" t="s">
        <v>13610</v>
      </c>
      <c r="V1284" t="s">
        <v>13610</v>
      </c>
      <c r="W1284" t="s">
        <v>14861</v>
      </c>
      <c r="X1284">
        <v>5</v>
      </c>
      <c r="Y1284" t="s">
        <v>21570</v>
      </c>
      <c r="Z1284" t="s">
        <v>28139</v>
      </c>
      <c r="AA1284">
        <v>1.0471324462135601</v>
      </c>
      <c r="AB1284" t="str">
        <f>HYPERLINK("Melting_Curves/meltCurve_O43164_2_PJA2.pdf", "Melting_Curves/meltCurve_O43164_2_PJA2.pdf")</f>
        <v>Melting_Curves/meltCurve_O43164_2_PJA2.pdf</v>
      </c>
    </row>
    <row r="1285" spans="1:28" x14ac:dyDescent="0.25">
      <c r="A1285" t="s">
        <v>1289</v>
      </c>
      <c r="B1285">
        <v>0.995954080203443</v>
      </c>
      <c r="C1285">
        <v>1.01901511814776</v>
      </c>
      <c r="D1285">
        <v>0.99190793546645495</v>
      </c>
      <c r="E1285">
        <v>0.88515927346793599</v>
      </c>
      <c r="F1285">
        <v>0.83282464693830904</v>
      </c>
      <c r="G1285">
        <v>0.62467720333344001</v>
      </c>
      <c r="H1285">
        <v>0.47967732004389202</v>
      </c>
      <c r="I1285">
        <v>0.460606225645669</v>
      </c>
      <c r="J1285">
        <v>0.50643547086517804</v>
      </c>
      <c r="K1285">
        <v>0.49954497897061301</v>
      </c>
      <c r="L1285">
        <v>1166.19344683087</v>
      </c>
      <c r="M1285">
        <v>21.455685732725801</v>
      </c>
      <c r="N1285">
        <v>62.620086415234901</v>
      </c>
      <c r="O1285">
        <v>53.888043790242698</v>
      </c>
      <c r="P1285">
        <v>-5.2700498172831803E-2</v>
      </c>
      <c r="Q1285">
        <v>0.47056347052158598</v>
      </c>
      <c r="R1285">
        <v>0.98645242970284996</v>
      </c>
      <c r="S1285" t="s">
        <v>8091</v>
      </c>
      <c r="T1285" t="s">
        <v>13610</v>
      </c>
      <c r="U1285" t="s">
        <v>13610</v>
      </c>
      <c r="V1285" t="s">
        <v>13610</v>
      </c>
      <c r="W1285" t="s">
        <v>14862</v>
      </c>
      <c r="X1285">
        <v>5</v>
      </c>
      <c r="Y1285" t="s">
        <v>21571</v>
      </c>
      <c r="Z1285" t="s">
        <v>28140</v>
      </c>
      <c r="AA1285">
        <v>0.7302594652173201</v>
      </c>
      <c r="AB1285" t="str">
        <f>HYPERLINK("Melting_Curves/meltCurve_O43167_ZBTB24.pdf", "Melting_Curves/meltCurve_O43167_ZBTB24.pdf")</f>
        <v>Melting_Curves/meltCurve_O43167_ZBTB24.pdf</v>
      </c>
    </row>
    <row r="1286" spans="1:28" x14ac:dyDescent="0.25">
      <c r="A1286" t="s">
        <v>1290</v>
      </c>
      <c r="B1286">
        <v>0.995954080203443</v>
      </c>
      <c r="C1286">
        <v>0.76077246185660197</v>
      </c>
      <c r="D1286">
        <v>0.57226451413790003</v>
      </c>
      <c r="E1286">
        <v>0.60011744285019197</v>
      </c>
      <c r="F1286">
        <v>0.30874301122419101</v>
      </c>
      <c r="G1286">
        <v>0.126013546716049</v>
      </c>
      <c r="H1286">
        <v>6.9758685234038401E-2</v>
      </c>
      <c r="I1286">
        <v>6.1502698242635399E-2</v>
      </c>
      <c r="J1286">
        <v>6.5855797215491396E-2</v>
      </c>
      <c r="K1286">
        <v>5.9809521917356397E-2</v>
      </c>
      <c r="L1286">
        <v>519.59444537159004</v>
      </c>
      <c r="M1286">
        <v>10.5962178705085</v>
      </c>
      <c r="N1286">
        <v>49.035864236273497</v>
      </c>
      <c r="O1286">
        <v>47.386036107472798</v>
      </c>
      <c r="P1286">
        <v>-5.5925473021191302E-2</v>
      </c>
      <c r="Q1286">
        <v>0</v>
      </c>
      <c r="R1286">
        <v>0.95552441225834905</v>
      </c>
      <c r="S1286" t="s">
        <v>8092</v>
      </c>
      <c r="T1286" t="s">
        <v>13610</v>
      </c>
      <c r="U1286" t="s">
        <v>13610</v>
      </c>
      <c r="V1286" t="s">
        <v>13610</v>
      </c>
      <c r="W1286" t="s">
        <v>14863</v>
      </c>
      <c r="X1286">
        <v>21</v>
      </c>
      <c r="Y1286" t="s">
        <v>21572</v>
      </c>
      <c r="Z1286" t="s">
        <v>28141</v>
      </c>
      <c r="AA1286">
        <v>0.34594170411510411</v>
      </c>
      <c r="AB1286" t="str">
        <f>HYPERLINK("Melting_Curves/meltCurve_O43172_2_PRPF4.pdf", "Melting_Curves/meltCurve_O43172_2_PRPF4.pdf")</f>
        <v>Melting_Curves/meltCurve_O43172_2_PRPF4.pdf</v>
      </c>
    </row>
    <row r="1287" spans="1:28" x14ac:dyDescent="0.25">
      <c r="A1287" t="s">
        <v>1291</v>
      </c>
      <c r="B1287">
        <v>0.995954080203443</v>
      </c>
      <c r="C1287">
        <v>0.86870627313284499</v>
      </c>
      <c r="D1287">
        <v>1.0083835975891799</v>
      </c>
      <c r="E1287">
        <v>0.847320838529385</v>
      </c>
      <c r="F1287">
        <v>0.57910405402392695</v>
      </c>
      <c r="G1287">
        <v>0.35547031826035203</v>
      </c>
      <c r="H1287">
        <v>9.2549989776011005E-2</v>
      </c>
      <c r="I1287">
        <v>4.6764070001750098E-2</v>
      </c>
      <c r="J1287">
        <v>4.4633256733433699E-2</v>
      </c>
      <c r="K1287">
        <v>4.0553222242834502E-2</v>
      </c>
      <c r="L1287">
        <v>979.71196253735195</v>
      </c>
      <c r="M1287">
        <v>18.015686803862899</v>
      </c>
      <c r="N1287">
        <v>54.406223504902499</v>
      </c>
      <c r="O1287">
        <v>53.724295704581998</v>
      </c>
      <c r="P1287">
        <v>-8.3490128768561003E-2</v>
      </c>
      <c r="Q1287">
        <v>4.1505731163759899E-3</v>
      </c>
      <c r="R1287">
        <v>0.98521255876962899</v>
      </c>
      <c r="S1287" t="s">
        <v>8093</v>
      </c>
      <c r="T1287" t="s">
        <v>13610</v>
      </c>
      <c r="U1287" t="s">
        <v>13610</v>
      </c>
      <c r="V1287" t="s">
        <v>13610</v>
      </c>
      <c r="W1287" t="s">
        <v>14864</v>
      </c>
      <c r="X1287">
        <v>34</v>
      </c>
      <c r="Y1287" t="s">
        <v>21573</v>
      </c>
      <c r="Z1287" t="s">
        <v>28142</v>
      </c>
      <c r="AA1287">
        <v>0.49726303034066288</v>
      </c>
      <c r="AB1287" t="str">
        <f>HYPERLINK("Melting_Curves/meltCurve_O43175_PHGDH.pdf", "Melting_Curves/meltCurve_O43175_PHGDH.pdf")</f>
        <v>Melting_Curves/meltCurve_O43175_PHGDH.pdf</v>
      </c>
    </row>
    <row r="1288" spans="1:28" x14ac:dyDescent="0.25">
      <c r="A1288" t="s">
        <v>1292</v>
      </c>
      <c r="B1288">
        <v>0.995954080203443</v>
      </c>
      <c r="C1288">
        <v>0.80470263673671405</v>
      </c>
      <c r="D1288">
        <v>0.586201201025636</v>
      </c>
      <c r="E1288">
        <v>0.40516488445430598</v>
      </c>
      <c r="F1288">
        <v>0.33189776265104698</v>
      </c>
      <c r="G1288">
        <v>0.22557416176789299</v>
      </c>
      <c r="H1288">
        <v>0.211555921647855</v>
      </c>
      <c r="I1288">
        <v>0.23100337211341801</v>
      </c>
      <c r="J1288">
        <v>0.27265361954317802</v>
      </c>
      <c r="K1288">
        <v>0.24946971470819301</v>
      </c>
      <c r="L1288">
        <v>797.883006727522</v>
      </c>
      <c r="M1288">
        <v>17.409092184459801</v>
      </c>
      <c r="N1288">
        <v>47.582178865861401</v>
      </c>
      <c r="O1288">
        <v>45.2394914115565</v>
      </c>
      <c r="P1288">
        <v>-7.3456501790612597E-2</v>
      </c>
      <c r="Q1288">
        <v>0.23650291696958001</v>
      </c>
      <c r="R1288">
        <v>0.98739233846483598</v>
      </c>
      <c r="S1288" t="s">
        <v>8094</v>
      </c>
      <c r="T1288" t="s">
        <v>13610</v>
      </c>
      <c r="U1288" t="s">
        <v>13610</v>
      </c>
      <c r="V1288" t="s">
        <v>13610</v>
      </c>
      <c r="W1288" t="s">
        <v>14865</v>
      </c>
      <c r="X1288">
        <v>19</v>
      </c>
      <c r="Y1288" t="s">
        <v>21574</v>
      </c>
      <c r="Z1288" t="s">
        <v>28143</v>
      </c>
      <c r="AA1288">
        <v>0.40128148777528128</v>
      </c>
      <c r="AB1288" t="str">
        <f>HYPERLINK("Melting_Curves/meltCurve_O43182_4_ARHGAP6.pdf", "Melting_Curves/meltCurve_O43182_4_ARHGAP6.pdf")</f>
        <v>Melting_Curves/meltCurve_O43182_4_ARHGAP6.pdf</v>
      </c>
    </row>
    <row r="1289" spans="1:28" x14ac:dyDescent="0.25">
      <c r="A1289" t="s">
        <v>1293</v>
      </c>
      <c r="B1289">
        <v>0.995954080203443</v>
      </c>
      <c r="C1289">
        <v>0.89846397221008301</v>
      </c>
      <c r="D1289">
        <v>0.84713134421233804</v>
      </c>
      <c r="E1289">
        <v>0.64791167492101398</v>
      </c>
      <c r="F1289">
        <v>0.47863653083622099</v>
      </c>
      <c r="G1289">
        <v>0.34421872536769399</v>
      </c>
      <c r="H1289">
        <v>0.305796223585454</v>
      </c>
      <c r="I1289">
        <v>0.37397350684589897</v>
      </c>
      <c r="J1289">
        <v>0.43350467507079499</v>
      </c>
      <c r="K1289">
        <v>0.445832925986692</v>
      </c>
      <c r="L1289">
        <v>941.04682986986199</v>
      </c>
      <c r="M1289">
        <v>19.3179910572259</v>
      </c>
      <c r="N1289">
        <v>52.435656451019298</v>
      </c>
      <c r="O1289">
        <v>48.200495408377101</v>
      </c>
      <c r="P1289">
        <v>-6.2814131553089306E-2</v>
      </c>
      <c r="Q1289">
        <v>0.37311096131152099</v>
      </c>
      <c r="R1289">
        <v>0.95847319923451602</v>
      </c>
      <c r="S1289" t="s">
        <v>8095</v>
      </c>
      <c r="T1289" t="s">
        <v>13610</v>
      </c>
      <c r="U1289" t="s">
        <v>13610</v>
      </c>
      <c r="V1289" t="s">
        <v>13610</v>
      </c>
      <c r="W1289" t="s">
        <v>14866</v>
      </c>
      <c r="X1289">
        <v>9</v>
      </c>
      <c r="Y1289" t="s">
        <v>21575</v>
      </c>
      <c r="Z1289" t="s">
        <v>28144</v>
      </c>
      <c r="AA1289">
        <v>0.56464886148282756</v>
      </c>
      <c r="AB1289" t="str">
        <f>HYPERLINK("Melting_Curves/meltCurve_O43237_DYNC1LI2.pdf", "Melting_Curves/meltCurve_O43237_DYNC1LI2.pdf")</f>
        <v>Melting_Curves/meltCurve_O43237_DYNC1LI2.pdf</v>
      </c>
    </row>
    <row r="1290" spans="1:28" x14ac:dyDescent="0.25">
      <c r="A1290" t="s">
        <v>1294</v>
      </c>
      <c r="B1290">
        <v>0.995954080203443</v>
      </c>
      <c r="C1290">
        <v>0.68685666730559802</v>
      </c>
      <c r="D1290">
        <v>0.496610154778239</v>
      </c>
      <c r="E1290">
        <v>0.59220290728317204</v>
      </c>
      <c r="F1290">
        <v>0.190346468563486</v>
      </c>
      <c r="G1290">
        <v>0.111702964774236</v>
      </c>
      <c r="H1290">
        <v>6.9488589750779206E-2</v>
      </c>
      <c r="I1290">
        <v>5.9207290621758099E-2</v>
      </c>
      <c r="J1290">
        <v>6.3907976366094105E-2</v>
      </c>
      <c r="K1290">
        <v>6.1198224187906103E-2</v>
      </c>
      <c r="L1290">
        <v>497.438467177164</v>
      </c>
      <c r="M1290">
        <v>10.4097030502894</v>
      </c>
      <c r="N1290">
        <v>47.786038928547597</v>
      </c>
      <c r="O1290">
        <v>46.1234688357506</v>
      </c>
      <c r="P1290">
        <v>-5.6446562306609403E-2</v>
      </c>
      <c r="Q1290">
        <v>0</v>
      </c>
      <c r="R1290">
        <v>0.92065142346890005</v>
      </c>
      <c r="S1290" t="s">
        <v>8096</v>
      </c>
      <c r="T1290" t="s">
        <v>13610</v>
      </c>
      <c r="U1290" t="s">
        <v>13610</v>
      </c>
      <c r="V1290" t="s">
        <v>13610</v>
      </c>
      <c r="W1290" t="s">
        <v>14867</v>
      </c>
      <c r="X1290">
        <v>37</v>
      </c>
      <c r="Y1290" t="s">
        <v>21576</v>
      </c>
      <c r="Z1290" t="s">
        <v>28145</v>
      </c>
      <c r="AA1290">
        <v>0.31008294026574929</v>
      </c>
      <c r="AB1290" t="str">
        <f>HYPERLINK("Melting_Curves/meltCurve_O43242_PSMD3.pdf", "Melting_Curves/meltCurve_O43242_PSMD3.pdf")</f>
        <v>Melting_Curves/meltCurve_O43242_PSMD3.pdf</v>
      </c>
    </row>
    <row r="1291" spans="1:28" x14ac:dyDescent="0.25">
      <c r="A1291" t="s">
        <v>1295</v>
      </c>
      <c r="B1291">
        <v>0.995954080203443</v>
      </c>
      <c r="C1291">
        <v>1.00762543019315</v>
      </c>
      <c r="D1291">
        <v>0.95924823836862205</v>
      </c>
      <c r="E1291">
        <v>0.91037544235607504</v>
      </c>
      <c r="F1291">
        <v>0.83157073923276703</v>
      </c>
      <c r="G1291">
        <v>0.62196283912164296</v>
      </c>
      <c r="H1291">
        <v>0.54789277122942803</v>
      </c>
      <c r="I1291">
        <v>0.61121221320589803</v>
      </c>
      <c r="J1291">
        <v>0.72395192954851895</v>
      </c>
      <c r="K1291">
        <v>0.717986977504806</v>
      </c>
      <c r="L1291">
        <v>1763.1327288513401</v>
      </c>
      <c r="M1291">
        <v>33.546633105640801</v>
      </c>
      <c r="O1291">
        <v>52.371952092176301</v>
      </c>
      <c r="P1291">
        <v>-5.7253434818287499E-2</v>
      </c>
      <c r="Q1291">
        <v>0.64247239684183399</v>
      </c>
      <c r="R1291">
        <v>0.89002185217122298</v>
      </c>
      <c r="S1291" t="s">
        <v>8097</v>
      </c>
      <c r="T1291" t="s">
        <v>13610</v>
      </c>
      <c r="U1291" t="s">
        <v>13610</v>
      </c>
      <c r="V1291" t="s">
        <v>13610</v>
      </c>
      <c r="W1291" t="s">
        <v>14868</v>
      </c>
      <c r="X1291">
        <v>8</v>
      </c>
      <c r="Y1291" t="s">
        <v>21577</v>
      </c>
      <c r="Z1291" t="s">
        <v>28146</v>
      </c>
      <c r="AA1291">
        <v>0.79397549155342939</v>
      </c>
      <c r="AB1291" t="str">
        <f>HYPERLINK("Melting_Curves/meltCurve_O43251_6_RBFOX2.pdf", "Melting_Curves/meltCurve_O43251_6_RBFOX2.pdf")</f>
        <v>Melting_Curves/meltCurve_O43251_6_RBFOX2.pdf</v>
      </c>
    </row>
    <row r="1292" spans="1:28" x14ac:dyDescent="0.25">
      <c r="A1292" t="s">
        <v>1296</v>
      </c>
      <c r="B1292">
        <v>0.995954080203443</v>
      </c>
      <c r="C1292">
        <v>0.89372376370520401</v>
      </c>
      <c r="D1292">
        <v>0.94359129546760301</v>
      </c>
      <c r="E1292">
        <v>0.86920508129297402</v>
      </c>
      <c r="F1292">
        <v>0.44780239523655002</v>
      </c>
      <c r="G1292">
        <v>0.134170123176416</v>
      </c>
      <c r="H1292">
        <v>8.4216322886268805E-2</v>
      </c>
      <c r="I1292">
        <v>7.3600834418948796E-2</v>
      </c>
      <c r="J1292">
        <v>8.1631362775429706E-2</v>
      </c>
      <c r="K1292">
        <v>7.2295683857095602E-2</v>
      </c>
      <c r="L1292">
        <v>1838.29420811046</v>
      </c>
      <c r="M1292">
        <v>35.057664901085801</v>
      </c>
      <c r="N1292">
        <v>52.6856565552023</v>
      </c>
      <c r="O1292">
        <v>52.2665711461635</v>
      </c>
      <c r="P1292">
        <v>-0.15486856816005701</v>
      </c>
      <c r="Q1292">
        <v>7.6445142717671805E-2</v>
      </c>
      <c r="R1292">
        <v>0.99111235110414397</v>
      </c>
      <c r="S1292" t="s">
        <v>8098</v>
      </c>
      <c r="T1292" t="s">
        <v>13610</v>
      </c>
      <c r="U1292" t="s">
        <v>13610</v>
      </c>
      <c r="V1292" t="s">
        <v>13610</v>
      </c>
      <c r="W1292" t="s">
        <v>14869</v>
      </c>
      <c r="X1292">
        <v>35</v>
      </c>
      <c r="Y1292" t="s">
        <v>21578</v>
      </c>
      <c r="Z1292" t="s">
        <v>28147</v>
      </c>
      <c r="AA1292">
        <v>0.46365650756542998</v>
      </c>
      <c r="AB1292" t="str">
        <f>HYPERLINK("Melting_Curves/meltCurve_O43252_PAPSS1.pdf", "Melting_Curves/meltCurve_O43252_PAPSS1.pdf")</f>
        <v>Melting_Curves/meltCurve_O43252_PAPSS1.pdf</v>
      </c>
    </row>
    <row r="1293" spans="1:28" x14ac:dyDescent="0.25">
      <c r="A1293" t="s">
        <v>1297</v>
      </c>
      <c r="B1293">
        <v>0.995954080203443</v>
      </c>
      <c r="C1293">
        <v>0.76188424374331098</v>
      </c>
      <c r="D1293">
        <v>0.486357464161218</v>
      </c>
      <c r="E1293">
        <v>0.44583550288044599</v>
      </c>
      <c r="F1293">
        <v>0.140925381553065</v>
      </c>
      <c r="G1293">
        <v>8.0503149068538199E-2</v>
      </c>
      <c r="H1293">
        <v>5.5498441827493403E-2</v>
      </c>
      <c r="I1293">
        <v>4.6524222752519599E-2</v>
      </c>
      <c r="J1293">
        <v>5.49167876777477E-2</v>
      </c>
      <c r="K1293">
        <v>5.0353898199170202E-2</v>
      </c>
      <c r="L1293">
        <v>633.54111559250896</v>
      </c>
      <c r="M1293">
        <v>13.5292525705239</v>
      </c>
      <c r="N1293">
        <v>47.014550332735297</v>
      </c>
      <c r="O1293">
        <v>45.8399728498919</v>
      </c>
      <c r="P1293">
        <v>-7.1862662047495404E-2</v>
      </c>
      <c r="Q1293">
        <v>2.6204018448864601E-2</v>
      </c>
      <c r="R1293">
        <v>0.96692877603211003</v>
      </c>
      <c r="S1293" t="s">
        <v>8099</v>
      </c>
      <c r="T1293" t="s">
        <v>13610</v>
      </c>
      <c r="U1293" t="s">
        <v>13610</v>
      </c>
      <c r="V1293" t="s">
        <v>13610</v>
      </c>
      <c r="W1293" t="s">
        <v>14870</v>
      </c>
      <c r="X1293">
        <v>9</v>
      </c>
      <c r="Y1293" t="s">
        <v>21579</v>
      </c>
      <c r="Z1293" t="s">
        <v>28148</v>
      </c>
      <c r="AA1293">
        <v>0.28077897911154509</v>
      </c>
      <c r="AB1293" t="str">
        <f>HYPERLINK("Melting_Curves/meltCurve_O43264_ZW10.pdf", "Melting_Curves/meltCurve_O43264_ZW10.pdf")</f>
        <v>Melting_Curves/meltCurve_O43264_ZW10.pdf</v>
      </c>
    </row>
    <row r="1294" spans="1:28" x14ac:dyDescent="0.25">
      <c r="A1294" t="s">
        <v>1298</v>
      </c>
      <c r="B1294">
        <v>0.995954080203443</v>
      </c>
      <c r="C1294">
        <v>0.98375342157091505</v>
      </c>
      <c r="D1294">
        <v>1.0019818312562101</v>
      </c>
      <c r="E1294">
        <v>0.91389743996041395</v>
      </c>
      <c r="F1294">
        <v>0.89225053763950901</v>
      </c>
      <c r="G1294">
        <v>0.70152990890531797</v>
      </c>
      <c r="H1294">
        <v>0.70018442077214604</v>
      </c>
      <c r="I1294">
        <v>0.85195330866608299</v>
      </c>
      <c r="J1294">
        <v>1.0298493756792999</v>
      </c>
      <c r="K1294">
        <v>1.0132606029106801</v>
      </c>
      <c r="L1294">
        <v>2349.8323318754001</v>
      </c>
      <c r="M1294">
        <v>47.435915757510799</v>
      </c>
      <c r="O1294">
        <v>49.449187882719301</v>
      </c>
      <c r="P1294">
        <v>-3.2756702122478699E-2</v>
      </c>
      <c r="Q1294">
        <v>0.86341230423519699</v>
      </c>
      <c r="R1294">
        <v>0.24295200132096201</v>
      </c>
      <c r="S1294" t="s">
        <v>8100</v>
      </c>
      <c r="T1294" t="s">
        <v>13610</v>
      </c>
      <c r="U1294" t="s">
        <v>13610</v>
      </c>
      <c r="V1294" t="s">
        <v>13610</v>
      </c>
      <c r="W1294" t="s">
        <v>14871</v>
      </c>
      <c r="X1294">
        <v>47</v>
      </c>
      <c r="Y1294" t="s">
        <v>21580</v>
      </c>
      <c r="Z1294" t="s">
        <v>28149</v>
      </c>
      <c r="AA1294">
        <v>0.90716530263110451</v>
      </c>
      <c r="AB1294" t="str">
        <f>HYPERLINK("Melting_Curves/meltCurve_O43290_SART1.pdf", "Melting_Curves/meltCurve_O43290_SART1.pdf")</f>
        <v>Melting_Curves/meltCurve_O43290_SART1.pdf</v>
      </c>
    </row>
    <row r="1295" spans="1:28" x14ac:dyDescent="0.25">
      <c r="A1295" t="s">
        <v>1299</v>
      </c>
      <c r="B1295">
        <v>0.995954080203443</v>
      </c>
      <c r="C1295">
        <v>1.07908234178466</v>
      </c>
      <c r="D1295">
        <v>1.0308851543686599</v>
      </c>
      <c r="E1295">
        <v>0.95381043576807301</v>
      </c>
      <c r="F1295">
        <v>0.76137618079205505</v>
      </c>
      <c r="G1295">
        <v>0.57456547738742103</v>
      </c>
      <c r="H1295">
        <v>0.48803600864100199</v>
      </c>
      <c r="I1295">
        <v>0.50051226988372199</v>
      </c>
      <c r="J1295">
        <v>0.47648049156536598</v>
      </c>
      <c r="K1295">
        <v>0.41264955605601999</v>
      </c>
      <c r="L1295">
        <v>1402.9308365782999</v>
      </c>
      <c r="M1295">
        <v>26.081785632450099</v>
      </c>
      <c r="N1295">
        <v>59.643644974862603</v>
      </c>
      <c r="O1295">
        <v>53.476466531423902</v>
      </c>
      <c r="P1295">
        <v>-6.5679718638025297E-2</v>
      </c>
      <c r="Q1295">
        <v>0.46134385921517301</v>
      </c>
      <c r="R1295">
        <v>0.98053420766890398</v>
      </c>
      <c r="S1295" t="s">
        <v>8101</v>
      </c>
      <c r="T1295" t="s">
        <v>13610</v>
      </c>
      <c r="U1295" t="s">
        <v>13610</v>
      </c>
      <c r="V1295" t="s">
        <v>13610</v>
      </c>
      <c r="W1295" t="s">
        <v>14872</v>
      </c>
      <c r="X1295">
        <v>5</v>
      </c>
      <c r="Y1295" t="s">
        <v>21581</v>
      </c>
      <c r="Z1295" t="s">
        <v>28150</v>
      </c>
      <c r="AA1295">
        <v>0.71354630263921004</v>
      </c>
      <c r="AB1295" t="str">
        <f>HYPERLINK("Melting_Curves/meltCurve_O43298_ZBTB43.pdf", "Melting_Curves/meltCurve_O43298_ZBTB43.pdf")</f>
        <v>Melting_Curves/meltCurve_O43298_ZBTB43.pdf</v>
      </c>
    </row>
    <row r="1296" spans="1:28" x14ac:dyDescent="0.25">
      <c r="A1296" t="s">
        <v>1300</v>
      </c>
      <c r="B1296">
        <v>0.995954080203443</v>
      </c>
      <c r="C1296">
        <v>0.77155532232811597</v>
      </c>
      <c r="D1296">
        <v>1.03160309957475</v>
      </c>
      <c r="E1296">
        <v>0.65312778991050402</v>
      </c>
      <c r="F1296">
        <v>0.560553344893022</v>
      </c>
      <c r="G1296">
        <v>0.32674454011297799</v>
      </c>
      <c r="H1296">
        <v>0.28674815821134098</v>
      </c>
      <c r="I1296">
        <v>0.30404474576939</v>
      </c>
      <c r="J1296">
        <v>0.31301511197186299</v>
      </c>
      <c r="K1296">
        <v>0.34677568480084597</v>
      </c>
      <c r="L1296">
        <v>1054.7798891611401</v>
      </c>
      <c r="M1296">
        <v>20.7838353223548</v>
      </c>
      <c r="N1296">
        <v>53.100651248010301</v>
      </c>
      <c r="O1296">
        <v>50.287172719856002</v>
      </c>
      <c r="P1296">
        <v>-7.2252288995778402E-2</v>
      </c>
      <c r="Q1296">
        <v>0.30075208133701098</v>
      </c>
      <c r="R1296">
        <v>0.91285224765978201</v>
      </c>
      <c r="S1296" t="s">
        <v>8102</v>
      </c>
      <c r="T1296" t="s">
        <v>13610</v>
      </c>
      <c r="U1296" t="s">
        <v>13610</v>
      </c>
      <c r="V1296" t="s">
        <v>13610</v>
      </c>
      <c r="W1296" t="s">
        <v>14873</v>
      </c>
      <c r="X1296">
        <v>6</v>
      </c>
      <c r="Y1296" t="s">
        <v>21582</v>
      </c>
      <c r="Z1296" t="s">
        <v>28151</v>
      </c>
      <c r="AA1296">
        <v>0.56034418420429311</v>
      </c>
      <c r="AB1296" t="str">
        <f>HYPERLINK("Melting_Curves/meltCurve_O43299_AP5Z1.pdf", "Melting_Curves/meltCurve_O43299_AP5Z1.pdf")</f>
        <v>Melting_Curves/meltCurve_O43299_AP5Z1.pdf</v>
      </c>
    </row>
    <row r="1297" spans="1:28" x14ac:dyDescent="0.25">
      <c r="A1297" t="s">
        <v>1301</v>
      </c>
      <c r="B1297">
        <v>0.995954080203443</v>
      </c>
      <c r="C1297">
        <v>0.99874806366568802</v>
      </c>
      <c r="D1297">
        <v>0.892070623207735</v>
      </c>
      <c r="E1297">
        <v>0.817916315826964</v>
      </c>
      <c r="F1297">
        <v>0.73872437057866702</v>
      </c>
      <c r="G1297">
        <v>0.54809688546931601</v>
      </c>
      <c r="H1297">
        <v>0.53118252376410802</v>
      </c>
      <c r="I1297">
        <v>0.54948630014422495</v>
      </c>
      <c r="J1297">
        <v>0.65934134284692203</v>
      </c>
      <c r="K1297">
        <v>0.61714107170799504</v>
      </c>
      <c r="L1297">
        <v>975.19408468193706</v>
      </c>
      <c r="M1297">
        <v>19.366347647174699</v>
      </c>
      <c r="O1297">
        <v>49.827399558448398</v>
      </c>
      <c r="P1297">
        <v>-4.1178520677371003E-2</v>
      </c>
      <c r="Q1297">
        <v>0.57622516295409498</v>
      </c>
      <c r="R1297">
        <v>0.92633090829197196</v>
      </c>
      <c r="S1297" t="s">
        <v>8103</v>
      </c>
      <c r="T1297" t="s">
        <v>13610</v>
      </c>
      <c r="U1297" t="s">
        <v>13610</v>
      </c>
      <c r="V1297" t="s">
        <v>13610</v>
      </c>
      <c r="W1297" t="s">
        <v>14874</v>
      </c>
      <c r="X1297">
        <v>12</v>
      </c>
      <c r="Y1297" t="s">
        <v>21583</v>
      </c>
      <c r="Z1297" t="s">
        <v>28152</v>
      </c>
      <c r="AA1297">
        <v>0.72876646185664951</v>
      </c>
      <c r="AB1297" t="str">
        <f>HYPERLINK("Melting_Curves/meltCurve_O43303_2_CCP110.pdf", "Melting_Curves/meltCurve_O43303_2_CCP110.pdf")</f>
        <v>Melting_Curves/meltCurve_O43303_2_CCP110.pdf</v>
      </c>
    </row>
    <row r="1298" spans="1:28" x14ac:dyDescent="0.25">
      <c r="A1298" t="s">
        <v>1302</v>
      </c>
      <c r="B1298">
        <v>0.995954080203443</v>
      </c>
      <c r="C1298">
        <v>0.88644469521561098</v>
      </c>
      <c r="D1298">
        <v>0.76654379635278003</v>
      </c>
      <c r="E1298">
        <v>0.57800571906188403</v>
      </c>
      <c r="F1298">
        <v>0.48958394161173002</v>
      </c>
      <c r="G1298">
        <v>0.29915900084074498</v>
      </c>
      <c r="H1298">
        <v>0.23789532354394</v>
      </c>
      <c r="I1298">
        <v>0.28497495783076199</v>
      </c>
      <c r="J1298">
        <v>0.35253366996761698</v>
      </c>
      <c r="K1298">
        <v>0.29253644895971898</v>
      </c>
      <c r="L1298">
        <v>703.70911032424999</v>
      </c>
      <c r="M1298">
        <v>14.4548175153003</v>
      </c>
      <c r="N1298">
        <v>51.450090139335998</v>
      </c>
      <c r="O1298">
        <v>47.780060015246299</v>
      </c>
      <c r="P1298">
        <v>-5.5204359125478698E-2</v>
      </c>
      <c r="Q1298">
        <v>0.27017855703840798</v>
      </c>
      <c r="R1298">
        <v>0.97666870689201901</v>
      </c>
      <c r="S1298" t="s">
        <v>8104</v>
      </c>
      <c r="T1298" t="s">
        <v>13610</v>
      </c>
      <c r="U1298" t="s">
        <v>13610</v>
      </c>
      <c r="V1298" t="s">
        <v>13610</v>
      </c>
      <c r="W1298" t="s">
        <v>14875</v>
      </c>
      <c r="X1298">
        <v>10</v>
      </c>
      <c r="Y1298" t="s">
        <v>21584</v>
      </c>
      <c r="Z1298" t="s">
        <v>28153</v>
      </c>
      <c r="AA1298">
        <v>0.50098335206381406</v>
      </c>
      <c r="AB1298" t="str">
        <f>HYPERLINK("Melting_Curves/meltCurve_O43310_CTIF.pdf", "Melting_Curves/meltCurve_O43310_CTIF.pdf")</f>
        <v>Melting_Curves/meltCurve_O43310_CTIF.pdf</v>
      </c>
    </row>
    <row r="1299" spans="1:28" x14ac:dyDescent="0.25">
      <c r="A1299" t="s">
        <v>1303</v>
      </c>
      <c r="B1299">
        <v>0.995954080203443</v>
      </c>
      <c r="C1299">
        <v>0.92345102337112706</v>
      </c>
      <c r="D1299">
        <v>0.797942635649876</v>
      </c>
      <c r="E1299">
        <v>0.42718900083647798</v>
      </c>
      <c r="F1299">
        <v>0.179049219490485</v>
      </c>
      <c r="G1299">
        <v>0.113315958797123</v>
      </c>
      <c r="H1299">
        <v>9.1443791897019094E-2</v>
      </c>
      <c r="I1299">
        <v>0.101090548799334</v>
      </c>
      <c r="J1299">
        <v>0.10556371365551601</v>
      </c>
      <c r="K1299">
        <v>0.107874214399623</v>
      </c>
      <c r="L1299">
        <v>1095.5588993358299</v>
      </c>
      <c r="M1299">
        <v>22.5639408669632</v>
      </c>
      <c r="N1299">
        <v>48.994890253322403</v>
      </c>
      <c r="O1299">
        <v>48.177007725347501</v>
      </c>
      <c r="P1299">
        <v>-0.10632244420659601</v>
      </c>
      <c r="Q1299">
        <v>9.1968649332774793E-2</v>
      </c>
      <c r="R1299">
        <v>0.99745870839488204</v>
      </c>
      <c r="S1299" t="s">
        <v>8105</v>
      </c>
      <c r="T1299" t="s">
        <v>13610</v>
      </c>
      <c r="U1299" t="s">
        <v>13610</v>
      </c>
      <c r="V1299" t="s">
        <v>13610</v>
      </c>
      <c r="W1299" t="s">
        <v>14876</v>
      </c>
      <c r="X1299">
        <v>42</v>
      </c>
      <c r="Y1299" t="s">
        <v>21093</v>
      </c>
      <c r="Z1299" t="s">
        <v>28154</v>
      </c>
      <c r="AA1299">
        <v>0.36080982503829168</v>
      </c>
      <c r="AB1299" t="str">
        <f>HYPERLINK("Melting_Curves/meltCurve_O43314_2_PPIP5K2.pdf", "Melting_Curves/meltCurve_O43314_2_PPIP5K2.pdf")</f>
        <v>Melting_Curves/meltCurve_O43314_2_PPIP5K2.pdf</v>
      </c>
    </row>
    <row r="1300" spans="1:28" x14ac:dyDescent="0.25">
      <c r="A1300" t="s">
        <v>1304</v>
      </c>
      <c r="B1300">
        <v>0.995954080203443</v>
      </c>
      <c r="C1300">
        <v>1.0001184592241601</v>
      </c>
      <c r="D1300">
        <v>0.980831877472776</v>
      </c>
      <c r="E1300">
        <v>0.79055369816770404</v>
      </c>
      <c r="F1300">
        <v>0.58323124603850496</v>
      </c>
      <c r="G1300">
        <v>0.31281471183996101</v>
      </c>
      <c r="H1300">
        <v>0.25525421888580102</v>
      </c>
      <c r="I1300">
        <v>0.281555436272524</v>
      </c>
      <c r="J1300">
        <v>0.33484502558296703</v>
      </c>
      <c r="K1300">
        <v>0.31939052158655901</v>
      </c>
      <c r="L1300">
        <v>1408.76627294377</v>
      </c>
      <c r="M1300">
        <v>27.1322060891296</v>
      </c>
      <c r="N1300">
        <v>53.629381609750901</v>
      </c>
      <c r="O1300">
        <v>51.6426925503009</v>
      </c>
      <c r="P1300">
        <v>-9.3362774026519602E-2</v>
      </c>
      <c r="Q1300">
        <v>0.28919039562876298</v>
      </c>
      <c r="R1300">
        <v>0.99148044816431002</v>
      </c>
      <c r="S1300" t="s">
        <v>8106</v>
      </c>
      <c r="T1300" t="s">
        <v>13610</v>
      </c>
      <c r="U1300" t="s">
        <v>13610</v>
      </c>
      <c r="V1300" t="s">
        <v>13610</v>
      </c>
      <c r="W1300" t="s">
        <v>14877</v>
      </c>
      <c r="X1300">
        <v>19</v>
      </c>
      <c r="Y1300" t="s">
        <v>21585</v>
      </c>
      <c r="Z1300" t="s">
        <v>28155</v>
      </c>
      <c r="AA1300">
        <v>0.57720325322265287</v>
      </c>
      <c r="AB1300" t="str">
        <f>HYPERLINK("Melting_Curves/meltCurve_O43318_MAP3K7.pdf", "Melting_Curves/meltCurve_O43318_MAP3K7.pdf")</f>
        <v>Melting_Curves/meltCurve_O43318_MAP3K7.pdf</v>
      </c>
    </row>
    <row r="1301" spans="1:28" x14ac:dyDescent="0.25">
      <c r="A1301" t="s">
        <v>1305</v>
      </c>
      <c r="B1301">
        <v>0.995954080203443</v>
      </c>
      <c r="C1301">
        <v>0.71769375380420197</v>
      </c>
      <c r="D1301">
        <v>0.45744866506341397</v>
      </c>
      <c r="E1301">
        <v>0.27435006588268002</v>
      </c>
      <c r="F1301">
        <v>0.151979033702205</v>
      </c>
      <c r="G1301">
        <v>8.0102504597041893E-2</v>
      </c>
      <c r="H1301">
        <v>4.3024794255772499E-2</v>
      </c>
      <c r="I1301">
        <v>3.4108776598181699E-2</v>
      </c>
      <c r="J1301">
        <v>3.5326821513305698E-2</v>
      </c>
      <c r="K1301">
        <v>3.2564628658999402E-2</v>
      </c>
      <c r="L1301">
        <v>721.83669165830702</v>
      </c>
      <c r="M1301">
        <v>15.7822001533431</v>
      </c>
      <c r="N1301">
        <v>45.946412766972898</v>
      </c>
      <c r="O1301">
        <v>45.021956146284801</v>
      </c>
      <c r="P1301">
        <v>-8.4607425851399895E-2</v>
      </c>
      <c r="Q1301">
        <v>3.4639866194634397E-2</v>
      </c>
      <c r="R1301">
        <v>0.98814831951910898</v>
      </c>
      <c r="S1301" t="s">
        <v>8107</v>
      </c>
      <c r="T1301" t="s">
        <v>13610</v>
      </c>
      <c r="U1301" t="s">
        <v>13610</v>
      </c>
      <c r="V1301" t="s">
        <v>13610</v>
      </c>
      <c r="W1301" t="s">
        <v>14878</v>
      </c>
      <c r="X1301">
        <v>6</v>
      </c>
      <c r="Y1301" t="s">
        <v>21586</v>
      </c>
      <c r="Z1301" t="s">
        <v>28156</v>
      </c>
      <c r="AA1301">
        <v>0.24513812373212679</v>
      </c>
      <c r="AB1301" t="str">
        <f>HYPERLINK("Melting_Curves/meltCurve_O43324_EEF1E1.pdf", "Melting_Curves/meltCurve_O43324_EEF1E1.pdf")</f>
        <v>Melting_Curves/meltCurve_O43324_EEF1E1.pdf</v>
      </c>
    </row>
    <row r="1302" spans="1:28" x14ac:dyDescent="0.25">
      <c r="A1302" t="s">
        <v>1306</v>
      </c>
      <c r="B1302">
        <v>0.995954080203443</v>
      </c>
      <c r="C1302">
        <v>0.98666583487609505</v>
      </c>
      <c r="D1302">
        <v>0.98776393334350798</v>
      </c>
      <c r="E1302">
        <v>0.79006015913864203</v>
      </c>
      <c r="F1302">
        <v>0.59872904413063999</v>
      </c>
      <c r="G1302">
        <v>0.14909415561256201</v>
      </c>
      <c r="H1302">
        <v>6.7939671080012198E-2</v>
      </c>
      <c r="I1302">
        <v>5.4656763619327899E-2</v>
      </c>
      <c r="J1302">
        <v>6.2919383641898696E-2</v>
      </c>
      <c r="K1302">
        <v>4.0990294548263299E-2</v>
      </c>
      <c r="L1302">
        <v>1330.23810805009</v>
      </c>
      <c r="M1302">
        <v>24.980060071366999</v>
      </c>
      <c r="N1302">
        <v>53.413083572627599</v>
      </c>
      <c r="O1302">
        <v>52.914250720073497</v>
      </c>
      <c r="P1302">
        <v>-0.113740667391676</v>
      </c>
      <c r="Q1302">
        <v>3.6284112853792801E-2</v>
      </c>
      <c r="R1302">
        <v>0.99539316267523803</v>
      </c>
      <c r="S1302" t="s">
        <v>8108</v>
      </c>
      <c r="T1302" t="s">
        <v>13610</v>
      </c>
      <c r="U1302" t="s">
        <v>13610</v>
      </c>
      <c r="V1302" t="s">
        <v>13610</v>
      </c>
      <c r="W1302" t="s">
        <v>14879</v>
      </c>
      <c r="X1302">
        <v>5</v>
      </c>
      <c r="Y1302" t="s">
        <v>21587</v>
      </c>
      <c r="Z1302" t="s">
        <v>28157</v>
      </c>
      <c r="AA1302">
        <v>0.47089058728645039</v>
      </c>
      <c r="AB1302" t="str">
        <f>HYPERLINK("Melting_Curves/meltCurve_O43325_LYRM1.pdf", "Melting_Curves/meltCurve_O43325_LYRM1.pdf")</f>
        <v>Melting_Curves/meltCurve_O43325_LYRM1.pdf</v>
      </c>
    </row>
    <row r="1303" spans="1:28" x14ac:dyDescent="0.25">
      <c r="A1303" t="s">
        <v>1307</v>
      </c>
      <c r="B1303">
        <v>0.995954080203443</v>
      </c>
      <c r="C1303">
        <v>0.99802848081052498</v>
      </c>
      <c r="D1303">
        <v>0.98043992835872096</v>
      </c>
      <c r="E1303">
        <v>0.89073199775235201</v>
      </c>
      <c r="F1303">
        <v>0.81984698062638595</v>
      </c>
      <c r="G1303">
        <v>0.60408249634337396</v>
      </c>
      <c r="H1303">
        <v>0.50730428711180198</v>
      </c>
      <c r="I1303">
        <v>0.53300436574306498</v>
      </c>
      <c r="J1303">
        <v>0.52184863531562997</v>
      </c>
      <c r="K1303">
        <v>0.44420337859347903</v>
      </c>
      <c r="L1303">
        <v>1049.41692025458</v>
      </c>
      <c r="M1303">
        <v>19.381313822087002</v>
      </c>
      <c r="N1303">
        <v>64.246791691047903</v>
      </c>
      <c r="O1303">
        <v>53.579258972189301</v>
      </c>
      <c r="P1303">
        <v>-4.7365700221138299E-2</v>
      </c>
      <c r="Q1303">
        <v>0.476253134550991</v>
      </c>
      <c r="R1303">
        <v>0.98806184767634897</v>
      </c>
      <c r="S1303" t="s">
        <v>8109</v>
      </c>
      <c r="T1303" t="s">
        <v>13610</v>
      </c>
      <c r="U1303" t="s">
        <v>13610</v>
      </c>
      <c r="V1303" t="s">
        <v>13610</v>
      </c>
      <c r="W1303" t="s">
        <v>14880</v>
      </c>
      <c r="X1303">
        <v>14</v>
      </c>
      <c r="Y1303" t="s">
        <v>21588</v>
      </c>
      <c r="Z1303" t="s">
        <v>28158</v>
      </c>
      <c r="AA1303">
        <v>0.73067610777681924</v>
      </c>
      <c r="AB1303" t="str">
        <f>HYPERLINK("Melting_Curves/meltCurve_O43353_RIPK2.pdf", "Melting_Curves/meltCurve_O43353_RIPK2.pdf")</f>
        <v>Melting_Curves/meltCurve_O43353_RIPK2.pdf</v>
      </c>
    </row>
    <row r="1304" spans="1:28" x14ac:dyDescent="0.25">
      <c r="A1304" t="s">
        <v>1308</v>
      </c>
      <c r="B1304">
        <v>0.995954080203443</v>
      </c>
      <c r="C1304">
        <v>0.92864750968540499</v>
      </c>
      <c r="D1304">
        <v>0.85753232350154296</v>
      </c>
      <c r="E1304">
        <v>0.76563343839297904</v>
      </c>
      <c r="F1304">
        <v>0.59878453036094403</v>
      </c>
      <c r="G1304">
        <v>0.35425680713879598</v>
      </c>
      <c r="H1304">
        <v>0.23869807556663999</v>
      </c>
      <c r="I1304">
        <v>0.225428251618148</v>
      </c>
      <c r="J1304">
        <v>0.27418897854087798</v>
      </c>
      <c r="K1304">
        <v>0.248864149237638</v>
      </c>
      <c r="L1304">
        <v>791.18780716826802</v>
      </c>
      <c r="M1304">
        <v>15.126362560474901</v>
      </c>
      <c r="N1304">
        <v>54.188388311609501</v>
      </c>
      <c r="O1304">
        <v>51.4166041788923</v>
      </c>
      <c r="P1304">
        <v>-5.8518963928947502E-2</v>
      </c>
      <c r="Q1304">
        <v>0.20442146418910501</v>
      </c>
      <c r="R1304">
        <v>0.98513546873301305</v>
      </c>
      <c r="S1304" t="s">
        <v>8110</v>
      </c>
      <c r="T1304" t="s">
        <v>13610</v>
      </c>
      <c r="U1304" t="s">
        <v>13610</v>
      </c>
      <c r="V1304" t="s">
        <v>13610</v>
      </c>
      <c r="W1304" t="s">
        <v>14881</v>
      </c>
      <c r="X1304">
        <v>17</v>
      </c>
      <c r="Y1304" t="s">
        <v>21589</v>
      </c>
      <c r="Z1304" t="s">
        <v>28159</v>
      </c>
      <c r="AA1304">
        <v>0.54812167122190691</v>
      </c>
      <c r="AB1304" t="str">
        <f>HYPERLINK("Melting_Curves/meltCurve_O43379_WDR62.pdf", "Melting_Curves/meltCurve_O43379_WDR62.pdf")</f>
        <v>Melting_Curves/meltCurve_O43379_WDR62.pdf</v>
      </c>
    </row>
    <row r="1305" spans="1:28" x14ac:dyDescent="0.25">
      <c r="A1305" t="s">
        <v>1309</v>
      </c>
      <c r="B1305">
        <v>0.995954080203443</v>
      </c>
      <c r="C1305">
        <v>0.79541959915649596</v>
      </c>
      <c r="D1305">
        <v>0.73439752926429902</v>
      </c>
      <c r="E1305">
        <v>0.64254517585368298</v>
      </c>
      <c r="F1305">
        <v>0.24017114057254901</v>
      </c>
      <c r="G1305">
        <v>0.13228597258777999</v>
      </c>
      <c r="H1305">
        <v>8.7716167075870294E-2</v>
      </c>
      <c r="I1305">
        <v>8.0453863910541698E-2</v>
      </c>
      <c r="J1305">
        <v>9.9133022085672304E-2</v>
      </c>
      <c r="K1305">
        <v>9.2429293491632106E-2</v>
      </c>
      <c r="L1305">
        <v>673.37471038431897</v>
      </c>
      <c r="M1305">
        <v>13.5686290243528</v>
      </c>
      <c r="N1305">
        <v>49.934980257242302</v>
      </c>
      <c r="O1305">
        <v>48.586580698362198</v>
      </c>
      <c r="P1305">
        <v>-6.7027122717082901E-2</v>
      </c>
      <c r="Q1305">
        <v>4.0099961968002203E-2</v>
      </c>
      <c r="R1305">
        <v>0.96069382112960999</v>
      </c>
      <c r="S1305" t="s">
        <v>8111</v>
      </c>
      <c r="T1305" t="s">
        <v>13610</v>
      </c>
      <c r="U1305" t="s">
        <v>13610</v>
      </c>
      <c r="V1305" t="s">
        <v>13610</v>
      </c>
      <c r="W1305" t="s">
        <v>14882</v>
      </c>
      <c r="X1305">
        <v>19</v>
      </c>
      <c r="Y1305" t="s">
        <v>21590</v>
      </c>
      <c r="Z1305" t="s">
        <v>28160</v>
      </c>
      <c r="AA1305">
        <v>0.37581792601036468</v>
      </c>
      <c r="AB1305" t="str">
        <f>HYPERLINK("Melting_Curves/meltCurve_O43390_HNRNPR.pdf", "Melting_Curves/meltCurve_O43390_HNRNPR.pdf")</f>
        <v>Melting_Curves/meltCurve_O43390_HNRNPR.pdf</v>
      </c>
    </row>
    <row r="1306" spans="1:28" x14ac:dyDescent="0.25">
      <c r="A1306" t="s">
        <v>1310</v>
      </c>
      <c r="B1306">
        <v>0.995954080203443</v>
      </c>
      <c r="C1306">
        <v>0.865921181978069</v>
      </c>
      <c r="D1306">
        <v>0.769851131910394</v>
      </c>
      <c r="E1306">
        <v>0.69433598472339397</v>
      </c>
      <c r="F1306">
        <v>0.54499152553033303</v>
      </c>
      <c r="G1306">
        <v>0.38151631941240199</v>
      </c>
      <c r="H1306">
        <v>0.32427747706884702</v>
      </c>
      <c r="I1306">
        <v>0.34804256222900798</v>
      </c>
      <c r="J1306">
        <v>0.37344231080850998</v>
      </c>
      <c r="K1306">
        <v>0.35805552712934202</v>
      </c>
      <c r="L1306">
        <v>590.84211949979101</v>
      </c>
      <c r="M1306">
        <v>11.9335535853371</v>
      </c>
      <c r="N1306">
        <v>53.880612319434903</v>
      </c>
      <c r="O1306">
        <v>48.1821164448776</v>
      </c>
      <c r="P1306">
        <v>-4.2732225257478697E-2</v>
      </c>
      <c r="Q1306">
        <v>0.31003890370201198</v>
      </c>
      <c r="R1306">
        <v>0.97373804171179201</v>
      </c>
      <c r="S1306" t="s">
        <v>8112</v>
      </c>
      <c r="T1306" t="s">
        <v>13610</v>
      </c>
      <c r="U1306" t="s">
        <v>13610</v>
      </c>
      <c r="V1306" t="s">
        <v>13610</v>
      </c>
      <c r="W1306" t="s">
        <v>14883</v>
      </c>
      <c r="X1306">
        <v>28</v>
      </c>
      <c r="Y1306" t="s">
        <v>21591</v>
      </c>
      <c r="Z1306" t="s">
        <v>28161</v>
      </c>
      <c r="AA1306">
        <v>0.55358429963656153</v>
      </c>
      <c r="AB1306" t="str">
        <f>HYPERLINK("Melting_Curves/meltCurve_O43395_PRPF3.pdf", "Melting_Curves/meltCurve_O43395_PRPF3.pdf")</f>
        <v>Melting_Curves/meltCurve_O43395_PRPF3.pdf</v>
      </c>
    </row>
    <row r="1307" spans="1:28" x14ac:dyDescent="0.25">
      <c r="A1307" t="s">
        <v>1311</v>
      </c>
      <c r="B1307">
        <v>0.995954080203443</v>
      </c>
      <c r="C1307">
        <v>0.93034805575701696</v>
      </c>
      <c r="D1307">
        <v>0.87350867971308899</v>
      </c>
      <c r="E1307">
        <v>0.64305664825059194</v>
      </c>
      <c r="F1307">
        <v>0.25596589748467202</v>
      </c>
      <c r="G1307">
        <v>0.13615647764109701</v>
      </c>
      <c r="H1307">
        <v>7.8638854131063293E-2</v>
      </c>
      <c r="I1307">
        <v>6.4583847890076193E-2</v>
      </c>
      <c r="J1307">
        <v>7.1858796955607304E-2</v>
      </c>
      <c r="K1307">
        <v>5.9932014814565102E-2</v>
      </c>
      <c r="L1307">
        <v>1155.3221763582401</v>
      </c>
      <c r="M1307">
        <v>22.8416625507266</v>
      </c>
      <c r="N1307">
        <v>50.858634139666002</v>
      </c>
      <c r="O1307">
        <v>50.196709048428801</v>
      </c>
      <c r="P1307">
        <v>-0.107063158799395</v>
      </c>
      <c r="Q1307">
        <v>5.88925280806556E-2</v>
      </c>
      <c r="R1307">
        <v>0.99335266828108004</v>
      </c>
      <c r="S1307" t="s">
        <v>8113</v>
      </c>
      <c r="T1307" t="s">
        <v>13610</v>
      </c>
      <c r="U1307" t="s">
        <v>13610</v>
      </c>
      <c r="V1307" t="s">
        <v>13610</v>
      </c>
      <c r="W1307" t="s">
        <v>14884</v>
      </c>
      <c r="X1307">
        <v>16</v>
      </c>
      <c r="Y1307" t="s">
        <v>21592</v>
      </c>
      <c r="Z1307" t="s">
        <v>28162</v>
      </c>
      <c r="AA1307">
        <v>0.40089106830536331</v>
      </c>
      <c r="AB1307" t="str">
        <f>HYPERLINK("Melting_Curves/meltCurve_O43396_TXNL1.pdf", "Melting_Curves/meltCurve_O43396_TXNL1.pdf")</f>
        <v>Melting_Curves/meltCurve_O43396_TXNL1.pdf</v>
      </c>
    </row>
    <row r="1308" spans="1:28" x14ac:dyDescent="0.25">
      <c r="A1308" t="s">
        <v>1312</v>
      </c>
      <c r="B1308">
        <v>0.995954080203443</v>
      </c>
      <c r="C1308">
        <v>0.96520935024408505</v>
      </c>
      <c r="D1308">
        <v>1.05637326897814</v>
      </c>
      <c r="E1308">
        <v>0.88439354864334296</v>
      </c>
      <c r="F1308">
        <v>0.95945106862227802</v>
      </c>
      <c r="G1308">
        <v>0.80842956377014297</v>
      </c>
      <c r="H1308">
        <v>0.80624404516535297</v>
      </c>
      <c r="I1308">
        <v>0.97892635516345305</v>
      </c>
      <c r="J1308">
        <v>1.31617891121191</v>
      </c>
      <c r="K1308">
        <v>1.1504777693627599</v>
      </c>
      <c r="L1308">
        <v>11781.139497527</v>
      </c>
      <c r="M1308">
        <v>180.519452333684</v>
      </c>
      <c r="O1308">
        <v>65.254427464765698</v>
      </c>
      <c r="P1308">
        <v>0.16141431609458201</v>
      </c>
      <c r="Q1308">
        <v>1.2333931053954299</v>
      </c>
      <c r="R1308">
        <v>0.49791214594788202</v>
      </c>
      <c r="S1308" t="s">
        <v>8114</v>
      </c>
      <c r="T1308" t="s">
        <v>13610</v>
      </c>
      <c r="U1308" t="s">
        <v>13610</v>
      </c>
      <c r="V1308" t="s">
        <v>13610</v>
      </c>
      <c r="W1308" t="s">
        <v>14885</v>
      </c>
      <c r="X1308">
        <v>17</v>
      </c>
      <c r="Y1308" t="s">
        <v>21593</v>
      </c>
      <c r="Z1308" t="s">
        <v>28163</v>
      </c>
      <c r="AA1308">
        <v>1.036805883078312</v>
      </c>
      <c r="AB1308" t="str">
        <f>HYPERLINK("Melting_Curves/meltCurve_O43399_TPD52L2.pdf", "Melting_Curves/meltCurve_O43399_TPD52L2.pdf")</f>
        <v>Melting_Curves/meltCurve_O43399_TPD52L2.pdf</v>
      </c>
    </row>
    <row r="1309" spans="1:28" x14ac:dyDescent="0.25">
      <c r="A1309" t="s">
        <v>1313</v>
      </c>
      <c r="B1309">
        <v>0.995954080203443</v>
      </c>
      <c r="C1309">
        <v>0.82883437809611804</v>
      </c>
      <c r="D1309">
        <v>0.64008506879027305</v>
      </c>
      <c r="E1309">
        <v>0.40617008780818398</v>
      </c>
      <c r="F1309">
        <v>0.282639904906062</v>
      </c>
      <c r="G1309">
        <v>0.15940315169168801</v>
      </c>
      <c r="H1309">
        <v>0.124615391957499</v>
      </c>
      <c r="I1309">
        <v>0.13575964460853401</v>
      </c>
      <c r="J1309">
        <v>0.16166583988273101</v>
      </c>
      <c r="K1309">
        <v>0.15052170792264699</v>
      </c>
      <c r="L1309">
        <v>731.63993755697197</v>
      </c>
      <c r="M1309">
        <v>15.4882316377455</v>
      </c>
      <c r="N1309">
        <v>48.162595479235499</v>
      </c>
      <c r="O1309">
        <v>46.471988989679502</v>
      </c>
      <c r="P1309">
        <v>-7.2616024345339397E-2</v>
      </c>
      <c r="Q1309">
        <v>0.128548896054128</v>
      </c>
      <c r="R1309">
        <v>0.99375078232147096</v>
      </c>
      <c r="S1309" t="s">
        <v>8115</v>
      </c>
      <c r="T1309" t="s">
        <v>13610</v>
      </c>
      <c r="U1309" t="s">
        <v>13610</v>
      </c>
      <c r="V1309" t="s">
        <v>13610</v>
      </c>
      <c r="W1309" t="s">
        <v>14886</v>
      </c>
      <c r="X1309">
        <v>6</v>
      </c>
      <c r="Y1309" t="s">
        <v>21594</v>
      </c>
      <c r="Z1309" t="s">
        <v>28164</v>
      </c>
      <c r="AA1309">
        <v>0.36066665211878879</v>
      </c>
      <c r="AB1309" t="str">
        <f>HYPERLINK("Melting_Curves/meltCurve_O43402_EMC8.pdf", "Melting_Curves/meltCurve_O43402_EMC8.pdf")</f>
        <v>Melting_Curves/meltCurve_O43402_EMC8.pdf</v>
      </c>
    </row>
    <row r="1310" spans="1:28" x14ac:dyDescent="0.25">
      <c r="A1310" t="s">
        <v>1314</v>
      </c>
      <c r="B1310">
        <v>0.995954080203443</v>
      </c>
      <c r="C1310">
        <v>0.56051945255385505</v>
      </c>
      <c r="D1310">
        <v>1.46093935011015</v>
      </c>
      <c r="E1310">
        <v>0.83353852316585897</v>
      </c>
      <c r="F1310">
        <v>0.275369183711548</v>
      </c>
      <c r="G1310">
        <v>0.10598013675783199</v>
      </c>
      <c r="H1310">
        <v>6.0192202732611402E-2</v>
      </c>
      <c r="I1310">
        <v>4.4633203291385898E-2</v>
      </c>
      <c r="J1310">
        <v>4.83353401654118E-2</v>
      </c>
      <c r="K1310">
        <v>4.3381050379433003E-2</v>
      </c>
      <c r="L1310">
        <v>2553.9268838707299</v>
      </c>
      <c r="M1310">
        <v>49.420804906595997</v>
      </c>
      <c r="N1310">
        <v>51.808373040461802</v>
      </c>
      <c r="O1310">
        <v>51.592762771965702</v>
      </c>
      <c r="P1310">
        <v>-0.225388672502086</v>
      </c>
      <c r="Q1310">
        <v>5.8824479915081898E-2</v>
      </c>
      <c r="R1310">
        <v>0.81952522163503105</v>
      </c>
      <c r="S1310" t="s">
        <v>8116</v>
      </c>
      <c r="T1310" t="s">
        <v>13610</v>
      </c>
      <c r="U1310" t="s">
        <v>13610</v>
      </c>
      <c r="V1310" t="s">
        <v>13610</v>
      </c>
      <c r="W1310" t="s">
        <v>14887</v>
      </c>
      <c r="X1310">
        <v>7</v>
      </c>
      <c r="Y1310" t="s">
        <v>21595</v>
      </c>
      <c r="Z1310" t="s">
        <v>28165</v>
      </c>
      <c r="AA1310">
        <v>0.42736255318068461</v>
      </c>
      <c r="AB1310" t="str">
        <f>HYPERLINK("Melting_Curves/meltCurve_O43414_3_ERI3.pdf", "Melting_Curves/meltCurve_O43414_3_ERI3.pdf")</f>
        <v>Melting_Curves/meltCurve_O43414_3_ERI3.pdf</v>
      </c>
    </row>
    <row r="1311" spans="1:28" x14ac:dyDescent="0.25">
      <c r="A1311" t="s">
        <v>1315</v>
      </c>
      <c r="B1311">
        <v>0.995954080203443</v>
      </c>
      <c r="C1311">
        <v>0.82352956124483101</v>
      </c>
      <c r="D1311">
        <v>0.67966699726067104</v>
      </c>
      <c r="E1311">
        <v>0.39078069332049797</v>
      </c>
      <c r="F1311">
        <v>0.238764471761402</v>
      </c>
      <c r="G1311">
        <v>0.14634116573356201</v>
      </c>
      <c r="H1311">
        <v>0.11128261716160701</v>
      </c>
      <c r="I1311">
        <v>0.10000870591566199</v>
      </c>
      <c r="J1311">
        <v>0.13654012224586301</v>
      </c>
      <c r="K1311">
        <v>0.101425370319008</v>
      </c>
      <c r="L1311">
        <v>755.49874589444505</v>
      </c>
      <c r="M1311">
        <v>15.8858722298588</v>
      </c>
      <c r="N1311">
        <v>48.208413559858897</v>
      </c>
      <c r="O1311">
        <v>46.8234353921303</v>
      </c>
      <c r="P1311">
        <v>-7.6641679899917603E-2</v>
      </c>
      <c r="Q1311">
        <v>9.6471109961836596E-2</v>
      </c>
      <c r="R1311">
        <v>0.99540112259015501</v>
      </c>
      <c r="S1311" t="s">
        <v>8117</v>
      </c>
      <c r="T1311" t="s">
        <v>13610</v>
      </c>
      <c r="U1311" t="s">
        <v>13610</v>
      </c>
      <c r="V1311" t="s">
        <v>13610</v>
      </c>
      <c r="W1311" t="s">
        <v>14888</v>
      </c>
      <c r="X1311">
        <v>13</v>
      </c>
      <c r="Y1311" t="s">
        <v>21596</v>
      </c>
      <c r="Z1311" t="s">
        <v>28166</v>
      </c>
      <c r="AA1311">
        <v>0.34524417476321217</v>
      </c>
      <c r="AB1311" t="str">
        <f>HYPERLINK("Melting_Curves/meltCurve_O43422_PRKRIR.pdf", "Melting_Curves/meltCurve_O43422_PRKRIR.pdf")</f>
        <v>Melting_Curves/meltCurve_O43422_PRKRIR.pdf</v>
      </c>
    </row>
    <row r="1312" spans="1:28" x14ac:dyDescent="0.25">
      <c r="A1312" t="s">
        <v>1316</v>
      </c>
      <c r="B1312">
        <v>0.995954080203443</v>
      </c>
      <c r="C1312">
        <v>0.84138802625721798</v>
      </c>
      <c r="D1312">
        <v>0.54166301972276198</v>
      </c>
      <c r="E1312">
        <v>0.470894554039131</v>
      </c>
      <c r="F1312">
        <v>0.17853259469273899</v>
      </c>
      <c r="G1312">
        <v>0.101226486846713</v>
      </c>
      <c r="H1312">
        <v>4.7691831622803903E-2</v>
      </c>
      <c r="I1312">
        <v>3.4560845439273902E-2</v>
      </c>
      <c r="J1312">
        <v>2.95693666045765E-2</v>
      </c>
      <c r="K1312">
        <v>3.0570771045346501E-2</v>
      </c>
      <c r="L1312">
        <v>638.37416544029304</v>
      </c>
      <c r="M1312">
        <v>13.326265357594099</v>
      </c>
      <c r="N1312">
        <v>47.933496467674999</v>
      </c>
      <c r="O1312">
        <v>46.863314582685803</v>
      </c>
      <c r="P1312">
        <v>-7.0806867879217195E-2</v>
      </c>
      <c r="Q1312">
        <v>4.1584078465274803E-3</v>
      </c>
      <c r="R1312">
        <v>0.97811643610221499</v>
      </c>
      <c r="S1312" t="s">
        <v>8118</v>
      </c>
      <c r="T1312" t="s">
        <v>13610</v>
      </c>
      <c r="U1312" t="s">
        <v>13610</v>
      </c>
      <c r="V1312" t="s">
        <v>13610</v>
      </c>
      <c r="W1312" t="s">
        <v>14889</v>
      </c>
      <c r="X1312">
        <v>3</v>
      </c>
      <c r="Y1312" t="s">
        <v>21597</v>
      </c>
      <c r="Z1312" t="s">
        <v>28167</v>
      </c>
      <c r="AA1312">
        <v>0.29888835483746851</v>
      </c>
      <c r="AB1312" t="str">
        <f>HYPERLINK("Melting_Curves/meltCurve_O43427_2_FIBP.pdf", "Melting_Curves/meltCurve_O43427_2_FIBP.pdf")</f>
        <v>Melting_Curves/meltCurve_O43427_2_FIBP.pdf</v>
      </c>
    </row>
    <row r="1313" spans="1:28" x14ac:dyDescent="0.25">
      <c r="A1313" t="s">
        <v>1317</v>
      </c>
      <c r="B1313">
        <v>0.995954080203443</v>
      </c>
      <c r="C1313">
        <v>0.98633288008005504</v>
      </c>
      <c r="D1313">
        <v>0.81239765369600403</v>
      </c>
      <c r="E1313">
        <v>0.465762129637741</v>
      </c>
      <c r="F1313">
        <v>0.33417480512338299</v>
      </c>
      <c r="G1313">
        <v>0.234734329169799</v>
      </c>
      <c r="H1313">
        <v>0.202232290151732</v>
      </c>
      <c r="I1313">
        <v>0.224980687237604</v>
      </c>
      <c r="J1313">
        <v>0.24558396991809101</v>
      </c>
      <c r="K1313">
        <v>0.25793328221700002</v>
      </c>
      <c r="L1313">
        <v>1150.0430644637299</v>
      </c>
      <c r="M1313">
        <v>23.800886130831199</v>
      </c>
      <c r="N1313">
        <v>49.605925329440801</v>
      </c>
      <c r="O1313">
        <v>47.982086574316</v>
      </c>
      <c r="P1313">
        <v>-9.5451211098138297E-2</v>
      </c>
      <c r="Q1313">
        <v>0.23030163950194199</v>
      </c>
      <c r="R1313">
        <v>0.99648703750448597</v>
      </c>
      <c r="S1313" t="s">
        <v>8119</v>
      </c>
      <c r="T1313" t="s">
        <v>13610</v>
      </c>
      <c r="U1313" t="s">
        <v>13610</v>
      </c>
      <c r="V1313" t="s">
        <v>13610</v>
      </c>
      <c r="W1313" t="s">
        <v>14890</v>
      </c>
      <c r="X1313">
        <v>54</v>
      </c>
      <c r="Y1313" t="s">
        <v>21598</v>
      </c>
      <c r="Z1313" t="s">
        <v>28168</v>
      </c>
      <c r="AA1313">
        <v>0.45129059481262279</v>
      </c>
      <c r="AB1313" t="str">
        <f>HYPERLINK("Melting_Curves/meltCurve_O43432_EIF4G3.pdf", "Melting_Curves/meltCurve_O43432_EIF4G3.pdf")</f>
        <v>Melting_Curves/meltCurve_O43432_EIF4G3.pdf</v>
      </c>
    </row>
    <row r="1314" spans="1:28" x14ac:dyDescent="0.25">
      <c r="A1314" t="s">
        <v>1318</v>
      </c>
      <c r="B1314">
        <v>0.995954080203443</v>
      </c>
      <c r="C1314">
        <v>1.00894899344024</v>
      </c>
      <c r="D1314">
        <v>0.92844016125583695</v>
      </c>
      <c r="E1314">
        <v>0.75894257417717803</v>
      </c>
      <c r="F1314">
        <v>0.390636435835647</v>
      </c>
      <c r="G1314">
        <v>0.23022842082027001</v>
      </c>
      <c r="H1314">
        <v>0.16769947701847801</v>
      </c>
      <c r="I1314">
        <v>0.17338260117457799</v>
      </c>
      <c r="J1314">
        <v>0.181355499694485</v>
      </c>
      <c r="K1314">
        <v>0.179604554851718</v>
      </c>
      <c r="L1314">
        <v>1521.60691194164</v>
      </c>
      <c r="M1314">
        <v>29.651390727511401</v>
      </c>
      <c r="N1314">
        <v>52.071116027895997</v>
      </c>
      <c r="O1314">
        <v>51.084837397720896</v>
      </c>
      <c r="P1314">
        <v>-0.119767035113375</v>
      </c>
      <c r="Q1314">
        <v>0.17464416937536201</v>
      </c>
      <c r="R1314">
        <v>0.99739125633709302</v>
      </c>
      <c r="S1314" t="s">
        <v>8120</v>
      </c>
      <c r="T1314" t="s">
        <v>13610</v>
      </c>
      <c r="U1314" t="s">
        <v>13610</v>
      </c>
      <c r="V1314" t="s">
        <v>13610</v>
      </c>
      <c r="W1314" t="s">
        <v>14891</v>
      </c>
      <c r="X1314">
        <v>6</v>
      </c>
      <c r="Y1314" t="s">
        <v>21599</v>
      </c>
      <c r="Z1314" t="s">
        <v>28169</v>
      </c>
      <c r="AA1314">
        <v>0.49132275994938751</v>
      </c>
      <c r="AB1314" t="str">
        <f>HYPERLINK("Melting_Curves/meltCurve_O43435_3_TBX1.pdf", "Melting_Curves/meltCurve_O43435_3_TBX1.pdf")</f>
        <v>Melting_Curves/meltCurve_O43435_3_TBX1.pdf</v>
      </c>
    </row>
    <row r="1315" spans="1:28" x14ac:dyDescent="0.25">
      <c r="A1315" t="s">
        <v>1319</v>
      </c>
      <c r="B1315">
        <v>0.995954080203443</v>
      </c>
      <c r="C1315">
        <v>1.0372379623357599</v>
      </c>
      <c r="D1315">
        <v>1.0211179823857299</v>
      </c>
      <c r="E1315">
        <v>0.76468384667945799</v>
      </c>
      <c r="F1315">
        <v>0.25043661778465198</v>
      </c>
      <c r="G1315">
        <v>9.5234251468272496E-2</v>
      </c>
      <c r="H1315">
        <v>6.0693807199936799E-2</v>
      </c>
      <c r="I1315">
        <v>5.6250017679945301E-2</v>
      </c>
      <c r="J1315">
        <v>5.9715357865557997E-2</v>
      </c>
      <c r="K1315">
        <v>5.5892177312951402E-2</v>
      </c>
      <c r="L1315">
        <v>2185.68438624382</v>
      </c>
      <c r="M1315">
        <v>42.612683585510098</v>
      </c>
      <c r="N1315">
        <v>51.4528201420706</v>
      </c>
      <c r="O1315">
        <v>51.179302386946098</v>
      </c>
      <c r="P1315">
        <v>-0.19516619832676099</v>
      </c>
      <c r="Q1315">
        <v>6.2396230479325902E-2</v>
      </c>
      <c r="R1315">
        <v>0.99853693397892695</v>
      </c>
      <c r="S1315" t="s">
        <v>8121</v>
      </c>
      <c r="T1315" t="s">
        <v>13610</v>
      </c>
      <c r="U1315" t="s">
        <v>13610</v>
      </c>
      <c r="V1315" t="s">
        <v>13610</v>
      </c>
      <c r="W1315" t="s">
        <v>14892</v>
      </c>
      <c r="X1315">
        <v>13</v>
      </c>
      <c r="Y1315" t="s">
        <v>21600</v>
      </c>
      <c r="Z1315" t="s">
        <v>28170</v>
      </c>
      <c r="AA1315">
        <v>0.4182324573830421</v>
      </c>
      <c r="AB1315" t="str">
        <f>HYPERLINK("Melting_Curves/meltCurve_O43447_PPIH.pdf", "Melting_Curves/meltCurve_O43447_PPIH.pdf")</f>
        <v>Melting_Curves/meltCurve_O43447_PPIH.pdf</v>
      </c>
    </row>
    <row r="1316" spans="1:28" x14ac:dyDescent="0.25">
      <c r="A1316" t="s">
        <v>1320</v>
      </c>
      <c r="B1316">
        <v>0.995954080203443</v>
      </c>
      <c r="C1316">
        <v>1.0475008896876099</v>
      </c>
      <c r="D1316">
        <v>0.91325145664389795</v>
      </c>
      <c r="E1316">
        <v>0.94536785393559597</v>
      </c>
      <c r="F1316">
        <v>0.59559559613580804</v>
      </c>
      <c r="G1316">
        <v>0.44328486399804901</v>
      </c>
      <c r="H1316">
        <v>0.32075912913590099</v>
      </c>
      <c r="I1316">
        <v>0.33486446409410497</v>
      </c>
      <c r="J1316">
        <v>0.29976694637560303</v>
      </c>
      <c r="K1316">
        <v>0.30465668833140602</v>
      </c>
      <c r="L1316">
        <v>1523.3555651371501</v>
      </c>
      <c r="M1316">
        <v>28.837990047903201</v>
      </c>
      <c r="N1316">
        <v>54.737773969886597</v>
      </c>
      <c r="O1316">
        <v>52.572551075668301</v>
      </c>
      <c r="P1316">
        <v>-9.3593027737769896E-2</v>
      </c>
      <c r="Q1316">
        <v>0.31751323474406201</v>
      </c>
      <c r="R1316">
        <v>0.98112218846870602</v>
      </c>
      <c r="S1316" t="s">
        <v>8122</v>
      </c>
      <c r="T1316" t="s">
        <v>13610</v>
      </c>
      <c r="U1316" t="s">
        <v>13610</v>
      </c>
      <c r="V1316" t="s">
        <v>13610</v>
      </c>
      <c r="W1316" t="s">
        <v>14893</v>
      </c>
      <c r="X1316">
        <v>9</v>
      </c>
      <c r="Y1316" t="s">
        <v>21601</v>
      </c>
      <c r="Z1316" t="s">
        <v>28171</v>
      </c>
      <c r="AA1316">
        <v>0.61403731250422822</v>
      </c>
      <c r="AB1316" t="str">
        <f>HYPERLINK("Melting_Curves/meltCurve_O43464_HTRA2.pdf", "Melting_Curves/meltCurve_O43464_HTRA2.pdf")</f>
        <v>Melting_Curves/meltCurve_O43464_HTRA2.pdf</v>
      </c>
    </row>
    <row r="1317" spans="1:28" x14ac:dyDescent="0.25">
      <c r="A1317" t="s">
        <v>1321</v>
      </c>
      <c r="B1317">
        <v>0.995954080203443</v>
      </c>
      <c r="C1317">
        <v>0.984386448601412</v>
      </c>
      <c r="D1317">
        <v>0.86327951940574399</v>
      </c>
      <c r="E1317">
        <v>0.77199927202738905</v>
      </c>
      <c r="F1317">
        <v>0.55719843916246303</v>
      </c>
      <c r="G1317">
        <v>0.239152610586049</v>
      </c>
      <c r="H1317">
        <v>8.2004078575950198E-2</v>
      </c>
      <c r="I1317">
        <v>3.8653358415286401E-2</v>
      </c>
      <c r="J1317">
        <v>3.3735759015293097E-2</v>
      </c>
      <c r="K1317">
        <v>3.0545016651562201E-2</v>
      </c>
      <c r="L1317">
        <v>911.52609192721604</v>
      </c>
      <c r="M1317">
        <v>17.082564399335901</v>
      </c>
      <c r="N1317">
        <v>53.360028652674103</v>
      </c>
      <c r="O1317">
        <v>52.644882565884899</v>
      </c>
      <c r="P1317">
        <v>-8.1126592850498905E-2</v>
      </c>
      <c r="Q1317">
        <v>0</v>
      </c>
      <c r="R1317">
        <v>0.99498544989705795</v>
      </c>
      <c r="S1317" t="s">
        <v>8123</v>
      </c>
      <c r="T1317" t="s">
        <v>13610</v>
      </c>
      <c r="U1317" t="s">
        <v>13610</v>
      </c>
      <c r="V1317" t="s">
        <v>13610</v>
      </c>
      <c r="W1317" t="s">
        <v>14894</v>
      </c>
      <c r="X1317">
        <v>4</v>
      </c>
      <c r="Y1317" t="s">
        <v>21602</v>
      </c>
      <c r="Z1317" t="s">
        <v>28172</v>
      </c>
      <c r="AA1317">
        <v>0.46294327421130882</v>
      </c>
      <c r="AB1317" t="str">
        <f>HYPERLINK("Melting_Curves/meltCurve_O43482_OIP5.pdf", "Melting_Curves/meltCurve_O43482_OIP5.pdf")</f>
        <v>Melting_Curves/meltCurve_O43482_OIP5.pdf</v>
      </c>
    </row>
    <row r="1318" spans="1:28" x14ac:dyDescent="0.25">
      <c r="A1318" t="s">
        <v>1322</v>
      </c>
      <c r="B1318">
        <v>0.995954080203443</v>
      </c>
      <c r="C1318">
        <v>1.00659684924551</v>
      </c>
      <c r="D1318">
        <v>1.19850359189079</v>
      </c>
      <c r="E1318">
        <v>0.86898488485077796</v>
      </c>
      <c r="F1318">
        <v>0.33066912945950899</v>
      </c>
      <c r="G1318">
        <v>0.11738835655036001</v>
      </c>
      <c r="H1318">
        <v>7.2246307178518404E-2</v>
      </c>
      <c r="I1318">
        <v>6.34992778674692E-2</v>
      </c>
      <c r="J1318">
        <v>6.3484873148653601E-2</v>
      </c>
      <c r="K1318">
        <v>5.8655797326162197E-2</v>
      </c>
      <c r="L1318">
        <v>2464.34146335074</v>
      </c>
      <c r="M1318">
        <v>47.437943109533499</v>
      </c>
      <c r="N1318">
        <v>52.118941374616597</v>
      </c>
      <c r="O1318">
        <v>51.856679656742401</v>
      </c>
      <c r="P1318">
        <v>-0.21228736535513701</v>
      </c>
      <c r="Q1318">
        <v>7.1755237103875102E-2</v>
      </c>
      <c r="R1318">
        <v>0.97975081465023095</v>
      </c>
      <c r="S1318" t="s">
        <v>8124</v>
      </c>
      <c r="T1318" t="s">
        <v>13610</v>
      </c>
      <c r="U1318" t="s">
        <v>13610</v>
      </c>
      <c r="V1318" t="s">
        <v>13610</v>
      </c>
      <c r="W1318" t="s">
        <v>14895</v>
      </c>
      <c r="X1318">
        <v>17</v>
      </c>
      <c r="Y1318" t="s">
        <v>21603</v>
      </c>
      <c r="Z1318" t="s">
        <v>28173</v>
      </c>
      <c r="AA1318">
        <v>0.44383133580717071</v>
      </c>
      <c r="AB1318" t="str">
        <f>HYPERLINK("Melting_Curves/meltCurve_O43488_AKR7A2.pdf", "Melting_Curves/meltCurve_O43488_AKR7A2.pdf")</f>
        <v>Melting_Curves/meltCurve_O43488_AKR7A2.pdf</v>
      </c>
    </row>
    <row r="1319" spans="1:28" x14ac:dyDescent="0.25">
      <c r="A1319" t="s">
        <v>1323</v>
      </c>
      <c r="B1319">
        <v>0.995954080203443</v>
      </c>
      <c r="C1319">
        <v>0.962795561746287</v>
      </c>
      <c r="D1319">
        <v>0.98893364795125405</v>
      </c>
      <c r="E1319">
        <v>0.84941494007948604</v>
      </c>
      <c r="F1319">
        <v>0.60637622794314405</v>
      </c>
      <c r="G1319">
        <v>0.44230967623994499</v>
      </c>
      <c r="H1319">
        <v>0.43515421812196903</v>
      </c>
      <c r="I1319">
        <v>0.54733806117969697</v>
      </c>
      <c r="J1319">
        <v>0.64079160390953105</v>
      </c>
      <c r="K1319">
        <v>0.618793123990933</v>
      </c>
      <c r="L1319">
        <v>2402.5130222218299</v>
      </c>
      <c r="M1319">
        <v>47.298404817278097</v>
      </c>
      <c r="O1319">
        <v>50.704234574344603</v>
      </c>
      <c r="P1319">
        <v>-0.107680769361592</v>
      </c>
      <c r="Q1319">
        <v>0.53826208207554205</v>
      </c>
      <c r="R1319">
        <v>0.911299956805389</v>
      </c>
      <c r="S1319" t="s">
        <v>8125</v>
      </c>
      <c r="T1319" t="s">
        <v>13610</v>
      </c>
      <c r="U1319" t="s">
        <v>13610</v>
      </c>
      <c r="V1319" t="s">
        <v>13610</v>
      </c>
      <c r="W1319" t="s">
        <v>14096</v>
      </c>
      <c r="X1319">
        <v>61</v>
      </c>
      <c r="Y1319" t="s">
        <v>20820</v>
      </c>
      <c r="Z1319" t="s">
        <v>28174</v>
      </c>
      <c r="AA1319">
        <v>0.70556454016617187</v>
      </c>
      <c r="AB1319" t="str">
        <f>HYPERLINK("Melting_Curves/meltCurve_O43491_EPB41L2.pdf", "Melting_Curves/meltCurve_O43491_EPB41L2.pdf")</f>
        <v>Melting_Curves/meltCurve_O43491_EPB41L2.pdf</v>
      </c>
    </row>
    <row r="1320" spans="1:28" x14ac:dyDescent="0.25">
      <c r="A1320" t="s">
        <v>1324</v>
      </c>
      <c r="B1320">
        <v>0.995954080203443</v>
      </c>
      <c r="C1320">
        <v>0.69779002080737595</v>
      </c>
      <c r="D1320">
        <v>0.93722459863622998</v>
      </c>
      <c r="E1320">
        <v>0.79541839349180399</v>
      </c>
      <c r="F1320">
        <v>0.87186569567574002</v>
      </c>
      <c r="G1320">
        <v>0.63182328529499898</v>
      </c>
      <c r="H1320">
        <v>0.78687309419804397</v>
      </c>
      <c r="I1320">
        <v>0.994610793064028</v>
      </c>
      <c r="J1320">
        <v>1.4619513891720499</v>
      </c>
      <c r="K1320">
        <v>1.0116028246156701</v>
      </c>
      <c r="L1320">
        <v>15000</v>
      </c>
      <c r="M1320">
        <v>230.66086893627099</v>
      </c>
      <c r="O1320">
        <v>65.025647466334803</v>
      </c>
      <c r="P1320">
        <v>0.20986523900673201</v>
      </c>
      <c r="Q1320">
        <v>1.23665259124771</v>
      </c>
      <c r="R1320">
        <v>9.4477371544602104E-2</v>
      </c>
      <c r="S1320" t="s">
        <v>8126</v>
      </c>
      <c r="T1320" t="s">
        <v>13610</v>
      </c>
      <c r="U1320" t="s">
        <v>13610</v>
      </c>
      <c r="V1320" t="s">
        <v>13610</v>
      </c>
      <c r="W1320" t="s">
        <v>14896</v>
      </c>
      <c r="X1320">
        <v>3</v>
      </c>
      <c r="Y1320" t="s">
        <v>21604</v>
      </c>
      <c r="Z1320" t="s">
        <v>28175</v>
      </c>
      <c r="AA1320">
        <v>1.0391694873516351</v>
      </c>
      <c r="AB1320" t="str">
        <f>HYPERLINK("Melting_Curves/meltCurve_O43493_4_TGOLN2.pdf", "Melting_Curves/meltCurve_O43493_4_TGOLN2.pdf")</f>
        <v>Melting_Curves/meltCurve_O43493_4_TGOLN2.pdf</v>
      </c>
    </row>
    <row r="1321" spans="1:28" x14ac:dyDescent="0.25">
      <c r="A1321" t="s">
        <v>1325</v>
      </c>
      <c r="B1321">
        <v>0.995954080203443</v>
      </c>
      <c r="C1321">
        <v>0.96984717128345699</v>
      </c>
      <c r="D1321">
        <v>0.97074308698214196</v>
      </c>
      <c r="E1321">
        <v>0.84446766522486305</v>
      </c>
      <c r="F1321">
        <v>0.78418870061429602</v>
      </c>
      <c r="G1321">
        <v>0.62651957370476796</v>
      </c>
      <c r="H1321">
        <v>0.53362205256866002</v>
      </c>
      <c r="I1321">
        <v>0.62874788440374196</v>
      </c>
      <c r="J1321">
        <v>0.63270629945118695</v>
      </c>
      <c r="K1321">
        <v>0.67034051962952901</v>
      </c>
      <c r="L1321">
        <v>1159.14499939654</v>
      </c>
      <c r="M1321">
        <v>22.552662197871499</v>
      </c>
      <c r="O1321">
        <v>50.998286099279902</v>
      </c>
      <c r="P1321">
        <v>-4.2896692391001599E-2</v>
      </c>
      <c r="Q1321">
        <v>0.61199918369895401</v>
      </c>
      <c r="R1321">
        <v>0.94208164112725801</v>
      </c>
      <c r="S1321" t="s">
        <v>8127</v>
      </c>
      <c r="T1321" t="s">
        <v>13610</v>
      </c>
      <c r="U1321" t="s">
        <v>13610</v>
      </c>
      <c r="V1321" t="s">
        <v>13610</v>
      </c>
      <c r="W1321" t="s">
        <v>14897</v>
      </c>
      <c r="X1321">
        <v>5</v>
      </c>
      <c r="Y1321" t="s">
        <v>21605</v>
      </c>
      <c r="Z1321" t="s">
        <v>28176</v>
      </c>
      <c r="AA1321">
        <v>0.76369895635517693</v>
      </c>
      <c r="AB1321" t="str">
        <f>HYPERLINK("Melting_Curves/meltCurve_O43504_LAMTOR5.pdf", "Melting_Curves/meltCurve_O43504_LAMTOR5.pdf")</f>
        <v>Melting_Curves/meltCurve_O43504_LAMTOR5.pdf</v>
      </c>
    </row>
    <row r="1322" spans="1:28" x14ac:dyDescent="0.25">
      <c r="A1322" t="s">
        <v>1326</v>
      </c>
      <c r="B1322">
        <v>0.995954080203443</v>
      </c>
      <c r="C1322">
        <v>0.79363640235956101</v>
      </c>
      <c r="D1322">
        <v>0.69683084384389204</v>
      </c>
      <c r="E1322">
        <v>0.86403448323654897</v>
      </c>
      <c r="F1322">
        <v>0.67652376403449999</v>
      </c>
      <c r="G1322">
        <v>0.42805192717926999</v>
      </c>
      <c r="H1322">
        <v>0.25873603008441598</v>
      </c>
      <c r="I1322">
        <v>0.21766257184992799</v>
      </c>
      <c r="J1322">
        <v>0.25238876974970198</v>
      </c>
      <c r="K1322">
        <v>0.22757479866456701</v>
      </c>
      <c r="L1322">
        <v>415.76100166942399</v>
      </c>
      <c r="M1322">
        <v>7.4560926619047798</v>
      </c>
      <c r="N1322">
        <v>55.761243922123398</v>
      </c>
      <c r="O1322">
        <v>52.172341467333403</v>
      </c>
      <c r="P1322">
        <v>-3.5780691400060703E-2</v>
      </c>
      <c r="Q1322">
        <v>0</v>
      </c>
      <c r="R1322">
        <v>0.900142372442998</v>
      </c>
      <c r="S1322" t="s">
        <v>8128</v>
      </c>
      <c r="T1322" t="s">
        <v>13610</v>
      </c>
      <c r="U1322" t="s">
        <v>13610</v>
      </c>
      <c r="V1322" t="s">
        <v>13610</v>
      </c>
      <c r="W1322" t="s">
        <v>14898</v>
      </c>
      <c r="X1322">
        <v>7</v>
      </c>
      <c r="Y1322" t="s">
        <v>21606</v>
      </c>
      <c r="Z1322" t="s">
        <v>28177</v>
      </c>
      <c r="AA1322">
        <v>0.54630794527123738</v>
      </c>
      <c r="AB1322" t="str">
        <f>HYPERLINK("Melting_Curves/meltCurve_O43513_MED7.pdf", "Melting_Curves/meltCurve_O43513_MED7.pdf")</f>
        <v>Melting_Curves/meltCurve_O43513_MED7.pdf</v>
      </c>
    </row>
    <row r="1323" spans="1:28" x14ac:dyDescent="0.25">
      <c r="A1323" t="s">
        <v>1327</v>
      </c>
      <c r="B1323">
        <v>0.995954080203443</v>
      </c>
      <c r="C1323">
        <v>0.98554166259070597</v>
      </c>
      <c r="D1323">
        <v>0.98868364672586095</v>
      </c>
      <c r="E1323">
        <v>0.89779348797945702</v>
      </c>
      <c r="F1323">
        <v>0.91101499458982005</v>
      </c>
      <c r="G1323">
        <v>0.69515018983084798</v>
      </c>
      <c r="H1323">
        <v>0.67883939488949596</v>
      </c>
      <c r="I1323">
        <v>0.81537852065403205</v>
      </c>
      <c r="J1323">
        <v>1.0253389307145899</v>
      </c>
      <c r="K1323">
        <v>0.95207114590625797</v>
      </c>
      <c r="L1323">
        <v>1629.4320497950901</v>
      </c>
      <c r="M1323">
        <v>32.898544585246697</v>
      </c>
      <c r="O1323">
        <v>49.347072393909002</v>
      </c>
      <c r="P1323">
        <v>-2.6410048861716402E-2</v>
      </c>
      <c r="Q1323">
        <v>0.84154281337912196</v>
      </c>
      <c r="R1323">
        <v>0.30035561025216601</v>
      </c>
      <c r="S1323" t="s">
        <v>8129</v>
      </c>
      <c r="T1323" t="s">
        <v>13610</v>
      </c>
      <c r="U1323" t="s">
        <v>13610</v>
      </c>
      <c r="V1323" t="s">
        <v>13610</v>
      </c>
      <c r="W1323" t="s">
        <v>14899</v>
      </c>
      <c r="X1323">
        <v>17</v>
      </c>
      <c r="Y1323" t="s">
        <v>21607</v>
      </c>
      <c r="Z1323" t="s">
        <v>28178</v>
      </c>
      <c r="AA1323">
        <v>0.892680558125172</v>
      </c>
      <c r="AB1323" t="str">
        <f>HYPERLINK("Melting_Curves/meltCurve_O43516_WIPF1.pdf", "Melting_Curves/meltCurve_O43516_WIPF1.pdf")</f>
        <v>Melting_Curves/meltCurve_O43516_WIPF1.pdf</v>
      </c>
    </row>
    <row r="1324" spans="1:28" x14ac:dyDescent="0.25">
      <c r="A1324" t="s">
        <v>1328</v>
      </c>
      <c r="B1324">
        <v>0.995954080203443</v>
      </c>
      <c r="C1324">
        <v>0.78802291461004303</v>
      </c>
      <c r="D1324">
        <v>1.3777146906268001</v>
      </c>
      <c r="E1324">
        <v>1.0639164185238801</v>
      </c>
      <c r="F1324">
        <v>1.6401456789903399</v>
      </c>
      <c r="G1324">
        <v>1.5356104810214799</v>
      </c>
      <c r="H1324">
        <v>2.0607609465093999</v>
      </c>
      <c r="I1324">
        <v>2.6792128968404501</v>
      </c>
      <c r="J1324">
        <v>2.0872476319868101</v>
      </c>
      <c r="K1324">
        <v>2.80637463037993</v>
      </c>
      <c r="L1324">
        <v>1196.3382583872699</v>
      </c>
      <c r="M1324">
        <v>24.8533193447388</v>
      </c>
      <c r="O1324">
        <v>47.827566689253302</v>
      </c>
      <c r="P1324">
        <v>6.4956431655601096E-2</v>
      </c>
      <c r="Q1324">
        <v>1.5</v>
      </c>
      <c r="R1324">
        <v>7.4178086805245E-2</v>
      </c>
      <c r="S1324" t="s">
        <v>8130</v>
      </c>
      <c r="T1324" t="s">
        <v>13610</v>
      </c>
      <c r="U1324" t="s">
        <v>13610</v>
      </c>
      <c r="V1324" t="s">
        <v>13610</v>
      </c>
      <c r="W1324" t="s">
        <v>14900</v>
      </c>
      <c r="X1324">
        <v>3</v>
      </c>
      <c r="Y1324" t="s">
        <v>21608</v>
      </c>
      <c r="Z1324" t="s">
        <v>28179</v>
      </c>
      <c r="AA1324">
        <v>1.3599270453673999</v>
      </c>
      <c r="AB1324" t="str">
        <f>HYPERLINK("Melting_Curves/meltCurve_O43521_6_BCL2L11.pdf", "Melting_Curves/meltCurve_O43521_6_BCL2L11.pdf")</f>
        <v>Melting_Curves/meltCurve_O43521_6_BCL2L11.pdf</v>
      </c>
    </row>
    <row r="1325" spans="1:28" x14ac:dyDescent="0.25">
      <c r="A1325" t="s">
        <v>1329</v>
      </c>
      <c r="B1325">
        <v>0.995954080203443</v>
      </c>
      <c r="C1325">
        <v>0.93326701428661996</v>
      </c>
      <c r="D1325">
        <v>0.84399909656398397</v>
      </c>
      <c r="E1325">
        <v>0.66365891411566102</v>
      </c>
      <c r="F1325">
        <v>0.30216885015745898</v>
      </c>
      <c r="G1325">
        <v>0.123365824559676</v>
      </c>
      <c r="H1325">
        <v>9.5535226124409497E-2</v>
      </c>
      <c r="I1325">
        <v>8.4234825874315106E-2</v>
      </c>
      <c r="J1325">
        <v>0.105943728010958</v>
      </c>
      <c r="K1325">
        <v>0.111901504934554</v>
      </c>
      <c r="L1325">
        <v>1096.2232377841999</v>
      </c>
      <c r="M1325">
        <v>21.6590874041304</v>
      </c>
      <c r="N1325">
        <v>51.0319092846591</v>
      </c>
      <c r="O1325">
        <v>50.187100589026201</v>
      </c>
      <c r="P1325">
        <v>-9.9099850855114205E-2</v>
      </c>
      <c r="Q1325">
        <v>8.1509582208814102E-2</v>
      </c>
      <c r="R1325">
        <v>0.99005787584409299</v>
      </c>
      <c r="S1325" t="s">
        <v>8131</v>
      </c>
      <c r="T1325" t="s">
        <v>13610</v>
      </c>
      <c r="U1325" t="s">
        <v>13610</v>
      </c>
      <c r="V1325" t="s">
        <v>13610</v>
      </c>
      <c r="W1325" t="s">
        <v>14901</v>
      </c>
      <c r="X1325">
        <v>5</v>
      </c>
      <c r="Y1325" t="s">
        <v>21609</v>
      </c>
      <c r="Z1325" t="s">
        <v>28180</v>
      </c>
      <c r="AA1325">
        <v>0.41737993927810563</v>
      </c>
      <c r="AB1325" t="str">
        <f>HYPERLINK("Melting_Curves/meltCurve_O43542_XRCC3.pdf", "Melting_Curves/meltCurve_O43542_XRCC3.pdf")</f>
        <v>Melting_Curves/meltCurve_O43542_XRCC3.pdf</v>
      </c>
    </row>
    <row r="1326" spans="1:28" x14ac:dyDescent="0.25">
      <c r="A1326" t="s">
        <v>1330</v>
      </c>
      <c r="B1326">
        <v>0.995954080203443</v>
      </c>
      <c r="C1326">
        <v>0.97363911002298897</v>
      </c>
      <c r="D1326">
        <v>0.96127663956145604</v>
      </c>
      <c r="E1326">
        <v>0.81533280171390199</v>
      </c>
      <c r="F1326">
        <v>0.67902520562693103</v>
      </c>
      <c r="G1326">
        <v>0.45091294973821</v>
      </c>
      <c r="H1326">
        <v>0.307229122913738</v>
      </c>
      <c r="I1326">
        <v>0.23239787086007299</v>
      </c>
      <c r="J1326">
        <v>0.176950518341738</v>
      </c>
      <c r="K1326">
        <v>0.13906458127431701</v>
      </c>
      <c r="L1326">
        <v>732.04015177105498</v>
      </c>
      <c r="M1326">
        <v>13.2271118549875</v>
      </c>
      <c r="N1326">
        <v>56.231316204489502</v>
      </c>
      <c r="O1326">
        <v>54.124789277061197</v>
      </c>
      <c r="P1326">
        <v>-5.5349565178869999E-2</v>
      </c>
      <c r="Q1326">
        <v>9.4197153493293204E-2</v>
      </c>
      <c r="R1326">
        <v>0.99928636510845104</v>
      </c>
      <c r="S1326" t="s">
        <v>8132</v>
      </c>
      <c r="T1326" t="s">
        <v>13610</v>
      </c>
      <c r="U1326" t="s">
        <v>13610</v>
      </c>
      <c r="V1326" t="s">
        <v>13610</v>
      </c>
      <c r="W1326" t="s">
        <v>14902</v>
      </c>
      <c r="X1326">
        <v>7</v>
      </c>
      <c r="Y1326" t="s">
        <v>21610</v>
      </c>
      <c r="Z1326" t="s">
        <v>28181</v>
      </c>
      <c r="AA1326">
        <v>0.57650442967533444</v>
      </c>
      <c r="AB1326" t="str">
        <f>HYPERLINK("Melting_Curves/meltCurve_O43566_RGS14.pdf", "Melting_Curves/meltCurve_O43566_RGS14.pdf")</f>
        <v>Melting_Curves/meltCurve_O43566_RGS14.pdf</v>
      </c>
    </row>
    <row r="1327" spans="1:28" x14ac:dyDescent="0.25">
      <c r="A1327" t="s">
        <v>1331</v>
      </c>
      <c r="B1327">
        <v>0.995954080203443</v>
      </c>
      <c r="C1327">
        <v>1.0813095950975899</v>
      </c>
      <c r="D1327">
        <v>1.1003157352308599</v>
      </c>
      <c r="E1327">
        <v>1.0550812107808101</v>
      </c>
      <c r="F1327">
        <v>1.01317347514905</v>
      </c>
      <c r="G1327">
        <v>0.863381653955416</v>
      </c>
      <c r="H1327">
        <v>0.77068647087579001</v>
      </c>
      <c r="I1327">
        <v>0.83051290764146002</v>
      </c>
      <c r="J1327">
        <v>0.79397949140467605</v>
      </c>
      <c r="K1327">
        <v>0.66427306453005297</v>
      </c>
      <c r="L1327">
        <v>9202.2736463886795</v>
      </c>
      <c r="M1327">
        <v>161.77031587272199</v>
      </c>
      <c r="O1327">
        <v>56.876117431763198</v>
      </c>
      <c r="P1327">
        <v>-0.167198393418378</v>
      </c>
      <c r="Q1327">
        <v>0.764861796885975</v>
      </c>
      <c r="R1327">
        <v>0.82901898669613105</v>
      </c>
      <c r="S1327" t="s">
        <v>8133</v>
      </c>
      <c r="T1327" t="s">
        <v>13610</v>
      </c>
      <c r="U1327" t="s">
        <v>13610</v>
      </c>
      <c r="V1327" t="s">
        <v>13610</v>
      </c>
      <c r="W1327" t="s">
        <v>14903</v>
      </c>
      <c r="X1327">
        <v>11</v>
      </c>
      <c r="Y1327" t="s">
        <v>21611</v>
      </c>
      <c r="Z1327" t="s">
        <v>28182</v>
      </c>
      <c r="AA1327">
        <v>0.89726000467768363</v>
      </c>
      <c r="AB1327" t="str">
        <f>HYPERLINK("Melting_Curves/meltCurve_O43583_DENR.pdf", "Melting_Curves/meltCurve_O43583_DENR.pdf")</f>
        <v>Melting_Curves/meltCurve_O43583_DENR.pdf</v>
      </c>
    </row>
    <row r="1328" spans="1:28" x14ac:dyDescent="0.25">
      <c r="A1328" t="s">
        <v>1332</v>
      </c>
      <c r="B1328">
        <v>0.995954080203443</v>
      </c>
      <c r="C1328">
        <v>1.0235891219139099</v>
      </c>
      <c r="D1328">
        <v>0.92474665026118597</v>
      </c>
      <c r="E1328">
        <v>0.66292059398902003</v>
      </c>
      <c r="F1328">
        <v>0.17803776730538101</v>
      </c>
      <c r="G1328">
        <v>9.9696049876056694E-2</v>
      </c>
      <c r="H1328">
        <v>6.3633176307158507E-2</v>
      </c>
      <c r="I1328">
        <v>5.51761982234346E-2</v>
      </c>
      <c r="J1328">
        <v>6.05188725281419E-2</v>
      </c>
      <c r="K1328">
        <v>5.2849632324444597E-2</v>
      </c>
      <c r="L1328">
        <v>2051.8018369537899</v>
      </c>
      <c r="M1328">
        <v>40.511322132734797</v>
      </c>
      <c r="N1328">
        <v>50.813061554367998</v>
      </c>
      <c r="O1328">
        <v>50.524686411265101</v>
      </c>
      <c r="P1328">
        <v>-0.188068015620727</v>
      </c>
      <c r="Q1328">
        <v>6.1787628549143103E-2</v>
      </c>
      <c r="R1328">
        <v>0.99674704387837598</v>
      </c>
      <c r="S1328" t="s">
        <v>8134</v>
      </c>
      <c r="T1328" t="s">
        <v>13610</v>
      </c>
      <c r="U1328" t="s">
        <v>13610</v>
      </c>
      <c r="V1328" t="s">
        <v>13610</v>
      </c>
      <c r="W1328" t="s">
        <v>14904</v>
      </c>
      <c r="X1328">
        <v>36</v>
      </c>
      <c r="Y1328" t="s">
        <v>21612</v>
      </c>
      <c r="Z1328" t="s">
        <v>28183</v>
      </c>
      <c r="AA1328">
        <v>0.39798022460672239</v>
      </c>
      <c r="AB1328" t="str">
        <f>HYPERLINK("Melting_Curves/meltCurve_O43592_XPOT.pdf", "Melting_Curves/meltCurve_O43592_XPOT.pdf")</f>
        <v>Melting_Curves/meltCurve_O43592_XPOT.pdf</v>
      </c>
    </row>
    <row r="1329" spans="1:28" x14ac:dyDescent="0.25">
      <c r="A1329" t="s">
        <v>1333</v>
      </c>
      <c r="B1329">
        <v>0.995954080203443</v>
      </c>
      <c r="C1329">
        <v>1.2012056868094201</v>
      </c>
      <c r="D1329">
        <v>1.01384182249596</v>
      </c>
      <c r="E1329">
        <v>1.20046065526379</v>
      </c>
      <c r="F1329">
        <v>1.6579395016977201</v>
      </c>
      <c r="G1329">
        <v>0.92265610819018495</v>
      </c>
      <c r="H1329">
        <v>0.72029082491778296</v>
      </c>
      <c r="I1329">
        <v>0.32291013221944798</v>
      </c>
      <c r="J1329">
        <v>4.4798351891988601E-2</v>
      </c>
      <c r="K1329">
        <v>0</v>
      </c>
      <c r="L1329">
        <v>2402.09443529992</v>
      </c>
      <c r="M1329">
        <v>38.381074063578602</v>
      </c>
      <c r="N1329">
        <v>62.585388411914302</v>
      </c>
      <c r="O1329">
        <v>62.416211966918297</v>
      </c>
      <c r="P1329">
        <v>-0.153730762605541</v>
      </c>
      <c r="Q1329">
        <v>0</v>
      </c>
      <c r="R1329">
        <v>0.80009021759639998</v>
      </c>
      <c r="S1329" t="s">
        <v>8135</v>
      </c>
      <c r="T1329" t="s">
        <v>13610</v>
      </c>
      <c r="U1329" t="s">
        <v>13610</v>
      </c>
      <c r="V1329" t="s">
        <v>13610</v>
      </c>
      <c r="W1329" t="s">
        <v>14905</v>
      </c>
      <c r="X1329">
        <v>9</v>
      </c>
      <c r="Y1329" t="s">
        <v>21089</v>
      </c>
      <c r="Z1329" t="s">
        <v>28184</v>
      </c>
      <c r="AA1329">
        <v>0.75631892979249327</v>
      </c>
      <c r="AB1329" t="str">
        <f>HYPERLINK("Melting_Curves/meltCurve_O43598_DNPH1.pdf", "Melting_Curves/meltCurve_O43598_DNPH1.pdf")</f>
        <v>Melting_Curves/meltCurve_O43598_DNPH1.pdf</v>
      </c>
    </row>
    <row r="1330" spans="1:28" x14ac:dyDescent="0.25">
      <c r="A1330" t="s">
        <v>1334</v>
      </c>
      <c r="B1330">
        <v>0.995954080203443</v>
      </c>
      <c r="C1330">
        <v>0.99276138352129595</v>
      </c>
      <c r="D1330">
        <v>1.0299027950681601</v>
      </c>
      <c r="E1330">
        <v>0.83081530473924903</v>
      </c>
      <c r="F1330">
        <v>0.67109632043739498</v>
      </c>
      <c r="G1330">
        <v>0.34662522039520199</v>
      </c>
      <c r="H1330">
        <v>0.26626372856308</v>
      </c>
      <c r="I1330">
        <v>0.31143027819156099</v>
      </c>
      <c r="J1330">
        <v>0.37744811076707302</v>
      </c>
      <c r="K1330">
        <v>0.34024157062668903</v>
      </c>
      <c r="L1330">
        <v>1536.06970027839</v>
      </c>
      <c r="M1330">
        <v>29.161202226683599</v>
      </c>
      <c r="N1330">
        <v>54.537702778025498</v>
      </c>
      <c r="O1330">
        <v>52.429273259173499</v>
      </c>
      <c r="P1330">
        <v>-9.5207178432753101E-2</v>
      </c>
      <c r="Q1330">
        <v>0.31530858401432499</v>
      </c>
      <c r="R1330">
        <v>0.98322507819913596</v>
      </c>
      <c r="S1330" t="s">
        <v>8136</v>
      </c>
      <c r="T1330" t="s">
        <v>13610</v>
      </c>
      <c r="U1330" t="s">
        <v>13610</v>
      </c>
      <c r="V1330" t="s">
        <v>13610</v>
      </c>
      <c r="W1330" t="s">
        <v>14906</v>
      </c>
      <c r="X1330">
        <v>23</v>
      </c>
      <c r="Y1330" t="s">
        <v>21613</v>
      </c>
      <c r="Z1330" t="s">
        <v>28185</v>
      </c>
      <c r="AA1330">
        <v>0.60926600747590631</v>
      </c>
      <c r="AB1330" t="str">
        <f>HYPERLINK("Melting_Curves/meltCurve_O43615_TIMM44.pdf", "Melting_Curves/meltCurve_O43615_TIMM44.pdf")</f>
        <v>Melting_Curves/meltCurve_O43615_TIMM44.pdf</v>
      </c>
    </row>
    <row r="1331" spans="1:28" x14ac:dyDescent="0.25">
      <c r="A1331" t="s">
        <v>1335</v>
      </c>
      <c r="B1331">
        <v>0.995954080203443</v>
      </c>
      <c r="C1331">
        <v>0.95975980879936096</v>
      </c>
      <c r="D1331">
        <v>0.935000480511743</v>
      </c>
      <c r="E1331">
        <v>0.86597825163175701</v>
      </c>
      <c r="F1331">
        <v>0.88881689039553502</v>
      </c>
      <c r="G1331">
        <v>0.74038058835464804</v>
      </c>
      <c r="H1331">
        <v>0.505424846132567</v>
      </c>
      <c r="I1331">
        <v>0.32978467808242001</v>
      </c>
      <c r="J1331">
        <v>0.157742527741533</v>
      </c>
      <c r="K1331">
        <v>0.105450344158514</v>
      </c>
      <c r="L1331">
        <v>885.93442469786498</v>
      </c>
      <c r="M1331">
        <v>14.6063309965602</v>
      </c>
      <c r="N1331">
        <v>60.654138682078298</v>
      </c>
      <c r="O1331">
        <v>59.5512389306408</v>
      </c>
      <c r="P1331">
        <v>-6.1325208589043202E-2</v>
      </c>
      <c r="Q1331">
        <v>0</v>
      </c>
      <c r="R1331">
        <v>0.98468846040991198</v>
      </c>
      <c r="S1331" t="s">
        <v>8137</v>
      </c>
      <c r="T1331" t="s">
        <v>13610</v>
      </c>
      <c r="U1331" t="s">
        <v>13610</v>
      </c>
      <c r="V1331" t="s">
        <v>13610</v>
      </c>
      <c r="W1331" t="s">
        <v>14907</v>
      </c>
      <c r="X1331">
        <v>9</v>
      </c>
      <c r="Y1331" t="s">
        <v>21614</v>
      </c>
      <c r="Z1331" t="s">
        <v>28186</v>
      </c>
      <c r="AA1331">
        <v>0.69205944265845232</v>
      </c>
      <c r="AB1331" t="str">
        <f>HYPERLINK("Melting_Curves/meltCurve_O43617_TRAPPC3.pdf", "Melting_Curves/meltCurve_O43617_TRAPPC3.pdf")</f>
        <v>Melting_Curves/meltCurve_O43617_TRAPPC3.pdf</v>
      </c>
    </row>
    <row r="1332" spans="1:28" x14ac:dyDescent="0.25">
      <c r="A1332" t="s">
        <v>1336</v>
      </c>
      <c r="B1332">
        <v>0.995954080203443</v>
      </c>
      <c r="C1332">
        <v>0.96159639859097301</v>
      </c>
      <c r="D1332">
        <v>1.0171445303067299</v>
      </c>
      <c r="E1332">
        <v>0.89296714798491506</v>
      </c>
      <c r="F1332">
        <v>0.954357973764421</v>
      </c>
      <c r="G1332">
        <v>0.75778850014224197</v>
      </c>
      <c r="H1332">
        <v>0.462190667898494</v>
      </c>
      <c r="I1332">
        <v>0.23236925138564599</v>
      </c>
      <c r="J1332">
        <v>0.174004288621222</v>
      </c>
      <c r="K1332">
        <v>0.15274217738614199</v>
      </c>
      <c r="L1332">
        <v>1286.6034247775001</v>
      </c>
      <c r="M1332">
        <v>21.585597381048601</v>
      </c>
      <c r="N1332">
        <v>60.227956671107002</v>
      </c>
      <c r="O1332">
        <v>59.1002205824242</v>
      </c>
      <c r="P1332">
        <v>-8.2172140497014004E-2</v>
      </c>
      <c r="Q1332">
        <v>0.100089772091567</v>
      </c>
      <c r="R1332">
        <v>0.98952301685951305</v>
      </c>
      <c r="S1332" t="s">
        <v>8138</v>
      </c>
      <c r="T1332" t="s">
        <v>13610</v>
      </c>
      <c r="U1332" t="s">
        <v>13610</v>
      </c>
      <c r="V1332" t="s">
        <v>13610</v>
      </c>
      <c r="W1332" t="s">
        <v>14908</v>
      </c>
      <c r="X1332">
        <v>10</v>
      </c>
      <c r="Y1332" t="s">
        <v>21615</v>
      </c>
      <c r="Z1332" t="s">
        <v>28187</v>
      </c>
      <c r="AA1332">
        <v>0.69605538777955756</v>
      </c>
      <c r="AB1332" t="str">
        <f>HYPERLINK("Melting_Curves/meltCurve_O43633_CHMP2A.pdf", "Melting_Curves/meltCurve_O43633_CHMP2A.pdf")</f>
        <v>Melting_Curves/meltCurve_O43633_CHMP2A.pdf</v>
      </c>
    </row>
    <row r="1333" spans="1:28" x14ac:dyDescent="0.25">
      <c r="A1333" t="s">
        <v>1337</v>
      </c>
      <c r="B1333">
        <v>0.995954080203443</v>
      </c>
      <c r="C1333">
        <v>0.98047259895458905</v>
      </c>
      <c r="D1333">
        <v>0.97564515805539398</v>
      </c>
      <c r="E1333">
        <v>0.90890163403830804</v>
      </c>
      <c r="F1333">
        <v>0.86214287535620004</v>
      </c>
      <c r="G1333">
        <v>0.65767310529970102</v>
      </c>
      <c r="H1333">
        <v>0.60204827432045505</v>
      </c>
      <c r="I1333">
        <v>0.80092381157801096</v>
      </c>
      <c r="J1333">
        <v>0.86224631736004098</v>
      </c>
      <c r="K1333">
        <v>0.74132651805222904</v>
      </c>
      <c r="L1333">
        <v>1709.30514002361</v>
      </c>
      <c r="M1333">
        <v>33.068460248925803</v>
      </c>
      <c r="O1333">
        <v>51.501946960809001</v>
      </c>
      <c r="P1333">
        <v>-4.2390086166078998E-2</v>
      </c>
      <c r="Q1333">
        <v>0.73592204051816101</v>
      </c>
      <c r="R1333">
        <v>0.704162554855147</v>
      </c>
      <c r="S1333" t="s">
        <v>8139</v>
      </c>
      <c r="T1333" t="s">
        <v>13610</v>
      </c>
      <c r="U1333" t="s">
        <v>13610</v>
      </c>
      <c r="V1333" t="s">
        <v>13610</v>
      </c>
      <c r="W1333" t="s">
        <v>14909</v>
      </c>
      <c r="X1333">
        <v>4</v>
      </c>
      <c r="Y1333" t="s">
        <v>21616</v>
      </c>
      <c r="Z1333" t="s">
        <v>28188</v>
      </c>
      <c r="AA1333">
        <v>0.84020583740869748</v>
      </c>
      <c r="AB1333" t="str">
        <f>HYPERLINK("Melting_Curves/meltCurve_O43639_NCK2.pdf", "Melting_Curves/meltCurve_O43639_NCK2.pdf")</f>
        <v>Melting_Curves/meltCurve_O43639_NCK2.pdf</v>
      </c>
    </row>
    <row r="1334" spans="1:28" x14ac:dyDescent="0.25">
      <c r="A1334" t="s">
        <v>1338</v>
      </c>
      <c r="B1334">
        <v>0.995954080203443</v>
      </c>
      <c r="C1334">
        <v>0.88848448815652603</v>
      </c>
      <c r="D1334">
        <v>0.91564324746666903</v>
      </c>
      <c r="E1334">
        <v>0.78299217853637404</v>
      </c>
      <c r="F1334">
        <v>0.70989898609532498</v>
      </c>
      <c r="G1334">
        <v>0.50636917994869701</v>
      </c>
      <c r="H1334">
        <v>0.42372699041762202</v>
      </c>
      <c r="I1334">
        <v>0.458872732244473</v>
      </c>
      <c r="J1334">
        <v>0.44506171868719602</v>
      </c>
      <c r="K1334">
        <v>0.42009457992749299</v>
      </c>
      <c r="L1334">
        <v>667.120529428645</v>
      </c>
      <c r="M1334">
        <v>12.787523880315501</v>
      </c>
      <c r="N1334">
        <v>59.127076426371602</v>
      </c>
      <c r="O1334">
        <v>50.943182987316</v>
      </c>
      <c r="P1334">
        <v>-3.8352477557195501E-2</v>
      </c>
      <c r="Q1334">
        <v>0.38895775365381302</v>
      </c>
      <c r="R1334">
        <v>0.97346875048875303</v>
      </c>
      <c r="S1334" t="s">
        <v>8140</v>
      </c>
      <c r="T1334" t="s">
        <v>13610</v>
      </c>
      <c r="U1334" t="s">
        <v>13610</v>
      </c>
      <c r="V1334" t="s">
        <v>13610</v>
      </c>
      <c r="W1334" t="s">
        <v>14910</v>
      </c>
      <c r="X1334">
        <v>21</v>
      </c>
      <c r="Y1334" t="s">
        <v>21617</v>
      </c>
      <c r="Z1334" t="s">
        <v>28189</v>
      </c>
      <c r="AA1334">
        <v>0.65385745096903003</v>
      </c>
      <c r="AB1334" t="str">
        <f>HYPERLINK("Melting_Curves/meltCurve_O43660_2_PLRG1.pdf", "Melting_Curves/meltCurve_O43660_2_PLRG1.pdf")</f>
        <v>Melting_Curves/meltCurve_O43660_2_PLRG1.pdf</v>
      </c>
    </row>
    <row r="1335" spans="1:28" x14ac:dyDescent="0.25">
      <c r="A1335" t="s">
        <v>1339</v>
      </c>
      <c r="B1335">
        <v>0.995954080203443</v>
      </c>
      <c r="C1335">
        <v>1.0004305816816901</v>
      </c>
      <c r="D1335">
        <v>0.81536396481329099</v>
      </c>
      <c r="E1335">
        <v>0.39993321312458502</v>
      </c>
      <c r="F1335">
        <v>0.260775018587042</v>
      </c>
      <c r="G1335">
        <v>0.15853103803476501</v>
      </c>
      <c r="H1335">
        <v>9.3850441447078298E-2</v>
      </c>
      <c r="I1335">
        <v>7.6967206147344897E-2</v>
      </c>
      <c r="J1335">
        <v>7.3623735315727107E-2</v>
      </c>
      <c r="K1335">
        <v>7.1648644954395699E-2</v>
      </c>
      <c r="L1335">
        <v>1053.3026093641599</v>
      </c>
      <c r="M1335">
        <v>21.544883404438799</v>
      </c>
      <c r="N1335">
        <v>49.308366326471599</v>
      </c>
      <c r="O1335">
        <v>48.4734335616387</v>
      </c>
      <c r="P1335">
        <v>-0.101812411880929</v>
      </c>
      <c r="Q1335">
        <v>8.3759017909283501E-2</v>
      </c>
      <c r="R1335">
        <v>0.99580114929570995</v>
      </c>
      <c r="S1335" t="s">
        <v>8141</v>
      </c>
      <c r="T1335" t="s">
        <v>13610</v>
      </c>
      <c r="U1335" t="s">
        <v>13610</v>
      </c>
      <c r="V1335" t="s">
        <v>13610</v>
      </c>
      <c r="W1335" t="s">
        <v>14911</v>
      </c>
      <c r="X1335">
        <v>21</v>
      </c>
      <c r="Y1335" t="s">
        <v>21128</v>
      </c>
      <c r="Z1335" t="s">
        <v>28190</v>
      </c>
      <c r="AA1335">
        <v>0.36626393871024981</v>
      </c>
      <c r="AB1335" t="str">
        <f>HYPERLINK("Melting_Curves/meltCurve_O43663_PRC1.pdf", "Melting_Curves/meltCurve_O43663_PRC1.pdf")</f>
        <v>Melting_Curves/meltCurve_O43663_PRC1.pdf</v>
      </c>
    </row>
    <row r="1336" spans="1:28" x14ac:dyDescent="0.25">
      <c r="A1336" t="s">
        <v>1340</v>
      </c>
      <c r="B1336">
        <v>0.995954080203443</v>
      </c>
      <c r="C1336">
        <v>1.0023882580594901</v>
      </c>
      <c r="D1336">
        <v>0.98251763855257401</v>
      </c>
      <c r="E1336">
        <v>0.91679964205601205</v>
      </c>
      <c r="F1336">
        <v>0.85386857254991999</v>
      </c>
      <c r="G1336">
        <v>0.58627231792284495</v>
      </c>
      <c r="H1336">
        <v>0.42581668010513002</v>
      </c>
      <c r="I1336">
        <v>0.36905700194880797</v>
      </c>
      <c r="J1336">
        <v>0.486895825609658</v>
      </c>
      <c r="K1336">
        <v>0.34428906404123399</v>
      </c>
      <c r="L1336">
        <v>1312.4415895224199</v>
      </c>
      <c r="M1336">
        <v>23.762238025039402</v>
      </c>
      <c r="N1336">
        <v>58.856567964464901</v>
      </c>
      <c r="O1336">
        <v>54.845532750135</v>
      </c>
      <c r="P1336">
        <v>-6.6694679873491397E-2</v>
      </c>
      <c r="Q1336">
        <v>0.38425925389103699</v>
      </c>
      <c r="R1336">
        <v>0.97962449778466798</v>
      </c>
      <c r="S1336" t="s">
        <v>8142</v>
      </c>
      <c r="T1336" t="s">
        <v>13610</v>
      </c>
      <c r="U1336" t="s">
        <v>13610</v>
      </c>
      <c r="V1336" t="s">
        <v>13610</v>
      </c>
      <c r="W1336" t="s">
        <v>14912</v>
      </c>
      <c r="X1336">
        <v>9</v>
      </c>
      <c r="Y1336" t="s">
        <v>21618</v>
      </c>
      <c r="Z1336" t="s">
        <v>28191</v>
      </c>
      <c r="AA1336">
        <v>0.70310217112537499</v>
      </c>
      <c r="AB1336" t="str">
        <f>HYPERLINK("Melting_Curves/meltCurve_O43665_2_RGS10.pdf", "Melting_Curves/meltCurve_O43665_2_RGS10.pdf")</f>
        <v>Melting_Curves/meltCurve_O43665_2_RGS10.pdf</v>
      </c>
    </row>
    <row r="1337" spans="1:28" x14ac:dyDescent="0.25">
      <c r="A1337" t="s">
        <v>1341</v>
      </c>
      <c r="B1337">
        <v>0.995954080203443</v>
      </c>
      <c r="C1337">
        <v>0.97453728110728199</v>
      </c>
      <c r="D1337">
        <v>0.89169197769275699</v>
      </c>
      <c r="E1337">
        <v>0.84234919212564796</v>
      </c>
      <c r="F1337">
        <v>0.62774163905526403</v>
      </c>
      <c r="G1337">
        <v>0.32457592664285101</v>
      </c>
      <c r="H1337">
        <v>0.17288233120112001</v>
      </c>
      <c r="I1337">
        <v>0.17166002772502201</v>
      </c>
      <c r="J1337">
        <v>0.20344558628409801</v>
      </c>
      <c r="K1337">
        <v>0.193714037514127</v>
      </c>
      <c r="L1337">
        <v>1144.60638451768</v>
      </c>
      <c r="M1337">
        <v>21.477229799977898</v>
      </c>
      <c r="N1337">
        <v>54.303345703624103</v>
      </c>
      <c r="O1337">
        <v>52.838370705944101</v>
      </c>
      <c r="P1337">
        <v>-8.4895447289560402E-2</v>
      </c>
      <c r="Q1337">
        <v>0.16457997601468399</v>
      </c>
      <c r="R1337">
        <v>0.99048988320786602</v>
      </c>
      <c r="S1337" t="s">
        <v>8143</v>
      </c>
      <c r="T1337" t="s">
        <v>13610</v>
      </c>
      <c r="U1337" t="s">
        <v>13610</v>
      </c>
      <c r="V1337" t="s">
        <v>13610</v>
      </c>
      <c r="W1337" t="s">
        <v>14913</v>
      </c>
      <c r="X1337">
        <v>9</v>
      </c>
      <c r="Y1337" t="s">
        <v>21619</v>
      </c>
      <c r="Z1337" t="s">
        <v>28192</v>
      </c>
      <c r="AA1337">
        <v>0.54492212340783874</v>
      </c>
      <c r="AB1337" t="str">
        <f>HYPERLINK("Melting_Curves/meltCurve_O43670_2_ZNF207.pdf", "Melting_Curves/meltCurve_O43670_2_ZNF207.pdf")</f>
        <v>Melting_Curves/meltCurve_O43670_2_ZNF207.pdf</v>
      </c>
    </row>
    <row r="1338" spans="1:28" x14ac:dyDescent="0.25">
      <c r="A1338" t="s">
        <v>1342</v>
      </c>
      <c r="B1338">
        <v>0.995954080203443</v>
      </c>
      <c r="C1338">
        <v>1.0823441893260399</v>
      </c>
      <c r="D1338">
        <v>0.99917903020529097</v>
      </c>
      <c r="E1338">
        <v>0.69809202020953298</v>
      </c>
      <c r="F1338">
        <v>0.40216576447944202</v>
      </c>
      <c r="G1338">
        <v>0.24068448449391699</v>
      </c>
      <c r="H1338">
        <v>0.15791729670861601</v>
      </c>
      <c r="I1338">
        <v>0.17745814273548199</v>
      </c>
      <c r="J1338">
        <v>0.19583626095113901</v>
      </c>
      <c r="K1338">
        <v>0.21117580109214301</v>
      </c>
      <c r="L1338">
        <v>1509.96270305793</v>
      </c>
      <c r="M1338">
        <v>29.586625708700701</v>
      </c>
      <c r="N1338">
        <v>51.863889691762502</v>
      </c>
      <c r="O1338">
        <v>50.803867674077303</v>
      </c>
      <c r="P1338">
        <v>-0.118173191764898</v>
      </c>
      <c r="Q1338">
        <v>0.188334093373802</v>
      </c>
      <c r="R1338">
        <v>0.99186090220275502</v>
      </c>
      <c r="S1338" t="s">
        <v>8144</v>
      </c>
      <c r="T1338" t="s">
        <v>13610</v>
      </c>
      <c r="U1338" t="s">
        <v>13610</v>
      </c>
      <c r="V1338" t="s">
        <v>13610</v>
      </c>
      <c r="W1338" t="s">
        <v>14914</v>
      </c>
      <c r="X1338">
        <v>3</v>
      </c>
      <c r="Y1338" t="s">
        <v>21620</v>
      </c>
      <c r="Z1338" t="s">
        <v>28193</v>
      </c>
      <c r="AA1338">
        <v>0.49215038085806828</v>
      </c>
      <c r="AB1338" t="str">
        <f>HYPERLINK("Melting_Curves/meltCurve_O43678_NDUFA2.pdf", "Melting_Curves/meltCurve_O43678_NDUFA2.pdf")</f>
        <v>Melting_Curves/meltCurve_O43678_NDUFA2.pdf</v>
      </c>
    </row>
    <row r="1339" spans="1:28" x14ac:dyDescent="0.25">
      <c r="A1339" t="s">
        <v>1343</v>
      </c>
      <c r="B1339">
        <v>0.995954080203443</v>
      </c>
      <c r="C1339">
        <v>1.02026037237684</v>
      </c>
      <c r="D1339">
        <v>0.83219511056180695</v>
      </c>
      <c r="E1339">
        <v>0.55139668725841295</v>
      </c>
      <c r="F1339">
        <v>0.26622794666963001</v>
      </c>
      <c r="G1339">
        <v>0.135373363854221</v>
      </c>
      <c r="H1339">
        <v>7.7710897673830104E-2</v>
      </c>
      <c r="I1339">
        <v>4.7637122729289501E-2</v>
      </c>
      <c r="J1339">
        <v>4.1248023316002802E-2</v>
      </c>
      <c r="K1339">
        <v>4.2937628126050301E-2</v>
      </c>
      <c r="L1339">
        <v>1000.2882456958801</v>
      </c>
      <c r="M1339">
        <v>19.951318226149599</v>
      </c>
      <c r="N1339">
        <v>50.354821445159097</v>
      </c>
      <c r="O1339">
        <v>49.640925323788103</v>
      </c>
      <c r="P1339">
        <v>-9.6317296360090704E-2</v>
      </c>
      <c r="Q1339">
        <v>4.1442505585612001E-2</v>
      </c>
      <c r="R1339">
        <v>0.99688075436702805</v>
      </c>
      <c r="S1339" t="s">
        <v>8145</v>
      </c>
      <c r="T1339" t="s">
        <v>13610</v>
      </c>
      <c r="U1339" t="s">
        <v>13610</v>
      </c>
      <c r="V1339" t="s">
        <v>13610</v>
      </c>
      <c r="W1339" t="s">
        <v>14915</v>
      </c>
      <c r="X1339">
        <v>9</v>
      </c>
      <c r="Y1339" t="s">
        <v>21621</v>
      </c>
      <c r="Z1339" t="s">
        <v>28194</v>
      </c>
      <c r="AA1339">
        <v>0.3787224243342262</v>
      </c>
      <c r="AB1339" t="str">
        <f>HYPERLINK("Melting_Curves/meltCurve_O43681_ASNA1.pdf", "Melting_Curves/meltCurve_O43681_ASNA1.pdf")</f>
        <v>Melting_Curves/meltCurve_O43681_ASNA1.pdf</v>
      </c>
    </row>
    <row r="1340" spans="1:28" x14ac:dyDescent="0.25">
      <c r="A1340" t="s">
        <v>1344</v>
      </c>
      <c r="B1340">
        <v>0.995954080203443</v>
      </c>
      <c r="C1340">
        <v>0.89659110382600504</v>
      </c>
      <c r="D1340">
        <v>0.65086239821738801</v>
      </c>
      <c r="E1340">
        <v>1.0977349488241099</v>
      </c>
      <c r="F1340">
        <v>0.95124370613835496</v>
      </c>
      <c r="G1340">
        <v>0.84841065604493904</v>
      </c>
      <c r="H1340">
        <v>0.53442684273687002</v>
      </c>
      <c r="I1340">
        <v>0.100391784856977</v>
      </c>
      <c r="J1340">
        <v>8.0190142897686695E-2</v>
      </c>
      <c r="K1340">
        <v>7.7214575526037804E-2</v>
      </c>
      <c r="L1340">
        <v>2060.4975690384999</v>
      </c>
      <c r="M1340">
        <v>33.944280011467498</v>
      </c>
      <c r="N1340">
        <v>60.828463279356697</v>
      </c>
      <c r="O1340">
        <v>60.492829299502503</v>
      </c>
      <c r="P1340">
        <v>-0.13551649207220401</v>
      </c>
      <c r="Q1340">
        <v>3.3976476384729899E-2</v>
      </c>
      <c r="R1340">
        <v>0.89305661746526999</v>
      </c>
      <c r="S1340" t="s">
        <v>8146</v>
      </c>
      <c r="T1340" t="s">
        <v>13610</v>
      </c>
      <c r="U1340" t="s">
        <v>13610</v>
      </c>
      <c r="V1340" t="s">
        <v>13610</v>
      </c>
      <c r="W1340" t="s">
        <v>14916</v>
      </c>
      <c r="X1340">
        <v>79</v>
      </c>
      <c r="Y1340" t="s">
        <v>21194</v>
      </c>
      <c r="Z1340" t="s">
        <v>28195</v>
      </c>
      <c r="AA1340">
        <v>0.70535556295251201</v>
      </c>
      <c r="AB1340" t="str">
        <f>HYPERLINK("Melting_Curves/meltCurve_O43707_ACTN4.pdf", "Melting_Curves/meltCurve_O43707_ACTN4.pdf")</f>
        <v>Melting_Curves/meltCurve_O43707_ACTN4.pdf</v>
      </c>
    </row>
    <row r="1341" spans="1:28" x14ac:dyDescent="0.25">
      <c r="A1341" t="s">
        <v>1345</v>
      </c>
      <c r="B1341">
        <v>0.995954080203443</v>
      </c>
      <c r="C1341">
        <v>0.90728814515045397</v>
      </c>
      <c r="D1341">
        <v>0.773741117301183</v>
      </c>
      <c r="E1341">
        <v>0.50802494376488005</v>
      </c>
      <c r="F1341">
        <v>0.25750053109242399</v>
      </c>
      <c r="G1341">
        <v>0.100708151229485</v>
      </c>
      <c r="H1341">
        <v>6.8943797543976407E-2</v>
      </c>
      <c r="I1341">
        <v>6.5258773611859902E-2</v>
      </c>
      <c r="J1341">
        <v>7.9437264625517506E-2</v>
      </c>
      <c r="K1341">
        <v>7.5673793168418102E-2</v>
      </c>
      <c r="L1341">
        <v>854.47335119000297</v>
      </c>
      <c r="M1341">
        <v>17.320386788202001</v>
      </c>
      <c r="N1341">
        <v>49.633788477620399</v>
      </c>
      <c r="O1341">
        <v>48.689853188482303</v>
      </c>
      <c r="P1341">
        <v>-8.4511737137818302E-2</v>
      </c>
      <c r="Q1341">
        <v>4.97607571689321E-2</v>
      </c>
      <c r="R1341">
        <v>0.99629422546523405</v>
      </c>
      <c r="S1341" t="s">
        <v>8147</v>
      </c>
      <c r="T1341" t="s">
        <v>13610</v>
      </c>
      <c r="U1341" t="s">
        <v>13610</v>
      </c>
      <c r="V1341" t="s">
        <v>13610</v>
      </c>
      <c r="W1341" t="s">
        <v>14917</v>
      </c>
      <c r="X1341">
        <v>5</v>
      </c>
      <c r="Y1341" t="s">
        <v>21622</v>
      </c>
      <c r="Z1341" t="s">
        <v>28196</v>
      </c>
      <c r="AA1341">
        <v>0.36303214975665149</v>
      </c>
      <c r="AB1341" t="str">
        <f>HYPERLINK("Melting_Curves/meltCurve_O43709_WBSCR22.pdf", "Melting_Curves/meltCurve_O43709_WBSCR22.pdf")</f>
        <v>Melting_Curves/meltCurve_O43709_WBSCR22.pdf</v>
      </c>
    </row>
    <row r="1342" spans="1:28" x14ac:dyDescent="0.25">
      <c r="A1342" t="s">
        <v>1346</v>
      </c>
      <c r="B1342">
        <v>0.995954080203443</v>
      </c>
      <c r="C1342">
        <v>0.98960303280557504</v>
      </c>
      <c r="D1342">
        <v>0.95384673321866598</v>
      </c>
      <c r="E1342">
        <v>0.86757775369300805</v>
      </c>
      <c r="F1342">
        <v>0.81451019574725003</v>
      </c>
      <c r="G1342">
        <v>0.593417180260295</v>
      </c>
      <c r="H1342">
        <v>0.606275055458107</v>
      </c>
      <c r="I1342">
        <v>0.70426281645669198</v>
      </c>
      <c r="J1342">
        <v>1.0171110303608999</v>
      </c>
      <c r="K1342">
        <v>0.84154406297912898</v>
      </c>
      <c r="L1342">
        <v>1594.36711294316</v>
      </c>
      <c r="M1342">
        <v>32.2021161824864</v>
      </c>
      <c r="O1342">
        <v>49.3214951537609</v>
      </c>
      <c r="P1342">
        <v>-3.9487771246846597E-2</v>
      </c>
      <c r="Q1342">
        <v>0.75807974004657497</v>
      </c>
      <c r="R1342">
        <v>0.424420710986679</v>
      </c>
      <c r="S1342" t="s">
        <v>8148</v>
      </c>
      <c r="T1342" t="s">
        <v>13610</v>
      </c>
      <c r="U1342" t="s">
        <v>13610</v>
      </c>
      <c r="V1342" t="s">
        <v>13610</v>
      </c>
      <c r="W1342" t="s">
        <v>14918</v>
      </c>
      <c r="X1342">
        <v>9</v>
      </c>
      <c r="Y1342" t="s">
        <v>21623</v>
      </c>
      <c r="Z1342" t="s">
        <v>28197</v>
      </c>
      <c r="AA1342">
        <v>0.8360640975674769</v>
      </c>
      <c r="AB1342" t="str">
        <f>HYPERLINK("Melting_Curves/meltCurve_O43715_TRIAP1.pdf", "Melting_Curves/meltCurve_O43715_TRIAP1.pdf")</f>
        <v>Melting_Curves/meltCurve_O43715_TRIAP1.pdf</v>
      </c>
    </row>
    <row r="1343" spans="1:28" x14ac:dyDescent="0.25">
      <c r="A1343" t="s">
        <v>1347</v>
      </c>
      <c r="B1343">
        <v>0.995954080203443</v>
      </c>
      <c r="C1343">
        <v>0.94942520836823097</v>
      </c>
      <c r="D1343">
        <v>0.85194838710392695</v>
      </c>
      <c r="E1343">
        <v>0.68426996010713803</v>
      </c>
      <c r="F1343">
        <v>0.48492369816757003</v>
      </c>
      <c r="G1343">
        <v>0.303857398136756</v>
      </c>
      <c r="H1343">
        <v>0.240576920861235</v>
      </c>
      <c r="I1343">
        <v>0.26868935942507899</v>
      </c>
      <c r="J1343">
        <v>0.30684153142717802</v>
      </c>
      <c r="K1343">
        <v>0.29489626943084501</v>
      </c>
      <c r="L1343">
        <v>908.18811911055502</v>
      </c>
      <c r="M1343">
        <v>18.037928520268601</v>
      </c>
      <c r="N1343">
        <v>52.479223658329502</v>
      </c>
      <c r="O1343">
        <v>49.742221462106301</v>
      </c>
      <c r="P1343">
        <v>-6.7126749106851902E-2</v>
      </c>
      <c r="Q1343">
        <v>0.259589076551693</v>
      </c>
      <c r="R1343">
        <v>0.98924802225172404</v>
      </c>
      <c r="S1343" t="s">
        <v>8149</v>
      </c>
      <c r="T1343" t="s">
        <v>13610</v>
      </c>
      <c r="U1343" t="s">
        <v>13610</v>
      </c>
      <c r="V1343" t="s">
        <v>13610</v>
      </c>
      <c r="W1343" t="s">
        <v>14919</v>
      </c>
      <c r="X1343">
        <v>5</v>
      </c>
      <c r="Y1343" t="s">
        <v>21624</v>
      </c>
      <c r="Z1343" t="s">
        <v>28198</v>
      </c>
      <c r="AA1343">
        <v>0.52752345401137413</v>
      </c>
      <c r="AB1343" t="str">
        <f>HYPERLINK("Melting_Curves/meltCurve_O43716_GATC.pdf", "Melting_Curves/meltCurve_O43716_GATC.pdf")</f>
        <v>Melting_Curves/meltCurve_O43716_GATC.pdf</v>
      </c>
    </row>
    <row r="1344" spans="1:28" x14ac:dyDescent="0.25">
      <c r="A1344" t="s">
        <v>1348</v>
      </c>
      <c r="B1344">
        <v>0.995954080203443</v>
      </c>
      <c r="C1344">
        <v>0.92462810965766395</v>
      </c>
      <c r="D1344">
        <v>0.87027584599724195</v>
      </c>
      <c r="E1344">
        <v>0.68683524664170703</v>
      </c>
      <c r="F1344">
        <v>0.438567888092879</v>
      </c>
      <c r="G1344">
        <v>0.27803765269054898</v>
      </c>
      <c r="H1344">
        <v>0.20341415056957299</v>
      </c>
      <c r="I1344">
        <v>0.20642966482509301</v>
      </c>
      <c r="J1344">
        <v>0.22491054070385799</v>
      </c>
      <c r="K1344">
        <v>0.220206931205817</v>
      </c>
      <c r="L1344">
        <v>911.80236240243801</v>
      </c>
      <c r="M1344">
        <v>17.968262861951299</v>
      </c>
      <c r="N1344">
        <v>52.167756477992597</v>
      </c>
      <c r="O1344">
        <v>50.129141618503198</v>
      </c>
      <c r="P1344">
        <v>-7.22575252939852E-2</v>
      </c>
      <c r="Q1344">
        <v>0.193683265834622</v>
      </c>
      <c r="R1344">
        <v>0.99397050277032595</v>
      </c>
      <c r="S1344" t="s">
        <v>8150</v>
      </c>
      <c r="T1344" t="s">
        <v>13610</v>
      </c>
      <c r="U1344" t="s">
        <v>13610</v>
      </c>
      <c r="V1344" t="s">
        <v>13610</v>
      </c>
      <c r="W1344" t="s">
        <v>14920</v>
      </c>
      <c r="X1344">
        <v>44</v>
      </c>
      <c r="Y1344" t="s">
        <v>21625</v>
      </c>
      <c r="Z1344" t="s">
        <v>28199</v>
      </c>
      <c r="AA1344">
        <v>0.49615363532150042</v>
      </c>
      <c r="AB1344" t="str">
        <f>HYPERLINK("Melting_Curves/meltCurve_O43719_HTATSF1.pdf", "Melting_Curves/meltCurve_O43719_HTATSF1.pdf")</f>
        <v>Melting_Curves/meltCurve_O43719_HTATSF1.pdf</v>
      </c>
    </row>
    <row r="1345" spans="1:28" x14ac:dyDescent="0.25">
      <c r="A1345" t="s">
        <v>1349</v>
      </c>
      <c r="B1345">
        <v>0.995954080203443</v>
      </c>
      <c r="C1345">
        <v>1.0301026315488999</v>
      </c>
      <c r="D1345">
        <v>0.898904256832048</v>
      </c>
      <c r="E1345">
        <v>0.56219173633690001</v>
      </c>
      <c r="F1345">
        <v>0.33236126239365199</v>
      </c>
      <c r="G1345">
        <v>0.23070333801535001</v>
      </c>
      <c r="H1345">
        <v>0.13152580787344201</v>
      </c>
      <c r="I1345">
        <v>0.12242780010496</v>
      </c>
      <c r="J1345">
        <v>0.151637433176563</v>
      </c>
      <c r="K1345">
        <v>0.17831018866241</v>
      </c>
      <c r="L1345">
        <v>1161.9242544148799</v>
      </c>
      <c r="M1345">
        <v>23.243475908748</v>
      </c>
      <c r="N1345">
        <v>50.761178119784297</v>
      </c>
      <c r="O1345">
        <v>49.623636158393303</v>
      </c>
      <c r="P1345">
        <v>-9.9667786127667704E-2</v>
      </c>
      <c r="Q1345">
        <v>0.14887240445706801</v>
      </c>
      <c r="R1345">
        <v>0.99498158458006802</v>
      </c>
      <c r="S1345" t="s">
        <v>8151</v>
      </c>
      <c r="T1345" t="s">
        <v>13610</v>
      </c>
      <c r="U1345" t="s">
        <v>13610</v>
      </c>
      <c r="V1345" t="s">
        <v>13610</v>
      </c>
      <c r="W1345" t="s">
        <v>14921</v>
      </c>
      <c r="X1345">
        <v>4</v>
      </c>
      <c r="Y1345" t="s">
        <v>21626</v>
      </c>
      <c r="Z1345" t="s">
        <v>28200</v>
      </c>
      <c r="AA1345">
        <v>0.44107983548661478</v>
      </c>
      <c r="AB1345" t="str">
        <f>HYPERLINK("Melting_Curves/meltCurve_O43739_2_CYTH3.pdf", "Melting_Curves/meltCurve_O43739_2_CYTH3.pdf")</f>
        <v>Melting_Curves/meltCurve_O43739_2_CYTH3.pdf</v>
      </c>
    </row>
    <row r="1346" spans="1:28" x14ac:dyDescent="0.25">
      <c r="A1346" t="s">
        <v>1350</v>
      </c>
      <c r="B1346">
        <v>0.995954080203443</v>
      </c>
      <c r="C1346">
        <v>0.93915709998521202</v>
      </c>
      <c r="D1346">
        <v>0.87157649187521002</v>
      </c>
      <c r="E1346">
        <v>0.77046191157783495</v>
      </c>
      <c r="F1346">
        <v>0.41354231442265899</v>
      </c>
      <c r="G1346">
        <v>0.23308353793856701</v>
      </c>
      <c r="H1346">
        <v>0.10733858217435201</v>
      </c>
      <c r="I1346">
        <v>7.8368443559693496E-2</v>
      </c>
      <c r="J1346">
        <v>8.1833102088479603E-2</v>
      </c>
      <c r="K1346">
        <v>7.4865085663121694E-2</v>
      </c>
      <c r="L1346">
        <v>964.45805343121594</v>
      </c>
      <c r="M1346">
        <v>18.504179087206101</v>
      </c>
      <c r="N1346">
        <v>52.472010347982</v>
      </c>
      <c r="O1346">
        <v>51.523812675136398</v>
      </c>
      <c r="P1346">
        <v>-8.4562914450505802E-2</v>
      </c>
      <c r="Q1346">
        <v>5.8199683837418699E-2</v>
      </c>
      <c r="R1346">
        <v>0.991684588296189</v>
      </c>
      <c r="S1346" t="s">
        <v>8152</v>
      </c>
      <c r="T1346" t="s">
        <v>13610</v>
      </c>
      <c r="U1346" t="s">
        <v>13610</v>
      </c>
      <c r="V1346" t="s">
        <v>13610</v>
      </c>
      <c r="W1346" t="s">
        <v>14922</v>
      </c>
      <c r="X1346">
        <v>28</v>
      </c>
      <c r="Y1346" t="s">
        <v>21627</v>
      </c>
      <c r="Z1346" t="s">
        <v>28201</v>
      </c>
      <c r="AA1346">
        <v>0.45364695060474158</v>
      </c>
      <c r="AB1346" t="str">
        <f>HYPERLINK("Melting_Curves/meltCurve_O43747_AP1G1.pdf", "Melting_Curves/meltCurve_O43747_AP1G1.pdf")</f>
        <v>Melting_Curves/meltCurve_O43747_AP1G1.pdf</v>
      </c>
    </row>
    <row r="1347" spans="1:28" x14ac:dyDescent="0.25">
      <c r="A1347" t="s">
        <v>1351</v>
      </c>
      <c r="B1347">
        <v>0.995954080203443</v>
      </c>
      <c r="C1347">
        <v>0.99008289699374197</v>
      </c>
      <c r="D1347">
        <v>0.905883281233412</v>
      </c>
      <c r="E1347">
        <v>0.86663763323787801</v>
      </c>
      <c r="F1347">
        <v>0.77623601810005605</v>
      </c>
      <c r="G1347">
        <v>0.55780440520219199</v>
      </c>
      <c r="H1347">
        <v>0.48657844173724601</v>
      </c>
      <c r="I1347">
        <v>0.52895647816552704</v>
      </c>
      <c r="J1347">
        <v>0.598405851007906</v>
      </c>
      <c r="K1347">
        <v>0.55488044183047602</v>
      </c>
      <c r="L1347">
        <v>1132.99459258605</v>
      </c>
      <c r="M1347">
        <v>21.6860496481005</v>
      </c>
      <c r="O1347">
        <v>51.807146062381797</v>
      </c>
      <c r="P1347">
        <v>-4.9059008551183697E-2</v>
      </c>
      <c r="Q1347">
        <v>0.53121067305602998</v>
      </c>
      <c r="R1347">
        <v>0.95221758520660704</v>
      </c>
      <c r="S1347" t="s">
        <v>8153</v>
      </c>
      <c r="T1347" t="s">
        <v>13610</v>
      </c>
      <c r="U1347" t="s">
        <v>13610</v>
      </c>
      <c r="V1347" t="s">
        <v>13610</v>
      </c>
      <c r="W1347" t="s">
        <v>14923</v>
      </c>
      <c r="X1347">
        <v>6</v>
      </c>
      <c r="Y1347" t="s">
        <v>21628</v>
      </c>
      <c r="Z1347" t="s">
        <v>28202</v>
      </c>
      <c r="AA1347">
        <v>0.72816032792422369</v>
      </c>
      <c r="AB1347" t="str">
        <f>HYPERLINK("Melting_Curves/meltCurve_O43752_STX6.pdf", "Melting_Curves/meltCurve_O43752_STX6.pdf")</f>
        <v>Melting_Curves/meltCurve_O43752_STX6.pdf</v>
      </c>
    </row>
    <row r="1348" spans="1:28" x14ac:dyDescent="0.25">
      <c r="A1348" t="s">
        <v>1352</v>
      </c>
      <c r="B1348">
        <v>0.995954080203443</v>
      </c>
      <c r="C1348">
        <v>1.0124626058801001</v>
      </c>
      <c r="D1348">
        <v>1.0771297095594501</v>
      </c>
      <c r="E1348">
        <v>0.98809955799387705</v>
      </c>
      <c r="F1348">
        <v>0.61830009725749102</v>
      </c>
      <c r="G1348">
        <v>0.24327356539647901</v>
      </c>
      <c r="H1348">
        <v>0.134508345531689</v>
      </c>
      <c r="I1348">
        <v>0.118998248119757</v>
      </c>
      <c r="J1348">
        <v>0.14299086062341501</v>
      </c>
      <c r="K1348">
        <v>0.13561146098108801</v>
      </c>
      <c r="L1348">
        <v>2089.2957326822002</v>
      </c>
      <c r="M1348">
        <v>39.088607007017302</v>
      </c>
      <c r="N1348">
        <v>53.894317898192199</v>
      </c>
      <c r="O1348">
        <v>53.310928572120702</v>
      </c>
      <c r="P1348">
        <v>-0.15806825580461401</v>
      </c>
      <c r="Q1348">
        <v>0.13767754080332201</v>
      </c>
      <c r="R1348">
        <v>0.99375935684725603</v>
      </c>
      <c r="S1348" t="s">
        <v>8154</v>
      </c>
      <c r="T1348" t="s">
        <v>13610</v>
      </c>
      <c r="U1348" t="s">
        <v>13610</v>
      </c>
      <c r="V1348" t="s">
        <v>13610</v>
      </c>
      <c r="W1348" t="s">
        <v>14924</v>
      </c>
      <c r="X1348">
        <v>16</v>
      </c>
      <c r="Y1348" t="s">
        <v>21629</v>
      </c>
      <c r="Z1348" t="s">
        <v>28203</v>
      </c>
      <c r="AA1348">
        <v>0.52762421953547267</v>
      </c>
      <c r="AB1348" t="str">
        <f>HYPERLINK("Melting_Curves/meltCurve_O43765_SGTA.pdf", "Melting_Curves/meltCurve_O43765_SGTA.pdf")</f>
        <v>Melting_Curves/meltCurve_O43765_SGTA.pdf</v>
      </c>
    </row>
    <row r="1349" spans="1:28" x14ac:dyDescent="0.25">
      <c r="A1349" t="s">
        <v>1353</v>
      </c>
      <c r="B1349">
        <v>0.995954080203443</v>
      </c>
      <c r="C1349">
        <v>0.94462211071340196</v>
      </c>
      <c r="D1349">
        <v>0.97242184071457105</v>
      </c>
      <c r="E1349">
        <v>0.830802725146353</v>
      </c>
      <c r="F1349">
        <v>0.62081998252538695</v>
      </c>
      <c r="G1349">
        <v>0.486395468250297</v>
      </c>
      <c r="H1349">
        <v>0.41370620308445399</v>
      </c>
      <c r="I1349">
        <v>0.40853112378335599</v>
      </c>
      <c r="J1349">
        <v>0.32620937672007899</v>
      </c>
      <c r="K1349">
        <v>0.30138402860922398</v>
      </c>
      <c r="L1349">
        <v>838.91041054767697</v>
      </c>
      <c r="M1349">
        <v>15.8460311054992</v>
      </c>
      <c r="N1349">
        <v>56.601474025933499</v>
      </c>
      <c r="O1349">
        <v>52.119724641255701</v>
      </c>
      <c r="P1349">
        <v>-5.1648187693082701E-2</v>
      </c>
      <c r="Q1349">
        <v>0.32054405066499903</v>
      </c>
      <c r="R1349">
        <v>0.98842063254130597</v>
      </c>
      <c r="S1349" t="s">
        <v>8155</v>
      </c>
      <c r="T1349" t="s">
        <v>13610</v>
      </c>
      <c r="U1349" t="s">
        <v>13610</v>
      </c>
      <c r="V1349" t="s">
        <v>13610</v>
      </c>
      <c r="W1349" t="s">
        <v>14925</v>
      </c>
      <c r="X1349">
        <v>5</v>
      </c>
      <c r="Y1349" t="s">
        <v>21630</v>
      </c>
      <c r="Z1349" t="s">
        <v>28204</v>
      </c>
      <c r="AA1349">
        <v>0.62719562546732144</v>
      </c>
      <c r="AB1349" t="str">
        <f>HYPERLINK("Melting_Curves/meltCurve_O43766_LIAS.pdf", "Melting_Curves/meltCurve_O43766_LIAS.pdf")</f>
        <v>Melting_Curves/meltCurve_O43766_LIAS.pdf</v>
      </c>
    </row>
    <row r="1350" spans="1:28" x14ac:dyDescent="0.25">
      <c r="A1350" t="s">
        <v>1354</v>
      </c>
      <c r="B1350">
        <v>0.995954080203443</v>
      </c>
      <c r="C1350">
        <v>0.98408126630584103</v>
      </c>
      <c r="D1350">
        <v>1.0119699471575201</v>
      </c>
      <c r="E1350">
        <v>0.96014427985885997</v>
      </c>
      <c r="F1350">
        <v>0.95942503664945</v>
      </c>
      <c r="G1350">
        <v>0.74990236331969196</v>
      </c>
      <c r="H1350">
        <v>0.74078462374923204</v>
      </c>
      <c r="I1350">
        <v>0.92543080726952198</v>
      </c>
      <c r="J1350">
        <v>0.96062222897690697</v>
      </c>
      <c r="K1350">
        <v>1.0644634815460601</v>
      </c>
      <c r="L1350">
        <v>13279.7923324679</v>
      </c>
      <c r="M1350">
        <v>250</v>
      </c>
      <c r="O1350">
        <v>53.115773337932502</v>
      </c>
      <c r="P1350">
        <v>-0.13150437280454599</v>
      </c>
      <c r="Q1350">
        <v>0.88824070368978603</v>
      </c>
      <c r="R1350">
        <v>0.21609608024898799</v>
      </c>
      <c r="S1350" t="s">
        <v>8156</v>
      </c>
      <c r="T1350" t="s">
        <v>13610</v>
      </c>
      <c r="U1350" t="s">
        <v>13610</v>
      </c>
      <c r="V1350" t="s">
        <v>13610</v>
      </c>
      <c r="W1350" t="s">
        <v>14926</v>
      </c>
      <c r="X1350">
        <v>15</v>
      </c>
      <c r="Y1350" t="s">
        <v>21631</v>
      </c>
      <c r="Z1350" t="s">
        <v>28205</v>
      </c>
      <c r="AA1350">
        <v>0.93712409334462099</v>
      </c>
      <c r="AB1350" t="str">
        <f>HYPERLINK("Melting_Curves/meltCurve_O43768_2_ENSA.pdf", "Melting_Curves/meltCurve_O43768_2_ENSA.pdf")</f>
        <v>Melting_Curves/meltCurve_O43768_2_ENSA.pdf</v>
      </c>
    </row>
    <row r="1351" spans="1:28" x14ac:dyDescent="0.25">
      <c r="A1351" t="s">
        <v>1355</v>
      </c>
      <c r="B1351">
        <v>0.995954080203443</v>
      </c>
      <c r="C1351">
        <v>0.92500813403903004</v>
      </c>
      <c r="D1351">
        <v>0.83373503157927398</v>
      </c>
      <c r="E1351">
        <v>0.62398938429426498</v>
      </c>
      <c r="F1351">
        <v>0.17040870136473299</v>
      </c>
      <c r="G1351">
        <v>0.105200004166218</v>
      </c>
      <c r="H1351">
        <v>7.2679722941561706E-2</v>
      </c>
      <c r="I1351">
        <v>6.3426784679301004E-2</v>
      </c>
      <c r="J1351">
        <v>7.1418339662136607E-2</v>
      </c>
      <c r="K1351">
        <v>6.2296189320895097E-2</v>
      </c>
      <c r="L1351">
        <v>1230.6894361981599</v>
      </c>
      <c r="M1351">
        <v>24.555126073968498</v>
      </c>
      <c r="N1351">
        <v>50.3597906512191</v>
      </c>
      <c r="O1351">
        <v>49.790587302057801</v>
      </c>
      <c r="P1351">
        <v>-0.116476738618398</v>
      </c>
      <c r="Q1351">
        <v>5.52910879757652E-2</v>
      </c>
      <c r="R1351">
        <v>0.98443623935060098</v>
      </c>
      <c r="S1351" t="s">
        <v>8157</v>
      </c>
      <c r="T1351" t="s">
        <v>13610</v>
      </c>
      <c r="U1351" t="s">
        <v>13610</v>
      </c>
      <c r="V1351" t="s">
        <v>13610</v>
      </c>
      <c r="W1351" t="s">
        <v>14630</v>
      </c>
      <c r="X1351">
        <v>35</v>
      </c>
      <c r="Y1351" t="s">
        <v>21345</v>
      </c>
      <c r="Z1351" t="s">
        <v>28206</v>
      </c>
      <c r="AA1351">
        <v>0.382719227712634</v>
      </c>
      <c r="AB1351" t="str">
        <f>HYPERLINK("Melting_Curves/meltCurve_O43776_NARS.pdf", "Melting_Curves/meltCurve_O43776_NARS.pdf")</f>
        <v>Melting_Curves/meltCurve_O43776_NARS.pdf</v>
      </c>
    </row>
    <row r="1352" spans="1:28" x14ac:dyDescent="0.25">
      <c r="A1352" t="s">
        <v>1356</v>
      </c>
      <c r="B1352">
        <v>0.995954080203443</v>
      </c>
      <c r="C1352">
        <v>0.92031230526276697</v>
      </c>
      <c r="D1352">
        <v>0.69716144775925804</v>
      </c>
      <c r="E1352">
        <v>0.60874491603233505</v>
      </c>
      <c r="F1352">
        <v>0.27527850085369199</v>
      </c>
      <c r="G1352">
        <v>0.157942878744425</v>
      </c>
      <c r="H1352">
        <v>0.115213163066144</v>
      </c>
      <c r="I1352">
        <v>0.13819402469669201</v>
      </c>
      <c r="J1352">
        <v>0.110373276951517</v>
      </c>
      <c r="K1352">
        <v>0.158384546508366</v>
      </c>
      <c r="L1352">
        <v>759.82613712425405</v>
      </c>
      <c r="M1352">
        <v>15.430450027517301</v>
      </c>
      <c r="N1352">
        <v>49.964895148076103</v>
      </c>
      <c r="O1352">
        <v>48.437180332603099</v>
      </c>
      <c r="P1352">
        <v>-7.1680483197616399E-2</v>
      </c>
      <c r="Q1352">
        <v>0.100042661366815</v>
      </c>
      <c r="R1352">
        <v>0.97665392033432197</v>
      </c>
      <c r="S1352" t="s">
        <v>8158</v>
      </c>
      <c r="T1352" t="s">
        <v>13610</v>
      </c>
      <c r="U1352" t="s">
        <v>13610</v>
      </c>
      <c r="V1352" t="s">
        <v>13610</v>
      </c>
      <c r="W1352" t="s">
        <v>14927</v>
      </c>
      <c r="X1352">
        <v>1</v>
      </c>
      <c r="Y1352" t="s">
        <v>21632</v>
      </c>
      <c r="Z1352" t="s">
        <v>28207</v>
      </c>
      <c r="AA1352">
        <v>0.3981735773295299</v>
      </c>
      <c r="AB1352" t="str">
        <f>HYPERLINK("Melting_Curves/meltCurve_O43791_SPOP.pdf", "Melting_Curves/meltCurve_O43791_SPOP.pdf")</f>
        <v>Melting_Curves/meltCurve_O43791_SPOP.pdf</v>
      </c>
    </row>
    <row r="1353" spans="1:28" x14ac:dyDescent="0.25">
      <c r="A1353" t="s">
        <v>1357</v>
      </c>
      <c r="B1353">
        <v>0.995954080203443</v>
      </c>
      <c r="C1353">
        <v>1.06096326417278</v>
      </c>
      <c r="D1353">
        <v>1.1109449137693499</v>
      </c>
      <c r="E1353">
        <v>0.97204377621000504</v>
      </c>
      <c r="F1353">
        <v>0.865651602414654</v>
      </c>
      <c r="G1353">
        <v>0.59882156578594203</v>
      </c>
      <c r="H1353">
        <v>0.50970834524702102</v>
      </c>
      <c r="I1353">
        <v>0.52945816047541305</v>
      </c>
      <c r="J1353">
        <v>0.62080057545947198</v>
      </c>
      <c r="K1353">
        <v>0.58305658580526198</v>
      </c>
      <c r="L1353">
        <v>2468.0304884399302</v>
      </c>
      <c r="M1353">
        <v>45.768195193006598</v>
      </c>
      <c r="O1353">
        <v>53.821919014422498</v>
      </c>
      <c r="P1353">
        <v>-9.3317532695110395E-2</v>
      </c>
      <c r="Q1353">
        <v>0.56104682750631296</v>
      </c>
      <c r="R1353">
        <v>0.952556614250749</v>
      </c>
      <c r="S1353" t="s">
        <v>8159</v>
      </c>
      <c r="T1353" t="s">
        <v>13610</v>
      </c>
      <c r="U1353" t="s">
        <v>13610</v>
      </c>
      <c r="V1353" t="s">
        <v>13610</v>
      </c>
      <c r="W1353" t="s">
        <v>14928</v>
      </c>
      <c r="X1353">
        <v>3</v>
      </c>
      <c r="Y1353" t="s">
        <v>21633</v>
      </c>
      <c r="Z1353" t="s">
        <v>28208</v>
      </c>
      <c r="AA1353">
        <v>0.76603468465793612</v>
      </c>
      <c r="AB1353" t="str">
        <f>HYPERLINK("Melting_Curves/meltCurve_O43805_SSNA1.pdf", "Melting_Curves/meltCurve_O43805_SSNA1.pdf")</f>
        <v>Melting_Curves/meltCurve_O43805_SSNA1.pdf</v>
      </c>
    </row>
    <row r="1354" spans="1:28" x14ac:dyDescent="0.25">
      <c r="A1354" t="s">
        <v>1358</v>
      </c>
      <c r="B1354">
        <v>0.995954080203443</v>
      </c>
      <c r="C1354">
        <v>0.95951868212652103</v>
      </c>
      <c r="D1354">
        <v>0.93780879549307095</v>
      </c>
      <c r="E1354">
        <v>0.90502189794458598</v>
      </c>
      <c r="F1354">
        <v>0.8017963672981</v>
      </c>
      <c r="G1354">
        <v>0.31172371014314998</v>
      </c>
      <c r="H1354">
        <v>0.122215523273891</v>
      </c>
      <c r="I1354">
        <v>9.61732818772741E-2</v>
      </c>
      <c r="J1354">
        <v>8.8216510286604002E-2</v>
      </c>
      <c r="K1354">
        <v>8.0143856174522896E-2</v>
      </c>
      <c r="L1354">
        <v>1624.7974735233599</v>
      </c>
      <c r="M1354">
        <v>29.523157750603801</v>
      </c>
      <c r="N1354">
        <v>55.353706820723303</v>
      </c>
      <c r="O1354">
        <v>54.784028955832802</v>
      </c>
      <c r="P1354">
        <v>-0.12418610573279899</v>
      </c>
      <c r="Q1354">
        <v>7.8233020933038994E-2</v>
      </c>
      <c r="R1354">
        <v>0.99459270300376701</v>
      </c>
      <c r="S1354" t="s">
        <v>8160</v>
      </c>
      <c r="T1354" t="s">
        <v>13610</v>
      </c>
      <c r="U1354" t="s">
        <v>13610</v>
      </c>
      <c r="V1354" t="s">
        <v>13610</v>
      </c>
      <c r="W1354" t="s">
        <v>14929</v>
      </c>
      <c r="X1354">
        <v>12</v>
      </c>
      <c r="Y1354" t="s">
        <v>21634</v>
      </c>
      <c r="Z1354" t="s">
        <v>28209</v>
      </c>
      <c r="AA1354">
        <v>0.54648520066046802</v>
      </c>
      <c r="AB1354" t="str">
        <f>HYPERLINK("Melting_Curves/meltCurve_O43809_NUDT21.pdf", "Melting_Curves/meltCurve_O43809_NUDT21.pdf")</f>
        <v>Melting_Curves/meltCurve_O43809_NUDT21.pdf</v>
      </c>
    </row>
    <row r="1355" spans="1:28" x14ac:dyDescent="0.25">
      <c r="A1355" t="s">
        <v>1359</v>
      </c>
      <c r="B1355">
        <v>0.995954080203443</v>
      </c>
      <c r="C1355">
        <v>1.0039449428245699</v>
      </c>
      <c r="D1355">
        <v>1.12608030088059</v>
      </c>
      <c r="E1355">
        <v>0.88841971397527697</v>
      </c>
      <c r="F1355">
        <v>0.86041617037261497</v>
      </c>
      <c r="G1355">
        <v>0.49781211166836897</v>
      </c>
      <c r="H1355">
        <v>0.16286588216047601</v>
      </c>
      <c r="I1355">
        <v>9.3120294181479102E-2</v>
      </c>
      <c r="J1355">
        <v>9.8026852224770103E-2</v>
      </c>
      <c r="K1355">
        <v>8.6867545912747604E-2</v>
      </c>
      <c r="L1355">
        <v>1445.8382363599501</v>
      </c>
      <c r="M1355">
        <v>25.598356881641699</v>
      </c>
      <c r="N1355">
        <v>56.7968149969469</v>
      </c>
      <c r="O1355">
        <v>56.140359253991903</v>
      </c>
      <c r="P1355">
        <v>-0.106447318207907</v>
      </c>
      <c r="Q1355">
        <v>6.6202814826805498E-2</v>
      </c>
      <c r="R1355">
        <v>0.98566843351703004</v>
      </c>
      <c r="S1355" t="s">
        <v>8161</v>
      </c>
      <c r="T1355" t="s">
        <v>13610</v>
      </c>
      <c r="U1355" t="s">
        <v>13610</v>
      </c>
      <c r="V1355" t="s">
        <v>13610</v>
      </c>
      <c r="W1355" t="s">
        <v>14930</v>
      </c>
      <c r="X1355">
        <v>12</v>
      </c>
      <c r="Y1355" t="s">
        <v>21635</v>
      </c>
      <c r="Z1355" t="s">
        <v>28210</v>
      </c>
      <c r="AA1355">
        <v>0.58740897274344273</v>
      </c>
      <c r="AB1355" t="str">
        <f>HYPERLINK("Melting_Curves/meltCurve_O43813_LANCL1.pdf", "Melting_Curves/meltCurve_O43813_LANCL1.pdf")</f>
        <v>Melting_Curves/meltCurve_O43813_LANCL1.pdf</v>
      </c>
    </row>
    <row r="1356" spans="1:28" x14ac:dyDescent="0.25">
      <c r="A1356" t="s">
        <v>1360</v>
      </c>
      <c r="B1356">
        <v>0.995954080203443</v>
      </c>
      <c r="C1356">
        <v>0.94382841054233302</v>
      </c>
      <c r="D1356">
        <v>0.851485925562529</v>
      </c>
      <c r="E1356">
        <v>0.79708522074468302</v>
      </c>
      <c r="F1356">
        <v>0.59644908849215605</v>
      </c>
      <c r="G1356">
        <v>0.29773135810595602</v>
      </c>
      <c r="H1356">
        <v>0.21229516738856699</v>
      </c>
      <c r="I1356">
        <v>0.23034797824932801</v>
      </c>
      <c r="J1356">
        <v>0.276937775930991</v>
      </c>
      <c r="K1356">
        <v>0.26359326539816003</v>
      </c>
      <c r="L1356">
        <v>1023.63192452364</v>
      </c>
      <c r="M1356">
        <v>19.6040354233428</v>
      </c>
      <c r="N1356">
        <v>53.8286276981759</v>
      </c>
      <c r="O1356">
        <v>51.681150060651497</v>
      </c>
      <c r="P1356">
        <v>-7.37669752692557E-2</v>
      </c>
      <c r="Q1356">
        <v>0.22215445638496101</v>
      </c>
      <c r="R1356">
        <v>0.97589604518305495</v>
      </c>
      <c r="S1356" t="s">
        <v>8162</v>
      </c>
      <c r="T1356" t="s">
        <v>13610</v>
      </c>
      <c r="U1356" t="s">
        <v>13610</v>
      </c>
      <c r="V1356" t="s">
        <v>13610</v>
      </c>
      <c r="W1356" t="s">
        <v>14931</v>
      </c>
      <c r="X1356">
        <v>26</v>
      </c>
      <c r="Y1356" t="s">
        <v>21636</v>
      </c>
      <c r="Z1356" t="s">
        <v>28211</v>
      </c>
      <c r="AA1356">
        <v>0.55001731685628841</v>
      </c>
      <c r="AB1356" t="str">
        <f>HYPERLINK("Melting_Curves/meltCurve_O43815_STRN.pdf", "Melting_Curves/meltCurve_O43815_STRN.pdf")</f>
        <v>Melting_Curves/meltCurve_O43815_STRN.pdf</v>
      </c>
    </row>
    <row r="1357" spans="1:28" x14ac:dyDescent="0.25">
      <c r="A1357" t="s">
        <v>1361</v>
      </c>
      <c r="B1357">
        <v>0.995954080203443</v>
      </c>
      <c r="C1357">
        <v>0.91557741334038201</v>
      </c>
      <c r="D1357">
        <v>0.87233712070070701</v>
      </c>
      <c r="E1357">
        <v>0.851173598303958</v>
      </c>
      <c r="F1357">
        <v>0.69492021199241205</v>
      </c>
      <c r="G1357">
        <v>0.471903107432534</v>
      </c>
      <c r="H1357">
        <v>0.27556228510892</v>
      </c>
      <c r="I1357">
        <v>0.19540058404951799</v>
      </c>
      <c r="J1357">
        <v>0.21414225687593</v>
      </c>
      <c r="K1357">
        <v>0.189258024194351</v>
      </c>
      <c r="L1357">
        <v>729.90814784799602</v>
      </c>
      <c r="M1357">
        <v>13.237325615171599</v>
      </c>
      <c r="N1357">
        <v>56.232815378150597</v>
      </c>
      <c r="O1357">
        <v>53.9273208281598</v>
      </c>
      <c r="P1357">
        <v>-5.4416572777007802E-2</v>
      </c>
      <c r="Q1357">
        <v>0.113398892930721</v>
      </c>
      <c r="R1357">
        <v>0.98566513086205199</v>
      </c>
      <c r="S1357" t="s">
        <v>8163</v>
      </c>
      <c r="T1357" t="s">
        <v>13610</v>
      </c>
      <c r="U1357" t="s">
        <v>13610</v>
      </c>
      <c r="V1357" t="s">
        <v>13610</v>
      </c>
      <c r="W1357" t="s">
        <v>14932</v>
      </c>
      <c r="X1357">
        <v>13</v>
      </c>
      <c r="Y1357" t="s">
        <v>21637</v>
      </c>
      <c r="Z1357" t="s">
        <v>28212</v>
      </c>
      <c r="AA1357">
        <v>0.5798487722505925</v>
      </c>
      <c r="AB1357" t="str">
        <f>HYPERLINK("Melting_Curves/meltCurve_O43818_RRP9.pdf", "Melting_Curves/meltCurve_O43818_RRP9.pdf")</f>
        <v>Melting_Curves/meltCurve_O43818_RRP9.pdf</v>
      </c>
    </row>
    <row r="1358" spans="1:28" x14ac:dyDescent="0.25">
      <c r="A1358" t="s">
        <v>1362</v>
      </c>
      <c r="B1358">
        <v>0.995954080203443</v>
      </c>
      <c r="C1358">
        <v>0.86912828226132799</v>
      </c>
      <c r="D1358">
        <v>0.55602881538569404</v>
      </c>
      <c r="E1358">
        <v>0.411982963268339</v>
      </c>
      <c r="F1358">
        <v>0.309743359914121</v>
      </c>
      <c r="G1358">
        <v>0.22347022892731799</v>
      </c>
      <c r="H1358">
        <v>0.198699904706192</v>
      </c>
      <c r="I1358">
        <v>0.21869400510671</v>
      </c>
      <c r="J1358">
        <v>0.29773789423903801</v>
      </c>
      <c r="K1358">
        <v>0.259025878986059</v>
      </c>
      <c r="L1358">
        <v>928.99762002422995</v>
      </c>
      <c r="M1358">
        <v>20.2853679486259</v>
      </c>
      <c r="N1358">
        <v>47.358713150249102</v>
      </c>
      <c r="O1358">
        <v>45.358357313320198</v>
      </c>
      <c r="P1358">
        <v>-8.4535475524570802E-2</v>
      </c>
      <c r="Q1358">
        <v>0.24393353163461901</v>
      </c>
      <c r="R1358">
        <v>0.98007438195096297</v>
      </c>
      <c r="S1358" t="s">
        <v>8164</v>
      </c>
      <c r="T1358" t="s">
        <v>13610</v>
      </c>
      <c r="U1358" t="s">
        <v>13610</v>
      </c>
      <c r="V1358" t="s">
        <v>13610</v>
      </c>
      <c r="W1358" t="s">
        <v>14933</v>
      </c>
      <c r="X1358">
        <v>7</v>
      </c>
      <c r="Y1358" t="s">
        <v>21638</v>
      </c>
      <c r="Z1358" t="s">
        <v>28213</v>
      </c>
      <c r="AA1358">
        <v>0.4015016939129526</v>
      </c>
      <c r="AB1358" t="str">
        <f>HYPERLINK("Melting_Curves/meltCurve_O43822_2_C21orf2.pdf", "Melting_Curves/meltCurve_O43822_2_C21orf2.pdf")</f>
        <v>Melting_Curves/meltCurve_O43822_2_C21orf2.pdf</v>
      </c>
    </row>
    <row r="1359" spans="1:28" x14ac:dyDescent="0.25">
      <c r="A1359" t="s">
        <v>1363</v>
      </c>
      <c r="B1359">
        <v>0.995954080203443</v>
      </c>
      <c r="C1359">
        <v>0.84251884052924297</v>
      </c>
      <c r="D1359">
        <v>0.69781114148023704</v>
      </c>
      <c r="E1359">
        <v>0.57283844984613896</v>
      </c>
      <c r="F1359">
        <v>0.37021946330671202</v>
      </c>
      <c r="G1359">
        <v>0.23408599411859499</v>
      </c>
      <c r="H1359">
        <v>0.17194582121256899</v>
      </c>
      <c r="I1359">
        <v>0.17186929885062199</v>
      </c>
      <c r="J1359">
        <v>0.19433981662680899</v>
      </c>
      <c r="K1359">
        <v>0.19526253118225601</v>
      </c>
      <c r="L1359">
        <v>621.79667306114004</v>
      </c>
      <c r="M1359">
        <v>12.732854067467001</v>
      </c>
      <c r="N1359">
        <v>50.190751287764698</v>
      </c>
      <c r="O1359">
        <v>47.676502196550203</v>
      </c>
      <c r="P1359">
        <v>-5.7056546916876498E-2</v>
      </c>
      <c r="Q1359">
        <v>0.14560060770161901</v>
      </c>
      <c r="R1359">
        <v>0.98601646024895495</v>
      </c>
      <c r="S1359" t="s">
        <v>8165</v>
      </c>
      <c r="T1359" t="s">
        <v>13610</v>
      </c>
      <c r="U1359" t="s">
        <v>13610</v>
      </c>
      <c r="V1359" t="s">
        <v>13610</v>
      </c>
      <c r="W1359" t="s">
        <v>14934</v>
      </c>
      <c r="X1359">
        <v>13</v>
      </c>
      <c r="Y1359" t="s">
        <v>21639</v>
      </c>
      <c r="Z1359" t="s">
        <v>28214</v>
      </c>
      <c r="AA1359">
        <v>0.42582581257903412</v>
      </c>
      <c r="AB1359" t="str">
        <f>HYPERLINK("Melting_Curves/meltCurve_O43823_AKAP8.pdf", "Melting_Curves/meltCurve_O43823_AKAP8.pdf")</f>
        <v>Melting_Curves/meltCurve_O43823_AKAP8.pdf</v>
      </c>
    </row>
    <row r="1360" spans="1:28" x14ac:dyDescent="0.25">
      <c r="A1360" t="s">
        <v>1364</v>
      </c>
      <c r="B1360">
        <v>0.995954080203443</v>
      </c>
      <c r="C1360">
        <v>0.93884196243289897</v>
      </c>
      <c r="D1360">
        <v>0.86915847830954995</v>
      </c>
      <c r="E1360">
        <v>0.809599071110079</v>
      </c>
      <c r="F1360">
        <v>0.732329693578194</v>
      </c>
      <c r="G1360">
        <v>0.45741240501422098</v>
      </c>
      <c r="H1360">
        <v>0.34735392835075402</v>
      </c>
      <c r="I1360">
        <v>0.36752332651535302</v>
      </c>
      <c r="J1360">
        <v>0.37333030863924099</v>
      </c>
      <c r="K1360">
        <v>0.31743776128613099</v>
      </c>
      <c r="L1360">
        <v>723.32624795203105</v>
      </c>
      <c r="M1360">
        <v>13.545832066029901</v>
      </c>
      <c r="N1360">
        <v>57.050005473523498</v>
      </c>
      <c r="O1360">
        <v>52.274970383118003</v>
      </c>
      <c r="P1360">
        <v>-4.6008411507824302E-2</v>
      </c>
      <c r="Q1360">
        <v>0.28989923897680597</v>
      </c>
      <c r="R1360">
        <v>0.97574294716348897</v>
      </c>
      <c r="S1360" t="s">
        <v>8166</v>
      </c>
      <c r="T1360" t="s">
        <v>13610</v>
      </c>
      <c r="U1360" t="s">
        <v>13610</v>
      </c>
      <c r="V1360" t="s">
        <v>13610</v>
      </c>
      <c r="W1360" t="s">
        <v>14935</v>
      </c>
      <c r="X1360">
        <v>10</v>
      </c>
      <c r="Y1360" t="s">
        <v>21640</v>
      </c>
      <c r="Z1360" t="s">
        <v>28215</v>
      </c>
      <c r="AA1360">
        <v>0.62412603386872678</v>
      </c>
      <c r="AB1360" t="str">
        <f>HYPERLINK("Melting_Curves/meltCurve_O43829_ZBTB14.pdf", "Melting_Curves/meltCurve_O43829_ZBTB14.pdf")</f>
        <v>Melting_Curves/meltCurve_O43829_ZBTB14.pdf</v>
      </c>
    </row>
    <row r="1361" spans="1:28" x14ac:dyDescent="0.25">
      <c r="A1361" t="s">
        <v>1365</v>
      </c>
      <c r="B1361">
        <v>0.995954080203443</v>
      </c>
      <c r="C1361">
        <v>0.58337213896405204</v>
      </c>
      <c r="D1361">
        <v>0.27321702891390198</v>
      </c>
      <c r="E1361">
        <v>0.23465422277224199</v>
      </c>
      <c r="F1361">
        <v>0.11542523645141101</v>
      </c>
      <c r="G1361">
        <v>6.1561575802439497E-2</v>
      </c>
      <c r="H1361">
        <v>3.4812902261264503E-2</v>
      </c>
      <c r="I1361">
        <v>2.9678487257496899E-2</v>
      </c>
      <c r="J1361">
        <v>2.9601961228792599E-2</v>
      </c>
      <c r="K1361">
        <v>2.1559811976045999E-2</v>
      </c>
      <c r="L1361">
        <v>957.05035850347701</v>
      </c>
      <c r="M1361">
        <v>21.852300731527698</v>
      </c>
      <c r="N1361">
        <v>44.041037373067098</v>
      </c>
      <c r="O1361">
        <v>43.434505315054103</v>
      </c>
      <c r="P1361">
        <v>-0.11858923670230299</v>
      </c>
      <c r="Q1361">
        <v>5.7170961445256602E-2</v>
      </c>
      <c r="R1361">
        <v>0.96434211744367104</v>
      </c>
      <c r="S1361" t="s">
        <v>8167</v>
      </c>
      <c r="T1361" t="s">
        <v>13610</v>
      </c>
      <c r="U1361" t="s">
        <v>13610</v>
      </c>
      <c r="V1361" t="s">
        <v>13610</v>
      </c>
      <c r="W1361" t="s">
        <v>14936</v>
      </c>
      <c r="X1361">
        <v>8</v>
      </c>
      <c r="Y1361" t="s">
        <v>21641</v>
      </c>
      <c r="Z1361" t="s">
        <v>28216</v>
      </c>
      <c r="AA1361">
        <v>0.19194781680312881</v>
      </c>
      <c r="AB1361" t="str">
        <f>HYPERLINK("Melting_Curves/meltCurve_O43837_IDH3B.pdf", "Melting_Curves/meltCurve_O43837_IDH3B.pdf")</f>
        <v>Melting_Curves/meltCurve_O43837_IDH3B.pdf</v>
      </c>
    </row>
    <row r="1362" spans="1:28" x14ac:dyDescent="0.25">
      <c r="A1362" t="s">
        <v>1366</v>
      </c>
      <c r="B1362">
        <v>0.995954080203443</v>
      </c>
      <c r="C1362">
        <v>0.97312185914434302</v>
      </c>
      <c r="D1362">
        <v>0.87856784968542001</v>
      </c>
      <c r="E1362">
        <v>0.53952059199642799</v>
      </c>
      <c r="F1362">
        <v>0.25403070249319798</v>
      </c>
      <c r="G1362">
        <v>0.12154560384287499</v>
      </c>
      <c r="H1362">
        <v>8.0506074005434497E-2</v>
      </c>
      <c r="I1362">
        <v>7.1540153771658094E-2</v>
      </c>
      <c r="J1362">
        <v>8.1266604081511706E-2</v>
      </c>
      <c r="K1362">
        <v>7.43711859508671E-2</v>
      </c>
      <c r="L1362">
        <v>1152.44893590436</v>
      </c>
      <c r="M1362">
        <v>23.077206915673301</v>
      </c>
      <c r="N1362">
        <v>50.268890458072597</v>
      </c>
      <c r="O1362">
        <v>49.568396283637398</v>
      </c>
      <c r="P1362">
        <v>-0.108210647805474</v>
      </c>
      <c r="Q1362">
        <v>7.0298652521006394E-2</v>
      </c>
      <c r="R1362">
        <v>0.99969130036308596</v>
      </c>
      <c r="S1362" t="s">
        <v>8168</v>
      </c>
      <c r="T1362" t="s">
        <v>13610</v>
      </c>
      <c r="U1362" t="s">
        <v>13610</v>
      </c>
      <c r="V1362" t="s">
        <v>13610</v>
      </c>
      <c r="W1362" t="s">
        <v>14937</v>
      </c>
      <c r="X1362">
        <v>39</v>
      </c>
      <c r="Y1362" t="s">
        <v>21642</v>
      </c>
      <c r="Z1362" t="s">
        <v>28217</v>
      </c>
      <c r="AA1362">
        <v>0.38805519427024832</v>
      </c>
      <c r="AB1362" t="str">
        <f>HYPERLINK("Melting_Curves/meltCurve_O43847_NRD1.pdf", "Melting_Curves/meltCurve_O43847_NRD1.pdf")</f>
        <v>Melting_Curves/meltCurve_O43847_NRD1.pdf</v>
      </c>
    </row>
    <row r="1363" spans="1:28" x14ac:dyDescent="0.25">
      <c r="A1363" t="s">
        <v>1367</v>
      </c>
      <c r="B1363">
        <v>0.995954080203443</v>
      </c>
      <c r="C1363">
        <v>1.0066839185983401</v>
      </c>
      <c r="D1363">
        <v>0.92880914559055505</v>
      </c>
      <c r="E1363">
        <v>0.86279588612576796</v>
      </c>
      <c r="F1363">
        <v>0.74679395502263601</v>
      </c>
      <c r="G1363">
        <v>0.59379324854928694</v>
      </c>
      <c r="H1363">
        <v>0.55475244661980205</v>
      </c>
      <c r="I1363">
        <v>0.68694608791428702</v>
      </c>
      <c r="J1363">
        <v>0.75364035844311805</v>
      </c>
      <c r="K1363">
        <v>0.841844931914842</v>
      </c>
      <c r="L1363">
        <v>1573.6048932865299</v>
      </c>
      <c r="M1363">
        <v>31.4302597876401</v>
      </c>
      <c r="O1363">
        <v>49.865185865342703</v>
      </c>
      <c r="P1363">
        <v>-4.9158084314628203E-2</v>
      </c>
      <c r="Q1363">
        <v>0.68803772671059604</v>
      </c>
      <c r="R1363">
        <v>0.734267601371978</v>
      </c>
      <c r="S1363" t="s">
        <v>8169</v>
      </c>
      <c r="T1363" t="s">
        <v>13610</v>
      </c>
      <c r="U1363" t="s">
        <v>13610</v>
      </c>
      <c r="V1363" t="s">
        <v>13610</v>
      </c>
      <c r="W1363" t="s">
        <v>14938</v>
      </c>
      <c r="X1363">
        <v>24</v>
      </c>
      <c r="Y1363" t="s">
        <v>21643</v>
      </c>
      <c r="Z1363" t="s">
        <v>28218</v>
      </c>
      <c r="AA1363">
        <v>0.79447523746441751</v>
      </c>
      <c r="AB1363" t="str">
        <f>HYPERLINK("Melting_Curves/meltCurve_O43852_CALU.pdf", "Melting_Curves/meltCurve_O43852_CALU.pdf")</f>
        <v>Melting_Curves/meltCurve_O43852_CALU.pdf</v>
      </c>
    </row>
    <row r="1364" spans="1:28" x14ac:dyDescent="0.25">
      <c r="A1364" t="s">
        <v>1368</v>
      </c>
      <c r="B1364">
        <v>0.995954080203443</v>
      </c>
      <c r="C1364">
        <v>1.0395413459135501</v>
      </c>
      <c r="D1364">
        <v>1.08713422652995</v>
      </c>
      <c r="E1364">
        <v>0.94040357040168399</v>
      </c>
      <c r="F1364">
        <v>0.88582923823869697</v>
      </c>
      <c r="G1364">
        <v>0.79946332161479905</v>
      </c>
      <c r="H1364">
        <v>0.69633709325944004</v>
      </c>
      <c r="I1364">
        <v>0.85012850103849302</v>
      </c>
      <c r="J1364">
        <v>0.64407751396342205</v>
      </c>
      <c r="K1364">
        <v>1.07811555717814</v>
      </c>
      <c r="L1364">
        <v>1966.2253330127</v>
      </c>
      <c r="M1364">
        <v>37.991923809718998</v>
      </c>
      <c r="O1364">
        <v>51.611007084802999</v>
      </c>
      <c r="P1364">
        <v>-3.4165054113242603E-2</v>
      </c>
      <c r="Q1364">
        <v>0.81435124265505998</v>
      </c>
      <c r="R1364">
        <v>0.42563128214892998</v>
      </c>
      <c r="S1364" t="s">
        <v>8170</v>
      </c>
      <c r="T1364" t="s">
        <v>13610</v>
      </c>
      <c r="U1364" t="s">
        <v>13610</v>
      </c>
      <c r="V1364" t="s">
        <v>13610</v>
      </c>
      <c r="W1364" t="s">
        <v>14939</v>
      </c>
      <c r="X1364">
        <v>21</v>
      </c>
      <c r="Y1364" t="s">
        <v>21643</v>
      </c>
      <c r="Z1364" t="s">
        <v>28219</v>
      </c>
      <c r="AA1364">
        <v>0.88782336712924248</v>
      </c>
      <c r="AB1364" t="str">
        <f>HYPERLINK("Melting_Curves/meltCurve_O43852_2_CALU.pdf", "Melting_Curves/meltCurve_O43852_2_CALU.pdf")</f>
        <v>Melting_Curves/meltCurve_O43852_2_CALU.pdf</v>
      </c>
    </row>
    <row r="1365" spans="1:28" x14ac:dyDescent="0.25">
      <c r="A1365" t="s">
        <v>1369</v>
      </c>
      <c r="B1365">
        <v>0.995954080203443</v>
      </c>
      <c r="C1365">
        <v>0.96058425839761796</v>
      </c>
      <c r="D1365">
        <v>0.85239960927228897</v>
      </c>
      <c r="E1365">
        <v>0.61256586168874605</v>
      </c>
      <c r="F1365">
        <v>0.23364751381537199</v>
      </c>
      <c r="G1365">
        <v>0.13713700644620799</v>
      </c>
      <c r="H1365">
        <v>9.0958301613695405E-2</v>
      </c>
      <c r="I1365">
        <v>7.3061561879039005E-2</v>
      </c>
      <c r="J1365">
        <v>7.0148279699401697E-2</v>
      </c>
      <c r="K1365">
        <v>6.2625813785950807E-2</v>
      </c>
      <c r="L1365">
        <v>1122.9120339584799</v>
      </c>
      <c r="M1365">
        <v>22.345993907978698</v>
      </c>
      <c r="N1365">
        <v>50.560765493397398</v>
      </c>
      <c r="O1365">
        <v>49.853910833908401</v>
      </c>
      <c r="P1365">
        <v>-0.104894262229208</v>
      </c>
      <c r="Q1365">
        <v>6.3943265697142607E-2</v>
      </c>
      <c r="R1365">
        <v>0.99427067382010703</v>
      </c>
      <c r="S1365" t="s">
        <v>8171</v>
      </c>
      <c r="T1365" t="s">
        <v>13610</v>
      </c>
      <c r="U1365" t="s">
        <v>13610</v>
      </c>
      <c r="V1365" t="s">
        <v>13610</v>
      </c>
      <c r="W1365" t="s">
        <v>14940</v>
      </c>
      <c r="X1365">
        <v>20</v>
      </c>
      <c r="Y1365" t="s">
        <v>21644</v>
      </c>
      <c r="Z1365" t="s">
        <v>28220</v>
      </c>
      <c r="AA1365">
        <v>0.39428263527236668</v>
      </c>
      <c r="AB1365" t="str">
        <f>HYPERLINK("Melting_Curves/meltCurve_O43865_AHCYL1.pdf", "Melting_Curves/meltCurve_O43865_AHCYL1.pdf")</f>
        <v>Melting_Curves/meltCurve_O43865_AHCYL1.pdf</v>
      </c>
    </row>
    <row r="1366" spans="1:28" x14ac:dyDescent="0.25">
      <c r="A1366" t="s">
        <v>1370</v>
      </c>
      <c r="B1366">
        <v>0.995954080203443</v>
      </c>
      <c r="C1366">
        <v>0.90615255239802195</v>
      </c>
      <c r="D1366">
        <v>0.85636004258451304</v>
      </c>
      <c r="E1366">
        <v>0.68646493191896896</v>
      </c>
      <c r="F1366">
        <v>0.62928287572547503</v>
      </c>
      <c r="G1366">
        <v>0.49423518161782798</v>
      </c>
      <c r="H1366">
        <v>0.43429351549838902</v>
      </c>
      <c r="I1366">
        <v>0.57321623371508301</v>
      </c>
      <c r="J1366">
        <v>0.61658497479811203</v>
      </c>
      <c r="K1366">
        <v>0.60910653693733996</v>
      </c>
      <c r="L1366">
        <v>890.73714543814697</v>
      </c>
      <c r="M1366">
        <v>18.727908112173498</v>
      </c>
      <c r="O1366">
        <v>47.029702374601499</v>
      </c>
      <c r="P1366">
        <v>-4.5232456538532202E-2</v>
      </c>
      <c r="Q1366">
        <v>0.54566665097904199</v>
      </c>
      <c r="R1366">
        <v>0.89649088544573896</v>
      </c>
      <c r="S1366" t="s">
        <v>8172</v>
      </c>
      <c r="T1366" t="s">
        <v>13610</v>
      </c>
      <c r="U1366" t="s">
        <v>13610</v>
      </c>
      <c r="V1366" t="s">
        <v>13610</v>
      </c>
      <c r="W1366" t="s">
        <v>14941</v>
      </c>
      <c r="X1366">
        <v>7</v>
      </c>
      <c r="Y1366" t="s">
        <v>21645</v>
      </c>
      <c r="Z1366" t="s">
        <v>28221</v>
      </c>
      <c r="AA1366">
        <v>0.66770638011742678</v>
      </c>
      <c r="AB1366" t="str">
        <f>HYPERLINK("Melting_Curves/meltCurve_O43896_KIF1C.pdf", "Melting_Curves/meltCurve_O43896_KIF1C.pdf")</f>
        <v>Melting_Curves/meltCurve_O43896_KIF1C.pdf</v>
      </c>
    </row>
    <row r="1367" spans="1:28" x14ac:dyDescent="0.25">
      <c r="A1367" t="s">
        <v>1371</v>
      </c>
      <c r="B1367">
        <v>0.995954080203443</v>
      </c>
      <c r="C1367">
        <v>0.46518262265330401</v>
      </c>
      <c r="D1367">
        <v>0.214344506335927</v>
      </c>
      <c r="E1367">
        <v>0.26042375321040601</v>
      </c>
      <c r="F1367">
        <v>0.12811620821163</v>
      </c>
      <c r="G1367">
        <v>6.1298585206440201E-2</v>
      </c>
      <c r="H1367">
        <v>3.7458961199442399E-2</v>
      </c>
      <c r="I1367">
        <v>2.5648217386603299E-2</v>
      </c>
      <c r="J1367">
        <v>2.55816597524102E-2</v>
      </c>
      <c r="K1367">
        <v>2.36290285276529E-2</v>
      </c>
      <c r="L1367">
        <v>1441.88146687474</v>
      </c>
      <c r="M1367">
        <v>33.735574911722502</v>
      </c>
      <c r="N1367">
        <v>42.973064536288703</v>
      </c>
      <c r="O1367">
        <v>42.591336657924202</v>
      </c>
      <c r="P1367">
        <v>-0.18150918192962201</v>
      </c>
      <c r="Q1367">
        <v>8.3378645596806397E-2</v>
      </c>
      <c r="R1367">
        <v>0.93476258571016901</v>
      </c>
      <c r="S1367" t="s">
        <v>8173</v>
      </c>
      <c r="T1367" t="s">
        <v>13610</v>
      </c>
      <c r="U1367" t="s">
        <v>13610</v>
      </c>
      <c r="V1367" t="s">
        <v>13610</v>
      </c>
      <c r="W1367" t="s">
        <v>14942</v>
      </c>
      <c r="X1367">
        <v>7</v>
      </c>
      <c r="Y1367" t="s">
        <v>21646</v>
      </c>
      <c r="Z1367" t="s">
        <v>28222</v>
      </c>
      <c r="AA1367">
        <v>0.17397545278844739</v>
      </c>
      <c r="AB1367" t="str">
        <f>HYPERLINK("Melting_Curves/meltCurve_O43913_ORC5.pdf", "Melting_Curves/meltCurve_O43913_ORC5.pdf")</f>
        <v>Melting_Curves/meltCurve_O43913_ORC5.pdf</v>
      </c>
    </row>
    <row r="1368" spans="1:28" x14ac:dyDescent="0.25">
      <c r="A1368" t="s">
        <v>1372</v>
      </c>
      <c r="B1368">
        <v>0.995954080203443</v>
      </c>
      <c r="C1368">
        <v>0.98742167906352596</v>
      </c>
      <c r="D1368">
        <v>0.87209786250508503</v>
      </c>
      <c r="E1368">
        <v>0.79902468725465603</v>
      </c>
      <c r="F1368">
        <v>0.53158353090293398</v>
      </c>
      <c r="G1368">
        <v>0.185321578187431</v>
      </c>
      <c r="H1368">
        <v>8.9957330788699399E-2</v>
      </c>
      <c r="I1368">
        <v>7.3671893692700496E-2</v>
      </c>
      <c r="J1368">
        <v>9.4875199128922602E-2</v>
      </c>
      <c r="K1368">
        <v>7.3140977233975099E-2</v>
      </c>
      <c r="L1368">
        <v>1145.4785467153599</v>
      </c>
      <c r="M1368">
        <v>21.701209117478601</v>
      </c>
      <c r="N1368">
        <v>53.091225507483301</v>
      </c>
      <c r="O1368">
        <v>52.342007665723699</v>
      </c>
      <c r="P1368">
        <v>-9.7538826389086397E-2</v>
      </c>
      <c r="Q1368">
        <v>5.8991133887419799E-2</v>
      </c>
      <c r="R1368">
        <v>0.99253228394705695</v>
      </c>
      <c r="S1368" t="s">
        <v>8174</v>
      </c>
      <c r="T1368" t="s">
        <v>13610</v>
      </c>
      <c r="U1368" t="s">
        <v>13610</v>
      </c>
      <c r="V1368" t="s">
        <v>13610</v>
      </c>
      <c r="W1368" t="s">
        <v>14943</v>
      </c>
      <c r="X1368">
        <v>4</v>
      </c>
      <c r="Y1368" t="s">
        <v>21647</v>
      </c>
      <c r="Z1368" t="s">
        <v>28223</v>
      </c>
      <c r="AA1368">
        <v>0.47121809444184232</v>
      </c>
      <c r="AB1368" t="str">
        <f>HYPERLINK("Melting_Curves/meltCurve_O43924_PDE6D.pdf", "Melting_Curves/meltCurve_O43924_PDE6D.pdf")</f>
        <v>Melting_Curves/meltCurve_O43924_PDE6D.pdf</v>
      </c>
    </row>
    <row r="1369" spans="1:28" x14ac:dyDescent="0.25">
      <c r="A1369" t="s">
        <v>1373</v>
      </c>
      <c r="B1369">
        <v>0.995954080203443</v>
      </c>
      <c r="C1369">
        <v>0.759348771004553</v>
      </c>
      <c r="D1369">
        <v>0.34431840899320298</v>
      </c>
      <c r="E1369">
        <v>0.213698834419702</v>
      </c>
      <c r="F1369">
        <v>0.12286779445552599</v>
      </c>
      <c r="G1369">
        <v>6.9789984273390004E-2</v>
      </c>
      <c r="H1369">
        <v>5.4124465558300298E-2</v>
      </c>
      <c r="I1369">
        <v>5.5517261910738497E-2</v>
      </c>
      <c r="J1369">
        <v>6.3568447072996206E-2</v>
      </c>
      <c r="K1369">
        <v>5.4749196690971898E-2</v>
      </c>
      <c r="L1369">
        <v>1076.12657583805</v>
      </c>
      <c r="M1369">
        <v>24.069992957438899</v>
      </c>
      <c r="N1369">
        <v>45.002307039515401</v>
      </c>
      <c r="O1369">
        <v>44.403061316904598</v>
      </c>
      <c r="P1369">
        <v>-0.125660109650333</v>
      </c>
      <c r="Q1369">
        <v>7.2769866605002495E-2</v>
      </c>
      <c r="R1369">
        <v>0.98874825517842402</v>
      </c>
      <c r="S1369" t="s">
        <v>8175</v>
      </c>
      <c r="T1369" t="s">
        <v>13610</v>
      </c>
      <c r="U1369" t="s">
        <v>13610</v>
      </c>
      <c r="V1369" t="s">
        <v>13610</v>
      </c>
      <c r="W1369" t="s">
        <v>14944</v>
      </c>
      <c r="X1369">
        <v>9</v>
      </c>
      <c r="Y1369" t="s">
        <v>21648</v>
      </c>
      <c r="Z1369" t="s">
        <v>28224</v>
      </c>
      <c r="AA1369">
        <v>0.22875571002754491</v>
      </c>
      <c r="AB1369" t="str">
        <f>HYPERLINK("Melting_Curves/meltCurve_O43929_ORC4.pdf", "Melting_Curves/meltCurve_O43929_ORC4.pdf")</f>
        <v>Melting_Curves/meltCurve_O43929_ORC4.pdf</v>
      </c>
    </row>
    <row r="1370" spans="1:28" x14ac:dyDescent="0.25">
      <c r="A1370" t="s">
        <v>1374</v>
      </c>
      <c r="B1370">
        <v>0.995954080203443</v>
      </c>
      <c r="C1370">
        <v>0.83559162694603695</v>
      </c>
      <c r="D1370">
        <v>0.44705125737960599</v>
      </c>
      <c r="E1370">
        <v>0.35734510976724299</v>
      </c>
      <c r="F1370">
        <v>0.218049579767777</v>
      </c>
      <c r="G1370">
        <v>0.14427620199291699</v>
      </c>
      <c r="H1370">
        <v>0.10020377618910201</v>
      </c>
      <c r="I1370">
        <v>9.9412290666701403E-2</v>
      </c>
      <c r="J1370">
        <v>8.5792015064190305E-2</v>
      </c>
      <c r="K1370">
        <v>8.2337211362377705E-2</v>
      </c>
      <c r="L1370">
        <v>762.07831294199195</v>
      </c>
      <c r="M1370">
        <v>16.553169354095001</v>
      </c>
      <c r="N1370">
        <v>46.647960858367497</v>
      </c>
      <c r="O1370">
        <v>45.382045803781999</v>
      </c>
      <c r="P1370">
        <v>-8.2322587499427294E-2</v>
      </c>
      <c r="Q1370">
        <v>9.7281979745077296E-2</v>
      </c>
      <c r="R1370">
        <v>0.97631304636263905</v>
      </c>
      <c r="S1370" t="s">
        <v>8176</v>
      </c>
      <c r="T1370" t="s">
        <v>13610</v>
      </c>
      <c r="U1370" t="s">
        <v>13610</v>
      </c>
      <c r="V1370" t="s">
        <v>13610</v>
      </c>
      <c r="W1370" t="s">
        <v>14945</v>
      </c>
      <c r="X1370">
        <v>3</v>
      </c>
      <c r="Y1370" t="s">
        <v>21649</v>
      </c>
      <c r="Z1370" t="s">
        <v>28225</v>
      </c>
      <c r="AA1370">
        <v>0.30024894656803502</v>
      </c>
      <c r="AB1370" t="str">
        <f>HYPERLINK("Melting_Curves/meltCurve_O43930_PRKY.pdf", "Melting_Curves/meltCurve_O43930_PRKY.pdf")</f>
        <v>Melting_Curves/meltCurve_O43930_PRKY.pdf</v>
      </c>
    </row>
    <row r="1371" spans="1:28" x14ac:dyDescent="0.25">
      <c r="A1371" t="s">
        <v>1375</v>
      </c>
      <c r="B1371">
        <v>0.995954080203443</v>
      </c>
      <c r="C1371">
        <v>0.90501173645509203</v>
      </c>
      <c r="D1371">
        <v>1.0303347516933199</v>
      </c>
      <c r="E1371">
        <v>0.80534025978511103</v>
      </c>
      <c r="F1371">
        <v>0.81502002734491996</v>
      </c>
      <c r="G1371">
        <v>0.77053926169466302</v>
      </c>
      <c r="H1371">
        <v>0.64052188598474602</v>
      </c>
      <c r="I1371">
        <v>0.59267638383252497</v>
      </c>
      <c r="J1371">
        <v>0.23460366196514201</v>
      </c>
      <c r="K1371">
        <v>0.21896491223027001</v>
      </c>
      <c r="L1371">
        <v>632.35173261037903</v>
      </c>
      <c r="M1371">
        <v>10.030880657925</v>
      </c>
      <c r="N1371">
        <v>63.040522130996699</v>
      </c>
      <c r="O1371">
        <v>60.688709208315899</v>
      </c>
      <c r="P1371">
        <v>-4.1340895614663899E-2</v>
      </c>
      <c r="Q1371">
        <v>0</v>
      </c>
      <c r="R1371">
        <v>0.90747559286494095</v>
      </c>
      <c r="S1371" t="s">
        <v>8177</v>
      </c>
      <c r="T1371" t="s">
        <v>13610</v>
      </c>
      <c r="U1371" t="s">
        <v>13610</v>
      </c>
      <c r="V1371" t="s">
        <v>13610</v>
      </c>
      <c r="W1371" t="s">
        <v>14946</v>
      </c>
      <c r="X1371">
        <v>4</v>
      </c>
      <c r="Y1371" t="s">
        <v>21650</v>
      </c>
      <c r="Z1371" t="s">
        <v>28226</v>
      </c>
      <c r="AA1371">
        <v>0.73657618928495272</v>
      </c>
      <c r="AB1371" t="str">
        <f>HYPERLINK("Melting_Curves/meltCurve_O43933_PEX1.pdf", "Melting_Curves/meltCurve_O43933_PEX1.pdf")</f>
        <v>Melting_Curves/meltCurve_O43933_PEX1.pdf</v>
      </c>
    </row>
    <row r="1372" spans="1:28" x14ac:dyDescent="0.25">
      <c r="A1372" t="s">
        <v>1376</v>
      </c>
      <c r="B1372">
        <v>0.995954080203443</v>
      </c>
      <c r="C1372">
        <v>0.789054026124272</v>
      </c>
      <c r="D1372">
        <v>0.64733352028190705</v>
      </c>
      <c r="E1372">
        <v>0.74117514761112901</v>
      </c>
      <c r="F1372">
        <v>0.29007278463741298</v>
      </c>
      <c r="G1372">
        <v>0.16294748535393599</v>
      </c>
      <c r="H1372">
        <v>0.11456270788377999</v>
      </c>
      <c r="I1372">
        <v>0.118635197415185</v>
      </c>
      <c r="J1372">
        <v>0.12927055746522501</v>
      </c>
      <c r="K1372">
        <v>0.138958992016354</v>
      </c>
      <c r="L1372">
        <v>565.43674094087999</v>
      </c>
      <c r="M1372">
        <v>11.3439664245942</v>
      </c>
      <c r="N1372">
        <v>50.336253227959901</v>
      </c>
      <c r="O1372">
        <v>48.371127006240798</v>
      </c>
      <c r="P1372">
        <v>-5.5572518459565602E-2</v>
      </c>
      <c r="Q1372">
        <v>5.2430170049453398E-2</v>
      </c>
      <c r="R1372">
        <v>0.92006260788574901</v>
      </c>
      <c r="S1372" t="s">
        <v>8178</v>
      </c>
      <c r="T1372" t="s">
        <v>13610</v>
      </c>
      <c r="U1372" t="s">
        <v>13610</v>
      </c>
      <c r="V1372" t="s">
        <v>13610</v>
      </c>
      <c r="W1372" t="s">
        <v>14947</v>
      </c>
      <c r="X1372">
        <v>18</v>
      </c>
      <c r="Y1372" t="s">
        <v>21651</v>
      </c>
      <c r="Z1372" t="s">
        <v>28227</v>
      </c>
      <c r="AA1372">
        <v>0.39949954514082281</v>
      </c>
      <c r="AB1372" t="str">
        <f>HYPERLINK("Melting_Curves/meltCurve_O60216_RAD21.pdf", "Melting_Curves/meltCurve_O60216_RAD21.pdf")</f>
        <v>Melting_Curves/meltCurve_O60216_RAD21.pdf</v>
      </c>
    </row>
    <row r="1373" spans="1:28" x14ac:dyDescent="0.25">
      <c r="A1373" t="s">
        <v>1377</v>
      </c>
      <c r="B1373">
        <v>0.995954080203443</v>
      </c>
      <c r="C1373">
        <v>1.0466734066337899</v>
      </c>
      <c r="D1373">
        <v>0.95448815387402297</v>
      </c>
      <c r="E1373">
        <v>0.92008973003519201</v>
      </c>
      <c r="F1373">
        <v>0.66310960209015601</v>
      </c>
      <c r="G1373">
        <v>0.46838279586120302</v>
      </c>
      <c r="H1373">
        <v>0.39408543644497601</v>
      </c>
      <c r="I1373">
        <v>0.391781540910009</v>
      </c>
      <c r="J1373">
        <v>0.53453808590403595</v>
      </c>
      <c r="K1373">
        <v>0.52013160945207704</v>
      </c>
      <c r="L1373">
        <v>2079.37541203506</v>
      </c>
      <c r="M1373">
        <v>39.771955541498301</v>
      </c>
      <c r="N1373">
        <v>55.757306073090199</v>
      </c>
      <c r="O1373">
        <v>52.150799177676298</v>
      </c>
      <c r="P1373">
        <v>-0.103323525237173</v>
      </c>
      <c r="Q1373">
        <v>0.45807110913294002</v>
      </c>
      <c r="R1373">
        <v>0.96364432686833201</v>
      </c>
      <c r="S1373" t="s">
        <v>8179</v>
      </c>
      <c r="T1373" t="s">
        <v>13610</v>
      </c>
      <c r="U1373" t="s">
        <v>13610</v>
      </c>
      <c r="V1373" t="s">
        <v>13610</v>
      </c>
      <c r="W1373" t="s">
        <v>14948</v>
      </c>
      <c r="X1373">
        <v>5</v>
      </c>
      <c r="Y1373" t="s">
        <v>21652</v>
      </c>
      <c r="Z1373" t="s">
        <v>28228</v>
      </c>
      <c r="AA1373">
        <v>0.68192489158364256</v>
      </c>
      <c r="AB1373" t="str">
        <f>HYPERLINK("Melting_Curves/meltCurve_O60220_TIMM8A.pdf", "Melting_Curves/meltCurve_O60220_TIMM8A.pdf")</f>
        <v>Melting_Curves/meltCurve_O60220_TIMM8A.pdf</v>
      </c>
    </row>
    <row r="1374" spans="1:28" x14ac:dyDescent="0.25">
      <c r="A1374" t="s">
        <v>1378</v>
      </c>
      <c r="B1374">
        <v>0.995954080203443</v>
      </c>
      <c r="C1374">
        <v>0.99526695160464096</v>
      </c>
      <c r="D1374">
        <v>0.94636525563947504</v>
      </c>
      <c r="E1374">
        <v>0.77448996686472704</v>
      </c>
      <c r="F1374">
        <v>0.50438064531417104</v>
      </c>
      <c r="G1374">
        <v>0.32414131898638698</v>
      </c>
      <c r="H1374">
        <v>0.26591627362348802</v>
      </c>
      <c r="I1374">
        <v>0.28288656441780602</v>
      </c>
      <c r="J1374">
        <v>0.36575068863263499</v>
      </c>
      <c r="K1374">
        <v>0.32279387810047999</v>
      </c>
      <c r="L1374">
        <v>1477.91557777106</v>
      </c>
      <c r="M1374">
        <v>28.845763194553101</v>
      </c>
      <c r="N1374">
        <v>52.958942725725301</v>
      </c>
      <c r="O1374">
        <v>50.990757128266701</v>
      </c>
      <c r="P1374">
        <v>-9.8365668341257997E-2</v>
      </c>
      <c r="Q1374">
        <v>0.30447995402474898</v>
      </c>
      <c r="R1374">
        <v>0.99125718705832799</v>
      </c>
      <c r="S1374" t="s">
        <v>8180</v>
      </c>
      <c r="T1374" t="s">
        <v>13610</v>
      </c>
      <c r="U1374" t="s">
        <v>13610</v>
      </c>
      <c r="V1374" t="s">
        <v>13610</v>
      </c>
      <c r="W1374" t="s">
        <v>14949</v>
      </c>
      <c r="X1374">
        <v>38</v>
      </c>
      <c r="Y1374" t="s">
        <v>21653</v>
      </c>
      <c r="Z1374" t="s">
        <v>28229</v>
      </c>
      <c r="AA1374">
        <v>0.56970192060873892</v>
      </c>
      <c r="AB1374" t="str">
        <f>HYPERLINK("Melting_Curves/meltCurve_O60231_DHX16.pdf", "Melting_Curves/meltCurve_O60231_DHX16.pdf")</f>
        <v>Melting_Curves/meltCurve_O60231_DHX16.pdf</v>
      </c>
    </row>
    <row r="1375" spans="1:28" x14ac:dyDescent="0.25">
      <c r="A1375" t="s">
        <v>1379</v>
      </c>
      <c r="B1375">
        <v>0.995954080203443</v>
      </c>
      <c r="C1375">
        <v>1.03551627819975</v>
      </c>
      <c r="D1375">
        <v>1.00609071005835</v>
      </c>
      <c r="E1375">
        <v>0.85463975384931601</v>
      </c>
      <c r="F1375">
        <v>0.75876572665628705</v>
      </c>
      <c r="G1375">
        <v>0.46491223486851402</v>
      </c>
      <c r="H1375">
        <v>0.27805393057190803</v>
      </c>
      <c r="I1375">
        <v>0.22838774061898601</v>
      </c>
      <c r="J1375">
        <v>0.24636728432358701</v>
      </c>
      <c r="K1375">
        <v>0.20888208585468099</v>
      </c>
      <c r="L1375">
        <v>1082.14096011476</v>
      </c>
      <c r="M1375">
        <v>19.710558244254599</v>
      </c>
      <c r="N1375">
        <v>56.345393333649</v>
      </c>
      <c r="O1375">
        <v>54.345842469529899</v>
      </c>
      <c r="P1375">
        <v>-7.2697126308167201E-2</v>
      </c>
      <c r="Q1375">
        <v>0.19826718791586201</v>
      </c>
      <c r="R1375">
        <v>0.99488557173991798</v>
      </c>
      <c r="S1375" t="s">
        <v>8181</v>
      </c>
      <c r="T1375" t="s">
        <v>13610</v>
      </c>
      <c r="U1375" t="s">
        <v>13610</v>
      </c>
      <c r="V1375" t="s">
        <v>13610</v>
      </c>
      <c r="W1375" t="s">
        <v>14950</v>
      </c>
      <c r="X1375">
        <v>6</v>
      </c>
      <c r="Y1375" t="s">
        <v>21654</v>
      </c>
      <c r="Z1375" t="s">
        <v>28230</v>
      </c>
      <c r="AA1375">
        <v>0.60744167983885622</v>
      </c>
      <c r="AB1375" t="str">
        <f>HYPERLINK("Melting_Curves/meltCurve_O60234_GMFG.pdf", "Melting_Curves/meltCurve_O60234_GMFG.pdf")</f>
        <v>Melting_Curves/meltCurve_O60234_GMFG.pdf</v>
      </c>
    </row>
    <row r="1376" spans="1:28" x14ac:dyDescent="0.25">
      <c r="A1376" t="s">
        <v>1380</v>
      </c>
      <c r="B1376">
        <v>0.995954080203443</v>
      </c>
      <c r="C1376">
        <v>0.63439622871097101</v>
      </c>
      <c r="D1376">
        <v>0.43806743429393702</v>
      </c>
      <c r="E1376">
        <v>0.58818430197405902</v>
      </c>
      <c r="F1376">
        <v>0.23053830008269999</v>
      </c>
      <c r="G1376">
        <v>0.135080104717056</v>
      </c>
      <c r="H1376">
        <v>8.7260579939758803E-2</v>
      </c>
      <c r="I1376">
        <v>7.6872844474067004E-2</v>
      </c>
      <c r="J1376">
        <v>6.7417292035603996E-2</v>
      </c>
      <c r="K1376">
        <v>6.3672347068618004E-2</v>
      </c>
      <c r="L1376">
        <v>443.45048092587899</v>
      </c>
      <c r="M1376">
        <v>9.3472718744326801</v>
      </c>
      <c r="N1376">
        <v>47.441702339897603</v>
      </c>
      <c r="O1376">
        <v>45.4221772497865</v>
      </c>
      <c r="P1376">
        <v>-5.14790218865065E-2</v>
      </c>
      <c r="Q1376">
        <v>0</v>
      </c>
      <c r="R1376">
        <v>0.89777874401755497</v>
      </c>
      <c r="S1376" t="s">
        <v>8182</v>
      </c>
      <c r="T1376" t="s">
        <v>13610</v>
      </c>
      <c r="U1376" t="s">
        <v>13610</v>
      </c>
      <c r="V1376" t="s">
        <v>13610</v>
      </c>
      <c r="W1376" t="s">
        <v>14951</v>
      </c>
      <c r="X1376">
        <v>7</v>
      </c>
      <c r="Y1376" t="s">
        <v>21655</v>
      </c>
      <c r="Z1376" t="s">
        <v>28231</v>
      </c>
      <c r="AA1376">
        <v>0.30954014150953019</v>
      </c>
      <c r="AB1376" t="str">
        <f>HYPERLINK("Melting_Curves/meltCurve_O60244_MED14.pdf", "Melting_Curves/meltCurve_O60244_MED14.pdf")</f>
        <v>Melting_Curves/meltCurve_O60244_MED14.pdf</v>
      </c>
    </row>
    <row r="1377" spans="1:28" x14ac:dyDescent="0.25">
      <c r="A1377" t="s">
        <v>1381</v>
      </c>
      <c r="B1377">
        <v>0.995954080203443</v>
      </c>
      <c r="C1377">
        <v>0.77250995939663003</v>
      </c>
      <c r="D1377">
        <v>0.66842860977400098</v>
      </c>
      <c r="E1377">
        <v>0.92977489994814</v>
      </c>
      <c r="F1377">
        <v>0.82841510643577998</v>
      </c>
      <c r="G1377">
        <v>0.75956558201033697</v>
      </c>
      <c r="H1377">
        <v>0.37710427364459898</v>
      </c>
      <c r="I1377">
        <v>0.21207978182224499</v>
      </c>
      <c r="J1377">
        <v>0.16643113378378699</v>
      </c>
      <c r="K1377">
        <v>0.123536926911624</v>
      </c>
      <c r="L1377">
        <v>805.30457448681</v>
      </c>
      <c r="M1377">
        <v>13.5644152654896</v>
      </c>
      <c r="N1377">
        <v>59.368912023388503</v>
      </c>
      <c r="O1377">
        <v>58.123133849174003</v>
      </c>
      <c r="P1377">
        <v>-5.8352179157884702E-2</v>
      </c>
      <c r="Q1377">
        <v>0</v>
      </c>
      <c r="R1377">
        <v>0.831351966498591</v>
      </c>
      <c r="S1377" t="s">
        <v>8183</v>
      </c>
      <c r="T1377" t="s">
        <v>13610</v>
      </c>
      <c r="U1377" t="s">
        <v>13610</v>
      </c>
      <c r="V1377" t="s">
        <v>13610</v>
      </c>
      <c r="W1377" t="s">
        <v>14952</v>
      </c>
      <c r="X1377">
        <v>12</v>
      </c>
      <c r="Y1377" t="s">
        <v>21656</v>
      </c>
      <c r="Z1377" t="s">
        <v>28232</v>
      </c>
      <c r="AA1377">
        <v>0.65378642957822064</v>
      </c>
      <c r="AB1377" t="str">
        <f>HYPERLINK("Melting_Curves/meltCurve_O60256_PRPSAP2.pdf", "Melting_Curves/meltCurve_O60256_PRPSAP2.pdf")</f>
        <v>Melting_Curves/meltCurve_O60256_PRPSAP2.pdf</v>
      </c>
    </row>
    <row r="1378" spans="1:28" x14ac:dyDescent="0.25">
      <c r="A1378" t="s">
        <v>1382</v>
      </c>
      <c r="B1378">
        <v>0.995954080203443</v>
      </c>
      <c r="C1378">
        <v>0.87301843282833502</v>
      </c>
      <c r="D1378">
        <v>0.612403636607742</v>
      </c>
      <c r="E1378">
        <v>0.31938273380669302</v>
      </c>
      <c r="F1378">
        <v>0.197222032929455</v>
      </c>
      <c r="G1378">
        <v>0.12975528674315501</v>
      </c>
      <c r="H1378">
        <v>0.113134803768348</v>
      </c>
      <c r="I1378">
        <v>0.12706320780157099</v>
      </c>
      <c r="J1378">
        <v>0.150018211658696</v>
      </c>
      <c r="K1378">
        <v>0.14250538499350601</v>
      </c>
      <c r="L1378">
        <v>954.25263933718304</v>
      </c>
      <c r="M1378">
        <v>20.467442637971502</v>
      </c>
      <c r="N1378">
        <v>47.305579219100999</v>
      </c>
      <c r="O1378">
        <v>46.184734265259799</v>
      </c>
      <c r="P1378">
        <v>-9.6627974100738798E-2</v>
      </c>
      <c r="Q1378">
        <v>0.12786275822847201</v>
      </c>
      <c r="R1378">
        <v>0.99759994827641396</v>
      </c>
      <c r="S1378" t="s">
        <v>8184</v>
      </c>
      <c r="T1378" t="s">
        <v>13610</v>
      </c>
      <c r="U1378" t="s">
        <v>13610</v>
      </c>
      <c r="V1378" t="s">
        <v>13610</v>
      </c>
      <c r="W1378" t="s">
        <v>14953</v>
      </c>
      <c r="X1378">
        <v>37</v>
      </c>
      <c r="Y1378" t="s">
        <v>21657</v>
      </c>
      <c r="Z1378" t="s">
        <v>28233</v>
      </c>
      <c r="AA1378">
        <v>0.33273059713807301</v>
      </c>
      <c r="AB1378" t="str">
        <f>HYPERLINK("Melting_Curves/meltCurve_O60264_SMARCA5.pdf", "Melting_Curves/meltCurve_O60264_SMARCA5.pdf")</f>
        <v>Melting_Curves/meltCurve_O60264_SMARCA5.pdf</v>
      </c>
    </row>
    <row r="1379" spans="1:28" x14ac:dyDescent="0.25">
      <c r="A1379" t="s">
        <v>1383</v>
      </c>
      <c r="B1379">
        <v>0.995954080203443</v>
      </c>
      <c r="C1379">
        <v>0.98655288528727303</v>
      </c>
      <c r="D1379">
        <v>0.93424410915363598</v>
      </c>
      <c r="E1379">
        <v>0.72594529206378999</v>
      </c>
      <c r="F1379">
        <v>0.56446045895364205</v>
      </c>
      <c r="G1379">
        <v>0.42084355754015301</v>
      </c>
      <c r="H1379">
        <v>0.30423765968373201</v>
      </c>
      <c r="I1379">
        <v>0.26945347100126099</v>
      </c>
      <c r="J1379">
        <v>0.205461746652603</v>
      </c>
      <c r="K1379">
        <v>0.173069834839847</v>
      </c>
      <c r="L1379">
        <v>700.73577315588602</v>
      </c>
      <c r="M1379">
        <v>13.1960498186214</v>
      </c>
      <c r="N1379">
        <v>54.7514224136794</v>
      </c>
      <c r="O1379">
        <v>51.926883543890597</v>
      </c>
      <c r="P1379">
        <v>-5.31202806236728E-2</v>
      </c>
      <c r="Q1379">
        <v>0.164019230185593</v>
      </c>
      <c r="R1379">
        <v>0.995930226033509</v>
      </c>
      <c r="S1379" t="s">
        <v>8185</v>
      </c>
      <c r="T1379" t="s">
        <v>13610</v>
      </c>
      <c r="U1379" t="s">
        <v>13610</v>
      </c>
      <c r="V1379" t="s">
        <v>13610</v>
      </c>
      <c r="W1379" t="s">
        <v>14954</v>
      </c>
      <c r="X1379">
        <v>48</v>
      </c>
      <c r="Y1379" t="s">
        <v>21658</v>
      </c>
      <c r="Z1379" t="s">
        <v>28234</v>
      </c>
      <c r="AA1379">
        <v>0.5502690489051244</v>
      </c>
      <c r="AB1379" t="str">
        <f>HYPERLINK("Melting_Curves/meltCurve_O60271_SPAG9.pdf", "Melting_Curves/meltCurve_O60271_SPAG9.pdf")</f>
        <v>Melting_Curves/meltCurve_O60271_SPAG9.pdf</v>
      </c>
    </row>
    <row r="1380" spans="1:28" x14ac:dyDescent="0.25">
      <c r="A1380" t="s">
        <v>1384</v>
      </c>
      <c r="B1380">
        <v>0.995954080203443</v>
      </c>
      <c r="C1380">
        <v>0.83726714615436604</v>
      </c>
      <c r="D1380">
        <v>0.741448260959367</v>
      </c>
      <c r="E1380">
        <v>0.53826811942005304</v>
      </c>
      <c r="F1380">
        <v>0.437147975568912</v>
      </c>
      <c r="G1380">
        <v>0.28959062705114402</v>
      </c>
      <c r="H1380">
        <v>0.23914685539226099</v>
      </c>
      <c r="I1380">
        <v>0.27646255586076501</v>
      </c>
      <c r="J1380">
        <v>0.34448058793508302</v>
      </c>
      <c r="K1380">
        <v>0.30122506005731797</v>
      </c>
      <c r="L1380">
        <v>696.22638344296195</v>
      </c>
      <c r="M1380">
        <v>14.575773709592699</v>
      </c>
      <c r="N1380">
        <v>50.478630385297201</v>
      </c>
      <c r="O1380">
        <v>46.893927649259403</v>
      </c>
      <c r="P1380">
        <v>-5.6611669397470803E-2</v>
      </c>
      <c r="Q1380">
        <v>0.27154668307290297</v>
      </c>
      <c r="R1380">
        <v>0.97722052257070502</v>
      </c>
      <c r="S1380" t="s">
        <v>8186</v>
      </c>
      <c r="T1380" t="s">
        <v>13610</v>
      </c>
      <c r="U1380" t="s">
        <v>13610</v>
      </c>
      <c r="V1380" t="s">
        <v>13610</v>
      </c>
      <c r="W1380" t="s">
        <v>14955</v>
      </c>
      <c r="X1380">
        <v>49</v>
      </c>
      <c r="Y1380" t="s">
        <v>21658</v>
      </c>
      <c r="Z1380" t="s">
        <v>28235</v>
      </c>
      <c r="AA1380">
        <v>0.48019207956947019</v>
      </c>
      <c r="AB1380" t="str">
        <f>HYPERLINK("Melting_Curves/meltCurve_O60271_4_SPAG9.pdf", "Melting_Curves/meltCurve_O60271_4_SPAG9.pdf")</f>
        <v>Melting_Curves/meltCurve_O60271_4_SPAG9.pdf</v>
      </c>
    </row>
    <row r="1381" spans="1:28" x14ac:dyDescent="0.25">
      <c r="A1381" t="s">
        <v>1385</v>
      </c>
      <c r="B1381">
        <v>0.995954080203443</v>
      </c>
      <c r="C1381">
        <v>0.95108669817495695</v>
      </c>
      <c r="D1381">
        <v>0.89969760664478804</v>
      </c>
      <c r="E1381">
        <v>0.72109992584202098</v>
      </c>
      <c r="F1381">
        <v>0.57100314544429598</v>
      </c>
      <c r="G1381">
        <v>0.39468334953255502</v>
      </c>
      <c r="H1381">
        <v>0.34628951245985701</v>
      </c>
      <c r="I1381">
        <v>0.38364221165329898</v>
      </c>
      <c r="J1381">
        <v>0.45278602277011498</v>
      </c>
      <c r="K1381">
        <v>0.44407373707116798</v>
      </c>
      <c r="L1381">
        <v>1039.40895627587</v>
      </c>
      <c r="M1381">
        <v>20.714431009793401</v>
      </c>
      <c r="N1381">
        <v>54.262751505769799</v>
      </c>
      <c r="O1381">
        <v>49.7173865314927</v>
      </c>
      <c r="P1381">
        <v>-6.3033646683611597E-2</v>
      </c>
      <c r="Q1381">
        <v>0.39486063622464501</v>
      </c>
      <c r="R1381">
        <v>0.97593993034206505</v>
      </c>
      <c r="S1381" t="s">
        <v>8187</v>
      </c>
      <c r="T1381" t="s">
        <v>13610</v>
      </c>
      <c r="U1381" t="s">
        <v>13610</v>
      </c>
      <c r="V1381" t="s">
        <v>13610</v>
      </c>
      <c r="W1381" t="s">
        <v>14956</v>
      </c>
      <c r="X1381">
        <v>11</v>
      </c>
      <c r="Y1381" t="s">
        <v>21659</v>
      </c>
      <c r="Z1381" t="s">
        <v>28236</v>
      </c>
      <c r="AA1381">
        <v>0.60802817876332993</v>
      </c>
      <c r="AB1381" t="str">
        <f>HYPERLINK("Melting_Curves/meltCurve_O60292_SIPA1L3.pdf", "Melting_Curves/meltCurve_O60292_SIPA1L3.pdf")</f>
        <v>Melting_Curves/meltCurve_O60292_SIPA1L3.pdf</v>
      </c>
    </row>
    <row r="1382" spans="1:28" x14ac:dyDescent="0.25">
      <c r="A1382" t="s">
        <v>1386</v>
      </c>
      <c r="B1382">
        <v>0.995954080203443</v>
      </c>
      <c r="C1382">
        <v>0.94547096303824396</v>
      </c>
      <c r="D1382">
        <v>0.87236860128885296</v>
      </c>
      <c r="E1382">
        <v>0.77175274840831998</v>
      </c>
      <c r="F1382">
        <v>0.597992726928261</v>
      </c>
      <c r="G1382">
        <v>0.43149583406734898</v>
      </c>
      <c r="H1382">
        <v>0.408529146522773</v>
      </c>
      <c r="I1382">
        <v>0.47292339797618699</v>
      </c>
      <c r="J1382">
        <v>0.55190771799909999</v>
      </c>
      <c r="K1382">
        <v>0.54422527529098097</v>
      </c>
      <c r="L1382">
        <v>1026.7967519000799</v>
      </c>
      <c r="M1382">
        <v>20.6540692962778</v>
      </c>
      <c r="N1382">
        <v>58.392966915260402</v>
      </c>
      <c r="O1382">
        <v>49.255029779319401</v>
      </c>
      <c r="P1382">
        <v>-5.4851391152993298E-2</v>
      </c>
      <c r="Q1382">
        <v>0.47678513855613303</v>
      </c>
      <c r="R1382">
        <v>0.93473633311421001</v>
      </c>
      <c r="S1382" t="s">
        <v>8188</v>
      </c>
      <c r="T1382" t="s">
        <v>13610</v>
      </c>
      <c r="U1382" t="s">
        <v>13610</v>
      </c>
      <c r="V1382" t="s">
        <v>13610</v>
      </c>
      <c r="W1382" t="s">
        <v>14957</v>
      </c>
      <c r="X1382">
        <v>51</v>
      </c>
      <c r="Y1382" t="s">
        <v>21660</v>
      </c>
      <c r="Z1382" t="s">
        <v>28237</v>
      </c>
      <c r="AA1382">
        <v>0.65304526055726819</v>
      </c>
      <c r="AB1382" t="str">
        <f>HYPERLINK("Melting_Curves/meltCurve_O60293_2_ZFC3H1.pdf", "Melting_Curves/meltCurve_O60293_2_ZFC3H1.pdf")</f>
        <v>Melting_Curves/meltCurve_O60293_2_ZFC3H1.pdf</v>
      </c>
    </row>
    <row r="1383" spans="1:28" x14ac:dyDescent="0.25">
      <c r="A1383" t="s">
        <v>1387</v>
      </c>
      <c r="B1383">
        <v>0.995954080203443</v>
      </c>
      <c r="C1383">
        <v>0.97627993543613101</v>
      </c>
      <c r="D1383">
        <v>0.60872361861372404</v>
      </c>
      <c r="E1383">
        <v>0.276549468523547</v>
      </c>
      <c r="F1383">
        <v>0.14536204631014499</v>
      </c>
      <c r="G1383">
        <v>8.1112870529328196E-2</v>
      </c>
      <c r="H1383">
        <v>5.9583223190704297E-2</v>
      </c>
      <c r="I1383">
        <v>4.7125542081106697E-2</v>
      </c>
      <c r="J1383">
        <v>6.9915482333931994E-2</v>
      </c>
      <c r="K1383">
        <v>5.7203809272689199E-2</v>
      </c>
      <c r="L1383">
        <v>1093.0544873356</v>
      </c>
      <c r="M1383">
        <v>23.225646095413602</v>
      </c>
      <c r="N1383">
        <v>47.337018708491001</v>
      </c>
      <c r="O1383">
        <v>46.717670284546998</v>
      </c>
      <c r="P1383">
        <v>-0.116455547449295</v>
      </c>
      <c r="Q1383">
        <v>6.3029974970258196E-2</v>
      </c>
      <c r="R1383">
        <v>0.994174190729748</v>
      </c>
      <c r="S1383" t="s">
        <v>8189</v>
      </c>
      <c r="T1383" t="s">
        <v>13610</v>
      </c>
      <c r="U1383" t="s">
        <v>13610</v>
      </c>
      <c r="V1383" t="s">
        <v>13610</v>
      </c>
      <c r="W1383" t="s">
        <v>14958</v>
      </c>
      <c r="X1383">
        <v>8</v>
      </c>
      <c r="Y1383" t="s">
        <v>21661</v>
      </c>
      <c r="Z1383" t="s">
        <v>28238</v>
      </c>
      <c r="AA1383">
        <v>0.29343449583665832</v>
      </c>
      <c r="AB1383" t="str">
        <f>HYPERLINK("Melting_Curves/meltCurve_O60294_LCMT2.pdf", "Melting_Curves/meltCurve_O60294_LCMT2.pdf")</f>
        <v>Melting_Curves/meltCurve_O60294_LCMT2.pdf</v>
      </c>
    </row>
    <row r="1384" spans="1:28" x14ac:dyDescent="0.25">
      <c r="A1384" t="s">
        <v>1388</v>
      </c>
      <c r="B1384">
        <v>0.995954080203443</v>
      </c>
      <c r="C1384">
        <v>0.98697859656693998</v>
      </c>
      <c r="D1384">
        <v>0.66637132948571498</v>
      </c>
      <c r="E1384">
        <v>0.539074895518175</v>
      </c>
      <c r="F1384">
        <v>0.43697428206439098</v>
      </c>
      <c r="G1384">
        <v>0.391329517131354</v>
      </c>
      <c r="H1384">
        <v>0.14546917312893001</v>
      </c>
      <c r="I1384">
        <v>0.32080413423153398</v>
      </c>
      <c r="J1384">
        <v>0.66186627467877102</v>
      </c>
      <c r="K1384">
        <v>0.154997609408762</v>
      </c>
      <c r="L1384">
        <v>888.90297249100104</v>
      </c>
      <c r="M1384">
        <v>18.851305941298499</v>
      </c>
      <c r="N1384">
        <v>50.071819123527</v>
      </c>
      <c r="O1384">
        <v>46.632385898592702</v>
      </c>
      <c r="P1384">
        <v>-6.7376106471976102E-2</v>
      </c>
      <c r="Q1384">
        <v>0.33335559413499299</v>
      </c>
      <c r="R1384">
        <v>0.76510694830466797</v>
      </c>
      <c r="S1384" t="s">
        <v>8190</v>
      </c>
      <c r="T1384" t="s">
        <v>13610</v>
      </c>
      <c r="U1384" t="s">
        <v>13610</v>
      </c>
      <c r="V1384" t="s">
        <v>13610</v>
      </c>
      <c r="W1384" t="s">
        <v>14959</v>
      </c>
      <c r="X1384">
        <v>1</v>
      </c>
      <c r="Y1384" t="s">
        <v>21662</v>
      </c>
      <c r="Z1384" t="s">
        <v>28239</v>
      </c>
      <c r="AA1384">
        <v>0.50335810973977324</v>
      </c>
      <c r="AB1384" t="str">
        <f>HYPERLINK("Melting_Curves/meltCurve_O60296_TRAK2.pdf", "Melting_Curves/meltCurve_O60296_TRAK2.pdf")</f>
        <v>Melting_Curves/meltCurve_O60296_TRAK2.pdf</v>
      </c>
    </row>
    <row r="1385" spans="1:28" x14ac:dyDescent="0.25">
      <c r="A1385" t="s">
        <v>1389</v>
      </c>
      <c r="B1385">
        <v>0.995954080203443</v>
      </c>
      <c r="C1385">
        <v>0.45244345217705101</v>
      </c>
      <c r="D1385">
        <v>0.26899997015712901</v>
      </c>
      <c r="E1385">
        <v>0.22663166516814101</v>
      </c>
      <c r="F1385">
        <v>0.115567637544537</v>
      </c>
      <c r="G1385">
        <v>6.6900713189192898E-2</v>
      </c>
      <c r="H1385">
        <v>4.06154527401534E-2</v>
      </c>
      <c r="I1385">
        <v>4.1893910234355097E-2</v>
      </c>
      <c r="J1385">
        <v>4.0969532080096301E-2</v>
      </c>
      <c r="K1385">
        <v>4.13115529542337E-2</v>
      </c>
      <c r="L1385">
        <v>1148.88129476464</v>
      </c>
      <c r="M1385">
        <v>26.7780458354605</v>
      </c>
      <c r="N1385">
        <v>43.186919516718497</v>
      </c>
      <c r="O1385">
        <v>42.666732897278798</v>
      </c>
      <c r="P1385">
        <v>-0.14427509140879199</v>
      </c>
      <c r="Q1385">
        <v>8.0488210220320197E-2</v>
      </c>
      <c r="R1385">
        <v>0.94299306437115904</v>
      </c>
      <c r="S1385" t="s">
        <v>8191</v>
      </c>
      <c r="T1385" t="s">
        <v>13610</v>
      </c>
      <c r="U1385" t="s">
        <v>13610</v>
      </c>
      <c r="V1385" t="s">
        <v>13610</v>
      </c>
      <c r="W1385" t="s">
        <v>14960</v>
      </c>
      <c r="X1385">
        <v>11</v>
      </c>
      <c r="Y1385" t="s">
        <v>21663</v>
      </c>
      <c r="Z1385" t="s">
        <v>28240</v>
      </c>
      <c r="AA1385">
        <v>0.18098015742396839</v>
      </c>
      <c r="AB1385" t="str">
        <f>HYPERLINK("Melting_Curves/meltCurve_O60306_AQR.pdf", "Melting_Curves/meltCurve_O60306_AQR.pdf")</f>
        <v>Melting_Curves/meltCurve_O60306_AQR.pdf</v>
      </c>
    </row>
    <row r="1386" spans="1:28" x14ac:dyDescent="0.25">
      <c r="A1386" t="s">
        <v>1390</v>
      </c>
      <c r="B1386">
        <v>0.995954080203443</v>
      </c>
      <c r="C1386">
        <v>0.838545094008051</v>
      </c>
      <c r="D1386">
        <v>0.75398791908255702</v>
      </c>
      <c r="E1386">
        <v>0.62315536244347203</v>
      </c>
      <c r="F1386">
        <v>0.33558839175759803</v>
      </c>
      <c r="G1386">
        <v>0.31561141632716699</v>
      </c>
      <c r="H1386">
        <v>0.247563827562858</v>
      </c>
      <c r="I1386">
        <v>0.22604059727512801</v>
      </c>
      <c r="J1386">
        <v>0.27065187626014398</v>
      </c>
      <c r="K1386">
        <v>0.27164328802750598</v>
      </c>
      <c r="L1386">
        <v>685.93693237914397</v>
      </c>
      <c r="M1386">
        <v>14.122415189987001</v>
      </c>
      <c r="N1386">
        <v>50.765896463894997</v>
      </c>
      <c r="O1386">
        <v>47.628021484749198</v>
      </c>
      <c r="P1386">
        <v>-5.7197567357261898E-2</v>
      </c>
      <c r="Q1386">
        <v>0.22850063824733499</v>
      </c>
      <c r="R1386">
        <v>0.97269214839204698</v>
      </c>
      <c r="S1386" t="s">
        <v>8192</v>
      </c>
      <c r="T1386" t="s">
        <v>13610</v>
      </c>
      <c r="U1386" t="s">
        <v>13610</v>
      </c>
      <c r="V1386" t="s">
        <v>13610</v>
      </c>
      <c r="W1386" t="s">
        <v>14961</v>
      </c>
      <c r="X1386">
        <v>1</v>
      </c>
      <c r="Y1386" t="s">
        <v>21664</v>
      </c>
      <c r="Z1386" t="s">
        <v>28241</v>
      </c>
      <c r="AA1386">
        <v>0.47062581858471692</v>
      </c>
      <c r="AB1386" t="str">
        <f>HYPERLINK("Melting_Curves/meltCurve_O60308_3_CEP104.pdf", "Melting_Curves/meltCurve_O60308_3_CEP104.pdf")</f>
        <v>Melting_Curves/meltCurve_O60308_3_CEP104.pdf</v>
      </c>
    </row>
    <row r="1387" spans="1:28" x14ac:dyDescent="0.25">
      <c r="A1387" t="s">
        <v>1391</v>
      </c>
      <c r="B1387">
        <v>0.995954080203443</v>
      </c>
      <c r="C1387">
        <v>0.93024140577640502</v>
      </c>
      <c r="D1387">
        <v>0.81012382958260498</v>
      </c>
      <c r="E1387">
        <v>0.50397190413112603</v>
      </c>
      <c r="F1387">
        <v>0.24426801593127501</v>
      </c>
      <c r="G1387">
        <v>0.116636414466798</v>
      </c>
      <c r="H1387">
        <v>6.2282081959867501E-2</v>
      </c>
      <c r="I1387">
        <v>6.10904985427538E-2</v>
      </c>
      <c r="J1387">
        <v>7.03119846728886E-2</v>
      </c>
      <c r="K1387">
        <v>5.6137416639950997E-2</v>
      </c>
      <c r="L1387">
        <v>932.16349331224899</v>
      </c>
      <c r="M1387">
        <v>18.824631993447099</v>
      </c>
      <c r="N1387">
        <v>49.783476616777499</v>
      </c>
      <c r="O1387">
        <v>48.969635395769203</v>
      </c>
      <c r="P1387">
        <v>-9.15226237884076E-2</v>
      </c>
      <c r="Q1387">
        <v>4.7706525477710898E-2</v>
      </c>
      <c r="R1387">
        <v>0.99868614546067802</v>
      </c>
      <c r="S1387" t="s">
        <v>8193</v>
      </c>
      <c r="T1387" t="s">
        <v>13610</v>
      </c>
      <c r="U1387" t="s">
        <v>13610</v>
      </c>
      <c r="V1387" t="s">
        <v>13610</v>
      </c>
      <c r="W1387" t="s">
        <v>14962</v>
      </c>
      <c r="X1387">
        <v>9</v>
      </c>
      <c r="Y1387" t="s">
        <v>21665</v>
      </c>
      <c r="Z1387" t="s">
        <v>28242</v>
      </c>
      <c r="AA1387">
        <v>0.36482565579877269</v>
      </c>
      <c r="AB1387" t="str">
        <f>HYPERLINK("Melting_Curves/meltCurve_O60313_OPA1.pdf", "Melting_Curves/meltCurve_O60313_OPA1.pdf")</f>
        <v>Melting_Curves/meltCurve_O60313_OPA1.pdf</v>
      </c>
    </row>
    <row r="1388" spans="1:28" x14ac:dyDescent="0.25">
      <c r="A1388" t="s">
        <v>1392</v>
      </c>
      <c r="B1388">
        <v>0.995954080203443</v>
      </c>
      <c r="C1388">
        <v>1.01889368477594</v>
      </c>
      <c r="D1388">
        <v>0.96768690670874002</v>
      </c>
      <c r="E1388">
        <v>0.95181138319716896</v>
      </c>
      <c r="F1388">
        <v>0.89981493284224001</v>
      </c>
      <c r="G1388">
        <v>0.69148324309796405</v>
      </c>
      <c r="H1388">
        <v>0.60074673982163695</v>
      </c>
      <c r="I1388">
        <v>0.69246602779766397</v>
      </c>
      <c r="J1388">
        <v>0.79045194933168506</v>
      </c>
      <c r="K1388">
        <v>0.79531875872701496</v>
      </c>
      <c r="L1388">
        <v>4023.4771352318398</v>
      </c>
      <c r="M1388">
        <v>75.328184513925507</v>
      </c>
      <c r="O1388">
        <v>53.375032451084401</v>
      </c>
      <c r="P1388">
        <v>-0.101001073561396</v>
      </c>
      <c r="Q1388">
        <v>0.71373612161532995</v>
      </c>
      <c r="R1388">
        <v>0.84572569568719602</v>
      </c>
      <c r="S1388" t="s">
        <v>8194</v>
      </c>
      <c r="T1388" t="s">
        <v>13610</v>
      </c>
      <c r="U1388" t="s">
        <v>13610</v>
      </c>
      <c r="V1388" t="s">
        <v>13610</v>
      </c>
      <c r="W1388" t="s">
        <v>14963</v>
      </c>
      <c r="X1388">
        <v>15</v>
      </c>
      <c r="Y1388" t="s">
        <v>21666</v>
      </c>
      <c r="Z1388" t="s">
        <v>28243</v>
      </c>
      <c r="AA1388">
        <v>0.842017478277162</v>
      </c>
      <c r="AB1388" t="str">
        <f>HYPERLINK("Melting_Curves/meltCurve_O60315_2_ZEB2.pdf", "Melting_Curves/meltCurve_O60315_2_ZEB2.pdf")</f>
        <v>Melting_Curves/meltCurve_O60315_2_ZEB2.pdf</v>
      </c>
    </row>
    <row r="1389" spans="1:28" x14ac:dyDescent="0.25">
      <c r="A1389" t="s">
        <v>1393</v>
      </c>
      <c r="B1389">
        <v>0.995954080203443</v>
      </c>
      <c r="C1389">
        <v>0.996557433015964</v>
      </c>
      <c r="D1389">
        <v>0.94424694515339802</v>
      </c>
      <c r="E1389">
        <v>0.74445537023171005</v>
      </c>
      <c r="F1389">
        <v>0.463912989430462</v>
      </c>
      <c r="G1389">
        <v>0.26797402244645202</v>
      </c>
      <c r="H1389">
        <v>0.199642042028846</v>
      </c>
      <c r="I1389">
        <v>0.18986526501887499</v>
      </c>
      <c r="J1389">
        <v>0.228923770427477</v>
      </c>
      <c r="K1389">
        <v>0.21449534619542701</v>
      </c>
      <c r="L1389">
        <v>1277.7955205087201</v>
      </c>
      <c r="M1389">
        <v>24.829979945722702</v>
      </c>
      <c r="N1389">
        <v>52.5586917671097</v>
      </c>
      <c r="O1389">
        <v>51.131486952019799</v>
      </c>
      <c r="P1389">
        <v>-9.6855780451594195E-2</v>
      </c>
      <c r="Q1389">
        <v>0.20220448668687799</v>
      </c>
      <c r="R1389">
        <v>0.99851445867944799</v>
      </c>
      <c r="S1389" t="s">
        <v>8195</v>
      </c>
      <c r="T1389" t="s">
        <v>13610</v>
      </c>
      <c r="U1389" t="s">
        <v>13610</v>
      </c>
      <c r="V1389" t="s">
        <v>13610</v>
      </c>
      <c r="W1389" t="s">
        <v>14964</v>
      </c>
      <c r="X1389">
        <v>24</v>
      </c>
      <c r="Y1389" t="s">
        <v>21667</v>
      </c>
      <c r="Z1389" t="s">
        <v>28244</v>
      </c>
      <c r="AA1389">
        <v>0.5143503684016536</v>
      </c>
      <c r="AB1389" t="str">
        <f>HYPERLINK("Melting_Curves/meltCurve_O60318_MCM3AP.pdf", "Melting_Curves/meltCurve_O60318_MCM3AP.pdf")</f>
        <v>Melting_Curves/meltCurve_O60318_MCM3AP.pdf</v>
      </c>
    </row>
    <row r="1390" spans="1:28" x14ac:dyDescent="0.25">
      <c r="A1390" t="s">
        <v>1394</v>
      </c>
      <c r="B1390">
        <v>0.995954080203443</v>
      </c>
      <c r="C1390">
        <v>1.02025331066</v>
      </c>
      <c r="D1390">
        <v>0.752549591488887</v>
      </c>
      <c r="E1390">
        <v>0.42852799369196798</v>
      </c>
      <c r="F1390">
        <v>0.18957709549016699</v>
      </c>
      <c r="G1390">
        <v>9.2045132952585096E-2</v>
      </c>
      <c r="H1390">
        <v>5.2379492982783799E-2</v>
      </c>
      <c r="I1390">
        <v>6.3036149699899402E-2</v>
      </c>
      <c r="J1390">
        <v>6.1429010425457002E-2</v>
      </c>
      <c r="K1390">
        <v>6.4505366804022607E-2</v>
      </c>
      <c r="L1390">
        <v>1048.99466250514</v>
      </c>
      <c r="M1390">
        <v>21.510571867697699</v>
      </c>
      <c r="N1390">
        <v>49.029603977876398</v>
      </c>
      <c r="O1390">
        <v>48.350868856949099</v>
      </c>
      <c r="P1390">
        <v>-0.105160617133045</v>
      </c>
      <c r="Q1390">
        <v>5.4514581017305101E-2</v>
      </c>
      <c r="R1390">
        <v>0.99485813715555604</v>
      </c>
      <c r="S1390" t="s">
        <v>8196</v>
      </c>
      <c r="T1390" t="s">
        <v>13610</v>
      </c>
      <c r="U1390" t="s">
        <v>13610</v>
      </c>
      <c r="V1390" t="s">
        <v>13610</v>
      </c>
      <c r="W1390" t="s">
        <v>14965</v>
      </c>
      <c r="X1390">
        <v>8</v>
      </c>
      <c r="Y1390" t="s">
        <v>21668</v>
      </c>
      <c r="Z1390" t="s">
        <v>28245</v>
      </c>
      <c r="AA1390">
        <v>0.34222657010825819</v>
      </c>
      <c r="AB1390" t="str">
        <f>HYPERLINK("Melting_Curves/meltCurve_O60333_2_KIF1B.pdf", "Melting_Curves/meltCurve_O60333_2_KIF1B.pdf")</f>
        <v>Melting_Curves/meltCurve_O60333_2_KIF1B.pdf</v>
      </c>
    </row>
    <row r="1391" spans="1:28" x14ac:dyDescent="0.25">
      <c r="A1391" t="s">
        <v>1395</v>
      </c>
      <c r="B1391">
        <v>0.995954080203443</v>
      </c>
      <c r="C1391">
        <v>0.88712706364266203</v>
      </c>
      <c r="D1391">
        <v>0.72972491604032996</v>
      </c>
      <c r="E1391">
        <v>0.44460723880339398</v>
      </c>
      <c r="F1391">
        <v>0.25358721212749202</v>
      </c>
      <c r="G1391">
        <v>0.14722607490343101</v>
      </c>
      <c r="H1391">
        <v>9.31218953658835E-2</v>
      </c>
      <c r="I1391">
        <v>9.9812473547626498E-2</v>
      </c>
      <c r="J1391">
        <v>0.10343196792211801</v>
      </c>
      <c r="K1391">
        <v>0.110412551654941</v>
      </c>
      <c r="L1391">
        <v>810.47668474061095</v>
      </c>
      <c r="M1391">
        <v>16.730364112390799</v>
      </c>
      <c r="N1391">
        <v>48.997803029350003</v>
      </c>
      <c r="O1391">
        <v>47.767198249159897</v>
      </c>
      <c r="P1391">
        <v>-8.0017321826225493E-2</v>
      </c>
      <c r="Q1391">
        <v>8.6223428283561707E-2</v>
      </c>
      <c r="R1391">
        <v>0.99810143698931597</v>
      </c>
      <c r="S1391" t="s">
        <v>8197</v>
      </c>
      <c r="T1391" t="s">
        <v>13610</v>
      </c>
      <c r="U1391" t="s">
        <v>13610</v>
      </c>
      <c r="V1391" t="s">
        <v>13610</v>
      </c>
      <c r="W1391" t="s">
        <v>14966</v>
      </c>
      <c r="X1391">
        <v>8</v>
      </c>
      <c r="Y1391" t="s">
        <v>21668</v>
      </c>
      <c r="Z1391" t="s">
        <v>28246</v>
      </c>
      <c r="AA1391">
        <v>0.36198583153232011</v>
      </c>
      <c r="AB1391" t="str">
        <f>HYPERLINK("Melting_Curves/meltCurve_O60333_3_KIF1B.pdf", "Melting_Curves/meltCurve_O60333_3_KIF1B.pdf")</f>
        <v>Melting_Curves/meltCurve_O60333_3_KIF1B.pdf</v>
      </c>
    </row>
    <row r="1392" spans="1:28" x14ac:dyDescent="0.25">
      <c r="A1392" t="s">
        <v>1396</v>
      </c>
      <c r="B1392">
        <v>0.995954080203443</v>
      </c>
      <c r="C1392">
        <v>0.88145015718180897</v>
      </c>
      <c r="D1392">
        <v>0.70334102228555295</v>
      </c>
      <c r="E1392">
        <v>0.44896416279496498</v>
      </c>
      <c r="F1392">
        <v>0.18839931571207999</v>
      </c>
      <c r="G1392">
        <v>9.5325016161239104E-2</v>
      </c>
      <c r="H1392">
        <v>5.6661494823621102E-2</v>
      </c>
      <c r="I1392">
        <v>4.9901063024601698E-2</v>
      </c>
      <c r="J1392">
        <v>4.7899493540298099E-2</v>
      </c>
      <c r="K1392">
        <v>4.4644916147508699E-2</v>
      </c>
      <c r="L1392">
        <v>795.00050708052504</v>
      </c>
      <c r="M1392">
        <v>16.3735721126375</v>
      </c>
      <c r="N1392">
        <v>48.728058404941201</v>
      </c>
      <c r="O1392">
        <v>47.846950099772599</v>
      </c>
      <c r="P1392">
        <v>-8.3126072391564304E-2</v>
      </c>
      <c r="Q1392">
        <v>2.84232623871261E-2</v>
      </c>
      <c r="R1392">
        <v>0.99597743045551501</v>
      </c>
      <c r="S1392" t="s">
        <v>8198</v>
      </c>
      <c r="T1392" t="s">
        <v>13610</v>
      </c>
      <c r="U1392" t="s">
        <v>13610</v>
      </c>
      <c r="V1392" t="s">
        <v>13610</v>
      </c>
      <c r="W1392" t="s">
        <v>14967</v>
      </c>
      <c r="X1392">
        <v>32</v>
      </c>
      <c r="Y1392" t="s">
        <v>21669</v>
      </c>
      <c r="Z1392" t="s">
        <v>28247</v>
      </c>
      <c r="AA1392">
        <v>0.32600239316456903</v>
      </c>
      <c r="AB1392" t="str">
        <f>HYPERLINK("Melting_Curves/meltCurve_O60341_KDM1A.pdf", "Melting_Curves/meltCurve_O60341_KDM1A.pdf")</f>
        <v>Melting_Curves/meltCurve_O60341_KDM1A.pdf</v>
      </c>
    </row>
    <row r="1393" spans="1:28" x14ac:dyDescent="0.25">
      <c r="A1393" t="s">
        <v>1397</v>
      </c>
      <c r="B1393">
        <v>0.995954080203443</v>
      </c>
      <c r="C1393">
        <v>1.01116349379562</v>
      </c>
      <c r="D1393">
        <v>0.98580984657724602</v>
      </c>
      <c r="E1393">
        <v>0.87490443031785803</v>
      </c>
      <c r="F1393">
        <v>0.58578612413950104</v>
      </c>
      <c r="G1393">
        <v>0.356860857775745</v>
      </c>
      <c r="H1393">
        <v>0.18844022635171001</v>
      </c>
      <c r="I1393">
        <v>0.129772930046616</v>
      </c>
      <c r="J1393">
        <v>0.13223924365845699</v>
      </c>
      <c r="K1393">
        <v>0.12809844542174101</v>
      </c>
      <c r="L1393">
        <v>1114.1095404124701</v>
      </c>
      <c r="M1393">
        <v>20.719153203054201</v>
      </c>
      <c r="N1393">
        <v>54.474410445399897</v>
      </c>
      <c r="O1393">
        <v>53.278567317235101</v>
      </c>
      <c r="P1393">
        <v>-8.5826321517254903E-2</v>
      </c>
      <c r="Q1393">
        <v>0.117227613897085</v>
      </c>
      <c r="R1393">
        <v>0.99714458751055501</v>
      </c>
      <c r="S1393" t="s">
        <v>8199</v>
      </c>
      <c r="T1393" t="s">
        <v>13610</v>
      </c>
      <c r="U1393" t="s">
        <v>13610</v>
      </c>
      <c r="V1393" t="s">
        <v>13610</v>
      </c>
      <c r="W1393" t="s">
        <v>14968</v>
      </c>
      <c r="X1393">
        <v>45</v>
      </c>
      <c r="Y1393" t="s">
        <v>21670</v>
      </c>
      <c r="Z1393" t="s">
        <v>28248</v>
      </c>
      <c r="AA1393">
        <v>0.53383379230288619</v>
      </c>
      <c r="AB1393" t="str">
        <f>HYPERLINK("Melting_Curves/meltCurve_O60343_2_TBC1D4.pdf", "Melting_Curves/meltCurve_O60343_2_TBC1D4.pdf")</f>
        <v>Melting_Curves/meltCurve_O60343_2_TBC1D4.pdf</v>
      </c>
    </row>
    <row r="1394" spans="1:28" x14ac:dyDescent="0.25">
      <c r="A1394" t="s">
        <v>1398</v>
      </c>
      <c r="B1394">
        <v>0.995954080203443</v>
      </c>
      <c r="C1394">
        <v>0.98841992353860197</v>
      </c>
      <c r="D1394">
        <v>0.84934737536465399</v>
      </c>
      <c r="E1394">
        <v>0.472301982480613</v>
      </c>
      <c r="F1394">
        <v>0.213092683462722</v>
      </c>
      <c r="G1394">
        <v>0.143384408510912</v>
      </c>
      <c r="H1394">
        <v>0.111701384043025</v>
      </c>
      <c r="I1394">
        <v>0.116571514263377</v>
      </c>
      <c r="J1394">
        <v>0.14903505157757199</v>
      </c>
      <c r="K1394">
        <v>0.126639933640387</v>
      </c>
      <c r="L1394">
        <v>1265.8659849648</v>
      </c>
      <c r="M1394">
        <v>25.810078497847801</v>
      </c>
      <c r="N1394">
        <v>49.579235947318303</v>
      </c>
      <c r="O1394">
        <v>48.753836187206403</v>
      </c>
      <c r="P1394">
        <v>-0.11629487305359899</v>
      </c>
      <c r="Q1394">
        <v>0.12131170601541</v>
      </c>
      <c r="R1394">
        <v>0.99840291252355595</v>
      </c>
      <c r="S1394" t="s">
        <v>8200</v>
      </c>
      <c r="T1394" t="s">
        <v>13610</v>
      </c>
      <c r="U1394" t="s">
        <v>13610</v>
      </c>
      <c r="V1394" t="s">
        <v>13610</v>
      </c>
      <c r="W1394" t="s">
        <v>14969</v>
      </c>
      <c r="X1394">
        <v>5</v>
      </c>
      <c r="Y1394" t="s">
        <v>21671</v>
      </c>
      <c r="Z1394" t="s">
        <v>28249</v>
      </c>
      <c r="AA1394">
        <v>0.39354233991260212</v>
      </c>
      <c r="AB1394" t="str">
        <f>HYPERLINK("Melting_Curves/meltCurve_O60344_4_ECE2.pdf", "Melting_Curves/meltCurve_O60344_4_ECE2.pdf")</f>
        <v>Melting_Curves/meltCurve_O60344_4_ECE2.pdf</v>
      </c>
    </row>
    <row r="1395" spans="1:28" x14ac:dyDescent="0.25">
      <c r="A1395" t="s">
        <v>1399</v>
      </c>
      <c r="B1395">
        <v>0.995954080203443</v>
      </c>
      <c r="C1395">
        <v>0.95353231181722597</v>
      </c>
      <c r="D1395">
        <v>0.84474267938557002</v>
      </c>
      <c r="E1395">
        <v>0.73646873105926203</v>
      </c>
      <c r="F1395">
        <v>0.49250684783380599</v>
      </c>
      <c r="G1395">
        <v>0.33742482816901598</v>
      </c>
      <c r="H1395">
        <v>0.31512634169377601</v>
      </c>
      <c r="I1395">
        <v>0.37984664549457198</v>
      </c>
      <c r="J1395">
        <v>0.36422011551007599</v>
      </c>
      <c r="K1395">
        <v>0.44231437324911799</v>
      </c>
      <c r="L1395">
        <v>1027.74957934599</v>
      </c>
      <c r="M1395">
        <v>20.5912899590462</v>
      </c>
      <c r="N1395">
        <v>53.139393774631898</v>
      </c>
      <c r="O1395">
        <v>49.448250500033801</v>
      </c>
      <c r="P1395">
        <v>-6.6958151249933803E-2</v>
      </c>
      <c r="Q1395">
        <v>0.35684097944633197</v>
      </c>
      <c r="R1395">
        <v>0.96412171177913197</v>
      </c>
      <c r="S1395" t="s">
        <v>8201</v>
      </c>
      <c r="T1395" t="s">
        <v>13610</v>
      </c>
      <c r="U1395" t="s">
        <v>13610</v>
      </c>
      <c r="V1395" t="s">
        <v>13610</v>
      </c>
      <c r="W1395" t="s">
        <v>14970</v>
      </c>
      <c r="X1395">
        <v>8</v>
      </c>
      <c r="Y1395" t="s">
        <v>21672</v>
      </c>
      <c r="Z1395" t="s">
        <v>28250</v>
      </c>
      <c r="AA1395">
        <v>0.57779648463914368</v>
      </c>
      <c r="AB1395" t="str">
        <f>HYPERLINK("Melting_Curves/meltCurve_O60346_PHLPP1.pdf", "Melting_Curves/meltCurve_O60346_PHLPP1.pdf")</f>
        <v>Melting_Curves/meltCurve_O60346_PHLPP1.pdf</v>
      </c>
    </row>
    <row r="1396" spans="1:28" x14ac:dyDescent="0.25">
      <c r="A1396" t="s">
        <v>1400</v>
      </c>
      <c r="B1396">
        <v>0.995954080203443</v>
      </c>
      <c r="C1396">
        <v>0.87066685720838</v>
      </c>
      <c r="D1396">
        <v>0.90559034287269102</v>
      </c>
      <c r="E1396">
        <v>0.77882016689703204</v>
      </c>
      <c r="F1396">
        <v>0.60287554713784397</v>
      </c>
      <c r="G1396">
        <v>0.40272976137077698</v>
      </c>
      <c r="H1396">
        <v>0.28540564535058099</v>
      </c>
      <c r="I1396">
        <v>0.27869950549991601</v>
      </c>
      <c r="J1396">
        <v>0.29220383090454499</v>
      </c>
      <c r="K1396">
        <v>0.28660782573474802</v>
      </c>
      <c r="L1396">
        <v>768.61792899093098</v>
      </c>
      <c r="M1396">
        <v>14.674662549728801</v>
      </c>
      <c r="N1396">
        <v>54.844264957406303</v>
      </c>
      <c r="O1396">
        <v>51.4334019836813</v>
      </c>
      <c r="P1396">
        <v>-5.4101298735469899E-2</v>
      </c>
      <c r="Q1396">
        <v>0.24160230931505999</v>
      </c>
      <c r="R1396">
        <v>0.98128805832529797</v>
      </c>
      <c r="S1396" t="s">
        <v>8202</v>
      </c>
      <c r="T1396" t="s">
        <v>13610</v>
      </c>
      <c r="U1396" t="s">
        <v>13610</v>
      </c>
      <c r="V1396" t="s">
        <v>13610</v>
      </c>
      <c r="W1396" t="s">
        <v>14971</v>
      </c>
      <c r="X1396">
        <v>7</v>
      </c>
      <c r="Y1396" t="s">
        <v>21673</v>
      </c>
      <c r="Z1396" t="s">
        <v>28251</v>
      </c>
      <c r="AA1396">
        <v>0.57177033055728899</v>
      </c>
      <c r="AB1396" t="str">
        <f>HYPERLINK("Melting_Curves/meltCurve_O60347_TBC1D12.pdf", "Melting_Curves/meltCurve_O60347_TBC1D12.pdf")</f>
        <v>Melting_Curves/meltCurve_O60347_TBC1D12.pdf</v>
      </c>
    </row>
    <row r="1397" spans="1:28" x14ac:dyDescent="0.25">
      <c r="A1397" t="s">
        <v>1401</v>
      </c>
      <c r="B1397">
        <v>0.995954080203443</v>
      </c>
      <c r="C1397">
        <v>0.70688313888654197</v>
      </c>
      <c r="D1397">
        <v>0.90640004646862105</v>
      </c>
      <c r="E1397">
        <v>0.779769536128602</v>
      </c>
      <c r="F1397">
        <v>0.82694407635788703</v>
      </c>
      <c r="G1397">
        <v>0.69337113605913203</v>
      </c>
      <c r="H1397">
        <v>0.68111502762537401</v>
      </c>
      <c r="I1397">
        <v>0.84473391763885397</v>
      </c>
      <c r="J1397">
        <v>1.13007169545821</v>
      </c>
      <c r="K1397">
        <v>1.1126518995357599</v>
      </c>
      <c r="L1397">
        <v>10142.3733974999</v>
      </c>
      <c r="M1397">
        <v>250</v>
      </c>
      <c r="O1397">
        <v>40.566897419874799</v>
      </c>
      <c r="P1397">
        <v>-0.22563199328330799</v>
      </c>
      <c r="Q1397">
        <v>0.85354896138323699</v>
      </c>
      <c r="R1397">
        <v>7.3660898457872701E-2</v>
      </c>
      <c r="S1397" t="s">
        <v>8203</v>
      </c>
      <c r="T1397" t="s">
        <v>13610</v>
      </c>
      <c r="U1397" t="s">
        <v>13610</v>
      </c>
      <c r="V1397" t="s">
        <v>13610</v>
      </c>
      <c r="W1397" t="s">
        <v>14972</v>
      </c>
      <c r="X1397">
        <v>3</v>
      </c>
      <c r="Y1397" t="s">
        <v>21674</v>
      </c>
      <c r="Z1397" t="s">
        <v>28252</v>
      </c>
      <c r="AA1397">
        <v>0.85636092596866265</v>
      </c>
      <c r="AB1397" t="str">
        <f>HYPERLINK("Melting_Curves/meltCurve_O60353_2_FZD6.pdf", "Melting_Curves/meltCurve_O60353_2_FZD6.pdf")</f>
        <v>Melting_Curves/meltCurve_O60353_2_FZD6.pdf</v>
      </c>
    </row>
    <row r="1398" spans="1:28" x14ac:dyDescent="0.25">
      <c r="A1398" t="s">
        <v>1402</v>
      </c>
      <c r="B1398">
        <v>0.995954080203443</v>
      </c>
      <c r="C1398">
        <v>1.0204697224641901</v>
      </c>
      <c r="D1398">
        <v>0.90535516024349905</v>
      </c>
      <c r="E1398">
        <v>0.88718645556877496</v>
      </c>
      <c r="F1398">
        <v>0.71217012293170701</v>
      </c>
      <c r="G1398">
        <v>0.56874558932605201</v>
      </c>
      <c r="H1398">
        <v>0.39047351715460599</v>
      </c>
      <c r="I1398">
        <v>0.231444931679959</v>
      </c>
      <c r="J1398">
        <v>0.16448699105592199</v>
      </c>
      <c r="K1398">
        <v>0.135948682437456</v>
      </c>
      <c r="L1398">
        <v>656.86572431783702</v>
      </c>
      <c r="M1398">
        <v>11.322215379893899</v>
      </c>
      <c r="N1398">
        <v>58.015641784368803</v>
      </c>
      <c r="O1398">
        <v>56.294229355218803</v>
      </c>
      <c r="P1398">
        <v>-5.0296598040283302E-2</v>
      </c>
      <c r="Q1398">
        <v>0</v>
      </c>
      <c r="R1398">
        <v>0.99334995560260497</v>
      </c>
      <c r="S1398" t="s">
        <v>8204</v>
      </c>
      <c r="T1398" t="s">
        <v>13610</v>
      </c>
      <c r="U1398" t="s">
        <v>13610</v>
      </c>
      <c r="V1398" t="s">
        <v>13610</v>
      </c>
      <c r="W1398" t="s">
        <v>14973</v>
      </c>
      <c r="X1398">
        <v>11</v>
      </c>
      <c r="Y1398" t="s">
        <v>21675</v>
      </c>
      <c r="Z1398" t="s">
        <v>28253</v>
      </c>
      <c r="AA1398">
        <v>0.61248821493758243</v>
      </c>
      <c r="AB1398" t="str">
        <f>HYPERLINK("Melting_Curves/meltCurve_O60361_NME2P1.pdf", "Melting_Curves/meltCurve_O60361_NME2P1.pdf")</f>
        <v>Melting_Curves/meltCurve_O60361_NME2P1.pdf</v>
      </c>
    </row>
    <row r="1399" spans="1:28" x14ac:dyDescent="0.25">
      <c r="A1399" t="s">
        <v>1403</v>
      </c>
      <c r="B1399">
        <v>0.995954080203443</v>
      </c>
      <c r="C1399">
        <v>1.0423828827916899</v>
      </c>
      <c r="D1399">
        <v>1.00476132751501</v>
      </c>
      <c r="E1399">
        <v>0.89432859733911696</v>
      </c>
      <c r="F1399">
        <v>0.80964278060880202</v>
      </c>
      <c r="G1399">
        <v>0.40711556002175098</v>
      </c>
      <c r="H1399">
        <v>0.166941676728669</v>
      </c>
      <c r="I1399">
        <v>0.13930300112734101</v>
      </c>
      <c r="J1399">
        <v>0.149175491459132</v>
      </c>
      <c r="K1399">
        <v>0.13886919411683901</v>
      </c>
      <c r="L1399">
        <v>1450.4509397256199</v>
      </c>
      <c r="M1399">
        <v>26.215712388659199</v>
      </c>
      <c r="N1399">
        <v>55.934084300410198</v>
      </c>
      <c r="O1399">
        <v>55.008615153830803</v>
      </c>
      <c r="P1399">
        <v>-0.104404318223973</v>
      </c>
      <c r="Q1399">
        <v>0.123720473678588</v>
      </c>
      <c r="R1399">
        <v>0.99555879839246297</v>
      </c>
      <c r="S1399" t="s">
        <v>8205</v>
      </c>
      <c r="T1399" t="s">
        <v>13610</v>
      </c>
      <c r="U1399" t="s">
        <v>13610</v>
      </c>
      <c r="V1399" t="s">
        <v>13610</v>
      </c>
      <c r="W1399" t="s">
        <v>14974</v>
      </c>
      <c r="X1399">
        <v>10</v>
      </c>
      <c r="Y1399" t="s">
        <v>21676</v>
      </c>
      <c r="Z1399" t="s">
        <v>28254</v>
      </c>
      <c r="AA1399">
        <v>0.57887747288967484</v>
      </c>
      <c r="AB1399" t="str">
        <f>HYPERLINK("Melting_Curves/meltCurve_O60443_DFNA5.pdf", "Melting_Curves/meltCurve_O60443_DFNA5.pdf")</f>
        <v>Melting_Curves/meltCurve_O60443_DFNA5.pdf</v>
      </c>
    </row>
    <row r="1400" spans="1:28" x14ac:dyDescent="0.25">
      <c r="A1400" t="s">
        <v>1404</v>
      </c>
      <c r="B1400">
        <v>0.995954080203443</v>
      </c>
      <c r="C1400">
        <v>0.90595935006389094</v>
      </c>
      <c r="D1400">
        <v>0.77144027106055202</v>
      </c>
      <c r="E1400">
        <v>0.35489495993869002</v>
      </c>
      <c r="F1400">
        <v>0.21366929190900399</v>
      </c>
      <c r="G1400">
        <v>0.12812661983916401</v>
      </c>
      <c r="H1400">
        <v>0.102961852949569</v>
      </c>
      <c r="I1400">
        <v>0.105508838188663</v>
      </c>
      <c r="J1400">
        <v>0.12924874638016401</v>
      </c>
      <c r="K1400">
        <v>0.11977052117044</v>
      </c>
      <c r="L1400">
        <v>1068.61923884934</v>
      </c>
      <c r="M1400">
        <v>22.279064147285101</v>
      </c>
      <c r="N1400">
        <v>48.505870388744199</v>
      </c>
      <c r="O1400">
        <v>47.583737093804601</v>
      </c>
      <c r="P1400">
        <v>-0.10418389171550101</v>
      </c>
      <c r="Q1400">
        <v>0.109952725612843</v>
      </c>
      <c r="R1400">
        <v>0.99789463341650098</v>
      </c>
      <c r="S1400" t="s">
        <v>8206</v>
      </c>
      <c r="T1400" t="s">
        <v>13610</v>
      </c>
      <c r="U1400" t="s">
        <v>13610</v>
      </c>
      <c r="V1400" t="s">
        <v>13610</v>
      </c>
      <c r="W1400" t="s">
        <v>14975</v>
      </c>
      <c r="X1400">
        <v>10</v>
      </c>
      <c r="Y1400" t="s">
        <v>21677</v>
      </c>
      <c r="Z1400" t="s">
        <v>28255</v>
      </c>
      <c r="AA1400">
        <v>0.35632342780863802</v>
      </c>
      <c r="AB1400" t="str">
        <f>HYPERLINK("Melting_Curves/meltCurve_O60447_EVI5.pdf", "Melting_Curves/meltCurve_O60447_EVI5.pdf")</f>
        <v>Melting_Curves/meltCurve_O60447_EVI5.pdf</v>
      </c>
    </row>
    <row r="1401" spans="1:28" x14ac:dyDescent="0.25">
      <c r="A1401" t="s">
        <v>1405</v>
      </c>
      <c r="B1401">
        <v>0.995954080203443</v>
      </c>
      <c r="C1401">
        <v>0.932282591789104</v>
      </c>
      <c r="D1401">
        <v>0.65762467679000303</v>
      </c>
      <c r="E1401">
        <v>0.342332106362291</v>
      </c>
      <c r="F1401">
        <v>0.20970182748767299</v>
      </c>
      <c r="G1401">
        <v>0.13963500706850801</v>
      </c>
      <c r="H1401">
        <v>0.122778806462739</v>
      </c>
      <c r="I1401">
        <v>0.13752751399411101</v>
      </c>
      <c r="J1401">
        <v>0.162276703960226</v>
      </c>
      <c r="K1401">
        <v>0.16321932207534801</v>
      </c>
      <c r="L1401">
        <v>1051.7754215243399</v>
      </c>
      <c r="M1401">
        <v>22.3522746960749</v>
      </c>
      <c r="N1401">
        <v>47.7704245702271</v>
      </c>
      <c r="O1401">
        <v>46.682747099863299</v>
      </c>
      <c r="P1401">
        <v>-0.102668617003372</v>
      </c>
      <c r="Q1401">
        <v>0.142323991051271</v>
      </c>
      <c r="R1401">
        <v>0.99701081190990304</v>
      </c>
      <c r="S1401" t="s">
        <v>8207</v>
      </c>
      <c r="T1401" t="s">
        <v>13610</v>
      </c>
      <c r="U1401" t="s">
        <v>13610</v>
      </c>
      <c r="V1401" t="s">
        <v>13610</v>
      </c>
      <c r="W1401" t="s">
        <v>14976</v>
      </c>
      <c r="X1401">
        <v>10</v>
      </c>
      <c r="Y1401" t="s">
        <v>21678</v>
      </c>
      <c r="Z1401" t="s">
        <v>28256</v>
      </c>
      <c r="AA1401">
        <v>0.35380331595507519</v>
      </c>
      <c r="AB1401" t="str">
        <f>HYPERLINK("Melting_Curves/meltCurve_O60493_SNX3.pdf", "Melting_Curves/meltCurve_O60493_SNX3.pdf")</f>
        <v>Melting_Curves/meltCurve_O60493_SNX3.pdf</v>
      </c>
    </row>
    <row r="1402" spans="1:28" x14ac:dyDescent="0.25">
      <c r="A1402" t="s">
        <v>1406</v>
      </c>
      <c r="B1402">
        <v>0.995954080203443</v>
      </c>
      <c r="C1402">
        <v>0.92612265796659898</v>
      </c>
      <c r="D1402">
        <v>0.97082693067179004</v>
      </c>
      <c r="E1402">
        <v>0.87156552556254296</v>
      </c>
      <c r="F1402">
        <v>0.62035228042695501</v>
      </c>
      <c r="G1402">
        <v>0.20031935616569299</v>
      </c>
      <c r="H1402">
        <v>9.7677518391892995E-2</v>
      </c>
      <c r="I1402">
        <v>7.9250806790063605E-2</v>
      </c>
      <c r="J1402">
        <v>8.6075473059154403E-2</v>
      </c>
      <c r="K1402">
        <v>8.4810813610338903E-2</v>
      </c>
      <c r="L1402">
        <v>1511.5322729586101</v>
      </c>
      <c r="M1402">
        <v>28.233875497015799</v>
      </c>
      <c r="N1402">
        <v>53.844162416680902</v>
      </c>
      <c r="O1402">
        <v>53.269712636493097</v>
      </c>
      <c r="P1402">
        <v>-0.12262360889457299</v>
      </c>
      <c r="Q1402">
        <v>7.4576887324635993E-2</v>
      </c>
      <c r="R1402">
        <v>0.99567233278234102</v>
      </c>
      <c r="S1402" t="s">
        <v>8208</v>
      </c>
      <c r="T1402" t="s">
        <v>13610</v>
      </c>
      <c r="U1402" t="s">
        <v>13610</v>
      </c>
      <c r="V1402" t="s">
        <v>13610</v>
      </c>
      <c r="W1402" t="s">
        <v>14977</v>
      </c>
      <c r="X1402">
        <v>20</v>
      </c>
      <c r="Y1402" t="s">
        <v>21679</v>
      </c>
      <c r="Z1402" t="s">
        <v>28257</v>
      </c>
      <c r="AA1402">
        <v>0.49892783214268632</v>
      </c>
      <c r="AB1402" t="str">
        <f>HYPERLINK("Melting_Curves/meltCurve_O60502_MGEA5.pdf", "Melting_Curves/meltCurve_O60502_MGEA5.pdf")</f>
        <v>Melting_Curves/meltCurve_O60502_MGEA5.pdf</v>
      </c>
    </row>
    <row r="1403" spans="1:28" x14ac:dyDescent="0.25">
      <c r="A1403" t="s">
        <v>1407</v>
      </c>
      <c r="B1403">
        <v>0.995954080203443</v>
      </c>
      <c r="C1403">
        <v>0.86734534880777603</v>
      </c>
      <c r="D1403">
        <v>0.82436286028963601</v>
      </c>
      <c r="E1403">
        <v>0.868966703065291</v>
      </c>
      <c r="F1403">
        <v>0.341913014963523</v>
      </c>
      <c r="G1403">
        <v>0.159095863804148</v>
      </c>
      <c r="H1403">
        <v>9.4502470889508E-2</v>
      </c>
      <c r="I1403">
        <v>9.0691791796066706E-2</v>
      </c>
      <c r="J1403">
        <v>0.10299678129593599</v>
      </c>
      <c r="K1403">
        <v>9.1571854455413201E-2</v>
      </c>
      <c r="L1403">
        <v>2245.2743429366101</v>
      </c>
      <c r="M1403">
        <v>43.299913885901397</v>
      </c>
      <c r="N1403">
        <v>52.129756085041301</v>
      </c>
      <c r="O1403">
        <v>51.743777881792603</v>
      </c>
      <c r="P1403">
        <v>-0.187792156991308</v>
      </c>
      <c r="Q1403">
        <v>0.102348254145952</v>
      </c>
      <c r="R1403">
        <v>0.964279413596836</v>
      </c>
      <c r="S1403" t="s">
        <v>8209</v>
      </c>
      <c r="T1403" t="s">
        <v>13610</v>
      </c>
      <c r="U1403" t="s">
        <v>13610</v>
      </c>
      <c r="V1403" t="s">
        <v>13610</v>
      </c>
      <c r="W1403" t="s">
        <v>14978</v>
      </c>
      <c r="X1403">
        <v>23</v>
      </c>
      <c r="Y1403" t="s">
        <v>21680</v>
      </c>
      <c r="Z1403" t="s">
        <v>28258</v>
      </c>
      <c r="AA1403">
        <v>0.45978286859785611</v>
      </c>
      <c r="AB1403" t="str">
        <f>HYPERLINK("Melting_Curves/meltCurve_O60506_2_SYNCRIP.pdf", "Melting_Curves/meltCurve_O60506_2_SYNCRIP.pdf")</f>
        <v>Melting_Curves/meltCurve_O60506_2_SYNCRIP.pdf</v>
      </c>
    </row>
    <row r="1404" spans="1:28" x14ac:dyDescent="0.25">
      <c r="A1404" t="s">
        <v>1408</v>
      </c>
      <c r="B1404">
        <v>0.995954080203443</v>
      </c>
      <c r="C1404">
        <v>0.84599825265460105</v>
      </c>
      <c r="D1404">
        <v>0.80239661599901402</v>
      </c>
      <c r="E1404">
        <v>0.64020041959679697</v>
      </c>
      <c r="F1404">
        <v>0.20414660140808499</v>
      </c>
      <c r="G1404">
        <v>9.81782666269439E-2</v>
      </c>
      <c r="H1404">
        <v>6.3280880086446001E-2</v>
      </c>
      <c r="I1404">
        <v>6.1390152445577897E-2</v>
      </c>
      <c r="J1404">
        <v>7.09085123056475E-2</v>
      </c>
      <c r="K1404">
        <v>6.4794698773965501E-2</v>
      </c>
      <c r="L1404">
        <v>919.49467229824802</v>
      </c>
      <c r="M1404">
        <v>18.374150285865799</v>
      </c>
      <c r="N1404">
        <v>50.254697086787601</v>
      </c>
      <c r="O1404">
        <v>49.4613842687126</v>
      </c>
      <c r="P1404">
        <v>-8.9414180817604896E-2</v>
      </c>
      <c r="Q1404">
        <v>3.7267566522694598E-2</v>
      </c>
      <c r="R1404">
        <v>0.97224373639706496</v>
      </c>
      <c r="S1404" t="s">
        <v>8210</v>
      </c>
      <c r="T1404" t="s">
        <v>13610</v>
      </c>
      <c r="U1404" t="s">
        <v>13610</v>
      </c>
      <c r="V1404" t="s">
        <v>13610</v>
      </c>
      <c r="W1404" t="s">
        <v>14979</v>
      </c>
      <c r="X1404">
        <v>17</v>
      </c>
      <c r="Y1404" t="s">
        <v>21681</v>
      </c>
      <c r="Z1404" t="s">
        <v>28259</v>
      </c>
      <c r="AA1404">
        <v>0.37533282264032369</v>
      </c>
      <c r="AB1404" t="str">
        <f>HYPERLINK("Melting_Curves/meltCurve_O60547_2_GMDS.pdf", "Melting_Curves/meltCurve_O60547_2_GMDS.pdf")</f>
        <v>Melting_Curves/meltCurve_O60547_2_GMDS.pdf</v>
      </c>
    </row>
    <row r="1405" spans="1:28" x14ac:dyDescent="0.25">
      <c r="A1405" t="s">
        <v>1409</v>
      </c>
      <c r="B1405">
        <v>0.995954080203443</v>
      </c>
      <c r="C1405">
        <v>0.89827145380136397</v>
      </c>
      <c r="D1405">
        <v>0.71370542388591496</v>
      </c>
      <c r="E1405">
        <v>0.51774709897279303</v>
      </c>
      <c r="F1405">
        <v>0.428850847206103</v>
      </c>
      <c r="G1405">
        <v>0.30121714183447401</v>
      </c>
      <c r="H1405">
        <v>0.28423873563451602</v>
      </c>
      <c r="I1405">
        <v>0.32878862825958799</v>
      </c>
      <c r="J1405">
        <v>0.45672530158577002</v>
      </c>
      <c r="K1405">
        <v>0.39000729773266402</v>
      </c>
      <c r="L1405">
        <v>916.84507056947302</v>
      </c>
      <c r="M1405">
        <v>19.6204180453874</v>
      </c>
      <c r="N1405">
        <v>49.832236308155103</v>
      </c>
      <c r="O1405">
        <v>46.251827687510499</v>
      </c>
      <c r="P1405">
        <v>-6.86553520023339E-2</v>
      </c>
      <c r="Q1405">
        <v>0.35264905903552402</v>
      </c>
      <c r="R1405">
        <v>0.95736510308929801</v>
      </c>
      <c r="S1405" t="s">
        <v>8211</v>
      </c>
      <c r="T1405" t="s">
        <v>13610</v>
      </c>
      <c r="U1405" t="s">
        <v>13610</v>
      </c>
      <c r="V1405" t="s">
        <v>13610</v>
      </c>
      <c r="W1405" t="s">
        <v>14980</v>
      </c>
      <c r="X1405">
        <v>12</v>
      </c>
      <c r="Y1405" t="s">
        <v>21682</v>
      </c>
      <c r="Z1405" t="s">
        <v>28260</v>
      </c>
      <c r="AA1405">
        <v>0.50786142190522454</v>
      </c>
      <c r="AB1405" t="str">
        <f>HYPERLINK("Melting_Curves/meltCurve_O60551_NMT2.pdf", "Melting_Curves/meltCurve_O60551_NMT2.pdf")</f>
        <v>Melting_Curves/meltCurve_O60551_NMT2.pdf</v>
      </c>
    </row>
    <row r="1406" spans="1:28" x14ac:dyDescent="0.25">
      <c r="A1406" t="s">
        <v>1410</v>
      </c>
      <c r="B1406">
        <v>0.995954080203443</v>
      </c>
      <c r="C1406">
        <v>0.92947357756595494</v>
      </c>
      <c r="D1406">
        <v>0.90985932315250695</v>
      </c>
      <c r="E1406">
        <v>0.79981438879899502</v>
      </c>
      <c r="F1406">
        <v>0.68367534957596199</v>
      </c>
      <c r="G1406">
        <v>0.44948720321272201</v>
      </c>
      <c r="H1406">
        <v>0.43211680111629203</v>
      </c>
      <c r="I1406">
        <v>0.50633823098886799</v>
      </c>
      <c r="J1406">
        <v>0.72965306375148398</v>
      </c>
      <c r="K1406">
        <v>0.59793205929655502</v>
      </c>
      <c r="L1406">
        <v>1212.58777233761</v>
      </c>
      <c r="M1406">
        <v>24.1942159407449</v>
      </c>
      <c r="O1406">
        <v>49.780278230140702</v>
      </c>
      <c r="P1406">
        <v>-5.5226994961511802E-2</v>
      </c>
      <c r="Q1406">
        <v>0.54548258427427398</v>
      </c>
      <c r="R1406">
        <v>0.80284158750736301</v>
      </c>
      <c r="S1406" t="s">
        <v>8212</v>
      </c>
      <c r="T1406" t="s">
        <v>13610</v>
      </c>
      <c r="U1406" t="s">
        <v>13610</v>
      </c>
      <c r="V1406" t="s">
        <v>13610</v>
      </c>
      <c r="W1406" t="s">
        <v>14981</v>
      </c>
      <c r="X1406">
        <v>13</v>
      </c>
      <c r="Y1406" t="s">
        <v>21683</v>
      </c>
      <c r="Z1406" t="s">
        <v>28261</v>
      </c>
      <c r="AA1406">
        <v>0.7031330959847697</v>
      </c>
      <c r="AB1406" t="str">
        <f>HYPERLINK("Melting_Curves/meltCurve_O60563_CCNT1.pdf", "Melting_Curves/meltCurve_O60563_CCNT1.pdf")</f>
        <v>Melting_Curves/meltCurve_O60563_CCNT1.pdf</v>
      </c>
    </row>
    <row r="1407" spans="1:28" x14ac:dyDescent="0.25">
      <c r="A1407" t="s">
        <v>1411</v>
      </c>
      <c r="B1407">
        <v>0.995954080203443</v>
      </c>
      <c r="C1407">
        <v>1.1169522937015699</v>
      </c>
      <c r="D1407">
        <v>1.22394519425154</v>
      </c>
      <c r="E1407">
        <v>0.93701601320968797</v>
      </c>
      <c r="F1407">
        <v>0.81939724404650205</v>
      </c>
      <c r="G1407">
        <v>0.52333508419661701</v>
      </c>
      <c r="H1407">
        <v>0.47155873925963498</v>
      </c>
      <c r="I1407">
        <v>0.54626200165250105</v>
      </c>
      <c r="J1407">
        <v>0.65764324200864499</v>
      </c>
      <c r="K1407">
        <v>0.63864388085875601</v>
      </c>
      <c r="L1407">
        <v>3474.5087208883101</v>
      </c>
      <c r="M1407">
        <v>65.277873551792794</v>
      </c>
      <c r="O1407">
        <v>53.176566284561297</v>
      </c>
      <c r="P1407">
        <v>-0.132941009229257</v>
      </c>
      <c r="Q1407">
        <v>0.56681539212546606</v>
      </c>
      <c r="R1407">
        <v>0.85381552797291704</v>
      </c>
      <c r="S1407" t="s">
        <v>8213</v>
      </c>
      <c r="T1407" t="s">
        <v>13610</v>
      </c>
      <c r="U1407" t="s">
        <v>13610</v>
      </c>
      <c r="V1407" t="s">
        <v>13610</v>
      </c>
      <c r="W1407" t="s">
        <v>14982</v>
      </c>
      <c r="X1407">
        <v>20</v>
      </c>
      <c r="Y1407" t="s">
        <v>21684</v>
      </c>
      <c r="Z1407" t="s">
        <v>28262</v>
      </c>
      <c r="AA1407">
        <v>0.75839368276681229</v>
      </c>
      <c r="AB1407" t="str">
        <f>HYPERLINK("Melting_Curves/meltCurve_O60566_BUB1B.pdf", "Melting_Curves/meltCurve_O60566_BUB1B.pdf")</f>
        <v>Melting_Curves/meltCurve_O60566_BUB1B.pdf</v>
      </c>
    </row>
    <row r="1408" spans="1:28" x14ac:dyDescent="0.25">
      <c r="A1408" t="s">
        <v>1412</v>
      </c>
      <c r="B1408">
        <v>0.995954080203443</v>
      </c>
      <c r="C1408">
        <v>0.84919206774991896</v>
      </c>
      <c r="D1408">
        <v>0.75217938953619201</v>
      </c>
      <c r="E1408">
        <v>0.64404105309125803</v>
      </c>
      <c r="F1408">
        <v>0.29588613305073402</v>
      </c>
      <c r="G1408">
        <v>0.15023598529857901</v>
      </c>
      <c r="H1408">
        <v>0.108909328992932</v>
      </c>
      <c r="I1408">
        <v>0.11388910748957801</v>
      </c>
      <c r="J1408">
        <v>0.153810632861513</v>
      </c>
      <c r="K1408">
        <v>0.13380949692549299</v>
      </c>
      <c r="L1408">
        <v>742.80767154236503</v>
      </c>
      <c r="M1408">
        <v>14.9404741473704</v>
      </c>
      <c r="N1408">
        <v>50.379229944076499</v>
      </c>
      <c r="O1408">
        <v>48.852607727424498</v>
      </c>
      <c r="P1408">
        <v>-6.9655118786025497E-2</v>
      </c>
      <c r="Q1408">
        <v>8.9055676242550993E-2</v>
      </c>
      <c r="R1408">
        <v>0.97151683878029804</v>
      </c>
      <c r="S1408" t="s">
        <v>8214</v>
      </c>
      <c r="T1408" t="s">
        <v>13610</v>
      </c>
      <c r="U1408" t="s">
        <v>13610</v>
      </c>
      <c r="V1408" t="s">
        <v>13610</v>
      </c>
      <c r="W1408" t="s">
        <v>14983</v>
      </c>
      <c r="X1408">
        <v>10</v>
      </c>
      <c r="Y1408" t="s">
        <v>21685</v>
      </c>
      <c r="Z1408" t="s">
        <v>28263</v>
      </c>
      <c r="AA1408">
        <v>0.40621686046009592</v>
      </c>
      <c r="AB1408" t="str">
        <f>HYPERLINK("Melting_Curves/meltCurve_O60568_PLOD3.pdf", "Melting_Curves/meltCurve_O60568_PLOD3.pdf")</f>
        <v>Melting_Curves/meltCurve_O60568_PLOD3.pdf</v>
      </c>
    </row>
    <row r="1409" spans="1:28" x14ac:dyDescent="0.25">
      <c r="A1409" t="s">
        <v>1413</v>
      </c>
      <c r="B1409">
        <v>0.995954080203443</v>
      </c>
      <c r="C1409">
        <v>0.931542589349039</v>
      </c>
      <c r="D1409">
        <v>0.90432375610315896</v>
      </c>
      <c r="E1409">
        <v>0.77629826886831199</v>
      </c>
      <c r="F1409">
        <v>0.746146593150809</v>
      </c>
      <c r="G1409">
        <v>0.51762184833982805</v>
      </c>
      <c r="H1409">
        <v>0.48322096721749602</v>
      </c>
      <c r="I1409">
        <v>0.58343897898136499</v>
      </c>
      <c r="J1409">
        <v>0.78115257155654305</v>
      </c>
      <c r="K1409">
        <v>0.69438350701214402</v>
      </c>
      <c r="L1409">
        <v>972.25362613147502</v>
      </c>
      <c r="M1409">
        <v>19.934848822858299</v>
      </c>
      <c r="O1409">
        <v>48.288747967395999</v>
      </c>
      <c r="P1409">
        <v>-3.9399267269300001E-2</v>
      </c>
      <c r="Q1409">
        <v>0.618260906447337</v>
      </c>
      <c r="R1409">
        <v>0.72964719064944095</v>
      </c>
      <c r="S1409" t="s">
        <v>8215</v>
      </c>
      <c r="T1409" t="s">
        <v>13610</v>
      </c>
      <c r="U1409" t="s">
        <v>13610</v>
      </c>
      <c r="V1409" t="s">
        <v>13610</v>
      </c>
      <c r="W1409" t="s">
        <v>14984</v>
      </c>
      <c r="X1409">
        <v>10</v>
      </c>
      <c r="Y1409" t="s">
        <v>21686</v>
      </c>
      <c r="Z1409" t="s">
        <v>28264</v>
      </c>
      <c r="AA1409">
        <v>0.73527169981418605</v>
      </c>
      <c r="AB1409" t="str">
        <f>HYPERLINK("Melting_Curves/meltCurve_O60583_2_CCNT2.pdf", "Melting_Curves/meltCurve_O60583_2_CCNT2.pdf")</f>
        <v>Melting_Curves/meltCurve_O60583_2_CCNT2.pdf</v>
      </c>
    </row>
    <row r="1410" spans="1:28" x14ac:dyDescent="0.25">
      <c r="A1410" t="s">
        <v>1414</v>
      </c>
      <c r="B1410">
        <v>0.995954080203443</v>
      </c>
      <c r="C1410">
        <v>0.87841754089669499</v>
      </c>
      <c r="D1410">
        <v>0.75690416994867504</v>
      </c>
      <c r="E1410">
        <v>0.78260839578822505</v>
      </c>
      <c r="F1410">
        <v>0.63948934591575701</v>
      </c>
      <c r="G1410">
        <v>0.26908902358901898</v>
      </c>
      <c r="H1410">
        <v>0.21228117805761901</v>
      </c>
      <c r="I1410">
        <v>0.217837649803026</v>
      </c>
      <c r="J1410">
        <v>0.249900447510917</v>
      </c>
      <c r="K1410">
        <v>0.21398990600425999</v>
      </c>
      <c r="L1410">
        <v>627.24875614827295</v>
      </c>
      <c r="M1410">
        <v>11.9557370799673</v>
      </c>
      <c r="N1410">
        <v>53.934791669057503</v>
      </c>
      <c r="O1410">
        <v>51.061116544807902</v>
      </c>
      <c r="P1410">
        <v>-5.04070170928674E-2</v>
      </c>
      <c r="Q1410">
        <v>0.13908844363315601</v>
      </c>
      <c r="R1410">
        <v>0.94137767590405597</v>
      </c>
      <c r="S1410" t="s">
        <v>8216</v>
      </c>
      <c r="T1410" t="s">
        <v>13610</v>
      </c>
      <c r="U1410" t="s">
        <v>13610</v>
      </c>
      <c r="V1410" t="s">
        <v>13610</v>
      </c>
      <c r="W1410" t="s">
        <v>14985</v>
      </c>
      <c r="X1410">
        <v>7</v>
      </c>
      <c r="Y1410" t="s">
        <v>21687</v>
      </c>
      <c r="Z1410" t="s">
        <v>28265</v>
      </c>
      <c r="AA1410">
        <v>0.52240256849193445</v>
      </c>
      <c r="AB1410" t="str">
        <f>HYPERLINK("Melting_Curves/meltCurve_O60613_SEP15.pdf", "Melting_Curves/meltCurve_O60613_SEP15.pdf")</f>
        <v>Melting_Curves/meltCurve_O60613_SEP15.pdf</v>
      </c>
    </row>
    <row r="1411" spans="1:28" x14ac:dyDescent="0.25">
      <c r="A1411" t="s">
        <v>1415</v>
      </c>
      <c r="B1411">
        <v>0.995954080203443</v>
      </c>
      <c r="C1411">
        <v>0.74573700085253003</v>
      </c>
      <c r="D1411">
        <v>0.41407161483257898</v>
      </c>
      <c r="E1411">
        <v>0.22098998984935</v>
      </c>
      <c r="F1411">
        <v>0.11827991458022</v>
      </c>
      <c r="G1411">
        <v>7.1325694401386294E-2</v>
      </c>
      <c r="H1411">
        <v>4.9225204572424602E-2</v>
      </c>
      <c r="I1411">
        <v>4.8375244148388799E-2</v>
      </c>
      <c r="J1411">
        <v>5.9958737423021102E-2</v>
      </c>
      <c r="K1411">
        <v>5.2112760402017198E-2</v>
      </c>
      <c r="L1411">
        <v>907.17737357761598</v>
      </c>
      <c r="M1411">
        <v>20.0889949303814</v>
      </c>
      <c r="N1411">
        <v>45.440036655846903</v>
      </c>
      <c r="O1411">
        <v>44.717596932701902</v>
      </c>
      <c r="P1411">
        <v>-0.10572896661933701</v>
      </c>
      <c r="Q1411">
        <v>5.8630054486304699E-2</v>
      </c>
      <c r="R1411">
        <v>0.99277838876873203</v>
      </c>
      <c r="S1411" t="s">
        <v>8217</v>
      </c>
      <c r="T1411" t="s">
        <v>13610</v>
      </c>
      <c r="U1411" t="s">
        <v>13610</v>
      </c>
      <c r="V1411" t="s">
        <v>13610</v>
      </c>
      <c r="W1411" t="s">
        <v>14986</v>
      </c>
      <c r="X1411">
        <v>22</v>
      </c>
      <c r="Y1411" t="s">
        <v>21688</v>
      </c>
      <c r="Z1411" t="s">
        <v>28266</v>
      </c>
      <c r="AA1411">
        <v>0.23598315846577819</v>
      </c>
      <c r="AB1411" t="str">
        <f>HYPERLINK("Melting_Curves/meltCurve_O60645_2_EXOC3.pdf", "Melting_Curves/meltCurve_O60645_2_EXOC3.pdf")</f>
        <v>Melting_Curves/meltCurve_O60645_2_EXOC3.pdf</v>
      </c>
    </row>
    <row r="1412" spans="1:28" x14ac:dyDescent="0.25">
      <c r="A1412" t="s">
        <v>1416</v>
      </c>
      <c r="B1412">
        <v>0.995954080203443</v>
      </c>
      <c r="C1412">
        <v>1.04223922310101</v>
      </c>
      <c r="D1412">
        <v>1.06505799634131</v>
      </c>
      <c r="E1412">
        <v>0.98325862007568399</v>
      </c>
      <c r="F1412">
        <v>0.99337834378893897</v>
      </c>
      <c r="G1412">
        <v>0.72633010442288803</v>
      </c>
      <c r="H1412">
        <v>0.48889522792157702</v>
      </c>
      <c r="I1412">
        <v>0.43310838670941598</v>
      </c>
      <c r="J1412">
        <v>0.47983807504687997</v>
      </c>
      <c r="K1412">
        <v>0.46181623802687599</v>
      </c>
      <c r="L1412">
        <v>2821.2254596152202</v>
      </c>
      <c r="M1412">
        <v>49.512875916164901</v>
      </c>
      <c r="N1412">
        <v>60.044715920202201</v>
      </c>
      <c r="O1412">
        <v>56.886920638267902</v>
      </c>
      <c r="P1412">
        <v>-0.11748543115292499</v>
      </c>
      <c r="Q1412">
        <v>0.46006951900648702</v>
      </c>
      <c r="R1412">
        <v>0.98875960614383995</v>
      </c>
      <c r="S1412" t="s">
        <v>8218</v>
      </c>
      <c r="T1412" t="s">
        <v>13610</v>
      </c>
      <c r="U1412" t="s">
        <v>13610</v>
      </c>
      <c r="V1412" t="s">
        <v>13610</v>
      </c>
      <c r="W1412" t="s">
        <v>14987</v>
      </c>
      <c r="X1412">
        <v>23</v>
      </c>
      <c r="Y1412" t="s">
        <v>21689</v>
      </c>
      <c r="Z1412" t="s">
        <v>28267</v>
      </c>
      <c r="AA1412">
        <v>0.76704430379147448</v>
      </c>
      <c r="AB1412" t="str">
        <f>HYPERLINK("Melting_Curves/meltCurve_O60664_4_PLIN3.pdf", "Melting_Curves/meltCurve_O60664_4_PLIN3.pdf")</f>
        <v>Melting_Curves/meltCurve_O60664_4_PLIN3.pdf</v>
      </c>
    </row>
    <row r="1413" spans="1:28" x14ac:dyDescent="0.25">
      <c r="A1413" t="s">
        <v>1417</v>
      </c>
      <c r="B1413">
        <v>0.995954080203443</v>
      </c>
      <c r="C1413">
        <v>1.1695534127912599</v>
      </c>
      <c r="D1413">
        <v>1.15740279651588</v>
      </c>
      <c r="E1413">
        <v>0.99111224771204998</v>
      </c>
      <c r="F1413">
        <v>0.83269665623843803</v>
      </c>
      <c r="G1413">
        <v>0.49235932929792797</v>
      </c>
      <c r="H1413">
        <v>0.22882999214949701</v>
      </c>
      <c r="I1413">
        <v>0.109647881927477</v>
      </c>
      <c r="J1413">
        <v>7.1176047359268399E-2</v>
      </c>
      <c r="K1413">
        <v>6.29259184703157E-2</v>
      </c>
      <c r="L1413">
        <v>1349.6760762225999</v>
      </c>
      <c r="M1413">
        <v>23.793085320007599</v>
      </c>
      <c r="N1413">
        <v>57.005398282507898</v>
      </c>
      <c r="O1413">
        <v>56.329410955699899</v>
      </c>
      <c r="P1413">
        <v>-9.9779200261791198E-2</v>
      </c>
      <c r="Q1413">
        <v>5.5118545364485801E-2</v>
      </c>
      <c r="R1413">
        <v>0.97101352945803798</v>
      </c>
      <c r="S1413" t="s">
        <v>8219</v>
      </c>
      <c r="T1413" t="s">
        <v>13610</v>
      </c>
      <c r="U1413" t="s">
        <v>13610</v>
      </c>
      <c r="V1413" t="s">
        <v>13610</v>
      </c>
      <c r="W1413" t="s">
        <v>14988</v>
      </c>
      <c r="X1413">
        <v>5</v>
      </c>
      <c r="Y1413" t="s">
        <v>21690</v>
      </c>
      <c r="Z1413" t="s">
        <v>28268</v>
      </c>
      <c r="AA1413">
        <v>0.59115688729053117</v>
      </c>
      <c r="AB1413" t="str">
        <f>HYPERLINK("Melting_Curves/meltCurve_O60671_RAD1.pdf", "Melting_Curves/meltCurve_O60671_RAD1.pdf")</f>
        <v>Melting_Curves/meltCurve_O60671_RAD1.pdf</v>
      </c>
    </row>
    <row r="1414" spans="1:28" x14ac:dyDescent="0.25">
      <c r="A1414" t="s">
        <v>1418</v>
      </c>
      <c r="B1414">
        <v>0.995954080203443</v>
      </c>
      <c r="C1414">
        <v>0.88660093433110398</v>
      </c>
      <c r="D1414">
        <v>0.80633487357078903</v>
      </c>
      <c r="E1414">
        <v>0.705745047716549</v>
      </c>
      <c r="F1414">
        <v>0.22535128420360501</v>
      </c>
      <c r="G1414">
        <v>9.6980813811681596E-2</v>
      </c>
      <c r="H1414">
        <v>5.5923641251802603E-2</v>
      </c>
      <c r="I1414">
        <v>3.8131554910570298E-2</v>
      </c>
      <c r="J1414">
        <v>4.3051409633311E-2</v>
      </c>
      <c r="K1414">
        <v>3.7562041662695597E-2</v>
      </c>
      <c r="L1414">
        <v>1058.0260793894199</v>
      </c>
      <c r="M1414">
        <v>20.8439027230459</v>
      </c>
      <c r="N1414">
        <v>50.869845715846502</v>
      </c>
      <c r="O1414">
        <v>50.299243909396402</v>
      </c>
      <c r="P1414">
        <v>-0.10131241050867799</v>
      </c>
      <c r="Q1414">
        <v>2.2103576950829599E-2</v>
      </c>
      <c r="R1414">
        <v>0.97396359018379497</v>
      </c>
      <c r="S1414" t="s">
        <v>8220</v>
      </c>
      <c r="T1414" t="s">
        <v>13610</v>
      </c>
      <c r="U1414" t="s">
        <v>13610</v>
      </c>
      <c r="V1414" t="s">
        <v>13610</v>
      </c>
      <c r="W1414" t="s">
        <v>14989</v>
      </c>
      <c r="X1414">
        <v>12</v>
      </c>
      <c r="Y1414" t="s">
        <v>21691</v>
      </c>
      <c r="Z1414" t="s">
        <v>28269</v>
      </c>
      <c r="AA1414">
        <v>0.38538235609596949</v>
      </c>
      <c r="AB1414" t="str">
        <f>HYPERLINK("Melting_Curves/meltCurve_O60678_PRMT3.pdf", "Melting_Curves/meltCurve_O60678_PRMT3.pdf")</f>
        <v>Melting_Curves/meltCurve_O60678_PRMT3.pdf</v>
      </c>
    </row>
    <row r="1415" spans="1:28" x14ac:dyDescent="0.25">
      <c r="A1415" t="s">
        <v>1419</v>
      </c>
      <c r="B1415">
        <v>0.995954080203443</v>
      </c>
      <c r="C1415">
        <v>0.85168740522508302</v>
      </c>
      <c r="D1415">
        <v>0.66961648502837301</v>
      </c>
      <c r="E1415">
        <v>0.418819033582644</v>
      </c>
      <c r="F1415">
        <v>0.16731138455014699</v>
      </c>
      <c r="G1415">
        <v>0.102683012147463</v>
      </c>
      <c r="H1415">
        <v>7.5002593931216902E-2</v>
      </c>
      <c r="I1415">
        <v>7.0417706846373704E-2</v>
      </c>
      <c r="J1415">
        <v>8.4757750667714293E-2</v>
      </c>
      <c r="K1415">
        <v>7.6499714755954795E-2</v>
      </c>
      <c r="L1415">
        <v>798.01660790888604</v>
      </c>
      <c r="M1415">
        <v>16.682228309576701</v>
      </c>
      <c r="N1415">
        <v>48.192445080546598</v>
      </c>
      <c r="O1415">
        <v>47.164791591775703</v>
      </c>
      <c r="P1415">
        <v>-8.3303051402800907E-2</v>
      </c>
      <c r="Q1415">
        <v>5.7989047828191899E-2</v>
      </c>
      <c r="R1415">
        <v>0.99354838667432199</v>
      </c>
      <c r="S1415" t="s">
        <v>8221</v>
      </c>
      <c r="T1415" t="s">
        <v>13610</v>
      </c>
      <c r="U1415" t="s">
        <v>13610</v>
      </c>
      <c r="V1415" t="s">
        <v>13610</v>
      </c>
      <c r="W1415" t="s">
        <v>14990</v>
      </c>
      <c r="X1415">
        <v>19</v>
      </c>
      <c r="Y1415" t="s">
        <v>21692</v>
      </c>
      <c r="Z1415" t="s">
        <v>28270</v>
      </c>
      <c r="AA1415">
        <v>0.323740130351726</v>
      </c>
      <c r="AB1415" t="str">
        <f>HYPERLINK("Melting_Curves/meltCurve_O60701_UGDH.pdf", "Melting_Curves/meltCurve_O60701_UGDH.pdf")</f>
        <v>Melting_Curves/meltCurve_O60701_UGDH.pdf</v>
      </c>
    </row>
    <row r="1416" spans="1:28" x14ac:dyDescent="0.25">
      <c r="A1416" t="s">
        <v>1420</v>
      </c>
      <c r="B1416">
        <v>0.995954080203443</v>
      </c>
      <c r="C1416">
        <v>0.67179003681267702</v>
      </c>
      <c r="D1416">
        <v>0.383435290526418</v>
      </c>
      <c r="E1416">
        <v>0.37347093304964701</v>
      </c>
      <c r="F1416">
        <v>0.28300037648840898</v>
      </c>
      <c r="G1416">
        <v>0.214491759557984</v>
      </c>
      <c r="H1416">
        <v>0.200601466003138</v>
      </c>
      <c r="I1416">
        <v>0.233145311747638</v>
      </c>
      <c r="J1416">
        <v>0.24684541192214399</v>
      </c>
      <c r="K1416">
        <v>0.25709715805650202</v>
      </c>
      <c r="L1416">
        <v>1188.1472052123199</v>
      </c>
      <c r="M1416">
        <v>27.309489631730798</v>
      </c>
      <c r="N1416">
        <v>44.655178605591999</v>
      </c>
      <c r="O1416">
        <v>43.275482460588201</v>
      </c>
      <c r="P1416">
        <v>-0.11796495747633599</v>
      </c>
      <c r="Q1416">
        <v>0.25228313974671202</v>
      </c>
      <c r="R1416">
        <v>0.96688812026622395</v>
      </c>
      <c r="S1416" t="s">
        <v>8222</v>
      </c>
      <c r="T1416" t="s">
        <v>13610</v>
      </c>
      <c r="U1416" t="s">
        <v>13610</v>
      </c>
      <c r="V1416" t="s">
        <v>13610</v>
      </c>
      <c r="W1416" t="s">
        <v>14991</v>
      </c>
      <c r="X1416">
        <v>26</v>
      </c>
      <c r="Y1416" t="s">
        <v>21693</v>
      </c>
      <c r="Z1416" t="s">
        <v>28271</v>
      </c>
      <c r="AA1416">
        <v>0.34730445162428758</v>
      </c>
      <c r="AB1416" t="str">
        <f>HYPERLINK("Melting_Curves/meltCurve_O60716_5_CTNND1.pdf", "Melting_Curves/meltCurve_O60716_5_CTNND1.pdf")</f>
        <v>Melting_Curves/meltCurve_O60716_5_CTNND1.pdf</v>
      </c>
    </row>
    <row r="1417" spans="1:28" x14ac:dyDescent="0.25">
      <c r="A1417" t="s">
        <v>1421</v>
      </c>
      <c r="B1417">
        <v>0.995954080203443</v>
      </c>
      <c r="C1417">
        <v>0.86295860421689596</v>
      </c>
      <c r="D1417">
        <v>0.77991719194619202</v>
      </c>
      <c r="E1417">
        <v>0.64089347637607197</v>
      </c>
      <c r="F1417">
        <v>0.58767617707333597</v>
      </c>
      <c r="G1417">
        <v>0.34877210509365397</v>
      </c>
      <c r="H1417">
        <v>0.25192326993200298</v>
      </c>
      <c r="I1417">
        <v>0.22974199973027801</v>
      </c>
      <c r="J1417">
        <v>0.23420207802871501</v>
      </c>
      <c r="K1417">
        <v>0.19969506253157901</v>
      </c>
      <c r="L1417">
        <v>500.98981096519498</v>
      </c>
      <c r="M1417">
        <v>9.6385573325544804</v>
      </c>
      <c r="N1417">
        <v>53.4770939486964</v>
      </c>
      <c r="O1417">
        <v>49.888109364150601</v>
      </c>
      <c r="P1417">
        <v>-4.2605601612142101E-2</v>
      </c>
      <c r="Q1417">
        <v>0.118405907623718</v>
      </c>
      <c r="R1417">
        <v>0.98507433991267901</v>
      </c>
      <c r="S1417" t="s">
        <v>8223</v>
      </c>
      <c r="T1417" t="s">
        <v>13610</v>
      </c>
      <c r="U1417" t="s">
        <v>13610</v>
      </c>
      <c r="V1417" t="s">
        <v>13610</v>
      </c>
      <c r="W1417" t="s">
        <v>14992</v>
      </c>
      <c r="X1417">
        <v>10</v>
      </c>
      <c r="Y1417" t="s">
        <v>21694</v>
      </c>
      <c r="Z1417" t="s">
        <v>28272</v>
      </c>
      <c r="AA1417">
        <v>0.50527436407590398</v>
      </c>
      <c r="AB1417" t="str">
        <f>HYPERLINK("Melting_Curves/meltCurve_O60732_MAGEC1.pdf", "Melting_Curves/meltCurve_O60732_MAGEC1.pdf")</f>
        <v>Melting_Curves/meltCurve_O60732_MAGEC1.pdf</v>
      </c>
    </row>
    <row r="1418" spans="1:28" x14ac:dyDescent="0.25">
      <c r="A1418" t="s">
        <v>1422</v>
      </c>
      <c r="B1418">
        <v>0.995954080203443</v>
      </c>
      <c r="C1418">
        <v>0.94885632407595599</v>
      </c>
      <c r="D1418">
        <v>0.77677301658397402</v>
      </c>
      <c r="E1418">
        <v>0.409238364729266</v>
      </c>
      <c r="F1418">
        <v>0.20195746981820401</v>
      </c>
      <c r="G1418">
        <v>0.120669139281711</v>
      </c>
      <c r="H1418">
        <v>9.0474742535244498E-2</v>
      </c>
      <c r="I1418">
        <v>9.0911476094392096E-2</v>
      </c>
      <c r="J1418">
        <v>0.11509775306073999</v>
      </c>
      <c r="K1418">
        <v>0.10355017751541</v>
      </c>
      <c r="L1418">
        <v>1063.94378138007</v>
      </c>
      <c r="M1418">
        <v>21.968020446937899</v>
      </c>
      <c r="N1418">
        <v>48.894229132182602</v>
      </c>
      <c r="O1418">
        <v>48.0355189053939</v>
      </c>
      <c r="P1418">
        <v>-0.10360325676104699</v>
      </c>
      <c r="Q1418">
        <v>9.3860283665327199E-2</v>
      </c>
      <c r="R1418">
        <v>0.99918710006860501</v>
      </c>
      <c r="S1418" t="s">
        <v>8224</v>
      </c>
      <c r="T1418" t="s">
        <v>13610</v>
      </c>
      <c r="U1418" t="s">
        <v>13610</v>
      </c>
      <c r="V1418" t="s">
        <v>13610</v>
      </c>
      <c r="W1418" t="s">
        <v>14993</v>
      </c>
      <c r="X1418">
        <v>20</v>
      </c>
      <c r="Y1418" t="s">
        <v>21695</v>
      </c>
      <c r="Z1418" t="s">
        <v>28273</v>
      </c>
      <c r="AA1418">
        <v>0.3590334982422968</v>
      </c>
      <c r="AB1418" t="str">
        <f>HYPERLINK("Melting_Curves/meltCurve_O60749_SNX2.pdf", "Melting_Curves/meltCurve_O60749_SNX2.pdf")</f>
        <v>Melting_Curves/meltCurve_O60749_SNX2.pdf</v>
      </c>
    </row>
    <row r="1419" spans="1:28" x14ac:dyDescent="0.25">
      <c r="A1419" t="s">
        <v>1423</v>
      </c>
      <c r="B1419">
        <v>0.995954080203443</v>
      </c>
      <c r="C1419">
        <v>0.96729263825469403</v>
      </c>
      <c r="D1419">
        <v>0.75370499060084395</v>
      </c>
      <c r="E1419">
        <v>0.851539669842589</v>
      </c>
      <c r="F1419">
        <v>0.35447839802562098</v>
      </c>
      <c r="G1419">
        <v>0.15822233032532099</v>
      </c>
      <c r="H1419">
        <v>9.6237573982412297E-2</v>
      </c>
      <c r="I1419">
        <v>9.5097253624766995E-2</v>
      </c>
      <c r="J1419">
        <v>8.5074478386775398E-2</v>
      </c>
      <c r="K1419">
        <v>0.110352542795172</v>
      </c>
      <c r="L1419">
        <v>1825.5845250542</v>
      </c>
      <c r="M1419">
        <v>35.2210774096676</v>
      </c>
      <c r="N1419">
        <v>52.155668283899999</v>
      </c>
      <c r="O1419">
        <v>51.665923012117403</v>
      </c>
      <c r="P1419">
        <v>-0.15370437415621199</v>
      </c>
      <c r="Q1419">
        <v>9.8125142645941299E-2</v>
      </c>
      <c r="R1419">
        <v>0.95707140380196698</v>
      </c>
      <c r="S1419" t="s">
        <v>8225</v>
      </c>
      <c r="T1419" t="s">
        <v>13610</v>
      </c>
      <c r="U1419" t="s">
        <v>13610</v>
      </c>
      <c r="V1419" t="s">
        <v>13610</v>
      </c>
      <c r="W1419" t="s">
        <v>14994</v>
      </c>
      <c r="X1419">
        <v>3</v>
      </c>
      <c r="Y1419" t="s">
        <v>21696</v>
      </c>
      <c r="Z1419" t="s">
        <v>28274</v>
      </c>
      <c r="AA1419">
        <v>0.45800035408049689</v>
      </c>
      <c r="AB1419" t="str">
        <f>HYPERLINK("Melting_Curves/meltCurve_O60762_DPM1.pdf", "Melting_Curves/meltCurve_O60762_DPM1.pdf")</f>
        <v>Melting_Curves/meltCurve_O60762_DPM1.pdf</v>
      </c>
    </row>
    <row r="1420" spans="1:28" x14ac:dyDescent="0.25">
      <c r="A1420" t="s">
        <v>1424</v>
      </c>
      <c r="B1420">
        <v>0.995954080203443</v>
      </c>
      <c r="C1420">
        <v>1.0056608054439</v>
      </c>
      <c r="D1420">
        <v>1.06490164037118</v>
      </c>
      <c r="E1420">
        <v>0.95320847155651001</v>
      </c>
      <c r="F1420">
        <v>0.349572110350515</v>
      </c>
      <c r="G1420">
        <v>0.117873031606885</v>
      </c>
      <c r="H1420">
        <v>7.1987996417221506E-2</v>
      </c>
      <c r="I1420">
        <v>5.8655672632468701E-2</v>
      </c>
      <c r="J1420">
        <v>6.4944114334953604E-2</v>
      </c>
      <c r="K1420">
        <v>5.7956945167665301E-2</v>
      </c>
      <c r="L1420">
        <v>3252.66259097886</v>
      </c>
      <c r="M1420">
        <v>62.214190251794101</v>
      </c>
      <c r="N1420">
        <v>52.414408045597497</v>
      </c>
      <c r="O1420">
        <v>52.227753898116603</v>
      </c>
      <c r="P1420">
        <v>-0.27609895316675398</v>
      </c>
      <c r="Q1420">
        <v>7.2878967807739004E-2</v>
      </c>
      <c r="R1420">
        <v>0.99673399475222302</v>
      </c>
      <c r="S1420" t="s">
        <v>8226</v>
      </c>
      <c r="T1420" t="s">
        <v>13610</v>
      </c>
      <c r="U1420" t="s">
        <v>13610</v>
      </c>
      <c r="V1420" t="s">
        <v>13610</v>
      </c>
      <c r="W1420" t="s">
        <v>14995</v>
      </c>
      <c r="X1420">
        <v>39</v>
      </c>
      <c r="Y1420" t="s">
        <v>21697</v>
      </c>
      <c r="Z1420" t="s">
        <v>28275</v>
      </c>
      <c r="AA1420">
        <v>0.45381076296040329</v>
      </c>
      <c r="AB1420" t="str">
        <f>HYPERLINK("Melting_Curves/meltCurve_O60763_USO1.pdf", "Melting_Curves/meltCurve_O60763_USO1.pdf")</f>
        <v>Melting_Curves/meltCurve_O60763_USO1.pdf</v>
      </c>
    </row>
    <row r="1421" spans="1:28" x14ac:dyDescent="0.25">
      <c r="A1421" t="s">
        <v>1425</v>
      </c>
      <c r="B1421">
        <v>0.995954080203443</v>
      </c>
      <c r="C1421">
        <v>0.79153647636199298</v>
      </c>
      <c r="D1421">
        <v>0.51174718081546899</v>
      </c>
      <c r="E1421">
        <v>0.47746144069250601</v>
      </c>
      <c r="F1421">
        <v>0.17043566184990699</v>
      </c>
      <c r="G1421">
        <v>0.107116798114617</v>
      </c>
      <c r="H1421">
        <v>7.0901366340490601E-2</v>
      </c>
      <c r="I1421">
        <v>6.5495169027873099E-2</v>
      </c>
      <c r="J1421">
        <v>6.9910582009629699E-2</v>
      </c>
      <c r="K1421">
        <v>6.7859325536134593E-2</v>
      </c>
      <c r="L1421">
        <v>627.75080059700997</v>
      </c>
      <c r="M1421">
        <v>13.297536391086201</v>
      </c>
      <c r="N1421">
        <v>47.5085085678122</v>
      </c>
      <c r="O1421">
        <v>46.178724086807698</v>
      </c>
      <c r="P1421">
        <v>-6.9097255449972098E-2</v>
      </c>
      <c r="Q1421">
        <v>4.0331150075537198E-2</v>
      </c>
      <c r="R1421">
        <v>0.96769136311011195</v>
      </c>
      <c r="S1421" t="s">
        <v>8227</v>
      </c>
      <c r="T1421" t="s">
        <v>13610</v>
      </c>
      <c r="U1421" t="s">
        <v>13610</v>
      </c>
      <c r="V1421" t="s">
        <v>13610</v>
      </c>
      <c r="W1421" t="s">
        <v>14996</v>
      </c>
      <c r="X1421">
        <v>20</v>
      </c>
      <c r="Y1421" t="s">
        <v>21698</v>
      </c>
      <c r="Z1421" t="s">
        <v>28276</v>
      </c>
      <c r="AA1421">
        <v>0.30363051630431959</v>
      </c>
      <c r="AB1421" t="str">
        <f>HYPERLINK("Melting_Curves/meltCurve_O60826_CCDC22.pdf", "Melting_Curves/meltCurve_O60826_CCDC22.pdf")</f>
        <v>Melting_Curves/meltCurve_O60826_CCDC22.pdf</v>
      </c>
    </row>
    <row r="1422" spans="1:28" x14ac:dyDescent="0.25">
      <c r="A1422" t="s">
        <v>1426</v>
      </c>
      <c r="B1422">
        <v>0.995954080203443</v>
      </c>
      <c r="C1422">
        <v>0.95004626669323</v>
      </c>
      <c r="D1422">
        <v>1.1150505205472301</v>
      </c>
      <c r="E1422">
        <v>0.93901977821564198</v>
      </c>
      <c r="F1422">
        <v>1.0803571023916001</v>
      </c>
      <c r="G1422">
        <v>0.918734830808414</v>
      </c>
      <c r="H1422">
        <v>0.90519727991757404</v>
      </c>
      <c r="I1422">
        <v>1.1571717557178001</v>
      </c>
      <c r="J1422">
        <v>1.5313297733343001</v>
      </c>
      <c r="K1422">
        <v>1.30802435081945</v>
      </c>
      <c r="L1422">
        <v>15000</v>
      </c>
      <c r="M1422">
        <v>233.86225570144001</v>
      </c>
      <c r="O1422">
        <v>64.135631724730999</v>
      </c>
      <c r="P1422">
        <v>0.382577376509527</v>
      </c>
      <c r="Q1422">
        <v>1.41968022414436</v>
      </c>
      <c r="R1422">
        <v>0.81655393067429904</v>
      </c>
      <c r="S1422" t="s">
        <v>8228</v>
      </c>
      <c r="T1422" t="s">
        <v>13610</v>
      </c>
      <c r="U1422" t="s">
        <v>13610</v>
      </c>
      <c r="V1422" t="s">
        <v>13610</v>
      </c>
      <c r="W1422" t="s">
        <v>14997</v>
      </c>
      <c r="X1422">
        <v>12</v>
      </c>
      <c r="Y1422" t="s">
        <v>21699</v>
      </c>
      <c r="Z1422" t="s">
        <v>28277</v>
      </c>
      <c r="AA1422">
        <v>1.081919067661864</v>
      </c>
      <c r="AB1422" t="str">
        <f>HYPERLINK("Melting_Curves/meltCurve_O60828_2_PQBP1.pdf", "Melting_Curves/meltCurve_O60828_2_PQBP1.pdf")</f>
        <v>Melting_Curves/meltCurve_O60828_2_PQBP1.pdf</v>
      </c>
    </row>
    <row r="1423" spans="1:28" x14ac:dyDescent="0.25">
      <c r="A1423" t="s">
        <v>1427</v>
      </c>
      <c r="B1423">
        <v>0.995954080203443</v>
      </c>
      <c r="C1423">
        <v>0.91022565372661601</v>
      </c>
      <c r="D1423">
        <v>1.1236813828971901</v>
      </c>
      <c r="E1423">
        <v>0.88793624715276798</v>
      </c>
      <c r="F1423">
        <v>0.90915258892459205</v>
      </c>
      <c r="G1423">
        <v>0.60619702234928496</v>
      </c>
      <c r="H1423">
        <v>0.563205827523235</v>
      </c>
      <c r="I1423">
        <v>0.61987872721022497</v>
      </c>
      <c r="J1423">
        <v>0.81419060896044904</v>
      </c>
      <c r="K1423">
        <v>0.73718549911777997</v>
      </c>
      <c r="L1423">
        <v>7887.2490798584604</v>
      </c>
      <c r="M1423">
        <v>147.84109725967801</v>
      </c>
      <c r="O1423">
        <v>53.339742752881101</v>
      </c>
      <c r="P1423">
        <v>-0.229960606050857</v>
      </c>
      <c r="Q1423">
        <v>0.668129102023717</v>
      </c>
      <c r="R1423">
        <v>0.73805557057204196</v>
      </c>
      <c r="S1423" t="s">
        <v>8229</v>
      </c>
      <c r="T1423" t="s">
        <v>13610</v>
      </c>
      <c r="U1423" t="s">
        <v>13610</v>
      </c>
      <c r="V1423" t="s">
        <v>13610</v>
      </c>
      <c r="W1423" t="s">
        <v>14998</v>
      </c>
      <c r="X1423">
        <v>2</v>
      </c>
      <c r="Y1423" t="s">
        <v>21700</v>
      </c>
      <c r="Z1423" t="s">
        <v>28278</v>
      </c>
      <c r="AA1423">
        <v>0.81589504260339507</v>
      </c>
      <c r="AB1423" t="str">
        <f>HYPERLINK("Melting_Curves/meltCurve_O60829_PAGE4.pdf", "Melting_Curves/meltCurve_O60829_PAGE4.pdf")</f>
        <v>Melting_Curves/meltCurve_O60829_PAGE4.pdf</v>
      </c>
    </row>
    <row r="1424" spans="1:28" x14ac:dyDescent="0.25">
      <c r="A1424" t="s">
        <v>1428</v>
      </c>
      <c r="B1424">
        <v>0.995954080203443</v>
      </c>
      <c r="C1424">
        <v>0.88386814626259402</v>
      </c>
      <c r="D1424">
        <v>0.87436032292302002</v>
      </c>
      <c r="E1424">
        <v>0.93072131184986995</v>
      </c>
      <c r="F1424">
        <v>0.79951014866040104</v>
      </c>
      <c r="G1424">
        <v>0.63108178016026095</v>
      </c>
      <c r="H1424">
        <v>0.47095075589097302</v>
      </c>
      <c r="I1424">
        <v>0.46685603276212201</v>
      </c>
      <c r="J1424">
        <v>0.45543904855995598</v>
      </c>
      <c r="K1424">
        <v>0.47338182017562302</v>
      </c>
      <c r="L1424">
        <v>791.83366643171701</v>
      </c>
      <c r="M1424">
        <v>14.451951478675801</v>
      </c>
      <c r="N1424">
        <v>62.3230927191224</v>
      </c>
      <c r="O1424">
        <v>53.773751523177701</v>
      </c>
      <c r="P1424">
        <v>-3.9456382552024799E-2</v>
      </c>
      <c r="Q1424">
        <v>0.41282123352731898</v>
      </c>
      <c r="R1424">
        <v>0.93973371925195104</v>
      </c>
      <c r="S1424" t="s">
        <v>8230</v>
      </c>
      <c r="T1424" t="s">
        <v>13610</v>
      </c>
      <c r="U1424" t="s">
        <v>13610</v>
      </c>
      <c r="V1424" t="s">
        <v>13610</v>
      </c>
      <c r="W1424" t="s">
        <v>14999</v>
      </c>
      <c r="X1424">
        <v>25</v>
      </c>
      <c r="Y1424" t="s">
        <v>21701</v>
      </c>
      <c r="Z1424" t="s">
        <v>28279</v>
      </c>
      <c r="AA1424">
        <v>0.71427106699558296</v>
      </c>
      <c r="AB1424" t="str">
        <f>HYPERLINK("Melting_Curves/meltCurve_O60832_DKC1.pdf", "Melting_Curves/meltCurve_O60832_DKC1.pdf")</f>
        <v>Melting_Curves/meltCurve_O60832_DKC1.pdf</v>
      </c>
    </row>
    <row r="1425" spans="1:28" x14ac:dyDescent="0.25">
      <c r="A1425" t="s">
        <v>1429</v>
      </c>
      <c r="B1425">
        <v>0.995954080203443</v>
      </c>
      <c r="C1425">
        <v>0.99356801066409495</v>
      </c>
      <c r="D1425">
        <v>0.97496583709110596</v>
      </c>
      <c r="E1425">
        <v>0.784780068552416</v>
      </c>
      <c r="F1425">
        <v>0.41494951919615197</v>
      </c>
      <c r="G1425">
        <v>0.27363722682868402</v>
      </c>
      <c r="H1425">
        <v>0.217807397320365</v>
      </c>
      <c r="I1425">
        <v>0.24168748355302</v>
      </c>
      <c r="J1425">
        <v>0.27100262472292103</v>
      </c>
      <c r="K1425">
        <v>0.26370874699569602</v>
      </c>
      <c r="L1425">
        <v>1890.1655044105501</v>
      </c>
      <c r="M1425">
        <v>36.9084190135423</v>
      </c>
      <c r="N1425">
        <v>52.188643459291399</v>
      </c>
      <c r="O1425">
        <v>51.062667237553299</v>
      </c>
      <c r="P1425">
        <v>-0.13564756982093901</v>
      </c>
      <c r="Q1425">
        <v>0.24933041207720699</v>
      </c>
      <c r="R1425">
        <v>0.99801970187695099</v>
      </c>
      <c r="S1425" t="s">
        <v>8231</v>
      </c>
      <c r="T1425" t="s">
        <v>13610</v>
      </c>
      <c r="U1425" t="s">
        <v>13610</v>
      </c>
      <c r="V1425" t="s">
        <v>13610</v>
      </c>
      <c r="W1425" t="s">
        <v>15000</v>
      </c>
      <c r="X1425">
        <v>67</v>
      </c>
      <c r="Y1425" t="s">
        <v>21702</v>
      </c>
      <c r="Z1425" t="s">
        <v>28280</v>
      </c>
      <c r="AA1425">
        <v>0.53301255814618786</v>
      </c>
      <c r="AB1425" t="str">
        <f>HYPERLINK("Melting_Curves/meltCurve_O60841_EIF5B.pdf", "Melting_Curves/meltCurve_O60841_EIF5B.pdf")</f>
        <v>Melting_Curves/meltCurve_O60841_EIF5B.pdf</v>
      </c>
    </row>
    <row r="1426" spans="1:28" x14ac:dyDescent="0.25">
      <c r="A1426" t="s">
        <v>1430</v>
      </c>
      <c r="B1426">
        <v>0.995954080203443</v>
      </c>
      <c r="C1426">
        <v>1.20402170880176</v>
      </c>
      <c r="D1426">
        <v>1.0528397993666401</v>
      </c>
      <c r="E1426">
        <v>1.1334298690365201</v>
      </c>
      <c r="F1426">
        <v>1.1099224388153599</v>
      </c>
      <c r="G1426">
        <v>0.94602198834147699</v>
      </c>
      <c r="H1426">
        <v>0.91709065981139504</v>
      </c>
      <c r="I1426">
        <v>1.1437476820361601</v>
      </c>
      <c r="J1426">
        <v>0.86530115505613503</v>
      </c>
      <c r="K1426">
        <v>1.2856289317196099</v>
      </c>
      <c r="L1426">
        <v>1.0000000000000001E-5</v>
      </c>
      <c r="M1426">
        <v>17.657280272883298</v>
      </c>
      <c r="Q1426">
        <v>1.0653958326380799</v>
      </c>
      <c r="R1426">
        <v>3.3306690738754701E-16</v>
      </c>
      <c r="S1426" t="s">
        <v>8232</v>
      </c>
      <c r="T1426" t="s">
        <v>13610</v>
      </c>
      <c r="U1426" t="s">
        <v>13610</v>
      </c>
      <c r="V1426" t="s">
        <v>13610</v>
      </c>
      <c r="W1426" t="s">
        <v>15001</v>
      </c>
      <c r="X1426">
        <v>1</v>
      </c>
      <c r="Y1426" t="s">
        <v>21703</v>
      </c>
      <c r="Z1426" t="s">
        <v>28281</v>
      </c>
      <c r="AA1426">
        <v>1.0653958312349729</v>
      </c>
      <c r="AB1426" t="str">
        <f>HYPERLINK("Melting_Curves/meltCurve_O60858_TRIM13.pdf", "Melting_Curves/meltCurve_O60858_TRIM13.pdf")</f>
        <v>Melting_Curves/meltCurve_O60858_TRIM13.pdf</v>
      </c>
    </row>
    <row r="1427" spans="1:28" x14ac:dyDescent="0.25">
      <c r="A1427" t="s">
        <v>1431</v>
      </c>
      <c r="B1427">
        <v>0.995954080203443</v>
      </c>
      <c r="C1427">
        <v>0.92869983963314495</v>
      </c>
      <c r="D1427">
        <v>1.0050724050705599</v>
      </c>
      <c r="E1427">
        <v>0.86911231808365996</v>
      </c>
      <c r="F1427">
        <v>0.95091025628687198</v>
      </c>
      <c r="G1427">
        <v>0.77433532605581901</v>
      </c>
      <c r="H1427">
        <v>0.79409047543300504</v>
      </c>
      <c r="I1427">
        <v>1.0036312369864699</v>
      </c>
      <c r="J1427">
        <v>1.117709623331</v>
      </c>
      <c r="K1427">
        <v>1.1521651633514001</v>
      </c>
      <c r="L1427">
        <v>7663.3856789281599</v>
      </c>
      <c r="M1427">
        <v>115.600953984103</v>
      </c>
      <c r="O1427">
        <v>66.271884002833104</v>
      </c>
      <c r="P1427">
        <v>6.6487431909894298E-2</v>
      </c>
      <c r="Q1427">
        <v>1.1524640442955001</v>
      </c>
      <c r="R1427">
        <v>0.14707282769806901</v>
      </c>
      <c r="S1427" t="s">
        <v>8233</v>
      </c>
      <c r="T1427" t="s">
        <v>13610</v>
      </c>
      <c r="U1427" t="s">
        <v>13610</v>
      </c>
      <c r="V1427" t="s">
        <v>13610</v>
      </c>
      <c r="W1427" t="s">
        <v>15002</v>
      </c>
      <c r="X1427">
        <v>10</v>
      </c>
      <c r="Y1427" t="s">
        <v>21704</v>
      </c>
      <c r="Z1427" t="s">
        <v>28282</v>
      </c>
      <c r="AA1427">
        <v>1.018770211980635</v>
      </c>
      <c r="AB1427" t="str">
        <f>HYPERLINK("Melting_Curves/meltCurve_O60869_EDF1.pdf", "Melting_Curves/meltCurve_O60869_EDF1.pdf")</f>
        <v>Melting_Curves/meltCurve_O60869_EDF1.pdf</v>
      </c>
    </row>
    <row r="1428" spans="1:28" x14ac:dyDescent="0.25">
      <c r="A1428" t="s">
        <v>1432</v>
      </c>
      <c r="B1428">
        <v>0.995954080203443</v>
      </c>
      <c r="C1428">
        <v>0.97037333667715597</v>
      </c>
      <c r="D1428">
        <v>0.96540103823360002</v>
      </c>
      <c r="E1428">
        <v>0.59572315682699895</v>
      </c>
      <c r="F1428">
        <v>0.34966191268301999</v>
      </c>
      <c r="G1428">
        <v>0.21483025786384499</v>
      </c>
      <c r="H1428">
        <v>0.17535287937734001</v>
      </c>
      <c r="I1428">
        <v>0.181092515232046</v>
      </c>
      <c r="J1428">
        <v>0.20514569600330301</v>
      </c>
      <c r="K1428">
        <v>0.19410863472832299</v>
      </c>
      <c r="L1428">
        <v>1418.90080997323</v>
      </c>
      <c r="M1428">
        <v>28.2990498051124</v>
      </c>
      <c r="N1428">
        <v>50.9944719367437</v>
      </c>
      <c r="O1428">
        <v>49.8911460567356</v>
      </c>
      <c r="P1428">
        <v>-0.11502013208208101</v>
      </c>
      <c r="Q1428">
        <v>0.18888590271377301</v>
      </c>
      <c r="R1428">
        <v>0.998043885684747</v>
      </c>
      <c r="S1428" t="s">
        <v>8234</v>
      </c>
      <c r="T1428" t="s">
        <v>13610</v>
      </c>
      <c r="U1428" t="s">
        <v>13610</v>
      </c>
      <c r="V1428" t="s">
        <v>13610</v>
      </c>
      <c r="W1428" t="s">
        <v>15003</v>
      </c>
      <c r="X1428">
        <v>13</v>
      </c>
      <c r="Y1428" t="s">
        <v>21705</v>
      </c>
      <c r="Z1428" t="s">
        <v>28283</v>
      </c>
      <c r="AA1428">
        <v>0.46868679892139742</v>
      </c>
      <c r="AB1428" t="str">
        <f>HYPERLINK("Melting_Curves/meltCurve_O60870_KIN.pdf", "Melting_Curves/meltCurve_O60870_KIN.pdf")</f>
        <v>Melting_Curves/meltCurve_O60870_KIN.pdf</v>
      </c>
    </row>
    <row r="1429" spans="1:28" x14ac:dyDescent="0.25">
      <c r="A1429" t="s">
        <v>1433</v>
      </c>
      <c r="B1429">
        <v>0.995954080203443</v>
      </c>
      <c r="C1429">
        <v>0.66740908119777598</v>
      </c>
      <c r="D1429">
        <v>0.57293639715280897</v>
      </c>
      <c r="E1429">
        <v>0.66331694361636595</v>
      </c>
      <c r="F1429">
        <v>0.36908077423763802</v>
      </c>
      <c r="G1429">
        <v>0.17752163447268299</v>
      </c>
      <c r="H1429">
        <v>9.5649329204671493E-2</v>
      </c>
      <c r="I1429">
        <v>8.7240992138030798E-2</v>
      </c>
      <c r="J1429">
        <v>8.1382376556681596E-2</v>
      </c>
      <c r="K1429">
        <v>9.0362107026215902E-2</v>
      </c>
      <c r="L1429">
        <v>443.60790253137998</v>
      </c>
      <c r="M1429">
        <v>8.9721766522485602</v>
      </c>
      <c r="N1429">
        <v>49.442618008931802</v>
      </c>
      <c r="O1429">
        <v>47.171691442717403</v>
      </c>
      <c r="P1429">
        <v>-4.7585591974688E-2</v>
      </c>
      <c r="Q1429">
        <v>0</v>
      </c>
      <c r="R1429">
        <v>0.91771430333132298</v>
      </c>
      <c r="S1429" t="s">
        <v>8235</v>
      </c>
      <c r="T1429" t="s">
        <v>13610</v>
      </c>
      <c r="U1429" t="s">
        <v>13610</v>
      </c>
      <c r="V1429" t="s">
        <v>13610</v>
      </c>
      <c r="W1429" t="s">
        <v>15004</v>
      </c>
      <c r="X1429">
        <v>16</v>
      </c>
      <c r="Y1429" t="s">
        <v>21706</v>
      </c>
      <c r="Z1429" t="s">
        <v>28284</v>
      </c>
      <c r="AA1429">
        <v>0.36956025828645989</v>
      </c>
      <c r="AB1429" t="str">
        <f>HYPERLINK("Melting_Curves/meltCurve_O60884_DNAJA2.pdf", "Melting_Curves/meltCurve_O60884_DNAJA2.pdf")</f>
        <v>Melting_Curves/meltCurve_O60884_DNAJA2.pdf</v>
      </c>
    </row>
    <row r="1430" spans="1:28" x14ac:dyDescent="0.25">
      <c r="A1430" t="s">
        <v>1434</v>
      </c>
      <c r="B1430">
        <v>0.995954080203443</v>
      </c>
      <c r="C1430">
        <v>0.96549343387602604</v>
      </c>
      <c r="D1430">
        <v>0.966009879481186</v>
      </c>
      <c r="E1430">
        <v>0.76052937190488501</v>
      </c>
      <c r="F1430">
        <v>0.67339316674022198</v>
      </c>
      <c r="G1430">
        <v>0.47474304732623002</v>
      </c>
      <c r="H1430">
        <v>0.41761676345584697</v>
      </c>
      <c r="I1430">
        <v>0.49014704606487203</v>
      </c>
      <c r="J1430">
        <v>0.54774475804219203</v>
      </c>
      <c r="K1430">
        <v>0.56209502743128104</v>
      </c>
      <c r="L1430">
        <v>1230.71065787934</v>
      </c>
      <c r="M1430">
        <v>24.330173436805101</v>
      </c>
      <c r="N1430">
        <v>63.5881010799989</v>
      </c>
      <c r="O1430">
        <v>50.245712807411898</v>
      </c>
      <c r="P1430">
        <v>-6.0946740840551503E-2</v>
      </c>
      <c r="Q1430">
        <v>0.49654833708605201</v>
      </c>
      <c r="R1430">
        <v>0.95275760318258096</v>
      </c>
      <c r="S1430" t="s">
        <v>8236</v>
      </c>
      <c r="T1430" t="s">
        <v>13610</v>
      </c>
      <c r="U1430" t="s">
        <v>13610</v>
      </c>
      <c r="V1430" t="s">
        <v>13610</v>
      </c>
      <c r="W1430" t="s">
        <v>15005</v>
      </c>
      <c r="X1430">
        <v>34</v>
      </c>
      <c r="Y1430" t="s">
        <v>21707</v>
      </c>
      <c r="Z1430" t="s">
        <v>28285</v>
      </c>
      <c r="AA1430">
        <v>0.67893930367852628</v>
      </c>
      <c r="AB1430" t="str">
        <f>HYPERLINK("Melting_Curves/meltCurve_O60885_BRD4.pdf", "Melting_Curves/meltCurve_O60885_BRD4.pdf")</f>
        <v>Melting_Curves/meltCurve_O60885_BRD4.pdf</v>
      </c>
    </row>
    <row r="1431" spans="1:28" x14ac:dyDescent="0.25">
      <c r="A1431" t="s">
        <v>1435</v>
      </c>
      <c r="B1431">
        <v>0.995954080203443</v>
      </c>
      <c r="C1431">
        <v>1.0572774210365301</v>
      </c>
      <c r="D1431">
        <v>0.93551989716615402</v>
      </c>
      <c r="E1431">
        <v>0.96946344571997101</v>
      </c>
      <c r="F1431">
        <v>0.79878591941282395</v>
      </c>
      <c r="G1431">
        <v>0.62662165995876595</v>
      </c>
      <c r="H1431">
        <v>0.49914314434777801</v>
      </c>
      <c r="I1431">
        <v>0.51154287323224601</v>
      </c>
      <c r="J1431">
        <v>0.40249913192827103</v>
      </c>
      <c r="K1431">
        <v>0.342872275784185</v>
      </c>
      <c r="L1431">
        <v>827.808045083004</v>
      </c>
      <c r="M1431">
        <v>14.6560388960001</v>
      </c>
      <c r="N1431">
        <v>61.370678502163898</v>
      </c>
      <c r="O1431">
        <v>55.462077668227899</v>
      </c>
      <c r="P1431">
        <v>-4.3315263979338998E-2</v>
      </c>
      <c r="Q1431">
        <v>0.34440967332676298</v>
      </c>
      <c r="R1431">
        <v>0.97543195677920003</v>
      </c>
      <c r="S1431" t="s">
        <v>8237</v>
      </c>
      <c r="T1431" t="s">
        <v>13610</v>
      </c>
      <c r="U1431" t="s">
        <v>13610</v>
      </c>
      <c r="V1431" t="s">
        <v>13610</v>
      </c>
      <c r="W1431" t="s">
        <v>15006</v>
      </c>
      <c r="X1431">
        <v>6</v>
      </c>
      <c r="Y1431" t="s">
        <v>21708</v>
      </c>
      <c r="Z1431" t="s">
        <v>28286</v>
      </c>
      <c r="AA1431">
        <v>0.71583834257828338</v>
      </c>
      <c r="AB1431" t="str">
        <f>HYPERLINK("Melting_Curves/meltCurve_O60888_3_CUTA.pdf", "Melting_Curves/meltCurve_O60888_3_CUTA.pdf")</f>
        <v>Melting_Curves/meltCurve_O60888_3_CUTA.pdf</v>
      </c>
    </row>
    <row r="1432" spans="1:28" x14ac:dyDescent="0.25">
      <c r="A1432" t="s">
        <v>1436</v>
      </c>
      <c r="B1432">
        <v>0.995954080203443</v>
      </c>
      <c r="C1432">
        <v>0.73634870495718896</v>
      </c>
      <c r="D1432">
        <v>0.63684173216164497</v>
      </c>
      <c r="E1432">
        <v>0.27816561867177703</v>
      </c>
      <c r="F1432">
        <v>0.18618933432375001</v>
      </c>
      <c r="G1432">
        <v>0.17651887473483699</v>
      </c>
      <c r="H1432">
        <v>0.119260251061858</v>
      </c>
      <c r="I1432">
        <v>8.0581823825230797E-2</v>
      </c>
      <c r="J1432">
        <v>6.5162898397672003E-2</v>
      </c>
      <c r="K1432">
        <v>9.1267879712756003E-2</v>
      </c>
      <c r="L1432">
        <v>737.12474890512101</v>
      </c>
      <c r="M1432">
        <v>15.846027241326301</v>
      </c>
      <c r="N1432">
        <v>47.059386189590697</v>
      </c>
      <c r="O1432">
        <v>45.795992013783</v>
      </c>
      <c r="P1432">
        <v>-7.9301457833778899E-2</v>
      </c>
      <c r="Q1432">
        <v>8.3330022999244399E-2</v>
      </c>
      <c r="R1432">
        <v>0.98330480274715204</v>
      </c>
      <c r="S1432" t="s">
        <v>8238</v>
      </c>
      <c r="T1432" t="s">
        <v>13610</v>
      </c>
      <c r="U1432" t="s">
        <v>13610</v>
      </c>
      <c r="V1432" t="s">
        <v>13610</v>
      </c>
      <c r="W1432" t="s">
        <v>15007</v>
      </c>
      <c r="X1432">
        <v>4</v>
      </c>
      <c r="Y1432" t="s">
        <v>21709</v>
      </c>
      <c r="Z1432" t="s">
        <v>28287</v>
      </c>
      <c r="AA1432">
        <v>0.30540281869570002</v>
      </c>
      <c r="AB1432" t="str">
        <f>HYPERLINK("Melting_Curves/meltCurve_O60890_OPHN1.pdf", "Melting_Curves/meltCurve_O60890_OPHN1.pdf")</f>
        <v>Melting_Curves/meltCurve_O60890_OPHN1.pdf</v>
      </c>
    </row>
    <row r="1433" spans="1:28" x14ac:dyDescent="0.25">
      <c r="A1433" t="s">
        <v>1437</v>
      </c>
      <c r="B1433">
        <v>0.995954080203443</v>
      </c>
      <c r="C1433">
        <v>0.94642707858353703</v>
      </c>
      <c r="D1433">
        <v>0.88873905216390103</v>
      </c>
      <c r="E1433">
        <v>0.86742617610079198</v>
      </c>
      <c r="F1433">
        <v>0.62237567556497897</v>
      </c>
      <c r="G1433">
        <v>0.361098487238669</v>
      </c>
      <c r="H1433">
        <v>0.18537620721979101</v>
      </c>
      <c r="I1433">
        <v>0.153154212290284</v>
      </c>
      <c r="J1433">
        <v>0.17082679923042801</v>
      </c>
      <c r="K1433">
        <v>0.15418057809529001</v>
      </c>
      <c r="L1433">
        <v>1016.7444397121</v>
      </c>
      <c r="M1433">
        <v>18.897793252903998</v>
      </c>
      <c r="N1433">
        <v>54.6673055026763</v>
      </c>
      <c r="O1433">
        <v>53.210690623834502</v>
      </c>
      <c r="P1433">
        <v>-7.7316693613870099E-2</v>
      </c>
      <c r="Q1433">
        <v>0.129230263366897</v>
      </c>
      <c r="R1433">
        <v>0.99070732010617601</v>
      </c>
      <c r="S1433" t="s">
        <v>8239</v>
      </c>
      <c r="T1433" t="s">
        <v>13610</v>
      </c>
      <c r="U1433" t="s">
        <v>13610</v>
      </c>
      <c r="V1433" t="s">
        <v>13610</v>
      </c>
      <c r="W1433" t="s">
        <v>15008</v>
      </c>
      <c r="X1433">
        <v>14</v>
      </c>
      <c r="Y1433" t="s">
        <v>21710</v>
      </c>
      <c r="Z1433" t="s">
        <v>28288</v>
      </c>
      <c r="AA1433">
        <v>0.54284652715816528</v>
      </c>
      <c r="AB1433" t="str">
        <f>HYPERLINK("Melting_Curves/meltCurve_O60907_2_TBL1X.pdf", "Melting_Curves/meltCurve_O60907_2_TBL1X.pdf")</f>
        <v>Melting_Curves/meltCurve_O60907_2_TBL1X.pdf</v>
      </c>
    </row>
    <row r="1434" spans="1:28" x14ac:dyDescent="0.25">
      <c r="A1434" t="s">
        <v>1438</v>
      </c>
      <c r="B1434">
        <v>0.995954080203443</v>
      </c>
      <c r="C1434">
        <v>1.0051705876300601</v>
      </c>
      <c r="D1434">
        <v>0.999103191868423</v>
      </c>
      <c r="E1434">
        <v>0.79411605814474995</v>
      </c>
      <c r="F1434">
        <v>0.57675807283862901</v>
      </c>
      <c r="G1434">
        <v>0.30816845366583101</v>
      </c>
      <c r="H1434">
        <v>0.12910643761993901</v>
      </c>
      <c r="I1434">
        <v>7.5546025667218505E-2</v>
      </c>
      <c r="J1434">
        <v>6.3942264749122596E-2</v>
      </c>
      <c r="K1434">
        <v>5.8453189409249401E-2</v>
      </c>
      <c r="L1434">
        <v>995.97016183530502</v>
      </c>
      <c r="M1434">
        <v>18.5199061523242</v>
      </c>
      <c r="N1434">
        <v>54.016233448545201</v>
      </c>
      <c r="O1434">
        <v>53.163107195082297</v>
      </c>
      <c r="P1434">
        <v>-8.3683350665664097E-2</v>
      </c>
      <c r="Q1434">
        <v>3.9159133850050799E-2</v>
      </c>
      <c r="R1434">
        <v>0.99833892244969902</v>
      </c>
      <c r="S1434" t="s">
        <v>8240</v>
      </c>
      <c r="T1434" t="s">
        <v>13610</v>
      </c>
      <c r="U1434" t="s">
        <v>13610</v>
      </c>
      <c r="V1434" t="s">
        <v>13610</v>
      </c>
      <c r="W1434" t="s">
        <v>15009</v>
      </c>
      <c r="X1434">
        <v>5</v>
      </c>
      <c r="Y1434" t="s">
        <v>21711</v>
      </c>
      <c r="Z1434" t="s">
        <v>28289</v>
      </c>
      <c r="AA1434">
        <v>0.49525836815929819</v>
      </c>
      <c r="AB1434" t="str">
        <f>HYPERLINK("Melting_Curves/meltCurve_O60921_HUS1.pdf", "Melting_Curves/meltCurve_O60921_HUS1.pdf")</f>
        <v>Melting_Curves/meltCurve_O60921_HUS1.pdf</v>
      </c>
    </row>
    <row r="1435" spans="1:28" x14ac:dyDescent="0.25">
      <c r="A1435" t="s">
        <v>1439</v>
      </c>
      <c r="B1435">
        <v>0.995954080203443</v>
      </c>
      <c r="C1435">
        <v>0.82171859640105704</v>
      </c>
      <c r="D1435">
        <v>0.81188390773204999</v>
      </c>
      <c r="E1435">
        <v>0.64893064569127101</v>
      </c>
      <c r="F1435">
        <v>0.53475513765967997</v>
      </c>
      <c r="G1435">
        <v>0.42418919217328899</v>
      </c>
      <c r="H1435">
        <v>0.396548330713135</v>
      </c>
      <c r="I1435">
        <v>0.455841354201175</v>
      </c>
      <c r="J1435">
        <v>0.68548942876001695</v>
      </c>
      <c r="K1435">
        <v>0.52391574092083903</v>
      </c>
      <c r="L1435">
        <v>776.21437374403502</v>
      </c>
      <c r="M1435">
        <v>16.704669267917701</v>
      </c>
      <c r="N1435">
        <v>63.065556961680102</v>
      </c>
      <c r="O1435">
        <v>45.8162940518516</v>
      </c>
      <c r="P1435">
        <v>-4.6139604197926301E-2</v>
      </c>
      <c r="Q1435">
        <v>0.49384050795142498</v>
      </c>
      <c r="R1435">
        <v>0.80763151640392095</v>
      </c>
      <c r="S1435" t="s">
        <v>8241</v>
      </c>
      <c r="T1435" t="s">
        <v>13610</v>
      </c>
      <c r="U1435" t="s">
        <v>13610</v>
      </c>
      <c r="V1435" t="s">
        <v>13610</v>
      </c>
      <c r="W1435" t="s">
        <v>15010</v>
      </c>
      <c r="X1435">
        <v>11</v>
      </c>
      <c r="Y1435" t="s">
        <v>21712</v>
      </c>
      <c r="Z1435" t="s">
        <v>28290</v>
      </c>
      <c r="AA1435">
        <v>0.61428322374924571</v>
      </c>
      <c r="AB1435" t="str">
        <f>HYPERLINK("Melting_Curves/meltCurve_O60925_PFDN1.pdf", "Melting_Curves/meltCurve_O60925_PFDN1.pdf")</f>
        <v>Melting_Curves/meltCurve_O60925_PFDN1.pdf</v>
      </c>
    </row>
    <row r="1436" spans="1:28" x14ac:dyDescent="0.25">
      <c r="A1436" t="s">
        <v>1440</v>
      </c>
      <c r="B1436">
        <v>0.995954080203443</v>
      </c>
      <c r="C1436">
        <v>0.98560132827158697</v>
      </c>
      <c r="D1436">
        <v>1.13563206103513</v>
      </c>
      <c r="E1436">
        <v>0.904762589688208</v>
      </c>
      <c r="F1436">
        <v>0.94664287235415301</v>
      </c>
      <c r="G1436">
        <v>0.71288004131870797</v>
      </c>
      <c r="H1436">
        <v>0.69076546963207697</v>
      </c>
      <c r="I1436">
        <v>0.80047937334512098</v>
      </c>
      <c r="J1436">
        <v>1.02188523178728</v>
      </c>
      <c r="K1436">
        <v>0.916723813930168</v>
      </c>
      <c r="L1436">
        <v>1849.98330146787</v>
      </c>
      <c r="M1436">
        <v>35.830502434922799</v>
      </c>
      <c r="O1436">
        <v>51.471502784068399</v>
      </c>
      <c r="P1436">
        <v>-2.8685062937411101E-2</v>
      </c>
      <c r="Q1436">
        <v>0.83517306494293098</v>
      </c>
      <c r="R1436">
        <v>0.39732180229738201</v>
      </c>
      <c r="S1436" t="s">
        <v>8242</v>
      </c>
      <c r="T1436" t="s">
        <v>13610</v>
      </c>
      <c r="U1436" t="s">
        <v>13610</v>
      </c>
      <c r="V1436" t="s">
        <v>13610</v>
      </c>
      <c r="W1436" t="s">
        <v>15011</v>
      </c>
      <c r="X1436">
        <v>6</v>
      </c>
      <c r="Y1436" t="s">
        <v>21713</v>
      </c>
      <c r="Z1436" t="s">
        <v>28291</v>
      </c>
      <c r="AA1436">
        <v>0.89981311251072438</v>
      </c>
      <c r="AB1436" t="str">
        <f>HYPERLINK("Melting_Curves/meltCurve_O60927_PPP1R11.pdf", "Melting_Curves/meltCurve_O60927_PPP1R11.pdf")</f>
        <v>Melting_Curves/meltCurve_O60927_PPP1R11.pdf</v>
      </c>
    </row>
    <row r="1437" spans="1:28" x14ac:dyDescent="0.25">
      <c r="A1437" t="s">
        <v>1441</v>
      </c>
      <c r="B1437">
        <v>0.995954080203443</v>
      </c>
      <c r="C1437">
        <v>0.890119989660481</v>
      </c>
      <c r="D1437">
        <v>0.78010283271579794</v>
      </c>
      <c r="E1437">
        <v>0.59946569685582796</v>
      </c>
      <c r="F1437">
        <v>0.51428228097921003</v>
      </c>
      <c r="G1437">
        <v>0.364243697105404</v>
      </c>
      <c r="H1437">
        <v>0.33046687503572503</v>
      </c>
      <c r="I1437">
        <v>0.38826742670810999</v>
      </c>
      <c r="J1437">
        <v>0.420460514046613</v>
      </c>
      <c r="K1437">
        <v>0.46990562282812698</v>
      </c>
      <c r="L1437">
        <v>796.00040582860504</v>
      </c>
      <c r="M1437">
        <v>16.7037371323724</v>
      </c>
      <c r="N1437">
        <v>52.366187791207302</v>
      </c>
      <c r="O1437">
        <v>46.986744408071303</v>
      </c>
      <c r="P1437">
        <v>-5.4325778470336303E-2</v>
      </c>
      <c r="Q1437">
        <v>0.388778139455281</v>
      </c>
      <c r="R1437">
        <v>0.96268783150487003</v>
      </c>
      <c r="S1437" t="s">
        <v>8243</v>
      </c>
      <c r="T1437" t="s">
        <v>13610</v>
      </c>
      <c r="U1437" t="s">
        <v>13610</v>
      </c>
      <c r="V1437" t="s">
        <v>13610</v>
      </c>
      <c r="W1437" t="s">
        <v>15012</v>
      </c>
      <c r="X1437">
        <v>37</v>
      </c>
      <c r="Y1437" t="s">
        <v>21714</v>
      </c>
      <c r="Z1437" t="s">
        <v>28292</v>
      </c>
      <c r="AA1437">
        <v>0.55755788720363664</v>
      </c>
      <c r="AB1437" t="str">
        <f>HYPERLINK("Melting_Curves/meltCurve_O60934_NBN.pdf", "Melting_Curves/meltCurve_O60934_NBN.pdf")</f>
        <v>Melting_Curves/meltCurve_O60934_NBN.pdf</v>
      </c>
    </row>
    <row r="1438" spans="1:28" x14ac:dyDescent="0.25">
      <c r="A1438" t="s">
        <v>1442</v>
      </c>
      <c r="B1438">
        <v>0.995954080203443</v>
      </c>
      <c r="C1438">
        <v>0.886393879633117</v>
      </c>
      <c r="D1438">
        <v>0.68378501718500995</v>
      </c>
      <c r="E1438">
        <v>0.29750152032696903</v>
      </c>
      <c r="F1438">
        <v>0.12602479305067399</v>
      </c>
      <c r="G1438">
        <v>6.7818937037229299E-2</v>
      </c>
      <c r="H1438">
        <v>4.6369329181442702E-2</v>
      </c>
      <c r="I1438">
        <v>4.0287848544124698E-2</v>
      </c>
      <c r="J1438">
        <v>5.1564254847974098E-2</v>
      </c>
      <c r="K1438">
        <v>4.0478203907711001E-2</v>
      </c>
      <c r="L1438">
        <v>982.15527796994195</v>
      </c>
      <c r="M1438">
        <v>20.671011633960902</v>
      </c>
      <c r="N1438">
        <v>47.697520083292403</v>
      </c>
      <c r="O1438">
        <v>47.075656480073597</v>
      </c>
      <c r="P1438">
        <v>-0.10557421082042</v>
      </c>
      <c r="Q1438">
        <v>3.82984768222112E-2</v>
      </c>
      <c r="R1438">
        <v>0.99922433921920895</v>
      </c>
      <c r="S1438" t="s">
        <v>8244</v>
      </c>
      <c r="T1438" t="s">
        <v>13610</v>
      </c>
      <c r="U1438" t="s">
        <v>13610</v>
      </c>
      <c r="V1438" t="s">
        <v>13610</v>
      </c>
      <c r="W1438" t="s">
        <v>15013</v>
      </c>
      <c r="X1438">
        <v>16</v>
      </c>
      <c r="Y1438" t="s">
        <v>21715</v>
      </c>
      <c r="Z1438" t="s">
        <v>28293</v>
      </c>
      <c r="AA1438">
        <v>0.29203891127475362</v>
      </c>
      <c r="AB1438" t="str">
        <f>HYPERLINK("Melting_Curves/meltCurve_O60942_RNGTT.pdf", "Melting_Curves/meltCurve_O60942_RNGTT.pdf")</f>
        <v>Melting_Curves/meltCurve_O60942_RNGTT.pdf</v>
      </c>
    </row>
    <row r="1439" spans="1:28" x14ac:dyDescent="0.25">
      <c r="A1439" t="s">
        <v>1443</v>
      </c>
      <c r="B1439">
        <v>0.995954080203443</v>
      </c>
      <c r="C1439">
        <v>1.00972098202903</v>
      </c>
      <c r="D1439">
        <v>1.0129036656775201</v>
      </c>
      <c r="E1439">
        <v>0.84374190203172506</v>
      </c>
      <c r="F1439">
        <v>0.75942047842432403</v>
      </c>
      <c r="G1439">
        <v>0.54992994706506404</v>
      </c>
      <c r="H1439">
        <v>0.489605430937192</v>
      </c>
      <c r="I1439">
        <v>0.56178514831597703</v>
      </c>
      <c r="J1439">
        <v>0.58288239899320804</v>
      </c>
      <c r="K1439">
        <v>0.55272905393624405</v>
      </c>
      <c r="L1439">
        <v>1362.52583385654</v>
      </c>
      <c r="M1439">
        <v>26.185088443601401</v>
      </c>
      <c r="O1439">
        <v>51.7337775840492</v>
      </c>
      <c r="P1439">
        <v>-5.81795344243854E-2</v>
      </c>
      <c r="Q1439">
        <v>0.54022481841001901</v>
      </c>
      <c r="R1439">
        <v>0.97315379847428696</v>
      </c>
      <c r="S1439" t="s">
        <v>8245</v>
      </c>
      <c r="T1439" t="s">
        <v>13610</v>
      </c>
      <c r="U1439" t="s">
        <v>13610</v>
      </c>
      <c r="V1439" t="s">
        <v>13610</v>
      </c>
      <c r="W1439" t="s">
        <v>15014</v>
      </c>
      <c r="X1439">
        <v>8</v>
      </c>
      <c r="Y1439" t="s">
        <v>21716</v>
      </c>
      <c r="Z1439" t="s">
        <v>28294</v>
      </c>
      <c r="AA1439">
        <v>0.72850152743285057</v>
      </c>
      <c r="AB1439" t="str">
        <f>HYPERLINK("Melting_Curves/meltCurve_O75030_12_MITF.pdf", "Melting_Curves/meltCurve_O75030_12_MITF.pdf")</f>
        <v>Melting_Curves/meltCurve_O75030_12_MITF.pdf</v>
      </c>
    </row>
    <row r="1440" spans="1:28" x14ac:dyDescent="0.25">
      <c r="A1440" t="s">
        <v>1444</v>
      </c>
      <c r="B1440">
        <v>0.995954080203443</v>
      </c>
      <c r="C1440">
        <v>0.88816346136870905</v>
      </c>
      <c r="D1440">
        <v>0.90617635552095699</v>
      </c>
      <c r="E1440">
        <v>0.77917367165291196</v>
      </c>
      <c r="F1440">
        <v>0.75829896689633103</v>
      </c>
      <c r="G1440">
        <v>0.45014000463457099</v>
      </c>
      <c r="H1440">
        <v>0.28247065243205599</v>
      </c>
      <c r="I1440">
        <v>0.28038964113683001</v>
      </c>
      <c r="J1440">
        <v>0.325034209793092</v>
      </c>
      <c r="K1440">
        <v>0.28891491083610599</v>
      </c>
      <c r="L1440">
        <v>772.42613974415201</v>
      </c>
      <c r="M1440">
        <v>14.341020853355801</v>
      </c>
      <c r="N1440">
        <v>56.350798323779898</v>
      </c>
      <c r="O1440">
        <v>52.846500346341401</v>
      </c>
      <c r="P1440">
        <v>-5.1929660573249797E-2</v>
      </c>
      <c r="Q1440">
        <v>0.23465147442322101</v>
      </c>
      <c r="R1440">
        <v>0.96270295070196299</v>
      </c>
      <c r="S1440" t="s">
        <v>8246</v>
      </c>
      <c r="T1440" t="s">
        <v>13610</v>
      </c>
      <c r="U1440" t="s">
        <v>13610</v>
      </c>
      <c r="V1440" t="s">
        <v>13610</v>
      </c>
      <c r="W1440" t="s">
        <v>15015</v>
      </c>
      <c r="X1440">
        <v>13</v>
      </c>
      <c r="Y1440" t="s">
        <v>21717</v>
      </c>
      <c r="Z1440" t="s">
        <v>28295</v>
      </c>
      <c r="AA1440">
        <v>0.604994137071167</v>
      </c>
      <c r="AB1440" t="str">
        <f>HYPERLINK("Melting_Curves/meltCurve_O75037_3_KIF21B.pdf", "Melting_Curves/meltCurve_O75037_3_KIF21B.pdf")</f>
        <v>Melting_Curves/meltCurve_O75037_3_KIF21B.pdf</v>
      </c>
    </row>
    <row r="1441" spans="1:28" x14ac:dyDescent="0.25">
      <c r="A1441" t="s">
        <v>1445</v>
      </c>
      <c r="B1441">
        <v>0.995954080203443</v>
      </c>
      <c r="C1441">
        <v>0.91979842399862799</v>
      </c>
      <c r="D1441">
        <v>0.64200723824819095</v>
      </c>
      <c r="E1441">
        <v>0.55124512850519503</v>
      </c>
      <c r="F1441">
        <v>0.37479191349454599</v>
      </c>
      <c r="G1441">
        <v>0.16898431429664201</v>
      </c>
      <c r="H1441">
        <v>0.123053455002295</v>
      </c>
      <c r="I1441">
        <v>0.12604066788500701</v>
      </c>
      <c r="J1441">
        <v>0.14111915534594399</v>
      </c>
      <c r="K1441">
        <v>0.13583294328064299</v>
      </c>
      <c r="L1441">
        <v>647.33396796086697</v>
      </c>
      <c r="M1441">
        <v>13.183805805018199</v>
      </c>
      <c r="N1441">
        <v>49.879822494459802</v>
      </c>
      <c r="O1441">
        <v>48.0122583196924</v>
      </c>
      <c r="P1441">
        <v>-6.2270423308022398E-2</v>
      </c>
      <c r="Q1441">
        <v>9.3056374688785706E-2</v>
      </c>
      <c r="R1441">
        <v>0.97995038199833195</v>
      </c>
      <c r="S1441" t="s">
        <v>8247</v>
      </c>
      <c r="T1441" t="s">
        <v>13610</v>
      </c>
      <c r="U1441" t="s">
        <v>13610</v>
      </c>
      <c r="V1441" t="s">
        <v>13610</v>
      </c>
      <c r="W1441" t="s">
        <v>15016</v>
      </c>
      <c r="X1441">
        <v>31</v>
      </c>
      <c r="Y1441" t="s">
        <v>21718</v>
      </c>
      <c r="Z1441" t="s">
        <v>28296</v>
      </c>
      <c r="AA1441">
        <v>0.39637476840687591</v>
      </c>
      <c r="AB1441" t="str">
        <f>HYPERLINK("Melting_Curves/meltCurve_O75044_SRGAP2.pdf", "Melting_Curves/meltCurve_O75044_SRGAP2.pdf")</f>
        <v>Melting_Curves/meltCurve_O75044_SRGAP2.pdf</v>
      </c>
    </row>
    <row r="1442" spans="1:28" x14ac:dyDescent="0.25">
      <c r="A1442" t="s">
        <v>1446</v>
      </c>
      <c r="B1442">
        <v>0.995954080203443</v>
      </c>
      <c r="C1442">
        <v>1.00533500074164</v>
      </c>
      <c r="D1442">
        <v>0.98571790666056802</v>
      </c>
      <c r="E1442">
        <v>0.85454475141505204</v>
      </c>
      <c r="F1442">
        <v>0.70109260742141599</v>
      </c>
      <c r="G1442">
        <v>0.424234895920579</v>
      </c>
      <c r="H1442">
        <v>0.170216967166574</v>
      </c>
      <c r="I1442">
        <v>0.14843324976255401</v>
      </c>
      <c r="J1442">
        <v>0.157819024537454</v>
      </c>
      <c r="K1442">
        <v>0.144556089686464</v>
      </c>
      <c r="L1442">
        <v>1075.91881339307</v>
      </c>
      <c r="M1442">
        <v>19.653986571055999</v>
      </c>
      <c r="N1442">
        <v>55.477155330418498</v>
      </c>
      <c r="O1442">
        <v>54.1857496254786</v>
      </c>
      <c r="P1442">
        <v>-8.0298262939378903E-2</v>
      </c>
      <c r="Q1442">
        <v>0.114506399551035</v>
      </c>
      <c r="R1442">
        <v>0.99621500365863003</v>
      </c>
      <c r="S1442" t="s">
        <v>8248</v>
      </c>
      <c r="T1442" t="s">
        <v>13610</v>
      </c>
      <c r="U1442" t="s">
        <v>13610</v>
      </c>
      <c r="V1442" t="s">
        <v>13610</v>
      </c>
      <c r="W1442" t="s">
        <v>15017</v>
      </c>
      <c r="X1442">
        <v>18</v>
      </c>
      <c r="Y1442" t="s">
        <v>21719</v>
      </c>
      <c r="Z1442" t="s">
        <v>28297</v>
      </c>
      <c r="AA1442">
        <v>0.56185129607480178</v>
      </c>
      <c r="AB1442" t="str">
        <f>HYPERLINK("Melting_Curves/meltCurve_O75061_4_DNAJC6.pdf", "Melting_Curves/meltCurve_O75061_4_DNAJC6.pdf")</f>
        <v>Melting_Curves/meltCurve_O75061_4_DNAJC6.pdf</v>
      </c>
    </row>
    <row r="1443" spans="1:28" x14ac:dyDescent="0.25">
      <c r="A1443" t="s">
        <v>1447</v>
      </c>
      <c r="B1443">
        <v>0.995954080203443</v>
      </c>
      <c r="C1443">
        <v>0.90128173052898097</v>
      </c>
      <c r="D1443">
        <v>0.96587983444653702</v>
      </c>
      <c r="E1443">
        <v>0.67659031605581998</v>
      </c>
      <c r="F1443">
        <v>0.41106397811631201</v>
      </c>
      <c r="G1443">
        <v>0.26340496251506201</v>
      </c>
      <c r="H1443">
        <v>0.18511434244835401</v>
      </c>
      <c r="I1443">
        <v>0.210233895752547</v>
      </c>
      <c r="J1443">
        <v>0.24022452585317799</v>
      </c>
      <c r="K1443">
        <v>0.236304311515002</v>
      </c>
      <c r="L1443">
        <v>1304.72110624227</v>
      </c>
      <c r="M1443">
        <v>25.7312127583609</v>
      </c>
      <c r="N1443">
        <v>51.8416096362647</v>
      </c>
      <c r="O1443">
        <v>50.402489708000502</v>
      </c>
      <c r="P1443">
        <v>-0.10013004889848801</v>
      </c>
      <c r="Q1443">
        <v>0.21546748790825501</v>
      </c>
      <c r="R1443">
        <v>0.98900417899291204</v>
      </c>
      <c r="S1443" t="s">
        <v>8249</v>
      </c>
      <c r="T1443" t="s">
        <v>13610</v>
      </c>
      <c r="U1443" t="s">
        <v>13610</v>
      </c>
      <c r="V1443" t="s">
        <v>13610</v>
      </c>
      <c r="W1443" t="s">
        <v>15018</v>
      </c>
      <c r="X1443">
        <v>3</v>
      </c>
      <c r="Y1443" t="s">
        <v>21720</v>
      </c>
      <c r="Z1443" t="s">
        <v>28298</v>
      </c>
      <c r="AA1443">
        <v>0.50210721295573113</v>
      </c>
      <c r="AB1443" t="str">
        <f>HYPERLINK("Melting_Curves/meltCurve_O75063_FAM20B.pdf", "Melting_Curves/meltCurve_O75063_FAM20B.pdf")</f>
        <v>Melting_Curves/meltCurve_O75063_FAM20B.pdf</v>
      </c>
    </row>
    <row r="1444" spans="1:28" x14ac:dyDescent="0.25">
      <c r="A1444" t="s">
        <v>1448</v>
      </c>
      <c r="B1444">
        <v>0.995954080203443</v>
      </c>
      <c r="C1444">
        <v>0.91322656542116598</v>
      </c>
      <c r="D1444">
        <v>0.79295258099727095</v>
      </c>
      <c r="E1444">
        <v>0.55987149919891799</v>
      </c>
      <c r="F1444">
        <v>0.13492776790211899</v>
      </c>
      <c r="G1444">
        <v>0.101490622734535</v>
      </c>
      <c r="H1444">
        <v>5.2858075484214298E-2</v>
      </c>
      <c r="I1444">
        <v>5.6493310389778499E-2</v>
      </c>
      <c r="J1444">
        <v>3.2646878201951599E-2</v>
      </c>
      <c r="K1444">
        <v>2.0089715733778001E-2</v>
      </c>
      <c r="L1444">
        <v>996.38045405419302</v>
      </c>
      <c r="M1444">
        <v>20.102864924793401</v>
      </c>
      <c r="N1444">
        <v>49.685806336605197</v>
      </c>
      <c r="O1444">
        <v>49.0814512133325</v>
      </c>
      <c r="P1444">
        <v>-9.9938608826431199E-2</v>
      </c>
      <c r="Q1444">
        <v>2.4024352107590401E-2</v>
      </c>
      <c r="R1444">
        <v>0.98503028559023598</v>
      </c>
      <c r="S1444" t="s">
        <v>8250</v>
      </c>
      <c r="T1444" t="s">
        <v>13610</v>
      </c>
      <c r="U1444" t="s">
        <v>13610</v>
      </c>
      <c r="V1444" t="s">
        <v>13610</v>
      </c>
      <c r="W1444" t="s">
        <v>15019</v>
      </c>
      <c r="X1444">
        <v>12</v>
      </c>
      <c r="Y1444" t="s">
        <v>21721</v>
      </c>
      <c r="Z1444" t="s">
        <v>28299</v>
      </c>
      <c r="AA1444">
        <v>0.34864523772898898</v>
      </c>
      <c r="AB1444" t="str">
        <f>HYPERLINK("Melting_Curves/meltCurve_O75064_DENND4B.pdf", "Melting_Curves/meltCurve_O75064_DENND4B.pdf")</f>
        <v>Melting_Curves/meltCurve_O75064_DENND4B.pdf</v>
      </c>
    </row>
    <row r="1445" spans="1:28" x14ac:dyDescent="0.25">
      <c r="A1445" t="s">
        <v>1449</v>
      </c>
      <c r="B1445">
        <v>0.995954080203443</v>
      </c>
      <c r="C1445">
        <v>0.83850306060001101</v>
      </c>
      <c r="D1445">
        <v>0.75447825677871905</v>
      </c>
      <c r="E1445">
        <v>0.62733385741929004</v>
      </c>
      <c r="F1445">
        <v>0.22188174907011901</v>
      </c>
      <c r="G1445">
        <v>8.2886416918266301E-2</v>
      </c>
      <c r="H1445">
        <v>5.0903718275951602E-2</v>
      </c>
      <c r="I1445">
        <v>4.0081841696477098E-2</v>
      </c>
      <c r="J1445">
        <v>4.7881680606055597E-2</v>
      </c>
      <c r="K1445">
        <v>4.0448558533565798E-2</v>
      </c>
      <c r="L1445">
        <v>767.05140721176497</v>
      </c>
      <c r="M1445">
        <v>15.3516491609462</v>
      </c>
      <c r="N1445">
        <v>49.9831355749034</v>
      </c>
      <c r="O1445">
        <v>49.1405957274293</v>
      </c>
      <c r="P1445">
        <v>-7.7895752539200599E-2</v>
      </c>
      <c r="Q1445">
        <v>2.7154692539227299E-3</v>
      </c>
      <c r="R1445">
        <v>0.97400257543358104</v>
      </c>
      <c r="S1445" t="s">
        <v>8251</v>
      </c>
      <c r="T1445" t="s">
        <v>13610</v>
      </c>
      <c r="U1445" t="s">
        <v>13610</v>
      </c>
      <c r="V1445" t="s">
        <v>13610</v>
      </c>
      <c r="W1445" t="s">
        <v>15020</v>
      </c>
      <c r="X1445">
        <v>27</v>
      </c>
      <c r="Y1445" t="s">
        <v>21722</v>
      </c>
      <c r="Z1445" t="s">
        <v>28300</v>
      </c>
      <c r="AA1445">
        <v>0.35683736103259422</v>
      </c>
      <c r="AB1445" t="str">
        <f>HYPERLINK("Melting_Curves/meltCurve_O75083_WDR1.pdf", "Melting_Curves/meltCurve_O75083_WDR1.pdf")</f>
        <v>Melting_Curves/meltCurve_O75083_WDR1.pdf</v>
      </c>
    </row>
    <row r="1446" spans="1:28" x14ac:dyDescent="0.25">
      <c r="A1446" t="s">
        <v>1450</v>
      </c>
      <c r="B1446">
        <v>0.995954080203443</v>
      </c>
      <c r="C1446">
        <v>0.97560033205029995</v>
      </c>
      <c r="D1446">
        <v>0.98953291657896902</v>
      </c>
      <c r="E1446">
        <v>0.75624136264375297</v>
      </c>
      <c r="F1446">
        <v>0.53821809770625395</v>
      </c>
      <c r="G1446">
        <v>0.35150520855341899</v>
      </c>
      <c r="H1446">
        <v>0.29760455933829799</v>
      </c>
      <c r="I1446">
        <v>0.35926088202115702</v>
      </c>
      <c r="J1446">
        <v>0.38208981461010699</v>
      </c>
      <c r="K1446">
        <v>0.40153983137257498</v>
      </c>
      <c r="L1446">
        <v>1512.3485489345001</v>
      </c>
      <c r="M1446">
        <v>29.6509266736585</v>
      </c>
      <c r="N1446">
        <v>53.221563089470401</v>
      </c>
      <c r="O1446">
        <v>50.774789631546398</v>
      </c>
      <c r="P1446">
        <v>-9.4230037728016899E-2</v>
      </c>
      <c r="Q1446">
        <v>0.35455945370542302</v>
      </c>
      <c r="R1446">
        <v>0.98815104063710602</v>
      </c>
      <c r="S1446" t="s">
        <v>8252</v>
      </c>
      <c r="T1446" t="s">
        <v>13610</v>
      </c>
      <c r="U1446" t="s">
        <v>13610</v>
      </c>
      <c r="V1446" t="s">
        <v>13610</v>
      </c>
      <c r="W1446" t="s">
        <v>15021</v>
      </c>
      <c r="X1446">
        <v>24</v>
      </c>
      <c r="Y1446" t="s">
        <v>21723</v>
      </c>
      <c r="Z1446" t="s">
        <v>28301</v>
      </c>
      <c r="AA1446">
        <v>0.5954854988425119</v>
      </c>
      <c r="AB1446" t="str">
        <f>HYPERLINK("Melting_Curves/meltCurve_O75113_N4BP1.pdf", "Melting_Curves/meltCurve_O75113_N4BP1.pdf")</f>
        <v>Melting_Curves/meltCurve_O75113_N4BP1.pdf</v>
      </c>
    </row>
    <row r="1447" spans="1:28" x14ac:dyDescent="0.25">
      <c r="A1447" t="s">
        <v>1451</v>
      </c>
      <c r="B1447">
        <v>0.995954080203443</v>
      </c>
      <c r="C1447">
        <v>0.94099842009158796</v>
      </c>
      <c r="D1447">
        <v>0.92196937664811895</v>
      </c>
      <c r="E1447">
        <v>0.51581423477432897</v>
      </c>
      <c r="F1447">
        <v>0.166747902344757</v>
      </c>
      <c r="G1447">
        <v>9.4904746484090793E-2</v>
      </c>
      <c r="H1447">
        <v>5.93781094982671E-2</v>
      </c>
      <c r="I1447">
        <v>5.0002675432290901E-2</v>
      </c>
      <c r="J1447">
        <v>5.9556134652695498E-2</v>
      </c>
      <c r="K1447">
        <v>5.16534519966362E-2</v>
      </c>
      <c r="L1447">
        <v>1497.56057792613</v>
      </c>
      <c r="M1447">
        <v>30.054646057165499</v>
      </c>
      <c r="N1447">
        <v>50.0218428328645</v>
      </c>
      <c r="O1447">
        <v>49.608884586931602</v>
      </c>
      <c r="P1447">
        <v>-0.14313014079441899</v>
      </c>
      <c r="Q1447">
        <v>5.4990606742945501E-2</v>
      </c>
      <c r="R1447">
        <v>0.99754718371623796</v>
      </c>
      <c r="S1447" t="s">
        <v>8253</v>
      </c>
      <c r="T1447" t="s">
        <v>13610</v>
      </c>
      <c r="U1447" t="s">
        <v>13610</v>
      </c>
      <c r="V1447" t="s">
        <v>13610</v>
      </c>
      <c r="W1447" t="s">
        <v>15022</v>
      </c>
      <c r="X1447">
        <v>75</v>
      </c>
      <c r="Y1447" t="s">
        <v>21724</v>
      </c>
      <c r="Z1447" t="s">
        <v>28302</v>
      </c>
      <c r="AA1447">
        <v>0.37038063561961843</v>
      </c>
      <c r="AB1447" t="str">
        <f>HYPERLINK("Melting_Curves/meltCurve_O75116_ROCK2.pdf", "Melting_Curves/meltCurve_O75116_ROCK2.pdf")</f>
        <v>Melting_Curves/meltCurve_O75116_ROCK2.pdf</v>
      </c>
    </row>
    <row r="1448" spans="1:28" x14ac:dyDescent="0.25">
      <c r="A1448" t="s">
        <v>1452</v>
      </c>
      <c r="B1448">
        <v>0.995954080203443</v>
      </c>
      <c r="C1448">
        <v>1.0810510750506099</v>
      </c>
      <c r="D1448">
        <v>1.0657157831801001</v>
      </c>
      <c r="E1448">
        <v>0.91176763998289101</v>
      </c>
      <c r="F1448">
        <v>0.37665219141770201</v>
      </c>
      <c r="G1448">
        <v>0.110393106154877</v>
      </c>
      <c r="H1448">
        <v>6.9663251363743905E-2</v>
      </c>
      <c r="I1448">
        <v>5.7190353251785501E-2</v>
      </c>
      <c r="J1448">
        <v>6.6629636897023004E-2</v>
      </c>
      <c r="K1448">
        <v>5.6113633873782799E-2</v>
      </c>
      <c r="L1448">
        <v>2565.0687694038102</v>
      </c>
      <c r="M1448">
        <v>49.083632237791598</v>
      </c>
      <c r="N1448">
        <v>52.4158119481489</v>
      </c>
      <c r="O1448">
        <v>52.172620816237703</v>
      </c>
      <c r="P1448">
        <v>-0.21915189907298699</v>
      </c>
      <c r="Q1448">
        <v>6.8225561606362797E-2</v>
      </c>
      <c r="R1448">
        <v>0.99396883897501498</v>
      </c>
      <c r="S1448" t="s">
        <v>8254</v>
      </c>
      <c r="T1448" t="s">
        <v>13610</v>
      </c>
      <c r="U1448" t="s">
        <v>13610</v>
      </c>
      <c r="V1448" t="s">
        <v>13610</v>
      </c>
      <c r="W1448" t="s">
        <v>15023</v>
      </c>
      <c r="X1448">
        <v>22</v>
      </c>
      <c r="Y1448" t="s">
        <v>21725</v>
      </c>
      <c r="Z1448" t="s">
        <v>28303</v>
      </c>
      <c r="AA1448">
        <v>0.45121331509857271</v>
      </c>
      <c r="AB1448" t="str">
        <f>HYPERLINK("Melting_Curves/meltCurve_O75131_CPNE3.pdf", "Melting_Curves/meltCurve_O75131_CPNE3.pdf")</f>
        <v>Melting_Curves/meltCurve_O75131_CPNE3.pdf</v>
      </c>
    </row>
    <row r="1449" spans="1:28" x14ac:dyDescent="0.25">
      <c r="A1449" t="s">
        <v>1453</v>
      </c>
      <c r="B1449">
        <v>0.995954080203443</v>
      </c>
      <c r="C1449">
        <v>0.73087249390078302</v>
      </c>
      <c r="D1449">
        <v>0.754066105918067</v>
      </c>
      <c r="E1449">
        <v>0.68900068772475598</v>
      </c>
      <c r="F1449">
        <v>0.82367400828751303</v>
      </c>
      <c r="G1449">
        <v>0.554724546693805</v>
      </c>
      <c r="H1449">
        <v>0.51348371372110801</v>
      </c>
      <c r="I1449">
        <v>0.66056641778157799</v>
      </c>
      <c r="J1449">
        <v>0.56705644077175499</v>
      </c>
      <c r="K1449">
        <v>0.61278375296167098</v>
      </c>
      <c r="L1449">
        <v>401.13343263420001</v>
      </c>
      <c r="M1449">
        <v>8.8448987633265901</v>
      </c>
      <c r="O1449">
        <v>43.213157509101201</v>
      </c>
      <c r="P1449">
        <v>-2.2099181444444199E-2</v>
      </c>
      <c r="Q1449">
        <v>0.56845846380807796</v>
      </c>
      <c r="R1449">
        <v>0.64520897773002395</v>
      </c>
      <c r="S1449" t="s">
        <v>8255</v>
      </c>
      <c r="T1449" t="s">
        <v>13610</v>
      </c>
      <c r="U1449" t="s">
        <v>13610</v>
      </c>
      <c r="V1449" t="s">
        <v>13610</v>
      </c>
      <c r="W1449" t="s">
        <v>15024</v>
      </c>
      <c r="X1449">
        <v>2</v>
      </c>
      <c r="Y1449" t="s">
        <v>21726</v>
      </c>
      <c r="Z1449" t="s">
        <v>28304</v>
      </c>
      <c r="AA1449">
        <v>0.68008005696000551</v>
      </c>
      <c r="AB1449" t="str">
        <f>HYPERLINK("Melting_Curves/meltCurve_O75132_ZBED4.pdf", "Melting_Curves/meltCurve_O75132_ZBED4.pdf")</f>
        <v>Melting_Curves/meltCurve_O75132_ZBED4.pdf</v>
      </c>
    </row>
    <row r="1450" spans="1:28" x14ac:dyDescent="0.25">
      <c r="A1450" t="s">
        <v>1454</v>
      </c>
      <c r="B1450">
        <v>0.995954080203443</v>
      </c>
      <c r="C1450">
        <v>0.98004505916117501</v>
      </c>
      <c r="D1450">
        <v>0.94904452375433401</v>
      </c>
      <c r="E1450">
        <v>0.82369340931911295</v>
      </c>
      <c r="F1450">
        <v>0.75886488663298202</v>
      </c>
      <c r="G1450">
        <v>0.55530791555696302</v>
      </c>
      <c r="H1450">
        <v>0.466466880159985</v>
      </c>
      <c r="I1450">
        <v>0.48782243533001401</v>
      </c>
      <c r="J1450">
        <v>0.49634237617625099</v>
      </c>
      <c r="K1450">
        <v>0.32772839194678599</v>
      </c>
      <c r="L1450">
        <v>699.11812047472904</v>
      </c>
      <c r="M1450">
        <v>12.9203331103345</v>
      </c>
      <c r="N1450">
        <v>60.531406344233297</v>
      </c>
      <c r="O1450">
        <v>52.8628738949538</v>
      </c>
      <c r="P1450">
        <v>-3.8316718919645699E-2</v>
      </c>
      <c r="Q1450">
        <v>0.37302998174383101</v>
      </c>
      <c r="R1450">
        <v>0.97062756342131995</v>
      </c>
      <c r="S1450" t="s">
        <v>8256</v>
      </c>
      <c r="T1450" t="s">
        <v>13610</v>
      </c>
      <c r="U1450" t="s">
        <v>13610</v>
      </c>
      <c r="V1450" t="s">
        <v>13610</v>
      </c>
      <c r="W1450" t="s">
        <v>15025</v>
      </c>
      <c r="X1450">
        <v>17</v>
      </c>
      <c r="Y1450" t="s">
        <v>21727</v>
      </c>
      <c r="Z1450" t="s">
        <v>28305</v>
      </c>
      <c r="AA1450">
        <v>0.68301312082210897</v>
      </c>
      <c r="AB1450" t="str">
        <f>HYPERLINK("Melting_Curves/meltCurve_O75143_2_ATG13.pdf", "Melting_Curves/meltCurve_O75143_2_ATG13.pdf")</f>
        <v>Melting_Curves/meltCurve_O75143_2_ATG13.pdf</v>
      </c>
    </row>
    <row r="1451" spans="1:28" x14ac:dyDescent="0.25">
      <c r="A1451" t="s">
        <v>1455</v>
      </c>
      <c r="B1451">
        <v>0.995954080203443</v>
      </c>
      <c r="C1451">
        <v>0.91314873885241998</v>
      </c>
      <c r="D1451">
        <v>0.88807275695727295</v>
      </c>
      <c r="E1451">
        <v>0.78194239322251402</v>
      </c>
      <c r="F1451">
        <v>0.66825539318612104</v>
      </c>
      <c r="G1451">
        <v>0.44514764203234303</v>
      </c>
      <c r="H1451">
        <v>0.27124237338913798</v>
      </c>
      <c r="I1451">
        <v>0.21545596678298801</v>
      </c>
      <c r="J1451">
        <v>0.29469181949581102</v>
      </c>
      <c r="K1451">
        <v>0.27814613926281201</v>
      </c>
      <c r="L1451">
        <v>746.68629684786094</v>
      </c>
      <c r="M1451">
        <v>13.989537789318099</v>
      </c>
      <c r="N1451">
        <v>55.507907053037599</v>
      </c>
      <c r="O1451">
        <v>52.319477541701097</v>
      </c>
      <c r="P1451">
        <v>-5.2953579172265702E-2</v>
      </c>
      <c r="Q1451">
        <v>0.20794070170214701</v>
      </c>
      <c r="R1451">
        <v>0.97900583899763705</v>
      </c>
      <c r="S1451" t="s">
        <v>8257</v>
      </c>
      <c r="T1451" t="s">
        <v>13610</v>
      </c>
      <c r="U1451" t="s">
        <v>13610</v>
      </c>
      <c r="V1451" t="s">
        <v>13610</v>
      </c>
      <c r="W1451" t="s">
        <v>15026</v>
      </c>
      <c r="X1451">
        <v>2</v>
      </c>
      <c r="Y1451" t="s">
        <v>21728</v>
      </c>
      <c r="Z1451" t="s">
        <v>28306</v>
      </c>
      <c r="AA1451">
        <v>0.57940338901079014</v>
      </c>
      <c r="AB1451" t="str">
        <f>HYPERLINK("Melting_Curves/meltCurve_O75144_ICOSLG.pdf", "Melting_Curves/meltCurve_O75144_ICOSLG.pdf")</f>
        <v>Melting_Curves/meltCurve_O75144_ICOSLG.pdf</v>
      </c>
    </row>
    <row r="1452" spans="1:28" x14ac:dyDescent="0.25">
      <c r="A1452" t="s">
        <v>1456</v>
      </c>
      <c r="B1452">
        <v>0.995954080203443</v>
      </c>
      <c r="C1452">
        <v>0.99680192701370596</v>
      </c>
      <c r="D1452">
        <v>1.0041427678016801</v>
      </c>
      <c r="E1452">
        <v>0.81749183138208403</v>
      </c>
      <c r="F1452">
        <v>0.75121338492061196</v>
      </c>
      <c r="G1452">
        <v>0.57217408284665605</v>
      </c>
      <c r="H1452">
        <v>0.46801148715343899</v>
      </c>
      <c r="I1452">
        <v>0.47521114716134899</v>
      </c>
      <c r="J1452">
        <v>0.57098795853738005</v>
      </c>
      <c r="K1452">
        <v>0.47617933807402102</v>
      </c>
      <c r="L1452">
        <v>1071.0019308839201</v>
      </c>
      <c r="M1452">
        <v>20.4399991158798</v>
      </c>
      <c r="N1452">
        <v>64.399060135875899</v>
      </c>
      <c r="O1452">
        <v>51.903560731370597</v>
      </c>
      <c r="P1452">
        <v>-5.0318444442204902E-2</v>
      </c>
      <c r="Q1452">
        <v>0.48891810257270302</v>
      </c>
      <c r="R1452">
        <v>0.971806896649138</v>
      </c>
      <c r="S1452" t="s">
        <v>8258</v>
      </c>
      <c r="T1452" t="s">
        <v>13610</v>
      </c>
      <c r="U1452" t="s">
        <v>13610</v>
      </c>
      <c r="V1452" t="s">
        <v>13610</v>
      </c>
      <c r="W1452" t="s">
        <v>15027</v>
      </c>
      <c r="X1452">
        <v>18</v>
      </c>
      <c r="Y1452" t="s">
        <v>21729</v>
      </c>
      <c r="Z1452" t="s">
        <v>28307</v>
      </c>
      <c r="AA1452">
        <v>0.70691291762078101</v>
      </c>
      <c r="AB1452" t="str">
        <f>HYPERLINK("Melting_Curves/meltCurve_O75145_2_PPFIA3.pdf", "Melting_Curves/meltCurve_O75145_2_PPFIA3.pdf")</f>
        <v>Melting_Curves/meltCurve_O75145_2_PPFIA3.pdf</v>
      </c>
    </row>
    <row r="1453" spans="1:28" x14ac:dyDescent="0.25">
      <c r="A1453" t="s">
        <v>1457</v>
      </c>
      <c r="B1453">
        <v>0.995954080203443</v>
      </c>
      <c r="C1453">
        <v>0.99814687873298502</v>
      </c>
      <c r="D1453">
        <v>1.0078820710850001</v>
      </c>
      <c r="E1453">
        <v>0.85383405141925095</v>
      </c>
      <c r="F1453">
        <v>0.34714652572544302</v>
      </c>
      <c r="G1453">
        <v>0.13326766114531199</v>
      </c>
      <c r="H1453">
        <v>9.2198750762594497E-2</v>
      </c>
      <c r="I1453">
        <v>8.6197746886919002E-2</v>
      </c>
      <c r="J1453">
        <v>9.34614966909567E-2</v>
      </c>
      <c r="K1453">
        <v>9.8373953470386105E-2</v>
      </c>
      <c r="L1453">
        <v>2266.5282888028901</v>
      </c>
      <c r="M1453">
        <v>43.702911779032497</v>
      </c>
      <c r="N1453">
        <v>52.117746995993002</v>
      </c>
      <c r="O1453">
        <v>51.7539388723348</v>
      </c>
      <c r="P1453">
        <v>-0.190748455020646</v>
      </c>
      <c r="Q1453">
        <v>9.6447365112648994E-2</v>
      </c>
      <c r="R1453">
        <v>0.99958582014780895</v>
      </c>
      <c r="S1453" t="s">
        <v>8259</v>
      </c>
      <c r="T1453" t="s">
        <v>13610</v>
      </c>
      <c r="U1453" t="s">
        <v>13610</v>
      </c>
      <c r="V1453" t="s">
        <v>13610</v>
      </c>
      <c r="W1453" t="s">
        <v>15028</v>
      </c>
      <c r="X1453">
        <v>34</v>
      </c>
      <c r="Y1453" t="s">
        <v>21730</v>
      </c>
      <c r="Z1453" t="s">
        <v>28308</v>
      </c>
      <c r="AA1453">
        <v>0.4564270548604123</v>
      </c>
      <c r="AB1453" t="str">
        <f>HYPERLINK("Melting_Curves/meltCurve_O75146_HIP1R.pdf", "Melting_Curves/meltCurve_O75146_HIP1R.pdf")</f>
        <v>Melting_Curves/meltCurve_O75146_HIP1R.pdf</v>
      </c>
    </row>
    <row r="1454" spans="1:28" x14ac:dyDescent="0.25">
      <c r="A1454" t="s">
        <v>1458</v>
      </c>
      <c r="B1454">
        <v>0.995954080203443</v>
      </c>
      <c r="C1454">
        <v>0.78296873978811299</v>
      </c>
      <c r="D1454">
        <v>0.45734867533616702</v>
      </c>
      <c r="E1454">
        <v>0.30724514306402201</v>
      </c>
      <c r="F1454">
        <v>0.17450709590625499</v>
      </c>
      <c r="G1454">
        <v>0.104540404302447</v>
      </c>
      <c r="H1454">
        <v>6.9406400443681598E-2</v>
      </c>
      <c r="I1454">
        <v>6.5946137149267503E-2</v>
      </c>
      <c r="J1454">
        <v>7.9232944191555799E-2</v>
      </c>
      <c r="K1454">
        <v>7.4423739381575899E-2</v>
      </c>
      <c r="L1454">
        <v>784.91930853510905</v>
      </c>
      <c r="M1454">
        <v>17.1424912817143</v>
      </c>
      <c r="N1454">
        <v>46.223719515176803</v>
      </c>
      <c r="O1454">
        <v>45.178465277859097</v>
      </c>
      <c r="P1454">
        <v>-8.7787108195520505E-2</v>
      </c>
      <c r="Q1454">
        <v>7.4615331878774102E-2</v>
      </c>
      <c r="R1454">
        <v>0.98762715303327997</v>
      </c>
      <c r="S1454" t="s">
        <v>8260</v>
      </c>
      <c r="T1454" t="s">
        <v>13610</v>
      </c>
      <c r="U1454" t="s">
        <v>13610</v>
      </c>
      <c r="V1454" t="s">
        <v>13610</v>
      </c>
      <c r="W1454" t="s">
        <v>15029</v>
      </c>
      <c r="X1454">
        <v>15</v>
      </c>
      <c r="Y1454" t="s">
        <v>21731</v>
      </c>
      <c r="Z1454" t="s">
        <v>28309</v>
      </c>
      <c r="AA1454">
        <v>0.27376020319190741</v>
      </c>
      <c r="AB1454" t="str">
        <f>HYPERLINK("Melting_Curves/meltCurve_O75147_2_OBSL1.pdf", "Melting_Curves/meltCurve_O75147_2_OBSL1.pdf")</f>
        <v>Melting_Curves/meltCurve_O75147_2_OBSL1.pdf</v>
      </c>
    </row>
    <row r="1455" spans="1:28" x14ac:dyDescent="0.25">
      <c r="A1455" t="s">
        <v>1459</v>
      </c>
      <c r="B1455">
        <v>0.995954080203443</v>
      </c>
      <c r="C1455">
        <v>0.84727511766085895</v>
      </c>
      <c r="D1455">
        <v>0.53909996797944604</v>
      </c>
      <c r="E1455">
        <v>0.25921697282054801</v>
      </c>
      <c r="F1455">
        <v>0.14036099635645699</v>
      </c>
      <c r="G1455">
        <v>8.93913227703481E-2</v>
      </c>
      <c r="H1455">
        <v>6.2577073129452002E-2</v>
      </c>
      <c r="I1455">
        <v>5.7343990257102503E-2</v>
      </c>
      <c r="J1455">
        <v>6.4516703002282405E-2</v>
      </c>
      <c r="K1455">
        <v>5.9902723136147397E-2</v>
      </c>
      <c r="L1455">
        <v>915.07291950865203</v>
      </c>
      <c r="M1455">
        <v>19.754118900122499</v>
      </c>
      <c r="N1455">
        <v>46.6348614932892</v>
      </c>
      <c r="O1455">
        <v>45.856245972351601</v>
      </c>
      <c r="P1455">
        <v>-0.101038619272228</v>
      </c>
      <c r="Q1455">
        <v>6.1847209872547701E-2</v>
      </c>
      <c r="R1455">
        <v>0.99780534515552199</v>
      </c>
      <c r="S1455" t="s">
        <v>8261</v>
      </c>
      <c r="T1455" t="s">
        <v>13610</v>
      </c>
      <c r="U1455" t="s">
        <v>13610</v>
      </c>
      <c r="V1455" t="s">
        <v>13610</v>
      </c>
      <c r="W1455" t="s">
        <v>15030</v>
      </c>
      <c r="X1455">
        <v>33</v>
      </c>
      <c r="Y1455" t="s">
        <v>21732</v>
      </c>
      <c r="Z1455" t="s">
        <v>28310</v>
      </c>
      <c r="AA1455">
        <v>0.27418809553014051</v>
      </c>
      <c r="AB1455" t="str">
        <f>HYPERLINK("Melting_Curves/meltCurve_O75150_RNF40.pdf", "Melting_Curves/meltCurve_O75150_RNF40.pdf")</f>
        <v>Melting_Curves/meltCurve_O75150_RNF40.pdf</v>
      </c>
    </row>
    <row r="1456" spans="1:28" x14ac:dyDescent="0.25">
      <c r="A1456" t="s">
        <v>1460</v>
      </c>
      <c r="B1456">
        <v>0.995954080203443</v>
      </c>
      <c r="C1456">
        <v>0.83020560404669097</v>
      </c>
      <c r="D1456">
        <v>0.83244511418880496</v>
      </c>
      <c r="E1456">
        <v>0.598700902110332</v>
      </c>
      <c r="F1456">
        <v>0.73812778899773901</v>
      </c>
      <c r="G1456">
        <v>0.63889900987251003</v>
      </c>
      <c r="H1456">
        <v>0.66004041587479401</v>
      </c>
      <c r="I1456">
        <v>0.86259148137664499</v>
      </c>
      <c r="J1456">
        <v>1.03394057230263</v>
      </c>
      <c r="K1456">
        <v>0.99978724819067499</v>
      </c>
      <c r="L1456">
        <v>2970.81572944346</v>
      </c>
      <c r="M1456">
        <v>70.803438953698205</v>
      </c>
      <c r="O1456">
        <v>41.925222852473603</v>
      </c>
      <c r="P1456">
        <v>-8.6374148866521602E-2</v>
      </c>
      <c r="Q1456">
        <v>0.79541938151721003</v>
      </c>
      <c r="R1456">
        <v>0.159226966276731</v>
      </c>
      <c r="S1456" t="s">
        <v>8262</v>
      </c>
      <c r="T1456" t="s">
        <v>13610</v>
      </c>
      <c r="U1456" t="s">
        <v>13610</v>
      </c>
      <c r="V1456" t="s">
        <v>13610</v>
      </c>
      <c r="W1456" t="s">
        <v>15031</v>
      </c>
      <c r="X1456">
        <v>7</v>
      </c>
      <c r="Y1456" t="s">
        <v>21733</v>
      </c>
      <c r="Z1456" t="s">
        <v>28311</v>
      </c>
      <c r="AA1456">
        <v>0.80907424352397095</v>
      </c>
      <c r="AB1456" t="str">
        <f>HYPERLINK("Melting_Curves/meltCurve_O75151_PHF2.pdf", "Melting_Curves/meltCurve_O75151_PHF2.pdf")</f>
        <v>Melting_Curves/meltCurve_O75151_PHF2.pdf</v>
      </c>
    </row>
    <row r="1457" spans="1:28" x14ac:dyDescent="0.25">
      <c r="A1457" t="s">
        <v>1461</v>
      </c>
      <c r="B1457">
        <v>0.995954080203443</v>
      </c>
      <c r="C1457">
        <v>0.94132615474449899</v>
      </c>
      <c r="D1457">
        <v>0.98547706091236398</v>
      </c>
      <c r="E1457">
        <v>0.84404044849019799</v>
      </c>
      <c r="F1457">
        <v>0.86064033565911502</v>
      </c>
      <c r="G1457">
        <v>0.71102369620107897</v>
      </c>
      <c r="H1457">
        <v>0.71695573621721898</v>
      </c>
      <c r="I1457">
        <v>0.90168511305329302</v>
      </c>
      <c r="J1457">
        <v>1.0092261072448301</v>
      </c>
      <c r="K1457">
        <v>1.09771886243862</v>
      </c>
      <c r="L1457">
        <v>11592.358257644901</v>
      </c>
      <c r="M1457">
        <v>250</v>
      </c>
      <c r="O1457">
        <v>46.366459564340801</v>
      </c>
      <c r="P1457">
        <v>-0.16535767380987701</v>
      </c>
      <c r="Q1457">
        <v>0.87732718554992895</v>
      </c>
      <c r="R1457">
        <v>0.125761465100836</v>
      </c>
      <c r="S1457" t="s">
        <v>8263</v>
      </c>
      <c r="T1457" t="s">
        <v>13610</v>
      </c>
      <c r="U1457" t="s">
        <v>13610</v>
      </c>
      <c r="V1457" t="s">
        <v>13610</v>
      </c>
      <c r="W1457" t="s">
        <v>15032</v>
      </c>
      <c r="X1457">
        <v>30</v>
      </c>
      <c r="Y1457" t="s">
        <v>21734</v>
      </c>
      <c r="Z1457" t="s">
        <v>28312</v>
      </c>
      <c r="AA1457">
        <v>0.90338237758365403</v>
      </c>
      <c r="AB1457" t="str">
        <f>HYPERLINK("Melting_Curves/meltCurve_O75152_ZC3H11A.pdf", "Melting_Curves/meltCurve_O75152_ZC3H11A.pdf")</f>
        <v>Melting_Curves/meltCurve_O75152_ZC3H11A.pdf</v>
      </c>
    </row>
    <row r="1458" spans="1:28" x14ac:dyDescent="0.25">
      <c r="A1458" t="s">
        <v>1462</v>
      </c>
      <c r="B1458">
        <v>0.995954080203443</v>
      </c>
      <c r="C1458">
        <v>1.0030583863371101</v>
      </c>
      <c r="D1458">
        <v>1.10743374355516</v>
      </c>
      <c r="E1458">
        <v>0.92130259226896705</v>
      </c>
      <c r="F1458">
        <v>0.94802593071613095</v>
      </c>
      <c r="G1458">
        <v>0.71724483956992002</v>
      </c>
      <c r="H1458">
        <v>0.70780331102076199</v>
      </c>
      <c r="I1458">
        <v>0.73826147312410795</v>
      </c>
      <c r="J1458">
        <v>1.1906167436466999</v>
      </c>
      <c r="K1458">
        <v>0.88737101834201404</v>
      </c>
      <c r="L1458">
        <v>1943.82816697936</v>
      </c>
      <c r="M1458">
        <v>37.756562241582301</v>
      </c>
      <c r="O1458">
        <v>51.3394016369284</v>
      </c>
      <c r="P1458">
        <v>-2.6700866249578702E-2</v>
      </c>
      <c r="Q1458">
        <v>0.85477460431002095</v>
      </c>
      <c r="R1458">
        <v>0.23133441145811801</v>
      </c>
      <c r="S1458" t="s">
        <v>8264</v>
      </c>
      <c r="T1458" t="s">
        <v>13610</v>
      </c>
      <c r="U1458" t="s">
        <v>13610</v>
      </c>
      <c r="V1458" t="s">
        <v>13610</v>
      </c>
      <c r="W1458" t="s">
        <v>15033</v>
      </c>
      <c r="X1458">
        <v>5</v>
      </c>
      <c r="Y1458" t="s">
        <v>21735</v>
      </c>
      <c r="Z1458" t="s">
        <v>28313</v>
      </c>
      <c r="AA1458">
        <v>0.91094327143002252</v>
      </c>
      <c r="AB1458" t="str">
        <f>HYPERLINK("Melting_Curves/meltCurve_O75154_RAB11FIP3.pdf", "Melting_Curves/meltCurve_O75154_RAB11FIP3.pdf")</f>
        <v>Melting_Curves/meltCurve_O75154_RAB11FIP3.pdf</v>
      </c>
    </row>
    <row r="1459" spans="1:28" x14ac:dyDescent="0.25">
      <c r="A1459" t="s">
        <v>1463</v>
      </c>
      <c r="B1459">
        <v>0.995954080203443</v>
      </c>
      <c r="C1459">
        <v>0.89470892772732202</v>
      </c>
      <c r="D1459">
        <v>0.84762457980111305</v>
      </c>
      <c r="E1459">
        <v>0.65182695578044803</v>
      </c>
      <c r="F1459">
        <v>0.18183643766907601</v>
      </c>
      <c r="G1459">
        <v>8.4782938057084006E-2</v>
      </c>
      <c r="H1459">
        <v>5.8874238960546603E-2</v>
      </c>
      <c r="I1459">
        <v>5.81301097752214E-2</v>
      </c>
      <c r="J1459">
        <v>6.32965250919693E-2</v>
      </c>
      <c r="K1459">
        <v>5.8544209579765902E-2</v>
      </c>
      <c r="L1459">
        <v>1408.3807348155599</v>
      </c>
      <c r="M1459">
        <v>27.917534833433201</v>
      </c>
      <c r="N1459">
        <v>50.637013985211397</v>
      </c>
      <c r="O1459">
        <v>50.191173530323297</v>
      </c>
      <c r="P1459">
        <v>-0.13217274274964699</v>
      </c>
      <c r="Q1459">
        <v>4.9508125378939602E-2</v>
      </c>
      <c r="R1459">
        <v>0.98148772038759302</v>
      </c>
      <c r="S1459" t="s">
        <v>8265</v>
      </c>
      <c r="T1459" t="s">
        <v>13610</v>
      </c>
      <c r="U1459" t="s">
        <v>13610</v>
      </c>
      <c r="V1459" t="s">
        <v>13610</v>
      </c>
      <c r="W1459" t="s">
        <v>15034</v>
      </c>
      <c r="X1459">
        <v>27</v>
      </c>
      <c r="Y1459" t="s">
        <v>21736</v>
      </c>
      <c r="Z1459" t="s">
        <v>28314</v>
      </c>
      <c r="AA1459">
        <v>0.38737344382178679</v>
      </c>
      <c r="AB1459" t="str">
        <f>HYPERLINK("Melting_Curves/meltCurve_O75155_CAND2.pdf", "Melting_Curves/meltCurve_O75155_CAND2.pdf")</f>
        <v>Melting_Curves/meltCurve_O75155_CAND2.pdf</v>
      </c>
    </row>
    <row r="1460" spans="1:28" x14ac:dyDescent="0.25">
      <c r="A1460" t="s">
        <v>1464</v>
      </c>
      <c r="B1460">
        <v>0.995954080203443</v>
      </c>
      <c r="C1460">
        <v>0.93596948390453905</v>
      </c>
      <c r="D1460">
        <v>1.0175719067769999</v>
      </c>
      <c r="E1460">
        <v>0.83283728488338005</v>
      </c>
      <c r="F1460">
        <v>0.84145660489095797</v>
      </c>
      <c r="G1460">
        <v>0.59410954360926904</v>
      </c>
      <c r="H1460">
        <v>0.55877370966554196</v>
      </c>
      <c r="I1460">
        <v>0.73670154436600899</v>
      </c>
      <c r="J1460">
        <v>0.796104158379354</v>
      </c>
      <c r="K1460">
        <v>0.840708914066987</v>
      </c>
      <c r="L1460">
        <v>1516.8652528121299</v>
      </c>
      <c r="M1460">
        <v>30.191638960141201</v>
      </c>
      <c r="O1460">
        <v>50.022378610823601</v>
      </c>
      <c r="P1460">
        <v>-4.3125256149890601E-2</v>
      </c>
      <c r="Q1460">
        <v>0.71419721176649298</v>
      </c>
      <c r="R1460">
        <v>0.63760195914081796</v>
      </c>
      <c r="S1460" t="s">
        <v>8266</v>
      </c>
      <c r="T1460" t="s">
        <v>13610</v>
      </c>
      <c r="U1460" t="s">
        <v>13610</v>
      </c>
      <c r="V1460" t="s">
        <v>13610</v>
      </c>
      <c r="W1460" t="s">
        <v>15035</v>
      </c>
      <c r="X1460">
        <v>9</v>
      </c>
      <c r="Y1460" t="s">
        <v>21737</v>
      </c>
      <c r="Z1460" t="s">
        <v>28315</v>
      </c>
      <c r="AA1460">
        <v>0.81351503095934996</v>
      </c>
      <c r="AB1460" t="str">
        <f>HYPERLINK("Melting_Curves/meltCurve_O75157_2_TSC22D2.pdf", "Melting_Curves/meltCurve_O75157_2_TSC22D2.pdf")</f>
        <v>Melting_Curves/meltCurve_O75157_2_TSC22D2.pdf</v>
      </c>
    </row>
    <row r="1461" spans="1:28" x14ac:dyDescent="0.25">
      <c r="A1461" t="s">
        <v>1465</v>
      </c>
      <c r="B1461">
        <v>0.995954080203443</v>
      </c>
      <c r="C1461">
        <v>0.97839042662043296</v>
      </c>
      <c r="D1461">
        <v>0.86466677175544504</v>
      </c>
      <c r="E1461">
        <v>0.56417889301651902</v>
      </c>
      <c r="F1461">
        <v>0.29898226274747702</v>
      </c>
      <c r="G1461">
        <v>0.17086802235852999</v>
      </c>
      <c r="H1461">
        <v>0.122601051511979</v>
      </c>
      <c r="I1461">
        <v>0.12551974490658399</v>
      </c>
      <c r="J1461">
        <v>0.14847989308041901</v>
      </c>
      <c r="K1461">
        <v>0.14586234974819601</v>
      </c>
      <c r="L1461">
        <v>1115.38608669625</v>
      </c>
      <c r="M1461">
        <v>22.385370882025398</v>
      </c>
      <c r="N1461">
        <v>50.492484385941097</v>
      </c>
      <c r="O1461">
        <v>49.434040824698101</v>
      </c>
      <c r="P1461">
        <v>-9.87403843334584E-2</v>
      </c>
      <c r="Q1461">
        <v>0.12781709324311</v>
      </c>
      <c r="R1461">
        <v>0.99856785521883396</v>
      </c>
      <c r="S1461" t="s">
        <v>8267</v>
      </c>
      <c r="T1461" t="s">
        <v>13610</v>
      </c>
      <c r="U1461" t="s">
        <v>13610</v>
      </c>
      <c r="V1461" t="s">
        <v>13610</v>
      </c>
      <c r="W1461" t="s">
        <v>15036</v>
      </c>
      <c r="X1461">
        <v>9</v>
      </c>
      <c r="Y1461" t="s">
        <v>21738</v>
      </c>
      <c r="Z1461" t="s">
        <v>28316</v>
      </c>
      <c r="AA1461">
        <v>0.42321948223531658</v>
      </c>
      <c r="AB1461" t="str">
        <f>HYPERLINK("Melting_Curves/meltCurve_O75164_KDM4A.pdf", "Melting_Curves/meltCurve_O75164_KDM4A.pdf")</f>
        <v>Melting_Curves/meltCurve_O75164_KDM4A.pdf</v>
      </c>
    </row>
    <row r="1462" spans="1:28" x14ac:dyDescent="0.25">
      <c r="A1462" t="s">
        <v>1466</v>
      </c>
      <c r="B1462">
        <v>0.995954080203443</v>
      </c>
      <c r="C1462">
        <v>1.0027543193425199</v>
      </c>
      <c r="D1462">
        <v>0.90993988621493005</v>
      </c>
      <c r="E1462">
        <v>0.77739965480985496</v>
      </c>
      <c r="F1462">
        <v>0.53461687177461004</v>
      </c>
      <c r="G1462">
        <v>0.43467189874088602</v>
      </c>
      <c r="H1462">
        <v>0.29623512491867199</v>
      </c>
      <c r="I1462">
        <v>0.217266636255147</v>
      </c>
      <c r="J1462">
        <v>0.26751007818684402</v>
      </c>
      <c r="K1462">
        <v>0.18074152771369201</v>
      </c>
      <c r="L1462">
        <v>773.04254400871696</v>
      </c>
      <c r="M1462">
        <v>14.6356170857376</v>
      </c>
      <c r="N1462">
        <v>54.5966714459637</v>
      </c>
      <c r="O1462">
        <v>51.862555819491298</v>
      </c>
      <c r="P1462">
        <v>-5.7186183403047403E-2</v>
      </c>
      <c r="Q1462">
        <v>0.18951371447444501</v>
      </c>
      <c r="R1462">
        <v>0.99062117148052697</v>
      </c>
      <c r="S1462" t="s">
        <v>8268</v>
      </c>
      <c r="T1462" t="s">
        <v>13610</v>
      </c>
      <c r="U1462" t="s">
        <v>13610</v>
      </c>
      <c r="V1462" t="s">
        <v>13610</v>
      </c>
      <c r="W1462" t="s">
        <v>15037</v>
      </c>
      <c r="X1462">
        <v>2</v>
      </c>
      <c r="Y1462" t="s">
        <v>21739</v>
      </c>
      <c r="Z1462" t="s">
        <v>28317</v>
      </c>
      <c r="AA1462">
        <v>0.55402996846370989</v>
      </c>
      <c r="AB1462" t="str">
        <f>HYPERLINK("Melting_Curves/meltCurve_O75165_DNAJC13.pdf", "Melting_Curves/meltCurve_O75165_DNAJC13.pdf")</f>
        <v>Melting_Curves/meltCurve_O75165_DNAJC13.pdf</v>
      </c>
    </row>
    <row r="1463" spans="1:28" x14ac:dyDescent="0.25">
      <c r="A1463" t="s">
        <v>1467</v>
      </c>
      <c r="B1463">
        <v>0.995954080203443</v>
      </c>
      <c r="C1463">
        <v>0.92151540068201698</v>
      </c>
      <c r="D1463">
        <v>0.87051481295489097</v>
      </c>
      <c r="E1463">
        <v>0.84068493923864396</v>
      </c>
      <c r="F1463">
        <v>0.61441398789843205</v>
      </c>
      <c r="G1463">
        <v>0.424012239152328</v>
      </c>
      <c r="H1463">
        <v>0.38821951652974601</v>
      </c>
      <c r="I1463">
        <v>0.43757678934941502</v>
      </c>
      <c r="J1463">
        <v>0.53806633453229002</v>
      </c>
      <c r="K1463">
        <v>0.484006779755767</v>
      </c>
      <c r="L1463">
        <v>1301.92769899685</v>
      </c>
      <c r="M1463">
        <v>25.462464007264</v>
      </c>
      <c r="N1463">
        <v>56.105943066302203</v>
      </c>
      <c r="O1463">
        <v>50.819009798161801</v>
      </c>
      <c r="P1463">
        <v>-6.9182022992513303E-2</v>
      </c>
      <c r="Q1463">
        <v>0.44770197381598797</v>
      </c>
      <c r="R1463">
        <v>0.92831175456396897</v>
      </c>
      <c r="S1463" t="s">
        <v>8269</v>
      </c>
      <c r="T1463" t="s">
        <v>13610</v>
      </c>
      <c r="U1463" t="s">
        <v>13610</v>
      </c>
      <c r="V1463" t="s">
        <v>13610</v>
      </c>
      <c r="W1463" t="s">
        <v>15038</v>
      </c>
      <c r="X1463">
        <v>8</v>
      </c>
      <c r="Y1463" t="s">
        <v>21740</v>
      </c>
      <c r="Z1463" t="s">
        <v>28318</v>
      </c>
      <c r="AA1463">
        <v>0.65744744387200882</v>
      </c>
      <c r="AB1463" t="str">
        <f>HYPERLINK("Melting_Curves/meltCurve_O75167_5_PHACTR2.pdf", "Melting_Curves/meltCurve_O75167_5_PHACTR2.pdf")</f>
        <v>Melting_Curves/meltCurve_O75167_5_PHACTR2.pdf</v>
      </c>
    </row>
    <row r="1464" spans="1:28" x14ac:dyDescent="0.25">
      <c r="A1464" t="s">
        <v>1468</v>
      </c>
      <c r="B1464">
        <v>0.995954080203443</v>
      </c>
      <c r="C1464">
        <v>0.93263880485304895</v>
      </c>
      <c r="D1464">
        <v>0.89183192889178398</v>
      </c>
      <c r="E1464">
        <v>0.83604676666462696</v>
      </c>
      <c r="F1464">
        <v>0.71322469505036001</v>
      </c>
      <c r="G1464">
        <v>0.468966500196839</v>
      </c>
      <c r="H1464">
        <v>0.41029877369643702</v>
      </c>
      <c r="I1464">
        <v>0.45591314687618101</v>
      </c>
      <c r="J1464">
        <v>0.53612330016502896</v>
      </c>
      <c r="K1464">
        <v>0.53836595794765696</v>
      </c>
      <c r="L1464">
        <v>1119.24491236426</v>
      </c>
      <c r="M1464">
        <v>21.680955852781601</v>
      </c>
      <c r="N1464">
        <v>59.4767204312949</v>
      </c>
      <c r="O1464">
        <v>51.1902560826572</v>
      </c>
      <c r="P1464">
        <v>-5.5967014083098003E-2</v>
      </c>
      <c r="Q1464">
        <v>0.471444360591109</v>
      </c>
      <c r="R1464">
        <v>0.93099054607710896</v>
      </c>
      <c r="S1464" t="s">
        <v>8270</v>
      </c>
      <c r="T1464" t="s">
        <v>13610</v>
      </c>
      <c r="U1464" t="s">
        <v>13610</v>
      </c>
      <c r="V1464" t="s">
        <v>13610</v>
      </c>
      <c r="W1464" t="s">
        <v>15039</v>
      </c>
      <c r="X1464">
        <v>17</v>
      </c>
      <c r="Y1464" t="s">
        <v>21741</v>
      </c>
      <c r="Z1464" t="s">
        <v>28319</v>
      </c>
      <c r="AA1464">
        <v>0.6825411638875849</v>
      </c>
      <c r="AB1464" t="str">
        <f>HYPERLINK("Melting_Curves/meltCurve_O75170_2_PPP6R2.pdf", "Melting_Curves/meltCurve_O75170_2_PPP6R2.pdf")</f>
        <v>Melting_Curves/meltCurve_O75170_2_PPP6R2.pdf</v>
      </c>
    </row>
    <row r="1465" spans="1:28" x14ac:dyDescent="0.25">
      <c r="A1465" t="s">
        <v>1469</v>
      </c>
      <c r="B1465">
        <v>0.995954080203443</v>
      </c>
      <c r="C1465">
        <v>0.951275536877628</v>
      </c>
      <c r="D1465">
        <v>0.94700748107324495</v>
      </c>
      <c r="E1465">
        <v>0.88608851828855695</v>
      </c>
      <c r="F1465">
        <v>0.83566280004108595</v>
      </c>
      <c r="G1465">
        <v>0.58508451966878205</v>
      </c>
      <c r="H1465">
        <v>0.45157059827447399</v>
      </c>
      <c r="I1465">
        <v>0.50271971082158595</v>
      </c>
      <c r="J1465">
        <v>0.57399605227158901</v>
      </c>
      <c r="K1465">
        <v>0.56900602729078997</v>
      </c>
      <c r="L1465">
        <v>1461.2263088397599</v>
      </c>
      <c r="M1465">
        <v>27.297798579620299</v>
      </c>
      <c r="O1465">
        <v>53.244270239708399</v>
      </c>
      <c r="P1465">
        <v>-6.1595890077061601E-2</v>
      </c>
      <c r="Q1465">
        <v>0.519433972872686</v>
      </c>
      <c r="R1465">
        <v>0.94505563378600899</v>
      </c>
      <c r="S1465" t="s">
        <v>8271</v>
      </c>
      <c r="T1465" t="s">
        <v>13610</v>
      </c>
      <c r="U1465" t="s">
        <v>13610</v>
      </c>
      <c r="V1465" t="s">
        <v>13610</v>
      </c>
      <c r="W1465" t="s">
        <v>15040</v>
      </c>
      <c r="X1465">
        <v>21</v>
      </c>
      <c r="Y1465" t="s">
        <v>21742</v>
      </c>
      <c r="Z1465" t="s">
        <v>28320</v>
      </c>
      <c r="AA1465">
        <v>0.73991837607157629</v>
      </c>
      <c r="AB1465" t="str">
        <f>HYPERLINK("Melting_Curves/meltCurve_O75175_CNOT3.pdf", "Melting_Curves/meltCurve_O75175_CNOT3.pdf")</f>
        <v>Melting_Curves/meltCurve_O75175_CNOT3.pdf</v>
      </c>
    </row>
    <row r="1466" spans="1:28" x14ac:dyDescent="0.25">
      <c r="A1466" t="s">
        <v>1470</v>
      </c>
      <c r="B1466">
        <v>0.995954080203443</v>
      </c>
      <c r="C1466">
        <v>0.79868420741686397</v>
      </c>
      <c r="D1466">
        <v>0.972784914190162</v>
      </c>
      <c r="E1466">
        <v>0.78304841636308797</v>
      </c>
      <c r="F1466">
        <v>0.95996485044108104</v>
      </c>
      <c r="G1466">
        <v>0.97056816054296102</v>
      </c>
      <c r="H1466">
        <v>0.87979947408506498</v>
      </c>
      <c r="I1466">
        <v>1.10172752716697</v>
      </c>
      <c r="J1466">
        <v>1.1056762666651301</v>
      </c>
      <c r="K1466">
        <v>1.1771259406605601</v>
      </c>
      <c r="L1466">
        <v>15000</v>
      </c>
      <c r="M1466">
        <v>235.315879042407</v>
      </c>
      <c r="O1466">
        <v>63.739522075132697</v>
      </c>
      <c r="P1466">
        <v>0.13051258468004301</v>
      </c>
      <c r="Q1466">
        <v>1.1414066400295799</v>
      </c>
      <c r="R1466">
        <v>0.28911148178487001</v>
      </c>
      <c r="S1466" t="s">
        <v>8272</v>
      </c>
      <c r="T1466" t="s">
        <v>13610</v>
      </c>
      <c r="U1466" t="s">
        <v>13610</v>
      </c>
      <c r="V1466" t="s">
        <v>13610</v>
      </c>
      <c r="W1466" t="s">
        <v>15041</v>
      </c>
      <c r="X1466">
        <v>3</v>
      </c>
      <c r="Y1466" t="s">
        <v>21743</v>
      </c>
      <c r="Z1466" t="s">
        <v>28321</v>
      </c>
      <c r="AA1466">
        <v>1.029469649577804</v>
      </c>
      <c r="AB1466" t="str">
        <f>HYPERLINK("Melting_Curves/meltCurve_O75177_SS18L1.pdf", "Melting_Curves/meltCurve_O75177_SS18L1.pdf")</f>
        <v>Melting_Curves/meltCurve_O75177_SS18L1.pdf</v>
      </c>
    </row>
    <row r="1467" spans="1:28" x14ac:dyDescent="0.25">
      <c r="A1467" t="s">
        <v>1471</v>
      </c>
      <c r="B1467">
        <v>0.995954080203443</v>
      </c>
      <c r="C1467">
        <v>2.70213765941326</v>
      </c>
      <c r="D1467">
        <v>2.17885780244253</v>
      </c>
      <c r="E1467">
        <v>1.8921716531606401</v>
      </c>
      <c r="F1467">
        <v>1.36898683655524</v>
      </c>
      <c r="G1467">
        <v>0.86183171363514299</v>
      </c>
      <c r="H1467">
        <v>0.62329268429542195</v>
      </c>
      <c r="I1467">
        <v>0.57232621687767704</v>
      </c>
      <c r="J1467">
        <v>0.55333407626951703</v>
      </c>
      <c r="K1467">
        <v>0.557753451046757</v>
      </c>
      <c r="L1467">
        <v>4516.7927439737596</v>
      </c>
      <c r="M1467">
        <v>78.464246426955597</v>
      </c>
      <c r="O1467">
        <v>57.527620242430402</v>
      </c>
      <c r="P1467">
        <v>-0.144916838955574</v>
      </c>
      <c r="Q1467">
        <v>0.57500543150761696</v>
      </c>
      <c r="R1467">
        <v>3.75783327260285E-2</v>
      </c>
      <c r="S1467" t="s">
        <v>8273</v>
      </c>
      <c r="T1467" t="s">
        <v>13610</v>
      </c>
      <c r="U1467" t="s">
        <v>13610</v>
      </c>
      <c r="V1467" t="s">
        <v>13610</v>
      </c>
      <c r="W1467" t="s">
        <v>15042</v>
      </c>
      <c r="X1467">
        <v>5</v>
      </c>
      <c r="Y1467" t="s">
        <v>21744</v>
      </c>
      <c r="Z1467" t="s">
        <v>28322</v>
      </c>
      <c r="AA1467">
        <v>0.82427619919324957</v>
      </c>
      <c r="AB1467" t="str">
        <f>HYPERLINK("Melting_Curves/meltCurve_O75182_2_SIN3B.pdf", "Melting_Curves/meltCurve_O75182_2_SIN3B.pdf")</f>
        <v>Melting_Curves/meltCurve_O75182_2_SIN3B.pdf</v>
      </c>
    </row>
    <row r="1468" spans="1:28" x14ac:dyDescent="0.25">
      <c r="A1468" t="s">
        <v>1472</v>
      </c>
      <c r="B1468">
        <v>0.995954080203443</v>
      </c>
      <c r="C1468">
        <v>0.89879982118500101</v>
      </c>
      <c r="D1468">
        <v>0.77162767240072505</v>
      </c>
      <c r="E1468">
        <v>0.91334040546858497</v>
      </c>
      <c r="F1468">
        <v>0.75232654898393503</v>
      </c>
      <c r="G1468">
        <v>0.55125508320348404</v>
      </c>
      <c r="H1468">
        <v>0.505994325568212</v>
      </c>
      <c r="I1468">
        <v>0.65087913082041904</v>
      </c>
      <c r="J1468">
        <v>0.65716241937202702</v>
      </c>
      <c r="K1468">
        <v>0.85458854430317999</v>
      </c>
      <c r="L1468">
        <v>608.46125915893504</v>
      </c>
      <c r="M1468">
        <v>12.9310114205846</v>
      </c>
      <c r="O1468">
        <v>45.9717117261456</v>
      </c>
      <c r="P1468">
        <v>-2.4494009355595099E-2</v>
      </c>
      <c r="Q1468">
        <v>0.65174314970815295</v>
      </c>
      <c r="R1468">
        <v>0.51523160181444805</v>
      </c>
      <c r="S1468" t="s">
        <v>8274</v>
      </c>
      <c r="T1468" t="s">
        <v>13610</v>
      </c>
      <c r="U1468" t="s">
        <v>13610</v>
      </c>
      <c r="V1468" t="s">
        <v>13610</v>
      </c>
      <c r="W1468" t="s">
        <v>15043</v>
      </c>
      <c r="X1468">
        <v>7</v>
      </c>
      <c r="Y1468" t="s">
        <v>21745</v>
      </c>
      <c r="Z1468" t="s">
        <v>28323</v>
      </c>
      <c r="AA1468">
        <v>0.74629716415299663</v>
      </c>
      <c r="AB1468" t="str">
        <f>HYPERLINK("Melting_Curves/meltCurve_O75190_DNAJB6.pdf", "Melting_Curves/meltCurve_O75190_DNAJB6.pdf")</f>
        <v>Melting_Curves/meltCurve_O75190_DNAJB6.pdf</v>
      </c>
    </row>
    <row r="1469" spans="1:28" x14ac:dyDescent="0.25">
      <c r="A1469" t="s">
        <v>1473</v>
      </c>
      <c r="B1469">
        <v>0.995954080203443</v>
      </c>
      <c r="C1469">
        <v>0.94842848412943304</v>
      </c>
      <c r="D1469">
        <v>0.69361161508895097</v>
      </c>
      <c r="E1469">
        <v>0.32263134170339802</v>
      </c>
      <c r="F1469">
        <v>0.192882080753316</v>
      </c>
      <c r="G1469">
        <v>0.129882838139176</v>
      </c>
      <c r="H1469">
        <v>8.5144984311323405E-2</v>
      </c>
      <c r="I1469">
        <v>9.0232092846318501E-2</v>
      </c>
      <c r="J1469">
        <v>9.8953435027732295E-2</v>
      </c>
      <c r="K1469">
        <v>9.6516170516372998E-2</v>
      </c>
      <c r="L1469">
        <v>1050.07997033829</v>
      </c>
      <c r="M1469">
        <v>22.086472142874101</v>
      </c>
      <c r="N1469">
        <v>48.001815038937103</v>
      </c>
      <c r="O1469">
        <v>47.159442375709197</v>
      </c>
      <c r="P1469">
        <v>-0.105967563895649</v>
      </c>
      <c r="Q1469">
        <v>9.4964668753763998E-2</v>
      </c>
      <c r="R1469">
        <v>0.99872098979275703</v>
      </c>
      <c r="S1469" t="s">
        <v>8275</v>
      </c>
      <c r="T1469" t="s">
        <v>13610</v>
      </c>
      <c r="U1469" t="s">
        <v>13610</v>
      </c>
      <c r="V1469" t="s">
        <v>13610</v>
      </c>
      <c r="W1469" t="s">
        <v>15044</v>
      </c>
      <c r="X1469">
        <v>11</v>
      </c>
      <c r="Y1469" t="s">
        <v>21746</v>
      </c>
      <c r="Z1469" t="s">
        <v>28324</v>
      </c>
      <c r="AA1469">
        <v>0.33304033941683792</v>
      </c>
      <c r="AB1469" t="str">
        <f>HYPERLINK("Melting_Curves/meltCurve_O75191_XYLB.pdf", "Melting_Curves/meltCurve_O75191_XYLB.pdf")</f>
        <v>Melting_Curves/meltCurve_O75191_XYLB.pdf</v>
      </c>
    </row>
    <row r="1470" spans="1:28" x14ac:dyDescent="0.25">
      <c r="A1470" t="s">
        <v>1474</v>
      </c>
      <c r="B1470">
        <v>0.995954080203443</v>
      </c>
      <c r="C1470">
        <v>1.02153595978282</v>
      </c>
      <c r="D1470">
        <v>1.1519600670537</v>
      </c>
      <c r="E1470">
        <v>0.976959979767824</v>
      </c>
      <c r="F1470">
        <v>1.10110353713473</v>
      </c>
      <c r="G1470">
        <v>0.69003053289145899</v>
      </c>
      <c r="H1470">
        <v>0.11584268157612</v>
      </c>
      <c r="I1470">
        <v>8.1572007079545802E-2</v>
      </c>
      <c r="J1470">
        <v>7.5449987150601597E-2</v>
      </c>
      <c r="K1470">
        <v>6.96454991980235E-2</v>
      </c>
      <c r="L1470">
        <v>3909.1983818041199</v>
      </c>
      <c r="M1470">
        <v>67.891845768693301</v>
      </c>
      <c r="N1470">
        <v>57.728266528728597</v>
      </c>
      <c r="O1470">
        <v>57.529895744068099</v>
      </c>
      <c r="P1470">
        <v>-0.271394008983531</v>
      </c>
      <c r="Q1470">
        <v>8.0109543613473694E-2</v>
      </c>
      <c r="R1470">
        <v>0.98315500653621402</v>
      </c>
      <c r="S1470" t="s">
        <v>8276</v>
      </c>
      <c r="T1470" t="s">
        <v>13610</v>
      </c>
      <c r="U1470" t="s">
        <v>13610</v>
      </c>
      <c r="V1470" t="s">
        <v>13610</v>
      </c>
      <c r="W1470" t="s">
        <v>15045</v>
      </c>
      <c r="X1470">
        <v>16</v>
      </c>
      <c r="Y1470" t="s">
        <v>21747</v>
      </c>
      <c r="Z1470" t="s">
        <v>28325</v>
      </c>
      <c r="AA1470">
        <v>0.62042272078775107</v>
      </c>
      <c r="AB1470" t="str">
        <f>HYPERLINK("Melting_Curves/meltCurve_O75223_GGCT.pdf", "Melting_Curves/meltCurve_O75223_GGCT.pdf")</f>
        <v>Melting_Curves/meltCurve_O75223_GGCT.pdf</v>
      </c>
    </row>
    <row r="1471" spans="1:28" x14ac:dyDescent="0.25">
      <c r="A1471" t="s">
        <v>1475</v>
      </c>
      <c r="B1471">
        <v>0.995954080203443</v>
      </c>
      <c r="C1471">
        <v>0.79277151474996899</v>
      </c>
      <c r="D1471">
        <v>0.61698084471242498</v>
      </c>
      <c r="E1471">
        <v>0.57787572551950495</v>
      </c>
      <c r="F1471">
        <v>0.38287930201776699</v>
      </c>
      <c r="G1471">
        <v>0.20365155979299401</v>
      </c>
      <c r="H1471">
        <v>0.15604203734476099</v>
      </c>
      <c r="I1471">
        <v>8.8418002972955795E-2</v>
      </c>
      <c r="J1471">
        <v>4.5128721433413101E-2</v>
      </c>
      <c r="K1471">
        <v>7.7426910681027195E-2</v>
      </c>
      <c r="L1471">
        <v>484.192219672433</v>
      </c>
      <c r="M1471">
        <v>9.6888977307913908</v>
      </c>
      <c r="N1471">
        <v>49.973922279031001</v>
      </c>
      <c r="O1471">
        <v>47.984377564282099</v>
      </c>
      <c r="P1471">
        <v>-5.0507139933829499E-2</v>
      </c>
      <c r="Q1471">
        <v>0</v>
      </c>
      <c r="R1471">
        <v>0.97690259267120905</v>
      </c>
      <c r="S1471" t="s">
        <v>8277</v>
      </c>
      <c r="T1471" t="s">
        <v>13610</v>
      </c>
      <c r="U1471" t="s">
        <v>13610</v>
      </c>
      <c r="V1471" t="s">
        <v>13610</v>
      </c>
      <c r="W1471" t="s">
        <v>15046</v>
      </c>
      <c r="X1471">
        <v>3</v>
      </c>
      <c r="Y1471" t="s">
        <v>21748</v>
      </c>
      <c r="Z1471" t="s">
        <v>28326</v>
      </c>
      <c r="AA1471">
        <v>0.37974011317253181</v>
      </c>
      <c r="AB1471" t="str">
        <f>HYPERLINK("Melting_Curves/meltCurve_O75306_2_NDUFS2.pdf", "Melting_Curves/meltCurve_O75306_2_NDUFS2.pdf")</f>
        <v>Melting_Curves/meltCurve_O75306_2_NDUFS2.pdf</v>
      </c>
    </row>
    <row r="1472" spans="1:28" x14ac:dyDescent="0.25">
      <c r="A1472" t="s">
        <v>1476</v>
      </c>
      <c r="B1472">
        <v>0.995954080203443</v>
      </c>
      <c r="C1472">
        <v>1.05364890955705</v>
      </c>
      <c r="D1472">
        <v>1.0492727115159901</v>
      </c>
      <c r="E1472">
        <v>0.908872687890113</v>
      </c>
      <c r="F1472">
        <v>0.51794477819265905</v>
      </c>
      <c r="G1472">
        <v>0.25556313221868099</v>
      </c>
      <c r="H1472">
        <v>0.14817828119527901</v>
      </c>
      <c r="I1472">
        <v>0.121281416820371</v>
      </c>
      <c r="J1472">
        <v>0.13500395856962299</v>
      </c>
      <c r="K1472">
        <v>0.131419080125942</v>
      </c>
      <c r="L1472">
        <v>1753.1757256918399</v>
      </c>
      <c r="M1472">
        <v>33.194526284901102</v>
      </c>
      <c r="N1472">
        <v>53.338178616750497</v>
      </c>
      <c r="O1472">
        <v>52.624629418261897</v>
      </c>
      <c r="P1472">
        <v>-0.135790782441264</v>
      </c>
      <c r="Q1472">
        <v>0.13890520396276301</v>
      </c>
      <c r="R1472">
        <v>0.99375219257917402</v>
      </c>
      <c r="S1472" t="s">
        <v>8278</v>
      </c>
      <c r="T1472" t="s">
        <v>13610</v>
      </c>
      <c r="U1472" t="s">
        <v>13610</v>
      </c>
      <c r="V1472" t="s">
        <v>13610</v>
      </c>
      <c r="W1472" t="s">
        <v>15047</v>
      </c>
      <c r="X1472">
        <v>21</v>
      </c>
      <c r="Y1472" t="s">
        <v>21749</v>
      </c>
      <c r="Z1472" t="s">
        <v>28327</v>
      </c>
      <c r="AA1472">
        <v>0.51130206283591495</v>
      </c>
      <c r="AB1472" t="str">
        <f>HYPERLINK("Melting_Curves/meltCurve_O75312_ZNF259.pdf", "Melting_Curves/meltCurve_O75312_ZNF259.pdf")</f>
        <v>Melting_Curves/meltCurve_O75312_ZNF259.pdf</v>
      </c>
    </row>
    <row r="1473" spans="1:28" x14ac:dyDescent="0.25">
      <c r="A1473" t="s">
        <v>1477</v>
      </c>
      <c r="B1473">
        <v>0.995954080203443</v>
      </c>
      <c r="C1473">
        <v>1.00223836043891</v>
      </c>
      <c r="D1473">
        <v>0.77053202515983199</v>
      </c>
      <c r="E1473">
        <v>0.484628350150835</v>
      </c>
      <c r="F1473">
        <v>0.212858313154943</v>
      </c>
      <c r="G1473">
        <v>0.114256640464815</v>
      </c>
      <c r="H1473">
        <v>7.9621603444203895E-2</v>
      </c>
      <c r="I1473">
        <v>7.6139414121373497E-2</v>
      </c>
      <c r="J1473">
        <v>7.5315848936134897E-2</v>
      </c>
      <c r="K1473">
        <v>6.4029816283600702E-2</v>
      </c>
      <c r="L1473">
        <v>1001.36985740304</v>
      </c>
      <c r="M1473">
        <v>20.378240928587999</v>
      </c>
      <c r="N1473">
        <v>49.470360071025397</v>
      </c>
      <c r="O1473">
        <v>48.673311959037299</v>
      </c>
      <c r="P1473">
        <v>-9.7997270832867897E-2</v>
      </c>
      <c r="Q1473">
        <v>6.37646181288226E-2</v>
      </c>
      <c r="R1473">
        <v>0.99572464034327401</v>
      </c>
      <c r="S1473" t="s">
        <v>8279</v>
      </c>
      <c r="T1473" t="s">
        <v>13610</v>
      </c>
      <c r="U1473" t="s">
        <v>13610</v>
      </c>
      <c r="V1473" t="s">
        <v>13610</v>
      </c>
      <c r="W1473" t="s">
        <v>15048</v>
      </c>
      <c r="X1473">
        <v>3</v>
      </c>
      <c r="Y1473" t="s">
        <v>21750</v>
      </c>
      <c r="Z1473" t="s">
        <v>28328</v>
      </c>
      <c r="AA1473">
        <v>0.36158956099925599</v>
      </c>
      <c r="AB1473" t="str">
        <f>HYPERLINK("Melting_Curves/meltCurve_O75319_DUSP11.pdf", "Melting_Curves/meltCurve_O75319_DUSP11.pdf")</f>
        <v>Melting_Curves/meltCurve_O75319_DUSP11.pdf</v>
      </c>
    </row>
    <row r="1474" spans="1:28" x14ac:dyDescent="0.25">
      <c r="A1474" t="s">
        <v>1478</v>
      </c>
      <c r="B1474">
        <v>0.995954080203443</v>
      </c>
      <c r="C1474">
        <v>0.87715905157973995</v>
      </c>
      <c r="D1474">
        <v>0.863889453138457</v>
      </c>
      <c r="E1474">
        <v>0.77888250499030798</v>
      </c>
      <c r="F1474">
        <v>0.54526874285251303</v>
      </c>
      <c r="G1474">
        <v>0.120137364963501</v>
      </c>
      <c r="H1474">
        <v>6.5703065201199895E-2</v>
      </c>
      <c r="I1474">
        <v>5.3897496313973899E-2</v>
      </c>
      <c r="J1474">
        <v>5.6882318282880602E-2</v>
      </c>
      <c r="K1474">
        <v>5.3165798617998701E-2</v>
      </c>
      <c r="L1474">
        <v>1129.4758361003301</v>
      </c>
      <c r="M1474">
        <v>21.405040936137599</v>
      </c>
      <c r="N1474">
        <v>52.903020112431903</v>
      </c>
      <c r="O1474">
        <v>52.312720290431898</v>
      </c>
      <c r="P1474">
        <v>-9.9553682883307307E-2</v>
      </c>
      <c r="Q1474">
        <v>2.6809387411086801E-2</v>
      </c>
      <c r="R1474">
        <v>0.97867928467578102</v>
      </c>
      <c r="S1474" t="s">
        <v>8280</v>
      </c>
      <c r="T1474" t="s">
        <v>13610</v>
      </c>
      <c r="U1474" t="s">
        <v>13610</v>
      </c>
      <c r="V1474" t="s">
        <v>13610</v>
      </c>
      <c r="W1474" t="s">
        <v>15049</v>
      </c>
      <c r="X1474">
        <v>9</v>
      </c>
      <c r="Y1474" t="s">
        <v>21751</v>
      </c>
      <c r="Z1474" t="s">
        <v>28329</v>
      </c>
      <c r="AA1474">
        <v>0.45286317961906408</v>
      </c>
      <c r="AB1474" t="str">
        <f>HYPERLINK("Melting_Curves/meltCurve_O75323_GBAS.pdf", "Melting_Curves/meltCurve_O75323_GBAS.pdf")</f>
        <v>Melting_Curves/meltCurve_O75323_GBAS.pdf</v>
      </c>
    </row>
    <row r="1475" spans="1:28" x14ac:dyDescent="0.25">
      <c r="A1475" t="s">
        <v>1479</v>
      </c>
      <c r="B1475">
        <v>0.995954080203443</v>
      </c>
      <c r="C1475">
        <v>1.0427441121730101</v>
      </c>
      <c r="D1475">
        <v>0.935058133300952</v>
      </c>
      <c r="E1475">
        <v>0.74252616427928297</v>
      </c>
      <c r="F1475">
        <v>0.46366217379059899</v>
      </c>
      <c r="G1475">
        <v>0.28775603883024897</v>
      </c>
      <c r="H1475">
        <v>0.206937784965779</v>
      </c>
      <c r="I1475">
        <v>0.21393635190292601</v>
      </c>
      <c r="J1475">
        <v>0.260383410831805</v>
      </c>
      <c r="K1475">
        <v>0.24840690686612099</v>
      </c>
      <c r="L1475">
        <v>1318.5320498492399</v>
      </c>
      <c r="M1475">
        <v>25.7084567242349</v>
      </c>
      <c r="N1475">
        <v>52.538676069829002</v>
      </c>
      <c r="O1475">
        <v>50.980566884088297</v>
      </c>
      <c r="P1475">
        <v>-9.7216080103403296E-2</v>
      </c>
      <c r="Q1475">
        <v>0.22888078767321601</v>
      </c>
      <c r="R1475">
        <v>0.99470427680344398</v>
      </c>
      <c r="S1475" t="s">
        <v>8281</v>
      </c>
      <c r="T1475" t="s">
        <v>13610</v>
      </c>
      <c r="U1475" t="s">
        <v>13610</v>
      </c>
      <c r="V1475" t="s">
        <v>13610</v>
      </c>
      <c r="W1475" t="s">
        <v>15050</v>
      </c>
      <c r="X1475">
        <v>30</v>
      </c>
      <c r="Y1475" t="s">
        <v>21752</v>
      </c>
      <c r="Z1475" t="s">
        <v>28330</v>
      </c>
      <c r="AA1475">
        <v>0.52563957253380411</v>
      </c>
      <c r="AB1475" t="str">
        <f>HYPERLINK("Melting_Curves/meltCurve_O75330_2_HMMR.pdf", "Melting_Curves/meltCurve_O75330_2_HMMR.pdf")</f>
        <v>Melting_Curves/meltCurve_O75330_2_HMMR.pdf</v>
      </c>
    </row>
    <row r="1476" spans="1:28" x14ac:dyDescent="0.25">
      <c r="A1476" t="s">
        <v>1480</v>
      </c>
      <c r="B1476">
        <v>0.995954080203443</v>
      </c>
      <c r="C1476">
        <v>1.0061616301548899</v>
      </c>
      <c r="D1476">
        <v>0.93822775527072599</v>
      </c>
      <c r="E1476">
        <v>0.837258334656238</v>
      </c>
      <c r="F1476">
        <v>0.64785341422332998</v>
      </c>
      <c r="G1476">
        <v>0.25843970050799497</v>
      </c>
      <c r="H1476">
        <v>9.7044845207786098E-2</v>
      </c>
      <c r="I1476">
        <v>8.4142340418112499E-2</v>
      </c>
      <c r="J1476">
        <v>8.8687554322491702E-2</v>
      </c>
      <c r="K1476">
        <v>7.7975666238463096E-2</v>
      </c>
      <c r="L1476">
        <v>1225.46042166149</v>
      </c>
      <c r="M1476">
        <v>22.749506449980402</v>
      </c>
      <c r="N1476">
        <v>54.180260090549403</v>
      </c>
      <c r="O1476">
        <v>53.4565094938011</v>
      </c>
      <c r="P1476">
        <v>-9.9849349443355606E-2</v>
      </c>
      <c r="Q1476">
        <v>6.1519260291528703E-2</v>
      </c>
      <c r="R1476">
        <v>0.99698988023406598</v>
      </c>
      <c r="S1476" t="s">
        <v>8282</v>
      </c>
      <c r="T1476" t="s">
        <v>13610</v>
      </c>
      <c r="U1476" t="s">
        <v>13610</v>
      </c>
      <c r="V1476" t="s">
        <v>13610</v>
      </c>
      <c r="W1476" t="s">
        <v>15051</v>
      </c>
      <c r="X1476">
        <v>12</v>
      </c>
      <c r="Y1476" t="s">
        <v>21753</v>
      </c>
      <c r="Z1476" t="s">
        <v>28331</v>
      </c>
      <c r="AA1476">
        <v>0.50561381301464392</v>
      </c>
      <c r="AB1476" t="str">
        <f>HYPERLINK("Melting_Curves/meltCurve_O75340_PDCD6.pdf", "Melting_Curves/meltCurve_O75340_PDCD6.pdf")</f>
        <v>Melting_Curves/meltCurve_O75340_PDCD6.pdf</v>
      </c>
    </row>
    <row r="1477" spans="1:28" x14ac:dyDescent="0.25">
      <c r="A1477" t="s">
        <v>1481</v>
      </c>
      <c r="B1477">
        <v>0.995954080203443</v>
      </c>
      <c r="C1477">
        <v>0.805620472427093</v>
      </c>
      <c r="D1477">
        <v>1.10124693172857</v>
      </c>
      <c r="E1477">
        <v>0.71206033411344904</v>
      </c>
      <c r="F1477">
        <v>1.1160046207862699</v>
      </c>
      <c r="G1477">
        <v>0.45612940053018602</v>
      </c>
      <c r="H1477">
        <v>0.172104046549686</v>
      </c>
      <c r="I1477">
        <v>0.213482819514694</v>
      </c>
      <c r="J1477">
        <v>0.25717048935728998</v>
      </c>
      <c r="K1477">
        <v>0.24856889194413201</v>
      </c>
      <c r="L1477">
        <v>14201.7554623865</v>
      </c>
      <c r="M1477">
        <v>250</v>
      </c>
      <c r="N1477">
        <v>56.941399361721103</v>
      </c>
      <c r="O1477">
        <v>56.803378152220397</v>
      </c>
      <c r="P1477">
        <v>-0.85510795679638396</v>
      </c>
      <c r="Q1477">
        <v>0.22283155528434101</v>
      </c>
      <c r="R1477">
        <v>0.88741584394767903</v>
      </c>
      <c r="S1477" t="s">
        <v>8283</v>
      </c>
      <c r="T1477" t="s">
        <v>13610</v>
      </c>
      <c r="U1477" t="s">
        <v>13610</v>
      </c>
      <c r="V1477" t="s">
        <v>13610</v>
      </c>
      <c r="W1477" t="s">
        <v>15052</v>
      </c>
      <c r="X1477">
        <v>12</v>
      </c>
      <c r="Y1477" t="s">
        <v>21753</v>
      </c>
      <c r="Z1477" t="s">
        <v>28332</v>
      </c>
      <c r="AA1477">
        <v>0.65830526980425397</v>
      </c>
      <c r="AB1477" t="str">
        <f>HYPERLINK("Melting_Curves/meltCurve_O75340_2_PDCD6.pdf", "Melting_Curves/meltCurve_O75340_2_PDCD6.pdf")</f>
        <v>Melting_Curves/meltCurve_O75340_2_PDCD6.pdf</v>
      </c>
    </row>
    <row r="1478" spans="1:28" x14ac:dyDescent="0.25">
      <c r="A1478" t="s">
        <v>1482</v>
      </c>
      <c r="B1478">
        <v>0.995954080203443</v>
      </c>
      <c r="C1478">
        <v>1.0054729969646401</v>
      </c>
      <c r="D1478">
        <v>1.1264781816755001</v>
      </c>
      <c r="E1478">
        <v>0.98962910484767097</v>
      </c>
      <c r="F1478">
        <v>1.07757402636494</v>
      </c>
      <c r="G1478">
        <v>0.90324351842113604</v>
      </c>
      <c r="H1478">
        <v>0.93198229348645001</v>
      </c>
      <c r="I1478">
        <v>1.0872561509718901</v>
      </c>
      <c r="J1478">
        <v>1.51877049152085</v>
      </c>
      <c r="K1478">
        <v>1.35101727153219</v>
      </c>
      <c r="L1478">
        <v>15000</v>
      </c>
      <c r="M1478">
        <v>232.99345907695599</v>
      </c>
      <c r="O1478">
        <v>64.3747670687587</v>
      </c>
      <c r="P1478">
        <v>0.39351842096865303</v>
      </c>
      <c r="Q1478">
        <v>1.4349074640051001</v>
      </c>
      <c r="R1478">
        <v>0.85164452853797701</v>
      </c>
      <c r="S1478" t="s">
        <v>8284</v>
      </c>
      <c r="T1478" t="s">
        <v>13610</v>
      </c>
      <c r="U1478" t="s">
        <v>13610</v>
      </c>
      <c r="V1478" t="s">
        <v>13610</v>
      </c>
      <c r="W1478" t="s">
        <v>15053</v>
      </c>
      <c r="X1478">
        <v>17</v>
      </c>
      <c r="Y1478" t="s">
        <v>21754</v>
      </c>
      <c r="Z1478" t="s">
        <v>28333</v>
      </c>
      <c r="AA1478">
        <v>1.081423487635861</v>
      </c>
      <c r="AB1478" t="str">
        <f>HYPERLINK("Melting_Curves/meltCurve_O75347_TBCA.pdf", "Melting_Curves/meltCurve_O75347_TBCA.pdf")</f>
        <v>Melting_Curves/meltCurve_O75347_TBCA.pdf</v>
      </c>
    </row>
    <row r="1479" spans="1:28" x14ac:dyDescent="0.25">
      <c r="A1479" t="s">
        <v>1483</v>
      </c>
      <c r="B1479">
        <v>0.995954080203443</v>
      </c>
      <c r="C1479">
        <v>0.89959779391897499</v>
      </c>
      <c r="D1479">
        <v>0.90505512796980803</v>
      </c>
      <c r="E1479">
        <v>0.817948001514196</v>
      </c>
      <c r="F1479">
        <v>0.63178601211570595</v>
      </c>
      <c r="G1479">
        <v>0.27557072537277399</v>
      </c>
      <c r="H1479">
        <v>0.206397217836359</v>
      </c>
      <c r="I1479">
        <v>0.223049482386806</v>
      </c>
      <c r="J1479">
        <v>0.25522890721618902</v>
      </c>
      <c r="K1479">
        <v>0.27365570002744199</v>
      </c>
      <c r="L1479">
        <v>1301.38549273426</v>
      </c>
      <c r="M1479">
        <v>24.7103691571848</v>
      </c>
      <c r="N1479">
        <v>53.961665434460699</v>
      </c>
      <c r="O1479">
        <v>52.324262807091898</v>
      </c>
      <c r="P1479">
        <v>-9.1641135798208401E-2</v>
      </c>
      <c r="Q1479">
        <v>0.22380949192806401</v>
      </c>
      <c r="R1479">
        <v>0.97423472889054896</v>
      </c>
      <c r="S1479" t="s">
        <v>8285</v>
      </c>
      <c r="T1479" t="s">
        <v>13610</v>
      </c>
      <c r="U1479" t="s">
        <v>13610</v>
      </c>
      <c r="V1479" t="s">
        <v>13610</v>
      </c>
      <c r="W1479" t="s">
        <v>15054</v>
      </c>
      <c r="X1479">
        <v>6</v>
      </c>
      <c r="Y1479" t="s">
        <v>21755</v>
      </c>
      <c r="Z1479" t="s">
        <v>28334</v>
      </c>
      <c r="AA1479">
        <v>0.55879301467305453</v>
      </c>
      <c r="AB1479" t="str">
        <f>HYPERLINK("Melting_Curves/meltCurve_O75348_ATP6V1G1.pdf", "Melting_Curves/meltCurve_O75348_ATP6V1G1.pdf")</f>
        <v>Melting_Curves/meltCurve_O75348_ATP6V1G1.pdf</v>
      </c>
    </row>
    <row r="1480" spans="1:28" x14ac:dyDescent="0.25">
      <c r="A1480" t="s">
        <v>1484</v>
      </c>
      <c r="B1480">
        <v>0.995954080203443</v>
      </c>
      <c r="C1480">
        <v>0.850465902782926</v>
      </c>
      <c r="D1480">
        <v>0.56840510606560601</v>
      </c>
      <c r="E1480">
        <v>0.28076803591789701</v>
      </c>
      <c r="F1480">
        <v>0.17313410055134201</v>
      </c>
      <c r="G1480">
        <v>0.101107185095955</v>
      </c>
      <c r="H1480">
        <v>7.8021280846563998E-2</v>
      </c>
      <c r="I1480">
        <v>7.8292361605574401E-2</v>
      </c>
      <c r="J1480">
        <v>8.3709541050382405E-2</v>
      </c>
      <c r="K1480">
        <v>7.8407472340418005E-2</v>
      </c>
      <c r="L1480">
        <v>891.11178178641796</v>
      </c>
      <c r="M1480">
        <v>19.1606008870856</v>
      </c>
      <c r="N1480">
        <v>46.923417896833001</v>
      </c>
      <c r="O1480">
        <v>46.009779980691498</v>
      </c>
      <c r="P1480">
        <v>-9.5984438627092994E-2</v>
      </c>
      <c r="Q1480">
        <v>7.8096776751645905E-2</v>
      </c>
      <c r="R1480">
        <v>0.99810767539127299</v>
      </c>
      <c r="S1480" t="s">
        <v>8286</v>
      </c>
      <c r="T1480" t="s">
        <v>13610</v>
      </c>
      <c r="U1480" t="s">
        <v>13610</v>
      </c>
      <c r="V1480" t="s">
        <v>13610</v>
      </c>
      <c r="W1480" t="s">
        <v>15055</v>
      </c>
      <c r="X1480">
        <v>13</v>
      </c>
      <c r="Y1480" t="s">
        <v>21756</v>
      </c>
      <c r="Z1480" t="s">
        <v>28335</v>
      </c>
      <c r="AA1480">
        <v>0.29328005341395408</v>
      </c>
      <c r="AB1480" t="str">
        <f>HYPERLINK("Melting_Curves/meltCurve_O75351_VPS4B.pdf", "Melting_Curves/meltCurve_O75351_VPS4B.pdf")</f>
        <v>Melting_Curves/meltCurve_O75351_VPS4B.pdf</v>
      </c>
    </row>
    <row r="1481" spans="1:28" x14ac:dyDescent="0.25">
      <c r="A1481" t="s">
        <v>1485</v>
      </c>
      <c r="B1481">
        <v>0.995954080203443</v>
      </c>
      <c r="C1481">
        <v>0.95289276656150301</v>
      </c>
      <c r="D1481">
        <v>0.78034680272552803</v>
      </c>
      <c r="E1481">
        <v>0.57676629533146795</v>
      </c>
      <c r="F1481">
        <v>0.26949487610685602</v>
      </c>
      <c r="G1481">
        <v>0.114147378298113</v>
      </c>
      <c r="H1481">
        <v>7.2595899745412404E-2</v>
      </c>
      <c r="I1481">
        <v>6.2834814596383001E-2</v>
      </c>
      <c r="J1481">
        <v>8.5439170781747606E-2</v>
      </c>
      <c r="K1481">
        <v>5.9756592433526101E-2</v>
      </c>
      <c r="L1481">
        <v>889.18743146132397</v>
      </c>
      <c r="M1481">
        <v>17.808902937669799</v>
      </c>
      <c r="N1481">
        <v>50.205981888874902</v>
      </c>
      <c r="O1481">
        <v>49.312583100357301</v>
      </c>
      <c r="P1481">
        <v>-8.6071313459138002E-2</v>
      </c>
      <c r="Q1481">
        <v>4.6728266834666903E-2</v>
      </c>
      <c r="R1481">
        <v>0.99384646287122602</v>
      </c>
      <c r="S1481" t="s">
        <v>8287</v>
      </c>
      <c r="T1481" t="s">
        <v>13610</v>
      </c>
      <c r="U1481" t="s">
        <v>13610</v>
      </c>
      <c r="V1481" t="s">
        <v>13610</v>
      </c>
      <c r="W1481" t="s">
        <v>15056</v>
      </c>
      <c r="X1481">
        <v>3</v>
      </c>
      <c r="Y1481" t="s">
        <v>21757</v>
      </c>
      <c r="Z1481" t="s">
        <v>28336</v>
      </c>
      <c r="AA1481">
        <v>0.37884703504560768</v>
      </c>
      <c r="AB1481" t="str">
        <f>HYPERLINK("Melting_Curves/meltCurve_O75356_ENTPD5.pdf", "Melting_Curves/meltCurve_O75356_ENTPD5.pdf")</f>
        <v>Melting_Curves/meltCurve_O75356_ENTPD5.pdf</v>
      </c>
    </row>
    <row r="1482" spans="1:28" x14ac:dyDescent="0.25">
      <c r="A1482" t="s">
        <v>1486</v>
      </c>
      <c r="B1482">
        <v>0.995954080203443</v>
      </c>
      <c r="C1482">
        <v>3.1390567679755201</v>
      </c>
      <c r="D1482">
        <v>3.1104187657815401</v>
      </c>
      <c r="E1482">
        <v>2.92235573036342</v>
      </c>
      <c r="F1482">
        <v>2.6580940811413698</v>
      </c>
      <c r="G1482">
        <v>2.1365614696253901</v>
      </c>
      <c r="H1482">
        <v>1.86217975175289</v>
      </c>
      <c r="I1482">
        <v>2.0145283679240298</v>
      </c>
      <c r="J1482">
        <v>2.6861760161448198</v>
      </c>
      <c r="K1482">
        <v>2.1070133824348201</v>
      </c>
      <c r="L1482">
        <v>10232.8593343879</v>
      </c>
      <c r="M1482">
        <v>250</v>
      </c>
      <c r="O1482">
        <v>40.928818508199001</v>
      </c>
      <c r="P1482">
        <v>0.76352070657903504</v>
      </c>
      <c r="Q1482">
        <v>1.5</v>
      </c>
      <c r="R1482">
        <v>-1.7890639552915699</v>
      </c>
      <c r="S1482" t="s">
        <v>8288</v>
      </c>
      <c r="T1482" t="s">
        <v>13610</v>
      </c>
      <c r="U1482" t="s">
        <v>13610</v>
      </c>
      <c r="V1482" t="s">
        <v>13610</v>
      </c>
      <c r="W1482" t="s">
        <v>15057</v>
      </c>
      <c r="X1482">
        <v>5</v>
      </c>
      <c r="Y1482" t="s">
        <v>21758</v>
      </c>
      <c r="Z1482" t="s">
        <v>28337</v>
      </c>
      <c r="AA1482">
        <v>1.4844324763360079</v>
      </c>
      <c r="AB1482" t="str">
        <f>HYPERLINK("Melting_Curves/meltCurve_O75362_ZNF217.pdf", "Melting_Curves/meltCurve_O75362_ZNF217.pdf")</f>
        <v>Melting_Curves/meltCurve_O75362_ZNF217.pdf</v>
      </c>
    </row>
    <row r="1483" spans="1:28" x14ac:dyDescent="0.25">
      <c r="A1483" t="s">
        <v>1487</v>
      </c>
      <c r="B1483">
        <v>0.995954080203443</v>
      </c>
      <c r="C1483">
        <v>1.0930319065854199</v>
      </c>
      <c r="D1483">
        <v>1.30675097321135</v>
      </c>
      <c r="E1483">
        <v>1.0328412117419601</v>
      </c>
      <c r="F1483">
        <v>1.06525056321082</v>
      </c>
      <c r="G1483">
        <v>0.488458642323224</v>
      </c>
      <c r="H1483">
        <v>0.13902785817232399</v>
      </c>
      <c r="I1483">
        <v>8.6110030053605305E-2</v>
      </c>
      <c r="J1483">
        <v>7.3009252485943796E-2</v>
      </c>
      <c r="K1483">
        <v>7.3662549345784201E-2</v>
      </c>
      <c r="L1483">
        <v>5892.4508289244204</v>
      </c>
      <c r="M1483">
        <v>103.631632433804</v>
      </c>
      <c r="N1483">
        <v>56.972317931552098</v>
      </c>
      <c r="O1483">
        <v>56.838392638864903</v>
      </c>
      <c r="P1483">
        <v>-0.41355924949953698</v>
      </c>
      <c r="Q1483">
        <v>9.27075165611074E-2</v>
      </c>
      <c r="R1483">
        <v>0.95243611426825903</v>
      </c>
      <c r="S1483" t="s">
        <v>8289</v>
      </c>
      <c r="T1483" t="s">
        <v>13610</v>
      </c>
      <c r="U1483" t="s">
        <v>13610</v>
      </c>
      <c r="V1483" t="s">
        <v>13610</v>
      </c>
      <c r="W1483" t="s">
        <v>15058</v>
      </c>
      <c r="X1483">
        <v>9</v>
      </c>
      <c r="Y1483" t="s">
        <v>21759</v>
      </c>
      <c r="Z1483" t="s">
        <v>28338</v>
      </c>
      <c r="AA1483">
        <v>0.60312056516218115</v>
      </c>
      <c r="AB1483" t="str">
        <f>HYPERLINK("Melting_Curves/meltCurve_O75367_2_H2AFY.pdf", "Melting_Curves/meltCurve_O75367_2_H2AFY.pdf")</f>
        <v>Melting_Curves/meltCurve_O75367_2_H2AFY.pdf</v>
      </c>
    </row>
    <row r="1484" spans="1:28" x14ac:dyDescent="0.25">
      <c r="A1484" t="s">
        <v>1488</v>
      </c>
      <c r="B1484">
        <v>0.995954080203443</v>
      </c>
      <c r="C1484">
        <v>1.07186696396445</v>
      </c>
      <c r="D1484">
        <v>1.0666415806968299</v>
      </c>
      <c r="E1484">
        <v>1.00508495162582</v>
      </c>
      <c r="F1484">
        <v>0.93877085061814503</v>
      </c>
      <c r="G1484">
        <v>0.66818834775616798</v>
      </c>
      <c r="H1484">
        <v>0.55649586709953602</v>
      </c>
      <c r="I1484">
        <v>0.62378435971962298</v>
      </c>
      <c r="J1484">
        <v>0.70894927961115495</v>
      </c>
      <c r="K1484">
        <v>0.76376725185171102</v>
      </c>
      <c r="L1484">
        <v>4683.2045442427197</v>
      </c>
      <c r="M1484">
        <v>86.8576165984217</v>
      </c>
      <c r="O1484">
        <v>53.889616815460798</v>
      </c>
      <c r="P1484">
        <v>-0.135541299511001</v>
      </c>
      <c r="Q1484">
        <v>0.66362107111033097</v>
      </c>
      <c r="R1484">
        <v>0.89943544586434099</v>
      </c>
      <c r="S1484" t="s">
        <v>8290</v>
      </c>
      <c r="T1484" t="s">
        <v>13610</v>
      </c>
      <c r="U1484" t="s">
        <v>13610</v>
      </c>
      <c r="V1484" t="s">
        <v>13610</v>
      </c>
      <c r="W1484" t="s">
        <v>15059</v>
      </c>
      <c r="X1484">
        <v>15</v>
      </c>
      <c r="Y1484" t="s">
        <v>21760</v>
      </c>
      <c r="Z1484" t="s">
        <v>28339</v>
      </c>
      <c r="AA1484">
        <v>0.81994460041113271</v>
      </c>
      <c r="AB1484" t="str">
        <f>HYPERLINK("Melting_Curves/meltCurve_O75368_SH3BGRL.pdf", "Melting_Curves/meltCurve_O75368_SH3BGRL.pdf")</f>
        <v>Melting_Curves/meltCurve_O75368_SH3BGRL.pdf</v>
      </c>
    </row>
    <row r="1485" spans="1:28" x14ac:dyDescent="0.25">
      <c r="A1485" t="s">
        <v>1489</v>
      </c>
      <c r="B1485">
        <v>0.995954080203443</v>
      </c>
      <c r="C1485">
        <v>0.97215014034394098</v>
      </c>
      <c r="D1485">
        <v>0.97860798853917597</v>
      </c>
      <c r="E1485">
        <v>0.93082598009872997</v>
      </c>
      <c r="F1485">
        <v>0.58228524809298399</v>
      </c>
      <c r="G1485">
        <v>0.201696854684078</v>
      </c>
      <c r="H1485">
        <v>0.110209020345672</v>
      </c>
      <c r="I1485">
        <v>8.7608548890500404E-2</v>
      </c>
      <c r="J1485">
        <v>9.2579284817035701E-2</v>
      </c>
      <c r="K1485">
        <v>8.34617528274465E-2</v>
      </c>
      <c r="L1485">
        <v>1762.1188114716199</v>
      </c>
      <c r="M1485">
        <v>33.029820430527202</v>
      </c>
      <c r="N1485">
        <v>53.674432459414398</v>
      </c>
      <c r="O1485">
        <v>53.154916477689397</v>
      </c>
      <c r="P1485">
        <v>-0.14126399859750199</v>
      </c>
      <c r="Q1485">
        <v>9.0659015037023893E-2</v>
      </c>
      <c r="R1485">
        <v>0.99882005051979905</v>
      </c>
      <c r="S1485" t="s">
        <v>8291</v>
      </c>
      <c r="T1485" t="s">
        <v>13610</v>
      </c>
      <c r="U1485" t="s">
        <v>13610</v>
      </c>
      <c r="V1485" t="s">
        <v>13610</v>
      </c>
      <c r="W1485" t="s">
        <v>15060</v>
      </c>
      <c r="X1485">
        <v>154</v>
      </c>
      <c r="Y1485" t="s">
        <v>21761</v>
      </c>
      <c r="Z1485" t="s">
        <v>28340</v>
      </c>
      <c r="AA1485">
        <v>0.50020034788569456</v>
      </c>
      <c r="AB1485" t="str">
        <f>HYPERLINK("Melting_Curves/meltCurve_O75369_8_FLNB.pdf", "Melting_Curves/meltCurve_O75369_8_FLNB.pdf")</f>
        <v>Melting_Curves/meltCurve_O75369_8_FLNB.pdf</v>
      </c>
    </row>
    <row r="1486" spans="1:28" x14ac:dyDescent="0.25">
      <c r="A1486" t="s">
        <v>1490</v>
      </c>
      <c r="B1486">
        <v>0.995954080203443</v>
      </c>
      <c r="C1486">
        <v>0.944587427833532</v>
      </c>
      <c r="D1486">
        <v>0.92480082728174795</v>
      </c>
      <c r="E1486">
        <v>0.88790634004964397</v>
      </c>
      <c r="F1486">
        <v>0.82456641659277496</v>
      </c>
      <c r="G1486">
        <v>0.58943179692533398</v>
      </c>
      <c r="H1486">
        <v>0.50106169873903805</v>
      </c>
      <c r="I1486">
        <v>0.577116158273422</v>
      </c>
      <c r="J1486">
        <v>0.73246978736928203</v>
      </c>
      <c r="K1486">
        <v>0.67731977726478299</v>
      </c>
      <c r="L1486">
        <v>1523.95253856009</v>
      </c>
      <c r="M1486">
        <v>29.1186232489408</v>
      </c>
      <c r="O1486">
        <v>52.091035373316402</v>
      </c>
      <c r="P1486">
        <v>-5.40683949542922E-2</v>
      </c>
      <c r="Q1486">
        <v>0.61310561428478705</v>
      </c>
      <c r="R1486">
        <v>0.82381487870738701</v>
      </c>
      <c r="S1486" t="s">
        <v>8292</v>
      </c>
      <c r="T1486" t="s">
        <v>13610</v>
      </c>
      <c r="U1486" t="s">
        <v>13610</v>
      </c>
      <c r="V1486" t="s">
        <v>13610</v>
      </c>
      <c r="W1486" t="s">
        <v>15061</v>
      </c>
      <c r="X1486">
        <v>64</v>
      </c>
      <c r="Y1486" t="s">
        <v>21081</v>
      </c>
      <c r="Z1486" t="s">
        <v>28341</v>
      </c>
      <c r="AA1486">
        <v>0.77483196485077055</v>
      </c>
      <c r="AB1486" t="str">
        <f>HYPERLINK("Melting_Curves/meltCurve_O75376_NCOR1.pdf", "Melting_Curves/meltCurve_O75376_NCOR1.pdf")</f>
        <v>Melting_Curves/meltCurve_O75376_NCOR1.pdf</v>
      </c>
    </row>
    <row r="1487" spans="1:28" x14ac:dyDescent="0.25">
      <c r="A1487" t="s">
        <v>1491</v>
      </c>
      <c r="B1487">
        <v>0.995954080203443</v>
      </c>
      <c r="C1487">
        <v>0.90900990465760301</v>
      </c>
      <c r="D1487">
        <v>0.61149350399311397</v>
      </c>
      <c r="E1487">
        <v>0.81946698162724296</v>
      </c>
      <c r="F1487">
        <v>0.853518601924667</v>
      </c>
      <c r="G1487">
        <v>0.54883278724286599</v>
      </c>
      <c r="H1487">
        <v>0.55785058756927297</v>
      </c>
      <c r="I1487">
        <v>0.68832555257736805</v>
      </c>
      <c r="J1487">
        <v>0.86673074884593304</v>
      </c>
      <c r="K1487">
        <v>0.765164126875024</v>
      </c>
      <c r="L1487">
        <v>10757.7195932214</v>
      </c>
      <c r="M1487">
        <v>250</v>
      </c>
      <c r="O1487">
        <v>43.028123002161998</v>
      </c>
      <c r="P1487">
        <v>-0.41553800812510899</v>
      </c>
      <c r="Q1487">
        <v>0.71392286074838596</v>
      </c>
      <c r="R1487">
        <v>0.44267225600309801</v>
      </c>
      <c r="S1487" t="s">
        <v>8293</v>
      </c>
      <c r="T1487" t="s">
        <v>13610</v>
      </c>
      <c r="U1487" t="s">
        <v>13610</v>
      </c>
      <c r="V1487" t="s">
        <v>13610</v>
      </c>
      <c r="W1487" t="s">
        <v>15062</v>
      </c>
      <c r="X1487">
        <v>5</v>
      </c>
      <c r="Y1487" t="s">
        <v>21762</v>
      </c>
      <c r="Z1487" t="s">
        <v>28342</v>
      </c>
      <c r="AA1487">
        <v>0.74284663202391399</v>
      </c>
      <c r="AB1487" t="str">
        <f>HYPERLINK("Melting_Curves/meltCurve_O75380_NDUFS6.pdf", "Melting_Curves/meltCurve_O75380_NDUFS6.pdf")</f>
        <v>Melting_Curves/meltCurve_O75380_NDUFS6.pdf</v>
      </c>
    </row>
    <row r="1488" spans="1:28" x14ac:dyDescent="0.25">
      <c r="A1488" t="s">
        <v>1492</v>
      </c>
      <c r="B1488">
        <v>0.995954080203443</v>
      </c>
      <c r="C1488">
        <v>1.07932501785201</v>
      </c>
      <c r="D1488">
        <v>1.0088434865870299</v>
      </c>
      <c r="E1488">
        <v>0.72236849136659897</v>
      </c>
      <c r="F1488">
        <v>0.22214228377251199</v>
      </c>
      <c r="G1488">
        <v>0.15886206199483499</v>
      </c>
      <c r="H1488">
        <v>8.8229095649840605E-2</v>
      </c>
      <c r="I1488">
        <v>0.10942956379358</v>
      </c>
      <c r="J1488">
        <v>0.13729316013287801</v>
      </c>
      <c r="K1488">
        <v>0.103711895985828</v>
      </c>
      <c r="L1488">
        <v>2447.2104447768602</v>
      </c>
      <c r="M1488">
        <v>48.164593626811403</v>
      </c>
      <c r="N1488">
        <v>51.095209752496103</v>
      </c>
      <c r="O1488">
        <v>50.721966210947699</v>
      </c>
      <c r="P1488">
        <v>-0.20935469008992999</v>
      </c>
      <c r="Q1488">
        <v>0.118118083434528</v>
      </c>
      <c r="R1488">
        <v>0.99440265984533005</v>
      </c>
      <c r="S1488" t="s">
        <v>8294</v>
      </c>
      <c r="T1488" t="s">
        <v>13610</v>
      </c>
      <c r="U1488" t="s">
        <v>13610</v>
      </c>
      <c r="V1488" t="s">
        <v>13610</v>
      </c>
      <c r="W1488" t="s">
        <v>15063</v>
      </c>
      <c r="X1488">
        <v>2</v>
      </c>
      <c r="Y1488" t="s">
        <v>21763</v>
      </c>
      <c r="Z1488" t="s">
        <v>28343</v>
      </c>
      <c r="AA1488">
        <v>0.43800052294544262</v>
      </c>
      <c r="AB1488" t="str">
        <f>HYPERLINK("Melting_Curves/meltCurve_O75382_3_TRIM3.pdf", "Melting_Curves/meltCurve_O75382_3_TRIM3.pdf")</f>
        <v>Melting_Curves/meltCurve_O75382_3_TRIM3.pdf</v>
      </c>
    </row>
    <row r="1489" spans="1:28" x14ac:dyDescent="0.25">
      <c r="A1489" t="s">
        <v>1493</v>
      </c>
      <c r="B1489">
        <v>0.995954080203443</v>
      </c>
      <c r="C1489">
        <v>0.98600754180162997</v>
      </c>
      <c r="D1489">
        <v>0.87000058818172299</v>
      </c>
      <c r="E1489">
        <v>0.81924567542015303</v>
      </c>
      <c r="F1489">
        <v>0.79928845516691804</v>
      </c>
      <c r="G1489">
        <v>0.47759127676485402</v>
      </c>
      <c r="H1489">
        <v>0.42683966130498002</v>
      </c>
      <c r="I1489">
        <v>0.56580102540871802</v>
      </c>
      <c r="J1489">
        <v>0.63465139433126205</v>
      </c>
      <c r="K1489">
        <v>0.56205609762142605</v>
      </c>
      <c r="L1489">
        <v>988.67150526606702</v>
      </c>
      <c r="M1489">
        <v>19.2727265352225</v>
      </c>
      <c r="O1489">
        <v>50.756272303411997</v>
      </c>
      <c r="P1489">
        <v>-4.4711067154016598E-2</v>
      </c>
      <c r="Q1489">
        <v>0.529017002733424</v>
      </c>
      <c r="R1489">
        <v>0.85111171271908603</v>
      </c>
      <c r="S1489" t="s">
        <v>8295</v>
      </c>
      <c r="T1489" t="s">
        <v>13610</v>
      </c>
      <c r="U1489" t="s">
        <v>13610</v>
      </c>
      <c r="V1489" t="s">
        <v>13610</v>
      </c>
      <c r="W1489" t="s">
        <v>15064</v>
      </c>
      <c r="X1489">
        <v>5</v>
      </c>
      <c r="Y1489" t="s">
        <v>21764</v>
      </c>
      <c r="Z1489" t="s">
        <v>28344</v>
      </c>
      <c r="AA1489">
        <v>0.71339765844404401</v>
      </c>
      <c r="AB1489" t="str">
        <f>HYPERLINK("Melting_Curves/meltCurve_O75385_ULK1.pdf", "Melting_Curves/meltCurve_O75385_ULK1.pdf")</f>
        <v>Melting_Curves/meltCurve_O75385_ULK1.pdf</v>
      </c>
    </row>
    <row r="1490" spans="1:28" x14ac:dyDescent="0.25">
      <c r="A1490" t="s">
        <v>1494</v>
      </c>
      <c r="B1490">
        <v>0.995954080203443</v>
      </c>
      <c r="C1490">
        <v>0.96211371227314502</v>
      </c>
      <c r="D1490">
        <v>0.92710008858947701</v>
      </c>
      <c r="E1490">
        <v>0.94870720859233604</v>
      </c>
      <c r="F1490">
        <v>0.93762102302563</v>
      </c>
      <c r="G1490">
        <v>0.82731681430764603</v>
      </c>
      <c r="H1490">
        <v>0.79826210911698603</v>
      </c>
      <c r="I1490">
        <v>0.89305442933067802</v>
      </c>
      <c r="J1490">
        <v>1.19536777763419</v>
      </c>
      <c r="K1490">
        <v>1.1052015429956299</v>
      </c>
      <c r="L1490">
        <v>2639.6401388302902</v>
      </c>
      <c r="M1490">
        <v>63.279642845958001</v>
      </c>
      <c r="O1490">
        <v>41.672292128200503</v>
      </c>
      <c r="P1490">
        <v>-1.7392656337030198E-2</v>
      </c>
      <c r="Q1490">
        <v>0.95418484858929997</v>
      </c>
      <c r="R1490">
        <v>1.2208395916003501E-2</v>
      </c>
      <c r="S1490" t="s">
        <v>8296</v>
      </c>
      <c r="T1490" t="s">
        <v>13610</v>
      </c>
      <c r="U1490" t="s">
        <v>13610</v>
      </c>
      <c r="V1490" t="s">
        <v>13610</v>
      </c>
      <c r="W1490" t="s">
        <v>14520</v>
      </c>
      <c r="X1490">
        <v>19</v>
      </c>
      <c r="Y1490" t="s">
        <v>21235</v>
      </c>
      <c r="Z1490" t="s">
        <v>28345</v>
      </c>
      <c r="AA1490">
        <v>0.95691257139199337</v>
      </c>
      <c r="AB1490" t="str">
        <f>HYPERLINK("Melting_Curves/meltCurve_O75391_SPAG7.pdf", "Melting_Curves/meltCurve_O75391_SPAG7.pdf")</f>
        <v>Melting_Curves/meltCurve_O75391_SPAG7.pdf</v>
      </c>
    </row>
    <row r="1491" spans="1:28" x14ac:dyDescent="0.25">
      <c r="A1491" t="s">
        <v>1495</v>
      </c>
      <c r="B1491">
        <v>0.995954080203443</v>
      </c>
      <c r="C1491">
        <v>1.04771130090923</v>
      </c>
      <c r="D1491">
        <v>1.09759140327422</v>
      </c>
      <c r="E1491">
        <v>0.96688315647770995</v>
      </c>
      <c r="F1491">
        <v>0.81644986147575505</v>
      </c>
      <c r="G1491">
        <v>0.38827609720172401</v>
      </c>
      <c r="H1491">
        <v>0.14903834389880899</v>
      </c>
      <c r="I1491">
        <v>9.4458953996599607E-2</v>
      </c>
      <c r="J1491">
        <v>9.2404336639068302E-2</v>
      </c>
      <c r="K1491">
        <v>8.4522780432514502E-2</v>
      </c>
      <c r="L1491">
        <v>1611.54716481378</v>
      </c>
      <c r="M1491">
        <v>28.978390204558</v>
      </c>
      <c r="N1491">
        <v>55.9562750101273</v>
      </c>
      <c r="O1491">
        <v>55.349221185821499</v>
      </c>
      <c r="P1491">
        <v>-0.120203515057775</v>
      </c>
      <c r="Q1491">
        <v>8.16438526255195E-2</v>
      </c>
      <c r="R1491">
        <v>0.99314827101964898</v>
      </c>
      <c r="S1491" t="s">
        <v>8297</v>
      </c>
      <c r="T1491" t="s">
        <v>13610</v>
      </c>
      <c r="U1491" t="s">
        <v>13610</v>
      </c>
      <c r="V1491" t="s">
        <v>13610</v>
      </c>
      <c r="W1491" t="s">
        <v>15065</v>
      </c>
      <c r="X1491">
        <v>4</v>
      </c>
      <c r="Y1491" t="s">
        <v>21765</v>
      </c>
      <c r="Z1491" t="s">
        <v>28346</v>
      </c>
      <c r="AA1491">
        <v>0.56607630606029358</v>
      </c>
      <c r="AB1491" t="str">
        <f>HYPERLINK("Melting_Curves/meltCurve_O75396_SEC22B.pdf", "Melting_Curves/meltCurve_O75396_SEC22B.pdf")</f>
        <v>Melting_Curves/meltCurve_O75396_SEC22B.pdf</v>
      </c>
    </row>
    <row r="1492" spans="1:28" x14ac:dyDescent="0.25">
      <c r="A1492" t="s">
        <v>1496</v>
      </c>
      <c r="B1492">
        <v>0.995954080203443</v>
      </c>
      <c r="C1492">
        <v>0.938423860691878</v>
      </c>
      <c r="D1492">
        <v>0.83151895272000198</v>
      </c>
      <c r="E1492">
        <v>0.784484205852646</v>
      </c>
      <c r="F1492">
        <v>0.59232150855121501</v>
      </c>
      <c r="G1492">
        <v>0.35879393654950897</v>
      </c>
      <c r="H1492">
        <v>0.25698198220771901</v>
      </c>
      <c r="I1492">
        <v>0.31215889022056498</v>
      </c>
      <c r="J1492">
        <v>0.38539965529270498</v>
      </c>
      <c r="K1492">
        <v>0.37355678103258599</v>
      </c>
      <c r="L1492">
        <v>896.72806537260396</v>
      </c>
      <c r="M1492">
        <v>17.496398972437099</v>
      </c>
      <c r="N1492">
        <v>54.260004553596303</v>
      </c>
      <c r="O1492">
        <v>50.596690656553299</v>
      </c>
      <c r="P1492">
        <v>-5.9616045643583103E-2</v>
      </c>
      <c r="Q1492">
        <v>0.31043914743842099</v>
      </c>
      <c r="R1492">
        <v>0.954746545074179</v>
      </c>
      <c r="S1492" t="s">
        <v>8298</v>
      </c>
      <c r="T1492" t="s">
        <v>13610</v>
      </c>
      <c r="U1492" t="s">
        <v>13610</v>
      </c>
      <c r="V1492" t="s">
        <v>13610</v>
      </c>
      <c r="W1492" t="s">
        <v>15066</v>
      </c>
      <c r="X1492">
        <v>5</v>
      </c>
      <c r="Y1492" t="s">
        <v>21766</v>
      </c>
      <c r="Z1492" t="s">
        <v>28347</v>
      </c>
      <c r="AA1492">
        <v>0.58125431533953986</v>
      </c>
      <c r="AB1492" t="str">
        <f>HYPERLINK("Melting_Curves/meltCurve_O75398_4_DEAF1.pdf", "Melting_Curves/meltCurve_O75398_4_DEAF1.pdf")</f>
        <v>Melting_Curves/meltCurve_O75398_4_DEAF1.pdf</v>
      </c>
    </row>
    <row r="1493" spans="1:28" x14ac:dyDescent="0.25">
      <c r="A1493" t="s">
        <v>1497</v>
      </c>
      <c r="B1493">
        <v>0.995954080203443</v>
      </c>
      <c r="C1493">
        <v>0.80561775014839299</v>
      </c>
      <c r="D1493">
        <v>0.80429392383561504</v>
      </c>
      <c r="E1493">
        <v>0.57193624927752695</v>
      </c>
      <c r="F1493">
        <v>0.41308265281838202</v>
      </c>
      <c r="G1493">
        <v>0.273576401804145</v>
      </c>
      <c r="H1493">
        <v>0.24563682090481601</v>
      </c>
      <c r="I1493">
        <v>0.29784941875382698</v>
      </c>
      <c r="J1493">
        <v>0.32890666275059699</v>
      </c>
      <c r="K1493">
        <v>0.32141660603619099</v>
      </c>
      <c r="L1493">
        <v>730.67919933897497</v>
      </c>
      <c r="M1493">
        <v>15.1676971854026</v>
      </c>
      <c r="N1493">
        <v>50.825773211021897</v>
      </c>
      <c r="O1493">
        <v>47.359289921648298</v>
      </c>
      <c r="P1493">
        <v>-5.8180255451428201E-2</v>
      </c>
      <c r="Q1493">
        <v>0.27342728287131401</v>
      </c>
      <c r="R1493">
        <v>0.96353913723873497</v>
      </c>
      <c r="S1493" t="s">
        <v>8299</v>
      </c>
      <c r="T1493" t="s">
        <v>13610</v>
      </c>
      <c r="U1493" t="s">
        <v>13610</v>
      </c>
      <c r="V1493" t="s">
        <v>13610</v>
      </c>
      <c r="W1493" t="s">
        <v>15067</v>
      </c>
      <c r="X1493">
        <v>26</v>
      </c>
      <c r="Y1493" t="s">
        <v>21767</v>
      </c>
      <c r="Z1493" t="s">
        <v>28348</v>
      </c>
      <c r="AA1493">
        <v>0.48952611226278547</v>
      </c>
      <c r="AB1493" t="str">
        <f>HYPERLINK("Melting_Curves/meltCurve_O75400_3_PRPF40A.pdf", "Melting_Curves/meltCurve_O75400_3_PRPF40A.pdf")</f>
        <v>Melting_Curves/meltCurve_O75400_3_PRPF40A.pdf</v>
      </c>
    </row>
    <row r="1494" spans="1:28" x14ac:dyDescent="0.25">
      <c r="A1494" t="s">
        <v>1498</v>
      </c>
      <c r="B1494">
        <v>0.995954080203443</v>
      </c>
      <c r="C1494">
        <v>0.99475929999357005</v>
      </c>
      <c r="D1494">
        <v>1.0370145855850701</v>
      </c>
      <c r="E1494">
        <v>0.91834946940033702</v>
      </c>
      <c r="F1494">
        <v>0.86360547874862403</v>
      </c>
      <c r="G1494">
        <v>0.64597966913253102</v>
      </c>
      <c r="H1494">
        <v>0.52933385587581105</v>
      </c>
      <c r="I1494">
        <v>0.59204492207638804</v>
      </c>
      <c r="J1494">
        <v>0.70068524035462698</v>
      </c>
      <c r="K1494">
        <v>0.70042915665196803</v>
      </c>
      <c r="L1494">
        <v>1995.0504067806301</v>
      </c>
      <c r="M1494">
        <v>37.357553950362103</v>
      </c>
      <c r="O1494">
        <v>53.251864590197002</v>
      </c>
      <c r="P1494">
        <v>-6.5238767154054994E-2</v>
      </c>
      <c r="Q1494">
        <v>0.62801884194857305</v>
      </c>
      <c r="R1494">
        <v>0.91148752272602096</v>
      </c>
      <c r="S1494" t="s">
        <v>8300</v>
      </c>
      <c r="T1494" t="s">
        <v>13610</v>
      </c>
      <c r="U1494" t="s">
        <v>13610</v>
      </c>
      <c r="V1494" t="s">
        <v>13610</v>
      </c>
      <c r="W1494" t="s">
        <v>15068</v>
      </c>
      <c r="X1494">
        <v>32</v>
      </c>
      <c r="Y1494" t="s">
        <v>21768</v>
      </c>
      <c r="Z1494" t="s">
        <v>28349</v>
      </c>
      <c r="AA1494">
        <v>0.79579469471031206</v>
      </c>
      <c r="AB1494" t="str">
        <f>HYPERLINK("Melting_Curves/meltCurve_O75410_7_TACC1.pdf", "Melting_Curves/meltCurve_O75410_7_TACC1.pdf")</f>
        <v>Melting_Curves/meltCurve_O75410_7_TACC1.pdf</v>
      </c>
    </row>
    <row r="1495" spans="1:28" x14ac:dyDescent="0.25">
      <c r="A1495" t="s">
        <v>1499</v>
      </c>
      <c r="B1495">
        <v>0.995954080203443</v>
      </c>
      <c r="C1495">
        <v>0.82986456329844505</v>
      </c>
      <c r="D1495">
        <v>0.49409003474459601</v>
      </c>
      <c r="E1495">
        <v>0.247695382755939</v>
      </c>
      <c r="F1495">
        <v>0.12984093015465201</v>
      </c>
      <c r="G1495">
        <v>7.34600332571273E-2</v>
      </c>
      <c r="H1495">
        <v>5.3675881056372297E-2</v>
      </c>
      <c r="I1495">
        <v>4.8979651952502701E-2</v>
      </c>
      <c r="J1495">
        <v>5.3047957426457799E-2</v>
      </c>
      <c r="K1495">
        <v>5.6245990168032001E-2</v>
      </c>
      <c r="L1495">
        <v>912.54832272532599</v>
      </c>
      <c r="M1495">
        <v>19.833040172597698</v>
      </c>
      <c r="N1495">
        <v>46.283035968052801</v>
      </c>
      <c r="O1495">
        <v>45.551403683426898</v>
      </c>
      <c r="P1495">
        <v>-0.102875427451462</v>
      </c>
      <c r="Q1495">
        <v>5.49179707903205E-2</v>
      </c>
      <c r="R1495">
        <v>0.99616109609122705</v>
      </c>
      <c r="S1495" t="s">
        <v>8301</v>
      </c>
      <c r="T1495" t="s">
        <v>13610</v>
      </c>
      <c r="U1495" t="s">
        <v>13610</v>
      </c>
      <c r="V1495" t="s">
        <v>13610</v>
      </c>
      <c r="W1495" t="s">
        <v>15069</v>
      </c>
      <c r="X1495">
        <v>12</v>
      </c>
      <c r="Y1495" t="s">
        <v>21769</v>
      </c>
      <c r="Z1495" t="s">
        <v>28350</v>
      </c>
      <c r="AA1495">
        <v>0.25917799217666299</v>
      </c>
      <c r="AB1495" t="str">
        <f>HYPERLINK("Melting_Curves/meltCurve_O75419_2_CDC45.pdf", "Melting_Curves/meltCurve_O75419_2_CDC45.pdf")</f>
        <v>Melting_Curves/meltCurve_O75419_2_CDC45.pdf</v>
      </c>
    </row>
    <row r="1496" spans="1:28" x14ac:dyDescent="0.25">
      <c r="A1496" t="s">
        <v>1500</v>
      </c>
      <c r="B1496">
        <v>0.995954080203443</v>
      </c>
      <c r="C1496">
        <v>0.95458841089157598</v>
      </c>
      <c r="D1496">
        <v>0.90294461193245201</v>
      </c>
      <c r="E1496">
        <v>0.82497339542322301</v>
      </c>
      <c r="F1496">
        <v>0.75260636082783605</v>
      </c>
      <c r="G1496">
        <v>0.54018687998011305</v>
      </c>
      <c r="H1496">
        <v>0.47441467149285799</v>
      </c>
      <c r="I1496">
        <v>0.53683988611537303</v>
      </c>
      <c r="J1496">
        <v>0.63203538606002097</v>
      </c>
      <c r="K1496">
        <v>0.60797666120880201</v>
      </c>
      <c r="L1496">
        <v>976.27757702143901</v>
      </c>
      <c r="M1496">
        <v>19.166645435732999</v>
      </c>
      <c r="O1496">
        <v>50.391520549537297</v>
      </c>
      <c r="P1496">
        <v>-4.2735019319252603E-2</v>
      </c>
      <c r="Q1496">
        <v>0.55059437887482998</v>
      </c>
      <c r="R1496">
        <v>0.91065527991698503</v>
      </c>
      <c r="S1496" t="s">
        <v>8302</v>
      </c>
      <c r="T1496" t="s">
        <v>13610</v>
      </c>
      <c r="U1496" t="s">
        <v>13610</v>
      </c>
      <c r="V1496" t="s">
        <v>13610</v>
      </c>
      <c r="W1496" t="s">
        <v>15070</v>
      </c>
      <c r="X1496">
        <v>21</v>
      </c>
      <c r="Y1496" t="s">
        <v>21770</v>
      </c>
      <c r="Z1496" t="s">
        <v>28351</v>
      </c>
      <c r="AA1496">
        <v>0.72117655666494906</v>
      </c>
      <c r="AB1496" t="str">
        <f>HYPERLINK("Melting_Curves/meltCurve_O75420_GIGYF1.pdf", "Melting_Curves/meltCurve_O75420_GIGYF1.pdf")</f>
        <v>Melting_Curves/meltCurve_O75420_GIGYF1.pdf</v>
      </c>
    </row>
    <row r="1497" spans="1:28" x14ac:dyDescent="0.25">
      <c r="A1497" t="s">
        <v>1501</v>
      </c>
      <c r="B1497">
        <v>0.995954080203443</v>
      </c>
      <c r="C1497">
        <v>0.70344241132727203</v>
      </c>
      <c r="D1497">
        <v>0.54761697153027</v>
      </c>
      <c r="E1497">
        <v>0.41177048722852</v>
      </c>
      <c r="F1497">
        <v>0.26769923038836002</v>
      </c>
      <c r="G1497">
        <v>0.15705761336565699</v>
      </c>
      <c r="H1497">
        <v>0.11922040860902</v>
      </c>
      <c r="I1497">
        <v>0.105540619224676</v>
      </c>
      <c r="J1497">
        <v>0.11581281541673499</v>
      </c>
      <c r="K1497">
        <v>0.102783957745586</v>
      </c>
      <c r="L1497">
        <v>575.67549127951304</v>
      </c>
      <c r="M1497">
        <v>12.3448654954133</v>
      </c>
      <c r="N1497">
        <v>47.349358048988101</v>
      </c>
      <c r="O1497">
        <v>45.459779289404203</v>
      </c>
      <c r="P1497">
        <v>-6.2117889082750198E-2</v>
      </c>
      <c r="Q1497">
        <v>8.52048611977093E-2</v>
      </c>
      <c r="R1497">
        <v>0.97840750695072098</v>
      </c>
      <c r="S1497" t="s">
        <v>8303</v>
      </c>
      <c r="T1497" t="s">
        <v>13610</v>
      </c>
      <c r="U1497" t="s">
        <v>13610</v>
      </c>
      <c r="V1497" t="s">
        <v>13610</v>
      </c>
      <c r="W1497" t="s">
        <v>15071</v>
      </c>
      <c r="X1497">
        <v>12</v>
      </c>
      <c r="Y1497" t="s">
        <v>21210</v>
      </c>
      <c r="Z1497" t="s">
        <v>28352</v>
      </c>
      <c r="AA1497">
        <v>0.32493364510473982</v>
      </c>
      <c r="AB1497" t="str">
        <f>HYPERLINK("Melting_Curves/meltCurve_O75427_LRCH4.pdf", "Melting_Curves/meltCurve_O75427_LRCH4.pdf")</f>
        <v>Melting_Curves/meltCurve_O75427_LRCH4.pdf</v>
      </c>
    </row>
    <row r="1498" spans="1:28" x14ac:dyDescent="0.25">
      <c r="A1498" t="s">
        <v>1502</v>
      </c>
      <c r="B1498">
        <v>0.995954080203443</v>
      </c>
      <c r="C1498">
        <v>0.994322038275395</v>
      </c>
      <c r="D1498">
        <v>0.89996404306623701</v>
      </c>
      <c r="E1498">
        <v>0.84542397680682302</v>
      </c>
      <c r="F1498">
        <v>0.57392066615191495</v>
      </c>
      <c r="G1498">
        <v>0.33109035973350398</v>
      </c>
      <c r="H1498">
        <v>9.1983395927718703E-2</v>
      </c>
      <c r="I1498">
        <v>6.9796977683162703E-2</v>
      </c>
      <c r="J1498">
        <v>7.8222493098663096E-2</v>
      </c>
      <c r="K1498">
        <v>7.1134983457416798E-2</v>
      </c>
      <c r="L1498">
        <v>990.02108851625599</v>
      </c>
      <c r="M1498">
        <v>18.363787357803901</v>
      </c>
      <c r="N1498">
        <v>54.132306585107898</v>
      </c>
      <c r="O1498">
        <v>53.2844924503638</v>
      </c>
      <c r="P1498">
        <v>-8.30552686599874E-2</v>
      </c>
      <c r="Q1498">
        <v>3.6069020921199901E-2</v>
      </c>
      <c r="R1498">
        <v>0.99383406568384702</v>
      </c>
      <c r="S1498" t="s">
        <v>8304</v>
      </c>
      <c r="T1498" t="s">
        <v>13610</v>
      </c>
      <c r="U1498" t="s">
        <v>13610</v>
      </c>
      <c r="V1498" t="s">
        <v>13610</v>
      </c>
      <c r="W1498" t="s">
        <v>15072</v>
      </c>
      <c r="X1498">
        <v>20</v>
      </c>
      <c r="Y1498" t="s">
        <v>21771</v>
      </c>
      <c r="Z1498" t="s">
        <v>28353</v>
      </c>
      <c r="AA1498">
        <v>0.49806359862203192</v>
      </c>
      <c r="AB1498" t="str">
        <f>HYPERLINK("Melting_Curves/meltCurve_O75436_VPS26A.pdf", "Melting_Curves/meltCurve_O75436_VPS26A.pdf")</f>
        <v>Melting_Curves/meltCurve_O75436_VPS26A.pdf</v>
      </c>
    </row>
    <row r="1499" spans="1:28" x14ac:dyDescent="0.25">
      <c r="A1499" t="s">
        <v>1503</v>
      </c>
      <c r="B1499">
        <v>0.995954080203443</v>
      </c>
      <c r="C1499">
        <v>0.68711387380282096</v>
      </c>
      <c r="D1499">
        <v>0.36163198060836899</v>
      </c>
      <c r="E1499">
        <v>0.27841145472246998</v>
      </c>
      <c r="F1499">
        <v>0.13126118487374699</v>
      </c>
      <c r="G1499">
        <v>8.0324242729242296E-2</v>
      </c>
      <c r="H1499">
        <v>4.3964751484083901E-2</v>
      </c>
      <c r="I1499">
        <v>3.46292541142946E-2</v>
      </c>
      <c r="J1499">
        <v>3.5572036002216902E-2</v>
      </c>
      <c r="K1499">
        <v>3.3540172510144697E-2</v>
      </c>
      <c r="L1499">
        <v>778.08392113275602</v>
      </c>
      <c r="M1499">
        <v>17.312168543052099</v>
      </c>
      <c r="N1499">
        <v>45.207909347240502</v>
      </c>
      <c r="O1499">
        <v>44.357510529579898</v>
      </c>
      <c r="P1499">
        <v>-9.2892958497735406E-2</v>
      </c>
      <c r="Q1499">
        <v>4.8007569090310898E-2</v>
      </c>
      <c r="R1499">
        <v>0.975501285787848</v>
      </c>
      <c r="S1499" t="s">
        <v>8305</v>
      </c>
      <c r="T1499" t="s">
        <v>13610</v>
      </c>
      <c r="U1499" t="s">
        <v>13610</v>
      </c>
      <c r="V1499" t="s">
        <v>13610</v>
      </c>
      <c r="W1499" t="s">
        <v>15073</v>
      </c>
      <c r="X1499">
        <v>15</v>
      </c>
      <c r="Y1499" t="s">
        <v>21772</v>
      </c>
      <c r="Z1499" t="s">
        <v>28354</v>
      </c>
      <c r="AA1499">
        <v>0.22745824172599469</v>
      </c>
      <c r="AB1499" t="str">
        <f>HYPERLINK("Melting_Curves/meltCurve_O75439_PMPCB.pdf", "Melting_Curves/meltCurve_O75439_PMPCB.pdf")</f>
        <v>Melting_Curves/meltCurve_O75439_PMPCB.pdf</v>
      </c>
    </row>
    <row r="1500" spans="1:28" x14ac:dyDescent="0.25">
      <c r="A1500" t="s">
        <v>1504</v>
      </c>
      <c r="B1500">
        <v>0.995954080203443</v>
      </c>
      <c r="C1500">
        <v>0.87070776585181398</v>
      </c>
      <c r="D1500">
        <v>0.73730661513213802</v>
      </c>
      <c r="E1500">
        <v>0.50539266676781802</v>
      </c>
      <c r="F1500">
        <v>0.276897196711128</v>
      </c>
      <c r="G1500">
        <v>0.17632941114659301</v>
      </c>
      <c r="H1500">
        <v>0.11058900877152</v>
      </c>
      <c r="I1500">
        <v>8.4566054368682406E-2</v>
      </c>
      <c r="J1500">
        <v>7.6924633361510397E-2</v>
      </c>
      <c r="K1500">
        <v>8.1967795183261902E-2</v>
      </c>
      <c r="L1500">
        <v>704.80346445629095</v>
      </c>
      <c r="M1500">
        <v>14.334034834481299</v>
      </c>
      <c r="N1500">
        <v>49.5927591179328</v>
      </c>
      <c r="O1500">
        <v>48.242627422330301</v>
      </c>
      <c r="P1500">
        <v>-7.0016768864563095E-2</v>
      </c>
      <c r="Q1500">
        <v>5.7519996706239897E-2</v>
      </c>
      <c r="R1500">
        <v>0.99687497313250195</v>
      </c>
      <c r="S1500" t="s">
        <v>8306</v>
      </c>
      <c r="T1500" t="s">
        <v>13610</v>
      </c>
      <c r="U1500" t="s">
        <v>13610</v>
      </c>
      <c r="V1500" t="s">
        <v>13610</v>
      </c>
      <c r="W1500" t="s">
        <v>15074</v>
      </c>
      <c r="X1500">
        <v>4</v>
      </c>
      <c r="Y1500" t="s">
        <v>21773</v>
      </c>
      <c r="Z1500" t="s">
        <v>28355</v>
      </c>
      <c r="AA1500">
        <v>0.37073887834077579</v>
      </c>
      <c r="AB1500" t="str">
        <f>HYPERLINK("Melting_Curves/meltCurve_O75446_SAP30.pdf", "Melting_Curves/meltCurve_O75446_SAP30.pdf")</f>
        <v>Melting_Curves/meltCurve_O75446_SAP30.pdf</v>
      </c>
    </row>
    <row r="1501" spans="1:28" x14ac:dyDescent="0.25">
      <c r="A1501" t="s">
        <v>1505</v>
      </c>
      <c r="B1501">
        <v>0.995954080203443</v>
      </c>
      <c r="C1501">
        <v>0.95435205592916295</v>
      </c>
      <c r="D1501">
        <v>0.7347354824697</v>
      </c>
      <c r="E1501">
        <v>0.43888947570590803</v>
      </c>
      <c r="F1501">
        <v>0.32026531315624401</v>
      </c>
      <c r="G1501">
        <v>0.15092390777345599</v>
      </c>
      <c r="H1501">
        <v>6.3562553913416295E-2</v>
      </c>
      <c r="I1501">
        <v>5.3632805639114399E-2</v>
      </c>
      <c r="J1501">
        <v>5.32658542125483E-2</v>
      </c>
      <c r="K1501">
        <v>4.9985692649693797E-2</v>
      </c>
      <c r="L1501">
        <v>757.94607894782098</v>
      </c>
      <c r="M1501">
        <v>15.3730564594316</v>
      </c>
      <c r="N1501">
        <v>49.5366568218585</v>
      </c>
      <c r="O1501">
        <v>48.491854275922201</v>
      </c>
      <c r="P1501">
        <v>-7.6497239726973004E-2</v>
      </c>
      <c r="Q1501">
        <v>3.4895163965650101E-2</v>
      </c>
      <c r="R1501">
        <v>0.99561562104846402</v>
      </c>
      <c r="S1501" t="s">
        <v>8307</v>
      </c>
      <c r="T1501" t="s">
        <v>13610</v>
      </c>
      <c r="U1501" t="s">
        <v>13610</v>
      </c>
      <c r="V1501" t="s">
        <v>13610</v>
      </c>
      <c r="W1501" t="s">
        <v>15075</v>
      </c>
      <c r="X1501">
        <v>12</v>
      </c>
      <c r="Y1501" t="s">
        <v>21774</v>
      </c>
      <c r="Z1501" t="s">
        <v>28356</v>
      </c>
      <c r="AA1501">
        <v>0.35669907344731511</v>
      </c>
      <c r="AB1501" t="str">
        <f>HYPERLINK("Melting_Curves/meltCurve_O75449_KATNA1.pdf", "Melting_Curves/meltCurve_O75449_KATNA1.pdf")</f>
        <v>Melting_Curves/meltCurve_O75449_KATNA1.pdf</v>
      </c>
    </row>
    <row r="1502" spans="1:28" x14ac:dyDescent="0.25">
      <c r="A1502" t="s">
        <v>1506</v>
      </c>
      <c r="B1502">
        <v>0.995954080203443</v>
      </c>
      <c r="C1502">
        <v>0.927922147681146</v>
      </c>
      <c r="D1502">
        <v>1.5051507909531201</v>
      </c>
      <c r="E1502">
        <v>1.0556931634929101</v>
      </c>
      <c r="F1502">
        <v>1.6171473678253301</v>
      </c>
      <c r="G1502">
        <v>1.2341783403822999</v>
      </c>
      <c r="H1502">
        <v>1.2760471449501101</v>
      </c>
      <c r="I1502">
        <v>1.5651184151563799</v>
      </c>
      <c r="J1502">
        <v>2.06896382535058</v>
      </c>
      <c r="K1502">
        <v>1.88393605077594</v>
      </c>
      <c r="L1502">
        <v>690.40909200877297</v>
      </c>
      <c r="M1502">
        <v>14.6184278053403</v>
      </c>
      <c r="O1502">
        <v>46.371289488681903</v>
      </c>
      <c r="P1502">
        <v>3.94103333033567E-2</v>
      </c>
      <c r="Q1502">
        <v>1.5</v>
      </c>
      <c r="R1502">
        <v>0.36942142058281902</v>
      </c>
      <c r="S1502" t="s">
        <v>8308</v>
      </c>
      <c r="T1502" t="s">
        <v>13610</v>
      </c>
      <c r="U1502" t="s">
        <v>13610</v>
      </c>
      <c r="V1502" t="s">
        <v>13610</v>
      </c>
      <c r="W1502" t="s">
        <v>15076</v>
      </c>
      <c r="X1502">
        <v>1</v>
      </c>
      <c r="Y1502" t="s">
        <v>21775</v>
      </c>
      <c r="Z1502" t="s">
        <v>28357</v>
      </c>
      <c r="AA1502">
        <v>1.365403473211892</v>
      </c>
      <c r="AB1502" t="str">
        <f>HYPERLINK("Melting_Curves/meltCurve_O75459_PAGE1.pdf", "Melting_Curves/meltCurve_O75459_PAGE1.pdf")</f>
        <v>Melting_Curves/meltCurve_O75459_PAGE1.pdf</v>
      </c>
    </row>
    <row r="1503" spans="1:28" x14ac:dyDescent="0.25">
      <c r="A1503" t="s">
        <v>1507</v>
      </c>
      <c r="B1503">
        <v>0.995954080203443</v>
      </c>
      <c r="C1503">
        <v>0.801966323291332</v>
      </c>
      <c r="D1503">
        <v>0.45551504033034002</v>
      </c>
      <c r="E1503">
        <v>0.28259791928535499</v>
      </c>
      <c r="F1503">
        <v>0.15195257798106401</v>
      </c>
      <c r="G1503">
        <v>7.6650452220687504E-2</v>
      </c>
      <c r="H1503">
        <v>6.1597535999043301E-2</v>
      </c>
      <c r="I1503">
        <v>4.7197209312209602E-2</v>
      </c>
      <c r="J1503">
        <v>6.10638973586232E-2</v>
      </c>
      <c r="K1503">
        <v>4.1627088683920503E-2</v>
      </c>
      <c r="L1503">
        <v>820.10292293871396</v>
      </c>
      <c r="M1503">
        <v>17.875922888927601</v>
      </c>
      <c r="N1503">
        <v>46.176809369917102</v>
      </c>
      <c r="O1503">
        <v>45.314936506903003</v>
      </c>
      <c r="P1503">
        <v>-9.3230523831183604E-2</v>
      </c>
      <c r="Q1503">
        <v>5.4701436079107699E-2</v>
      </c>
      <c r="R1503">
        <v>0.989849367038656</v>
      </c>
      <c r="S1503" t="s">
        <v>8309</v>
      </c>
      <c r="T1503" t="s">
        <v>13610</v>
      </c>
      <c r="U1503" t="s">
        <v>13610</v>
      </c>
      <c r="V1503" t="s">
        <v>13610</v>
      </c>
      <c r="W1503" t="s">
        <v>15077</v>
      </c>
      <c r="X1503">
        <v>4</v>
      </c>
      <c r="Y1503" t="s">
        <v>21776</v>
      </c>
      <c r="Z1503" t="s">
        <v>28358</v>
      </c>
      <c r="AA1503">
        <v>0.25893289954795817</v>
      </c>
      <c r="AB1503" t="str">
        <f>HYPERLINK("Melting_Curves/meltCurve_O75460_ERN1.pdf", "Melting_Curves/meltCurve_O75460_ERN1.pdf")</f>
        <v>Melting_Curves/meltCurve_O75460_ERN1.pdf</v>
      </c>
    </row>
    <row r="1504" spans="1:28" x14ac:dyDescent="0.25">
      <c r="A1504" t="s">
        <v>1508</v>
      </c>
      <c r="B1504">
        <v>0.995954080203443</v>
      </c>
      <c r="C1504">
        <v>0.93059560020630305</v>
      </c>
      <c r="D1504">
        <v>1.05445794523617</v>
      </c>
      <c r="E1504">
        <v>0.78889706481755895</v>
      </c>
      <c r="F1504">
        <v>0.649141849380936</v>
      </c>
      <c r="G1504">
        <v>0.42464373046963999</v>
      </c>
      <c r="H1504">
        <v>0.366681521036963</v>
      </c>
      <c r="I1504">
        <v>0.40608012686495798</v>
      </c>
      <c r="J1504">
        <v>0.51093183287390398</v>
      </c>
      <c r="K1504">
        <v>0.467033885211872</v>
      </c>
      <c r="L1504">
        <v>1489.9695391872399</v>
      </c>
      <c r="M1504">
        <v>28.945755388336501</v>
      </c>
      <c r="N1504">
        <v>55.274054895110503</v>
      </c>
      <c r="O1504">
        <v>51.230736981712901</v>
      </c>
      <c r="P1504">
        <v>-8.0283519161018696E-2</v>
      </c>
      <c r="Q1504">
        <v>0.43163301038597701</v>
      </c>
      <c r="R1504">
        <v>0.95460300651128305</v>
      </c>
      <c r="S1504" t="s">
        <v>8310</v>
      </c>
      <c r="T1504" t="s">
        <v>13610</v>
      </c>
      <c r="U1504" t="s">
        <v>13610</v>
      </c>
      <c r="V1504" t="s">
        <v>13610</v>
      </c>
      <c r="W1504" t="s">
        <v>15078</v>
      </c>
      <c r="X1504">
        <v>34</v>
      </c>
      <c r="Y1504" t="s">
        <v>21777</v>
      </c>
      <c r="Z1504" t="s">
        <v>28359</v>
      </c>
      <c r="AA1504">
        <v>0.65289181887422698</v>
      </c>
      <c r="AB1504" t="str">
        <f>HYPERLINK("Melting_Curves/meltCurve_O75475_PSIP1.pdf", "Melting_Curves/meltCurve_O75475_PSIP1.pdf")</f>
        <v>Melting_Curves/meltCurve_O75475_PSIP1.pdf</v>
      </c>
    </row>
    <row r="1505" spans="1:28" x14ac:dyDescent="0.25">
      <c r="A1505" t="s">
        <v>1509</v>
      </c>
      <c r="B1505">
        <v>0.995954080203443</v>
      </c>
      <c r="C1505">
        <v>0.75248462886354095</v>
      </c>
      <c r="D1505">
        <v>0.59059413507425296</v>
      </c>
      <c r="E1505">
        <v>0.55732171492627403</v>
      </c>
      <c r="F1505">
        <v>0.33439291191145798</v>
      </c>
      <c r="G1505">
        <v>0.20433969642233499</v>
      </c>
      <c r="H1505">
        <v>0.102970520604816</v>
      </c>
      <c r="I1505">
        <v>7.4862708265006905E-2</v>
      </c>
      <c r="J1505">
        <v>6.2838297610460295E-2</v>
      </c>
      <c r="K1505">
        <v>7.0180509107838004E-2</v>
      </c>
      <c r="L1505">
        <v>480.79121248403698</v>
      </c>
      <c r="M1505">
        <v>9.7617880073651104</v>
      </c>
      <c r="N1505">
        <v>49.252371831588199</v>
      </c>
      <c r="O1505">
        <v>47.318855118164002</v>
      </c>
      <c r="P1505">
        <v>-5.1602019248052099E-2</v>
      </c>
      <c r="Q1505">
        <v>0</v>
      </c>
      <c r="R1505">
        <v>0.97220890586571895</v>
      </c>
      <c r="S1505" t="s">
        <v>8311</v>
      </c>
      <c r="T1505" t="s">
        <v>13610</v>
      </c>
      <c r="U1505" t="s">
        <v>13610</v>
      </c>
      <c r="V1505" t="s">
        <v>13610</v>
      </c>
      <c r="W1505" t="s">
        <v>15079</v>
      </c>
      <c r="X1505">
        <v>4</v>
      </c>
      <c r="Y1505" t="s">
        <v>21778</v>
      </c>
      <c r="Z1505" t="s">
        <v>28360</v>
      </c>
      <c r="AA1505">
        <v>0.35808045029847763</v>
      </c>
      <c r="AB1505" t="str">
        <f>HYPERLINK("Melting_Curves/meltCurve_O75489_NDUFS3.pdf", "Melting_Curves/meltCurve_O75489_NDUFS3.pdf")</f>
        <v>Melting_Curves/meltCurve_O75489_NDUFS3.pdf</v>
      </c>
    </row>
    <row r="1506" spans="1:28" x14ac:dyDescent="0.25">
      <c r="A1506" t="s">
        <v>1510</v>
      </c>
      <c r="B1506">
        <v>0.995954080203443</v>
      </c>
      <c r="C1506">
        <v>0.97678518714451301</v>
      </c>
      <c r="D1506">
        <v>0.86302272106248801</v>
      </c>
      <c r="E1506">
        <v>0.790125112885251</v>
      </c>
      <c r="F1506">
        <v>0.53351711044189098</v>
      </c>
      <c r="G1506">
        <v>0.17789921755761601</v>
      </c>
      <c r="H1506">
        <v>0.10958847072861699</v>
      </c>
      <c r="I1506">
        <v>8.7964071826018397E-2</v>
      </c>
      <c r="J1506">
        <v>9.9619425224065805E-2</v>
      </c>
      <c r="K1506">
        <v>7.5800388892169904E-2</v>
      </c>
      <c r="L1506">
        <v>1102.7619477338001</v>
      </c>
      <c r="M1506">
        <v>20.929194051330999</v>
      </c>
      <c r="N1506">
        <v>53.044168672717802</v>
      </c>
      <c r="O1506">
        <v>52.216172972026001</v>
      </c>
      <c r="P1506">
        <v>-9.3674928484560396E-2</v>
      </c>
      <c r="Q1506">
        <v>6.5188431733260999E-2</v>
      </c>
      <c r="R1506">
        <v>0.99087416429993702</v>
      </c>
      <c r="S1506" t="s">
        <v>8312</v>
      </c>
      <c r="T1506" t="s">
        <v>13610</v>
      </c>
      <c r="U1506" t="s">
        <v>13610</v>
      </c>
      <c r="V1506" t="s">
        <v>13610</v>
      </c>
      <c r="W1506" t="s">
        <v>15080</v>
      </c>
      <c r="X1506">
        <v>3</v>
      </c>
      <c r="Y1506" t="s">
        <v>21779</v>
      </c>
      <c r="Z1506" t="s">
        <v>28361</v>
      </c>
      <c r="AA1506">
        <v>0.47251933561542497</v>
      </c>
      <c r="AB1506" t="str">
        <f>HYPERLINK("Melting_Curves/meltCurve_O75503_CLN5.pdf", "Melting_Curves/meltCurve_O75503_CLN5.pdf")</f>
        <v>Melting_Curves/meltCurve_O75503_CLN5.pdf</v>
      </c>
    </row>
    <row r="1507" spans="1:28" x14ac:dyDescent="0.25">
      <c r="A1507" t="s">
        <v>1511</v>
      </c>
      <c r="B1507">
        <v>0.995954080203443</v>
      </c>
      <c r="C1507">
        <v>1.12270074031699</v>
      </c>
      <c r="D1507">
        <v>1.08372830283079</v>
      </c>
      <c r="E1507">
        <v>1.0025667028526599</v>
      </c>
      <c r="F1507">
        <v>0.96188133746252602</v>
      </c>
      <c r="G1507">
        <v>0.77971798117351199</v>
      </c>
      <c r="H1507">
        <v>0.61452745245044105</v>
      </c>
      <c r="I1507">
        <v>0.62367628984443102</v>
      </c>
      <c r="J1507">
        <v>0.65923182747201503</v>
      </c>
      <c r="K1507">
        <v>0.65388334680903404</v>
      </c>
      <c r="L1507">
        <v>2533.9520434412798</v>
      </c>
      <c r="M1507">
        <v>44.977995206554702</v>
      </c>
      <c r="O1507">
        <v>56.226566983461304</v>
      </c>
      <c r="P1507">
        <v>-7.2830058883807405E-2</v>
      </c>
      <c r="Q1507">
        <v>0.63582379812918399</v>
      </c>
      <c r="R1507">
        <v>0.93396219314839701</v>
      </c>
      <c r="S1507" t="s">
        <v>8313</v>
      </c>
      <c r="T1507" t="s">
        <v>13610</v>
      </c>
      <c r="U1507" t="s">
        <v>13610</v>
      </c>
      <c r="V1507" t="s">
        <v>13610</v>
      </c>
      <c r="W1507" t="s">
        <v>15081</v>
      </c>
      <c r="X1507">
        <v>4</v>
      </c>
      <c r="Y1507" t="s">
        <v>21780</v>
      </c>
      <c r="Z1507" t="s">
        <v>28362</v>
      </c>
      <c r="AA1507">
        <v>0.83526527531764916</v>
      </c>
      <c r="AB1507" t="str">
        <f>HYPERLINK("Melting_Curves/meltCurve_O75506_HSBP1.pdf", "Melting_Curves/meltCurve_O75506_HSBP1.pdf")</f>
        <v>Melting_Curves/meltCurve_O75506_HSBP1.pdf</v>
      </c>
    </row>
    <row r="1508" spans="1:28" x14ac:dyDescent="0.25">
      <c r="A1508" t="s">
        <v>1512</v>
      </c>
      <c r="B1508">
        <v>0.995954080203443</v>
      </c>
      <c r="C1508">
        <v>0.921899469250964</v>
      </c>
      <c r="D1508">
        <v>0.75143477781307899</v>
      </c>
      <c r="E1508">
        <v>0.53820295010449704</v>
      </c>
      <c r="F1508">
        <v>0.29347809909318601</v>
      </c>
      <c r="G1508">
        <v>0.14316948861534401</v>
      </c>
      <c r="H1508">
        <v>8.6137207030918803E-2</v>
      </c>
      <c r="I1508">
        <v>7.9156196839286597E-2</v>
      </c>
      <c r="J1508">
        <v>7.7841776405806598E-2</v>
      </c>
      <c r="K1508">
        <v>7.97072506990716E-2</v>
      </c>
      <c r="L1508">
        <v>775.582411216781</v>
      </c>
      <c r="M1508">
        <v>15.6389630240439</v>
      </c>
      <c r="N1508">
        <v>49.948240598750402</v>
      </c>
      <c r="O1508">
        <v>48.803312708290399</v>
      </c>
      <c r="P1508">
        <v>-7.5901741622379601E-2</v>
      </c>
      <c r="Q1508">
        <v>5.2638296754500803E-2</v>
      </c>
      <c r="R1508">
        <v>0.99657304153635595</v>
      </c>
      <c r="S1508" t="s">
        <v>8314</v>
      </c>
      <c r="T1508" t="s">
        <v>13610</v>
      </c>
      <c r="U1508" t="s">
        <v>13610</v>
      </c>
      <c r="V1508" t="s">
        <v>13610</v>
      </c>
      <c r="W1508" t="s">
        <v>15082</v>
      </c>
      <c r="X1508">
        <v>11</v>
      </c>
      <c r="Y1508" t="s">
        <v>21781</v>
      </c>
      <c r="Z1508" t="s">
        <v>28363</v>
      </c>
      <c r="AA1508">
        <v>0.37678207178465978</v>
      </c>
      <c r="AB1508" t="str">
        <f>HYPERLINK("Melting_Curves/meltCurve_O75521_2_ECI2.pdf", "Melting_Curves/meltCurve_O75521_2_ECI2.pdf")</f>
        <v>Melting_Curves/meltCurve_O75521_2_ECI2.pdf</v>
      </c>
    </row>
    <row r="1509" spans="1:28" x14ac:dyDescent="0.25">
      <c r="A1509" t="s">
        <v>1513</v>
      </c>
      <c r="B1509">
        <v>0.995954080203443</v>
      </c>
      <c r="C1509">
        <v>0.97912159714490299</v>
      </c>
      <c r="D1509">
        <v>0.95632541445138897</v>
      </c>
      <c r="E1509">
        <v>0.80552642509926198</v>
      </c>
      <c r="F1509">
        <v>0.70500348175804295</v>
      </c>
      <c r="G1509">
        <v>0.41347341103075602</v>
      </c>
      <c r="H1509">
        <v>0.347897456888834</v>
      </c>
      <c r="I1509">
        <v>0.38070572735129998</v>
      </c>
      <c r="J1509">
        <v>0.411790927202422</v>
      </c>
      <c r="K1509">
        <v>0.40953242754200703</v>
      </c>
      <c r="L1509">
        <v>1196.6115353615101</v>
      </c>
      <c r="M1509">
        <v>22.844528431487301</v>
      </c>
      <c r="N1509">
        <v>55.743997891747597</v>
      </c>
      <c r="O1509">
        <v>51.984210897961397</v>
      </c>
      <c r="P1509">
        <v>-6.8775375091399804E-2</v>
      </c>
      <c r="Q1509">
        <v>0.37400038787242201</v>
      </c>
      <c r="R1509">
        <v>0.98190048400510499</v>
      </c>
      <c r="S1509" t="s">
        <v>8315</v>
      </c>
      <c r="T1509" t="s">
        <v>13610</v>
      </c>
      <c r="U1509" t="s">
        <v>13610</v>
      </c>
      <c r="V1509" t="s">
        <v>13610</v>
      </c>
      <c r="W1509" t="s">
        <v>15083</v>
      </c>
      <c r="X1509">
        <v>15</v>
      </c>
      <c r="Y1509" t="s">
        <v>21782</v>
      </c>
      <c r="Z1509" t="s">
        <v>28364</v>
      </c>
      <c r="AA1509">
        <v>0.6391399372411396</v>
      </c>
      <c r="AB1509" t="str">
        <f>HYPERLINK("Melting_Curves/meltCurve_O75528_TADA3.pdf", "Melting_Curves/meltCurve_O75528_TADA3.pdf")</f>
        <v>Melting_Curves/meltCurve_O75528_TADA3.pdf</v>
      </c>
    </row>
    <row r="1510" spans="1:28" x14ac:dyDescent="0.25">
      <c r="A1510" t="s">
        <v>1514</v>
      </c>
      <c r="B1510">
        <v>0.995954080203443</v>
      </c>
      <c r="C1510">
        <v>0.74487606552547803</v>
      </c>
      <c r="D1510">
        <v>0.55869634123019896</v>
      </c>
      <c r="E1510">
        <v>0.52656348764726801</v>
      </c>
      <c r="F1510">
        <v>0.26776429466228502</v>
      </c>
      <c r="G1510">
        <v>0.14733212841523399</v>
      </c>
      <c r="H1510">
        <v>9.9392536740957702E-2</v>
      </c>
      <c r="I1510">
        <v>8.8377431907717102E-2</v>
      </c>
      <c r="J1510">
        <v>0.11610906320174599</v>
      </c>
      <c r="K1510">
        <v>8.98484260072209E-2</v>
      </c>
      <c r="L1510">
        <v>537.435932125931</v>
      </c>
      <c r="M1510">
        <v>11.2304699650158</v>
      </c>
      <c r="N1510">
        <v>48.298000667480402</v>
      </c>
      <c r="O1510">
        <v>46.413072872053903</v>
      </c>
      <c r="P1510">
        <v>-5.7550448842355002E-2</v>
      </c>
      <c r="Q1510">
        <v>4.8922635999555597E-2</v>
      </c>
      <c r="R1510">
        <v>0.96540295693558698</v>
      </c>
      <c r="S1510" t="s">
        <v>8316</v>
      </c>
      <c r="T1510" t="s">
        <v>13610</v>
      </c>
      <c r="U1510" t="s">
        <v>13610</v>
      </c>
      <c r="V1510" t="s">
        <v>13610</v>
      </c>
      <c r="W1510" t="s">
        <v>15084</v>
      </c>
      <c r="X1510">
        <v>5</v>
      </c>
      <c r="Y1510" t="s">
        <v>21783</v>
      </c>
      <c r="Z1510" t="s">
        <v>28365</v>
      </c>
      <c r="AA1510">
        <v>0.34012219032453173</v>
      </c>
      <c r="AB1510" t="str">
        <f>HYPERLINK("Melting_Curves/meltCurve_O75529_TAF5L.pdf", "Melting_Curves/meltCurve_O75529_TAF5L.pdf")</f>
        <v>Melting_Curves/meltCurve_O75529_TAF5L.pdf</v>
      </c>
    </row>
    <row r="1511" spans="1:28" x14ac:dyDescent="0.25">
      <c r="A1511" t="s">
        <v>1515</v>
      </c>
      <c r="B1511">
        <v>0.995954080203443</v>
      </c>
      <c r="C1511">
        <v>0.82774309499952003</v>
      </c>
      <c r="D1511">
        <v>0.80161356685542995</v>
      </c>
      <c r="E1511">
        <v>0.59054069334606296</v>
      </c>
      <c r="F1511">
        <v>0.23787438519044099</v>
      </c>
      <c r="G1511">
        <v>0.15550335195496301</v>
      </c>
      <c r="H1511">
        <v>0.12116854725548699</v>
      </c>
      <c r="I1511">
        <v>0.12702597468082799</v>
      </c>
      <c r="J1511">
        <v>0.159015562332945</v>
      </c>
      <c r="K1511">
        <v>0.14448006057413301</v>
      </c>
      <c r="L1511">
        <v>848.73841488604103</v>
      </c>
      <c r="M1511">
        <v>17.232236156086199</v>
      </c>
      <c r="N1511">
        <v>49.983610160955699</v>
      </c>
      <c r="O1511">
        <v>48.604016442007499</v>
      </c>
      <c r="P1511">
        <v>-7.8771825076764196E-2</v>
      </c>
      <c r="Q1511">
        <v>0.111339303675128</v>
      </c>
      <c r="R1511">
        <v>0.97267221828059702</v>
      </c>
      <c r="S1511" t="s">
        <v>8317</v>
      </c>
      <c r="T1511" t="s">
        <v>13610</v>
      </c>
      <c r="U1511" t="s">
        <v>13610</v>
      </c>
      <c r="V1511" t="s">
        <v>13610</v>
      </c>
      <c r="W1511" t="s">
        <v>15085</v>
      </c>
      <c r="X1511">
        <v>12</v>
      </c>
      <c r="Y1511" t="s">
        <v>21784</v>
      </c>
      <c r="Z1511" t="s">
        <v>28366</v>
      </c>
      <c r="AA1511">
        <v>0.40211906115856921</v>
      </c>
      <c r="AB1511" t="str">
        <f>HYPERLINK("Melting_Curves/meltCurve_O75530_3_EED.pdf", "Melting_Curves/meltCurve_O75530_3_EED.pdf")</f>
        <v>Melting_Curves/meltCurve_O75530_3_EED.pdf</v>
      </c>
    </row>
    <row r="1512" spans="1:28" x14ac:dyDescent="0.25">
      <c r="A1512" t="s">
        <v>1516</v>
      </c>
      <c r="B1512">
        <v>0.995954080203443</v>
      </c>
      <c r="C1512">
        <v>0.30874892584200497</v>
      </c>
      <c r="D1512">
        <v>1.2533364399517599</v>
      </c>
      <c r="E1512">
        <v>0.60419885031526099</v>
      </c>
      <c r="F1512">
        <v>0.41208487828663498</v>
      </c>
      <c r="G1512">
        <v>0.118036107993695</v>
      </c>
      <c r="H1512">
        <v>9.8840647475036805E-2</v>
      </c>
      <c r="I1512">
        <v>8.23142898393487E-2</v>
      </c>
      <c r="J1512">
        <v>0.176332785555781</v>
      </c>
      <c r="K1512">
        <v>0.116259000609826</v>
      </c>
      <c r="L1512">
        <v>1476.18540339479</v>
      </c>
      <c r="M1512">
        <v>28.9048642075815</v>
      </c>
      <c r="N1512">
        <v>51.5317744868468</v>
      </c>
      <c r="O1512">
        <v>50.827911985630301</v>
      </c>
      <c r="P1512">
        <v>-0.12596519651679799</v>
      </c>
      <c r="Q1512">
        <v>0.113990017323812</v>
      </c>
      <c r="R1512">
        <v>0.62470685048826202</v>
      </c>
      <c r="S1512" t="s">
        <v>8318</v>
      </c>
      <c r="T1512" t="s">
        <v>13610</v>
      </c>
      <c r="U1512" t="s">
        <v>13610</v>
      </c>
      <c r="V1512" t="s">
        <v>13610</v>
      </c>
      <c r="W1512" t="s">
        <v>15086</v>
      </c>
      <c r="X1512">
        <v>8</v>
      </c>
      <c r="Y1512" t="s">
        <v>21785</v>
      </c>
      <c r="Z1512" t="s">
        <v>28367</v>
      </c>
      <c r="AA1512">
        <v>0.44694959470844592</v>
      </c>
      <c r="AB1512" t="str">
        <f>HYPERLINK("Melting_Curves/meltCurve_O75531_BANF1.pdf", "Melting_Curves/meltCurve_O75531_BANF1.pdf")</f>
        <v>Melting_Curves/meltCurve_O75531_BANF1.pdf</v>
      </c>
    </row>
    <row r="1513" spans="1:28" x14ac:dyDescent="0.25">
      <c r="A1513" t="s">
        <v>1517</v>
      </c>
      <c r="B1513">
        <v>0.995954080203443</v>
      </c>
      <c r="C1513">
        <v>0.78425813848334003</v>
      </c>
      <c r="D1513">
        <v>0.64510753140116905</v>
      </c>
      <c r="E1513">
        <v>0.70172583830884205</v>
      </c>
      <c r="F1513">
        <v>0.44127690337584802</v>
      </c>
      <c r="G1513">
        <v>0.30393693066979</v>
      </c>
      <c r="H1513">
        <v>0.301256721783772</v>
      </c>
      <c r="I1513">
        <v>0.36993373348120501</v>
      </c>
      <c r="J1513">
        <v>0.49418049962556898</v>
      </c>
      <c r="K1513">
        <v>0.43400576128276902</v>
      </c>
      <c r="L1513">
        <v>620.64265225016004</v>
      </c>
      <c r="M1513">
        <v>13.4125661162669</v>
      </c>
      <c r="N1513">
        <v>51.5795038724251</v>
      </c>
      <c r="O1513">
        <v>45.280927603938302</v>
      </c>
      <c r="P1513">
        <v>-4.6349787169984301E-2</v>
      </c>
      <c r="Q1513">
        <v>0.37418915257265301</v>
      </c>
      <c r="R1513">
        <v>0.84115949492531294</v>
      </c>
      <c r="S1513" t="s">
        <v>8319</v>
      </c>
      <c r="T1513" t="s">
        <v>13610</v>
      </c>
      <c r="U1513" t="s">
        <v>13610</v>
      </c>
      <c r="V1513" t="s">
        <v>13610</v>
      </c>
      <c r="W1513" t="s">
        <v>15087</v>
      </c>
      <c r="X1513">
        <v>67</v>
      </c>
      <c r="Y1513" t="s">
        <v>21786</v>
      </c>
      <c r="Z1513" t="s">
        <v>28368</v>
      </c>
      <c r="AA1513">
        <v>0.52751928508874524</v>
      </c>
      <c r="AB1513" t="str">
        <f>HYPERLINK("Melting_Curves/meltCurve_O75533_SF3B1.pdf", "Melting_Curves/meltCurve_O75533_SF3B1.pdf")</f>
        <v>Melting_Curves/meltCurve_O75533_SF3B1.pdf</v>
      </c>
    </row>
    <row r="1514" spans="1:28" x14ac:dyDescent="0.25">
      <c r="A1514" t="s">
        <v>1518</v>
      </c>
      <c r="B1514">
        <v>0.995954080203443</v>
      </c>
      <c r="C1514">
        <v>0.92396358824749703</v>
      </c>
      <c r="D1514">
        <v>0.59237313355438304</v>
      </c>
      <c r="E1514">
        <v>0.37858496120062102</v>
      </c>
      <c r="F1514">
        <v>0.26427737533064799</v>
      </c>
      <c r="G1514">
        <v>0.165177380129572</v>
      </c>
      <c r="H1514">
        <v>0.12872416153765701</v>
      </c>
      <c r="I1514">
        <v>0.13479107303125401</v>
      </c>
      <c r="J1514">
        <v>0.16481319681545201</v>
      </c>
      <c r="K1514">
        <v>0.145094096805539</v>
      </c>
      <c r="L1514">
        <v>873.02193590226796</v>
      </c>
      <c r="M1514">
        <v>18.5967956711531</v>
      </c>
      <c r="N1514">
        <v>47.813120414273399</v>
      </c>
      <c r="O1514">
        <v>46.412026463534197</v>
      </c>
      <c r="P1514">
        <v>-8.5819988694952998E-2</v>
      </c>
      <c r="Q1514">
        <v>0.14331331905910899</v>
      </c>
      <c r="R1514">
        <v>0.99014160528089601</v>
      </c>
      <c r="S1514" t="s">
        <v>8320</v>
      </c>
      <c r="T1514" t="s">
        <v>13610</v>
      </c>
      <c r="U1514" t="s">
        <v>13610</v>
      </c>
      <c r="V1514" t="s">
        <v>13610</v>
      </c>
      <c r="W1514" t="s">
        <v>15088</v>
      </c>
      <c r="X1514">
        <v>32</v>
      </c>
      <c r="Y1514" t="s">
        <v>21787</v>
      </c>
      <c r="Z1514" t="s">
        <v>28369</v>
      </c>
      <c r="AA1514">
        <v>0.35638666448917078</v>
      </c>
      <c r="AB1514" t="str">
        <f>HYPERLINK("Melting_Curves/meltCurve_O75534_2_CSDE1.pdf", "Melting_Curves/meltCurve_O75534_2_CSDE1.pdf")</f>
        <v>Melting_Curves/meltCurve_O75534_2_CSDE1.pdf</v>
      </c>
    </row>
    <row r="1515" spans="1:28" x14ac:dyDescent="0.25">
      <c r="A1515" t="s">
        <v>1519</v>
      </c>
      <c r="B1515">
        <v>0.995954080203443</v>
      </c>
      <c r="C1515">
        <v>0.93647284006738696</v>
      </c>
      <c r="D1515">
        <v>0.98032410076085397</v>
      </c>
      <c r="E1515">
        <v>0.829085197966271</v>
      </c>
      <c r="F1515">
        <v>0.81950127644456106</v>
      </c>
      <c r="G1515">
        <v>0.74268082620934395</v>
      </c>
      <c r="H1515">
        <v>0.75856951071257595</v>
      </c>
      <c r="I1515">
        <v>1.1060885450076301</v>
      </c>
      <c r="J1515">
        <v>1.0170053362321201</v>
      </c>
      <c r="K1515">
        <v>1.1859694008745501</v>
      </c>
      <c r="L1515">
        <v>3248.1595346124</v>
      </c>
      <c r="M1515">
        <v>45.861041288121498</v>
      </c>
      <c r="Q1515">
        <v>1.5</v>
      </c>
      <c r="R1515">
        <v>-2.1666137447109698E-2</v>
      </c>
      <c r="S1515" t="s">
        <v>8321</v>
      </c>
      <c r="T1515" t="s">
        <v>13610</v>
      </c>
      <c r="U1515" t="s">
        <v>13610</v>
      </c>
      <c r="V1515" t="s">
        <v>13610</v>
      </c>
      <c r="W1515" t="s">
        <v>15089</v>
      </c>
      <c r="X1515">
        <v>10</v>
      </c>
      <c r="Y1515" t="s">
        <v>21788</v>
      </c>
      <c r="Z1515" t="s">
        <v>28370</v>
      </c>
      <c r="AA1515">
        <v>1.0110111824602659</v>
      </c>
      <c r="AB1515" t="str">
        <f>HYPERLINK("Melting_Curves/meltCurve_O75554_WBP4.pdf", "Melting_Curves/meltCurve_O75554_WBP4.pdf")</f>
        <v>Melting_Curves/meltCurve_O75554_WBP4.pdf</v>
      </c>
    </row>
    <row r="1516" spans="1:28" x14ac:dyDescent="0.25">
      <c r="A1516" t="s">
        <v>1520</v>
      </c>
      <c r="B1516">
        <v>0.995954080203443</v>
      </c>
      <c r="C1516">
        <v>0.79525340008129397</v>
      </c>
      <c r="D1516">
        <v>0.75711872528299595</v>
      </c>
      <c r="E1516">
        <v>0.76713676239163797</v>
      </c>
      <c r="F1516">
        <v>0.85968994024869105</v>
      </c>
      <c r="G1516">
        <v>0.60440203189235397</v>
      </c>
      <c r="H1516">
        <v>0.67404766048405396</v>
      </c>
      <c r="I1516">
        <v>0.69608279008545804</v>
      </c>
      <c r="J1516">
        <v>0.83239247120696302</v>
      </c>
      <c r="K1516">
        <v>0.85697144271539205</v>
      </c>
      <c r="L1516">
        <v>3384.3594151769698</v>
      </c>
      <c r="M1516">
        <v>80.539552237085104</v>
      </c>
      <c r="O1516">
        <v>41.995199771246298</v>
      </c>
      <c r="P1516">
        <v>-0.117011469893768</v>
      </c>
      <c r="Q1516">
        <v>0.75595000045887795</v>
      </c>
      <c r="R1516">
        <v>0.46026471357458498</v>
      </c>
      <c r="S1516" t="s">
        <v>8322</v>
      </c>
      <c r="T1516" t="s">
        <v>13610</v>
      </c>
      <c r="U1516" t="s">
        <v>13610</v>
      </c>
      <c r="V1516" t="s">
        <v>13610</v>
      </c>
      <c r="W1516" t="s">
        <v>15090</v>
      </c>
      <c r="X1516">
        <v>5</v>
      </c>
      <c r="Y1516" t="s">
        <v>21789</v>
      </c>
      <c r="Z1516" t="s">
        <v>28371</v>
      </c>
      <c r="AA1516">
        <v>0.77262894309815655</v>
      </c>
      <c r="AB1516" t="str">
        <f>HYPERLINK("Melting_Curves/meltCurve_O75575_CRCP.pdf", "Melting_Curves/meltCurve_O75575_CRCP.pdf")</f>
        <v>Melting_Curves/meltCurve_O75575_CRCP.pdf</v>
      </c>
    </row>
    <row r="1517" spans="1:28" x14ac:dyDescent="0.25">
      <c r="A1517" t="s">
        <v>1521</v>
      </c>
      <c r="B1517">
        <v>0.995954080203443</v>
      </c>
      <c r="C1517">
        <v>0.69445919557074998</v>
      </c>
      <c r="D1517">
        <v>0.56547706366473005</v>
      </c>
      <c r="E1517">
        <v>0.69806880854697295</v>
      </c>
      <c r="F1517">
        <v>0.51520177380270604</v>
      </c>
      <c r="G1517">
        <v>0.37473192838519798</v>
      </c>
      <c r="H1517">
        <v>0.39288961036174003</v>
      </c>
      <c r="I1517">
        <v>0.44454645702912798</v>
      </c>
      <c r="J1517">
        <v>0.55426453584116198</v>
      </c>
      <c r="K1517">
        <v>0.520534783697291</v>
      </c>
      <c r="S1517" t="s">
        <v>8323</v>
      </c>
      <c r="T1517" t="s">
        <v>13610</v>
      </c>
      <c r="U1517" t="s">
        <v>13611</v>
      </c>
      <c r="V1517" t="s">
        <v>13610</v>
      </c>
      <c r="W1517" t="s">
        <v>15091</v>
      </c>
      <c r="X1517">
        <v>4</v>
      </c>
      <c r="Y1517" t="s">
        <v>21790</v>
      </c>
      <c r="Z1517" t="s">
        <v>28372</v>
      </c>
      <c r="AB1517" t="str">
        <f>HYPERLINK("Melting_Curves/meltCurve_O75586_MED6.pdf", "Melting_Curves/meltCurve_O75586_MED6.pdf")</f>
        <v>Melting_Curves/meltCurve_O75586_MED6.pdf</v>
      </c>
    </row>
    <row r="1518" spans="1:28" x14ac:dyDescent="0.25">
      <c r="A1518" t="s">
        <v>1522</v>
      </c>
      <c r="B1518">
        <v>0.995954080203443</v>
      </c>
      <c r="C1518">
        <v>0.53252567802794504</v>
      </c>
      <c r="D1518">
        <v>0.33457688212658998</v>
      </c>
      <c r="E1518">
        <v>0.33996377601564798</v>
      </c>
      <c r="F1518">
        <v>0.30709609381176001</v>
      </c>
      <c r="G1518">
        <v>0.19915245069061199</v>
      </c>
      <c r="H1518">
        <v>0.110243680278433</v>
      </c>
      <c r="I1518">
        <v>0.114472961128859</v>
      </c>
      <c r="J1518">
        <v>0.103186776360174</v>
      </c>
      <c r="K1518">
        <v>7.13025841536266E-2</v>
      </c>
      <c r="L1518">
        <v>748.29266795320802</v>
      </c>
      <c r="M1518">
        <v>17.164200937096801</v>
      </c>
      <c r="N1518">
        <v>44.487023662240802</v>
      </c>
      <c r="O1518">
        <v>43.017264625685797</v>
      </c>
      <c r="P1518">
        <v>-8.5248876166925405E-2</v>
      </c>
      <c r="Q1518">
        <v>0.145441092865081</v>
      </c>
      <c r="R1518">
        <v>0.89628802462741597</v>
      </c>
      <c r="S1518" t="s">
        <v>8324</v>
      </c>
      <c r="T1518" t="s">
        <v>13610</v>
      </c>
      <c r="U1518" t="s">
        <v>13610</v>
      </c>
      <c r="V1518" t="s">
        <v>13610</v>
      </c>
      <c r="W1518" t="s">
        <v>15092</v>
      </c>
      <c r="X1518">
        <v>1</v>
      </c>
      <c r="Y1518" t="s">
        <v>21791</v>
      </c>
      <c r="Z1518" t="s">
        <v>28373</v>
      </c>
      <c r="AA1518">
        <v>0.27277020543296682</v>
      </c>
      <c r="AB1518" t="str">
        <f>HYPERLINK("Melting_Curves/meltCurve_O75600_GCAT.pdf", "Melting_Curves/meltCurve_O75600_GCAT.pdf")</f>
        <v>Melting_Curves/meltCurve_O75600_GCAT.pdf</v>
      </c>
    </row>
    <row r="1519" spans="1:28" x14ac:dyDescent="0.25">
      <c r="A1519" t="s">
        <v>1523</v>
      </c>
      <c r="B1519">
        <v>0.995954080203443</v>
      </c>
      <c r="C1519">
        <v>1.0884732689600001</v>
      </c>
      <c r="D1519">
        <v>1.08886628061252</v>
      </c>
      <c r="E1519">
        <v>1.0384083787887599</v>
      </c>
      <c r="F1519">
        <v>0.85916460109706505</v>
      </c>
      <c r="G1519">
        <v>0.68587898580319195</v>
      </c>
      <c r="H1519">
        <v>0.54886392043994703</v>
      </c>
      <c r="I1519">
        <v>0.52334274863547903</v>
      </c>
      <c r="J1519">
        <v>0.66455654567317601</v>
      </c>
      <c r="K1519">
        <v>0.491414029203878</v>
      </c>
      <c r="L1519">
        <v>1726.9911621522001</v>
      </c>
      <c r="M1519">
        <v>31.446717298209599</v>
      </c>
      <c r="O1519">
        <v>54.6973580541191</v>
      </c>
      <c r="P1519">
        <v>-6.4073039950574201E-2</v>
      </c>
      <c r="Q1519">
        <v>0.55421647920502604</v>
      </c>
      <c r="R1519">
        <v>0.9273124826493</v>
      </c>
      <c r="S1519" t="s">
        <v>8325</v>
      </c>
      <c r="T1519" t="s">
        <v>13610</v>
      </c>
      <c r="U1519" t="s">
        <v>13610</v>
      </c>
      <c r="V1519" t="s">
        <v>13610</v>
      </c>
      <c r="W1519" t="s">
        <v>15093</v>
      </c>
      <c r="X1519">
        <v>5</v>
      </c>
      <c r="Y1519" t="s">
        <v>21792</v>
      </c>
      <c r="Z1519" t="s">
        <v>28374</v>
      </c>
      <c r="AA1519">
        <v>0.77859151496332168</v>
      </c>
      <c r="AB1519" t="str">
        <f>HYPERLINK("Melting_Curves/meltCurve_O75607_NPM3.pdf", "Melting_Curves/meltCurve_O75607_NPM3.pdf")</f>
        <v>Melting_Curves/meltCurve_O75607_NPM3.pdf</v>
      </c>
    </row>
    <row r="1520" spans="1:28" x14ac:dyDescent="0.25">
      <c r="A1520" t="s">
        <v>1524</v>
      </c>
      <c r="B1520">
        <v>0.995954080203443</v>
      </c>
      <c r="C1520">
        <v>1.0380849492495099</v>
      </c>
      <c r="D1520">
        <v>0.99419449311424202</v>
      </c>
      <c r="E1520">
        <v>0.90882413143105101</v>
      </c>
      <c r="F1520">
        <v>0.84992637219244604</v>
      </c>
      <c r="G1520">
        <v>0.45215339946053401</v>
      </c>
      <c r="H1520">
        <v>0.13095610339671601</v>
      </c>
      <c r="I1520">
        <v>9.0801758632021806E-2</v>
      </c>
      <c r="J1520">
        <v>0.10724334761155201</v>
      </c>
      <c r="K1520">
        <v>8.9489178933876798E-2</v>
      </c>
      <c r="L1520">
        <v>1535.5330428853999</v>
      </c>
      <c r="M1520">
        <v>27.387161401036501</v>
      </c>
      <c r="N1520">
        <v>56.397430885026502</v>
      </c>
      <c r="O1520">
        <v>55.771247661271403</v>
      </c>
      <c r="P1520">
        <v>-0.11368275779970299</v>
      </c>
      <c r="Q1520">
        <v>7.3993838433444398E-2</v>
      </c>
      <c r="R1520">
        <v>0.99557678160417695</v>
      </c>
      <c r="S1520" t="s">
        <v>8326</v>
      </c>
      <c r="T1520" t="s">
        <v>13610</v>
      </c>
      <c r="U1520" t="s">
        <v>13610</v>
      </c>
      <c r="V1520" t="s">
        <v>13610</v>
      </c>
      <c r="W1520" t="s">
        <v>15094</v>
      </c>
      <c r="X1520">
        <v>8</v>
      </c>
      <c r="Y1520" t="s">
        <v>21793</v>
      </c>
      <c r="Z1520" t="s">
        <v>28375</v>
      </c>
      <c r="AA1520">
        <v>0.57722170025945851</v>
      </c>
      <c r="AB1520" t="str">
        <f>HYPERLINK("Melting_Curves/meltCurve_O75608_2_LYPLA1.pdf", "Melting_Curves/meltCurve_O75608_2_LYPLA1.pdf")</f>
        <v>Melting_Curves/meltCurve_O75608_2_LYPLA1.pdf</v>
      </c>
    </row>
    <row r="1521" spans="1:28" x14ac:dyDescent="0.25">
      <c r="A1521" t="s">
        <v>1525</v>
      </c>
      <c r="B1521">
        <v>0.995954080203443</v>
      </c>
      <c r="C1521">
        <v>0.71120931287831302</v>
      </c>
      <c r="D1521">
        <v>0.51190398977716101</v>
      </c>
      <c r="E1521">
        <v>0.48834607318156498</v>
      </c>
      <c r="F1521">
        <v>0.328056500942009</v>
      </c>
      <c r="G1521">
        <v>0.20506724449121999</v>
      </c>
      <c r="H1521">
        <v>0.175680541131471</v>
      </c>
      <c r="I1521">
        <v>0.157319895294072</v>
      </c>
      <c r="J1521">
        <v>0.21361540163919701</v>
      </c>
      <c r="K1521">
        <v>0.19781054867176601</v>
      </c>
      <c r="L1521">
        <v>572.88723422471503</v>
      </c>
      <c r="M1521">
        <v>12.4350893914885</v>
      </c>
      <c r="N1521">
        <v>47.640932583932901</v>
      </c>
      <c r="O1521">
        <v>44.927444640885199</v>
      </c>
      <c r="P1521">
        <v>-5.7570942560123101E-2</v>
      </c>
      <c r="Q1521">
        <v>0.168169573105964</v>
      </c>
      <c r="R1521">
        <v>0.95267470978656998</v>
      </c>
      <c r="S1521" t="s">
        <v>8327</v>
      </c>
      <c r="T1521" t="s">
        <v>13610</v>
      </c>
      <c r="U1521" t="s">
        <v>13610</v>
      </c>
      <c r="V1521" t="s">
        <v>13610</v>
      </c>
      <c r="W1521" t="s">
        <v>15095</v>
      </c>
      <c r="X1521">
        <v>3</v>
      </c>
      <c r="Y1521" t="s">
        <v>21794</v>
      </c>
      <c r="Z1521" t="s">
        <v>28376</v>
      </c>
      <c r="AA1521">
        <v>0.37166701412276543</v>
      </c>
      <c r="AB1521" t="str">
        <f>HYPERLINK("Melting_Curves/meltCurve_O75616_ERAL1.pdf", "Melting_Curves/meltCurve_O75616_ERAL1.pdf")</f>
        <v>Melting_Curves/meltCurve_O75616_ERAL1.pdf</v>
      </c>
    </row>
    <row r="1522" spans="1:28" x14ac:dyDescent="0.25">
      <c r="A1522" t="s">
        <v>1526</v>
      </c>
      <c r="B1522">
        <v>0.995954080203443</v>
      </c>
      <c r="C1522">
        <v>1.04931494261289</v>
      </c>
      <c r="D1522">
        <v>0.99420428949522099</v>
      </c>
      <c r="E1522">
        <v>1.0413182990602201</v>
      </c>
      <c r="F1522">
        <v>0.98393686993927398</v>
      </c>
      <c r="G1522">
        <v>0.792066422421005</v>
      </c>
      <c r="H1522">
        <v>0.67713379825764897</v>
      </c>
      <c r="I1522">
        <v>0.81447658718809501</v>
      </c>
      <c r="J1522">
        <v>0.99265112348927698</v>
      </c>
      <c r="K1522">
        <v>0.91122510969642001</v>
      </c>
      <c r="L1522">
        <v>13367.129482996501</v>
      </c>
      <c r="M1522">
        <v>250</v>
      </c>
      <c r="O1522">
        <v>53.465096329517998</v>
      </c>
      <c r="P1522">
        <v>-0.18994798233243501</v>
      </c>
      <c r="Q1522">
        <v>0.83751060550763101</v>
      </c>
      <c r="R1522">
        <v>0.55187383068390505</v>
      </c>
      <c r="S1522" t="s">
        <v>8328</v>
      </c>
      <c r="T1522" t="s">
        <v>13610</v>
      </c>
      <c r="U1522" t="s">
        <v>13610</v>
      </c>
      <c r="V1522" t="s">
        <v>13610</v>
      </c>
      <c r="W1522" t="s">
        <v>15096</v>
      </c>
      <c r="X1522">
        <v>1</v>
      </c>
      <c r="Y1522" t="s">
        <v>21795</v>
      </c>
      <c r="Z1522" t="s">
        <v>28377</v>
      </c>
      <c r="AA1522">
        <v>0.91047556371278204</v>
      </c>
      <c r="AB1522" t="str">
        <f>HYPERLINK("Melting_Curves/meltCurve_O75629_CREG1.pdf", "Melting_Curves/meltCurve_O75629_CREG1.pdf")</f>
        <v>Melting_Curves/meltCurve_O75629_CREG1.pdf</v>
      </c>
    </row>
    <row r="1523" spans="1:28" x14ac:dyDescent="0.25">
      <c r="A1523" t="s">
        <v>1527</v>
      </c>
      <c r="B1523">
        <v>0.995954080203443</v>
      </c>
      <c r="C1523">
        <v>1.0365652833711001</v>
      </c>
      <c r="D1523">
        <v>1.2814061160896899</v>
      </c>
      <c r="E1523">
        <v>0.81904596027274301</v>
      </c>
      <c r="F1523">
        <v>0.56802619969992696</v>
      </c>
      <c r="G1523">
        <v>0.28692682019409399</v>
      </c>
      <c r="H1523">
        <v>0.166373368065873</v>
      </c>
      <c r="I1523">
        <v>0.16581074274146801</v>
      </c>
      <c r="J1523">
        <v>0.170376687058579</v>
      </c>
      <c r="K1523">
        <v>0.17609540186764799</v>
      </c>
      <c r="L1523">
        <v>1562.9340537613</v>
      </c>
      <c r="M1523">
        <v>29.584325888745099</v>
      </c>
      <c r="N1523">
        <v>53.584609508368899</v>
      </c>
      <c r="O1523">
        <v>52.590180671398898</v>
      </c>
      <c r="P1523">
        <v>-0.11667230829411</v>
      </c>
      <c r="Q1523">
        <v>0.170401848283012</v>
      </c>
      <c r="R1523">
        <v>0.94646769778417905</v>
      </c>
      <c r="S1523" t="s">
        <v>8329</v>
      </c>
      <c r="T1523" t="s">
        <v>13610</v>
      </c>
      <c r="U1523" t="s">
        <v>13610</v>
      </c>
      <c r="V1523" t="s">
        <v>13610</v>
      </c>
      <c r="W1523" t="s">
        <v>15097</v>
      </c>
      <c r="X1523">
        <v>2</v>
      </c>
      <c r="Y1523" t="s">
        <v>21796</v>
      </c>
      <c r="Z1523" t="s">
        <v>28378</v>
      </c>
      <c r="AA1523">
        <v>0.53070372122316622</v>
      </c>
      <c r="AB1523" t="str">
        <f>HYPERLINK("Melting_Curves/meltCurve_O75635_2_SERPINB7.pdf", "Melting_Curves/meltCurve_O75635_2_SERPINB7.pdf")</f>
        <v>Melting_Curves/meltCurve_O75635_2_SERPINB7.pdf</v>
      </c>
    </row>
    <row r="1524" spans="1:28" x14ac:dyDescent="0.25">
      <c r="A1524" t="s">
        <v>1528</v>
      </c>
      <c r="B1524">
        <v>0.995954080203443</v>
      </c>
      <c r="C1524">
        <v>0.77324698201585895</v>
      </c>
      <c r="D1524">
        <v>0.58399619569856998</v>
      </c>
      <c r="E1524">
        <v>0.73350698277687298</v>
      </c>
      <c r="F1524">
        <v>0.300660895291953</v>
      </c>
      <c r="G1524">
        <v>0.20336148862602901</v>
      </c>
      <c r="H1524">
        <v>0.156156586251118</v>
      </c>
      <c r="I1524">
        <v>0.15960303442705701</v>
      </c>
      <c r="J1524">
        <v>0.17023866668278101</v>
      </c>
      <c r="K1524">
        <v>0.16245906965503201</v>
      </c>
      <c r="L1524">
        <v>504.01184613192999</v>
      </c>
      <c r="M1524">
        <v>10.2493704220129</v>
      </c>
      <c r="N1524">
        <v>50.093032726863498</v>
      </c>
      <c r="O1524">
        <v>47.413232439504199</v>
      </c>
      <c r="P1524">
        <v>-4.94368364959571E-2</v>
      </c>
      <c r="Q1524">
        <v>8.5632356360050496E-2</v>
      </c>
      <c r="R1524">
        <v>0.90224767788784899</v>
      </c>
      <c r="S1524" t="s">
        <v>8330</v>
      </c>
      <c r="T1524" t="s">
        <v>13610</v>
      </c>
      <c r="U1524" t="s">
        <v>13610</v>
      </c>
      <c r="V1524" t="s">
        <v>13610</v>
      </c>
      <c r="W1524" t="s">
        <v>15098</v>
      </c>
      <c r="X1524">
        <v>69</v>
      </c>
      <c r="Y1524" t="s">
        <v>21797</v>
      </c>
      <c r="Z1524" t="s">
        <v>28379</v>
      </c>
      <c r="AA1524">
        <v>0.40784905135175697</v>
      </c>
      <c r="AB1524" t="str">
        <f>HYPERLINK("Melting_Curves/meltCurve_O75643_SNRNP200.pdf", "Melting_Curves/meltCurve_O75643_SNRNP200.pdf")</f>
        <v>Melting_Curves/meltCurve_O75643_SNRNP200.pdf</v>
      </c>
    </row>
    <row r="1525" spans="1:28" x14ac:dyDescent="0.25">
      <c r="A1525" t="s">
        <v>1529</v>
      </c>
      <c r="B1525">
        <v>0.995954080203443</v>
      </c>
      <c r="C1525">
        <v>0.86062716023399399</v>
      </c>
      <c r="D1525">
        <v>0.67836692983857005</v>
      </c>
      <c r="E1525">
        <v>0.48905798141880702</v>
      </c>
      <c r="F1525">
        <v>0.33323585964953101</v>
      </c>
      <c r="G1525">
        <v>0.17215352449788299</v>
      </c>
      <c r="H1525">
        <v>0.17349936514327599</v>
      </c>
      <c r="I1525">
        <v>0.14193603775639599</v>
      </c>
      <c r="J1525">
        <v>0.14543312722596999</v>
      </c>
      <c r="K1525">
        <v>0.16903016536370699</v>
      </c>
      <c r="L1525">
        <v>685.03490328565204</v>
      </c>
      <c r="M1525">
        <v>14.2077857259243</v>
      </c>
      <c r="N1525">
        <v>49.254096294399197</v>
      </c>
      <c r="O1525">
        <v>47.290442394099003</v>
      </c>
      <c r="P1525">
        <v>-6.5394896616736406E-2</v>
      </c>
      <c r="Q1525">
        <v>0.12944431521310301</v>
      </c>
      <c r="R1525">
        <v>0.99259520337561702</v>
      </c>
      <c r="S1525" t="s">
        <v>8331</v>
      </c>
      <c r="T1525" t="s">
        <v>13610</v>
      </c>
      <c r="U1525" t="s">
        <v>13610</v>
      </c>
      <c r="V1525" t="s">
        <v>13610</v>
      </c>
      <c r="W1525" t="s">
        <v>15099</v>
      </c>
      <c r="X1525">
        <v>2</v>
      </c>
      <c r="Y1525" t="s">
        <v>21798</v>
      </c>
      <c r="Z1525" t="s">
        <v>28380</v>
      </c>
      <c r="AA1525">
        <v>0.39248588533677109</v>
      </c>
      <c r="AB1525" t="str">
        <f>HYPERLINK("Melting_Curves/meltCurve_O75648_2_TRMU.pdf", "Melting_Curves/meltCurve_O75648_2_TRMU.pdf")</f>
        <v>Melting_Curves/meltCurve_O75648_2_TRMU.pdf</v>
      </c>
    </row>
    <row r="1526" spans="1:28" x14ac:dyDescent="0.25">
      <c r="A1526" t="s">
        <v>1530</v>
      </c>
      <c r="B1526">
        <v>0.995954080203443</v>
      </c>
      <c r="C1526">
        <v>0.96889936217254302</v>
      </c>
      <c r="D1526">
        <v>0.95934210147833998</v>
      </c>
      <c r="E1526">
        <v>0.73265405358164803</v>
      </c>
      <c r="F1526">
        <v>0.36836956271988403</v>
      </c>
      <c r="G1526">
        <v>0.132931008853787</v>
      </c>
      <c r="H1526">
        <v>8.5376615468213096E-2</v>
      </c>
      <c r="I1526">
        <v>7.6629958806314596E-2</v>
      </c>
      <c r="J1526">
        <v>8.72446346346442E-2</v>
      </c>
      <c r="K1526">
        <v>7.8024852650445994E-2</v>
      </c>
      <c r="L1526">
        <v>1448.2022592901701</v>
      </c>
      <c r="M1526">
        <v>28.090397799228398</v>
      </c>
      <c r="N1526">
        <v>51.862664790298503</v>
      </c>
      <c r="O1526">
        <v>51.295901038920803</v>
      </c>
      <c r="P1526">
        <v>-0.12639968567314699</v>
      </c>
      <c r="Q1526">
        <v>7.6733415646757397E-2</v>
      </c>
      <c r="R1526">
        <v>0.99932765795990397</v>
      </c>
      <c r="S1526" t="s">
        <v>8332</v>
      </c>
      <c r="T1526" t="s">
        <v>13610</v>
      </c>
      <c r="U1526" t="s">
        <v>13610</v>
      </c>
      <c r="V1526" t="s">
        <v>13610</v>
      </c>
      <c r="W1526" t="s">
        <v>15100</v>
      </c>
      <c r="X1526">
        <v>15</v>
      </c>
      <c r="Y1526" t="s">
        <v>21799</v>
      </c>
      <c r="Z1526" t="s">
        <v>28381</v>
      </c>
      <c r="AA1526">
        <v>0.43902171958247282</v>
      </c>
      <c r="AB1526" t="str">
        <f>HYPERLINK("Melting_Curves/meltCurve_O75663_TIPRL.pdf", "Melting_Curves/meltCurve_O75663_TIPRL.pdf")</f>
        <v>Melting_Curves/meltCurve_O75663_TIPRL.pdf</v>
      </c>
    </row>
    <row r="1527" spans="1:28" x14ac:dyDescent="0.25">
      <c r="A1527" t="s">
        <v>1531</v>
      </c>
      <c r="B1527">
        <v>0.995954080203443</v>
      </c>
      <c r="C1527">
        <v>0.96932692422301603</v>
      </c>
      <c r="D1527">
        <v>0.98082040628751699</v>
      </c>
      <c r="E1527">
        <v>0.86476205091458302</v>
      </c>
      <c r="F1527">
        <v>0.83909092212983105</v>
      </c>
      <c r="G1527">
        <v>0.64933933680740297</v>
      </c>
      <c r="H1527">
        <v>0.58055486528170597</v>
      </c>
      <c r="I1527">
        <v>0.62577927148566104</v>
      </c>
      <c r="J1527">
        <v>0.95156233343718499</v>
      </c>
      <c r="K1527">
        <v>0.811493055501601</v>
      </c>
      <c r="L1527">
        <v>1460.8145359406799</v>
      </c>
      <c r="M1527">
        <v>28.9451099987056</v>
      </c>
      <c r="O1527">
        <v>50.229388464192098</v>
      </c>
      <c r="P1527">
        <v>-3.8990166644094902E-2</v>
      </c>
      <c r="Q1527">
        <v>0.72935843039489601</v>
      </c>
      <c r="R1527">
        <v>0.54247474818077501</v>
      </c>
      <c r="S1527" t="s">
        <v>8333</v>
      </c>
      <c r="T1527" t="s">
        <v>13610</v>
      </c>
      <c r="U1527" t="s">
        <v>13610</v>
      </c>
      <c r="V1527" t="s">
        <v>13610</v>
      </c>
      <c r="W1527" t="s">
        <v>15101</v>
      </c>
      <c r="X1527">
        <v>17</v>
      </c>
      <c r="Y1527" t="s">
        <v>21800</v>
      </c>
      <c r="Z1527" t="s">
        <v>28382</v>
      </c>
      <c r="AA1527">
        <v>0.825611080564705</v>
      </c>
      <c r="AB1527" t="str">
        <f>HYPERLINK("Melting_Curves/meltCurve_O75683_SURF6.pdf", "Melting_Curves/meltCurve_O75683_SURF6.pdf")</f>
        <v>Melting_Curves/meltCurve_O75683_SURF6.pdf</v>
      </c>
    </row>
    <row r="1528" spans="1:28" x14ac:dyDescent="0.25">
      <c r="A1528" t="s">
        <v>1532</v>
      </c>
      <c r="B1528">
        <v>0.995954080203443</v>
      </c>
      <c r="C1528">
        <v>0.99653890437067005</v>
      </c>
      <c r="D1528">
        <v>1.0140316525495301</v>
      </c>
      <c r="E1528">
        <v>0.77167419276586802</v>
      </c>
      <c r="F1528">
        <v>0.269067632859112</v>
      </c>
      <c r="G1528">
        <v>0.137708314985998</v>
      </c>
      <c r="H1528">
        <v>8.7987110759184306E-2</v>
      </c>
      <c r="I1528">
        <v>8.3279475428155905E-2</v>
      </c>
      <c r="J1528">
        <v>8.6339945958047698E-2</v>
      </c>
      <c r="K1528">
        <v>7.9284062449543502E-2</v>
      </c>
      <c r="L1528">
        <v>2182.2633046287501</v>
      </c>
      <c r="M1528">
        <v>42.557507279053603</v>
      </c>
      <c r="N1528">
        <v>51.5224248106584</v>
      </c>
      <c r="O1528">
        <v>51.165153424200597</v>
      </c>
      <c r="P1528">
        <v>-0.18893486413732599</v>
      </c>
      <c r="Q1528">
        <v>9.1406802279934002E-2</v>
      </c>
      <c r="R1528">
        <v>0.99887862563786201</v>
      </c>
      <c r="S1528" t="s">
        <v>8334</v>
      </c>
      <c r="T1528" t="s">
        <v>13610</v>
      </c>
      <c r="U1528" t="s">
        <v>13610</v>
      </c>
      <c r="V1528" t="s">
        <v>13610</v>
      </c>
      <c r="W1528" t="s">
        <v>15102</v>
      </c>
      <c r="X1528">
        <v>18</v>
      </c>
      <c r="Y1528" t="s">
        <v>21801</v>
      </c>
      <c r="Z1528" t="s">
        <v>28383</v>
      </c>
      <c r="AA1528">
        <v>0.43581909903812932</v>
      </c>
      <c r="AB1528" t="str">
        <f>HYPERLINK("Melting_Curves/meltCurve_O75688_PPM1B.pdf", "Melting_Curves/meltCurve_O75688_PPM1B.pdf")</f>
        <v>Melting_Curves/meltCurve_O75688_PPM1B.pdf</v>
      </c>
    </row>
    <row r="1529" spans="1:28" x14ac:dyDescent="0.25">
      <c r="A1529" t="s">
        <v>1533</v>
      </c>
      <c r="B1529">
        <v>0.995954080203443</v>
      </c>
      <c r="C1529">
        <v>1.03633062911316</v>
      </c>
      <c r="D1529">
        <v>1.0043981632890899</v>
      </c>
      <c r="E1529">
        <v>0.92011921164270705</v>
      </c>
      <c r="F1529">
        <v>0.62119106017061199</v>
      </c>
      <c r="G1529">
        <v>0.12806583432117</v>
      </c>
      <c r="H1529">
        <v>4.9894895429685601E-2</v>
      </c>
      <c r="I1529">
        <v>3.5890839040266499E-2</v>
      </c>
      <c r="J1529">
        <v>4.2606050744972201E-2</v>
      </c>
      <c r="K1529">
        <v>3.41606438414086E-2</v>
      </c>
      <c r="L1529">
        <v>1934.1955319859901</v>
      </c>
      <c r="M1529">
        <v>36.085705078864301</v>
      </c>
      <c r="N1529">
        <v>53.709348534439798</v>
      </c>
      <c r="O1529">
        <v>53.4362389043145</v>
      </c>
      <c r="P1529">
        <v>-0.16284967900643799</v>
      </c>
      <c r="Q1529">
        <v>3.5402284237190197E-2</v>
      </c>
      <c r="R1529">
        <v>0.99912299193278398</v>
      </c>
      <c r="S1529" t="s">
        <v>8335</v>
      </c>
      <c r="T1529" t="s">
        <v>13610</v>
      </c>
      <c r="U1529" t="s">
        <v>13610</v>
      </c>
      <c r="V1529" t="s">
        <v>13610</v>
      </c>
      <c r="W1529" t="s">
        <v>15103</v>
      </c>
      <c r="X1529">
        <v>3</v>
      </c>
      <c r="Y1529" t="s">
        <v>21802</v>
      </c>
      <c r="Z1529" t="s">
        <v>28384</v>
      </c>
      <c r="AA1529">
        <v>0.47707094942950462</v>
      </c>
      <c r="AB1529" t="str">
        <f>HYPERLINK("Melting_Curves/meltCurve_O75695_RP2.pdf", "Melting_Curves/meltCurve_O75695_RP2.pdf")</f>
        <v>Melting_Curves/meltCurve_O75695_RP2.pdf</v>
      </c>
    </row>
    <row r="1530" spans="1:28" x14ac:dyDescent="0.25">
      <c r="A1530" t="s">
        <v>1534</v>
      </c>
      <c r="B1530">
        <v>0.995954080203443</v>
      </c>
      <c r="C1530">
        <v>0.99603350615173003</v>
      </c>
      <c r="D1530">
        <v>0.56415435185493901</v>
      </c>
      <c r="E1530">
        <v>0.637446740125445</v>
      </c>
      <c r="F1530">
        <v>0.33184536234062101</v>
      </c>
      <c r="G1530">
        <v>0.18716231819422</v>
      </c>
      <c r="H1530">
        <v>0.14706017338383501</v>
      </c>
      <c r="I1530">
        <v>0.16845111021647399</v>
      </c>
      <c r="J1530">
        <v>0.18046792397074199</v>
      </c>
      <c r="K1530">
        <v>0.18429807687337399</v>
      </c>
      <c r="L1530">
        <v>688.598266705583</v>
      </c>
      <c r="M1530">
        <v>14.1201123848954</v>
      </c>
      <c r="N1530">
        <v>49.9281513285679</v>
      </c>
      <c r="O1530">
        <v>47.820324774042298</v>
      </c>
      <c r="P1530">
        <v>-6.3496782970071802E-2</v>
      </c>
      <c r="Q1530">
        <v>0.13993679594969899</v>
      </c>
      <c r="R1530">
        <v>0.93256183514010205</v>
      </c>
      <c r="S1530" t="s">
        <v>8336</v>
      </c>
      <c r="T1530" t="s">
        <v>13610</v>
      </c>
      <c r="U1530" t="s">
        <v>13610</v>
      </c>
      <c r="V1530" t="s">
        <v>13610</v>
      </c>
      <c r="W1530" t="s">
        <v>15104</v>
      </c>
      <c r="X1530">
        <v>32</v>
      </c>
      <c r="Y1530" t="s">
        <v>21803</v>
      </c>
      <c r="Z1530" t="s">
        <v>28385</v>
      </c>
      <c r="AA1530">
        <v>0.41527642314668711</v>
      </c>
      <c r="AB1530" t="str">
        <f>HYPERLINK("Melting_Curves/meltCurve_O75717_WDHD1.pdf", "Melting_Curves/meltCurve_O75717_WDHD1.pdf")</f>
        <v>Melting_Curves/meltCurve_O75717_WDHD1.pdf</v>
      </c>
    </row>
    <row r="1531" spans="1:28" x14ac:dyDescent="0.25">
      <c r="A1531" t="s">
        <v>1535</v>
      </c>
      <c r="B1531">
        <v>0.995954080203443</v>
      </c>
      <c r="C1531">
        <v>0.81888504745193402</v>
      </c>
      <c r="D1531">
        <v>0.58555542025681195</v>
      </c>
      <c r="E1531">
        <v>0.45602543037311699</v>
      </c>
      <c r="F1531">
        <v>0.17217034623277899</v>
      </c>
      <c r="G1531">
        <v>8.0531293154427405E-2</v>
      </c>
      <c r="H1531">
        <v>4.9019614268665503E-2</v>
      </c>
      <c r="I1531">
        <v>3.4801072361204902E-2</v>
      </c>
      <c r="J1531">
        <v>5.0921338884584201E-2</v>
      </c>
      <c r="K1531">
        <v>1.9014345228983601E-2</v>
      </c>
      <c r="L1531">
        <v>658.09656091206796</v>
      </c>
      <c r="M1531">
        <v>13.733526063726901</v>
      </c>
      <c r="N1531">
        <v>47.959237835441598</v>
      </c>
      <c r="O1531">
        <v>46.937242494141302</v>
      </c>
      <c r="P1531">
        <v>-7.2739510432141899E-2</v>
      </c>
      <c r="Q1531">
        <v>5.7309142943143803E-3</v>
      </c>
      <c r="R1531">
        <v>0.984645761297127</v>
      </c>
      <c r="S1531" t="s">
        <v>8337</v>
      </c>
      <c r="T1531" t="s">
        <v>13610</v>
      </c>
      <c r="U1531" t="s">
        <v>13610</v>
      </c>
      <c r="V1531" t="s">
        <v>13610</v>
      </c>
      <c r="W1531" t="s">
        <v>15105</v>
      </c>
      <c r="X1531">
        <v>3</v>
      </c>
      <c r="Y1531" t="s">
        <v>21804</v>
      </c>
      <c r="Z1531" t="s">
        <v>28386</v>
      </c>
      <c r="AA1531">
        <v>0.29868871193215257</v>
      </c>
      <c r="AB1531" t="str">
        <f>HYPERLINK("Melting_Curves/meltCurve_O75771_3_RAD51D.pdf", "Melting_Curves/meltCurve_O75771_3_RAD51D.pdf")</f>
        <v>Melting_Curves/meltCurve_O75771_3_RAD51D.pdf</v>
      </c>
    </row>
    <row r="1532" spans="1:28" x14ac:dyDescent="0.25">
      <c r="A1532" t="s">
        <v>1536</v>
      </c>
      <c r="B1532">
        <v>0.995954080203443</v>
      </c>
      <c r="C1532">
        <v>0.82288081379053601</v>
      </c>
      <c r="D1532">
        <v>0.95518086594180396</v>
      </c>
      <c r="E1532">
        <v>0.72215005482695305</v>
      </c>
      <c r="F1532">
        <v>0.62306951175719105</v>
      </c>
      <c r="G1532">
        <v>0.65664078518440305</v>
      </c>
      <c r="H1532">
        <v>0.77274641545650102</v>
      </c>
      <c r="I1532">
        <v>1.0106525127019801</v>
      </c>
      <c r="J1532">
        <v>1.5773508217049199</v>
      </c>
      <c r="K1532">
        <v>1.21865925959796</v>
      </c>
      <c r="L1532">
        <v>15000</v>
      </c>
      <c r="M1532">
        <v>231.094672120653</v>
      </c>
      <c r="O1532">
        <v>64.903602097125102</v>
      </c>
      <c r="P1532">
        <v>0.35429305449944498</v>
      </c>
      <c r="Q1532">
        <v>1.3980168850927699</v>
      </c>
      <c r="R1532">
        <v>0.36125722339119998</v>
      </c>
      <c r="S1532" t="s">
        <v>8338</v>
      </c>
      <c r="T1532" t="s">
        <v>13610</v>
      </c>
      <c r="U1532" t="s">
        <v>13610</v>
      </c>
      <c r="V1532" t="s">
        <v>13610</v>
      </c>
      <c r="W1532" t="s">
        <v>15106</v>
      </c>
      <c r="X1532">
        <v>13</v>
      </c>
      <c r="Y1532" t="s">
        <v>21805</v>
      </c>
      <c r="Z1532" t="s">
        <v>28387</v>
      </c>
      <c r="AA1532">
        <v>1.067497525578432</v>
      </c>
      <c r="AB1532" t="str">
        <f>HYPERLINK("Melting_Curves/meltCurve_O75781_PALM.pdf", "Melting_Curves/meltCurve_O75781_PALM.pdf")</f>
        <v>Melting_Curves/meltCurve_O75781_PALM.pdf</v>
      </c>
    </row>
    <row r="1533" spans="1:28" x14ac:dyDescent="0.25">
      <c r="A1533" t="s">
        <v>1537</v>
      </c>
      <c r="B1533">
        <v>0.995954080203443</v>
      </c>
      <c r="C1533">
        <v>1.08439518684374</v>
      </c>
      <c r="D1533">
        <v>1.0777712110150699</v>
      </c>
      <c r="E1533">
        <v>0.86389201996008103</v>
      </c>
      <c r="F1533">
        <v>0.56370510190470402</v>
      </c>
      <c r="G1533">
        <v>0.32816418598167502</v>
      </c>
      <c r="H1533">
        <v>0.223820893132089</v>
      </c>
      <c r="I1533">
        <v>0.17589102916076399</v>
      </c>
      <c r="J1533">
        <v>0.20709060864423501</v>
      </c>
      <c r="K1533">
        <v>0.20493112819189399</v>
      </c>
      <c r="L1533">
        <v>1485.68853332919</v>
      </c>
      <c r="M1533">
        <v>28.123028565026399</v>
      </c>
      <c r="N1533">
        <v>53.8188083993738</v>
      </c>
      <c r="O1533">
        <v>52.563237611402698</v>
      </c>
      <c r="P1533">
        <v>-0.106734412009397</v>
      </c>
      <c r="Q1533">
        <v>0.202040586539453</v>
      </c>
      <c r="R1533">
        <v>0.98695778908073295</v>
      </c>
      <c r="S1533" t="s">
        <v>8339</v>
      </c>
      <c r="T1533" t="s">
        <v>13610</v>
      </c>
      <c r="U1533" t="s">
        <v>13610</v>
      </c>
      <c r="V1533" t="s">
        <v>13610</v>
      </c>
      <c r="W1533" t="s">
        <v>15107</v>
      </c>
      <c r="X1533">
        <v>5</v>
      </c>
      <c r="Y1533" t="s">
        <v>20409</v>
      </c>
      <c r="Z1533" t="s">
        <v>28388</v>
      </c>
      <c r="AA1533">
        <v>0.54910935681932527</v>
      </c>
      <c r="AB1533" t="str">
        <f>HYPERLINK("Melting_Curves/meltCurve_O75791_GRAP2.pdf", "Melting_Curves/meltCurve_O75791_GRAP2.pdf")</f>
        <v>Melting_Curves/meltCurve_O75791_GRAP2.pdf</v>
      </c>
    </row>
    <row r="1534" spans="1:28" x14ac:dyDescent="0.25">
      <c r="A1534" t="s">
        <v>1538</v>
      </c>
      <c r="B1534">
        <v>0.995954080203443</v>
      </c>
      <c r="C1534">
        <v>1.0128674024032001</v>
      </c>
      <c r="D1534">
        <v>0.934640952826298</v>
      </c>
      <c r="E1534">
        <v>0.74324806336645699</v>
      </c>
      <c r="F1534">
        <v>0.493755170553689</v>
      </c>
      <c r="G1534">
        <v>0.16927663127833301</v>
      </c>
      <c r="H1534">
        <v>7.4474742611532099E-2</v>
      </c>
      <c r="I1534">
        <v>6.4569219462556601E-2</v>
      </c>
      <c r="J1534">
        <v>7.2334284997644299E-2</v>
      </c>
      <c r="K1534">
        <v>6.9243147429131999E-2</v>
      </c>
      <c r="L1534">
        <v>1148.6718871601499</v>
      </c>
      <c r="M1534">
        <v>21.915968312334599</v>
      </c>
      <c r="N1534">
        <v>52.670232866065099</v>
      </c>
      <c r="O1534">
        <v>51.982028287811403</v>
      </c>
      <c r="P1534">
        <v>-0.100045357442611</v>
      </c>
      <c r="Q1534">
        <v>5.0839525193502003E-2</v>
      </c>
      <c r="R1534">
        <v>0.99818999276072695</v>
      </c>
      <c r="S1534" t="s">
        <v>8340</v>
      </c>
      <c r="T1534" t="s">
        <v>13610</v>
      </c>
      <c r="U1534" t="s">
        <v>13610</v>
      </c>
      <c r="V1534" t="s">
        <v>13610</v>
      </c>
      <c r="W1534" t="s">
        <v>15108</v>
      </c>
      <c r="X1534">
        <v>14</v>
      </c>
      <c r="Y1534" t="s">
        <v>21806</v>
      </c>
      <c r="Z1534" t="s">
        <v>28389</v>
      </c>
      <c r="AA1534">
        <v>0.45468131883234081</v>
      </c>
      <c r="AB1534" t="str">
        <f>HYPERLINK("Melting_Curves/meltCurve_O75792_RNASEH2A.pdf", "Melting_Curves/meltCurve_O75792_RNASEH2A.pdf")</f>
        <v>Melting_Curves/meltCurve_O75792_RNASEH2A.pdf</v>
      </c>
    </row>
    <row r="1535" spans="1:28" x14ac:dyDescent="0.25">
      <c r="A1535" t="s">
        <v>1539</v>
      </c>
      <c r="B1535">
        <v>0.995954080203443</v>
      </c>
      <c r="C1535">
        <v>0.85967355214727803</v>
      </c>
      <c r="D1535">
        <v>0.65140485813541404</v>
      </c>
      <c r="E1535">
        <v>0.49963376362186002</v>
      </c>
      <c r="F1535">
        <v>0.31011521797330999</v>
      </c>
      <c r="G1535">
        <v>0.169183634060733</v>
      </c>
      <c r="H1535">
        <v>0.121470274817056</v>
      </c>
      <c r="I1535">
        <v>0.123945139032984</v>
      </c>
      <c r="J1535">
        <v>0.14887504872497301</v>
      </c>
      <c r="K1535">
        <v>0.14303231831570601</v>
      </c>
      <c r="L1535">
        <v>669.94414551811997</v>
      </c>
      <c r="M1535">
        <v>13.887403100896501</v>
      </c>
      <c r="N1535">
        <v>49.090097918477099</v>
      </c>
      <c r="O1535">
        <v>47.273863853454401</v>
      </c>
      <c r="P1535">
        <v>-6.5610207394104406E-2</v>
      </c>
      <c r="Q1535">
        <v>0.106751832371153</v>
      </c>
      <c r="R1535">
        <v>0.98938038913697901</v>
      </c>
      <c r="S1535" t="s">
        <v>8341</v>
      </c>
      <c r="T1535" t="s">
        <v>13610</v>
      </c>
      <c r="U1535" t="s">
        <v>13610</v>
      </c>
      <c r="V1535" t="s">
        <v>13610</v>
      </c>
      <c r="W1535" t="s">
        <v>15109</v>
      </c>
      <c r="X1535">
        <v>8</v>
      </c>
      <c r="Y1535" t="s">
        <v>21807</v>
      </c>
      <c r="Z1535" t="s">
        <v>28390</v>
      </c>
      <c r="AA1535">
        <v>0.37850227356560778</v>
      </c>
      <c r="AB1535" t="str">
        <f>HYPERLINK("Melting_Curves/meltCurve_O75794_CDC123.pdf", "Melting_Curves/meltCurve_O75794_CDC123.pdf")</f>
        <v>Melting_Curves/meltCurve_O75794_CDC123.pdf</v>
      </c>
    </row>
    <row r="1536" spans="1:28" x14ac:dyDescent="0.25">
      <c r="A1536" t="s">
        <v>1540</v>
      </c>
      <c r="B1536">
        <v>0.995954080203443</v>
      </c>
      <c r="C1536">
        <v>0.98522139207589998</v>
      </c>
      <c r="D1536">
        <v>0.92404881837324004</v>
      </c>
      <c r="E1536">
        <v>0.69604563156969701</v>
      </c>
      <c r="F1536">
        <v>0.44108398616716499</v>
      </c>
      <c r="G1536">
        <v>0.296759419886167</v>
      </c>
      <c r="H1536">
        <v>0.22583975875176199</v>
      </c>
      <c r="I1536">
        <v>0.250379046672491</v>
      </c>
      <c r="J1536">
        <v>0.303759103456329</v>
      </c>
      <c r="K1536">
        <v>0.28780577729173901</v>
      </c>
      <c r="L1536">
        <v>1275.26713763936</v>
      </c>
      <c r="M1536">
        <v>25.204087316169002</v>
      </c>
      <c r="N1536">
        <v>52.1355394986915</v>
      </c>
      <c r="O1536">
        <v>50.282334027437898</v>
      </c>
      <c r="P1536">
        <v>-9.24477791634052E-2</v>
      </c>
      <c r="Q1536">
        <v>0.262273689067195</v>
      </c>
      <c r="R1536">
        <v>0.99447840763735496</v>
      </c>
      <c r="S1536" t="s">
        <v>8342</v>
      </c>
      <c r="T1536" t="s">
        <v>13610</v>
      </c>
      <c r="U1536" t="s">
        <v>13610</v>
      </c>
      <c r="V1536" t="s">
        <v>13610</v>
      </c>
      <c r="W1536" t="s">
        <v>15110</v>
      </c>
      <c r="X1536">
        <v>9</v>
      </c>
      <c r="Y1536" t="s">
        <v>21808</v>
      </c>
      <c r="Z1536" t="s">
        <v>28391</v>
      </c>
      <c r="AA1536">
        <v>0.52940789432015678</v>
      </c>
      <c r="AB1536" t="str">
        <f>HYPERLINK("Melting_Curves/meltCurve_O75808_SOLH.pdf", "Melting_Curves/meltCurve_O75808_SOLH.pdf")</f>
        <v>Melting_Curves/meltCurve_O75808_SOLH.pdf</v>
      </c>
    </row>
    <row r="1537" spans="1:28" x14ac:dyDescent="0.25">
      <c r="A1537" t="s">
        <v>1541</v>
      </c>
      <c r="B1537">
        <v>0.995954080203443</v>
      </c>
      <c r="C1537">
        <v>0.87847909972326299</v>
      </c>
      <c r="D1537">
        <v>0.77601616085064595</v>
      </c>
      <c r="E1537">
        <v>0.82929359828715798</v>
      </c>
      <c r="F1537">
        <v>0.69126435038814005</v>
      </c>
      <c r="G1537">
        <v>0.53866385774508696</v>
      </c>
      <c r="H1537">
        <v>0.35982550330755603</v>
      </c>
      <c r="I1537">
        <v>0.33421402536920602</v>
      </c>
      <c r="J1537">
        <v>0.29312699470156001</v>
      </c>
      <c r="K1537">
        <v>0.26131324188058502</v>
      </c>
      <c r="L1537">
        <v>402.91812592406302</v>
      </c>
      <c r="M1537">
        <v>6.9544843782523502</v>
      </c>
      <c r="N1537">
        <v>58.070873258197601</v>
      </c>
      <c r="O1537">
        <v>53.715577108185997</v>
      </c>
      <c r="P1537">
        <v>-3.2169644717892E-2</v>
      </c>
      <c r="Q1537">
        <v>7.9862094507540202E-3</v>
      </c>
      <c r="R1537">
        <v>0.96813132965773296</v>
      </c>
      <c r="S1537" t="s">
        <v>8343</v>
      </c>
      <c r="T1537" t="s">
        <v>13610</v>
      </c>
      <c r="U1537" t="s">
        <v>13610</v>
      </c>
      <c r="V1537" t="s">
        <v>13610</v>
      </c>
      <c r="W1537" t="s">
        <v>15111</v>
      </c>
      <c r="X1537">
        <v>7</v>
      </c>
      <c r="Y1537" t="s">
        <v>21809</v>
      </c>
      <c r="Z1537" t="s">
        <v>28392</v>
      </c>
      <c r="AA1537">
        <v>0.59990342886572678</v>
      </c>
      <c r="AB1537" t="str">
        <f>HYPERLINK("Melting_Curves/meltCurve_O75818_2_RPP40.pdf", "Melting_Curves/meltCurve_O75818_2_RPP40.pdf")</f>
        <v>Melting_Curves/meltCurve_O75818_2_RPP40.pdf</v>
      </c>
    </row>
    <row r="1538" spans="1:28" x14ac:dyDescent="0.25">
      <c r="A1538" t="s">
        <v>1542</v>
      </c>
      <c r="B1538">
        <v>0.995954080203443</v>
      </c>
      <c r="C1538">
        <v>0.94192169632256595</v>
      </c>
      <c r="D1538">
        <v>0.87575191798916996</v>
      </c>
      <c r="E1538">
        <v>0.73161814030390104</v>
      </c>
      <c r="F1538">
        <v>0.49359254440090899</v>
      </c>
      <c r="G1538">
        <v>0.297626880088524</v>
      </c>
      <c r="H1538">
        <v>0.214311811254704</v>
      </c>
      <c r="I1538">
        <v>0.220562767303186</v>
      </c>
      <c r="J1538">
        <v>0.25502733882073703</v>
      </c>
      <c r="K1538">
        <v>0.25414082038166302</v>
      </c>
      <c r="L1538">
        <v>961.87311668916402</v>
      </c>
      <c r="M1538">
        <v>18.773334217522802</v>
      </c>
      <c r="N1538">
        <v>52.8373752906747</v>
      </c>
      <c r="O1538">
        <v>50.6653968272743</v>
      </c>
      <c r="P1538">
        <v>-7.2541532236581205E-2</v>
      </c>
      <c r="Q1538">
        <v>0.21693357828224</v>
      </c>
      <c r="R1538">
        <v>0.99110874934610704</v>
      </c>
      <c r="S1538" t="s">
        <v>8344</v>
      </c>
      <c r="T1538" t="s">
        <v>13610</v>
      </c>
      <c r="U1538" t="s">
        <v>13610</v>
      </c>
      <c r="V1538" t="s">
        <v>13610</v>
      </c>
      <c r="W1538" t="s">
        <v>15112</v>
      </c>
      <c r="X1538">
        <v>17</v>
      </c>
      <c r="Y1538" t="s">
        <v>21810</v>
      </c>
      <c r="Z1538" t="s">
        <v>28393</v>
      </c>
      <c r="AA1538">
        <v>0.52242160981186858</v>
      </c>
      <c r="AB1538" t="str">
        <f>HYPERLINK("Melting_Curves/meltCurve_O75821_EIF3G.pdf", "Melting_Curves/meltCurve_O75821_EIF3G.pdf")</f>
        <v>Melting_Curves/meltCurve_O75821_EIF3G.pdf</v>
      </c>
    </row>
    <row r="1539" spans="1:28" x14ac:dyDescent="0.25">
      <c r="A1539" t="s">
        <v>1543</v>
      </c>
      <c r="B1539">
        <v>0.995954080203443</v>
      </c>
      <c r="C1539">
        <v>1.04744668094336</v>
      </c>
      <c r="D1539">
        <v>1.09862575009535</v>
      </c>
      <c r="E1539">
        <v>0.97655229439314395</v>
      </c>
      <c r="F1539">
        <v>0.74442071999441195</v>
      </c>
      <c r="G1539">
        <v>0.28121345193896302</v>
      </c>
      <c r="H1539">
        <v>0.13845401714804101</v>
      </c>
      <c r="I1539">
        <v>0.118033654462433</v>
      </c>
      <c r="J1539">
        <v>0.119560284228487</v>
      </c>
      <c r="K1539">
        <v>0.126438796788268</v>
      </c>
      <c r="L1539">
        <v>1887.51347486399</v>
      </c>
      <c r="M1539">
        <v>34.669176534582498</v>
      </c>
      <c r="N1539">
        <v>54.877881439121097</v>
      </c>
      <c r="O1539">
        <v>54.263356585637403</v>
      </c>
      <c r="P1539">
        <v>-0.140562769951388</v>
      </c>
      <c r="Q1539">
        <v>0.119981099271495</v>
      </c>
      <c r="R1539">
        <v>0.99273555700581095</v>
      </c>
      <c r="S1539" t="s">
        <v>8345</v>
      </c>
      <c r="T1539" t="s">
        <v>13610</v>
      </c>
      <c r="U1539" t="s">
        <v>13610</v>
      </c>
      <c r="V1539" t="s">
        <v>13610</v>
      </c>
      <c r="W1539" t="s">
        <v>13779</v>
      </c>
      <c r="X1539">
        <v>18</v>
      </c>
      <c r="Y1539" t="s">
        <v>20501</v>
      </c>
      <c r="Z1539" t="s">
        <v>28394</v>
      </c>
      <c r="AA1539">
        <v>0.5480538254534103</v>
      </c>
      <c r="AB1539" t="str">
        <f>HYPERLINK("Melting_Curves/meltCurve_O75822_EIF3J.pdf", "Melting_Curves/meltCurve_O75822_EIF3J.pdf")</f>
        <v>Melting_Curves/meltCurve_O75822_EIF3J.pdf</v>
      </c>
    </row>
    <row r="1540" spans="1:28" x14ac:dyDescent="0.25">
      <c r="A1540" t="s">
        <v>1544</v>
      </c>
      <c r="B1540">
        <v>0.995954080203443</v>
      </c>
      <c r="C1540">
        <v>1.1404218297575499</v>
      </c>
      <c r="D1540">
        <v>1.16436158561423</v>
      </c>
      <c r="E1540">
        <v>0.98735343951125698</v>
      </c>
      <c r="F1540">
        <v>0.66355233696750704</v>
      </c>
      <c r="G1540">
        <v>0.11325137133209499</v>
      </c>
      <c r="H1540">
        <v>3.7857211998826801E-2</v>
      </c>
      <c r="I1540">
        <v>3.6848404375322802E-2</v>
      </c>
      <c r="J1540">
        <v>2.5141231022729599E-2</v>
      </c>
      <c r="K1540">
        <v>2.14020710436757E-2</v>
      </c>
      <c r="L1540">
        <v>2399.68538640006</v>
      </c>
      <c r="M1540">
        <v>44.616646214690903</v>
      </c>
      <c r="N1540">
        <v>53.861320772540999</v>
      </c>
      <c r="O1540">
        <v>53.6768169841828</v>
      </c>
      <c r="P1540">
        <v>-0.20139995996802601</v>
      </c>
      <c r="Q1540">
        <v>3.08106767525731E-2</v>
      </c>
      <c r="R1540">
        <v>0.98009152103873698</v>
      </c>
      <c r="S1540" t="s">
        <v>8346</v>
      </c>
      <c r="T1540" t="s">
        <v>13610</v>
      </c>
      <c r="U1540" t="s">
        <v>13610</v>
      </c>
      <c r="V1540" t="s">
        <v>13610</v>
      </c>
      <c r="W1540" t="s">
        <v>15113</v>
      </c>
      <c r="X1540">
        <v>4</v>
      </c>
      <c r="Y1540" t="s">
        <v>21811</v>
      </c>
      <c r="Z1540" t="s">
        <v>28395</v>
      </c>
      <c r="AA1540">
        <v>0.47902763162151868</v>
      </c>
      <c r="AB1540" t="str">
        <f>HYPERLINK("Melting_Curves/meltCurve_O75828_CBR3.pdf", "Melting_Curves/meltCurve_O75828_CBR3.pdf")</f>
        <v>Melting_Curves/meltCurve_O75828_CBR3.pdf</v>
      </c>
    </row>
    <row r="1541" spans="1:28" x14ac:dyDescent="0.25">
      <c r="A1541" t="s">
        <v>1545</v>
      </c>
      <c r="B1541">
        <v>0.995954080203443</v>
      </c>
      <c r="C1541">
        <v>0.94613174537031897</v>
      </c>
      <c r="D1541">
        <v>0.69099990808558898</v>
      </c>
      <c r="E1541">
        <v>0.52313132848718402</v>
      </c>
      <c r="F1541">
        <v>0.29372642951096001</v>
      </c>
      <c r="G1541">
        <v>0.18806108377254499</v>
      </c>
      <c r="H1541">
        <v>0.123557101711062</v>
      </c>
      <c r="I1541">
        <v>0.109013699896941</v>
      </c>
      <c r="J1541">
        <v>0.16139972237632899</v>
      </c>
      <c r="K1541">
        <v>0.122135194666317</v>
      </c>
      <c r="L1541">
        <v>767.79642373798094</v>
      </c>
      <c r="M1541">
        <v>15.7326929143511</v>
      </c>
      <c r="N1541">
        <v>49.586155378491803</v>
      </c>
      <c r="O1541">
        <v>48.034538510731799</v>
      </c>
      <c r="P1541">
        <v>-7.2876694632355604E-2</v>
      </c>
      <c r="Q1541">
        <v>0.110055712013589</v>
      </c>
      <c r="R1541">
        <v>0.989781091979684</v>
      </c>
      <c r="S1541" t="s">
        <v>8347</v>
      </c>
      <c r="T1541" t="s">
        <v>13610</v>
      </c>
      <c r="U1541" t="s">
        <v>13610</v>
      </c>
      <c r="V1541" t="s">
        <v>13610</v>
      </c>
      <c r="W1541" t="s">
        <v>15114</v>
      </c>
      <c r="X1541">
        <v>8</v>
      </c>
      <c r="Y1541" t="s">
        <v>21812</v>
      </c>
      <c r="Z1541" t="s">
        <v>28396</v>
      </c>
      <c r="AA1541">
        <v>0.39137760639743019</v>
      </c>
      <c r="AB1541" t="str">
        <f>HYPERLINK("Melting_Curves/meltCurve_O75843_AP1G2.pdf", "Melting_Curves/meltCurve_O75843_AP1G2.pdf")</f>
        <v>Melting_Curves/meltCurve_O75843_AP1G2.pdf</v>
      </c>
    </row>
    <row r="1542" spans="1:28" x14ac:dyDescent="0.25">
      <c r="A1542" t="s">
        <v>1546</v>
      </c>
      <c r="B1542">
        <v>0.995954080203443</v>
      </c>
      <c r="C1542">
        <v>1.0666386096625899</v>
      </c>
      <c r="D1542">
        <v>0.88615818767491406</v>
      </c>
      <c r="E1542">
        <v>1.00802605655572</v>
      </c>
      <c r="F1542">
        <v>0.35805392124443097</v>
      </c>
      <c r="G1542">
        <v>0.12387298354901299</v>
      </c>
      <c r="H1542">
        <v>8.0719574630876298E-2</v>
      </c>
      <c r="I1542">
        <v>7.3012109577082998E-2</v>
      </c>
      <c r="J1542">
        <v>9.1819691485813495E-2</v>
      </c>
      <c r="K1542">
        <v>8.1006525796628898E-2</v>
      </c>
      <c r="L1542">
        <v>13203.697212559</v>
      </c>
      <c r="M1542">
        <v>250</v>
      </c>
      <c r="N1542">
        <v>52.856784821156701</v>
      </c>
      <c r="O1542">
        <v>52.8113998060375</v>
      </c>
      <c r="P1542">
        <v>-1.0768433437166101</v>
      </c>
      <c r="Q1542">
        <v>9.0086171634953097E-2</v>
      </c>
      <c r="R1542">
        <v>0.98957325953347997</v>
      </c>
      <c r="S1542" t="s">
        <v>8348</v>
      </c>
      <c r="T1542" t="s">
        <v>13610</v>
      </c>
      <c r="U1542" t="s">
        <v>13610</v>
      </c>
      <c r="V1542" t="s">
        <v>13610</v>
      </c>
      <c r="W1542" t="s">
        <v>15115</v>
      </c>
      <c r="X1542">
        <v>5</v>
      </c>
      <c r="Y1542" t="s">
        <v>21813</v>
      </c>
      <c r="Z1542" t="s">
        <v>28397</v>
      </c>
      <c r="AA1542">
        <v>0.47884896350524259</v>
      </c>
      <c r="AB1542" t="str">
        <f>HYPERLINK("Melting_Curves/meltCurve_O75844_ZMPSTE24.pdf", "Melting_Curves/meltCurve_O75844_ZMPSTE24.pdf")</f>
        <v>Melting_Curves/meltCurve_O75844_ZMPSTE24.pdf</v>
      </c>
    </row>
    <row r="1543" spans="1:28" x14ac:dyDescent="0.25">
      <c r="A1543" t="s">
        <v>1547</v>
      </c>
      <c r="B1543">
        <v>0.995954080203443</v>
      </c>
      <c r="C1543">
        <v>0.85150493972622698</v>
      </c>
      <c r="D1543">
        <v>0.96165436702576801</v>
      </c>
      <c r="E1543">
        <v>0.84037757417995596</v>
      </c>
      <c r="F1543">
        <v>0.65345542783712995</v>
      </c>
      <c r="G1543">
        <v>0.53620359098241599</v>
      </c>
      <c r="H1543">
        <v>0.470490162683947</v>
      </c>
      <c r="I1543">
        <v>0.56428871376418199</v>
      </c>
      <c r="J1543">
        <v>0.68868128111179205</v>
      </c>
      <c r="K1543">
        <v>0.67469156370514805</v>
      </c>
      <c r="L1543">
        <v>1913.75258496726</v>
      </c>
      <c r="M1543">
        <v>37.857993103259801</v>
      </c>
      <c r="O1543">
        <v>50.410396741377802</v>
      </c>
      <c r="P1543">
        <v>-7.7563716775377198E-2</v>
      </c>
      <c r="Q1543">
        <v>0.58687644960549601</v>
      </c>
      <c r="R1543">
        <v>0.80183613395936904</v>
      </c>
      <c r="S1543" t="s">
        <v>8349</v>
      </c>
      <c r="T1543" t="s">
        <v>13610</v>
      </c>
      <c r="U1543" t="s">
        <v>13610</v>
      </c>
      <c r="V1543" t="s">
        <v>13610</v>
      </c>
      <c r="W1543" t="s">
        <v>15116</v>
      </c>
      <c r="X1543">
        <v>1</v>
      </c>
      <c r="Y1543" t="s">
        <v>21814</v>
      </c>
      <c r="Z1543" t="s">
        <v>28398</v>
      </c>
      <c r="AA1543">
        <v>0.7337826545689039</v>
      </c>
      <c r="AB1543" t="str">
        <f>HYPERLINK("Melting_Curves/meltCurve_O75864_2_PPP1R37.pdf", "Melting_Curves/meltCurve_O75864_2_PPP1R37.pdf")</f>
        <v>Melting_Curves/meltCurve_O75864_2_PPP1R37.pdf</v>
      </c>
    </row>
    <row r="1544" spans="1:28" x14ac:dyDescent="0.25">
      <c r="A1544" t="s">
        <v>1548</v>
      </c>
      <c r="B1544">
        <v>0.995954080203443</v>
      </c>
      <c r="C1544">
        <v>0.90989613881376097</v>
      </c>
      <c r="D1544">
        <v>0.70654861686835502</v>
      </c>
      <c r="E1544">
        <v>0.50671227993993595</v>
      </c>
      <c r="F1544">
        <v>0.188360724479856</v>
      </c>
      <c r="G1544">
        <v>8.0120530744625301E-2</v>
      </c>
      <c r="H1544">
        <v>4.6365821383691899E-2</v>
      </c>
      <c r="I1544">
        <v>2.5003460431871901E-2</v>
      </c>
      <c r="J1544">
        <v>2.7716005847231402E-2</v>
      </c>
      <c r="K1544">
        <v>1.8833901840405499E-2</v>
      </c>
      <c r="L1544">
        <v>791.71575728026096</v>
      </c>
      <c r="M1544">
        <v>16.111405159212101</v>
      </c>
      <c r="N1544">
        <v>49.1516396714579</v>
      </c>
      <c r="O1544">
        <v>48.401737271260501</v>
      </c>
      <c r="P1544">
        <v>-8.3066053437185094E-2</v>
      </c>
      <c r="Q1544">
        <v>1.8910039524203E-3</v>
      </c>
      <c r="R1544">
        <v>0.99212345295790805</v>
      </c>
      <c r="S1544" t="s">
        <v>8350</v>
      </c>
      <c r="T1544" t="s">
        <v>13610</v>
      </c>
      <c r="U1544" t="s">
        <v>13610</v>
      </c>
      <c r="V1544" t="s">
        <v>13610</v>
      </c>
      <c r="W1544" t="s">
        <v>15117</v>
      </c>
      <c r="X1544">
        <v>3</v>
      </c>
      <c r="Y1544" t="s">
        <v>21815</v>
      </c>
      <c r="Z1544" t="s">
        <v>28399</v>
      </c>
      <c r="AA1544">
        <v>0.32739075058760481</v>
      </c>
      <c r="AB1544" t="str">
        <f>HYPERLINK("Melting_Curves/meltCurve_O75865_2_TRAPPC6A.pdf", "Melting_Curves/meltCurve_O75865_2_TRAPPC6A.pdf")</f>
        <v>Melting_Curves/meltCurve_O75865_2_TRAPPC6A.pdf</v>
      </c>
    </row>
    <row r="1545" spans="1:28" x14ac:dyDescent="0.25">
      <c r="A1545" t="s">
        <v>1549</v>
      </c>
      <c r="B1545">
        <v>0.995954080203443</v>
      </c>
      <c r="C1545">
        <v>1.00865709358925</v>
      </c>
      <c r="D1545">
        <v>0.92675551289416602</v>
      </c>
      <c r="E1545">
        <v>0.68872834495056101</v>
      </c>
      <c r="F1545">
        <v>0.12451224752475901</v>
      </c>
      <c r="G1545">
        <v>7.5482579486427906E-2</v>
      </c>
      <c r="H1545">
        <v>4.9812308375265603E-2</v>
      </c>
      <c r="I1545">
        <v>4.53939492032467E-2</v>
      </c>
      <c r="J1545">
        <v>5.31126048698966E-2</v>
      </c>
      <c r="K1545">
        <v>4.7189623576389901E-2</v>
      </c>
      <c r="L1545">
        <v>2730.17115821676</v>
      </c>
      <c r="M1545">
        <v>53.905937803126498</v>
      </c>
      <c r="N1545">
        <v>50.751478959005802</v>
      </c>
      <c r="O1545">
        <v>50.5773927027141</v>
      </c>
      <c r="P1545">
        <v>-0.25245311179809299</v>
      </c>
      <c r="Q1545">
        <v>5.2541391810404098E-2</v>
      </c>
      <c r="R1545">
        <v>0.99690066964464596</v>
      </c>
      <c r="S1545" t="s">
        <v>8351</v>
      </c>
      <c r="T1545" t="s">
        <v>13610</v>
      </c>
      <c r="U1545" t="s">
        <v>13610</v>
      </c>
      <c r="V1545" t="s">
        <v>13610</v>
      </c>
      <c r="W1545" t="s">
        <v>15118</v>
      </c>
      <c r="X1545">
        <v>25</v>
      </c>
      <c r="Y1545" t="s">
        <v>21816</v>
      </c>
      <c r="Z1545" t="s">
        <v>28400</v>
      </c>
      <c r="AA1545">
        <v>0.3906123767858794</v>
      </c>
      <c r="AB1545" t="str">
        <f>HYPERLINK("Melting_Curves/meltCurve_O75874_IDH1.pdf", "Melting_Curves/meltCurve_O75874_IDH1.pdf")</f>
        <v>Melting_Curves/meltCurve_O75874_IDH1.pdf</v>
      </c>
    </row>
    <row r="1546" spans="1:28" x14ac:dyDescent="0.25">
      <c r="A1546" t="s">
        <v>1550</v>
      </c>
      <c r="B1546">
        <v>0.995954080203443</v>
      </c>
      <c r="C1546">
        <v>0.97013631035575898</v>
      </c>
      <c r="D1546">
        <v>0.95475483542996897</v>
      </c>
      <c r="E1546">
        <v>0.77964012958806295</v>
      </c>
      <c r="F1546">
        <v>0.70508704536257205</v>
      </c>
      <c r="G1546">
        <v>0.17891538385554601</v>
      </c>
      <c r="H1546">
        <v>6.4639490844229694E-2</v>
      </c>
      <c r="I1546">
        <v>5.4689524887583503E-2</v>
      </c>
      <c r="J1546">
        <v>5.5636124130710202E-2</v>
      </c>
      <c r="K1546">
        <v>5.06126728998888E-2</v>
      </c>
      <c r="L1546">
        <v>1313.87026607341</v>
      </c>
      <c r="M1546">
        <v>24.3653964952689</v>
      </c>
      <c r="N1546">
        <v>54.058443293683702</v>
      </c>
      <c r="O1546">
        <v>53.564324297693901</v>
      </c>
      <c r="P1546">
        <v>-0.11036961130192199</v>
      </c>
      <c r="Q1546">
        <v>2.9478508238629301E-2</v>
      </c>
      <c r="R1546">
        <v>0.98637928712386502</v>
      </c>
      <c r="S1546" t="s">
        <v>8352</v>
      </c>
      <c r="T1546" t="s">
        <v>13610</v>
      </c>
      <c r="U1546" t="s">
        <v>13610</v>
      </c>
      <c r="V1546" t="s">
        <v>13610</v>
      </c>
      <c r="W1546" t="s">
        <v>15119</v>
      </c>
      <c r="X1546">
        <v>7</v>
      </c>
      <c r="Y1546" t="s">
        <v>21817</v>
      </c>
      <c r="Z1546" t="s">
        <v>28401</v>
      </c>
      <c r="AA1546">
        <v>0.48932558966276368</v>
      </c>
      <c r="AB1546" t="str">
        <f>HYPERLINK("Melting_Curves/meltCurve_O75884_RBBP9.pdf", "Melting_Curves/meltCurve_O75884_RBBP9.pdf")</f>
        <v>Melting_Curves/meltCurve_O75884_RBBP9.pdf</v>
      </c>
    </row>
    <row r="1547" spans="1:28" x14ac:dyDescent="0.25">
      <c r="A1547" t="s">
        <v>1551</v>
      </c>
      <c r="B1547">
        <v>0.995954080203443</v>
      </c>
      <c r="C1547">
        <v>1.0016329704876901</v>
      </c>
      <c r="D1547">
        <v>0.95642916108298703</v>
      </c>
      <c r="E1547">
        <v>0.83758557976328096</v>
      </c>
      <c r="F1547">
        <v>0.64043666073740901</v>
      </c>
      <c r="G1547">
        <v>0.227344639431838</v>
      </c>
      <c r="H1547">
        <v>0.120612650182243</v>
      </c>
      <c r="I1547">
        <v>0.12352906601623601</v>
      </c>
      <c r="J1547">
        <v>0.13681519804628001</v>
      </c>
      <c r="K1547">
        <v>0.12356944580111701</v>
      </c>
      <c r="L1547">
        <v>1406.6756869009</v>
      </c>
      <c r="M1547">
        <v>26.326215416085301</v>
      </c>
      <c r="N1547">
        <v>53.946266375953002</v>
      </c>
      <c r="O1547">
        <v>53.127081651948103</v>
      </c>
      <c r="P1547">
        <v>-0.110148417064713</v>
      </c>
      <c r="Q1547">
        <v>0.110879057334391</v>
      </c>
      <c r="R1547">
        <v>0.99618026633458701</v>
      </c>
      <c r="S1547" t="s">
        <v>8353</v>
      </c>
      <c r="T1547" t="s">
        <v>13610</v>
      </c>
      <c r="U1547" t="s">
        <v>13610</v>
      </c>
      <c r="V1547" t="s">
        <v>13610</v>
      </c>
      <c r="W1547" t="s">
        <v>15120</v>
      </c>
      <c r="X1547">
        <v>8</v>
      </c>
      <c r="Y1547" t="s">
        <v>21818</v>
      </c>
      <c r="Z1547" t="s">
        <v>28402</v>
      </c>
      <c r="AA1547">
        <v>0.51643508183721987</v>
      </c>
      <c r="AB1547" t="str">
        <f>HYPERLINK("Melting_Curves/meltCurve_O75886_STAM2.pdf", "Melting_Curves/meltCurve_O75886_STAM2.pdf")</f>
        <v>Melting_Curves/meltCurve_O75886_STAM2.pdf</v>
      </c>
    </row>
    <row r="1548" spans="1:28" x14ac:dyDescent="0.25">
      <c r="A1548" t="s">
        <v>1552</v>
      </c>
      <c r="B1548">
        <v>0.995954080203443</v>
      </c>
      <c r="C1548">
        <v>1.01418637810728</v>
      </c>
      <c r="D1548">
        <v>0.945967432838139</v>
      </c>
      <c r="E1548">
        <v>0.85492745058142805</v>
      </c>
      <c r="F1548">
        <v>0.54696302911289596</v>
      </c>
      <c r="G1548">
        <v>0.20891346740766201</v>
      </c>
      <c r="H1548">
        <v>0.150247307841434</v>
      </c>
      <c r="I1548">
        <v>0.13527217723249299</v>
      </c>
      <c r="J1548">
        <v>0.15421909482462201</v>
      </c>
      <c r="K1548">
        <v>0.13716191377904799</v>
      </c>
      <c r="L1548">
        <v>1547.71670917453</v>
      </c>
      <c r="M1548">
        <v>29.339556497811699</v>
      </c>
      <c r="N1548">
        <v>53.329407416137698</v>
      </c>
      <c r="O1548">
        <v>52.508634954948903</v>
      </c>
      <c r="P1548">
        <v>-0.120678215192347</v>
      </c>
      <c r="Q1548">
        <v>0.13610105119365301</v>
      </c>
      <c r="R1548">
        <v>0.99814432327512703</v>
      </c>
      <c r="S1548" t="s">
        <v>8354</v>
      </c>
      <c r="T1548" t="s">
        <v>13610</v>
      </c>
      <c r="U1548" t="s">
        <v>13610</v>
      </c>
      <c r="V1548" t="s">
        <v>13610</v>
      </c>
      <c r="W1548" t="s">
        <v>15121</v>
      </c>
      <c r="X1548">
        <v>10</v>
      </c>
      <c r="Y1548" t="s">
        <v>21819</v>
      </c>
      <c r="Z1548" t="s">
        <v>28403</v>
      </c>
      <c r="AA1548">
        <v>0.50914406004442225</v>
      </c>
      <c r="AB1548" t="str">
        <f>HYPERLINK("Melting_Curves/meltCurve_O75909_CCNK.pdf", "Melting_Curves/meltCurve_O75909_CCNK.pdf")</f>
        <v>Melting_Curves/meltCurve_O75909_CCNK.pdf</v>
      </c>
    </row>
    <row r="1549" spans="1:28" x14ac:dyDescent="0.25">
      <c r="A1549" t="s">
        <v>1553</v>
      </c>
      <c r="B1549">
        <v>0.995954080203443</v>
      </c>
      <c r="C1549">
        <v>0.81152937653122603</v>
      </c>
      <c r="D1549">
        <v>0.70726036591421804</v>
      </c>
      <c r="E1549">
        <v>0.60382424542344504</v>
      </c>
      <c r="F1549">
        <v>0.281169582214578</v>
      </c>
      <c r="G1549">
        <v>0.10660525890452099</v>
      </c>
      <c r="H1549">
        <v>9.1197502922848395E-2</v>
      </c>
      <c r="I1549">
        <v>9.4521730606321894E-2</v>
      </c>
      <c r="J1549">
        <v>0.106307482727835</v>
      </c>
      <c r="K1549">
        <v>7.2605794536192106E-2</v>
      </c>
      <c r="L1549">
        <v>646.73244583678195</v>
      </c>
      <c r="M1549">
        <v>13.0750198437034</v>
      </c>
      <c r="N1549">
        <v>49.7550515007757</v>
      </c>
      <c r="O1549">
        <v>48.349075536099797</v>
      </c>
      <c r="P1549">
        <v>-6.5123070322666302E-2</v>
      </c>
      <c r="Q1549">
        <v>3.6912697198914102E-2</v>
      </c>
      <c r="R1549">
        <v>0.97235619708997501</v>
      </c>
      <c r="S1549" t="s">
        <v>8355</v>
      </c>
      <c r="T1549" t="s">
        <v>13610</v>
      </c>
      <c r="U1549" t="s">
        <v>13610</v>
      </c>
      <c r="V1549" t="s">
        <v>13610</v>
      </c>
      <c r="W1549" t="s">
        <v>15122</v>
      </c>
      <c r="X1549">
        <v>2</v>
      </c>
      <c r="Y1549" t="s">
        <v>21820</v>
      </c>
      <c r="Z1549" t="s">
        <v>28404</v>
      </c>
      <c r="AA1549">
        <v>0.37053360726392448</v>
      </c>
      <c r="AB1549" t="str">
        <f>HYPERLINK("Melting_Curves/meltCurve_O75915_ARL6IP5.pdf", "Melting_Curves/meltCurve_O75915_ARL6IP5.pdf")</f>
        <v>Melting_Curves/meltCurve_O75915_ARL6IP5.pdf</v>
      </c>
    </row>
    <row r="1550" spans="1:28" x14ac:dyDescent="0.25">
      <c r="A1550" t="s">
        <v>1554</v>
      </c>
      <c r="B1550">
        <v>0.995954080203443</v>
      </c>
      <c r="C1550">
        <v>1.03233118492072</v>
      </c>
      <c r="D1550">
        <v>0.91815501975075997</v>
      </c>
      <c r="E1550">
        <v>0.70339749083348801</v>
      </c>
      <c r="F1550">
        <v>0.43341950596027401</v>
      </c>
      <c r="G1550">
        <v>0.249957781128507</v>
      </c>
      <c r="H1550">
        <v>0.16654999239951401</v>
      </c>
      <c r="I1550">
        <v>0.22888731747458099</v>
      </c>
      <c r="J1550">
        <v>0.21155428963436099</v>
      </c>
      <c r="K1550">
        <v>0.203181725627613</v>
      </c>
      <c r="L1550">
        <v>1236.31024800559</v>
      </c>
      <c r="M1550">
        <v>24.222931755386799</v>
      </c>
      <c r="N1550">
        <v>52.111006345910901</v>
      </c>
      <c r="O1550">
        <v>50.6948211178413</v>
      </c>
      <c r="P1550">
        <v>-9.6014040001438303E-2</v>
      </c>
      <c r="Q1550">
        <v>0.196242956796534</v>
      </c>
      <c r="R1550">
        <v>0.99529915678277503</v>
      </c>
      <c r="S1550" t="s">
        <v>8356</v>
      </c>
      <c r="T1550" t="s">
        <v>13610</v>
      </c>
      <c r="U1550" t="s">
        <v>13610</v>
      </c>
      <c r="V1550" t="s">
        <v>13610</v>
      </c>
      <c r="W1550" t="s">
        <v>15123</v>
      </c>
      <c r="X1550">
        <v>5</v>
      </c>
      <c r="Y1550" t="s">
        <v>21821</v>
      </c>
      <c r="Z1550" t="s">
        <v>28405</v>
      </c>
      <c r="AA1550">
        <v>0.49972258628933253</v>
      </c>
      <c r="AB1550" t="str">
        <f>HYPERLINK("Melting_Curves/meltCurve_O75925_PIAS1.pdf", "Melting_Curves/meltCurve_O75925_PIAS1.pdf")</f>
        <v>Melting_Curves/meltCurve_O75925_PIAS1.pdf</v>
      </c>
    </row>
    <row r="1551" spans="1:28" x14ac:dyDescent="0.25">
      <c r="A1551" t="s">
        <v>1555</v>
      </c>
      <c r="B1551">
        <v>0.995954080203443</v>
      </c>
      <c r="C1551">
        <v>1.05360184253585</v>
      </c>
      <c r="D1551">
        <v>0.91386392252926596</v>
      </c>
      <c r="E1551">
        <v>0.61029320613114302</v>
      </c>
      <c r="F1551">
        <v>0.264689532718897</v>
      </c>
      <c r="G1551">
        <v>0.125846882860775</v>
      </c>
      <c r="H1551">
        <v>5.9939523933668297E-2</v>
      </c>
      <c r="I1551">
        <v>4.8531512316090999E-2</v>
      </c>
      <c r="J1551">
        <v>4.8091363772967299E-2</v>
      </c>
      <c r="K1551">
        <v>4.6433403860282101E-2</v>
      </c>
      <c r="L1551">
        <v>1297.5434058405001</v>
      </c>
      <c r="M1551">
        <v>25.6256558030097</v>
      </c>
      <c r="N1551">
        <v>50.842569670868002</v>
      </c>
      <c r="O1551">
        <v>50.329222535417102</v>
      </c>
      <c r="P1551">
        <v>-0.120956488790662</v>
      </c>
      <c r="Q1551">
        <v>4.97694540697044E-2</v>
      </c>
      <c r="R1551">
        <v>0.99682264938403797</v>
      </c>
      <c r="S1551" t="s">
        <v>8357</v>
      </c>
      <c r="T1551" t="s">
        <v>13610</v>
      </c>
      <c r="U1551" t="s">
        <v>13610</v>
      </c>
      <c r="V1551" t="s">
        <v>13610</v>
      </c>
      <c r="W1551" t="s">
        <v>15124</v>
      </c>
      <c r="X1551">
        <v>5</v>
      </c>
      <c r="Y1551" t="s">
        <v>21822</v>
      </c>
      <c r="Z1551" t="s">
        <v>28406</v>
      </c>
      <c r="AA1551">
        <v>0.39475236437039379</v>
      </c>
      <c r="AB1551" t="str">
        <f>HYPERLINK("Melting_Curves/meltCurve_O75928_2_PIAS2.pdf", "Melting_Curves/meltCurve_O75928_2_PIAS2.pdf")</f>
        <v>Melting_Curves/meltCurve_O75928_2_PIAS2.pdf</v>
      </c>
    </row>
    <row r="1552" spans="1:28" x14ac:dyDescent="0.25">
      <c r="A1552" t="s">
        <v>1556</v>
      </c>
      <c r="B1552">
        <v>0.995954080203443</v>
      </c>
      <c r="C1552">
        <v>0.86610517821220101</v>
      </c>
      <c r="D1552">
        <v>0.72946869295481198</v>
      </c>
      <c r="E1552">
        <v>0.63050674767360404</v>
      </c>
      <c r="F1552">
        <v>0.27931140591075898</v>
      </c>
      <c r="G1552">
        <v>0.14308483425349999</v>
      </c>
      <c r="H1552">
        <v>7.6563973258784002E-2</v>
      </c>
      <c r="I1552">
        <v>6.8578607924219007E-2</v>
      </c>
      <c r="J1552">
        <v>7.4697094944161699E-2</v>
      </c>
      <c r="K1552">
        <v>6.9797951229112407E-2</v>
      </c>
      <c r="L1552">
        <v>697.27319032880303</v>
      </c>
      <c r="M1552">
        <v>13.929929080074199</v>
      </c>
      <c r="N1552">
        <v>50.245298161625399</v>
      </c>
      <c r="O1552">
        <v>49.058015675883098</v>
      </c>
      <c r="P1552">
        <v>-6.9179424095134598E-2</v>
      </c>
      <c r="Q1552">
        <v>2.5595228831000301E-2</v>
      </c>
      <c r="R1552">
        <v>0.980743292745474</v>
      </c>
      <c r="S1552" t="s">
        <v>8358</v>
      </c>
      <c r="T1552" t="s">
        <v>13610</v>
      </c>
      <c r="U1552" t="s">
        <v>13610</v>
      </c>
      <c r="V1552" t="s">
        <v>13610</v>
      </c>
      <c r="W1552" t="s">
        <v>15125</v>
      </c>
      <c r="X1552">
        <v>17</v>
      </c>
      <c r="Y1552" t="s">
        <v>21823</v>
      </c>
      <c r="Z1552" t="s">
        <v>28407</v>
      </c>
      <c r="AA1552">
        <v>0.37857664277954489</v>
      </c>
      <c r="AB1552" t="str">
        <f>HYPERLINK("Melting_Curves/meltCurve_O75934_BCAS2.pdf", "Melting_Curves/meltCurve_O75934_BCAS2.pdf")</f>
        <v>Melting_Curves/meltCurve_O75934_BCAS2.pdf</v>
      </c>
    </row>
    <row r="1553" spans="1:28" x14ac:dyDescent="0.25">
      <c r="A1553" t="s">
        <v>1557</v>
      </c>
      <c r="B1553">
        <v>0.995954080203443</v>
      </c>
      <c r="C1553">
        <v>0.81075587087158896</v>
      </c>
      <c r="D1553">
        <v>0.64940200238690504</v>
      </c>
      <c r="E1553">
        <v>0.46545602326473101</v>
      </c>
      <c r="F1553">
        <v>0.18477707019624001</v>
      </c>
      <c r="G1553">
        <v>8.8001943049044296E-2</v>
      </c>
      <c r="H1553">
        <v>5.6246293344837002E-2</v>
      </c>
      <c r="I1553">
        <v>5.4156462013592498E-2</v>
      </c>
      <c r="J1553">
        <v>6.1029331152704001E-2</v>
      </c>
      <c r="K1553">
        <v>5.7620212111242498E-2</v>
      </c>
      <c r="L1553">
        <v>689.04610910757503</v>
      </c>
      <c r="M1553">
        <v>14.313820382149601</v>
      </c>
      <c r="N1553">
        <v>48.313882076190801</v>
      </c>
      <c r="O1553">
        <v>47.228186473648996</v>
      </c>
      <c r="P1553">
        <v>-7.3860432287408198E-2</v>
      </c>
      <c r="Q1553">
        <v>2.5313804733777801E-2</v>
      </c>
      <c r="R1553">
        <v>0.98705938069834598</v>
      </c>
      <c r="S1553" t="s">
        <v>8359</v>
      </c>
      <c r="T1553" t="s">
        <v>13610</v>
      </c>
      <c r="U1553" t="s">
        <v>13610</v>
      </c>
      <c r="V1553" t="s">
        <v>13610</v>
      </c>
      <c r="W1553" t="s">
        <v>15126</v>
      </c>
      <c r="X1553">
        <v>8</v>
      </c>
      <c r="Y1553" t="s">
        <v>21824</v>
      </c>
      <c r="Z1553" t="s">
        <v>28408</v>
      </c>
      <c r="AA1553">
        <v>0.31703189867142773</v>
      </c>
      <c r="AB1553" t="str">
        <f>HYPERLINK("Melting_Curves/meltCurve_O75935_3_DCTN3.pdf", "Melting_Curves/meltCurve_O75935_3_DCTN3.pdf")</f>
        <v>Melting_Curves/meltCurve_O75935_3_DCTN3.pdf</v>
      </c>
    </row>
    <row r="1554" spans="1:28" x14ac:dyDescent="0.25">
      <c r="A1554" t="s">
        <v>1558</v>
      </c>
      <c r="B1554">
        <v>0.995954080203443</v>
      </c>
      <c r="C1554">
        <v>0.92489275058767495</v>
      </c>
      <c r="D1554">
        <v>0.94720838665913298</v>
      </c>
      <c r="E1554">
        <v>0.82125332664762096</v>
      </c>
      <c r="F1554">
        <v>0.80114389694231902</v>
      </c>
      <c r="G1554">
        <v>0.50873297218593605</v>
      </c>
      <c r="H1554">
        <v>0.44013915851629098</v>
      </c>
      <c r="I1554">
        <v>0.508564135763792</v>
      </c>
      <c r="J1554">
        <v>0.93164122989613296</v>
      </c>
      <c r="K1554">
        <v>0.656490726540223</v>
      </c>
      <c r="L1554">
        <v>1305.1868762895999</v>
      </c>
      <c r="M1554">
        <v>25.7297138642523</v>
      </c>
      <c r="O1554">
        <v>50.423386085576297</v>
      </c>
      <c r="P1554">
        <v>-4.8955164782561802E-2</v>
      </c>
      <c r="Q1554">
        <v>0.61624827497469903</v>
      </c>
      <c r="R1554">
        <v>0.54986180081816605</v>
      </c>
      <c r="S1554" t="s">
        <v>8360</v>
      </c>
      <c r="T1554" t="s">
        <v>13610</v>
      </c>
      <c r="U1554" t="s">
        <v>13610</v>
      </c>
      <c r="V1554" t="s">
        <v>13610</v>
      </c>
      <c r="W1554" t="s">
        <v>15127</v>
      </c>
      <c r="X1554">
        <v>18</v>
      </c>
      <c r="Y1554" t="s">
        <v>21825</v>
      </c>
      <c r="Z1554" t="s">
        <v>28409</v>
      </c>
      <c r="AA1554">
        <v>0.75672779061770568</v>
      </c>
      <c r="AB1554" t="str">
        <f>HYPERLINK("Melting_Curves/meltCurve_O75937_DNAJC8.pdf", "Melting_Curves/meltCurve_O75937_DNAJC8.pdf")</f>
        <v>Melting_Curves/meltCurve_O75937_DNAJC8.pdf</v>
      </c>
    </row>
    <row r="1555" spans="1:28" x14ac:dyDescent="0.25">
      <c r="A1555" t="s">
        <v>1559</v>
      </c>
      <c r="B1555">
        <v>0.995954080203443</v>
      </c>
      <c r="C1555">
        <v>0.91981465629887904</v>
      </c>
      <c r="D1555">
        <v>0.97660013400066403</v>
      </c>
      <c r="E1555">
        <v>0.89695095676704295</v>
      </c>
      <c r="F1555">
        <v>0.93657418304273599</v>
      </c>
      <c r="G1555">
        <v>0.78325494985503097</v>
      </c>
      <c r="H1555">
        <v>0.76126482892747305</v>
      </c>
      <c r="I1555">
        <v>0.92571405206360702</v>
      </c>
      <c r="J1555">
        <v>1.10610255941476</v>
      </c>
      <c r="K1555">
        <v>1.09688201879266</v>
      </c>
      <c r="L1555">
        <v>15000</v>
      </c>
      <c r="M1555">
        <v>227.824397009894</v>
      </c>
      <c r="O1555">
        <v>65.835110233915103</v>
      </c>
      <c r="P1555">
        <v>8.8553144963787606E-2</v>
      </c>
      <c r="Q1555">
        <v>1.1023578875145099</v>
      </c>
      <c r="R1555">
        <v>-0.134413282668848</v>
      </c>
      <c r="S1555" t="s">
        <v>8361</v>
      </c>
      <c r="T1555" t="s">
        <v>13610</v>
      </c>
      <c r="U1555" t="s">
        <v>13610</v>
      </c>
      <c r="V1555" t="s">
        <v>13610</v>
      </c>
      <c r="W1555" t="s">
        <v>15128</v>
      </c>
      <c r="X1555">
        <v>10</v>
      </c>
      <c r="Y1555" t="s">
        <v>21826</v>
      </c>
      <c r="Z1555" t="s">
        <v>28410</v>
      </c>
      <c r="AA1555">
        <v>1.0141787615818629</v>
      </c>
      <c r="AB1555" t="str">
        <f>HYPERLINK("Melting_Curves/meltCurve_O75940_SMNDC1.pdf", "Melting_Curves/meltCurve_O75940_SMNDC1.pdf")</f>
        <v>Melting_Curves/meltCurve_O75940_SMNDC1.pdf</v>
      </c>
    </row>
    <row r="1556" spans="1:28" x14ac:dyDescent="0.25">
      <c r="A1556" t="s">
        <v>1560</v>
      </c>
      <c r="B1556">
        <v>0.995954080203443</v>
      </c>
      <c r="C1556">
        <v>0.85978826584012402</v>
      </c>
      <c r="D1556">
        <v>0.593480026036877</v>
      </c>
      <c r="E1556">
        <v>0.32389867715618698</v>
      </c>
      <c r="F1556">
        <v>0.11466318961543601</v>
      </c>
      <c r="G1556">
        <v>5.9724218255470203E-2</v>
      </c>
      <c r="H1556">
        <v>3.7921318110249E-2</v>
      </c>
      <c r="I1556">
        <v>2.7425514765836101E-2</v>
      </c>
      <c r="J1556">
        <v>3.9983830785100101E-2</v>
      </c>
      <c r="K1556">
        <v>3.4572063827104801E-2</v>
      </c>
      <c r="L1556">
        <v>846.37626556867303</v>
      </c>
      <c r="M1556">
        <v>17.952346967897999</v>
      </c>
      <c r="N1556">
        <v>47.278680625936303</v>
      </c>
      <c r="O1556">
        <v>46.572399440856501</v>
      </c>
      <c r="P1556">
        <v>-9.4000309499201296E-2</v>
      </c>
      <c r="Q1556">
        <v>2.4617403753517599E-2</v>
      </c>
      <c r="R1556">
        <v>0.99633720089367594</v>
      </c>
      <c r="S1556" t="s">
        <v>8362</v>
      </c>
      <c r="T1556" t="s">
        <v>13610</v>
      </c>
      <c r="U1556" t="s">
        <v>13610</v>
      </c>
      <c r="V1556" t="s">
        <v>13610</v>
      </c>
      <c r="W1556" t="s">
        <v>15129</v>
      </c>
      <c r="X1556">
        <v>3</v>
      </c>
      <c r="Y1556" t="s">
        <v>21827</v>
      </c>
      <c r="Z1556" t="s">
        <v>28411</v>
      </c>
      <c r="AA1556">
        <v>0.27491829389449091</v>
      </c>
      <c r="AB1556" t="str">
        <f>HYPERLINK("Melting_Curves/meltCurve_O75943_3_RAD17.pdf", "Melting_Curves/meltCurve_O75943_3_RAD17.pdf")</f>
        <v>Melting_Curves/meltCurve_O75943_3_RAD17.pdf</v>
      </c>
    </row>
    <row r="1557" spans="1:28" x14ac:dyDescent="0.25">
      <c r="A1557" t="s">
        <v>1561</v>
      </c>
      <c r="B1557">
        <v>0.995954080203443</v>
      </c>
      <c r="C1557">
        <v>0.89980090469394503</v>
      </c>
      <c r="D1557">
        <v>0.77872361176647698</v>
      </c>
      <c r="E1557">
        <v>0.73221013339498098</v>
      </c>
      <c r="F1557">
        <v>0.41466310078715501</v>
      </c>
      <c r="G1557">
        <v>0.240693521377398</v>
      </c>
      <c r="H1557">
        <v>0.14825221493149601</v>
      </c>
      <c r="I1557">
        <v>0.102972359947175</v>
      </c>
      <c r="J1557">
        <v>0.12965748495771101</v>
      </c>
      <c r="K1557">
        <v>9.9030547283159104E-2</v>
      </c>
      <c r="L1557">
        <v>686.07893257915703</v>
      </c>
      <c r="M1557">
        <v>13.288635639454499</v>
      </c>
      <c r="N1557">
        <v>52.0940557531084</v>
      </c>
      <c r="O1557">
        <v>50.501832619507397</v>
      </c>
      <c r="P1557">
        <v>-6.2113610118137597E-2</v>
      </c>
      <c r="Q1557">
        <v>5.59324297021336E-2</v>
      </c>
      <c r="R1557">
        <v>0.98239953153155501</v>
      </c>
      <c r="S1557" t="s">
        <v>8363</v>
      </c>
      <c r="T1557" t="s">
        <v>13610</v>
      </c>
      <c r="U1557" t="s">
        <v>13610</v>
      </c>
      <c r="V1557" t="s">
        <v>13610</v>
      </c>
      <c r="W1557" t="s">
        <v>15130</v>
      </c>
      <c r="X1557">
        <v>2</v>
      </c>
      <c r="Y1557" t="s">
        <v>21828</v>
      </c>
      <c r="Z1557" t="s">
        <v>28412</v>
      </c>
      <c r="AA1557">
        <v>0.44756051685207482</v>
      </c>
      <c r="AB1557" t="str">
        <f>HYPERLINK("Melting_Curves/meltCurve_O75947_2_ATP5H.pdf", "Melting_Curves/meltCurve_O75947_2_ATP5H.pdf")</f>
        <v>Melting_Curves/meltCurve_O75947_2_ATP5H.pdf</v>
      </c>
    </row>
    <row r="1558" spans="1:28" x14ac:dyDescent="0.25">
      <c r="A1558" t="s">
        <v>1562</v>
      </c>
      <c r="B1558">
        <v>0.995954080203443</v>
      </c>
      <c r="C1558">
        <v>0.94221530671510501</v>
      </c>
      <c r="D1558">
        <v>0.96082306851494104</v>
      </c>
      <c r="E1558">
        <v>0.88288795909082496</v>
      </c>
      <c r="F1558">
        <v>0.66283038041937203</v>
      </c>
      <c r="G1558">
        <v>0.48277935893123702</v>
      </c>
      <c r="H1558">
        <v>0.45936797613510499</v>
      </c>
      <c r="I1558">
        <v>0.539070353559291</v>
      </c>
      <c r="J1558">
        <v>0.62636387987138298</v>
      </c>
      <c r="K1558">
        <v>0.633726353242971</v>
      </c>
      <c r="L1558">
        <v>2099.8706207673299</v>
      </c>
      <c r="M1558">
        <v>40.892571066920702</v>
      </c>
      <c r="O1558">
        <v>51.228562901424297</v>
      </c>
      <c r="P1558">
        <v>-9.0022464350860407E-2</v>
      </c>
      <c r="Q1558">
        <v>0.54889483437818298</v>
      </c>
      <c r="R1558">
        <v>0.91791296723314397</v>
      </c>
      <c r="S1558" t="s">
        <v>8364</v>
      </c>
      <c r="T1558" t="s">
        <v>13610</v>
      </c>
      <c r="U1558" t="s">
        <v>13610</v>
      </c>
      <c r="V1558" t="s">
        <v>13610</v>
      </c>
      <c r="W1558" t="s">
        <v>15131</v>
      </c>
      <c r="X1558">
        <v>13</v>
      </c>
      <c r="Y1558" t="s">
        <v>21829</v>
      </c>
      <c r="Z1558" t="s">
        <v>28413</v>
      </c>
      <c r="AA1558">
        <v>0.72110792057058481</v>
      </c>
      <c r="AB1558" t="str">
        <f>HYPERLINK("Melting_Curves/meltCurve_O75955_FLOT1.pdf", "Melting_Curves/meltCurve_O75955_FLOT1.pdf")</f>
        <v>Melting_Curves/meltCurve_O75955_FLOT1.pdf</v>
      </c>
    </row>
    <row r="1559" spans="1:28" x14ac:dyDescent="0.25">
      <c r="A1559" t="s">
        <v>1563</v>
      </c>
      <c r="B1559">
        <v>0.995954080203443</v>
      </c>
      <c r="C1559">
        <v>1.0692631947412901</v>
      </c>
      <c r="D1559">
        <v>0.85725592477309398</v>
      </c>
      <c r="E1559">
        <v>0.85719546387743395</v>
      </c>
      <c r="F1559">
        <v>0.94396193061904099</v>
      </c>
      <c r="G1559">
        <v>1.0439247055469101</v>
      </c>
      <c r="H1559">
        <v>1.28162661315083</v>
      </c>
      <c r="I1559">
        <v>1.8833946255090399</v>
      </c>
      <c r="J1559">
        <v>1.6019920973799699</v>
      </c>
      <c r="K1559">
        <v>2.4239401311834201</v>
      </c>
      <c r="L1559">
        <v>15000</v>
      </c>
      <c r="M1559">
        <v>246.15611205501699</v>
      </c>
      <c r="O1559">
        <v>60.9329168172805</v>
      </c>
      <c r="P1559">
        <v>0.50497359511691198</v>
      </c>
      <c r="Q1559">
        <v>1.5</v>
      </c>
      <c r="R1559">
        <v>0.56219304073216403</v>
      </c>
      <c r="S1559" t="s">
        <v>8365</v>
      </c>
      <c r="T1559" t="s">
        <v>13610</v>
      </c>
      <c r="U1559" t="s">
        <v>13610</v>
      </c>
      <c r="V1559" t="s">
        <v>13610</v>
      </c>
      <c r="W1559" t="s">
        <v>15132</v>
      </c>
      <c r="X1559">
        <v>6</v>
      </c>
      <c r="Y1559" t="s">
        <v>21830</v>
      </c>
      <c r="Z1559" t="s">
        <v>28414</v>
      </c>
      <c r="AA1559">
        <v>1.1509958605323081</v>
      </c>
      <c r="AB1559" t="str">
        <f>HYPERLINK("Melting_Curves/meltCurve_O75962_5_TRIO.pdf", "Melting_Curves/meltCurve_O75962_5_TRIO.pdf")</f>
        <v>Melting_Curves/meltCurve_O75962_5_TRIO.pdf</v>
      </c>
    </row>
    <row r="1560" spans="1:28" x14ac:dyDescent="0.25">
      <c r="A1560" t="s">
        <v>1564</v>
      </c>
      <c r="B1560">
        <v>0.995954080203443</v>
      </c>
      <c r="C1560">
        <v>0.86252572172398601</v>
      </c>
      <c r="D1560">
        <v>0.71334230863570502</v>
      </c>
      <c r="E1560">
        <v>0.426508908710511</v>
      </c>
      <c r="F1560">
        <v>0.39233378433564098</v>
      </c>
      <c r="G1560">
        <v>0.25507372520120097</v>
      </c>
      <c r="H1560">
        <v>0.18012912317282601</v>
      </c>
      <c r="I1560">
        <v>0.10600845485609101</v>
      </c>
      <c r="J1560">
        <v>0.176091202483314</v>
      </c>
      <c r="K1560">
        <v>0.14397370099280399</v>
      </c>
      <c r="L1560">
        <v>642.72905502900005</v>
      </c>
      <c r="M1560">
        <v>13.2610389739623</v>
      </c>
      <c r="N1560">
        <v>49.578040416745701</v>
      </c>
      <c r="O1560">
        <v>47.405082285778001</v>
      </c>
      <c r="P1560">
        <v>-6.0958228690850699E-2</v>
      </c>
      <c r="Q1560">
        <v>0.12849741508540799</v>
      </c>
      <c r="R1560">
        <v>0.98758488076999795</v>
      </c>
      <c r="S1560" t="s">
        <v>8366</v>
      </c>
      <c r="T1560" t="s">
        <v>13610</v>
      </c>
      <c r="U1560" t="s">
        <v>13610</v>
      </c>
      <c r="V1560" t="s">
        <v>13610</v>
      </c>
      <c r="W1560" t="s">
        <v>15133</v>
      </c>
      <c r="X1560">
        <v>1</v>
      </c>
      <c r="Y1560" t="s">
        <v>21831</v>
      </c>
      <c r="Z1560" t="s">
        <v>28415</v>
      </c>
      <c r="AA1560">
        <v>0.40218205420582281</v>
      </c>
      <c r="AB1560" t="str">
        <f>HYPERLINK("Melting_Curves/meltCurve_O75995_SASH3.pdf", "Melting_Curves/meltCurve_O75995_SASH3.pdf")</f>
        <v>Melting_Curves/meltCurve_O75995_SASH3.pdf</v>
      </c>
    </row>
    <row r="1561" spans="1:28" x14ac:dyDescent="0.25">
      <c r="A1561" t="s">
        <v>1565</v>
      </c>
      <c r="B1561">
        <v>0.995954080203443</v>
      </c>
      <c r="C1561">
        <v>1.0425043988845999</v>
      </c>
      <c r="D1561">
        <v>1.04945730926235</v>
      </c>
      <c r="E1561">
        <v>0.86288780816675603</v>
      </c>
      <c r="F1561">
        <v>0.48684303326256001</v>
      </c>
      <c r="G1561">
        <v>0.18695447504010701</v>
      </c>
      <c r="H1561">
        <v>9.4286536586596303E-2</v>
      </c>
      <c r="I1561">
        <v>7.0880819907597994E-2</v>
      </c>
      <c r="J1561">
        <v>7.4853658638091902E-2</v>
      </c>
      <c r="K1561">
        <v>5.9816877062168601E-2</v>
      </c>
      <c r="L1561">
        <v>1621.66332264993</v>
      </c>
      <c r="M1561">
        <v>30.746033540628101</v>
      </c>
      <c r="N1561">
        <v>53.022153051135099</v>
      </c>
      <c r="O1561">
        <v>52.522211923287301</v>
      </c>
      <c r="P1561">
        <v>-0.13544237461474801</v>
      </c>
      <c r="Q1561">
        <v>7.4522568135574202E-2</v>
      </c>
      <c r="R1561">
        <v>0.99618587846997597</v>
      </c>
      <c r="S1561" t="s">
        <v>8367</v>
      </c>
      <c r="T1561" t="s">
        <v>13610</v>
      </c>
      <c r="U1561" t="s">
        <v>13610</v>
      </c>
      <c r="V1561" t="s">
        <v>13610</v>
      </c>
      <c r="W1561" t="s">
        <v>15134</v>
      </c>
      <c r="X1561">
        <v>16</v>
      </c>
      <c r="Y1561" t="s">
        <v>21832</v>
      </c>
      <c r="Z1561" t="s">
        <v>28416</v>
      </c>
      <c r="AA1561">
        <v>0.47335743243445899</v>
      </c>
      <c r="AB1561" t="str">
        <f>HYPERLINK("Melting_Curves/meltCurve_O76003_GLRX3.pdf", "Melting_Curves/meltCurve_O76003_GLRX3.pdf")</f>
        <v>Melting_Curves/meltCurve_O76003_GLRX3.pdf</v>
      </c>
    </row>
    <row r="1562" spans="1:28" x14ac:dyDescent="0.25">
      <c r="A1562" t="s">
        <v>1566</v>
      </c>
      <c r="B1562">
        <v>0.995954080203443</v>
      </c>
      <c r="C1562">
        <v>1.17350035499979</v>
      </c>
      <c r="D1562">
        <v>1.06607222480346</v>
      </c>
      <c r="E1562">
        <v>0.80449532109032695</v>
      </c>
      <c r="F1562">
        <v>0.15366146558191601</v>
      </c>
      <c r="G1562">
        <v>9.0160579703667795E-2</v>
      </c>
      <c r="H1562">
        <v>3.7570132062395803E-2</v>
      </c>
      <c r="I1562">
        <v>1.2545495707828799E-2</v>
      </c>
      <c r="J1562">
        <v>5.1977538358106198E-3</v>
      </c>
      <c r="K1562">
        <v>8.1083242577888806E-3</v>
      </c>
      <c r="L1562">
        <v>2899.8854093943501</v>
      </c>
      <c r="M1562">
        <v>56.617724322524602</v>
      </c>
      <c r="N1562">
        <v>51.274137420135297</v>
      </c>
      <c r="O1562">
        <v>51.154905849754201</v>
      </c>
      <c r="P1562">
        <v>-0.26848047922912199</v>
      </c>
      <c r="Q1562">
        <v>2.9697029693882899E-2</v>
      </c>
      <c r="R1562">
        <v>0.982834854576077</v>
      </c>
      <c r="S1562" t="s">
        <v>8368</v>
      </c>
      <c r="T1562" t="s">
        <v>13610</v>
      </c>
      <c r="U1562" t="s">
        <v>13610</v>
      </c>
      <c r="V1562" t="s">
        <v>13610</v>
      </c>
      <c r="W1562" t="s">
        <v>15135</v>
      </c>
      <c r="X1562">
        <v>1</v>
      </c>
      <c r="Y1562" t="s">
        <v>21833</v>
      </c>
      <c r="Z1562" t="s">
        <v>28417</v>
      </c>
      <c r="AA1562">
        <v>0.39425536404250577</v>
      </c>
      <c r="AB1562" t="str">
        <f>HYPERLINK("Melting_Curves/meltCurve_O76011_KRT34.pdf", "Melting_Curves/meltCurve_O76011_KRT34.pdf")</f>
        <v>Melting_Curves/meltCurve_O76011_KRT34.pdf</v>
      </c>
    </row>
    <row r="1563" spans="1:28" x14ac:dyDescent="0.25">
      <c r="A1563" t="s">
        <v>1567</v>
      </c>
      <c r="B1563">
        <v>0.995954080203443</v>
      </c>
      <c r="C1563">
        <v>0.96170871541577696</v>
      </c>
      <c r="D1563">
        <v>1.0989542161358801</v>
      </c>
      <c r="E1563">
        <v>0.94440842217332599</v>
      </c>
      <c r="F1563">
        <v>0.55756607591574603</v>
      </c>
      <c r="G1563">
        <v>0.36627531293205101</v>
      </c>
      <c r="H1563">
        <v>0.36081761100215398</v>
      </c>
      <c r="I1563">
        <v>0.486128501074028</v>
      </c>
      <c r="J1563">
        <v>0.52455964907799402</v>
      </c>
      <c r="K1563">
        <v>0.58202150853390999</v>
      </c>
      <c r="L1563">
        <v>3396.4623608759398</v>
      </c>
      <c r="M1563">
        <v>65.692400336104598</v>
      </c>
      <c r="N1563">
        <v>53.867703573570402</v>
      </c>
      <c r="O1563">
        <v>51.6546668877222</v>
      </c>
      <c r="P1563">
        <v>-0.170309305248946</v>
      </c>
      <c r="Q1563">
        <v>0.46433572988671801</v>
      </c>
      <c r="R1563">
        <v>0.92983947582603099</v>
      </c>
      <c r="S1563" t="s">
        <v>8369</v>
      </c>
      <c r="T1563" t="s">
        <v>13610</v>
      </c>
      <c r="U1563" t="s">
        <v>13610</v>
      </c>
      <c r="V1563" t="s">
        <v>13610</v>
      </c>
      <c r="W1563" t="s">
        <v>15136</v>
      </c>
      <c r="X1563">
        <v>24</v>
      </c>
      <c r="Y1563" t="s">
        <v>21834</v>
      </c>
      <c r="Z1563" t="s">
        <v>28418</v>
      </c>
      <c r="AA1563">
        <v>0.67399575446549032</v>
      </c>
      <c r="AB1563" t="str">
        <f>HYPERLINK("Melting_Curves/meltCurve_O76021_RSL1D1.pdf", "Melting_Curves/meltCurve_O76021_RSL1D1.pdf")</f>
        <v>Melting_Curves/meltCurve_O76021_RSL1D1.pdf</v>
      </c>
    </row>
    <row r="1564" spans="1:28" x14ac:dyDescent="0.25">
      <c r="A1564" t="s">
        <v>1568</v>
      </c>
      <c r="B1564">
        <v>0.995954080203443</v>
      </c>
      <c r="C1564">
        <v>0.66818870266248798</v>
      </c>
      <c r="D1564">
        <v>0.378416641004792</v>
      </c>
      <c r="E1564">
        <v>0.421274970977704</v>
      </c>
      <c r="F1564">
        <v>0.236377474846001</v>
      </c>
      <c r="G1564">
        <v>0.137856397037666</v>
      </c>
      <c r="H1564">
        <v>6.4281243296940904E-2</v>
      </c>
      <c r="I1564">
        <v>7.9786239711596804E-2</v>
      </c>
      <c r="J1564">
        <v>7.9564392535377004E-2</v>
      </c>
      <c r="K1564">
        <v>8.8045948981972696E-2</v>
      </c>
      <c r="L1564">
        <v>579.555964274453</v>
      </c>
      <c r="M1564">
        <v>12.7224398848333</v>
      </c>
      <c r="N1564">
        <v>46.113752191204298</v>
      </c>
      <c r="O1564">
        <v>44.472373183622999</v>
      </c>
      <c r="P1564">
        <v>-6.6413106893954202E-2</v>
      </c>
      <c r="Q1564">
        <v>7.1568047968767895E-2</v>
      </c>
      <c r="R1564">
        <v>0.93775808398626503</v>
      </c>
      <c r="S1564" t="s">
        <v>8370</v>
      </c>
      <c r="T1564" t="s">
        <v>13610</v>
      </c>
      <c r="U1564" t="s">
        <v>13610</v>
      </c>
      <c r="V1564" t="s">
        <v>13610</v>
      </c>
      <c r="W1564" t="s">
        <v>15137</v>
      </c>
      <c r="X1564">
        <v>6</v>
      </c>
      <c r="Y1564" t="s">
        <v>21835</v>
      </c>
      <c r="Z1564" t="s">
        <v>28419</v>
      </c>
      <c r="AA1564">
        <v>0.28279946276083151</v>
      </c>
      <c r="AB1564" t="str">
        <f>HYPERLINK("Melting_Curves/meltCurve_O76031_CLPX.pdf", "Melting_Curves/meltCurve_O76031_CLPX.pdf")</f>
        <v>Melting_Curves/meltCurve_O76031_CLPX.pdf</v>
      </c>
    </row>
    <row r="1565" spans="1:28" x14ac:dyDescent="0.25">
      <c r="A1565" t="s">
        <v>1569</v>
      </c>
      <c r="B1565">
        <v>0.995954080203443</v>
      </c>
      <c r="C1565">
        <v>1.0339604948915699</v>
      </c>
      <c r="D1565">
        <v>0.90076492588136703</v>
      </c>
      <c r="E1565">
        <v>0.81934735346072496</v>
      </c>
      <c r="F1565">
        <v>0.54804684963905603</v>
      </c>
      <c r="G1565">
        <v>0.22555876716435</v>
      </c>
      <c r="H1565">
        <v>0.128312266440053</v>
      </c>
      <c r="I1565">
        <v>0.112422285117181</v>
      </c>
      <c r="J1565">
        <v>0.12147059994318</v>
      </c>
      <c r="K1565">
        <v>0.120601526512468</v>
      </c>
      <c r="L1565">
        <v>1232.30750917872</v>
      </c>
      <c r="M1565">
        <v>23.324265436548998</v>
      </c>
      <c r="N1565">
        <v>53.364284213445501</v>
      </c>
      <c r="O1565">
        <v>52.449948603331102</v>
      </c>
      <c r="P1565">
        <v>-9.9670612842597095E-2</v>
      </c>
      <c r="Q1565">
        <v>0.103487330209203</v>
      </c>
      <c r="R1565">
        <v>0.99470220055606795</v>
      </c>
      <c r="S1565" t="s">
        <v>8371</v>
      </c>
      <c r="T1565" t="s">
        <v>13610</v>
      </c>
      <c r="U1565" t="s">
        <v>13610</v>
      </c>
      <c r="V1565" t="s">
        <v>13610</v>
      </c>
      <c r="W1565" t="s">
        <v>15138</v>
      </c>
      <c r="X1565">
        <v>3</v>
      </c>
      <c r="Y1565" t="s">
        <v>21836</v>
      </c>
      <c r="Z1565" t="s">
        <v>28420</v>
      </c>
      <c r="AA1565">
        <v>0.49639005402679243</v>
      </c>
      <c r="AB1565" t="str">
        <f>HYPERLINK("Melting_Curves/meltCurve_O76038_SCGN.pdf", "Melting_Curves/meltCurve_O76038_SCGN.pdf")</f>
        <v>Melting_Curves/meltCurve_O76038_SCGN.pdf</v>
      </c>
    </row>
    <row r="1566" spans="1:28" x14ac:dyDescent="0.25">
      <c r="A1566" t="s">
        <v>1570</v>
      </c>
      <c r="B1566">
        <v>0.995954080203443</v>
      </c>
      <c r="C1566">
        <v>0.93123741705337204</v>
      </c>
      <c r="D1566">
        <v>1.0153673495183499</v>
      </c>
      <c r="E1566">
        <v>0.86166605193190504</v>
      </c>
      <c r="F1566">
        <v>0.88013273802113201</v>
      </c>
      <c r="G1566">
        <v>0.65374952182368795</v>
      </c>
      <c r="H1566">
        <v>0.60281232434470799</v>
      </c>
      <c r="I1566">
        <v>0.72346469069399499</v>
      </c>
      <c r="J1566">
        <v>0.794155957089831</v>
      </c>
      <c r="K1566">
        <v>0.87383777928900597</v>
      </c>
      <c r="L1566">
        <v>1419.80289016386</v>
      </c>
      <c r="M1566">
        <v>27.8483632092113</v>
      </c>
      <c r="O1566">
        <v>50.722631399153599</v>
      </c>
      <c r="P1566">
        <v>-3.6260408855974299E-2</v>
      </c>
      <c r="Q1566">
        <v>0.73582545061461901</v>
      </c>
      <c r="R1566">
        <v>0.63581577444625403</v>
      </c>
      <c r="S1566" t="s">
        <v>8372</v>
      </c>
      <c r="T1566" t="s">
        <v>13610</v>
      </c>
      <c r="U1566" t="s">
        <v>13610</v>
      </c>
      <c r="V1566" t="s">
        <v>13610</v>
      </c>
      <c r="W1566" t="s">
        <v>15139</v>
      </c>
      <c r="X1566">
        <v>8</v>
      </c>
      <c r="Y1566" t="s">
        <v>21837</v>
      </c>
      <c r="Z1566" t="s">
        <v>28421</v>
      </c>
      <c r="AA1566">
        <v>0.83446965256781958</v>
      </c>
      <c r="AB1566" t="str">
        <f>HYPERLINK("Melting_Curves/meltCurve_O76041_2_NEBL.pdf", "Melting_Curves/meltCurve_O76041_2_NEBL.pdf")</f>
        <v>Melting_Curves/meltCurve_O76041_2_NEBL.pdf</v>
      </c>
    </row>
    <row r="1567" spans="1:28" x14ac:dyDescent="0.25">
      <c r="A1567" t="s">
        <v>1571</v>
      </c>
      <c r="B1567">
        <v>0.995954080203443</v>
      </c>
      <c r="C1567">
        <v>0.83791706959786405</v>
      </c>
      <c r="D1567">
        <v>0.63393589741641598</v>
      </c>
      <c r="E1567">
        <v>0.69774096894088899</v>
      </c>
      <c r="F1567">
        <v>0.40658106263609101</v>
      </c>
      <c r="G1567">
        <v>0.30207295524435201</v>
      </c>
      <c r="H1567">
        <v>0.19472338773509601</v>
      </c>
      <c r="I1567">
        <v>0.178758653277937</v>
      </c>
      <c r="J1567">
        <v>0.108454288607754</v>
      </c>
      <c r="K1567">
        <v>0.154023967676926</v>
      </c>
      <c r="L1567">
        <v>463.26852429194901</v>
      </c>
      <c r="M1567">
        <v>9.0623757578902193</v>
      </c>
      <c r="N1567">
        <v>51.575606507477197</v>
      </c>
      <c r="O1567">
        <v>48.815097635850201</v>
      </c>
      <c r="P1567">
        <v>-4.4658002408609801E-2</v>
      </c>
      <c r="Q1567">
        <v>3.8466911658025897E-2</v>
      </c>
      <c r="R1567">
        <v>0.95818838325108102</v>
      </c>
      <c r="S1567" t="s">
        <v>8373</v>
      </c>
      <c r="T1567" t="s">
        <v>13610</v>
      </c>
      <c r="U1567" t="s">
        <v>13610</v>
      </c>
      <c r="V1567" t="s">
        <v>13610</v>
      </c>
      <c r="W1567" t="s">
        <v>15140</v>
      </c>
      <c r="X1567">
        <v>5</v>
      </c>
      <c r="Y1567" t="s">
        <v>21838</v>
      </c>
      <c r="Z1567" t="s">
        <v>28422</v>
      </c>
      <c r="AA1567">
        <v>0.43926755565953562</v>
      </c>
      <c r="AB1567" t="str">
        <f>HYPERLINK("Melting_Curves/meltCurve_O76064_RNF8.pdf", "Melting_Curves/meltCurve_O76064_RNF8.pdf")</f>
        <v>Melting_Curves/meltCurve_O76064_RNF8.pdf</v>
      </c>
    </row>
    <row r="1568" spans="1:28" x14ac:dyDescent="0.25">
      <c r="A1568" t="s">
        <v>1572</v>
      </c>
      <c r="B1568">
        <v>0.995954080203443</v>
      </c>
      <c r="C1568">
        <v>0.96059814359363804</v>
      </c>
      <c r="D1568">
        <v>1.1239242734322099</v>
      </c>
      <c r="E1568">
        <v>0.88022248681705995</v>
      </c>
      <c r="F1568">
        <v>0.90827426343106898</v>
      </c>
      <c r="G1568">
        <v>0.64528341876652595</v>
      </c>
      <c r="H1568">
        <v>0.52686633582721898</v>
      </c>
      <c r="I1568">
        <v>0.61793239134813305</v>
      </c>
      <c r="J1568">
        <v>0.71656659396087097</v>
      </c>
      <c r="K1568">
        <v>0.76629053395435298</v>
      </c>
      <c r="L1568">
        <v>2787.9127748518399</v>
      </c>
      <c r="M1568">
        <v>51.808310892670498</v>
      </c>
      <c r="O1568">
        <v>53.732081044356697</v>
      </c>
      <c r="P1568">
        <v>-8.3957139428566294E-2</v>
      </c>
      <c r="Q1568">
        <v>0.651701558074684</v>
      </c>
      <c r="R1568">
        <v>0.80033919405996801</v>
      </c>
      <c r="S1568" t="s">
        <v>8374</v>
      </c>
      <c r="T1568" t="s">
        <v>13610</v>
      </c>
      <c r="U1568" t="s">
        <v>13610</v>
      </c>
      <c r="V1568" t="s">
        <v>13610</v>
      </c>
      <c r="W1568" t="s">
        <v>15141</v>
      </c>
      <c r="X1568">
        <v>3</v>
      </c>
      <c r="Y1568" t="s">
        <v>21839</v>
      </c>
      <c r="Z1568" t="s">
        <v>28423</v>
      </c>
      <c r="AA1568">
        <v>0.81282865461244747</v>
      </c>
      <c r="AB1568" t="str">
        <f>HYPERLINK("Melting_Curves/meltCurve_O76070_SNCG.pdf", "Melting_Curves/meltCurve_O76070_SNCG.pdf")</f>
        <v>Melting_Curves/meltCurve_O76070_SNCG.pdf</v>
      </c>
    </row>
    <row r="1569" spans="1:28" x14ac:dyDescent="0.25">
      <c r="A1569" t="s">
        <v>1573</v>
      </c>
      <c r="B1569">
        <v>0.995954080203443</v>
      </c>
      <c r="C1569">
        <v>0.96223141749730401</v>
      </c>
      <c r="D1569">
        <v>0.859112801555179</v>
      </c>
      <c r="E1569">
        <v>0.72213258151809501</v>
      </c>
      <c r="F1569">
        <v>0.55885136190312901</v>
      </c>
      <c r="G1569">
        <v>0.35727054083345799</v>
      </c>
      <c r="H1569">
        <v>0.21436460696585599</v>
      </c>
      <c r="I1569">
        <v>0.145932886607782</v>
      </c>
      <c r="J1569">
        <v>9.4462262093244598E-2</v>
      </c>
      <c r="K1569">
        <v>6.8321200387850903E-2</v>
      </c>
      <c r="L1569">
        <v>617.03958915316605</v>
      </c>
      <c r="M1569">
        <v>11.414845276889601</v>
      </c>
      <c r="N1569">
        <v>54.055887003040702</v>
      </c>
      <c r="O1569">
        <v>52.4766383999795</v>
      </c>
      <c r="P1569">
        <v>-5.4396510756707303E-2</v>
      </c>
      <c r="Q1569">
        <v>0</v>
      </c>
      <c r="R1569">
        <v>0.99930899887385305</v>
      </c>
      <c r="S1569" t="s">
        <v>8375</v>
      </c>
      <c r="T1569" t="s">
        <v>13610</v>
      </c>
      <c r="U1569" t="s">
        <v>13610</v>
      </c>
      <c r="V1569" t="s">
        <v>13610</v>
      </c>
      <c r="W1569" t="s">
        <v>15142</v>
      </c>
      <c r="X1569">
        <v>7</v>
      </c>
      <c r="Y1569" t="s">
        <v>21840</v>
      </c>
      <c r="Z1569" t="s">
        <v>28424</v>
      </c>
      <c r="AA1569">
        <v>0.49567065344587252</v>
      </c>
      <c r="AB1569" t="str">
        <f>HYPERLINK("Melting_Curves/meltCurve_O76071_CIAO1.pdf", "Melting_Curves/meltCurve_O76071_CIAO1.pdf")</f>
        <v>Melting_Curves/meltCurve_O76071_CIAO1.pdf</v>
      </c>
    </row>
    <row r="1570" spans="1:28" x14ac:dyDescent="0.25">
      <c r="A1570" t="s">
        <v>1574</v>
      </c>
      <c r="B1570">
        <v>0.995954080203443</v>
      </c>
      <c r="C1570">
        <v>0.95395616254610405</v>
      </c>
      <c r="D1570">
        <v>0.86915171485062104</v>
      </c>
      <c r="E1570">
        <v>0.72476062599506896</v>
      </c>
      <c r="F1570">
        <v>0.425892244450427</v>
      </c>
      <c r="G1570">
        <v>0.19310624777948801</v>
      </c>
      <c r="H1570">
        <v>0.114656665736803</v>
      </c>
      <c r="I1570">
        <v>8.7926249247887597E-2</v>
      </c>
      <c r="J1570">
        <v>0.12591507033812899</v>
      </c>
      <c r="K1570">
        <v>8.4868267314258103E-2</v>
      </c>
      <c r="L1570">
        <v>988.41812607330303</v>
      </c>
      <c r="M1570">
        <v>19.117215978444499</v>
      </c>
      <c r="N1570">
        <v>52.169174077811903</v>
      </c>
      <c r="O1570">
        <v>51.147264135001002</v>
      </c>
      <c r="P1570">
        <v>-8.6109227938708399E-2</v>
      </c>
      <c r="Q1570">
        <v>7.8510156175934404E-2</v>
      </c>
      <c r="R1570">
        <v>0.99470568306583895</v>
      </c>
      <c r="S1570" t="s">
        <v>8376</v>
      </c>
      <c r="T1570" t="s">
        <v>13610</v>
      </c>
      <c r="U1570" t="s">
        <v>13610</v>
      </c>
      <c r="V1570" t="s">
        <v>13610</v>
      </c>
      <c r="W1570" t="s">
        <v>14244</v>
      </c>
      <c r="X1570">
        <v>8</v>
      </c>
      <c r="Y1570" t="s">
        <v>21841</v>
      </c>
      <c r="Z1570" t="s">
        <v>28425</v>
      </c>
      <c r="AA1570">
        <v>0.45183163167557061</v>
      </c>
      <c r="AB1570" t="str">
        <f>HYPERLINK("Melting_Curves/meltCurve_O76075_DFFB.pdf", "Melting_Curves/meltCurve_O76075_DFFB.pdf")</f>
        <v>Melting_Curves/meltCurve_O76075_DFFB.pdf</v>
      </c>
    </row>
    <row r="1571" spans="1:28" x14ac:dyDescent="0.25">
      <c r="A1571" t="s">
        <v>1575</v>
      </c>
      <c r="B1571">
        <v>0.995954080203443</v>
      </c>
      <c r="C1571">
        <v>1.1021949117316201</v>
      </c>
      <c r="D1571">
        <v>1.3243480444014999</v>
      </c>
      <c r="E1571">
        <v>1.0888485775832999</v>
      </c>
      <c r="F1571">
        <v>1.14470866859873</v>
      </c>
      <c r="G1571">
        <v>0.92293406844208103</v>
      </c>
      <c r="H1571">
        <v>0.89545538706487504</v>
      </c>
      <c r="I1571">
        <v>1.04184501330018</v>
      </c>
      <c r="J1571">
        <v>1.2044007064656299</v>
      </c>
      <c r="K1571">
        <v>1.1866298126653401</v>
      </c>
      <c r="L1571">
        <v>1.0000000000000001E-5</v>
      </c>
      <c r="M1571">
        <v>1.0000000000000001E-5</v>
      </c>
      <c r="Q1571">
        <v>1.18146296284748</v>
      </c>
      <c r="R1571">
        <v>-6.6123817532570704E-10</v>
      </c>
      <c r="S1571" t="s">
        <v>8377</v>
      </c>
      <c r="T1571" t="s">
        <v>13610</v>
      </c>
      <c r="U1571" t="s">
        <v>13610</v>
      </c>
      <c r="V1571" t="s">
        <v>13610</v>
      </c>
      <c r="W1571" t="s">
        <v>15143</v>
      </c>
      <c r="X1571">
        <v>6</v>
      </c>
      <c r="Y1571" t="s">
        <v>21842</v>
      </c>
      <c r="Z1571" t="s">
        <v>28426</v>
      </c>
      <c r="AA1571">
        <v>1.090731926618685</v>
      </c>
      <c r="AB1571" t="str">
        <f>HYPERLINK("Melting_Curves/meltCurve_O76080_ZFAND5.pdf", "Melting_Curves/meltCurve_O76080_ZFAND5.pdf")</f>
        <v>Melting_Curves/meltCurve_O76080_ZFAND5.pdf</v>
      </c>
    </row>
    <row r="1572" spans="1:28" x14ac:dyDescent="0.25">
      <c r="A1572" t="s">
        <v>1576</v>
      </c>
      <c r="B1572">
        <v>0.995954080203443</v>
      </c>
      <c r="C1572">
        <v>0.72735223172138297</v>
      </c>
      <c r="D1572">
        <v>0.47763882723051498</v>
      </c>
      <c r="E1572">
        <v>0.27935207014107899</v>
      </c>
      <c r="F1572">
        <v>0.138134667768124</v>
      </c>
      <c r="G1572">
        <v>9.0612540978834297E-2</v>
      </c>
      <c r="H1572">
        <v>6.6404358325703502E-2</v>
      </c>
      <c r="I1572">
        <v>6.7421222214043702E-2</v>
      </c>
      <c r="J1572">
        <v>9.0324902965563905E-2</v>
      </c>
      <c r="K1572">
        <v>8.1394931004378904E-2</v>
      </c>
      <c r="L1572">
        <v>793.13152610513202</v>
      </c>
      <c r="M1572">
        <v>17.422151087242401</v>
      </c>
      <c r="N1572">
        <v>45.940254314182397</v>
      </c>
      <c r="O1572">
        <v>44.9372496126093</v>
      </c>
      <c r="P1572">
        <v>-8.98578886038508E-2</v>
      </c>
      <c r="Q1572">
        <v>7.2964317357128203E-2</v>
      </c>
      <c r="R1572">
        <v>0.99000646398355496</v>
      </c>
      <c r="S1572" t="s">
        <v>8378</v>
      </c>
      <c r="T1572" t="s">
        <v>13610</v>
      </c>
      <c r="U1572" t="s">
        <v>13610</v>
      </c>
      <c r="V1572" t="s">
        <v>13610</v>
      </c>
      <c r="W1572" t="s">
        <v>15144</v>
      </c>
      <c r="X1572">
        <v>22</v>
      </c>
      <c r="Y1572" t="s">
        <v>21843</v>
      </c>
      <c r="Z1572" t="s">
        <v>28427</v>
      </c>
      <c r="AA1572">
        <v>0.26406118340559098</v>
      </c>
      <c r="AB1572" t="str">
        <f>HYPERLINK("Melting_Curves/meltCurve_O76094_SRP72.pdf", "Melting_Curves/meltCurve_O76094_SRP72.pdf")</f>
        <v>Melting_Curves/meltCurve_O76094_SRP72.pdf</v>
      </c>
    </row>
    <row r="1573" spans="1:28" x14ac:dyDescent="0.25">
      <c r="A1573" t="s">
        <v>1577</v>
      </c>
      <c r="B1573">
        <v>0.995954080203443</v>
      </c>
      <c r="C1573">
        <v>0.94293833784133896</v>
      </c>
      <c r="D1573">
        <v>0.81802834360618104</v>
      </c>
      <c r="E1573">
        <v>0.55990984222351103</v>
      </c>
      <c r="F1573">
        <v>0.20553800477748599</v>
      </c>
      <c r="G1573">
        <v>0.12168830443067701</v>
      </c>
      <c r="H1573">
        <v>9.0855130038404702E-2</v>
      </c>
      <c r="I1573">
        <v>8.5017019223690704E-2</v>
      </c>
      <c r="J1573">
        <v>9.7582042794573901E-2</v>
      </c>
      <c r="K1573">
        <v>8.0841895421228799E-2</v>
      </c>
      <c r="L1573">
        <v>1058.6410108150701</v>
      </c>
      <c r="M1573">
        <v>21.3398176628688</v>
      </c>
      <c r="N1573">
        <v>49.986919108990101</v>
      </c>
      <c r="O1573">
        <v>49.179252309234599</v>
      </c>
      <c r="P1573">
        <v>-0.10039536184963101</v>
      </c>
      <c r="Q1573">
        <v>7.4548129824008005E-2</v>
      </c>
      <c r="R1573">
        <v>0.99305056053948104</v>
      </c>
      <c r="S1573" t="s">
        <v>8379</v>
      </c>
      <c r="T1573" t="s">
        <v>13610</v>
      </c>
      <c r="U1573" t="s">
        <v>13610</v>
      </c>
      <c r="V1573" t="s">
        <v>13610</v>
      </c>
      <c r="W1573" t="s">
        <v>15145</v>
      </c>
      <c r="X1573">
        <v>10</v>
      </c>
      <c r="Y1573" t="s">
        <v>21844</v>
      </c>
      <c r="Z1573" t="s">
        <v>28428</v>
      </c>
      <c r="AA1573">
        <v>0.38230372760938103</v>
      </c>
      <c r="AB1573" t="str">
        <f>HYPERLINK("Melting_Curves/meltCurve_O77932_DOM3Z.pdf", "Melting_Curves/meltCurve_O77932_DOM3Z.pdf")</f>
        <v>Melting_Curves/meltCurve_O77932_DOM3Z.pdf</v>
      </c>
    </row>
    <row r="1574" spans="1:28" x14ac:dyDescent="0.25">
      <c r="A1574" t="s">
        <v>1578</v>
      </c>
      <c r="B1574">
        <v>0.995954080203443</v>
      </c>
      <c r="C1574">
        <v>0.90469953359344502</v>
      </c>
      <c r="D1574">
        <v>0.940208931392713</v>
      </c>
      <c r="E1574">
        <v>0.79354086741709196</v>
      </c>
      <c r="F1574">
        <v>0.74308486218021697</v>
      </c>
      <c r="G1574">
        <v>0.54289306993344699</v>
      </c>
      <c r="H1574">
        <v>0.479440352244354</v>
      </c>
      <c r="I1574">
        <v>0.54276976448716996</v>
      </c>
      <c r="J1574">
        <v>0.59373526959023104</v>
      </c>
      <c r="K1574">
        <v>0.61651851299628901</v>
      </c>
      <c r="L1574">
        <v>932.16600670466596</v>
      </c>
      <c r="M1574">
        <v>18.410471740396801</v>
      </c>
      <c r="O1574">
        <v>50.046344628461298</v>
      </c>
      <c r="P1574">
        <v>-4.1715593854287698E-2</v>
      </c>
      <c r="Q1574">
        <v>0.54642797299618895</v>
      </c>
      <c r="R1574">
        <v>0.914515446468116</v>
      </c>
      <c r="S1574" t="s">
        <v>8380</v>
      </c>
      <c r="T1574" t="s">
        <v>13610</v>
      </c>
      <c r="U1574" t="s">
        <v>13610</v>
      </c>
      <c r="V1574" t="s">
        <v>13610</v>
      </c>
      <c r="W1574" t="s">
        <v>15146</v>
      </c>
      <c r="X1574">
        <v>7</v>
      </c>
      <c r="Y1574" t="s">
        <v>21845</v>
      </c>
      <c r="Z1574" t="s">
        <v>28429</v>
      </c>
      <c r="AA1574">
        <v>0.71454195285331557</v>
      </c>
      <c r="AB1574" t="str">
        <f>HYPERLINK("Melting_Curves/meltCurve_O94761_RECQL4.pdf", "Melting_Curves/meltCurve_O94761_RECQL4.pdf")</f>
        <v>Melting_Curves/meltCurve_O94761_RECQL4.pdf</v>
      </c>
    </row>
    <row r="1575" spans="1:28" x14ac:dyDescent="0.25">
      <c r="A1575" t="s">
        <v>1579</v>
      </c>
      <c r="B1575">
        <v>0.995954080203443</v>
      </c>
      <c r="C1575">
        <v>0.944728456224874</v>
      </c>
      <c r="D1575">
        <v>0.87008280226505197</v>
      </c>
      <c r="E1575">
        <v>0.71420562913793195</v>
      </c>
      <c r="F1575">
        <v>0.63263292146080896</v>
      </c>
      <c r="G1575">
        <v>0.44356262045322398</v>
      </c>
      <c r="H1575">
        <v>0.36441831443193601</v>
      </c>
      <c r="I1575">
        <v>0.41698164738154098</v>
      </c>
      <c r="J1575">
        <v>0.40716144026610701</v>
      </c>
      <c r="K1575">
        <v>0.45814856561457101</v>
      </c>
      <c r="L1575">
        <v>785.39641090793305</v>
      </c>
      <c r="M1575">
        <v>15.594575365704699</v>
      </c>
      <c r="N1575">
        <v>55.881211946983697</v>
      </c>
      <c r="O1575">
        <v>49.557074318210603</v>
      </c>
      <c r="P1575">
        <v>-4.7773152147992402E-2</v>
      </c>
      <c r="Q1575">
        <v>0.392790829684105</v>
      </c>
      <c r="R1575">
        <v>0.977502359974874</v>
      </c>
      <c r="S1575" t="s">
        <v>8381</v>
      </c>
      <c r="T1575" t="s">
        <v>13610</v>
      </c>
      <c r="U1575" t="s">
        <v>13610</v>
      </c>
      <c r="V1575" t="s">
        <v>13610</v>
      </c>
      <c r="W1575" t="s">
        <v>15147</v>
      </c>
      <c r="X1575">
        <v>26</v>
      </c>
      <c r="Y1575" t="s">
        <v>21846</v>
      </c>
      <c r="Z1575" t="s">
        <v>28430</v>
      </c>
      <c r="AA1575">
        <v>0.61592392604952584</v>
      </c>
      <c r="AB1575" t="str">
        <f>HYPERLINK("Melting_Curves/meltCurve_O94762_RECQL5.pdf", "Melting_Curves/meltCurve_O94762_RECQL5.pdf")</f>
        <v>Melting_Curves/meltCurve_O94762_RECQL5.pdf</v>
      </c>
    </row>
    <row r="1576" spans="1:28" x14ac:dyDescent="0.25">
      <c r="A1576" t="s">
        <v>1580</v>
      </c>
      <c r="B1576">
        <v>0.995954080203443</v>
      </c>
      <c r="C1576">
        <v>0.94737461325749905</v>
      </c>
      <c r="D1576">
        <v>0.82914692434473702</v>
      </c>
      <c r="E1576">
        <v>0.87640705110267703</v>
      </c>
      <c r="F1576">
        <v>0.60857167660438904</v>
      </c>
      <c r="G1576">
        <v>0.32761729898481801</v>
      </c>
      <c r="H1576">
        <v>0.222414643343541</v>
      </c>
      <c r="I1576">
        <v>0.23862322862973301</v>
      </c>
      <c r="J1576">
        <v>0.27336201158129098</v>
      </c>
      <c r="K1576">
        <v>0.28555790352921201</v>
      </c>
      <c r="L1576">
        <v>1317.5113810574401</v>
      </c>
      <c r="M1576">
        <v>24.9815122935156</v>
      </c>
      <c r="N1576">
        <v>54.188379586882597</v>
      </c>
      <c r="O1576">
        <v>52.4050060465798</v>
      </c>
      <c r="P1576">
        <v>-9.0142260683067701E-2</v>
      </c>
      <c r="Q1576">
        <v>0.24362614541472799</v>
      </c>
      <c r="R1576">
        <v>0.96660912661603204</v>
      </c>
      <c r="S1576" t="s">
        <v>8382</v>
      </c>
      <c r="T1576" t="s">
        <v>13610</v>
      </c>
      <c r="U1576" t="s">
        <v>13610</v>
      </c>
      <c r="V1576" t="s">
        <v>13610</v>
      </c>
      <c r="W1576" t="s">
        <v>15148</v>
      </c>
      <c r="X1576">
        <v>15</v>
      </c>
      <c r="Y1576" t="s">
        <v>21847</v>
      </c>
      <c r="Z1576" t="s">
        <v>28431</v>
      </c>
      <c r="AA1576">
        <v>0.57177944841056272</v>
      </c>
      <c r="AB1576" t="str">
        <f>HYPERLINK("Melting_Curves/meltCurve_O94763_URI1.pdf", "Melting_Curves/meltCurve_O94763_URI1.pdf")</f>
        <v>Melting_Curves/meltCurve_O94763_URI1.pdf</v>
      </c>
    </row>
    <row r="1577" spans="1:28" x14ac:dyDescent="0.25">
      <c r="A1577" t="s">
        <v>1581</v>
      </c>
      <c r="B1577">
        <v>0.995954080203443</v>
      </c>
      <c r="C1577">
        <v>1.1456152438408</v>
      </c>
      <c r="D1577">
        <v>0.90005022234949095</v>
      </c>
      <c r="E1577">
        <v>0.87194636604985198</v>
      </c>
      <c r="F1577">
        <v>0.85870719990000199</v>
      </c>
      <c r="G1577">
        <v>0.60809496625228499</v>
      </c>
      <c r="H1577">
        <v>0.52513877137375997</v>
      </c>
      <c r="I1577">
        <v>0.48985826264336502</v>
      </c>
      <c r="J1577">
        <v>0.66224637362818195</v>
      </c>
      <c r="K1577">
        <v>0.42745202406906302</v>
      </c>
      <c r="L1577">
        <v>1034.66563427705</v>
      </c>
      <c r="M1577">
        <v>19.149634650346201</v>
      </c>
      <c r="O1577">
        <v>53.451705011216902</v>
      </c>
      <c r="P1577">
        <v>-4.4563089132348299E-2</v>
      </c>
      <c r="Q1577">
        <v>0.50246965817867095</v>
      </c>
      <c r="R1577">
        <v>0.87232060096040898</v>
      </c>
      <c r="S1577" t="s">
        <v>8383</v>
      </c>
      <c r="T1577" t="s">
        <v>13610</v>
      </c>
      <c r="U1577" t="s">
        <v>13610</v>
      </c>
      <c r="V1577" t="s">
        <v>13610</v>
      </c>
      <c r="W1577" t="s">
        <v>15149</v>
      </c>
      <c r="X1577">
        <v>11</v>
      </c>
      <c r="Y1577" t="s">
        <v>21847</v>
      </c>
      <c r="Z1577" t="s">
        <v>28432</v>
      </c>
      <c r="AA1577">
        <v>0.74239722542551878</v>
      </c>
      <c r="AB1577" t="str">
        <f>HYPERLINK("Melting_Curves/meltCurve_O94763_4_URI1.pdf", "Melting_Curves/meltCurve_O94763_4_URI1.pdf")</f>
        <v>Melting_Curves/meltCurve_O94763_4_URI1.pdf</v>
      </c>
    </row>
    <row r="1578" spans="1:28" x14ac:dyDescent="0.25">
      <c r="A1578" t="s">
        <v>1582</v>
      </c>
      <c r="B1578">
        <v>0.995954080203443</v>
      </c>
      <c r="C1578">
        <v>0.81584893849625595</v>
      </c>
      <c r="D1578">
        <v>0.64763594848657702</v>
      </c>
      <c r="E1578">
        <v>0.59917659719447502</v>
      </c>
      <c r="F1578">
        <v>0.29598520992951999</v>
      </c>
      <c r="G1578">
        <v>0.16200472713533301</v>
      </c>
      <c r="H1578">
        <v>0.11239221208519699</v>
      </c>
      <c r="I1578">
        <v>9.9761362780275198E-2</v>
      </c>
      <c r="J1578">
        <v>9.8033852703126007E-2</v>
      </c>
      <c r="K1578">
        <v>9.3825236359662903E-2</v>
      </c>
      <c r="L1578">
        <v>574.93821880454004</v>
      </c>
      <c r="M1578">
        <v>11.665016663506201</v>
      </c>
      <c r="N1578">
        <v>49.644027994931399</v>
      </c>
      <c r="O1578">
        <v>47.905740695966898</v>
      </c>
      <c r="P1578">
        <v>-5.84438340499338E-2</v>
      </c>
      <c r="Q1578">
        <v>4.0192652863365201E-2</v>
      </c>
      <c r="R1578">
        <v>0.974187410183179</v>
      </c>
      <c r="S1578" t="s">
        <v>8384</v>
      </c>
      <c r="T1578" t="s">
        <v>13610</v>
      </c>
      <c r="U1578" t="s">
        <v>13610</v>
      </c>
      <c r="V1578" t="s">
        <v>13610</v>
      </c>
      <c r="W1578" t="s">
        <v>15150</v>
      </c>
      <c r="X1578">
        <v>35</v>
      </c>
      <c r="Y1578" t="s">
        <v>21848</v>
      </c>
      <c r="Z1578" t="s">
        <v>28433</v>
      </c>
      <c r="AA1578">
        <v>0.37362108677782518</v>
      </c>
      <c r="AB1578" t="str">
        <f>HYPERLINK("Melting_Curves/meltCurve_O94776_MTA2.pdf", "Melting_Curves/meltCurve_O94776_MTA2.pdf")</f>
        <v>Melting_Curves/meltCurve_O94776_MTA2.pdf</v>
      </c>
    </row>
    <row r="1579" spans="1:28" x14ac:dyDescent="0.25">
      <c r="A1579" t="s">
        <v>1583</v>
      </c>
      <c r="B1579">
        <v>0.995954080203443</v>
      </c>
      <c r="C1579">
        <v>0.97856667430063604</v>
      </c>
      <c r="D1579">
        <v>0.61448058143003403</v>
      </c>
      <c r="E1579">
        <v>0.48276439945572702</v>
      </c>
      <c r="F1579">
        <v>0</v>
      </c>
      <c r="G1579">
        <v>0.15317628935852901</v>
      </c>
      <c r="H1579">
        <v>7.1397701244105702E-2</v>
      </c>
      <c r="I1579">
        <v>6.2871949620613696E-2</v>
      </c>
      <c r="J1579">
        <v>3.7310872298965299E-2</v>
      </c>
      <c r="K1579">
        <v>6.27032942395509E-2</v>
      </c>
      <c r="L1579">
        <v>949.47776363324397</v>
      </c>
      <c r="M1579">
        <v>19.831175302870101</v>
      </c>
      <c r="N1579">
        <v>48.135663003895601</v>
      </c>
      <c r="O1579">
        <v>47.399168060607202</v>
      </c>
      <c r="P1579">
        <v>-9.9333492245711794E-2</v>
      </c>
      <c r="Q1579">
        <v>5.03505029287242E-2</v>
      </c>
      <c r="R1579">
        <v>0.95088651742312102</v>
      </c>
      <c r="S1579" t="s">
        <v>8385</v>
      </c>
      <c r="T1579" t="s">
        <v>13610</v>
      </c>
      <c r="U1579" t="s">
        <v>13610</v>
      </c>
      <c r="V1579" t="s">
        <v>13610</v>
      </c>
      <c r="W1579" t="s">
        <v>15151</v>
      </c>
      <c r="X1579">
        <v>4</v>
      </c>
      <c r="Y1579" t="s">
        <v>21849</v>
      </c>
      <c r="Z1579" t="s">
        <v>28434</v>
      </c>
      <c r="AA1579">
        <v>0.31350771910190489</v>
      </c>
      <c r="AB1579" t="str">
        <f>HYPERLINK("Melting_Curves/meltCurve_O94782_USP1.pdf", "Melting_Curves/meltCurve_O94782_USP1.pdf")</f>
        <v>Melting_Curves/meltCurve_O94782_USP1.pdf</v>
      </c>
    </row>
    <row r="1580" spans="1:28" x14ac:dyDescent="0.25">
      <c r="A1580" t="s">
        <v>1584</v>
      </c>
      <c r="B1580">
        <v>0.995954080203443</v>
      </c>
      <c r="C1580">
        <v>0.92869754047074304</v>
      </c>
      <c r="D1580">
        <v>0.79092065588167304</v>
      </c>
      <c r="E1580">
        <v>0.890884641875202</v>
      </c>
      <c r="F1580">
        <v>0.65595659260402195</v>
      </c>
      <c r="G1580">
        <v>0.49085763790002401</v>
      </c>
      <c r="H1580">
        <v>0.29740683695915598</v>
      </c>
      <c r="I1580">
        <v>0.20624460238764999</v>
      </c>
      <c r="J1580">
        <v>8.7682975208221103E-2</v>
      </c>
      <c r="K1580">
        <v>7.0874726294709797E-2</v>
      </c>
      <c r="L1580">
        <v>648.54482804916097</v>
      </c>
      <c r="M1580">
        <v>11.5218101402318</v>
      </c>
      <c r="N1580">
        <v>56.288449974841498</v>
      </c>
      <c r="O1580">
        <v>54.672937053930497</v>
      </c>
      <c r="P1580">
        <v>-5.2700028469260501E-2</v>
      </c>
      <c r="Q1580">
        <v>0</v>
      </c>
      <c r="R1580">
        <v>0.97251294303880498</v>
      </c>
      <c r="S1580" t="s">
        <v>8386</v>
      </c>
      <c r="T1580" t="s">
        <v>13610</v>
      </c>
      <c r="U1580" t="s">
        <v>13610</v>
      </c>
      <c r="V1580" t="s">
        <v>13610</v>
      </c>
      <c r="W1580" t="s">
        <v>15152</v>
      </c>
      <c r="X1580">
        <v>24</v>
      </c>
      <c r="Y1580" t="s">
        <v>21850</v>
      </c>
      <c r="Z1580" t="s">
        <v>28435</v>
      </c>
      <c r="AA1580">
        <v>0.56254776971344067</v>
      </c>
      <c r="AB1580" t="str">
        <f>HYPERLINK("Melting_Curves/meltCurve_O94788_ALDH1A2.pdf", "Melting_Curves/meltCurve_O94788_ALDH1A2.pdf")</f>
        <v>Melting_Curves/meltCurve_O94788_ALDH1A2.pdf</v>
      </c>
    </row>
    <row r="1581" spans="1:28" x14ac:dyDescent="0.25">
      <c r="A1581" t="s">
        <v>1585</v>
      </c>
      <c r="B1581">
        <v>0.995954080203443</v>
      </c>
      <c r="C1581">
        <v>0.86648300369323505</v>
      </c>
      <c r="D1581">
        <v>0.75488182174372098</v>
      </c>
      <c r="E1581">
        <v>0.48880033043855198</v>
      </c>
      <c r="F1581">
        <v>0.40196602504749701</v>
      </c>
      <c r="G1581">
        <v>0.27287265255002502</v>
      </c>
      <c r="H1581">
        <v>0.22755468331085901</v>
      </c>
      <c r="I1581">
        <v>0.24769790858152499</v>
      </c>
      <c r="J1581">
        <v>0.29828368229649499</v>
      </c>
      <c r="K1581">
        <v>0.29183836285071402</v>
      </c>
      <c r="L1581">
        <v>793.13821490404996</v>
      </c>
      <c r="M1581">
        <v>16.6133921662326</v>
      </c>
      <c r="N1581">
        <v>49.880643864717101</v>
      </c>
      <c r="O1581">
        <v>47.0652705850516</v>
      </c>
      <c r="P1581">
        <v>-6.5762820197333399E-2</v>
      </c>
      <c r="Q1581">
        <v>0.25483356768924098</v>
      </c>
      <c r="R1581">
        <v>0.98817006203927604</v>
      </c>
      <c r="S1581" t="s">
        <v>8387</v>
      </c>
      <c r="T1581" t="s">
        <v>13610</v>
      </c>
      <c r="U1581" t="s">
        <v>13610</v>
      </c>
      <c r="V1581" t="s">
        <v>13610</v>
      </c>
      <c r="W1581" t="s">
        <v>15153</v>
      </c>
      <c r="X1581">
        <v>12</v>
      </c>
      <c r="Y1581" t="s">
        <v>21851</v>
      </c>
      <c r="Z1581" t="s">
        <v>28436</v>
      </c>
      <c r="AA1581">
        <v>0.46287723109885748</v>
      </c>
      <c r="AB1581" t="str">
        <f>HYPERLINK("Melting_Curves/meltCurve_O94804_STK10.pdf", "Melting_Curves/meltCurve_O94804_STK10.pdf")</f>
        <v>Melting_Curves/meltCurve_O94804_STK10.pdf</v>
      </c>
    </row>
    <row r="1582" spans="1:28" x14ac:dyDescent="0.25">
      <c r="A1582" t="s">
        <v>1586</v>
      </c>
      <c r="B1582">
        <v>0.995954080203443</v>
      </c>
      <c r="C1582">
        <v>0.74798268240055399</v>
      </c>
      <c r="D1582">
        <v>0.40764317038731801</v>
      </c>
      <c r="E1582">
        <v>0.34507602322501602</v>
      </c>
      <c r="F1582">
        <v>0.192427865653095</v>
      </c>
      <c r="G1582">
        <v>8.8957353550195004E-2</v>
      </c>
      <c r="H1582">
        <v>5.6704616513603603E-2</v>
      </c>
      <c r="I1582">
        <v>4.2510959655232099E-2</v>
      </c>
      <c r="J1582">
        <v>4.8340785047543799E-2</v>
      </c>
      <c r="K1582">
        <v>4.9853806038702701E-2</v>
      </c>
      <c r="L1582">
        <v>678.16016974126501</v>
      </c>
      <c r="M1582">
        <v>14.7943668491537</v>
      </c>
      <c r="N1582">
        <v>46.146511496967001</v>
      </c>
      <c r="O1582">
        <v>45.025987860976798</v>
      </c>
      <c r="P1582">
        <v>-7.8296826006090406E-2</v>
      </c>
      <c r="Q1582">
        <v>4.69298371657383E-2</v>
      </c>
      <c r="R1582">
        <v>0.97200283681209698</v>
      </c>
      <c r="S1582" t="s">
        <v>8388</v>
      </c>
      <c r="T1582" t="s">
        <v>13610</v>
      </c>
      <c r="U1582" t="s">
        <v>13610</v>
      </c>
      <c r="V1582" t="s">
        <v>13610</v>
      </c>
      <c r="W1582" t="s">
        <v>15154</v>
      </c>
      <c r="X1582">
        <v>5</v>
      </c>
      <c r="Y1582" t="s">
        <v>21852</v>
      </c>
      <c r="Z1582" t="s">
        <v>28437</v>
      </c>
      <c r="AA1582">
        <v>0.2614789355049677</v>
      </c>
      <c r="AB1582" t="str">
        <f>HYPERLINK("Melting_Curves/meltCurve_O94806_PRKD3.pdf", "Melting_Curves/meltCurve_O94806_PRKD3.pdf")</f>
        <v>Melting_Curves/meltCurve_O94806_PRKD3.pdf</v>
      </c>
    </row>
    <row r="1583" spans="1:28" x14ac:dyDescent="0.25">
      <c r="A1583" t="s">
        <v>1587</v>
      </c>
      <c r="B1583">
        <v>0.995954080203443</v>
      </c>
      <c r="C1583">
        <v>0.779055700024328</v>
      </c>
      <c r="D1583">
        <v>0.60261142555996705</v>
      </c>
      <c r="E1583">
        <v>0.62661254729878102</v>
      </c>
      <c r="F1583">
        <v>0.39641144950290902</v>
      </c>
      <c r="G1583">
        <v>0.22899435008174401</v>
      </c>
      <c r="H1583">
        <v>0.15703748776638901</v>
      </c>
      <c r="I1583">
        <v>0.19745232017023101</v>
      </c>
      <c r="J1583">
        <v>0.173665165288447</v>
      </c>
      <c r="K1583">
        <v>0.27114542265237601</v>
      </c>
      <c r="L1583">
        <v>526.71755848958298</v>
      </c>
      <c r="M1583">
        <v>10.908820328026399</v>
      </c>
      <c r="N1583">
        <v>49.9400375380539</v>
      </c>
      <c r="O1583">
        <v>46.746115239054802</v>
      </c>
      <c r="P1583">
        <v>-4.9502096982554998E-2</v>
      </c>
      <c r="Q1583">
        <v>0.15179637156185699</v>
      </c>
      <c r="R1583">
        <v>0.93532145890250096</v>
      </c>
      <c r="S1583" t="s">
        <v>8389</v>
      </c>
      <c r="T1583" t="s">
        <v>13610</v>
      </c>
      <c r="U1583" t="s">
        <v>13610</v>
      </c>
      <c r="V1583" t="s">
        <v>13610</v>
      </c>
      <c r="W1583" t="s">
        <v>15155</v>
      </c>
      <c r="X1583">
        <v>2</v>
      </c>
      <c r="Y1583" t="s">
        <v>21853</v>
      </c>
      <c r="Z1583" t="s">
        <v>28438</v>
      </c>
      <c r="AA1583">
        <v>0.42428006560196602</v>
      </c>
      <c r="AB1583" t="str">
        <f>HYPERLINK("Melting_Curves/meltCurve_O94808_GFPT2.pdf", "Melting_Curves/meltCurve_O94808_GFPT2.pdf")</f>
        <v>Melting_Curves/meltCurve_O94808_GFPT2.pdf</v>
      </c>
    </row>
    <row r="1584" spans="1:28" x14ac:dyDescent="0.25">
      <c r="A1584" t="s">
        <v>1588</v>
      </c>
      <c r="B1584">
        <v>0.995954080203443</v>
      </c>
      <c r="C1584">
        <v>0.74826816786926598</v>
      </c>
      <c r="D1584">
        <v>0.80699187526496197</v>
      </c>
      <c r="E1584">
        <v>0.56413240572435897</v>
      </c>
      <c r="F1584">
        <v>0.49121847095778998</v>
      </c>
      <c r="G1584">
        <v>0.102796368131436</v>
      </c>
      <c r="H1584">
        <v>5.0848025151015303E-2</v>
      </c>
      <c r="I1584">
        <v>2.5794455979558699E-2</v>
      </c>
      <c r="J1584">
        <v>3.0664217668317902E-2</v>
      </c>
      <c r="K1584">
        <v>2.8902252714885401E-2</v>
      </c>
      <c r="L1584">
        <v>652.74167325233498</v>
      </c>
      <c r="M1584">
        <v>12.857289374207999</v>
      </c>
      <c r="N1584">
        <v>50.768217783837201</v>
      </c>
      <c r="O1584">
        <v>49.587128112547603</v>
      </c>
      <c r="P1584">
        <v>-6.4833661730659298E-2</v>
      </c>
      <c r="Q1584">
        <v>0</v>
      </c>
      <c r="R1584">
        <v>0.95607140889304398</v>
      </c>
      <c r="S1584" t="s">
        <v>8390</v>
      </c>
      <c r="T1584" t="s">
        <v>13610</v>
      </c>
      <c r="U1584" t="s">
        <v>13610</v>
      </c>
      <c r="V1584" t="s">
        <v>13610</v>
      </c>
      <c r="W1584" t="s">
        <v>15156</v>
      </c>
      <c r="X1584">
        <v>2</v>
      </c>
      <c r="Y1584" t="s">
        <v>21854</v>
      </c>
      <c r="Z1584" t="s">
        <v>28439</v>
      </c>
      <c r="AA1584">
        <v>0.38876668126788272</v>
      </c>
      <c r="AB1584" t="str">
        <f>HYPERLINK("Melting_Curves/meltCurve_O94817_ATG12.pdf", "Melting_Curves/meltCurve_O94817_ATG12.pdf")</f>
        <v>Melting_Curves/meltCurve_O94817_ATG12.pdf</v>
      </c>
    </row>
    <row r="1585" spans="1:28" x14ac:dyDescent="0.25">
      <c r="A1585" t="s">
        <v>1589</v>
      </c>
      <c r="B1585">
        <v>0.995954080203443</v>
      </c>
      <c r="C1585">
        <v>1.0031409434929299</v>
      </c>
      <c r="D1585">
        <v>1.02394439022224</v>
      </c>
      <c r="E1585">
        <v>0.75654446269112796</v>
      </c>
      <c r="F1585">
        <v>0.40797943483746701</v>
      </c>
      <c r="G1585">
        <v>0.295890285369866</v>
      </c>
      <c r="H1585">
        <v>0.23331600013624301</v>
      </c>
      <c r="I1585">
        <v>0.26369174478773399</v>
      </c>
      <c r="J1585">
        <v>0.33978223074957198</v>
      </c>
      <c r="K1585">
        <v>0.27698866295797298</v>
      </c>
      <c r="L1585">
        <v>2027.8495078603501</v>
      </c>
      <c r="M1585">
        <v>39.849891720128802</v>
      </c>
      <c r="N1585">
        <v>51.959738938751599</v>
      </c>
      <c r="O1585">
        <v>50.759575514359497</v>
      </c>
      <c r="P1585">
        <v>-0.141244615705929</v>
      </c>
      <c r="Q1585">
        <v>0.28034941842556199</v>
      </c>
      <c r="R1585">
        <v>0.99297160186201305</v>
      </c>
      <c r="S1585" t="s">
        <v>8391</v>
      </c>
      <c r="T1585" t="s">
        <v>13610</v>
      </c>
      <c r="U1585" t="s">
        <v>13610</v>
      </c>
      <c r="V1585" t="s">
        <v>13610</v>
      </c>
      <c r="W1585" t="s">
        <v>15157</v>
      </c>
      <c r="X1585">
        <v>4</v>
      </c>
      <c r="Y1585" t="s">
        <v>21855</v>
      </c>
      <c r="Z1585" t="s">
        <v>28440</v>
      </c>
      <c r="AA1585">
        <v>0.54406601291962597</v>
      </c>
      <c r="AB1585" t="str">
        <f>HYPERLINK("Melting_Curves/meltCurve_O94819_KBTBD11.pdf", "Melting_Curves/meltCurve_O94819_KBTBD11.pdf")</f>
        <v>Melting_Curves/meltCurve_O94819_KBTBD11.pdf</v>
      </c>
    </row>
    <row r="1586" spans="1:28" x14ac:dyDescent="0.25">
      <c r="A1586" t="s">
        <v>1590</v>
      </c>
      <c r="B1586">
        <v>0.995954080203443</v>
      </c>
      <c r="C1586">
        <v>0.82404988925885103</v>
      </c>
      <c r="D1586">
        <v>0.63118085763279197</v>
      </c>
      <c r="E1586">
        <v>0.29902069700939898</v>
      </c>
      <c r="F1586">
        <v>0.14606868070742099</v>
      </c>
      <c r="G1586">
        <v>8.8923349166087601E-2</v>
      </c>
      <c r="H1586">
        <v>6.2849265284127903E-2</v>
      </c>
      <c r="I1586">
        <v>5.2583147058414402E-2</v>
      </c>
      <c r="J1586">
        <v>6.3116271881944797E-2</v>
      </c>
      <c r="K1586">
        <v>5.4935893558318301E-2</v>
      </c>
      <c r="L1586">
        <v>844.21423143862501</v>
      </c>
      <c r="M1586">
        <v>17.951844864529299</v>
      </c>
      <c r="N1586">
        <v>47.2999658030758</v>
      </c>
      <c r="O1586">
        <v>46.454700051352098</v>
      </c>
      <c r="P1586">
        <v>-9.1853731040889702E-2</v>
      </c>
      <c r="Q1586">
        <v>4.9273254518109599E-2</v>
      </c>
      <c r="R1586">
        <v>0.99760509616442605</v>
      </c>
      <c r="S1586" t="s">
        <v>8392</v>
      </c>
      <c r="T1586" t="s">
        <v>13610</v>
      </c>
      <c r="U1586" t="s">
        <v>13610</v>
      </c>
      <c r="V1586" t="s">
        <v>13610</v>
      </c>
      <c r="W1586" t="s">
        <v>15158</v>
      </c>
      <c r="X1586">
        <v>24</v>
      </c>
      <c r="Y1586" t="s">
        <v>21856</v>
      </c>
      <c r="Z1586" t="s">
        <v>28441</v>
      </c>
      <c r="AA1586">
        <v>0.28957242396457822</v>
      </c>
      <c r="AB1586" t="str">
        <f>HYPERLINK("Melting_Curves/meltCurve_O94822_LTN1.pdf", "Melting_Curves/meltCurve_O94822_LTN1.pdf")</f>
        <v>Melting_Curves/meltCurve_O94822_LTN1.pdf</v>
      </c>
    </row>
    <row r="1587" spans="1:28" x14ac:dyDescent="0.25">
      <c r="A1587" t="s">
        <v>1591</v>
      </c>
      <c r="B1587">
        <v>0.995954080203443</v>
      </c>
      <c r="C1587">
        <v>0.94541206494919505</v>
      </c>
      <c r="D1587">
        <v>0.87665029409121797</v>
      </c>
      <c r="E1587">
        <v>0.74681984409537805</v>
      </c>
      <c r="F1587">
        <v>0.22534245449937601</v>
      </c>
      <c r="G1587">
        <v>0.13306753517842199</v>
      </c>
      <c r="H1587">
        <v>9.62127090883758E-2</v>
      </c>
      <c r="I1587">
        <v>8.8998034009403898E-2</v>
      </c>
      <c r="J1587">
        <v>0.104463498933534</v>
      </c>
      <c r="K1587">
        <v>9.4465849489351106E-2</v>
      </c>
      <c r="L1587">
        <v>2256.2325135934602</v>
      </c>
      <c r="M1587">
        <v>44.256546934969201</v>
      </c>
      <c r="N1587">
        <v>51.238002899948398</v>
      </c>
      <c r="O1587">
        <v>50.877023222665201</v>
      </c>
      <c r="P1587">
        <v>-0.19580395098023901</v>
      </c>
      <c r="Q1587">
        <v>9.9622113497290304E-2</v>
      </c>
      <c r="R1587">
        <v>0.98794799225394803</v>
      </c>
      <c r="S1587" t="s">
        <v>8393</v>
      </c>
      <c r="T1587" t="s">
        <v>13610</v>
      </c>
      <c r="U1587" t="s">
        <v>13610</v>
      </c>
      <c r="V1587" t="s">
        <v>13610</v>
      </c>
      <c r="W1587" t="s">
        <v>15159</v>
      </c>
      <c r="X1587">
        <v>15</v>
      </c>
      <c r="Y1587" t="s">
        <v>21857</v>
      </c>
      <c r="Z1587" t="s">
        <v>28442</v>
      </c>
      <c r="AA1587">
        <v>0.43177142872987262</v>
      </c>
      <c r="AB1587" t="str">
        <f>HYPERLINK("Melting_Curves/meltCurve_O94826_TOMM70A.pdf", "Melting_Curves/meltCurve_O94826_TOMM70A.pdf")</f>
        <v>Melting_Curves/meltCurve_O94826_TOMM70A.pdf</v>
      </c>
    </row>
    <row r="1588" spans="1:28" x14ac:dyDescent="0.25">
      <c r="A1588" t="s">
        <v>1592</v>
      </c>
      <c r="B1588">
        <v>0.995954080203443</v>
      </c>
      <c r="C1588">
        <v>0.95569832397592902</v>
      </c>
      <c r="D1588">
        <v>0.86102359485603697</v>
      </c>
      <c r="E1588">
        <v>0.75290244990425503</v>
      </c>
      <c r="F1588">
        <v>0.31588379550269202</v>
      </c>
      <c r="G1588">
        <v>0.14125337100346899</v>
      </c>
      <c r="H1588">
        <v>9.6938592379824398E-2</v>
      </c>
      <c r="I1588">
        <v>9.54194473795065E-2</v>
      </c>
      <c r="J1588">
        <v>0.109570665863712</v>
      </c>
      <c r="K1588">
        <v>9.4736740350251605E-2</v>
      </c>
      <c r="L1588">
        <v>1509.4564030959</v>
      </c>
      <c r="M1588">
        <v>29.437738059079201</v>
      </c>
      <c r="N1588">
        <v>51.641436809626803</v>
      </c>
      <c r="O1588">
        <v>51.041357817365601</v>
      </c>
      <c r="P1588">
        <v>-0.13063758629543801</v>
      </c>
      <c r="Q1588">
        <v>9.3969391034805602E-2</v>
      </c>
      <c r="R1588">
        <v>0.98829819608027003</v>
      </c>
      <c r="S1588" t="s">
        <v>8394</v>
      </c>
      <c r="T1588" t="s">
        <v>13610</v>
      </c>
      <c r="U1588" t="s">
        <v>13610</v>
      </c>
      <c r="V1588" t="s">
        <v>13610</v>
      </c>
      <c r="W1588" t="s">
        <v>15160</v>
      </c>
      <c r="X1588">
        <v>18</v>
      </c>
      <c r="Y1588" t="s">
        <v>21858</v>
      </c>
      <c r="Z1588" t="s">
        <v>28443</v>
      </c>
      <c r="AA1588">
        <v>0.44046586017732431</v>
      </c>
      <c r="AB1588" t="str">
        <f>HYPERLINK("Melting_Curves/meltCurve_O94829_IPO13.pdf", "Melting_Curves/meltCurve_O94829_IPO13.pdf")</f>
        <v>Melting_Curves/meltCurve_O94829_IPO13.pdf</v>
      </c>
    </row>
    <row r="1589" spans="1:28" x14ac:dyDescent="0.25">
      <c r="A1589" t="s">
        <v>1593</v>
      </c>
      <c r="B1589">
        <v>0.995954080203443</v>
      </c>
      <c r="C1589">
        <v>0.91685702521663204</v>
      </c>
      <c r="D1589">
        <v>0.95120762280965199</v>
      </c>
      <c r="E1589">
        <v>0.79324790851581395</v>
      </c>
      <c r="F1589">
        <v>0.60671536715215102</v>
      </c>
      <c r="G1589">
        <v>0.339946617287679</v>
      </c>
      <c r="H1589">
        <v>0.14010463079935701</v>
      </c>
      <c r="I1589">
        <v>0.10142435292044399</v>
      </c>
      <c r="J1589">
        <v>9.9872655230697896E-2</v>
      </c>
      <c r="K1589">
        <v>0.101405068077857</v>
      </c>
      <c r="L1589">
        <v>907.52771712337903</v>
      </c>
      <c r="M1589">
        <v>16.841782195657601</v>
      </c>
      <c r="N1589">
        <v>54.2791716636589</v>
      </c>
      <c r="O1589">
        <v>53.142981315027299</v>
      </c>
      <c r="P1589">
        <v>-7.4678493736260995E-2</v>
      </c>
      <c r="Q1589">
        <v>5.7490836091750298E-2</v>
      </c>
      <c r="R1589">
        <v>0.99446662821493603</v>
      </c>
      <c r="S1589" t="s">
        <v>8395</v>
      </c>
      <c r="T1589" t="s">
        <v>13610</v>
      </c>
      <c r="U1589" t="s">
        <v>13610</v>
      </c>
      <c r="V1589" t="s">
        <v>13610</v>
      </c>
      <c r="W1589" t="s">
        <v>15161</v>
      </c>
      <c r="X1589">
        <v>11</v>
      </c>
      <c r="Y1589" t="s">
        <v>21859</v>
      </c>
      <c r="Z1589" t="s">
        <v>28444</v>
      </c>
      <c r="AA1589">
        <v>0.5103965962985717</v>
      </c>
      <c r="AB1589" t="str">
        <f>HYPERLINK("Melting_Curves/meltCurve_O94830_DDHD2.pdf", "Melting_Curves/meltCurve_O94830_DDHD2.pdf")</f>
        <v>Melting_Curves/meltCurve_O94830_DDHD2.pdf</v>
      </c>
    </row>
    <row r="1590" spans="1:28" x14ac:dyDescent="0.25">
      <c r="A1590" t="s">
        <v>1594</v>
      </c>
      <c r="B1590">
        <v>0.995954080203443</v>
      </c>
      <c r="C1590">
        <v>0.94351523585725905</v>
      </c>
      <c r="D1590">
        <v>0.804121828888955</v>
      </c>
      <c r="E1590">
        <v>0.52448211606622097</v>
      </c>
      <c r="F1590">
        <v>0.211319302106204</v>
      </c>
      <c r="G1590">
        <v>0.110459021124355</v>
      </c>
      <c r="H1590">
        <v>7.7074399583606498E-2</v>
      </c>
      <c r="I1590">
        <v>7.6810265883090298E-2</v>
      </c>
      <c r="J1590">
        <v>8.5872279379831107E-2</v>
      </c>
      <c r="K1590">
        <v>7.9427356285507303E-2</v>
      </c>
      <c r="L1590">
        <v>1010.16951141532</v>
      </c>
      <c r="M1590">
        <v>20.447570539130901</v>
      </c>
      <c r="N1590">
        <v>49.744779518529</v>
      </c>
      <c r="O1590">
        <v>48.937673090094201</v>
      </c>
      <c r="P1590">
        <v>-9.7613068376953993E-2</v>
      </c>
      <c r="Q1590">
        <v>6.5548845601748104E-2</v>
      </c>
      <c r="R1590">
        <v>0.99584624429215596</v>
      </c>
      <c r="S1590" t="s">
        <v>8396</v>
      </c>
      <c r="T1590" t="s">
        <v>13610</v>
      </c>
      <c r="U1590" t="s">
        <v>13610</v>
      </c>
      <c r="V1590" t="s">
        <v>13610</v>
      </c>
      <c r="W1590" t="s">
        <v>15162</v>
      </c>
      <c r="X1590">
        <v>11</v>
      </c>
      <c r="Y1590" t="s">
        <v>21860</v>
      </c>
      <c r="Z1590" t="s">
        <v>28445</v>
      </c>
      <c r="AA1590">
        <v>0.3709166254154308</v>
      </c>
      <c r="AB1590" t="str">
        <f>HYPERLINK("Melting_Curves/meltCurve_O94851_5_MICAL2.pdf", "Melting_Curves/meltCurve_O94851_5_MICAL2.pdf")</f>
        <v>Melting_Curves/meltCurve_O94851_5_MICAL2.pdf</v>
      </c>
    </row>
    <row r="1591" spans="1:28" x14ac:dyDescent="0.25">
      <c r="A1591" t="s">
        <v>1595</v>
      </c>
      <c r="B1591">
        <v>0.995954080203443</v>
      </c>
      <c r="C1591">
        <v>0.97777762762893605</v>
      </c>
      <c r="D1591">
        <v>0.92564807009585703</v>
      </c>
      <c r="E1591">
        <v>0.81604975111957001</v>
      </c>
      <c r="F1591">
        <v>0.68174951184382304</v>
      </c>
      <c r="G1591">
        <v>0.48645067024458299</v>
      </c>
      <c r="H1591">
        <v>0.41516820193007198</v>
      </c>
      <c r="I1591">
        <v>0.45621019133770102</v>
      </c>
      <c r="J1591">
        <v>0.54747816937711502</v>
      </c>
      <c r="K1591">
        <v>0.55899698223737504</v>
      </c>
      <c r="L1591">
        <v>1221.4092552452</v>
      </c>
      <c r="M1591">
        <v>23.838753609841799</v>
      </c>
      <c r="N1591">
        <v>60.295810422079199</v>
      </c>
      <c r="O1591">
        <v>50.879825530994403</v>
      </c>
      <c r="P1591">
        <v>-6.01969274891044E-2</v>
      </c>
      <c r="Q1591">
        <v>0.48608732177727898</v>
      </c>
      <c r="R1591">
        <v>0.95235578257241504</v>
      </c>
      <c r="S1591" t="s">
        <v>8397</v>
      </c>
      <c r="T1591" t="s">
        <v>13610</v>
      </c>
      <c r="U1591" t="s">
        <v>13610</v>
      </c>
      <c r="V1591" t="s">
        <v>13610</v>
      </c>
      <c r="W1591" t="s">
        <v>15163</v>
      </c>
      <c r="X1591">
        <v>9</v>
      </c>
      <c r="Y1591" t="s">
        <v>21861</v>
      </c>
      <c r="Z1591" t="s">
        <v>28446</v>
      </c>
      <c r="AA1591">
        <v>0.68367649919383544</v>
      </c>
      <c r="AB1591" t="str">
        <f>HYPERLINK("Melting_Curves/meltCurve_O94854_KIAA0754.pdf", "Melting_Curves/meltCurve_O94854_KIAA0754.pdf")</f>
        <v>Melting_Curves/meltCurve_O94854_KIAA0754.pdf</v>
      </c>
    </row>
    <row r="1592" spans="1:28" x14ac:dyDescent="0.25">
      <c r="A1592" t="s">
        <v>1596</v>
      </c>
      <c r="B1592">
        <v>0.995954080203443</v>
      </c>
      <c r="C1592">
        <v>1.0214036055909601</v>
      </c>
      <c r="D1592">
        <v>0.94692161508691597</v>
      </c>
      <c r="E1592">
        <v>0.79583842398489402</v>
      </c>
      <c r="F1592">
        <v>0.313149575443808</v>
      </c>
      <c r="G1592">
        <v>0.130846682064024</v>
      </c>
      <c r="H1592">
        <v>7.7177521446288699E-2</v>
      </c>
      <c r="I1592">
        <v>6.7276194716308996E-2</v>
      </c>
      <c r="J1592">
        <v>7.0690929136900199E-2</v>
      </c>
      <c r="K1592">
        <v>6.6522804504827907E-2</v>
      </c>
      <c r="L1592">
        <v>1929.0532043446699</v>
      </c>
      <c r="M1592">
        <v>37.389442047748901</v>
      </c>
      <c r="N1592">
        <v>51.819009712901298</v>
      </c>
      <c r="O1592">
        <v>51.446593067061599</v>
      </c>
      <c r="P1592">
        <v>-0.168050650867548</v>
      </c>
      <c r="Q1592">
        <v>7.5074534816437305E-2</v>
      </c>
      <c r="R1592">
        <v>0.99780305090540899</v>
      </c>
      <c r="S1592" t="s">
        <v>8398</v>
      </c>
      <c r="T1592" t="s">
        <v>13610</v>
      </c>
      <c r="U1592" t="s">
        <v>13610</v>
      </c>
      <c r="V1592" t="s">
        <v>13610</v>
      </c>
      <c r="W1592" t="s">
        <v>15164</v>
      </c>
      <c r="X1592">
        <v>25</v>
      </c>
      <c r="Y1592" t="s">
        <v>21862</v>
      </c>
      <c r="Z1592" t="s">
        <v>28447</v>
      </c>
      <c r="AA1592">
        <v>0.43628997579314799</v>
      </c>
      <c r="AB1592" t="str">
        <f>HYPERLINK("Melting_Curves/meltCurve_O94855_SEC24D.pdf", "Melting_Curves/meltCurve_O94855_SEC24D.pdf")</f>
        <v>Melting_Curves/meltCurve_O94855_SEC24D.pdf</v>
      </c>
    </row>
    <row r="1593" spans="1:28" x14ac:dyDescent="0.25">
      <c r="A1593" t="s">
        <v>1597</v>
      </c>
      <c r="B1593">
        <v>0.995954080203443</v>
      </c>
      <c r="C1593">
        <v>0.80306092190486</v>
      </c>
      <c r="D1593">
        <v>0.86055848352324904</v>
      </c>
      <c r="E1593">
        <v>0.69226474199763799</v>
      </c>
      <c r="F1593">
        <v>0.56757482622239896</v>
      </c>
      <c r="G1593">
        <v>0.26759799545253699</v>
      </c>
      <c r="H1593">
        <v>0.188073192675274</v>
      </c>
      <c r="I1593">
        <v>0.18392127337671299</v>
      </c>
      <c r="J1593">
        <v>0.28422990742642201</v>
      </c>
      <c r="K1593">
        <v>0.169011633831502</v>
      </c>
      <c r="L1593">
        <v>643.45191169461896</v>
      </c>
      <c r="M1593">
        <v>12.455689404624</v>
      </c>
      <c r="N1593">
        <v>53.045642017393902</v>
      </c>
      <c r="O1593">
        <v>50.381915539893399</v>
      </c>
      <c r="P1593">
        <v>-5.3230792334157499E-2</v>
      </c>
      <c r="Q1593">
        <v>0.138928464622462</v>
      </c>
      <c r="R1593">
        <v>0.95200683068109104</v>
      </c>
      <c r="S1593" t="s">
        <v>8399</v>
      </c>
      <c r="T1593" t="s">
        <v>13610</v>
      </c>
      <c r="U1593" t="s">
        <v>13610</v>
      </c>
      <c r="V1593" t="s">
        <v>13610</v>
      </c>
      <c r="W1593" t="s">
        <v>15165</v>
      </c>
      <c r="X1593">
        <v>4</v>
      </c>
      <c r="Y1593" t="s">
        <v>21863</v>
      </c>
      <c r="Z1593" t="s">
        <v>28448</v>
      </c>
      <c r="AA1593">
        <v>0.49919823069462588</v>
      </c>
      <c r="AB1593" t="str">
        <f>HYPERLINK("Melting_Curves/meltCurve_O94864_2_SUPT7L.pdf", "Melting_Curves/meltCurve_O94864_2_SUPT7L.pdf")</f>
        <v>Melting_Curves/meltCurve_O94864_2_SUPT7L.pdf</v>
      </c>
    </row>
    <row r="1594" spans="1:28" x14ac:dyDescent="0.25">
      <c r="A1594" t="s">
        <v>1598</v>
      </c>
      <c r="B1594">
        <v>0.995954080203443</v>
      </c>
      <c r="C1594">
        <v>0.87639078624659605</v>
      </c>
      <c r="D1594">
        <v>0.62875034440561695</v>
      </c>
      <c r="E1594">
        <v>0.34666931849189297</v>
      </c>
      <c r="F1594">
        <v>0.14134865681172001</v>
      </c>
      <c r="G1594">
        <v>7.8505934397645402E-2</v>
      </c>
      <c r="H1594">
        <v>4.7582443513424201E-2</v>
      </c>
      <c r="I1594">
        <v>4.1866325825349701E-2</v>
      </c>
      <c r="J1594">
        <v>4.4194498998609798E-2</v>
      </c>
      <c r="K1594">
        <v>3.9465209749699297E-2</v>
      </c>
      <c r="L1594">
        <v>843.85853261500904</v>
      </c>
      <c r="M1594">
        <v>17.7709343050788</v>
      </c>
      <c r="N1594">
        <v>47.667543722509798</v>
      </c>
      <c r="O1594">
        <v>46.896245525326997</v>
      </c>
      <c r="P1594">
        <v>-9.1629071399534801E-2</v>
      </c>
      <c r="Q1594">
        <v>3.2839026911866499E-2</v>
      </c>
      <c r="R1594">
        <v>0.99755505788434895</v>
      </c>
      <c r="S1594" t="s">
        <v>8400</v>
      </c>
      <c r="T1594" t="s">
        <v>13610</v>
      </c>
      <c r="U1594" t="s">
        <v>13610</v>
      </c>
      <c r="V1594" t="s">
        <v>13610</v>
      </c>
      <c r="W1594" t="s">
        <v>15166</v>
      </c>
      <c r="X1594">
        <v>27</v>
      </c>
      <c r="Y1594" t="s">
        <v>21864</v>
      </c>
      <c r="Z1594" t="s">
        <v>28449</v>
      </c>
      <c r="AA1594">
        <v>0.29210704268406151</v>
      </c>
      <c r="AB1594" t="str">
        <f>HYPERLINK("Melting_Curves/meltCurve_O94874_UFL1.pdf", "Melting_Curves/meltCurve_O94874_UFL1.pdf")</f>
        <v>Melting_Curves/meltCurve_O94874_UFL1.pdf</v>
      </c>
    </row>
    <row r="1595" spans="1:28" x14ac:dyDescent="0.25">
      <c r="A1595" t="s">
        <v>1599</v>
      </c>
      <c r="B1595">
        <v>0.995954080203443</v>
      </c>
      <c r="C1595">
        <v>0.95316794990925402</v>
      </c>
      <c r="D1595">
        <v>0.97651801234895397</v>
      </c>
      <c r="E1595">
        <v>0.83756970225911698</v>
      </c>
      <c r="F1595">
        <v>0.70081075605772802</v>
      </c>
      <c r="G1595">
        <v>0.488845516585446</v>
      </c>
      <c r="H1595">
        <v>0.38467828069038701</v>
      </c>
      <c r="I1595">
        <v>0.39484897248742301</v>
      </c>
      <c r="J1595">
        <v>0.445584470411515</v>
      </c>
      <c r="K1595">
        <v>0.41402777269692997</v>
      </c>
      <c r="L1595">
        <v>1153.4204243056099</v>
      </c>
      <c r="M1595">
        <v>21.916707481313999</v>
      </c>
      <c r="N1595">
        <v>56.779306626465598</v>
      </c>
      <c r="O1595">
        <v>52.195186718348403</v>
      </c>
      <c r="P1595">
        <v>-6.3058224568483201E-2</v>
      </c>
      <c r="Q1595">
        <v>0.39931465758004803</v>
      </c>
      <c r="R1595">
        <v>0.98908425548507195</v>
      </c>
      <c r="S1595" t="s">
        <v>8401</v>
      </c>
      <c r="T1595" t="s">
        <v>13610</v>
      </c>
      <c r="U1595" t="s">
        <v>13610</v>
      </c>
      <c r="V1595" t="s">
        <v>13610</v>
      </c>
      <c r="W1595" t="s">
        <v>15167</v>
      </c>
      <c r="X1595">
        <v>2</v>
      </c>
      <c r="Y1595" t="s">
        <v>21865</v>
      </c>
      <c r="Z1595" t="s">
        <v>28450</v>
      </c>
      <c r="AA1595">
        <v>0.6591935921658415</v>
      </c>
      <c r="AB1595" t="str">
        <f>HYPERLINK("Melting_Curves/meltCurve_O94876_TMCC1.pdf", "Melting_Curves/meltCurve_O94876_TMCC1.pdf")</f>
        <v>Melting_Curves/meltCurve_O94876_TMCC1.pdf</v>
      </c>
    </row>
    <row r="1596" spans="1:28" x14ac:dyDescent="0.25">
      <c r="A1596" t="s">
        <v>1600</v>
      </c>
      <c r="B1596">
        <v>0.995954080203443</v>
      </c>
      <c r="C1596">
        <v>0.842807666239765</v>
      </c>
      <c r="D1596">
        <v>1.0509535991205099</v>
      </c>
      <c r="E1596">
        <v>0.73152578517213396</v>
      </c>
      <c r="F1596">
        <v>0.84603469586573099</v>
      </c>
      <c r="G1596">
        <v>0.68429102503219397</v>
      </c>
      <c r="H1596">
        <v>0.729815727970622</v>
      </c>
      <c r="I1596">
        <v>0.85976627846277198</v>
      </c>
      <c r="J1596">
        <v>1.23732450821634</v>
      </c>
      <c r="K1596">
        <v>1.0207840567765001</v>
      </c>
      <c r="L1596">
        <v>10130.8795955801</v>
      </c>
      <c r="M1596">
        <v>250</v>
      </c>
      <c r="O1596">
        <v>40.520909737747999</v>
      </c>
      <c r="P1596">
        <v>-0.17081309618308399</v>
      </c>
      <c r="Q1596">
        <v>0.88925592492925198</v>
      </c>
      <c r="R1596">
        <v>3.7662423554488497E-2</v>
      </c>
      <c r="S1596" t="s">
        <v>8402</v>
      </c>
      <c r="T1596" t="s">
        <v>13610</v>
      </c>
      <c r="U1596" t="s">
        <v>13610</v>
      </c>
      <c r="V1596" t="s">
        <v>13610</v>
      </c>
      <c r="W1596" t="s">
        <v>15168</v>
      </c>
      <c r="X1596">
        <v>8</v>
      </c>
      <c r="Y1596" t="s">
        <v>21866</v>
      </c>
      <c r="Z1596" t="s">
        <v>28451</v>
      </c>
      <c r="AA1596">
        <v>0.89121788663175028</v>
      </c>
      <c r="AB1596" t="str">
        <f>HYPERLINK("Melting_Curves/meltCurve_O94880_PHF14.pdf", "Melting_Curves/meltCurve_O94880_PHF14.pdf")</f>
        <v>Melting_Curves/meltCurve_O94880_PHF14.pdf</v>
      </c>
    </row>
    <row r="1597" spans="1:28" x14ac:dyDescent="0.25">
      <c r="A1597" t="s">
        <v>1601</v>
      </c>
      <c r="B1597">
        <v>0.995954080203443</v>
      </c>
      <c r="C1597">
        <v>0.98369178705874805</v>
      </c>
      <c r="D1597">
        <v>0.93543023096368605</v>
      </c>
      <c r="E1597">
        <v>0.89814334184924505</v>
      </c>
      <c r="F1597">
        <v>0.92900565412501901</v>
      </c>
      <c r="G1597">
        <v>0.70857529503749195</v>
      </c>
      <c r="H1597">
        <v>0.68869143414304701</v>
      </c>
      <c r="I1597">
        <v>0.77112061774847995</v>
      </c>
      <c r="J1597">
        <v>1.1603042475516001</v>
      </c>
      <c r="K1597">
        <v>0.91140426632335803</v>
      </c>
      <c r="L1597">
        <v>1075.68004282376</v>
      </c>
      <c r="M1597">
        <v>22.978410276946398</v>
      </c>
      <c r="O1597">
        <v>46.462418110184302</v>
      </c>
      <c r="P1597">
        <v>-1.7270807305576799E-2</v>
      </c>
      <c r="Q1597">
        <v>0.86031612012158099</v>
      </c>
      <c r="R1597">
        <v>0.14325082424991201</v>
      </c>
      <c r="S1597" t="s">
        <v>8403</v>
      </c>
      <c r="T1597" t="s">
        <v>13610</v>
      </c>
      <c r="U1597" t="s">
        <v>13610</v>
      </c>
      <c r="V1597" t="s">
        <v>13610</v>
      </c>
      <c r="W1597" t="s">
        <v>15169</v>
      </c>
      <c r="X1597">
        <v>8</v>
      </c>
      <c r="Y1597" t="s">
        <v>21866</v>
      </c>
      <c r="Z1597" t="s">
        <v>28452</v>
      </c>
      <c r="AA1597">
        <v>0.8935481242357195</v>
      </c>
      <c r="AB1597" t="str">
        <f>HYPERLINK("Melting_Curves/meltCurve_O94880_2_PHF14.pdf", "Melting_Curves/meltCurve_O94880_2_PHF14.pdf")</f>
        <v>Melting_Curves/meltCurve_O94880_2_PHF14.pdf</v>
      </c>
    </row>
    <row r="1598" spans="1:28" x14ac:dyDescent="0.25">
      <c r="A1598" t="s">
        <v>1602</v>
      </c>
      <c r="B1598">
        <v>0.995954080203443</v>
      </c>
      <c r="C1598">
        <v>0.997590644804636</v>
      </c>
      <c r="D1598">
        <v>0.95393583727368003</v>
      </c>
      <c r="E1598">
        <v>0.89483805144435002</v>
      </c>
      <c r="F1598">
        <v>0.79445988904200604</v>
      </c>
      <c r="G1598">
        <v>0.53919134643357902</v>
      </c>
      <c r="H1598">
        <v>0.38802359629448901</v>
      </c>
      <c r="I1598">
        <v>0.38545466973630699</v>
      </c>
      <c r="J1598">
        <v>0.42684132987151102</v>
      </c>
      <c r="K1598">
        <v>0.39892275669640198</v>
      </c>
      <c r="L1598">
        <v>1248.4552346956</v>
      </c>
      <c r="M1598">
        <v>23.031716563007599</v>
      </c>
      <c r="N1598">
        <v>57.886666068818499</v>
      </c>
      <c r="O1598">
        <v>53.802230363829501</v>
      </c>
      <c r="P1598">
        <v>-6.5882814693112898E-2</v>
      </c>
      <c r="Q1598">
        <v>0.38440082835193501</v>
      </c>
      <c r="R1598">
        <v>0.99119445152920804</v>
      </c>
      <c r="S1598" t="s">
        <v>8404</v>
      </c>
      <c r="T1598" t="s">
        <v>13610</v>
      </c>
      <c r="U1598" t="s">
        <v>13610</v>
      </c>
      <c r="V1598" t="s">
        <v>13610</v>
      </c>
      <c r="W1598" t="s">
        <v>15170</v>
      </c>
      <c r="X1598">
        <v>26</v>
      </c>
      <c r="Y1598" t="s">
        <v>21867</v>
      </c>
      <c r="Z1598" t="s">
        <v>28453</v>
      </c>
      <c r="AA1598">
        <v>0.68249718380593716</v>
      </c>
      <c r="AB1598" t="str">
        <f>HYPERLINK("Melting_Curves/meltCurve_O94888_UBXN7.pdf", "Melting_Curves/meltCurve_O94888_UBXN7.pdf")</f>
        <v>Melting_Curves/meltCurve_O94888_UBXN7.pdf</v>
      </c>
    </row>
    <row r="1599" spans="1:28" x14ac:dyDescent="0.25">
      <c r="A1599" t="s">
        <v>1603</v>
      </c>
      <c r="B1599">
        <v>0.995954080203443</v>
      </c>
      <c r="C1599">
        <v>0.965645690942597</v>
      </c>
      <c r="D1599">
        <v>0.80171948671275595</v>
      </c>
      <c r="E1599">
        <v>0.67398187242581398</v>
      </c>
      <c r="F1599">
        <v>0.38264630516890502</v>
      </c>
      <c r="G1599">
        <v>0.112570351438807</v>
      </c>
      <c r="H1599">
        <v>7.6578893475029094E-2</v>
      </c>
      <c r="I1599">
        <v>8.2249014820457905E-2</v>
      </c>
      <c r="J1599">
        <v>8.4320598234781705E-2</v>
      </c>
      <c r="K1599">
        <v>7.4772448393132407E-2</v>
      </c>
      <c r="L1599">
        <v>913.63861955652897</v>
      </c>
      <c r="M1599">
        <v>17.8888083947711</v>
      </c>
      <c r="N1599">
        <v>51.357610982417498</v>
      </c>
      <c r="O1599">
        <v>50.447789244206596</v>
      </c>
      <c r="P1599">
        <v>-8.4473734867968303E-2</v>
      </c>
      <c r="Q1599">
        <v>4.7158971973308199E-2</v>
      </c>
      <c r="R1599">
        <v>0.98867651935961698</v>
      </c>
      <c r="S1599" t="s">
        <v>8405</v>
      </c>
      <c r="T1599" t="s">
        <v>13610</v>
      </c>
      <c r="U1599" t="s">
        <v>13610</v>
      </c>
      <c r="V1599" t="s">
        <v>13610</v>
      </c>
      <c r="W1599" t="s">
        <v>15171</v>
      </c>
      <c r="X1599">
        <v>5</v>
      </c>
      <c r="Y1599" t="s">
        <v>21868</v>
      </c>
      <c r="Z1599" t="s">
        <v>28454</v>
      </c>
      <c r="AA1599">
        <v>0.41507921535869341</v>
      </c>
      <c r="AB1599" t="str">
        <f>HYPERLINK("Melting_Curves/meltCurve_O94889_KLHL18.pdf", "Melting_Curves/meltCurve_O94889_KLHL18.pdf")</f>
        <v>Melting_Curves/meltCurve_O94889_KLHL18.pdf</v>
      </c>
    </row>
    <row r="1600" spans="1:28" x14ac:dyDescent="0.25">
      <c r="A1600" t="s">
        <v>1604</v>
      </c>
      <c r="B1600">
        <v>0.995954080203443</v>
      </c>
      <c r="C1600">
        <v>1.59703425329985</v>
      </c>
      <c r="D1600">
        <v>1.64244621606078</v>
      </c>
      <c r="E1600">
        <v>1.2353594946577799</v>
      </c>
      <c r="F1600">
        <v>0.51627444180766702</v>
      </c>
      <c r="G1600">
        <v>0.236647810643941</v>
      </c>
      <c r="H1600">
        <v>0.12078823152389399</v>
      </c>
      <c r="I1600">
        <v>7.2839952322146906E-2</v>
      </c>
      <c r="J1600">
        <v>0.132681224999675</v>
      </c>
      <c r="K1600">
        <v>5.6840849126990098E-2</v>
      </c>
      <c r="L1600">
        <v>13238.899256451001</v>
      </c>
      <c r="M1600">
        <v>250</v>
      </c>
      <c r="N1600">
        <v>53.016017841126803</v>
      </c>
      <c r="O1600">
        <v>52.952208869061501</v>
      </c>
      <c r="P1600">
        <v>-1.03399884505274</v>
      </c>
      <c r="Q1600">
        <v>0.12395964676446</v>
      </c>
      <c r="R1600">
        <v>0.77566066557771196</v>
      </c>
      <c r="S1600" t="s">
        <v>8406</v>
      </c>
      <c r="T1600" t="s">
        <v>13610</v>
      </c>
      <c r="U1600" t="s">
        <v>13610</v>
      </c>
      <c r="V1600" t="s">
        <v>13610</v>
      </c>
      <c r="W1600" t="s">
        <v>15172</v>
      </c>
      <c r="X1600">
        <v>1</v>
      </c>
      <c r="Y1600" t="s">
        <v>21869</v>
      </c>
      <c r="Z1600" t="s">
        <v>28455</v>
      </c>
      <c r="AA1600">
        <v>0.50236192249727618</v>
      </c>
      <c r="AB1600" t="str">
        <f>HYPERLINK("Melting_Curves/meltCurve_O94898_LRIG2.pdf", "Melting_Curves/meltCurve_O94898_LRIG2.pdf")</f>
        <v>Melting_Curves/meltCurve_O94898_LRIG2.pdf</v>
      </c>
    </row>
    <row r="1601" spans="1:28" x14ac:dyDescent="0.25">
      <c r="A1601" t="s">
        <v>1605</v>
      </c>
      <c r="B1601">
        <v>0.995954080203443</v>
      </c>
      <c r="C1601">
        <v>0.95733712407745897</v>
      </c>
      <c r="D1601">
        <v>0.66223206458987205</v>
      </c>
      <c r="E1601">
        <v>0.32904419618589098</v>
      </c>
      <c r="F1601">
        <v>0.185941099594155</v>
      </c>
      <c r="G1601">
        <v>0.11806078740123099</v>
      </c>
      <c r="H1601">
        <v>8.3887693218600096E-2</v>
      </c>
      <c r="I1601">
        <v>8.1263527757894999E-2</v>
      </c>
      <c r="J1601">
        <v>8.72339594234076E-2</v>
      </c>
      <c r="K1601">
        <v>8.0837618554863905E-2</v>
      </c>
      <c r="L1601">
        <v>1008.09276241723</v>
      </c>
      <c r="M1601">
        <v>21.228901334032699</v>
      </c>
      <c r="N1601">
        <v>47.9038600099299</v>
      </c>
      <c r="O1601">
        <v>47.071437036955999</v>
      </c>
      <c r="P1601">
        <v>-0.10323817607400999</v>
      </c>
      <c r="Q1601">
        <v>8.4371552327633506E-2</v>
      </c>
      <c r="R1601">
        <v>0.99725659870646899</v>
      </c>
      <c r="S1601" t="s">
        <v>8407</v>
      </c>
      <c r="T1601" t="s">
        <v>13610</v>
      </c>
      <c r="U1601" t="s">
        <v>13610</v>
      </c>
      <c r="V1601" t="s">
        <v>13610</v>
      </c>
      <c r="W1601" t="s">
        <v>15173</v>
      </c>
      <c r="X1601">
        <v>14</v>
      </c>
      <c r="Y1601" t="s">
        <v>21870</v>
      </c>
      <c r="Z1601" t="s">
        <v>28456</v>
      </c>
      <c r="AA1601">
        <v>0.32445517174557598</v>
      </c>
      <c r="AB1601" t="str">
        <f>HYPERLINK("Melting_Curves/meltCurve_O94903_PROSC.pdf", "Melting_Curves/meltCurve_O94903_PROSC.pdf")</f>
        <v>Melting_Curves/meltCurve_O94903_PROSC.pdf</v>
      </c>
    </row>
    <row r="1602" spans="1:28" x14ac:dyDescent="0.25">
      <c r="A1602" t="s">
        <v>1606</v>
      </c>
      <c r="B1602">
        <v>0.995954080203443</v>
      </c>
      <c r="C1602">
        <v>0.75642033796405606</v>
      </c>
      <c r="D1602">
        <v>0.66793935122423798</v>
      </c>
      <c r="E1602">
        <v>0.97383959178409296</v>
      </c>
      <c r="F1602">
        <v>0.98821062618841204</v>
      </c>
      <c r="G1602">
        <v>0.73287732796888205</v>
      </c>
      <c r="H1602">
        <v>0.70760138677890205</v>
      </c>
      <c r="I1602">
        <v>0.79650798628866903</v>
      </c>
      <c r="J1602">
        <v>0.98803519999211398</v>
      </c>
      <c r="K1602">
        <v>0.96271399120964396</v>
      </c>
      <c r="L1602">
        <v>10145.624856306</v>
      </c>
      <c r="M1602">
        <v>250</v>
      </c>
      <c r="O1602">
        <v>40.579910934291497</v>
      </c>
      <c r="P1602">
        <v>-0.24400662939493101</v>
      </c>
      <c r="Q1602">
        <v>0.84157175672761098</v>
      </c>
      <c r="R1602">
        <v>0.12940097693062699</v>
      </c>
      <c r="S1602" t="s">
        <v>8408</v>
      </c>
      <c r="T1602" t="s">
        <v>13610</v>
      </c>
      <c r="U1602" t="s">
        <v>13610</v>
      </c>
      <c r="V1602" t="s">
        <v>13610</v>
      </c>
      <c r="W1602" t="s">
        <v>15174</v>
      </c>
      <c r="X1602">
        <v>9</v>
      </c>
      <c r="Y1602" t="s">
        <v>21871</v>
      </c>
      <c r="Z1602" t="s">
        <v>28457</v>
      </c>
      <c r="AA1602">
        <v>0.84468058468369545</v>
      </c>
      <c r="AB1602" t="str">
        <f>HYPERLINK("Melting_Curves/meltCurve_O94906_2_PRPF6.pdf", "Melting_Curves/meltCurve_O94906_2_PRPF6.pdf")</f>
        <v>Melting_Curves/meltCurve_O94906_2_PRPF6.pdf</v>
      </c>
    </row>
    <row r="1603" spans="1:28" x14ac:dyDescent="0.25">
      <c r="A1603" t="s">
        <v>1607</v>
      </c>
      <c r="B1603">
        <v>0.995954080203443</v>
      </c>
      <c r="C1603">
        <v>0.94873523385065905</v>
      </c>
      <c r="D1603">
        <v>0.94927400657312599</v>
      </c>
      <c r="E1603">
        <v>0.77968037249581701</v>
      </c>
      <c r="F1603">
        <v>0.74944600931185801</v>
      </c>
      <c r="G1603">
        <v>0.54049305466145103</v>
      </c>
      <c r="H1603">
        <v>0.462482009659128</v>
      </c>
      <c r="I1603">
        <v>0.53866647703113701</v>
      </c>
      <c r="J1603">
        <v>0.63949636275389199</v>
      </c>
      <c r="K1603">
        <v>0.62687334237613701</v>
      </c>
      <c r="L1603">
        <v>1055.21820769856</v>
      </c>
      <c r="M1603">
        <v>20.884634414455402</v>
      </c>
      <c r="O1603">
        <v>50.069653398261302</v>
      </c>
      <c r="P1603">
        <v>-4.5979221919221103E-2</v>
      </c>
      <c r="Q1603">
        <v>0.55908243790481305</v>
      </c>
      <c r="R1603">
        <v>0.90011620563273298</v>
      </c>
      <c r="S1603" t="s">
        <v>8409</v>
      </c>
      <c r="T1603" t="s">
        <v>13610</v>
      </c>
      <c r="U1603" t="s">
        <v>13610</v>
      </c>
      <c r="V1603" t="s">
        <v>13610</v>
      </c>
      <c r="W1603" t="s">
        <v>15175</v>
      </c>
      <c r="X1603">
        <v>42</v>
      </c>
      <c r="Y1603" t="s">
        <v>21872</v>
      </c>
      <c r="Z1603" t="s">
        <v>28458</v>
      </c>
      <c r="AA1603">
        <v>0.71942594760302181</v>
      </c>
      <c r="AB1603" t="str">
        <f>HYPERLINK("Melting_Curves/meltCurve_O94913_PCF11.pdf", "Melting_Curves/meltCurve_O94913_PCF11.pdf")</f>
        <v>Melting_Curves/meltCurve_O94913_PCF11.pdf</v>
      </c>
    </row>
    <row r="1604" spans="1:28" x14ac:dyDescent="0.25">
      <c r="A1604" t="s">
        <v>1608</v>
      </c>
      <c r="B1604">
        <v>0.995954080203443</v>
      </c>
      <c r="C1604">
        <v>0.609119752599103</v>
      </c>
      <c r="D1604">
        <v>0.229547088572261</v>
      </c>
      <c r="E1604">
        <v>0.20432212556443999</v>
      </c>
      <c r="F1604">
        <v>0.12344885144914899</v>
      </c>
      <c r="G1604">
        <v>7.3048760820667802E-2</v>
      </c>
      <c r="H1604">
        <v>5.44516116144571E-2</v>
      </c>
      <c r="I1604">
        <v>5.9141368205157203E-2</v>
      </c>
      <c r="J1604">
        <v>6.4026306673272304E-2</v>
      </c>
      <c r="K1604">
        <v>6.0693157051535399E-2</v>
      </c>
      <c r="L1604">
        <v>1315.1675118184801</v>
      </c>
      <c r="M1604">
        <v>30.264814007493499</v>
      </c>
      <c r="N1604">
        <v>43.731441176696201</v>
      </c>
      <c r="O1604">
        <v>43.266941106990899</v>
      </c>
      <c r="P1604">
        <v>-0.159665300485722</v>
      </c>
      <c r="Q1604">
        <v>8.6968242399490206E-2</v>
      </c>
      <c r="R1604">
        <v>0.97920499856534304</v>
      </c>
      <c r="S1604" t="s">
        <v>8410</v>
      </c>
      <c r="T1604" t="s">
        <v>13610</v>
      </c>
      <c r="U1604" t="s">
        <v>13610</v>
      </c>
      <c r="V1604" t="s">
        <v>13610</v>
      </c>
      <c r="W1604" t="s">
        <v>15176</v>
      </c>
      <c r="X1604">
        <v>12</v>
      </c>
      <c r="Y1604" t="s">
        <v>21873</v>
      </c>
      <c r="Z1604" t="s">
        <v>28459</v>
      </c>
      <c r="AA1604">
        <v>0.19941976481064869</v>
      </c>
      <c r="AB1604" t="str">
        <f>HYPERLINK("Melting_Curves/meltCurve_O94925_3_GLS.pdf", "Melting_Curves/meltCurve_O94925_3_GLS.pdf")</f>
        <v>Melting_Curves/meltCurve_O94925_3_GLS.pdf</v>
      </c>
    </row>
    <row r="1605" spans="1:28" x14ac:dyDescent="0.25">
      <c r="A1605" t="s">
        <v>1609</v>
      </c>
      <c r="B1605">
        <v>0.995954080203443</v>
      </c>
      <c r="C1605">
        <v>0.87371083964012697</v>
      </c>
      <c r="D1605">
        <v>0.45933285279712499</v>
      </c>
      <c r="E1605">
        <v>0.23784417365566399</v>
      </c>
      <c r="F1605">
        <v>0.115549349152478</v>
      </c>
      <c r="G1605">
        <v>7.5450184390880304E-2</v>
      </c>
      <c r="H1605">
        <v>5.52533687828725E-2</v>
      </c>
      <c r="I1605">
        <v>5.3892395996806799E-2</v>
      </c>
      <c r="J1605">
        <v>5.97056606284515E-2</v>
      </c>
      <c r="K1605">
        <v>5.47183308639572E-2</v>
      </c>
      <c r="L1605">
        <v>1049.91548621065</v>
      </c>
      <c r="M1605">
        <v>22.918735128093299</v>
      </c>
      <c r="N1605">
        <v>46.087463840781602</v>
      </c>
      <c r="O1605">
        <v>45.465863381267503</v>
      </c>
      <c r="P1605">
        <v>-0.11791201006768399</v>
      </c>
      <c r="Q1605">
        <v>6.4368896634453401E-2</v>
      </c>
      <c r="R1605">
        <v>0.99297592532281498</v>
      </c>
      <c r="S1605" t="s">
        <v>8411</v>
      </c>
      <c r="T1605" t="s">
        <v>13610</v>
      </c>
      <c r="U1605" t="s">
        <v>13610</v>
      </c>
      <c r="V1605" t="s">
        <v>13610</v>
      </c>
      <c r="W1605" t="s">
        <v>15177</v>
      </c>
      <c r="X1605">
        <v>11</v>
      </c>
      <c r="Y1605" t="s">
        <v>21874</v>
      </c>
      <c r="Z1605" t="s">
        <v>28460</v>
      </c>
      <c r="AA1605">
        <v>0.2562754251355101</v>
      </c>
      <c r="AB1605" t="str">
        <f>HYPERLINK("Melting_Curves/meltCurve_O94927_HAUS5.pdf", "Melting_Curves/meltCurve_O94927_HAUS5.pdf")</f>
        <v>Melting_Curves/meltCurve_O94927_HAUS5.pdf</v>
      </c>
    </row>
    <row r="1606" spans="1:28" x14ac:dyDescent="0.25">
      <c r="A1606" t="s">
        <v>1610</v>
      </c>
      <c r="B1606">
        <v>0.995954080203443</v>
      </c>
      <c r="C1606">
        <v>1.0182516683474401</v>
      </c>
      <c r="D1606">
        <v>0.84909622489744896</v>
      </c>
      <c r="E1606">
        <v>0.61966634145722599</v>
      </c>
      <c r="F1606">
        <v>0.41591752835543699</v>
      </c>
      <c r="G1606">
        <v>0.29246079473537001</v>
      </c>
      <c r="H1606">
        <v>0.224242527317291</v>
      </c>
      <c r="I1606">
        <v>0.226628802780207</v>
      </c>
      <c r="J1606">
        <v>0.27087395841380701</v>
      </c>
      <c r="K1606">
        <v>0.22639174802883699</v>
      </c>
      <c r="L1606">
        <v>987.83100591772995</v>
      </c>
      <c r="M1606">
        <v>19.7836056516478</v>
      </c>
      <c r="N1606">
        <v>51.526470370328198</v>
      </c>
      <c r="O1606">
        <v>49.430042732166001</v>
      </c>
      <c r="P1606">
        <v>-7.7153657246449694E-2</v>
      </c>
      <c r="Q1606">
        <v>0.2289418857303</v>
      </c>
      <c r="R1606">
        <v>0.99438103159813895</v>
      </c>
      <c r="S1606" t="s">
        <v>8412</v>
      </c>
      <c r="T1606" t="s">
        <v>13610</v>
      </c>
      <c r="U1606" t="s">
        <v>13610</v>
      </c>
      <c r="V1606" t="s">
        <v>13610</v>
      </c>
      <c r="W1606" t="s">
        <v>15178</v>
      </c>
      <c r="X1606">
        <v>6</v>
      </c>
      <c r="Y1606" t="s">
        <v>21875</v>
      </c>
      <c r="Z1606" t="s">
        <v>28461</v>
      </c>
      <c r="AA1606">
        <v>0.49517604940710358</v>
      </c>
      <c r="AB1606" t="str">
        <f>HYPERLINK("Melting_Curves/meltCurve_O94941_2_UBOX5.pdf", "Melting_Curves/meltCurve_O94941_2_UBOX5.pdf")</f>
        <v>Melting_Curves/meltCurve_O94941_2_UBOX5.pdf</v>
      </c>
    </row>
    <row r="1607" spans="1:28" x14ac:dyDescent="0.25">
      <c r="A1607" t="s">
        <v>1611</v>
      </c>
      <c r="B1607">
        <v>0.995954080203443</v>
      </c>
      <c r="C1607">
        <v>0.98032191514912803</v>
      </c>
      <c r="D1607">
        <v>0.94561706044532501</v>
      </c>
      <c r="E1607">
        <v>0.83299892155982003</v>
      </c>
      <c r="F1607">
        <v>0.74008069638996099</v>
      </c>
      <c r="G1607">
        <v>0.46393347109463401</v>
      </c>
      <c r="H1607">
        <v>0.43997585360146202</v>
      </c>
      <c r="I1607">
        <v>0.46660245813105999</v>
      </c>
      <c r="J1607">
        <v>0.604297067244432</v>
      </c>
      <c r="K1607">
        <v>0.55397032570153903</v>
      </c>
      <c r="L1607">
        <v>1380.64386244394</v>
      </c>
      <c r="M1607">
        <v>26.656294748386799</v>
      </c>
      <c r="O1607">
        <v>51.505408342911998</v>
      </c>
      <c r="P1607">
        <v>-6.4344709905600594E-2</v>
      </c>
      <c r="Q1607">
        <v>0.50269649460282295</v>
      </c>
      <c r="R1607">
        <v>0.92965680957235897</v>
      </c>
      <c r="S1607" t="s">
        <v>8413</v>
      </c>
      <c r="T1607" t="s">
        <v>13610</v>
      </c>
      <c r="U1607" t="s">
        <v>13610</v>
      </c>
      <c r="V1607" t="s">
        <v>13610</v>
      </c>
      <c r="W1607" t="s">
        <v>15179</v>
      </c>
      <c r="X1607">
        <v>8</v>
      </c>
      <c r="Y1607" t="s">
        <v>21876</v>
      </c>
      <c r="Z1607" t="s">
        <v>28462</v>
      </c>
      <c r="AA1607">
        <v>0.70220683831971187</v>
      </c>
      <c r="AB1607" t="str">
        <f>HYPERLINK("Melting_Curves/meltCurve_O94953_KDM4B.pdf", "Melting_Curves/meltCurve_O94953_KDM4B.pdf")</f>
        <v>Melting_Curves/meltCurve_O94953_KDM4B.pdf</v>
      </c>
    </row>
    <row r="1608" spans="1:28" x14ac:dyDescent="0.25">
      <c r="A1608" t="s">
        <v>1612</v>
      </c>
      <c r="B1608">
        <v>0.995954080203443</v>
      </c>
      <c r="C1608">
        <v>0.90825766579936695</v>
      </c>
      <c r="D1608">
        <v>0.80665852181952102</v>
      </c>
      <c r="E1608">
        <v>0.66067140768475696</v>
      </c>
      <c r="F1608">
        <v>0.58351575745564499</v>
      </c>
      <c r="G1608">
        <v>0.41868588102318099</v>
      </c>
      <c r="H1608">
        <v>0.39888079220460199</v>
      </c>
      <c r="I1608">
        <v>0.45883782914939902</v>
      </c>
      <c r="J1608">
        <v>0.57768967601566501</v>
      </c>
      <c r="K1608">
        <v>0.57641263062638304</v>
      </c>
      <c r="L1608">
        <v>856.12093457026197</v>
      </c>
      <c r="M1608">
        <v>18.055865127873101</v>
      </c>
      <c r="N1608">
        <v>59.494894550623201</v>
      </c>
      <c r="O1608">
        <v>46.844969899634101</v>
      </c>
      <c r="P1608">
        <v>-4.9414552252380901E-2</v>
      </c>
      <c r="Q1608">
        <v>0.48721126372579598</v>
      </c>
      <c r="R1608">
        <v>0.90205948824059401</v>
      </c>
      <c r="S1608" t="s">
        <v>8414</v>
      </c>
      <c r="T1608" t="s">
        <v>13610</v>
      </c>
      <c r="U1608" t="s">
        <v>13610</v>
      </c>
      <c r="V1608" t="s">
        <v>13610</v>
      </c>
      <c r="W1608" t="s">
        <v>15180</v>
      </c>
      <c r="X1608">
        <v>10</v>
      </c>
      <c r="Y1608" t="s">
        <v>21877</v>
      </c>
      <c r="Z1608" t="s">
        <v>28463</v>
      </c>
      <c r="AA1608">
        <v>0.62318311177600239</v>
      </c>
      <c r="AB1608" t="str">
        <f>HYPERLINK("Melting_Curves/meltCurve_O94964_2_SOGA1.pdf", "Melting_Curves/meltCurve_O94964_2_SOGA1.pdf")</f>
        <v>Melting_Curves/meltCurve_O94964_2_SOGA1.pdf</v>
      </c>
    </row>
    <row r="1609" spans="1:28" x14ac:dyDescent="0.25">
      <c r="A1609" t="s">
        <v>1613</v>
      </c>
      <c r="B1609">
        <v>0.995954080203443</v>
      </c>
      <c r="C1609">
        <v>0.83971444464663003</v>
      </c>
      <c r="D1609">
        <v>0.926123857584362</v>
      </c>
      <c r="E1609">
        <v>0.69990591024816695</v>
      </c>
      <c r="F1609">
        <v>0.304308305874535</v>
      </c>
      <c r="G1609">
        <v>0.15738026574710601</v>
      </c>
      <c r="H1609">
        <v>0.109682054882876</v>
      </c>
      <c r="I1609">
        <v>0.105982235552276</v>
      </c>
      <c r="J1609">
        <v>0.131874718459315</v>
      </c>
      <c r="K1609">
        <v>0.12482660161605701</v>
      </c>
      <c r="L1609">
        <v>1479.98373636216</v>
      </c>
      <c r="M1609">
        <v>29.067270332821401</v>
      </c>
      <c r="N1609">
        <v>51.373803483203503</v>
      </c>
      <c r="O1609">
        <v>50.676652663740697</v>
      </c>
      <c r="P1609">
        <v>-0.12702994223574299</v>
      </c>
      <c r="Q1609">
        <v>0.114137050233642</v>
      </c>
      <c r="R1609">
        <v>0.97839932605590396</v>
      </c>
      <c r="S1609" t="s">
        <v>8415</v>
      </c>
      <c r="T1609" t="s">
        <v>13610</v>
      </c>
      <c r="U1609" t="s">
        <v>13610</v>
      </c>
      <c r="V1609" t="s">
        <v>13610</v>
      </c>
      <c r="W1609" t="s">
        <v>15181</v>
      </c>
      <c r="X1609">
        <v>30</v>
      </c>
      <c r="Y1609" t="s">
        <v>21878</v>
      </c>
      <c r="Z1609" t="s">
        <v>28464</v>
      </c>
      <c r="AA1609">
        <v>0.44239289848179619</v>
      </c>
      <c r="AB1609" t="str">
        <f>HYPERLINK("Melting_Curves/meltCurve_O94966_7_USP19.pdf", "Melting_Curves/meltCurve_O94966_7_USP19.pdf")</f>
        <v>Melting_Curves/meltCurve_O94966_7_USP19.pdf</v>
      </c>
    </row>
    <row r="1610" spans="1:28" x14ac:dyDescent="0.25">
      <c r="A1610" t="s">
        <v>1614</v>
      </c>
      <c r="B1610">
        <v>0.995954080203443</v>
      </c>
      <c r="C1610">
        <v>0.90475775397708802</v>
      </c>
      <c r="D1610">
        <v>0.82150345795751101</v>
      </c>
      <c r="E1610">
        <v>0.71164778475844204</v>
      </c>
      <c r="F1610">
        <v>0.40052035259179902</v>
      </c>
      <c r="G1610">
        <v>0.24552874230789601</v>
      </c>
      <c r="H1610">
        <v>0.194241171912577</v>
      </c>
      <c r="I1610">
        <v>0.17375853317325299</v>
      </c>
      <c r="J1610">
        <v>0.19931275791877501</v>
      </c>
      <c r="K1610">
        <v>0.18005975030016899</v>
      </c>
      <c r="L1610">
        <v>826.04528368752096</v>
      </c>
      <c r="M1610">
        <v>16.278729409940699</v>
      </c>
      <c r="N1610">
        <v>51.926170568270003</v>
      </c>
      <c r="O1610">
        <v>49.996617153485801</v>
      </c>
      <c r="P1610">
        <v>-6.8798851709310299E-2</v>
      </c>
      <c r="Q1610">
        <v>0.15485841994267499</v>
      </c>
      <c r="R1610">
        <v>0.98481231557819104</v>
      </c>
      <c r="S1610" t="s">
        <v>8416</v>
      </c>
      <c r="T1610" t="s">
        <v>13610</v>
      </c>
      <c r="U1610" t="s">
        <v>13610</v>
      </c>
      <c r="V1610" t="s">
        <v>13610</v>
      </c>
      <c r="W1610" t="s">
        <v>15182</v>
      </c>
      <c r="X1610">
        <v>4</v>
      </c>
      <c r="Y1610" t="s">
        <v>21879</v>
      </c>
      <c r="Z1610" t="s">
        <v>28465</v>
      </c>
      <c r="AA1610">
        <v>0.47462878040093132</v>
      </c>
      <c r="AB1610" t="str">
        <f>HYPERLINK("Melting_Curves/meltCurve_O94967_2_WDR47.pdf", "Melting_Curves/meltCurve_O94967_2_WDR47.pdf")</f>
        <v>Melting_Curves/meltCurve_O94967_2_WDR47.pdf</v>
      </c>
    </row>
    <row r="1611" spans="1:28" x14ac:dyDescent="0.25">
      <c r="A1611" t="s">
        <v>1615</v>
      </c>
      <c r="B1611">
        <v>0.995954080203443</v>
      </c>
      <c r="C1611">
        <v>0.94886442051277198</v>
      </c>
      <c r="D1611">
        <v>0.80952431937709202</v>
      </c>
      <c r="E1611">
        <v>0.74981078591311001</v>
      </c>
      <c r="F1611">
        <v>0.35996740066670302</v>
      </c>
      <c r="G1611">
        <v>0.16551492314455099</v>
      </c>
      <c r="H1611">
        <v>9.2454444516815698E-2</v>
      </c>
      <c r="I1611">
        <v>7.5575544649449794E-2</v>
      </c>
      <c r="J1611">
        <v>7.8095405733528495E-2</v>
      </c>
      <c r="K1611">
        <v>7.2645175490105504E-2</v>
      </c>
      <c r="L1611">
        <v>964.77866927081698</v>
      </c>
      <c r="M1611">
        <v>18.734689501669301</v>
      </c>
      <c r="N1611">
        <v>51.799875277750601</v>
      </c>
      <c r="O1611">
        <v>50.920942487586302</v>
      </c>
      <c r="P1611">
        <v>-8.7210002900946895E-2</v>
      </c>
      <c r="Q1611">
        <v>5.1891739760345799E-2</v>
      </c>
      <c r="R1611">
        <v>0.98410024481363501</v>
      </c>
      <c r="S1611" t="s">
        <v>8417</v>
      </c>
      <c r="T1611" t="s">
        <v>13610</v>
      </c>
      <c r="U1611" t="s">
        <v>13610</v>
      </c>
      <c r="V1611" t="s">
        <v>13610</v>
      </c>
      <c r="W1611" t="s">
        <v>15183</v>
      </c>
      <c r="X1611">
        <v>31</v>
      </c>
      <c r="Y1611" t="s">
        <v>21880</v>
      </c>
      <c r="Z1611" t="s">
        <v>28466</v>
      </c>
      <c r="AA1611">
        <v>0.43003007049525332</v>
      </c>
      <c r="AB1611" t="str">
        <f>HYPERLINK("Melting_Curves/meltCurve_O94973_AP2A2.pdf", "Melting_Curves/meltCurve_O94973_AP2A2.pdf")</f>
        <v>Melting_Curves/meltCurve_O94973_AP2A2.pdf</v>
      </c>
    </row>
    <row r="1612" spans="1:28" x14ac:dyDescent="0.25">
      <c r="A1612" t="s">
        <v>1616</v>
      </c>
      <c r="B1612">
        <v>0.995954080203443</v>
      </c>
      <c r="C1612">
        <v>0.91084973812277104</v>
      </c>
      <c r="D1612">
        <v>0.91043141756413304</v>
      </c>
      <c r="E1612">
        <v>0.77701366053628595</v>
      </c>
      <c r="F1612">
        <v>0.53149328122862605</v>
      </c>
      <c r="G1612">
        <v>0.20316766565795399</v>
      </c>
      <c r="H1612">
        <v>0.118104546171189</v>
      </c>
      <c r="I1612">
        <v>0.103914866357013</v>
      </c>
      <c r="J1612">
        <v>0.12769717310416301</v>
      </c>
      <c r="K1612">
        <v>0.111468269316169</v>
      </c>
      <c r="L1612">
        <v>1114.9166479857799</v>
      </c>
      <c r="M1612">
        <v>21.219548877491</v>
      </c>
      <c r="N1612">
        <v>53.050374069368402</v>
      </c>
      <c r="O1612">
        <v>52.082010062957998</v>
      </c>
      <c r="P1612">
        <v>-9.2487253691887705E-2</v>
      </c>
      <c r="Q1612">
        <v>9.2007761591414397E-2</v>
      </c>
      <c r="R1612">
        <v>0.99088830303039799</v>
      </c>
      <c r="S1612" t="s">
        <v>8418</v>
      </c>
      <c r="T1612" t="s">
        <v>13610</v>
      </c>
      <c r="U1612" t="s">
        <v>13610</v>
      </c>
      <c r="V1612" t="s">
        <v>13610</v>
      </c>
      <c r="W1612" t="s">
        <v>15184</v>
      </c>
      <c r="X1612">
        <v>38</v>
      </c>
      <c r="Y1612" t="s">
        <v>21881</v>
      </c>
      <c r="Z1612" t="s">
        <v>28467</v>
      </c>
      <c r="AA1612">
        <v>0.48289115207649669</v>
      </c>
      <c r="AB1612" t="str">
        <f>HYPERLINK("Melting_Curves/meltCurve_O94979_SEC31A.pdf", "Melting_Curves/meltCurve_O94979_SEC31A.pdf")</f>
        <v>Melting_Curves/meltCurve_O94979_SEC31A.pdf</v>
      </c>
    </row>
    <row r="1613" spans="1:28" x14ac:dyDescent="0.25">
      <c r="A1613" t="s">
        <v>1617</v>
      </c>
      <c r="B1613">
        <v>0.995954080203443</v>
      </c>
      <c r="C1613">
        <v>0.94420126920081404</v>
      </c>
      <c r="D1613">
        <v>0.96064625883948296</v>
      </c>
      <c r="E1613">
        <v>0.78023833402449605</v>
      </c>
      <c r="F1613">
        <v>0.64759779759991798</v>
      </c>
      <c r="G1613">
        <v>0.42044386931700301</v>
      </c>
      <c r="H1613">
        <v>0.33805070889810002</v>
      </c>
      <c r="I1613">
        <v>0.33622578088890698</v>
      </c>
      <c r="J1613">
        <v>0.47217313613518103</v>
      </c>
      <c r="K1613">
        <v>0.37216496246172798</v>
      </c>
      <c r="L1613">
        <v>1124.3449250701999</v>
      </c>
      <c r="M1613">
        <v>21.714919268726199</v>
      </c>
      <c r="N1613">
        <v>55.188600243961503</v>
      </c>
      <c r="O1613">
        <v>51.344419514343798</v>
      </c>
      <c r="P1613">
        <v>-6.6680343042889903E-2</v>
      </c>
      <c r="Q1613">
        <v>0.36935836946290401</v>
      </c>
      <c r="R1613">
        <v>0.97098721853821701</v>
      </c>
      <c r="S1613" t="s">
        <v>8419</v>
      </c>
      <c r="T1613" t="s">
        <v>13610</v>
      </c>
      <c r="U1613" t="s">
        <v>13610</v>
      </c>
      <c r="V1613" t="s">
        <v>13610</v>
      </c>
      <c r="W1613" t="s">
        <v>15185</v>
      </c>
      <c r="X1613">
        <v>5</v>
      </c>
      <c r="Y1613" t="s">
        <v>21882</v>
      </c>
      <c r="Z1613" t="s">
        <v>28468</v>
      </c>
      <c r="AA1613">
        <v>0.6244475251655629</v>
      </c>
      <c r="AB1613" t="str">
        <f>HYPERLINK("Melting_Curves/meltCurve_O94988_6_FAM13A.pdf", "Melting_Curves/meltCurve_O94988_6_FAM13A.pdf")</f>
        <v>Melting_Curves/meltCurve_O94988_6_FAM13A.pdf</v>
      </c>
    </row>
    <row r="1614" spans="1:28" x14ac:dyDescent="0.25">
      <c r="A1614" t="s">
        <v>1618</v>
      </c>
      <c r="B1614">
        <v>0.995954080203443</v>
      </c>
      <c r="C1614">
        <v>0.94697633290769001</v>
      </c>
      <c r="D1614">
        <v>0.92580452060290797</v>
      </c>
      <c r="E1614">
        <v>0.84522942965176795</v>
      </c>
      <c r="F1614">
        <v>0.75283880277916304</v>
      </c>
      <c r="G1614">
        <v>0.59369855404161997</v>
      </c>
      <c r="H1614">
        <v>0.53757139047900704</v>
      </c>
      <c r="I1614">
        <v>0.59360054114860705</v>
      </c>
      <c r="J1614">
        <v>0.895732618475929</v>
      </c>
      <c r="K1614">
        <v>0.77636432910757203</v>
      </c>
      <c r="L1614">
        <v>1216.13612812933</v>
      </c>
      <c r="M1614">
        <v>24.622075361489198</v>
      </c>
      <c r="O1614">
        <v>49.069748205893397</v>
      </c>
      <c r="P1614">
        <v>-3.9811550885972199E-2</v>
      </c>
      <c r="Q1614">
        <v>0.68264004588647897</v>
      </c>
      <c r="R1614">
        <v>0.59428314970318397</v>
      </c>
      <c r="S1614" t="s">
        <v>8420</v>
      </c>
      <c r="T1614" t="s">
        <v>13610</v>
      </c>
      <c r="U1614" t="s">
        <v>13610</v>
      </c>
      <c r="V1614" t="s">
        <v>13610</v>
      </c>
      <c r="W1614" t="s">
        <v>15186</v>
      </c>
      <c r="X1614">
        <v>16</v>
      </c>
      <c r="Y1614" t="s">
        <v>21883</v>
      </c>
      <c r="Z1614" t="s">
        <v>28469</v>
      </c>
      <c r="AA1614">
        <v>0.78490542064356639</v>
      </c>
      <c r="AB1614" t="str">
        <f>HYPERLINK("Melting_Curves/meltCurve_O94992_HEXIM1.pdf", "Melting_Curves/meltCurve_O94992_HEXIM1.pdf")</f>
        <v>Melting_Curves/meltCurve_O94992_HEXIM1.pdf</v>
      </c>
    </row>
    <row r="1615" spans="1:28" x14ac:dyDescent="0.25">
      <c r="A1615" t="s">
        <v>1619</v>
      </c>
      <c r="B1615">
        <v>0.995954080203443</v>
      </c>
      <c r="C1615">
        <v>0.847310549884153</v>
      </c>
      <c r="D1615">
        <v>0.68655264841470898</v>
      </c>
      <c r="E1615">
        <v>0.91971818999057198</v>
      </c>
      <c r="F1615">
        <v>0.59023460125306004</v>
      </c>
      <c r="G1615">
        <v>0.431312981574073</v>
      </c>
      <c r="H1615">
        <v>0.209180284650378</v>
      </c>
      <c r="I1615">
        <v>0.128921984201567</v>
      </c>
      <c r="J1615">
        <v>8.2040545381629401E-2</v>
      </c>
      <c r="K1615">
        <v>5.9105813544623097E-2</v>
      </c>
      <c r="L1615">
        <v>621.83357383969997</v>
      </c>
      <c r="M1615">
        <v>11.3387166001226</v>
      </c>
      <c r="N1615">
        <v>54.841618812433602</v>
      </c>
      <c r="O1615">
        <v>53.218876796218503</v>
      </c>
      <c r="P1615">
        <v>-5.3280530501325502E-2</v>
      </c>
      <c r="Q1615">
        <v>0</v>
      </c>
      <c r="R1615">
        <v>0.92258520586369197</v>
      </c>
      <c r="S1615" t="s">
        <v>8421</v>
      </c>
      <c r="T1615" t="s">
        <v>13610</v>
      </c>
      <c r="U1615" t="s">
        <v>13610</v>
      </c>
      <c r="V1615" t="s">
        <v>13610</v>
      </c>
      <c r="W1615" t="s">
        <v>15187</v>
      </c>
      <c r="X1615">
        <v>6</v>
      </c>
      <c r="Y1615" t="s">
        <v>21884</v>
      </c>
      <c r="Z1615" t="s">
        <v>28470</v>
      </c>
      <c r="AA1615">
        <v>0.51956416787006598</v>
      </c>
      <c r="AB1615" t="str">
        <f>HYPERLINK("Melting_Curves/meltCurve_O95059_RPP14.pdf", "Melting_Curves/meltCurve_O95059_RPP14.pdf")</f>
        <v>Melting_Curves/meltCurve_O95059_RPP14.pdf</v>
      </c>
    </row>
    <row r="1616" spans="1:28" x14ac:dyDescent="0.25">
      <c r="A1616" t="s">
        <v>1620</v>
      </c>
      <c r="B1616">
        <v>0.995954080203443</v>
      </c>
      <c r="C1616">
        <v>0.91660566939481003</v>
      </c>
      <c r="D1616">
        <v>0.91378966929085903</v>
      </c>
      <c r="E1616">
        <v>0.79217603829796301</v>
      </c>
      <c r="F1616">
        <v>0.74531918562869004</v>
      </c>
      <c r="G1616">
        <v>0.50881004786191997</v>
      </c>
      <c r="H1616">
        <v>0.477768419678745</v>
      </c>
      <c r="I1616">
        <v>0.53096429890465702</v>
      </c>
      <c r="J1616">
        <v>0.64940058891123698</v>
      </c>
      <c r="K1616">
        <v>0.60044551620883801</v>
      </c>
      <c r="L1616">
        <v>911.73072360104004</v>
      </c>
      <c r="M1616">
        <v>18.133990939736702</v>
      </c>
      <c r="O1616">
        <v>49.678004947995397</v>
      </c>
      <c r="P1616">
        <v>-4.1165457670467497E-2</v>
      </c>
      <c r="Q1616">
        <v>0.54893123788588705</v>
      </c>
      <c r="R1616">
        <v>0.88279072695634797</v>
      </c>
      <c r="S1616" t="s">
        <v>8422</v>
      </c>
      <c r="T1616" t="s">
        <v>13610</v>
      </c>
      <c r="U1616" t="s">
        <v>13610</v>
      </c>
      <c r="V1616" t="s">
        <v>13610</v>
      </c>
      <c r="W1616" t="s">
        <v>15188</v>
      </c>
      <c r="X1616">
        <v>4</v>
      </c>
      <c r="Y1616" t="s">
        <v>21885</v>
      </c>
      <c r="Z1616" t="s">
        <v>28471</v>
      </c>
      <c r="AA1616">
        <v>0.71101857188374495</v>
      </c>
      <c r="AB1616" t="str">
        <f>HYPERLINK("Melting_Curves/meltCurve_O95067_CCNB2.pdf", "Melting_Curves/meltCurve_O95067_CCNB2.pdf")</f>
        <v>Melting_Curves/meltCurve_O95067_CCNB2.pdf</v>
      </c>
    </row>
    <row r="1617" spans="1:28" x14ac:dyDescent="0.25">
      <c r="A1617" t="s">
        <v>1621</v>
      </c>
      <c r="B1617">
        <v>0.995954080203443</v>
      </c>
      <c r="C1617">
        <v>0.99134236656822405</v>
      </c>
      <c r="D1617">
        <v>0.701399999430799</v>
      </c>
      <c r="E1617">
        <v>0.396003468662665</v>
      </c>
      <c r="F1617">
        <v>0.167520758665437</v>
      </c>
      <c r="G1617">
        <v>6.36191722610467E-2</v>
      </c>
      <c r="H1617">
        <v>2.2601381455182101E-2</v>
      </c>
      <c r="I1617">
        <v>1.90826976817213E-2</v>
      </c>
      <c r="J1617">
        <v>0</v>
      </c>
      <c r="K1617">
        <v>0</v>
      </c>
      <c r="L1617">
        <v>926.80589189656098</v>
      </c>
      <c r="M1617">
        <v>19.0567616371508</v>
      </c>
      <c r="N1617">
        <v>48.644234271771801</v>
      </c>
      <c r="O1617">
        <v>48.107917339191303</v>
      </c>
      <c r="P1617">
        <v>-9.8836359375685398E-2</v>
      </c>
      <c r="Q1617">
        <v>2.0078905718873001E-3</v>
      </c>
      <c r="R1617">
        <v>0.99531491162436203</v>
      </c>
      <c r="S1617" t="s">
        <v>8423</v>
      </c>
      <c r="T1617" t="s">
        <v>13610</v>
      </c>
      <c r="U1617" t="s">
        <v>13610</v>
      </c>
      <c r="V1617" t="s">
        <v>13610</v>
      </c>
      <c r="W1617" t="s">
        <v>15189</v>
      </c>
      <c r="X1617">
        <v>5</v>
      </c>
      <c r="Y1617" t="s">
        <v>21886</v>
      </c>
      <c r="Z1617" t="s">
        <v>28472</v>
      </c>
      <c r="AA1617">
        <v>0.30473163626772332</v>
      </c>
      <c r="AB1617" t="str">
        <f>HYPERLINK("Melting_Curves/meltCurve_O95081_2_AGFG2.pdf", "Melting_Curves/meltCurve_O95081_2_AGFG2.pdf")</f>
        <v>Melting_Curves/meltCurve_O95081_2_AGFG2.pdf</v>
      </c>
    </row>
    <row r="1618" spans="1:28" x14ac:dyDescent="0.25">
      <c r="A1618" t="s">
        <v>1622</v>
      </c>
      <c r="B1618">
        <v>0.995954080203443</v>
      </c>
      <c r="C1618">
        <v>0.90640307411177601</v>
      </c>
      <c r="D1618">
        <v>0.824234755661583</v>
      </c>
      <c r="E1618">
        <v>0.60205947843944496</v>
      </c>
      <c r="F1618">
        <v>0.55106130649749596</v>
      </c>
      <c r="G1618">
        <v>0.41527490861925997</v>
      </c>
      <c r="H1618">
        <v>0.42599098002283797</v>
      </c>
      <c r="I1618">
        <v>0.53768239353849701</v>
      </c>
      <c r="J1618">
        <v>0.63171882038307603</v>
      </c>
      <c r="K1618">
        <v>0.61821812086733396</v>
      </c>
      <c r="L1618">
        <v>1141.87642251547</v>
      </c>
      <c r="M1618">
        <v>24.4922256936119</v>
      </c>
      <c r="O1618">
        <v>46.314528054925198</v>
      </c>
      <c r="P1618">
        <v>-6.2692274941638995E-2</v>
      </c>
      <c r="Q1618">
        <v>0.52580535104325099</v>
      </c>
      <c r="R1618">
        <v>0.86782797765501796</v>
      </c>
      <c r="S1618" t="s">
        <v>8424</v>
      </c>
      <c r="T1618" t="s">
        <v>13610</v>
      </c>
      <c r="U1618" t="s">
        <v>13610</v>
      </c>
      <c r="V1618" t="s">
        <v>13610</v>
      </c>
      <c r="W1618" t="s">
        <v>15190</v>
      </c>
      <c r="X1618">
        <v>11</v>
      </c>
      <c r="Y1618" t="s">
        <v>21887</v>
      </c>
      <c r="Z1618" t="s">
        <v>28473</v>
      </c>
      <c r="AA1618">
        <v>0.63495041673471364</v>
      </c>
      <c r="AB1618" t="str">
        <f>HYPERLINK("Melting_Curves/meltCurve_O95104_SCAF4.pdf", "Melting_Curves/meltCurve_O95104_SCAF4.pdf")</f>
        <v>Melting_Curves/meltCurve_O95104_SCAF4.pdf</v>
      </c>
    </row>
    <row r="1619" spans="1:28" x14ac:dyDescent="0.25">
      <c r="A1619" t="s">
        <v>1623</v>
      </c>
      <c r="B1619">
        <v>0.995954080203443</v>
      </c>
      <c r="C1619">
        <v>0.87114758671729797</v>
      </c>
      <c r="D1619">
        <v>0.74982638218029696</v>
      </c>
      <c r="E1619">
        <v>0.59755530199009999</v>
      </c>
      <c r="F1619">
        <v>0.279844081918453</v>
      </c>
      <c r="G1619">
        <v>0.17044649798324801</v>
      </c>
      <c r="H1619">
        <v>0.14255050343931899</v>
      </c>
      <c r="I1619">
        <v>0.14140352232442299</v>
      </c>
      <c r="J1619">
        <v>0.16204345949143201</v>
      </c>
      <c r="K1619">
        <v>0.13576457587642901</v>
      </c>
      <c r="L1619">
        <v>763.41574923644202</v>
      </c>
      <c r="M1619">
        <v>15.5028051394704</v>
      </c>
      <c r="N1619">
        <v>50.0791616094765</v>
      </c>
      <c r="O1619">
        <v>48.446169116933497</v>
      </c>
      <c r="P1619">
        <v>-7.0890932828021697E-2</v>
      </c>
      <c r="Q1619">
        <v>0.113943746203105</v>
      </c>
      <c r="R1619">
        <v>0.98291318814978201</v>
      </c>
      <c r="S1619" t="s">
        <v>8425</v>
      </c>
      <c r="T1619" t="s">
        <v>13610</v>
      </c>
      <c r="U1619" t="s">
        <v>13610</v>
      </c>
      <c r="V1619" t="s">
        <v>13610</v>
      </c>
      <c r="W1619" t="s">
        <v>15191</v>
      </c>
      <c r="X1619">
        <v>5</v>
      </c>
      <c r="Y1619" t="s">
        <v>21888</v>
      </c>
      <c r="Z1619" t="s">
        <v>28474</v>
      </c>
      <c r="AA1619">
        <v>0.40733946870423149</v>
      </c>
      <c r="AB1619" t="str">
        <f>HYPERLINK("Melting_Curves/meltCurve_O95149_SNUPN.pdf", "Melting_Curves/meltCurve_O95149_SNUPN.pdf")</f>
        <v>Melting_Curves/meltCurve_O95149_SNUPN.pdf</v>
      </c>
    </row>
    <row r="1620" spans="1:28" x14ac:dyDescent="0.25">
      <c r="A1620" t="s">
        <v>1624</v>
      </c>
      <c r="B1620">
        <v>0.995954080203443</v>
      </c>
      <c r="C1620">
        <v>0.95577540914380199</v>
      </c>
      <c r="D1620">
        <v>0.86593312865180005</v>
      </c>
      <c r="E1620">
        <v>0.73790259407594805</v>
      </c>
      <c r="F1620">
        <v>0.27151364091656799</v>
      </c>
      <c r="G1620">
        <v>0.121670145918441</v>
      </c>
      <c r="H1620">
        <v>7.6546310690436298E-2</v>
      </c>
      <c r="I1620">
        <v>6.8555349196149001E-2</v>
      </c>
      <c r="J1620">
        <v>7.6537277571594703E-2</v>
      </c>
      <c r="K1620">
        <v>7.3782661942926403E-2</v>
      </c>
      <c r="L1620">
        <v>1628.51130569919</v>
      </c>
      <c r="M1620">
        <v>31.831953802244101</v>
      </c>
      <c r="N1620">
        <v>51.410965104008802</v>
      </c>
      <c r="O1620">
        <v>50.959002180446902</v>
      </c>
      <c r="P1620">
        <v>-0.14491293555318699</v>
      </c>
      <c r="Q1620">
        <v>7.2054390228694101E-2</v>
      </c>
      <c r="R1620">
        <v>0.98918901902647205</v>
      </c>
      <c r="S1620" t="s">
        <v>8426</v>
      </c>
      <c r="T1620" t="s">
        <v>13610</v>
      </c>
      <c r="U1620" t="s">
        <v>13610</v>
      </c>
      <c r="V1620" t="s">
        <v>13610</v>
      </c>
      <c r="W1620" t="s">
        <v>15192</v>
      </c>
      <c r="X1620">
        <v>42</v>
      </c>
      <c r="Y1620" t="s">
        <v>21889</v>
      </c>
      <c r="Z1620" t="s">
        <v>28475</v>
      </c>
      <c r="AA1620">
        <v>0.42243379545281662</v>
      </c>
      <c r="AB1620" t="str">
        <f>HYPERLINK("Melting_Curves/meltCurve_O95155_2_UBE4B.pdf", "Melting_Curves/meltCurve_O95155_2_UBE4B.pdf")</f>
        <v>Melting_Curves/meltCurve_O95155_2_UBE4B.pdf</v>
      </c>
    </row>
    <row r="1621" spans="1:28" x14ac:dyDescent="0.25">
      <c r="A1621" t="s">
        <v>1625</v>
      </c>
      <c r="B1621">
        <v>0.995954080203443</v>
      </c>
      <c r="C1621">
        <v>0.72308877169450003</v>
      </c>
      <c r="D1621">
        <v>0.501488232276599</v>
      </c>
      <c r="E1621">
        <v>0.804941672329886</v>
      </c>
      <c r="F1621">
        <v>0.55920688262785401</v>
      </c>
      <c r="G1621">
        <v>0.21252383275747699</v>
      </c>
      <c r="H1621">
        <v>8.4569501631939797E-2</v>
      </c>
      <c r="I1621">
        <v>7.1383714972743997E-2</v>
      </c>
      <c r="J1621">
        <v>7.4730886733155796E-2</v>
      </c>
      <c r="K1621">
        <v>6.7565935785061301E-2</v>
      </c>
      <c r="L1621">
        <v>461.46401465402801</v>
      </c>
      <c r="M1621">
        <v>9.0336596151031792</v>
      </c>
      <c r="N1621">
        <v>51.082719160169297</v>
      </c>
      <c r="O1621">
        <v>48.765940612143702</v>
      </c>
      <c r="P1621">
        <v>-4.6344477050296602E-2</v>
      </c>
      <c r="Q1621">
        <v>0</v>
      </c>
      <c r="R1621">
        <v>0.83926462371399302</v>
      </c>
      <c r="S1621" t="s">
        <v>8427</v>
      </c>
      <c r="T1621" t="s">
        <v>13610</v>
      </c>
      <c r="U1621" t="s">
        <v>13610</v>
      </c>
      <c r="V1621" t="s">
        <v>13610</v>
      </c>
      <c r="W1621" t="s">
        <v>15193</v>
      </c>
      <c r="X1621">
        <v>34</v>
      </c>
      <c r="Y1621" t="s">
        <v>21890</v>
      </c>
      <c r="Z1621" t="s">
        <v>28476</v>
      </c>
      <c r="AA1621">
        <v>0.4159325012082003</v>
      </c>
      <c r="AB1621" t="str">
        <f>HYPERLINK("Melting_Curves/meltCurve_O95163_IKBKAP.pdf", "Melting_Curves/meltCurve_O95163_IKBKAP.pdf")</f>
        <v>Melting_Curves/meltCurve_O95163_IKBKAP.pdf</v>
      </c>
    </row>
    <row r="1622" spans="1:28" x14ac:dyDescent="0.25">
      <c r="A1622" t="s">
        <v>1626</v>
      </c>
      <c r="B1622">
        <v>0.995954080203443</v>
      </c>
      <c r="C1622">
        <v>1.06234206227103</v>
      </c>
      <c r="D1622">
        <v>0.94697233962252203</v>
      </c>
      <c r="E1622">
        <v>0.85960278925403699</v>
      </c>
      <c r="F1622">
        <v>0.584519158227091</v>
      </c>
      <c r="G1622">
        <v>0.361364122113353</v>
      </c>
      <c r="H1622">
        <v>0.27727141275313999</v>
      </c>
      <c r="I1622">
        <v>0.19438603739862101</v>
      </c>
      <c r="J1622">
        <v>0.23133835450549001</v>
      </c>
      <c r="K1622">
        <v>0.19281530078105999</v>
      </c>
      <c r="L1622">
        <v>1152.9470312200899</v>
      </c>
      <c r="M1622">
        <v>21.721150595411</v>
      </c>
      <c r="N1622">
        <v>54.400273829644298</v>
      </c>
      <c r="O1622">
        <v>52.635702425075998</v>
      </c>
      <c r="P1622">
        <v>-8.2027731073927398E-2</v>
      </c>
      <c r="Q1622">
        <v>0.20492486742450799</v>
      </c>
      <c r="R1622">
        <v>0.99260262736219096</v>
      </c>
      <c r="S1622" t="s">
        <v>8428</v>
      </c>
      <c r="T1622" t="s">
        <v>13610</v>
      </c>
      <c r="U1622" t="s">
        <v>13610</v>
      </c>
      <c r="V1622" t="s">
        <v>13610</v>
      </c>
      <c r="W1622" t="s">
        <v>15194</v>
      </c>
      <c r="X1622">
        <v>2</v>
      </c>
      <c r="Y1622" t="s">
        <v>21891</v>
      </c>
      <c r="Z1622" t="s">
        <v>28477</v>
      </c>
      <c r="AA1622">
        <v>0.56103126834806738</v>
      </c>
      <c r="AB1622" t="str">
        <f>HYPERLINK("Melting_Curves/meltCurve_O95197_3_RTN3.pdf", "Melting_Curves/meltCurve_O95197_3_RTN3.pdf")</f>
        <v>Melting_Curves/meltCurve_O95197_3_RTN3.pdf</v>
      </c>
    </row>
    <row r="1623" spans="1:28" x14ac:dyDescent="0.25">
      <c r="A1623" t="s">
        <v>1627</v>
      </c>
      <c r="B1623">
        <v>0.995954080203443</v>
      </c>
      <c r="C1623">
        <v>0.99825395436248299</v>
      </c>
      <c r="D1623">
        <v>0.99398590440175305</v>
      </c>
      <c r="E1623">
        <v>0.924021432863942</v>
      </c>
      <c r="F1623">
        <v>0.84018871345256896</v>
      </c>
      <c r="G1623">
        <v>0.62737776947590895</v>
      </c>
      <c r="H1623">
        <v>0.61168308176194297</v>
      </c>
      <c r="I1623">
        <v>0.71524866799676801</v>
      </c>
      <c r="J1623">
        <v>0.81637368489386497</v>
      </c>
      <c r="K1623">
        <v>0.85332994201466095</v>
      </c>
      <c r="L1623">
        <v>2062.7662255669102</v>
      </c>
      <c r="M1623">
        <v>39.801106458522703</v>
      </c>
      <c r="O1623">
        <v>51.696539928746802</v>
      </c>
      <c r="P1623">
        <v>-5.2443404040417502E-2</v>
      </c>
      <c r="Q1623">
        <v>0.72753151857442899</v>
      </c>
      <c r="R1623">
        <v>0.73843060704808905</v>
      </c>
      <c r="S1623" t="s">
        <v>8429</v>
      </c>
      <c r="T1623" t="s">
        <v>13610</v>
      </c>
      <c r="U1623" t="s">
        <v>13610</v>
      </c>
      <c r="V1623" t="s">
        <v>13610</v>
      </c>
      <c r="W1623" t="s">
        <v>15195</v>
      </c>
      <c r="X1623">
        <v>6</v>
      </c>
      <c r="Y1623" t="s">
        <v>21892</v>
      </c>
      <c r="Z1623" t="s">
        <v>28478</v>
      </c>
      <c r="AA1623">
        <v>0.83593191747795903</v>
      </c>
      <c r="AB1623" t="str">
        <f>HYPERLINK("Melting_Curves/meltCurve_O95202_LETM1.pdf", "Melting_Curves/meltCurve_O95202_LETM1.pdf")</f>
        <v>Melting_Curves/meltCurve_O95202_LETM1.pdf</v>
      </c>
    </row>
    <row r="1624" spans="1:28" x14ac:dyDescent="0.25">
      <c r="A1624" t="s">
        <v>1628</v>
      </c>
      <c r="B1624">
        <v>0.995954080203443</v>
      </c>
      <c r="C1624">
        <v>0.89483563088529405</v>
      </c>
      <c r="D1624">
        <v>1.2043974226776699</v>
      </c>
      <c r="E1624">
        <v>0.800955731957401</v>
      </c>
      <c r="F1624">
        <v>1.2725082538867101</v>
      </c>
      <c r="G1624">
        <v>1.10633725865917</v>
      </c>
      <c r="H1624">
        <v>1.16906674501038</v>
      </c>
      <c r="I1624">
        <v>1.5848110831105799</v>
      </c>
      <c r="J1624">
        <v>1.3192158683658299</v>
      </c>
      <c r="K1624">
        <v>1.9125655028748201</v>
      </c>
      <c r="L1624">
        <v>15000</v>
      </c>
      <c r="M1624">
        <v>245.23008166465499</v>
      </c>
      <c r="O1624">
        <v>61.162977790714102</v>
      </c>
      <c r="P1624">
        <v>0.50118160720036997</v>
      </c>
      <c r="Q1624">
        <v>1.5</v>
      </c>
      <c r="R1624">
        <v>0.60079329548795102</v>
      </c>
      <c r="S1624" t="s">
        <v>8430</v>
      </c>
      <c r="T1624" t="s">
        <v>13610</v>
      </c>
      <c r="U1624" t="s">
        <v>13610</v>
      </c>
      <c r="V1624" t="s">
        <v>13610</v>
      </c>
      <c r="W1624" t="s">
        <v>15196</v>
      </c>
      <c r="X1624">
        <v>9</v>
      </c>
      <c r="Y1624" t="s">
        <v>21893</v>
      </c>
      <c r="Z1624" t="s">
        <v>28479</v>
      </c>
      <c r="AA1624">
        <v>1.1471600962563251</v>
      </c>
      <c r="AB1624" t="str">
        <f>HYPERLINK("Melting_Curves/meltCurve_O95205_MBLL.pdf", "Melting_Curves/meltCurve_O95205_MBLL.pdf")</f>
        <v>Melting_Curves/meltCurve_O95205_MBLL.pdf</v>
      </c>
    </row>
    <row r="1625" spans="1:28" x14ac:dyDescent="0.25">
      <c r="A1625" t="s">
        <v>1629</v>
      </c>
      <c r="B1625">
        <v>0.995954080203443</v>
      </c>
      <c r="C1625">
        <v>1.0082586876914399</v>
      </c>
      <c r="D1625">
        <v>1.06142149663938</v>
      </c>
      <c r="E1625">
        <v>1.02506286243302</v>
      </c>
      <c r="F1625">
        <v>1.0433434275592299</v>
      </c>
      <c r="G1625">
        <v>0.90435635151836402</v>
      </c>
      <c r="H1625">
        <v>0.90505134287286404</v>
      </c>
      <c r="I1625">
        <v>1.17212045075924</v>
      </c>
      <c r="J1625">
        <v>1.30970815918349</v>
      </c>
      <c r="K1625">
        <v>1.4369397248553299</v>
      </c>
      <c r="L1625">
        <v>3195.21227796838</v>
      </c>
      <c r="M1625">
        <v>49.088186712905497</v>
      </c>
      <c r="O1625">
        <v>64.983515691321401</v>
      </c>
      <c r="P1625">
        <v>8.1224900005130898E-2</v>
      </c>
      <c r="Q1625">
        <v>1.4301054871288199</v>
      </c>
      <c r="R1625">
        <v>0.88302088222749098</v>
      </c>
      <c r="S1625" t="s">
        <v>8431</v>
      </c>
      <c r="T1625" t="s">
        <v>13610</v>
      </c>
      <c r="U1625" t="s">
        <v>13610</v>
      </c>
      <c r="V1625" t="s">
        <v>13610</v>
      </c>
      <c r="W1625" t="s">
        <v>15197</v>
      </c>
      <c r="X1625">
        <v>22</v>
      </c>
      <c r="Y1625" t="s">
        <v>21894</v>
      </c>
      <c r="Z1625" t="s">
        <v>28480</v>
      </c>
      <c r="AA1625">
        <v>1.0698194071061899</v>
      </c>
      <c r="AB1625" t="str">
        <f>HYPERLINK("Melting_Curves/meltCurve_O95218_2_ZRANB2.pdf", "Melting_Curves/meltCurve_O95218_2_ZRANB2.pdf")</f>
        <v>Melting_Curves/meltCurve_O95218_2_ZRANB2.pdf</v>
      </c>
    </row>
    <row r="1626" spans="1:28" x14ac:dyDescent="0.25">
      <c r="A1626" t="s">
        <v>1630</v>
      </c>
      <c r="B1626">
        <v>0.995954080203443</v>
      </c>
      <c r="C1626">
        <v>1.0419556910308501</v>
      </c>
      <c r="D1626">
        <v>0.89532062612319296</v>
      </c>
      <c r="E1626">
        <v>0.55875148680099196</v>
      </c>
      <c r="F1626">
        <v>0.17281558737059299</v>
      </c>
      <c r="G1626">
        <v>9.5309472595177094E-2</v>
      </c>
      <c r="H1626">
        <v>6.0396499258763697E-2</v>
      </c>
      <c r="I1626">
        <v>4.7956201739397797E-2</v>
      </c>
      <c r="J1626">
        <v>3.8075900378063403E-2</v>
      </c>
      <c r="K1626">
        <v>4.6636044151147499E-2</v>
      </c>
      <c r="L1626">
        <v>1480.9491228566701</v>
      </c>
      <c r="M1626">
        <v>29.570666476949601</v>
      </c>
      <c r="N1626">
        <v>50.251832191713603</v>
      </c>
      <c r="O1626">
        <v>49.854328679594303</v>
      </c>
      <c r="P1626">
        <v>-0.14122289525877099</v>
      </c>
      <c r="Q1626">
        <v>4.76339812533981E-2</v>
      </c>
      <c r="R1626">
        <v>0.99631933921079396</v>
      </c>
      <c r="S1626" t="s">
        <v>8432</v>
      </c>
      <c r="T1626" t="s">
        <v>13610</v>
      </c>
      <c r="U1626" t="s">
        <v>13610</v>
      </c>
      <c r="V1626" t="s">
        <v>13610</v>
      </c>
      <c r="W1626" t="s">
        <v>13765</v>
      </c>
      <c r="X1626">
        <v>9</v>
      </c>
      <c r="Y1626" t="s">
        <v>20486</v>
      </c>
      <c r="Z1626" t="s">
        <v>28481</v>
      </c>
      <c r="AA1626">
        <v>0.37375555055994431</v>
      </c>
      <c r="AB1626" t="str">
        <f>HYPERLINK("Melting_Curves/meltCurve_O95219_SNX4.pdf", "Melting_Curves/meltCurve_O95219_SNX4.pdf")</f>
        <v>Melting_Curves/meltCurve_O95219_SNX4.pdf</v>
      </c>
    </row>
    <row r="1627" spans="1:28" x14ac:dyDescent="0.25">
      <c r="A1627" t="s">
        <v>1631</v>
      </c>
      <c r="B1627">
        <v>0.995954080203443</v>
      </c>
      <c r="C1627">
        <v>1.2420736796188501</v>
      </c>
      <c r="D1627">
        <v>1.1385958195375201</v>
      </c>
      <c r="E1627">
        <v>0.89468368678301002</v>
      </c>
      <c r="F1627">
        <v>0.68694266900135004</v>
      </c>
      <c r="G1627">
        <v>0.41734026549133701</v>
      </c>
      <c r="H1627">
        <v>0.31526353648671801</v>
      </c>
      <c r="I1627">
        <v>0.33804918359250102</v>
      </c>
      <c r="J1627">
        <v>0.42528088692075899</v>
      </c>
      <c r="K1627">
        <v>0.37166151963417499</v>
      </c>
      <c r="L1627">
        <v>1817.9141410275599</v>
      </c>
      <c r="M1627">
        <v>34.329020848228303</v>
      </c>
      <c r="N1627">
        <v>55.018707359134297</v>
      </c>
      <c r="O1627">
        <v>52.776875523371501</v>
      </c>
      <c r="P1627">
        <v>-0.10374986588186701</v>
      </c>
      <c r="Q1627">
        <v>0.36198903834553597</v>
      </c>
      <c r="R1627">
        <v>0.92391490578068802</v>
      </c>
      <c r="S1627" t="s">
        <v>8433</v>
      </c>
      <c r="T1627" t="s">
        <v>13610</v>
      </c>
      <c r="U1627" t="s">
        <v>13610</v>
      </c>
      <c r="V1627" t="s">
        <v>13610</v>
      </c>
      <c r="W1627" t="s">
        <v>15198</v>
      </c>
      <c r="X1627">
        <v>4</v>
      </c>
      <c r="Y1627" t="s">
        <v>21895</v>
      </c>
      <c r="Z1627" t="s">
        <v>28482</v>
      </c>
      <c r="AA1627">
        <v>0.64068384046934412</v>
      </c>
      <c r="AB1627" t="str">
        <f>HYPERLINK("Melting_Curves/meltCurve_O95229_ZWINT.pdf", "Melting_Curves/meltCurve_O95229_ZWINT.pdf")</f>
        <v>Melting_Curves/meltCurve_O95229_ZWINT.pdf</v>
      </c>
    </row>
    <row r="1628" spans="1:28" x14ac:dyDescent="0.25">
      <c r="A1628" t="s">
        <v>1632</v>
      </c>
      <c r="B1628">
        <v>0.995954080203443</v>
      </c>
      <c r="C1628">
        <v>1.0049121144117099</v>
      </c>
      <c r="D1628">
        <v>1.05718245472719</v>
      </c>
      <c r="E1628">
        <v>0.93818934843278201</v>
      </c>
      <c r="F1628">
        <v>0.92860712293857595</v>
      </c>
      <c r="G1628">
        <v>0.33952071653424998</v>
      </c>
      <c r="H1628">
        <v>5.38314467107344E-2</v>
      </c>
      <c r="I1628">
        <v>2.1867917855653601E-2</v>
      </c>
      <c r="J1628">
        <v>1.2786185745632899E-2</v>
      </c>
      <c r="K1628">
        <v>1.19424127986271E-2</v>
      </c>
      <c r="L1628">
        <v>2336.1196028857298</v>
      </c>
      <c r="M1628">
        <v>41.680573785972697</v>
      </c>
      <c r="N1628">
        <v>56.088821529792199</v>
      </c>
      <c r="O1628">
        <v>55.9196158715256</v>
      </c>
      <c r="P1628">
        <v>-0.18356942524283801</v>
      </c>
      <c r="Q1628">
        <v>1.48780375948134E-2</v>
      </c>
      <c r="R1628">
        <v>0.99686455164174503</v>
      </c>
      <c r="S1628" t="s">
        <v>8434</v>
      </c>
      <c r="T1628" t="s">
        <v>13610</v>
      </c>
      <c r="U1628" t="s">
        <v>13610</v>
      </c>
      <c r="V1628" t="s">
        <v>13610</v>
      </c>
      <c r="W1628" t="s">
        <v>15199</v>
      </c>
      <c r="X1628">
        <v>1</v>
      </c>
      <c r="Y1628" t="s">
        <v>21896</v>
      </c>
      <c r="Z1628" t="s">
        <v>28483</v>
      </c>
      <c r="AA1628">
        <v>0.54535340762083584</v>
      </c>
      <c r="AB1628" t="str">
        <f>HYPERLINK("Melting_Curves/meltCurve_O95231_VENTX.pdf", "Melting_Curves/meltCurve_O95231_VENTX.pdf")</f>
        <v>Melting_Curves/meltCurve_O95231_VENTX.pdf</v>
      </c>
    </row>
    <row r="1629" spans="1:28" x14ac:dyDescent="0.25">
      <c r="A1629" t="s">
        <v>1633</v>
      </c>
      <c r="B1629">
        <v>0.995954080203443</v>
      </c>
      <c r="C1629">
        <v>0.84607675461492404</v>
      </c>
      <c r="D1629">
        <v>0.82506051869219099</v>
      </c>
      <c r="E1629">
        <v>0.70622759745059205</v>
      </c>
      <c r="F1629">
        <v>0.305591627392579</v>
      </c>
      <c r="G1629">
        <v>0.10422097582968599</v>
      </c>
      <c r="H1629">
        <v>7.5112778149342196E-2</v>
      </c>
      <c r="I1629">
        <v>7.3889502374359803E-2</v>
      </c>
      <c r="J1629">
        <v>7.0822546823656907E-2</v>
      </c>
      <c r="K1629">
        <v>7.6678496356709494E-2</v>
      </c>
      <c r="L1629">
        <v>965.01250341557102</v>
      </c>
      <c r="M1629">
        <v>18.9576788931737</v>
      </c>
      <c r="N1629">
        <v>51.154343491648099</v>
      </c>
      <c r="O1629">
        <v>50.347263449864002</v>
      </c>
      <c r="P1629">
        <v>-8.9960230191164503E-2</v>
      </c>
      <c r="Q1629">
        <v>4.4383299084376798E-2</v>
      </c>
      <c r="R1629">
        <v>0.97289582130348295</v>
      </c>
      <c r="S1629" t="s">
        <v>8435</v>
      </c>
      <c r="T1629" t="s">
        <v>13610</v>
      </c>
      <c r="U1629" t="s">
        <v>13610</v>
      </c>
      <c r="V1629" t="s">
        <v>13610</v>
      </c>
      <c r="W1629" t="s">
        <v>15200</v>
      </c>
      <c r="X1629">
        <v>17</v>
      </c>
      <c r="Y1629" t="s">
        <v>21897</v>
      </c>
      <c r="Z1629" t="s">
        <v>28484</v>
      </c>
      <c r="AA1629">
        <v>0.40636312422931009</v>
      </c>
      <c r="AB1629" t="str">
        <f>HYPERLINK("Melting_Curves/meltCurve_O95232_LUC7L3.pdf", "Melting_Curves/meltCurve_O95232_LUC7L3.pdf")</f>
        <v>Melting_Curves/meltCurve_O95232_LUC7L3.pdf</v>
      </c>
    </row>
    <row r="1630" spans="1:28" x14ac:dyDescent="0.25">
      <c r="A1630" t="s">
        <v>1634</v>
      </c>
      <c r="B1630">
        <v>0.995954080203443</v>
      </c>
      <c r="C1630">
        <v>0.64001789468645298</v>
      </c>
      <c r="D1630">
        <v>0.54639007683739305</v>
      </c>
      <c r="E1630">
        <v>0.44069802060237101</v>
      </c>
      <c r="F1630">
        <v>0.341106495024249</v>
      </c>
      <c r="G1630">
        <v>0.22169113036589599</v>
      </c>
      <c r="H1630">
        <v>0.17486904936082101</v>
      </c>
      <c r="I1630">
        <v>0.19023548532441401</v>
      </c>
      <c r="J1630">
        <v>0.227498839044743</v>
      </c>
      <c r="K1630">
        <v>0.223137250004103</v>
      </c>
      <c r="L1630">
        <v>579.52583400613798</v>
      </c>
      <c r="M1630">
        <v>12.7606414893518</v>
      </c>
      <c r="N1630">
        <v>47.218096486079602</v>
      </c>
      <c r="O1630">
        <v>44.343084822367302</v>
      </c>
      <c r="P1630">
        <v>-5.8079849130490302E-2</v>
      </c>
      <c r="Q1630">
        <v>0.192845579683943</v>
      </c>
      <c r="R1630">
        <v>0.94691475931797697</v>
      </c>
      <c r="S1630" t="s">
        <v>8436</v>
      </c>
      <c r="T1630" t="s">
        <v>13610</v>
      </c>
      <c r="U1630" t="s">
        <v>13610</v>
      </c>
      <c r="V1630" t="s">
        <v>13610</v>
      </c>
      <c r="W1630" t="s">
        <v>15201</v>
      </c>
      <c r="X1630">
        <v>24</v>
      </c>
      <c r="Y1630" t="s">
        <v>21898</v>
      </c>
      <c r="Z1630" t="s">
        <v>28485</v>
      </c>
      <c r="AA1630">
        <v>0.37300106541043571</v>
      </c>
      <c r="AB1630" t="str">
        <f>HYPERLINK("Melting_Curves/meltCurve_O95239_KIF4A.pdf", "Melting_Curves/meltCurve_O95239_KIF4A.pdf")</f>
        <v>Melting_Curves/meltCurve_O95239_KIF4A.pdf</v>
      </c>
    </row>
    <row r="1631" spans="1:28" x14ac:dyDescent="0.25">
      <c r="A1631" t="s">
        <v>1635</v>
      </c>
      <c r="B1631">
        <v>0.995954080203443</v>
      </c>
      <c r="C1631">
        <v>0.93399696797933696</v>
      </c>
      <c r="D1631">
        <v>1.13059274672622</v>
      </c>
      <c r="E1631">
        <v>0.94011176126823603</v>
      </c>
      <c r="F1631">
        <v>1.2586944837909</v>
      </c>
      <c r="G1631">
        <v>1.0650832544100599</v>
      </c>
      <c r="H1631">
        <v>1.29459908179908</v>
      </c>
      <c r="I1631">
        <v>1.7337186585806601</v>
      </c>
      <c r="J1631">
        <v>2.1142661551719502</v>
      </c>
      <c r="K1631">
        <v>2.0816521315184899</v>
      </c>
      <c r="L1631">
        <v>15000</v>
      </c>
      <c r="M1631">
        <v>246.26234594068799</v>
      </c>
      <c r="O1631">
        <v>60.906634753408603</v>
      </c>
      <c r="P1631">
        <v>0.50540952450228405</v>
      </c>
      <c r="Q1631">
        <v>1.5</v>
      </c>
      <c r="R1631">
        <v>0.53754296512606003</v>
      </c>
      <c r="S1631" t="s">
        <v>8437</v>
      </c>
      <c r="T1631" t="s">
        <v>13610</v>
      </c>
      <c r="U1631" t="s">
        <v>13610</v>
      </c>
      <c r="V1631" t="s">
        <v>13610</v>
      </c>
      <c r="W1631" t="s">
        <v>15202</v>
      </c>
      <c r="X1631">
        <v>10</v>
      </c>
      <c r="Y1631" t="s">
        <v>21899</v>
      </c>
      <c r="Z1631" t="s">
        <v>28486</v>
      </c>
      <c r="AA1631">
        <v>1.151434053263952</v>
      </c>
      <c r="AB1631" t="str">
        <f>HYPERLINK("Melting_Curves/meltCurve_O95243_2_MBD4.pdf", "Melting_Curves/meltCurve_O95243_2_MBD4.pdf")</f>
        <v>Melting_Curves/meltCurve_O95243_2_MBD4.pdf</v>
      </c>
    </row>
    <row r="1632" spans="1:28" x14ac:dyDescent="0.25">
      <c r="A1632" t="s">
        <v>1636</v>
      </c>
      <c r="B1632">
        <v>0.995954080203443</v>
      </c>
      <c r="C1632">
        <v>0.75783409348838104</v>
      </c>
      <c r="D1632">
        <v>0.65006008087517297</v>
      </c>
      <c r="E1632">
        <v>0.50840309176376997</v>
      </c>
      <c r="F1632">
        <v>0.34873092883647699</v>
      </c>
      <c r="G1632">
        <v>0.21191753720405199</v>
      </c>
      <c r="H1632">
        <v>0.17267629882359001</v>
      </c>
      <c r="I1632">
        <v>0.19313560379525099</v>
      </c>
      <c r="J1632">
        <v>0.20344781222969599</v>
      </c>
      <c r="K1632">
        <v>0.211643956369585</v>
      </c>
      <c r="L1632">
        <v>590.478981862978</v>
      </c>
      <c r="M1632">
        <v>12.446395948911301</v>
      </c>
      <c r="N1632">
        <v>49.001873321722599</v>
      </c>
      <c r="O1632">
        <v>46.267006588312498</v>
      </c>
      <c r="P1632">
        <v>-5.6263172796964703E-2</v>
      </c>
      <c r="Q1632">
        <v>0.16358629166289301</v>
      </c>
      <c r="R1632">
        <v>0.97673518915406699</v>
      </c>
      <c r="S1632" t="s">
        <v>8438</v>
      </c>
      <c r="T1632" t="s">
        <v>13610</v>
      </c>
      <c r="U1632" t="s">
        <v>13610</v>
      </c>
      <c r="V1632" t="s">
        <v>13610</v>
      </c>
      <c r="W1632" t="s">
        <v>15203</v>
      </c>
      <c r="X1632">
        <v>12</v>
      </c>
      <c r="Y1632" t="s">
        <v>21900</v>
      </c>
      <c r="Z1632" t="s">
        <v>28487</v>
      </c>
      <c r="AA1632">
        <v>0.40287569434384463</v>
      </c>
      <c r="AB1632" t="str">
        <f>HYPERLINK("Melting_Curves/meltCurve_O95248_SBF1.pdf", "Melting_Curves/meltCurve_O95248_SBF1.pdf")</f>
        <v>Melting_Curves/meltCurve_O95248_SBF1.pdf</v>
      </c>
    </row>
    <row r="1633" spans="1:28" x14ac:dyDescent="0.25">
      <c r="A1633" t="s">
        <v>1637</v>
      </c>
      <c r="B1633">
        <v>0.995954080203443</v>
      </c>
      <c r="C1633">
        <v>0.88577678244401103</v>
      </c>
      <c r="D1633">
        <v>0.75615907693935802</v>
      </c>
      <c r="E1633">
        <v>0.58254246741891402</v>
      </c>
      <c r="F1633">
        <v>0.49590977819979398</v>
      </c>
      <c r="G1633">
        <v>0.34670714371712402</v>
      </c>
      <c r="H1633">
        <v>0.34632267730751698</v>
      </c>
      <c r="I1633">
        <v>0.40327084417577902</v>
      </c>
      <c r="J1633">
        <v>0.59830345059116996</v>
      </c>
      <c r="K1633">
        <v>0.43693524831938302</v>
      </c>
      <c r="L1633">
        <v>890.77996787008601</v>
      </c>
      <c r="M1633">
        <v>19.069225262446999</v>
      </c>
      <c r="N1633">
        <v>51.9704630016384</v>
      </c>
      <c r="O1633">
        <v>46.208342502003099</v>
      </c>
      <c r="P1633">
        <v>-5.9081423440463798E-2</v>
      </c>
      <c r="Q1633">
        <v>0.42736061055077401</v>
      </c>
      <c r="R1633">
        <v>0.89522217294498696</v>
      </c>
      <c r="S1633" t="s">
        <v>8439</v>
      </c>
      <c r="T1633" t="s">
        <v>13610</v>
      </c>
      <c r="U1633" t="s">
        <v>13610</v>
      </c>
      <c r="V1633" t="s">
        <v>13610</v>
      </c>
      <c r="W1633" t="s">
        <v>15204</v>
      </c>
      <c r="X1633">
        <v>5</v>
      </c>
      <c r="Y1633" t="s">
        <v>21901</v>
      </c>
      <c r="Z1633" t="s">
        <v>28488</v>
      </c>
      <c r="AA1633">
        <v>0.56493845208535276</v>
      </c>
      <c r="AB1633" t="str">
        <f>HYPERLINK("Melting_Curves/meltCurve_O95251_4_KAT7.pdf", "Melting_Curves/meltCurve_O95251_4_KAT7.pdf")</f>
        <v>Melting_Curves/meltCurve_O95251_4_KAT7.pdf</v>
      </c>
    </row>
    <row r="1634" spans="1:28" x14ac:dyDescent="0.25">
      <c r="A1634" t="s">
        <v>1638</v>
      </c>
      <c r="B1634">
        <v>0.995954080203443</v>
      </c>
      <c r="C1634">
        <v>1.0332553311337001</v>
      </c>
      <c r="D1634">
        <v>1.0036859904004001</v>
      </c>
      <c r="E1634">
        <v>0.72839211732010301</v>
      </c>
      <c r="F1634">
        <v>0.47448555641053403</v>
      </c>
      <c r="G1634">
        <v>0.28797088076042499</v>
      </c>
      <c r="H1634">
        <v>0.235668803447454</v>
      </c>
      <c r="I1634">
        <v>0.28731220084785503</v>
      </c>
      <c r="J1634">
        <v>0.30491523590251002</v>
      </c>
      <c r="K1634">
        <v>0.32312672423668798</v>
      </c>
      <c r="L1634">
        <v>1584.65267430891</v>
      </c>
      <c r="M1634">
        <v>31.091325281303899</v>
      </c>
      <c r="N1634">
        <v>52.383262737179997</v>
      </c>
      <c r="O1634">
        <v>50.758225232667399</v>
      </c>
      <c r="P1634">
        <v>-0.10961610529238799</v>
      </c>
      <c r="Q1634">
        <v>0.28418784556190502</v>
      </c>
      <c r="R1634">
        <v>0.99205221156977696</v>
      </c>
      <c r="S1634" t="s">
        <v>8440</v>
      </c>
      <c r="T1634" t="s">
        <v>13610</v>
      </c>
      <c r="U1634" t="s">
        <v>13610</v>
      </c>
      <c r="V1634" t="s">
        <v>13610</v>
      </c>
      <c r="W1634" t="s">
        <v>15205</v>
      </c>
      <c r="X1634">
        <v>6</v>
      </c>
      <c r="Y1634" t="s">
        <v>21902</v>
      </c>
      <c r="Z1634" t="s">
        <v>28489</v>
      </c>
      <c r="AA1634">
        <v>0.55006829147255465</v>
      </c>
      <c r="AB1634" t="str">
        <f>HYPERLINK("Melting_Curves/meltCurve_O95273_CCNDBP1.pdf", "Melting_Curves/meltCurve_O95273_CCNDBP1.pdf")</f>
        <v>Melting_Curves/meltCurve_O95273_CCNDBP1.pdf</v>
      </c>
    </row>
    <row r="1635" spans="1:28" x14ac:dyDescent="0.25">
      <c r="A1635" t="s">
        <v>1639</v>
      </c>
      <c r="B1635">
        <v>0.995954080203443</v>
      </c>
      <c r="C1635">
        <v>0.96337973630323304</v>
      </c>
      <c r="D1635">
        <v>0.96288370936847401</v>
      </c>
      <c r="E1635">
        <v>0.85841721575983898</v>
      </c>
      <c r="F1635">
        <v>0.77230823648227698</v>
      </c>
      <c r="G1635">
        <v>0.53471269802227595</v>
      </c>
      <c r="H1635">
        <v>0.45352510673489399</v>
      </c>
      <c r="I1635">
        <v>0.48656243411669198</v>
      </c>
      <c r="J1635">
        <v>0.57875348913329505</v>
      </c>
      <c r="K1635">
        <v>0.53705714587603204</v>
      </c>
      <c r="L1635">
        <v>1316.6197564961201</v>
      </c>
      <c r="M1635">
        <v>25.0697843226922</v>
      </c>
      <c r="O1635">
        <v>52.187447601241701</v>
      </c>
      <c r="P1635">
        <v>-5.9300932708557498E-2</v>
      </c>
      <c r="Q1635">
        <v>0.50622261346796704</v>
      </c>
      <c r="R1635">
        <v>0.96015927514810795</v>
      </c>
      <c r="S1635" t="s">
        <v>8441</v>
      </c>
      <c r="T1635" t="s">
        <v>13610</v>
      </c>
      <c r="U1635" t="s">
        <v>13610</v>
      </c>
      <c r="V1635" t="s">
        <v>13610</v>
      </c>
      <c r="W1635" t="s">
        <v>15206</v>
      </c>
      <c r="X1635">
        <v>9</v>
      </c>
      <c r="Y1635" t="s">
        <v>21903</v>
      </c>
      <c r="Z1635" t="s">
        <v>28490</v>
      </c>
      <c r="AA1635">
        <v>0.71676787435552802</v>
      </c>
      <c r="AB1635" t="str">
        <f>HYPERLINK("Melting_Curves/meltCurve_O95292_VAPB.pdf", "Melting_Curves/meltCurve_O95292_VAPB.pdf")</f>
        <v>Melting_Curves/meltCurve_O95292_VAPB.pdf</v>
      </c>
    </row>
    <row r="1636" spans="1:28" x14ac:dyDescent="0.25">
      <c r="A1636" t="s">
        <v>1640</v>
      </c>
      <c r="B1636">
        <v>0.995954080203443</v>
      </c>
      <c r="C1636">
        <v>0.98635593441584202</v>
      </c>
      <c r="D1636">
        <v>0.86856397539130503</v>
      </c>
      <c r="E1636">
        <v>0.77767325608590598</v>
      </c>
      <c r="F1636">
        <v>0.55038945369732994</v>
      </c>
      <c r="G1636">
        <v>0.32443174147509302</v>
      </c>
      <c r="H1636">
        <v>0.16345092551808901</v>
      </c>
      <c r="I1636">
        <v>0.13074609220543501</v>
      </c>
      <c r="J1636">
        <v>0.14762832556614899</v>
      </c>
      <c r="K1636">
        <v>0.142743633542013</v>
      </c>
      <c r="L1636">
        <v>856.55879599590003</v>
      </c>
      <c r="M1636">
        <v>16.176453188345398</v>
      </c>
      <c r="N1636">
        <v>53.701744071375202</v>
      </c>
      <c r="O1636">
        <v>52.16159077567</v>
      </c>
      <c r="P1636">
        <v>-6.9689402251126603E-2</v>
      </c>
      <c r="Q1636">
        <v>0.101202968562965</v>
      </c>
      <c r="R1636">
        <v>0.99440459411544102</v>
      </c>
      <c r="S1636" t="s">
        <v>8442</v>
      </c>
      <c r="T1636" t="s">
        <v>13610</v>
      </c>
      <c r="U1636" t="s">
        <v>13610</v>
      </c>
      <c r="V1636" t="s">
        <v>13610</v>
      </c>
      <c r="W1636" t="s">
        <v>15207</v>
      </c>
      <c r="X1636">
        <v>6</v>
      </c>
      <c r="Y1636" t="s">
        <v>21904</v>
      </c>
      <c r="Z1636" t="s">
        <v>28491</v>
      </c>
      <c r="AA1636">
        <v>0.50659180008311389</v>
      </c>
      <c r="AB1636" t="str">
        <f>HYPERLINK("Melting_Curves/meltCurve_O95295_SNAPIN.pdf", "Melting_Curves/meltCurve_O95295_SNAPIN.pdf")</f>
        <v>Melting_Curves/meltCurve_O95295_SNAPIN.pdf</v>
      </c>
    </row>
    <row r="1637" spans="1:28" x14ac:dyDescent="0.25">
      <c r="A1637" t="s">
        <v>1641</v>
      </c>
      <c r="B1637">
        <v>0.995954080203443</v>
      </c>
      <c r="C1637">
        <v>0.85886642061693996</v>
      </c>
      <c r="D1637">
        <v>1.16405278694659</v>
      </c>
      <c r="E1637">
        <v>0.88508265343251802</v>
      </c>
      <c r="F1637">
        <v>1.15597322618419</v>
      </c>
      <c r="G1637">
        <v>0.90965351074286005</v>
      </c>
      <c r="H1637">
        <v>0.85157498204207405</v>
      </c>
      <c r="I1637">
        <v>1.12849903853753</v>
      </c>
      <c r="J1637">
        <v>1.38983154127157</v>
      </c>
      <c r="K1637">
        <v>1.3319836012355299</v>
      </c>
      <c r="L1637">
        <v>15000</v>
      </c>
      <c r="M1637">
        <v>233.78242649029499</v>
      </c>
      <c r="O1637">
        <v>64.1575269770928</v>
      </c>
      <c r="P1637">
        <v>0.328782859964596</v>
      </c>
      <c r="Q1637">
        <v>1.36091498357534</v>
      </c>
      <c r="R1637">
        <v>0.666123703886774</v>
      </c>
      <c r="S1637" t="s">
        <v>8443</v>
      </c>
      <c r="T1637" t="s">
        <v>13610</v>
      </c>
      <c r="U1637" t="s">
        <v>13610</v>
      </c>
      <c r="V1637" t="s">
        <v>13610</v>
      </c>
      <c r="W1637" t="s">
        <v>15208</v>
      </c>
      <c r="X1637">
        <v>2</v>
      </c>
      <c r="Y1637" t="s">
        <v>21905</v>
      </c>
      <c r="Z1637" t="s">
        <v>28492</v>
      </c>
      <c r="AA1637">
        <v>1.0701849064943429</v>
      </c>
      <c r="AB1637" t="str">
        <f>HYPERLINK("Melting_Curves/meltCurve_O95297_4_MPZL1.pdf", "Melting_Curves/meltCurve_O95297_4_MPZL1.pdf")</f>
        <v>Melting_Curves/meltCurve_O95297_4_MPZL1.pdf</v>
      </c>
    </row>
    <row r="1638" spans="1:28" x14ac:dyDescent="0.25">
      <c r="A1638" t="s">
        <v>1642</v>
      </c>
      <c r="B1638">
        <v>0.995954080203443</v>
      </c>
      <c r="C1638">
        <v>1.0238779119582</v>
      </c>
      <c r="D1638">
        <v>0.86264286956238101</v>
      </c>
      <c r="E1638">
        <v>0.64633641035492695</v>
      </c>
      <c r="F1638">
        <v>0.32101629583575803</v>
      </c>
      <c r="G1638">
        <v>0.196608454945742</v>
      </c>
      <c r="H1638">
        <v>0.112203076062796</v>
      </c>
      <c r="I1638">
        <v>9.5838527712600499E-2</v>
      </c>
      <c r="J1638">
        <v>9.2636660474755703E-2</v>
      </c>
      <c r="K1638">
        <v>8.0753096303712205E-2</v>
      </c>
      <c r="L1638">
        <v>1041.9709540925701</v>
      </c>
      <c r="M1638">
        <v>20.5257401558403</v>
      </c>
      <c r="N1638">
        <v>51.227405762968303</v>
      </c>
      <c r="O1638">
        <v>50.289607411246699</v>
      </c>
      <c r="P1638">
        <v>-9.3396716703590704E-2</v>
      </c>
      <c r="Q1638">
        <v>8.4710508623316805E-2</v>
      </c>
      <c r="R1638">
        <v>0.99542032753776899</v>
      </c>
      <c r="S1638" t="s">
        <v>8444</v>
      </c>
      <c r="T1638" t="s">
        <v>13610</v>
      </c>
      <c r="U1638" t="s">
        <v>13610</v>
      </c>
      <c r="V1638" t="s">
        <v>13610</v>
      </c>
      <c r="W1638" t="s">
        <v>15209</v>
      </c>
      <c r="X1638">
        <v>4</v>
      </c>
      <c r="Y1638" t="s">
        <v>21906</v>
      </c>
      <c r="Z1638" t="s">
        <v>28493</v>
      </c>
      <c r="AA1638">
        <v>0.42522211080051198</v>
      </c>
      <c r="AB1638" t="str">
        <f>HYPERLINK("Melting_Curves/meltCurve_O95302_FKBP9.pdf", "Melting_Curves/meltCurve_O95302_FKBP9.pdf")</f>
        <v>Melting_Curves/meltCurve_O95302_FKBP9.pdf</v>
      </c>
    </row>
    <row r="1639" spans="1:28" x14ac:dyDescent="0.25">
      <c r="A1639" t="s">
        <v>1643</v>
      </c>
      <c r="B1639">
        <v>0.995954080203443</v>
      </c>
      <c r="C1639">
        <v>1.0226585848441101</v>
      </c>
      <c r="D1639">
        <v>0.95524694032909296</v>
      </c>
      <c r="E1639">
        <v>0.90459774943134996</v>
      </c>
      <c r="F1639">
        <v>0.78706874098053903</v>
      </c>
      <c r="G1639">
        <v>0.61075293383773699</v>
      </c>
      <c r="H1639">
        <v>0.39259169570399099</v>
      </c>
      <c r="I1639">
        <v>0.16831535815356799</v>
      </c>
      <c r="J1639">
        <v>6.4381942532752007E-2</v>
      </c>
      <c r="K1639">
        <v>6.1575567284655297E-2</v>
      </c>
      <c r="L1639">
        <v>899.33547131758405</v>
      </c>
      <c r="M1639">
        <v>15.4291135766744</v>
      </c>
      <c r="N1639">
        <v>58.288214171838199</v>
      </c>
      <c r="O1639">
        <v>57.335388667340197</v>
      </c>
      <c r="P1639">
        <v>-6.7281784865657293E-2</v>
      </c>
      <c r="Q1639">
        <v>0</v>
      </c>
      <c r="R1639">
        <v>0.99179506448689703</v>
      </c>
      <c r="S1639" t="s">
        <v>8445</v>
      </c>
      <c r="T1639" t="s">
        <v>13610</v>
      </c>
      <c r="U1639" t="s">
        <v>13610</v>
      </c>
      <c r="V1639" t="s">
        <v>13610</v>
      </c>
      <c r="W1639" t="s">
        <v>15210</v>
      </c>
      <c r="X1639">
        <v>13</v>
      </c>
      <c r="Y1639" t="s">
        <v>21907</v>
      </c>
      <c r="Z1639" t="s">
        <v>28494</v>
      </c>
      <c r="AA1639">
        <v>0.62222300555729615</v>
      </c>
      <c r="AB1639" t="str">
        <f>HYPERLINK("Melting_Curves/meltCurve_O95336_PGLS.pdf", "Melting_Curves/meltCurve_O95336_PGLS.pdf")</f>
        <v>Melting_Curves/meltCurve_O95336_PGLS.pdf</v>
      </c>
    </row>
    <row r="1640" spans="1:28" x14ac:dyDescent="0.25">
      <c r="A1640" t="s">
        <v>1644</v>
      </c>
      <c r="B1640">
        <v>0.995954080203443</v>
      </c>
      <c r="C1640">
        <v>0.72240923569655802</v>
      </c>
      <c r="D1640">
        <v>0.40422491083070999</v>
      </c>
      <c r="E1640">
        <v>0.22276147894509801</v>
      </c>
      <c r="F1640">
        <v>0.10531231356257099</v>
      </c>
      <c r="G1640">
        <v>6.1487536240000001E-2</v>
      </c>
      <c r="H1640">
        <v>4.1728820133139201E-2</v>
      </c>
      <c r="I1640">
        <v>3.6552887370732298E-2</v>
      </c>
      <c r="J1640">
        <v>4.3430762951518501E-2</v>
      </c>
      <c r="K1640">
        <v>3.77198852714241E-2</v>
      </c>
      <c r="L1640">
        <v>868.41149582405205</v>
      </c>
      <c r="M1640">
        <v>19.249298992665999</v>
      </c>
      <c r="N1640">
        <v>45.337406641125703</v>
      </c>
      <c r="O1640">
        <v>44.635504040548</v>
      </c>
      <c r="P1640">
        <v>-0.10293791010919499</v>
      </c>
      <c r="Q1640">
        <v>4.5261627445955299E-2</v>
      </c>
      <c r="R1640">
        <v>0.99090516778128102</v>
      </c>
      <c r="S1640" t="s">
        <v>8446</v>
      </c>
      <c r="T1640" t="s">
        <v>13610</v>
      </c>
      <c r="U1640" t="s">
        <v>13610</v>
      </c>
      <c r="V1640" t="s">
        <v>13610</v>
      </c>
      <c r="W1640" t="s">
        <v>15211</v>
      </c>
      <c r="X1640">
        <v>47</v>
      </c>
      <c r="Y1640" t="s">
        <v>21908</v>
      </c>
      <c r="Z1640" t="s">
        <v>28495</v>
      </c>
      <c r="AA1640">
        <v>0.2254519269116258</v>
      </c>
      <c r="AB1640" t="str">
        <f>HYPERLINK("Melting_Curves/meltCurve_O95347_SMC2.pdf", "Melting_Curves/meltCurve_O95347_SMC2.pdf")</f>
        <v>Melting_Curves/meltCurve_O95347_SMC2.pdf</v>
      </c>
    </row>
    <row r="1641" spans="1:28" x14ac:dyDescent="0.25">
      <c r="A1641" t="s">
        <v>1645</v>
      </c>
      <c r="B1641">
        <v>0.995954080203443</v>
      </c>
      <c r="C1641">
        <v>0.96375492763058301</v>
      </c>
      <c r="D1641">
        <v>0.86052262434329796</v>
      </c>
      <c r="E1641">
        <v>0.69172154071578096</v>
      </c>
      <c r="F1641">
        <v>0.17544738379158001</v>
      </c>
      <c r="G1641">
        <v>9.3802916759275101E-2</v>
      </c>
      <c r="H1641">
        <v>5.4291384135602E-2</v>
      </c>
      <c r="I1641">
        <v>4.6176017964285498E-2</v>
      </c>
      <c r="J1641">
        <v>4.7480456520073301E-2</v>
      </c>
      <c r="K1641">
        <v>4.4215572048734497E-2</v>
      </c>
      <c r="L1641">
        <v>1982.6572541013199</v>
      </c>
      <c r="M1641">
        <v>39.040583408985803</v>
      </c>
      <c r="N1641">
        <v>50.923121877659099</v>
      </c>
      <c r="O1641">
        <v>50.651827303653</v>
      </c>
      <c r="P1641">
        <v>-0.182978634122024</v>
      </c>
      <c r="Q1641">
        <v>5.0405595507590703E-2</v>
      </c>
      <c r="R1641">
        <v>0.98816624563510103</v>
      </c>
      <c r="S1641" t="s">
        <v>8447</v>
      </c>
      <c r="T1641" t="s">
        <v>13610</v>
      </c>
      <c r="U1641" t="s">
        <v>13610</v>
      </c>
      <c r="V1641" t="s">
        <v>13610</v>
      </c>
      <c r="W1641" t="s">
        <v>15212</v>
      </c>
      <c r="X1641">
        <v>25</v>
      </c>
      <c r="Y1641" t="s">
        <v>21909</v>
      </c>
      <c r="Z1641" t="s">
        <v>28496</v>
      </c>
      <c r="AA1641">
        <v>0.39527019212238568</v>
      </c>
      <c r="AB1641" t="str">
        <f>HYPERLINK("Melting_Curves/meltCurve_O95352_ATG7.pdf", "Melting_Curves/meltCurve_O95352_ATG7.pdf")</f>
        <v>Melting_Curves/meltCurve_O95352_ATG7.pdf</v>
      </c>
    </row>
    <row r="1642" spans="1:28" x14ac:dyDescent="0.25">
      <c r="A1642" t="s">
        <v>1646</v>
      </c>
      <c r="B1642">
        <v>0.995954080203443</v>
      </c>
      <c r="C1642">
        <v>0.87619520962585495</v>
      </c>
      <c r="D1642">
        <v>0.88332205376449802</v>
      </c>
      <c r="E1642">
        <v>0.80341378438806899</v>
      </c>
      <c r="F1642">
        <v>0.64664521503684402</v>
      </c>
      <c r="G1642">
        <v>0.45565632749160601</v>
      </c>
      <c r="H1642">
        <v>0.27697595220546301</v>
      </c>
      <c r="I1642">
        <v>0.26694497440329101</v>
      </c>
      <c r="J1642">
        <v>0.28316828215272899</v>
      </c>
      <c r="K1642">
        <v>0.22947797406780401</v>
      </c>
      <c r="L1642">
        <v>642.31578356683099</v>
      </c>
      <c r="M1642">
        <v>11.919277859528</v>
      </c>
      <c r="N1642">
        <v>55.841759624046098</v>
      </c>
      <c r="O1642">
        <v>52.439120639914002</v>
      </c>
      <c r="P1642">
        <v>-4.7150871584957302E-2</v>
      </c>
      <c r="Q1642">
        <v>0.170440166147143</v>
      </c>
      <c r="R1642">
        <v>0.98154982163037796</v>
      </c>
      <c r="S1642" t="s">
        <v>8448</v>
      </c>
      <c r="T1642" t="s">
        <v>13610</v>
      </c>
      <c r="U1642" t="s">
        <v>13610</v>
      </c>
      <c r="V1642" t="s">
        <v>13610</v>
      </c>
      <c r="W1642" t="s">
        <v>15213</v>
      </c>
      <c r="X1642">
        <v>3</v>
      </c>
      <c r="Y1642" t="s">
        <v>21910</v>
      </c>
      <c r="Z1642" t="s">
        <v>28497</v>
      </c>
      <c r="AA1642">
        <v>0.57652787822667217</v>
      </c>
      <c r="AB1642" t="str">
        <f>HYPERLINK("Melting_Curves/meltCurve_O95365_ZBTB7A.pdf", "Melting_Curves/meltCurve_O95365_ZBTB7A.pdf")</f>
        <v>Melting_Curves/meltCurve_O95365_ZBTB7A.pdf</v>
      </c>
    </row>
    <row r="1643" spans="1:28" x14ac:dyDescent="0.25">
      <c r="A1643" t="s">
        <v>1647</v>
      </c>
      <c r="B1643">
        <v>0.995954080203443</v>
      </c>
      <c r="C1643">
        <v>0.96050232013306602</v>
      </c>
      <c r="D1643">
        <v>1.04017452356667</v>
      </c>
      <c r="E1643">
        <v>0.86195178473697998</v>
      </c>
      <c r="F1643">
        <v>0.85201648681762698</v>
      </c>
      <c r="G1643">
        <v>0.45992624798756998</v>
      </c>
      <c r="H1643">
        <v>0.15123374104760101</v>
      </c>
      <c r="I1643">
        <v>0.127278113393966</v>
      </c>
      <c r="J1643">
        <v>0.13902840422082799</v>
      </c>
      <c r="K1643">
        <v>0.13296607242342401</v>
      </c>
      <c r="L1643">
        <v>1464.8703184548899</v>
      </c>
      <c r="M1643">
        <v>26.213150810452401</v>
      </c>
      <c r="N1643">
        <v>56.405486159196798</v>
      </c>
      <c r="O1643">
        <v>55.560839322724497</v>
      </c>
      <c r="P1643">
        <v>-0.105236066341425</v>
      </c>
      <c r="Q1643">
        <v>0.107785389510796</v>
      </c>
      <c r="R1643">
        <v>0.98836504623127097</v>
      </c>
      <c r="S1643" t="s">
        <v>8449</v>
      </c>
      <c r="T1643" t="s">
        <v>13610</v>
      </c>
      <c r="U1643" t="s">
        <v>13610</v>
      </c>
      <c r="V1643" t="s">
        <v>13610</v>
      </c>
      <c r="W1643" t="s">
        <v>15214</v>
      </c>
      <c r="X1643">
        <v>12</v>
      </c>
      <c r="Y1643" t="s">
        <v>21911</v>
      </c>
      <c r="Z1643" t="s">
        <v>28498</v>
      </c>
      <c r="AA1643">
        <v>0.5877219204982701</v>
      </c>
      <c r="AB1643" t="str">
        <f>HYPERLINK("Melting_Curves/meltCurve_O95372_LYPLA2.pdf", "Melting_Curves/meltCurve_O95372_LYPLA2.pdf")</f>
        <v>Melting_Curves/meltCurve_O95372_LYPLA2.pdf</v>
      </c>
    </row>
    <row r="1644" spans="1:28" x14ac:dyDescent="0.25">
      <c r="A1644" t="s">
        <v>1648</v>
      </c>
      <c r="B1644">
        <v>0.995954080203443</v>
      </c>
      <c r="C1644">
        <v>0.90214244852282799</v>
      </c>
      <c r="D1644">
        <v>0.811567693657953</v>
      </c>
      <c r="E1644">
        <v>0.85900914924614402</v>
      </c>
      <c r="F1644">
        <v>0.59473284012823202</v>
      </c>
      <c r="G1644">
        <v>0.23801278497787101</v>
      </c>
      <c r="H1644">
        <v>9.7658011543496195E-2</v>
      </c>
      <c r="I1644">
        <v>6.2687083512190003E-2</v>
      </c>
      <c r="J1644">
        <v>6.8312262030481796E-2</v>
      </c>
      <c r="K1644">
        <v>5.6377243252928901E-2</v>
      </c>
      <c r="L1644">
        <v>1015.6017582744799</v>
      </c>
      <c r="M1644">
        <v>18.919403615950699</v>
      </c>
      <c r="N1644">
        <v>53.837818532727802</v>
      </c>
      <c r="O1644">
        <v>53.091497802960397</v>
      </c>
      <c r="P1644">
        <v>-8.6695460639039407E-2</v>
      </c>
      <c r="Q1644">
        <v>2.6902727440498601E-2</v>
      </c>
      <c r="R1644">
        <v>0.97523397756728103</v>
      </c>
      <c r="S1644" t="s">
        <v>8450</v>
      </c>
      <c r="T1644" t="s">
        <v>13610</v>
      </c>
      <c r="U1644" t="s">
        <v>13610</v>
      </c>
      <c r="V1644" t="s">
        <v>13610</v>
      </c>
      <c r="W1644" t="s">
        <v>15215</v>
      </c>
      <c r="X1644">
        <v>37</v>
      </c>
      <c r="Y1644" t="s">
        <v>21912</v>
      </c>
      <c r="Z1644" t="s">
        <v>28499</v>
      </c>
      <c r="AA1644">
        <v>0.48518049271415448</v>
      </c>
      <c r="AB1644" t="str">
        <f>HYPERLINK("Melting_Curves/meltCurve_O95373_IPO7.pdf", "Melting_Curves/meltCurve_O95373_IPO7.pdf")</f>
        <v>Melting_Curves/meltCurve_O95373_IPO7.pdf</v>
      </c>
    </row>
    <row r="1645" spans="1:28" x14ac:dyDescent="0.25">
      <c r="A1645" t="s">
        <v>1649</v>
      </c>
      <c r="B1645">
        <v>0.995954080203443</v>
      </c>
      <c r="C1645">
        <v>1.02398643826879</v>
      </c>
      <c r="D1645">
        <v>1.0466465042173501</v>
      </c>
      <c r="E1645">
        <v>0.89424879985096495</v>
      </c>
      <c r="F1645">
        <v>0.71968538556267403</v>
      </c>
      <c r="G1645">
        <v>0.21470744149819301</v>
      </c>
      <c r="H1645">
        <v>0.109282164152002</v>
      </c>
      <c r="I1645">
        <v>9.6110184874259597E-2</v>
      </c>
      <c r="J1645">
        <v>0.106391451174616</v>
      </c>
      <c r="K1645">
        <v>0.100289138072573</v>
      </c>
      <c r="L1645">
        <v>1828.3744834535</v>
      </c>
      <c r="M1645">
        <v>33.806753305733203</v>
      </c>
      <c r="N1645">
        <v>54.419595198974903</v>
      </c>
      <c r="O1645">
        <v>53.894929324887201</v>
      </c>
      <c r="P1645">
        <v>-0.14202801428655201</v>
      </c>
      <c r="Q1645">
        <v>9.4316064970291699E-2</v>
      </c>
      <c r="R1645">
        <v>0.99617090023531196</v>
      </c>
      <c r="S1645" t="s">
        <v>8451</v>
      </c>
      <c r="T1645" t="s">
        <v>13610</v>
      </c>
      <c r="U1645" t="s">
        <v>13610</v>
      </c>
      <c r="V1645" t="s">
        <v>13610</v>
      </c>
      <c r="W1645" t="s">
        <v>15216</v>
      </c>
      <c r="X1645">
        <v>20</v>
      </c>
      <c r="Y1645" t="s">
        <v>21913</v>
      </c>
      <c r="Z1645" t="s">
        <v>28500</v>
      </c>
      <c r="AA1645">
        <v>0.52419592189766351</v>
      </c>
      <c r="AB1645" t="str">
        <f>HYPERLINK("Melting_Curves/meltCurve_O95376_ARIH2.pdf", "Melting_Curves/meltCurve_O95376_ARIH2.pdf")</f>
        <v>Melting_Curves/meltCurve_O95376_ARIH2.pdf</v>
      </c>
    </row>
    <row r="1646" spans="1:28" x14ac:dyDescent="0.25">
      <c r="A1646" t="s">
        <v>1650</v>
      </c>
      <c r="B1646">
        <v>0.995954080203443</v>
      </c>
      <c r="C1646">
        <v>1.03905629203635</v>
      </c>
      <c r="D1646">
        <v>1.0529471556305201</v>
      </c>
      <c r="E1646">
        <v>0.89105535957724202</v>
      </c>
      <c r="F1646">
        <v>0.60361374687378799</v>
      </c>
      <c r="G1646">
        <v>0.18570622923418001</v>
      </c>
      <c r="H1646">
        <v>0.107863855839338</v>
      </c>
      <c r="I1646">
        <v>8.9963065308696299E-2</v>
      </c>
      <c r="J1646">
        <v>9.5176014781168397E-2</v>
      </c>
      <c r="K1646">
        <v>8.6483199248687706E-2</v>
      </c>
      <c r="L1646">
        <v>1724.6435540954601</v>
      </c>
      <c r="M1646">
        <v>32.310210017209499</v>
      </c>
      <c r="N1646">
        <v>53.701243287038501</v>
      </c>
      <c r="O1646">
        <v>53.1744456515667</v>
      </c>
      <c r="P1646">
        <v>-0.13847062751665801</v>
      </c>
      <c r="Q1646">
        <v>8.84538041784248E-2</v>
      </c>
      <c r="R1646">
        <v>0.99695336441956695</v>
      </c>
      <c r="S1646" t="s">
        <v>8452</v>
      </c>
      <c r="T1646" t="s">
        <v>13610</v>
      </c>
      <c r="U1646" t="s">
        <v>13610</v>
      </c>
      <c r="V1646" t="s">
        <v>13610</v>
      </c>
      <c r="W1646" t="s">
        <v>15217</v>
      </c>
      <c r="X1646">
        <v>5</v>
      </c>
      <c r="Y1646" t="s">
        <v>21914</v>
      </c>
      <c r="Z1646" t="s">
        <v>28501</v>
      </c>
      <c r="AA1646">
        <v>0.50006998991916829</v>
      </c>
      <c r="AB1646" t="str">
        <f>HYPERLINK("Melting_Curves/meltCurve_O95379_TNFAIP8.pdf", "Melting_Curves/meltCurve_O95379_TNFAIP8.pdf")</f>
        <v>Melting_Curves/meltCurve_O95379_TNFAIP8.pdf</v>
      </c>
    </row>
    <row r="1647" spans="1:28" x14ac:dyDescent="0.25">
      <c r="A1647" t="s">
        <v>1651</v>
      </c>
      <c r="B1647">
        <v>0.995954080203443</v>
      </c>
      <c r="C1647">
        <v>0.839115209314796</v>
      </c>
      <c r="D1647">
        <v>0.89761642567918398</v>
      </c>
      <c r="E1647">
        <v>0.66213375882117897</v>
      </c>
      <c r="F1647">
        <v>0.70128121250345898</v>
      </c>
      <c r="G1647">
        <v>0.55453700829215302</v>
      </c>
      <c r="H1647">
        <v>0.58746622059060205</v>
      </c>
      <c r="I1647">
        <v>0.79595871450502198</v>
      </c>
      <c r="J1647">
        <v>0.88003706262396098</v>
      </c>
      <c r="K1647">
        <v>0.92393040506414603</v>
      </c>
      <c r="L1647">
        <v>990.63061955484795</v>
      </c>
      <c r="M1647">
        <v>22.621818475922801</v>
      </c>
      <c r="O1647">
        <v>43.453029238204302</v>
      </c>
      <c r="P1647">
        <v>-3.4556336886505203E-2</v>
      </c>
      <c r="Q1647">
        <v>0.73449561436783894</v>
      </c>
      <c r="R1647">
        <v>0.320554660231537</v>
      </c>
      <c r="S1647" t="s">
        <v>8453</v>
      </c>
      <c r="T1647" t="s">
        <v>13610</v>
      </c>
      <c r="U1647" t="s">
        <v>13610</v>
      </c>
      <c r="V1647" t="s">
        <v>13610</v>
      </c>
      <c r="W1647" t="s">
        <v>15218</v>
      </c>
      <c r="X1647">
        <v>13</v>
      </c>
      <c r="Y1647" t="s">
        <v>21915</v>
      </c>
      <c r="Z1647" t="s">
        <v>28502</v>
      </c>
      <c r="AA1647">
        <v>0.77206500135557754</v>
      </c>
      <c r="AB1647" t="str">
        <f>HYPERLINK("Melting_Curves/meltCurve_O95391_SLU7.pdf", "Melting_Curves/meltCurve_O95391_SLU7.pdf")</f>
        <v>Melting_Curves/meltCurve_O95391_SLU7.pdf</v>
      </c>
    </row>
    <row r="1648" spans="1:28" x14ac:dyDescent="0.25">
      <c r="A1648" t="s">
        <v>1652</v>
      </c>
      <c r="B1648">
        <v>0.995954080203443</v>
      </c>
      <c r="C1648">
        <v>1.0073978354386099</v>
      </c>
      <c r="D1648">
        <v>1.08143184693215</v>
      </c>
      <c r="E1648">
        <v>0.62103482141885502</v>
      </c>
      <c r="F1648">
        <v>0.177924936127903</v>
      </c>
      <c r="G1648">
        <v>0.104777169621493</v>
      </c>
      <c r="H1648">
        <v>7.0523437447639295E-2</v>
      </c>
      <c r="I1648">
        <v>6.1782373587664197E-2</v>
      </c>
      <c r="J1648">
        <v>7.0543992756551294E-2</v>
      </c>
      <c r="K1648">
        <v>6.1543034701937997E-2</v>
      </c>
      <c r="L1648">
        <v>2352.0318970296098</v>
      </c>
      <c r="M1648">
        <v>46.630478782619299</v>
      </c>
      <c r="N1648">
        <v>50.616191116620598</v>
      </c>
      <c r="O1648">
        <v>50.347292757600002</v>
      </c>
      <c r="P1648">
        <v>-0.21418121322697001</v>
      </c>
      <c r="Q1648">
        <v>7.4988519223971303E-2</v>
      </c>
      <c r="R1648">
        <v>0.99457645161806896</v>
      </c>
      <c r="S1648" t="s">
        <v>8454</v>
      </c>
      <c r="T1648" t="s">
        <v>13610</v>
      </c>
      <c r="U1648" t="s">
        <v>13610</v>
      </c>
      <c r="V1648" t="s">
        <v>13610</v>
      </c>
      <c r="W1648" t="s">
        <v>15219</v>
      </c>
      <c r="X1648">
        <v>28</v>
      </c>
      <c r="Y1648" t="s">
        <v>21916</v>
      </c>
      <c r="Z1648" t="s">
        <v>28503</v>
      </c>
      <c r="AA1648">
        <v>0.39925447928419028</v>
      </c>
      <c r="AB1648" t="str">
        <f>HYPERLINK("Melting_Curves/meltCurve_O95394_PGM3.pdf", "Melting_Curves/meltCurve_O95394_PGM3.pdf")</f>
        <v>Melting_Curves/meltCurve_O95394_PGM3.pdf</v>
      </c>
    </row>
    <row r="1649" spans="1:28" x14ac:dyDescent="0.25">
      <c r="A1649" t="s">
        <v>1653</v>
      </c>
      <c r="B1649">
        <v>0.995954080203443</v>
      </c>
      <c r="C1649">
        <v>0.89386488915884899</v>
      </c>
      <c r="D1649">
        <v>0.56157044326695105</v>
      </c>
      <c r="E1649">
        <v>0.35233846552801501</v>
      </c>
      <c r="F1649">
        <v>0.18888752412325499</v>
      </c>
      <c r="G1649">
        <v>8.8214942895260204E-2</v>
      </c>
      <c r="H1649">
        <v>7.5553617854067695E-2</v>
      </c>
      <c r="I1649">
        <v>6.6419557447439007E-2</v>
      </c>
      <c r="J1649">
        <v>7.32745342275304E-2</v>
      </c>
      <c r="K1649">
        <v>6.4916125383950404E-2</v>
      </c>
      <c r="L1649">
        <v>819.62459860901401</v>
      </c>
      <c r="M1649">
        <v>17.415027944512399</v>
      </c>
      <c r="N1649">
        <v>47.428750420569401</v>
      </c>
      <c r="O1649">
        <v>46.456788128733997</v>
      </c>
      <c r="P1649">
        <v>-8.7850937501852702E-2</v>
      </c>
      <c r="Q1649">
        <v>6.2638676218438299E-2</v>
      </c>
      <c r="R1649">
        <v>0.99213901385122405</v>
      </c>
      <c r="S1649" t="s">
        <v>8455</v>
      </c>
      <c r="T1649" t="s">
        <v>13610</v>
      </c>
      <c r="U1649" t="s">
        <v>13610</v>
      </c>
      <c r="V1649" t="s">
        <v>13610</v>
      </c>
      <c r="W1649" t="s">
        <v>15220</v>
      </c>
      <c r="X1649">
        <v>10</v>
      </c>
      <c r="Y1649" t="s">
        <v>21917</v>
      </c>
      <c r="Z1649" t="s">
        <v>28504</v>
      </c>
      <c r="AA1649">
        <v>0.30188013679971137</v>
      </c>
      <c r="AB1649" t="str">
        <f>HYPERLINK("Melting_Curves/meltCurve_O95396_MOCS3.pdf", "Melting_Curves/meltCurve_O95396_MOCS3.pdf")</f>
        <v>Melting_Curves/meltCurve_O95396_MOCS3.pdf</v>
      </c>
    </row>
    <row r="1650" spans="1:28" x14ac:dyDescent="0.25">
      <c r="A1650" t="s">
        <v>1654</v>
      </c>
      <c r="B1650">
        <v>0.995954080203443</v>
      </c>
      <c r="C1650">
        <v>0.89855559536983598</v>
      </c>
      <c r="D1650">
        <v>0.71102578773745595</v>
      </c>
      <c r="E1650">
        <v>0.49184167463859002</v>
      </c>
      <c r="F1650">
        <v>0.31300942119790398</v>
      </c>
      <c r="G1650">
        <v>0.18563488755233001</v>
      </c>
      <c r="H1650">
        <v>0.15700324821724701</v>
      </c>
      <c r="I1650">
        <v>0.106795084671042</v>
      </c>
      <c r="J1650">
        <v>0.13058704543881799</v>
      </c>
      <c r="K1650">
        <v>9.9601998748520507E-2</v>
      </c>
      <c r="L1650">
        <v>708.840042350467</v>
      </c>
      <c r="M1650">
        <v>14.5154588550315</v>
      </c>
      <c r="N1650">
        <v>49.561923032733098</v>
      </c>
      <c r="O1650">
        <v>47.934705664964703</v>
      </c>
      <c r="P1650">
        <v>-6.8439826970618206E-2</v>
      </c>
      <c r="Q1650">
        <v>9.6063119988055695E-2</v>
      </c>
      <c r="R1650">
        <v>0.99714356678497096</v>
      </c>
      <c r="S1650" t="s">
        <v>8456</v>
      </c>
      <c r="T1650" t="s">
        <v>13610</v>
      </c>
      <c r="U1650" t="s">
        <v>13610</v>
      </c>
      <c r="V1650" t="s">
        <v>13610</v>
      </c>
      <c r="W1650" t="s">
        <v>15221</v>
      </c>
      <c r="X1650">
        <v>2</v>
      </c>
      <c r="Y1650" t="s">
        <v>21918</v>
      </c>
      <c r="Z1650" t="s">
        <v>28505</v>
      </c>
      <c r="AA1650">
        <v>0.38611067068610422</v>
      </c>
      <c r="AB1650" t="str">
        <f>HYPERLINK("Melting_Curves/meltCurve_O95397_PLEKHA8P1.pdf", "Melting_Curves/meltCurve_O95397_PLEKHA8P1.pdf")</f>
        <v>Melting_Curves/meltCurve_O95397_PLEKHA8P1.pdf</v>
      </c>
    </row>
    <row r="1651" spans="1:28" x14ac:dyDescent="0.25">
      <c r="A1651" t="s">
        <v>1655</v>
      </c>
      <c r="B1651">
        <v>0.995954080203443</v>
      </c>
      <c r="C1651">
        <v>1.1383336775985999</v>
      </c>
      <c r="D1651">
        <v>1.1355779947232301</v>
      </c>
      <c r="E1651">
        <v>0.98471465969182603</v>
      </c>
      <c r="F1651">
        <v>0.74626671165020997</v>
      </c>
      <c r="G1651">
        <v>0.253403575410653</v>
      </c>
      <c r="H1651">
        <v>9.9678216980223805E-2</v>
      </c>
      <c r="I1651">
        <v>2.84268690756844E-2</v>
      </c>
      <c r="J1651">
        <v>1.2998770044672399E-2</v>
      </c>
      <c r="K1651">
        <v>1.75685729789027E-2</v>
      </c>
      <c r="L1651">
        <v>1725.1282125688999</v>
      </c>
      <c r="M1651">
        <v>31.435745152103799</v>
      </c>
      <c r="N1651">
        <v>54.966623480919701</v>
      </c>
      <c r="O1651">
        <v>54.657272327570197</v>
      </c>
      <c r="P1651">
        <v>-0.14023098604867101</v>
      </c>
      <c r="Q1651">
        <v>2.47278408948115E-2</v>
      </c>
      <c r="R1651">
        <v>0.981894779516857</v>
      </c>
      <c r="S1651" t="s">
        <v>8457</v>
      </c>
      <c r="T1651" t="s">
        <v>13610</v>
      </c>
      <c r="U1651" t="s">
        <v>13610</v>
      </c>
      <c r="V1651" t="s">
        <v>13610</v>
      </c>
      <c r="W1651" t="s">
        <v>15222</v>
      </c>
      <c r="X1651">
        <v>1</v>
      </c>
      <c r="Y1651" t="s">
        <v>21919</v>
      </c>
      <c r="Z1651" t="s">
        <v>28506</v>
      </c>
      <c r="AA1651">
        <v>0.51430709715089662</v>
      </c>
      <c r="AB1651" t="str">
        <f>HYPERLINK("Melting_Curves/meltCurve_O95399_UTS2.pdf", "Melting_Curves/meltCurve_O95399_UTS2.pdf")</f>
        <v>Melting_Curves/meltCurve_O95399_UTS2.pdf</v>
      </c>
    </row>
    <row r="1652" spans="1:28" x14ac:dyDescent="0.25">
      <c r="A1652" t="s">
        <v>1656</v>
      </c>
      <c r="B1652">
        <v>0.995954080203443</v>
      </c>
      <c r="C1652">
        <v>0.836028061150761</v>
      </c>
      <c r="D1652">
        <v>0.852453486793878</v>
      </c>
      <c r="E1652">
        <v>0.90270126710802301</v>
      </c>
      <c r="F1652">
        <v>0.63510903455035495</v>
      </c>
      <c r="G1652">
        <v>0.393180667769362</v>
      </c>
      <c r="H1652">
        <v>0.37951246085188201</v>
      </c>
      <c r="I1652">
        <v>0.48102443636047398</v>
      </c>
      <c r="J1652">
        <v>0.76496257958602598</v>
      </c>
      <c r="K1652">
        <v>0.74212029635657595</v>
      </c>
      <c r="L1652">
        <v>2620.9492847967599</v>
      </c>
      <c r="M1652">
        <v>51.133575138011302</v>
      </c>
      <c r="O1652">
        <v>51.178713016821703</v>
      </c>
      <c r="P1652">
        <v>-0.111493207717099</v>
      </c>
      <c r="Q1652">
        <v>0.55363396181909297</v>
      </c>
      <c r="R1652">
        <v>0.55143920650067901</v>
      </c>
      <c r="S1652" t="s">
        <v>8458</v>
      </c>
      <c r="T1652" t="s">
        <v>13610</v>
      </c>
      <c r="U1652" t="s">
        <v>13610</v>
      </c>
      <c r="V1652" t="s">
        <v>13610</v>
      </c>
      <c r="W1652" t="s">
        <v>15223</v>
      </c>
      <c r="X1652">
        <v>8</v>
      </c>
      <c r="Y1652" t="s">
        <v>21920</v>
      </c>
      <c r="Z1652" t="s">
        <v>28507</v>
      </c>
      <c r="AA1652">
        <v>0.72208880574155454</v>
      </c>
      <c r="AB1652" t="str">
        <f>HYPERLINK("Melting_Curves/meltCurve_O95400_CD2BP2.pdf", "Melting_Curves/meltCurve_O95400_CD2BP2.pdf")</f>
        <v>Melting_Curves/meltCurve_O95400_CD2BP2.pdf</v>
      </c>
    </row>
    <row r="1653" spans="1:28" x14ac:dyDescent="0.25">
      <c r="A1653" t="s">
        <v>1657</v>
      </c>
      <c r="B1653">
        <v>0.995954080203443</v>
      </c>
      <c r="C1653">
        <v>0.82637708428335299</v>
      </c>
      <c r="D1653">
        <v>0.69261038551714704</v>
      </c>
      <c r="E1653">
        <v>0.66912241837583097</v>
      </c>
      <c r="F1653">
        <v>0.61372245815420201</v>
      </c>
      <c r="G1653">
        <v>0.48855268409018199</v>
      </c>
      <c r="H1653">
        <v>0.48379989889863101</v>
      </c>
      <c r="I1653">
        <v>0.55872472584844801</v>
      </c>
      <c r="J1653">
        <v>0.68947343050584398</v>
      </c>
      <c r="K1653">
        <v>0.61153236642884001</v>
      </c>
      <c r="L1653">
        <v>909.65588883152498</v>
      </c>
      <c r="M1653">
        <v>20.618575021769701</v>
      </c>
      <c r="O1653">
        <v>43.709557516896801</v>
      </c>
      <c r="P1653">
        <v>-4.9790956240496898E-2</v>
      </c>
      <c r="Q1653">
        <v>0.577802469296129</v>
      </c>
      <c r="R1653">
        <v>0.82624061638004698</v>
      </c>
      <c r="S1653" t="s">
        <v>8459</v>
      </c>
      <c r="T1653" t="s">
        <v>13610</v>
      </c>
      <c r="U1653" t="s">
        <v>13610</v>
      </c>
      <c r="V1653" t="s">
        <v>13610</v>
      </c>
      <c r="W1653" t="s">
        <v>15224</v>
      </c>
      <c r="X1653">
        <v>12</v>
      </c>
      <c r="Y1653" t="s">
        <v>21921</v>
      </c>
      <c r="Z1653" t="s">
        <v>28508</v>
      </c>
      <c r="AA1653">
        <v>0.64326386843274819</v>
      </c>
      <c r="AB1653" t="str">
        <f>HYPERLINK("Melting_Curves/meltCurve_O95402_MED26.pdf", "Melting_Curves/meltCurve_O95402_MED26.pdf")</f>
        <v>Melting_Curves/meltCurve_O95402_MED26.pdf</v>
      </c>
    </row>
    <row r="1654" spans="1:28" x14ac:dyDescent="0.25">
      <c r="A1654" t="s">
        <v>1658</v>
      </c>
      <c r="B1654">
        <v>0.995954080203443</v>
      </c>
      <c r="C1654">
        <v>0.949339957445542</v>
      </c>
      <c r="D1654">
        <v>0.93943202055779695</v>
      </c>
      <c r="E1654">
        <v>0.82727897125067495</v>
      </c>
      <c r="F1654">
        <v>0.74046277560398999</v>
      </c>
      <c r="G1654">
        <v>0.52561664491564497</v>
      </c>
      <c r="H1654">
        <v>0.49347630806409798</v>
      </c>
      <c r="I1654">
        <v>0.56005168290388196</v>
      </c>
      <c r="J1654">
        <v>0.79933212383318097</v>
      </c>
      <c r="K1654">
        <v>0.69934897134236695</v>
      </c>
      <c r="L1654">
        <v>1369.71529909377</v>
      </c>
      <c r="M1654">
        <v>27.232728341198101</v>
      </c>
      <c r="O1654">
        <v>50.02780231909</v>
      </c>
      <c r="P1654">
        <v>-5.17805675826618E-2</v>
      </c>
      <c r="Q1654">
        <v>0.61951034960739004</v>
      </c>
      <c r="R1654">
        <v>0.74584342137025905</v>
      </c>
      <c r="S1654" t="s">
        <v>8460</v>
      </c>
      <c r="T1654" t="s">
        <v>13610</v>
      </c>
      <c r="U1654" t="s">
        <v>13610</v>
      </c>
      <c r="V1654" t="s">
        <v>13610</v>
      </c>
      <c r="W1654" t="s">
        <v>15225</v>
      </c>
      <c r="X1654">
        <v>8</v>
      </c>
      <c r="Y1654" t="s">
        <v>21922</v>
      </c>
      <c r="Z1654" t="s">
        <v>28509</v>
      </c>
      <c r="AA1654">
        <v>0.75297650545332506</v>
      </c>
      <c r="AB1654" t="str">
        <f>HYPERLINK("Melting_Curves/meltCurve_O95405_ZFYVE9.pdf", "Melting_Curves/meltCurve_O95405_ZFYVE9.pdf")</f>
        <v>Melting_Curves/meltCurve_O95405_ZFYVE9.pdf</v>
      </c>
    </row>
    <row r="1655" spans="1:28" x14ac:dyDescent="0.25">
      <c r="A1655" t="s">
        <v>1659</v>
      </c>
      <c r="B1655">
        <v>0.995954080203443</v>
      </c>
      <c r="C1655">
        <v>1.0324278084440599</v>
      </c>
      <c r="D1655">
        <v>1.0176514767961899</v>
      </c>
      <c r="E1655">
        <v>0.95173124119211405</v>
      </c>
      <c r="F1655">
        <v>0.74134780776990095</v>
      </c>
      <c r="G1655">
        <v>0.48493241728647801</v>
      </c>
      <c r="H1655">
        <v>0.46613795169306099</v>
      </c>
      <c r="I1655">
        <v>0.51534816920094695</v>
      </c>
      <c r="J1655">
        <v>0.686684969410844</v>
      </c>
      <c r="K1655">
        <v>0.59176778489908</v>
      </c>
      <c r="L1655">
        <v>2936.3278427311898</v>
      </c>
      <c r="M1655">
        <v>55.780656053987002</v>
      </c>
      <c r="O1655">
        <v>52.5730766510313</v>
      </c>
      <c r="P1655">
        <v>-0.119705935531848</v>
      </c>
      <c r="Q1655">
        <v>0.54871045852409095</v>
      </c>
      <c r="R1655">
        <v>0.926386454445569</v>
      </c>
      <c r="S1655" t="s">
        <v>8461</v>
      </c>
      <c r="T1655" t="s">
        <v>13610</v>
      </c>
      <c r="U1655" t="s">
        <v>13610</v>
      </c>
      <c r="V1655" t="s">
        <v>13610</v>
      </c>
      <c r="W1655" t="s">
        <v>15226</v>
      </c>
      <c r="X1655">
        <v>10</v>
      </c>
      <c r="Y1655" t="s">
        <v>21923</v>
      </c>
      <c r="Z1655" t="s">
        <v>28510</v>
      </c>
      <c r="AA1655">
        <v>0.7397039853045011</v>
      </c>
      <c r="AB1655" t="str">
        <f>HYPERLINK("Melting_Curves/meltCurve_O95429_2_BAG4.pdf", "Melting_Curves/meltCurve_O95429_2_BAG4.pdf")</f>
        <v>Melting_Curves/meltCurve_O95429_2_BAG4.pdf</v>
      </c>
    </row>
    <row r="1656" spans="1:28" x14ac:dyDescent="0.25">
      <c r="A1656" t="s">
        <v>1660</v>
      </c>
      <c r="B1656">
        <v>0.995954080203443</v>
      </c>
      <c r="C1656">
        <v>1.0029814259935601</v>
      </c>
      <c r="D1656">
        <v>1.0373115322133299</v>
      </c>
      <c r="E1656">
        <v>0.84950804510087896</v>
      </c>
      <c r="F1656">
        <v>0.58777115289731696</v>
      </c>
      <c r="G1656">
        <v>0.222918392588311</v>
      </c>
      <c r="H1656">
        <v>0.102153338175497</v>
      </c>
      <c r="I1656">
        <v>7.2306606577109703E-2</v>
      </c>
      <c r="J1656">
        <v>8.2957282660961404E-2</v>
      </c>
      <c r="K1656">
        <v>6.7941573659603099E-2</v>
      </c>
      <c r="L1656">
        <v>1386.20361469144</v>
      </c>
      <c r="M1656">
        <v>25.9431583586593</v>
      </c>
      <c r="N1656">
        <v>53.734944929334802</v>
      </c>
      <c r="O1656">
        <v>53.117897805842901</v>
      </c>
      <c r="P1656">
        <v>-0.113804635770797</v>
      </c>
      <c r="Q1656">
        <v>6.7963539728016206E-2</v>
      </c>
      <c r="R1656">
        <v>0.99816078461717195</v>
      </c>
      <c r="S1656" t="s">
        <v>8462</v>
      </c>
      <c r="T1656" t="s">
        <v>13610</v>
      </c>
      <c r="U1656" t="s">
        <v>13610</v>
      </c>
      <c r="V1656" t="s">
        <v>13610</v>
      </c>
      <c r="W1656" t="s">
        <v>15227</v>
      </c>
      <c r="X1656">
        <v>25</v>
      </c>
      <c r="Y1656" t="s">
        <v>21924</v>
      </c>
      <c r="Z1656" t="s">
        <v>28511</v>
      </c>
      <c r="AA1656">
        <v>0.49330790835086541</v>
      </c>
      <c r="AB1656" t="str">
        <f>HYPERLINK("Melting_Curves/meltCurve_O95433_AHSA1.pdf", "Melting_Curves/meltCurve_O95433_AHSA1.pdf")</f>
        <v>Melting_Curves/meltCurve_O95433_AHSA1.pdf</v>
      </c>
    </row>
    <row r="1657" spans="1:28" x14ac:dyDescent="0.25">
      <c r="A1657" t="s">
        <v>1661</v>
      </c>
      <c r="B1657">
        <v>0.995954080203443</v>
      </c>
      <c r="C1657">
        <v>0.95988932782306202</v>
      </c>
      <c r="D1657">
        <v>0.94090350497576003</v>
      </c>
      <c r="E1657">
        <v>0.69875077290691401</v>
      </c>
      <c r="F1657">
        <v>0.30982493528355998</v>
      </c>
      <c r="G1657">
        <v>0.15426536855345399</v>
      </c>
      <c r="H1657">
        <v>0.12166768474241001</v>
      </c>
      <c r="I1657">
        <v>0.117748725743821</v>
      </c>
      <c r="J1657">
        <v>0.162287556120496</v>
      </c>
      <c r="K1657">
        <v>0.141641321170968</v>
      </c>
      <c r="L1657">
        <v>1663.3504628021601</v>
      </c>
      <c r="M1657">
        <v>32.691421292021403</v>
      </c>
      <c r="N1657">
        <v>51.365479295857497</v>
      </c>
      <c r="O1657">
        <v>50.6910858329245</v>
      </c>
      <c r="P1657">
        <v>-0.139814158088612</v>
      </c>
      <c r="Q1657">
        <v>0.13282472664636899</v>
      </c>
      <c r="R1657">
        <v>0.99695482365916999</v>
      </c>
      <c r="S1657" t="s">
        <v>8463</v>
      </c>
      <c r="T1657" t="s">
        <v>13610</v>
      </c>
      <c r="U1657" t="s">
        <v>13610</v>
      </c>
      <c r="V1657" t="s">
        <v>13610</v>
      </c>
      <c r="W1657" t="s">
        <v>15228</v>
      </c>
      <c r="X1657">
        <v>19</v>
      </c>
      <c r="Y1657" t="s">
        <v>21925</v>
      </c>
      <c r="Z1657" t="s">
        <v>28512</v>
      </c>
      <c r="AA1657">
        <v>0.45190896670864977</v>
      </c>
      <c r="AB1657" t="str">
        <f>HYPERLINK("Melting_Curves/meltCurve_O95453_2_PARN.pdf", "Melting_Curves/meltCurve_O95453_2_PARN.pdf")</f>
        <v>Melting_Curves/meltCurve_O95453_2_PARN.pdf</v>
      </c>
    </row>
    <row r="1658" spans="1:28" x14ac:dyDescent="0.25">
      <c r="A1658" t="s">
        <v>1662</v>
      </c>
      <c r="B1658">
        <v>0.995954080203443</v>
      </c>
      <c r="C1658">
        <v>0.94991501445779802</v>
      </c>
      <c r="D1658">
        <v>0.84080971526993697</v>
      </c>
      <c r="E1658">
        <v>0.91270940970468994</v>
      </c>
      <c r="F1658">
        <v>0.76123200743894304</v>
      </c>
      <c r="G1658">
        <v>0.51911356265020703</v>
      </c>
      <c r="H1658">
        <v>0.239516518159512</v>
      </c>
      <c r="I1658">
        <v>0.127758165142869</v>
      </c>
      <c r="J1658">
        <v>9.64511843620873E-2</v>
      </c>
      <c r="K1658">
        <v>9.2765890631986897E-2</v>
      </c>
      <c r="L1658">
        <v>866.60714076444003</v>
      </c>
      <c r="M1658">
        <v>15.255991900976801</v>
      </c>
      <c r="N1658">
        <v>56.863997431614102</v>
      </c>
      <c r="O1658">
        <v>55.855200917050901</v>
      </c>
      <c r="P1658">
        <v>-6.7748315731790604E-2</v>
      </c>
      <c r="Q1658">
        <v>7.9339110757061706E-3</v>
      </c>
      <c r="R1658">
        <v>0.98207298959755895</v>
      </c>
      <c r="S1658" t="s">
        <v>8464</v>
      </c>
      <c r="T1658" t="s">
        <v>13610</v>
      </c>
      <c r="U1658" t="s">
        <v>13610</v>
      </c>
      <c r="V1658" t="s">
        <v>13610</v>
      </c>
      <c r="W1658" t="s">
        <v>15229</v>
      </c>
      <c r="X1658">
        <v>16</v>
      </c>
      <c r="Y1658" t="s">
        <v>21926</v>
      </c>
      <c r="Z1658" t="s">
        <v>28513</v>
      </c>
      <c r="AA1658">
        <v>0.57956034820117552</v>
      </c>
      <c r="AB1658" t="str">
        <f>HYPERLINK("Melting_Curves/meltCurve_O95456_PSMG1.pdf", "Melting_Curves/meltCurve_O95456_PSMG1.pdf")</f>
        <v>Melting_Curves/meltCurve_O95456_PSMG1.pdf</v>
      </c>
    </row>
    <row r="1659" spans="1:28" x14ac:dyDescent="0.25">
      <c r="A1659" t="s">
        <v>1663</v>
      </c>
      <c r="B1659">
        <v>0.995954080203443</v>
      </c>
      <c r="C1659">
        <v>0.58130437913517097</v>
      </c>
      <c r="D1659">
        <v>0.34175887246006198</v>
      </c>
      <c r="E1659">
        <v>0.31832792880242999</v>
      </c>
      <c r="F1659">
        <v>0.19207173288320301</v>
      </c>
      <c r="G1659">
        <v>0.11308829480608699</v>
      </c>
      <c r="H1659">
        <v>8.6350108510731202E-2</v>
      </c>
      <c r="I1659">
        <v>7.4962608176308093E-2</v>
      </c>
      <c r="J1659">
        <v>8.7236797709853597E-2</v>
      </c>
      <c r="K1659">
        <v>8.5027683454693706E-2</v>
      </c>
      <c r="L1659">
        <v>776.25725867464303</v>
      </c>
      <c r="M1659">
        <v>17.625156449399601</v>
      </c>
      <c r="N1659">
        <v>44.632808769864504</v>
      </c>
      <c r="O1659">
        <v>43.487327270170503</v>
      </c>
      <c r="P1659">
        <v>-9.0795117785925306E-2</v>
      </c>
      <c r="Q1659">
        <v>0.10395650298716901</v>
      </c>
      <c r="R1659">
        <v>0.94782534858227396</v>
      </c>
      <c r="S1659" t="s">
        <v>8465</v>
      </c>
      <c r="T1659" t="s">
        <v>13610</v>
      </c>
      <c r="U1659" t="s">
        <v>13610</v>
      </c>
      <c r="V1659" t="s">
        <v>13610</v>
      </c>
      <c r="W1659" t="s">
        <v>15230</v>
      </c>
      <c r="X1659">
        <v>15</v>
      </c>
      <c r="Y1659" t="s">
        <v>21927</v>
      </c>
      <c r="Z1659" t="s">
        <v>28514</v>
      </c>
      <c r="AA1659">
        <v>0.24767606732648431</v>
      </c>
      <c r="AB1659" t="str">
        <f>HYPERLINK("Melting_Curves/meltCurve_O95466_FMNL1.pdf", "Melting_Curves/meltCurve_O95466_FMNL1.pdf")</f>
        <v>Melting_Curves/meltCurve_O95466_FMNL1.pdf</v>
      </c>
    </row>
    <row r="1660" spans="1:28" x14ac:dyDescent="0.25">
      <c r="A1660" t="s">
        <v>1664</v>
      </c>
      <c r="B1660">
        <v>0.995954080203443</v>
      </c>
      <c r="C1660">
        <v>0.95642003140387899</v>
      </c>
      <c r="D1660">
        <v>0.782247566715919</v>
      </c>
      <c r="E1660">
        <v>0.78893267545479795</v>
      </c>
      <c r="F1660">
        <v>0.59977825485879699</v>
      </c>
      <c r="G1660">
        <v>0.43633759578856002</v>
      </c>
      <c r="H1660">
        <v>0.36614222628334098</v>
      </c>
      <c r="I1660">
        <v>0.40913420372869602</v>
      </c>
      <c r="J1660">
        <v>0.55518500742981103</v>
      </c>
      <c r="K1660">
        <v>0.50628396117831098</v>
      </c>
      <c r="L1660">
        <v>769.29595024374203</v>
      </c>
      <c r="M1660">
        <v>15.557178524614701</v>
      </c>
      <c r="N1660">
        <v>57.296156766840497</v>
      </c>
      <c r="O1660">
        <v>48.6541426213101</v>
      </c>
      <c r="P1660">
        <v>-4.4720032640478198E-2</v>
      </c>
      <c r="Q1660">
        <v>0.44061213812549299</v>
      </c>
      <c r="R1660">
        <v>0.89693260450190304</v>
      </c>
      <c r="S1660" t="s">
        <v>8466</v>
      </c>
      <c r="T1660" t="s">
        <v>13610</v>
      </c>
      <c r="U1660" t="s">
        <v>13610</v>
      </c>
      <c r="V1660" t="s">
        <v>13610</v>
      </c>
      <c r="W1660" t="s">
        <v>15231</v>
      </c>
      <c r="X1660">
        <v>2</v>
      </c>
      <c r="Y1660" t="s">
        <v>21928</v>
      </c>
      <c r="Z1660" t="s">
        <v>28515</v>
      </c>
      <c r="AA1660">
        <v>0.62951221228850074</v>
      </c>
      <c r="AB1660" t="str">
        <f>HYPERLINK("Melting_Curves/meltCurve_O95478_NSA2.pdf", "Melting_Curves/meltCurve_O95478_NSA2.pdf")</f>
        <v>Melting_Curves/meltCurve_O95478_NSA2.pdf</v>
      </c>
    </row>
    <row r="1661" spans="1:28" x14ac:dyDescent="0.25">
      <c r="A1661" t="s">
        <v>1665</v>
      </c>
      <c r="B1661">
        <v>0.995954080203443</v>
      </c>
      <c r="C1661">
        <v>0.84990825648852397</v>
      </c>
      <c r="D1661">
        <v>0.76633262254269097</v>
      </c>
      <c r="E1661">
        <v>0.65979801135667604</v>
      </c>
      <c r="F1661">
        <v>0.26331705158489099</v>
      </c>
      <c r="G1661">
        <v>0.18570017061257399</v>
      </c>
      <c r="H1661">
        <v>0.12508880822756699</v>
      </c>
      <c r="I1661">
        <v>0.136234173663483</v>
      </c>
      <c r="J1661">
        <v>0.12573146330023199</v>
      </c>
      <c r="K1661">
        <v>0.14668180896501401</v>
      </c>
      <c r="L1661">
        <v>762.78189732401495</v>
      </c>
      <c r="M1661">
        <v>15.3342491979969</v>
      </c>
      <c r="N1661">
        <v>50.4689005243184</v>
      </c>
      <c r="O1661">
        <v>48.920708967055397</v>
      </c>
      <c r="P1661">
        <v>-7.0620745072957902E-2</v>
      </c>
      <c r="Q1661">
        <v>9.8880747890155704E-2</v>
      </c>
      <c r="R1661">
        <v>0.96873801969391204</v>
      </c>
      <c r="S1661" t="s">
        <v>8467</v>
      </c>
      <c r="T1661" t="s">
        <v>13610</v>
      </c>
      <c r="U1661" t="s">
        <v>13610</v>
      </c>
      <c r="V1661" t="s">
        <v>13610</v>
      </c>
      <c r="W1661" t="s">
        <v>15232</v>
      </c>
      <c r="X1661">
        <v>15</v>
      </c>
      <c r="Y1661" t="s">
        <v>21929</v>
      </c>
      <c r="Z1661" t="s">
        <v>28516</v>
      </c>
      <c r="AA1661">
        <v>0.41237664259067258</v>
      </c>
      <c r="AB1661" t="str">
        <f>HYPERLINK("Melting_Curves/meltCurve_O95479_H6PD.pdf", "Melting_Curves/meltCurve_O95479_H6PD.pdf")</f>
        <v>Melting_Curves/meltCurve_O95479_H6PD.pdf</v>
      </c>
    </row>
    <row r="1662" spans="1:28" x14ac:dyDescent="0.25">
      <c r="A1662" t="s">
        <v>1666</v>
      </c>
      <c r="B1662">
        <v>0.995954080203443</v>
      </c>
      <c r="C1662">
        <v>0.89745230888776395</v>
      </c>
      <c r="D1662">
        <v>0.70857227911668297</v>
      </c>
      <c r="E1662">
        <v>0.49374622143034702</v>
      </c>
      <c r="F1662">
        <v>0.16579092657149599</v>
      </c>
      <c r="G1662">
        <v>0.10319377671794901</v>
      </c>
      <c r="H1662">
        <v>7.5216004360745103E-2</v>
      </c>
      <c r="I1662">
        <v>7.0812564249316506E-2</v>
      </c>
      <c r="J1662">
        <v>7.2237580914614394E-2</v>
      </c>
      <c r="K1662">
        <v>6.3323702584979893E-2</v>
      </c>
      <c r="L1662">
        <v>837.48712108627603</v>
      </c>
      <c r="M1662">
        <v>17.2218681053761</v>
      </c>
      <c r="N1662">
        <v>48.920303473907197</v>
      </c>
      <c r="O1662">
        <v>47.987815416284398</v>
      </c>
      <c r="P1662">
        <v>-8.5356691174534302E-2</v>
      </c>
      <c r="Q1662">
        <v>4.8688426772677103E-2</v>
      </c>
      <c r="R1662">
        <v>0.98957163449521002</v>
      </c>
      <c r="S1662" t="s">
        <v>8468</v>
      </c>
      <c r="T1662" t="s">
        <v>13610</v>
      </c>
      <c r="U1662" t="s">
        <v>13610</v>
      </c>
      <c r="V1662" t="s">
        <v>13610</v>
      </c>
      <c r="W1662" t="s">
        <v>15233</v>
      </c>
      <c r="X1662">
        <v>18</v>
      </c>
      <c r="Y1662" t="s">
        <v>21930</v>
      </c>
      <c r="Z1662" t="s">
        <v>28517</v>
      </c>
      <c r="AA1662">
        <v>0.34047930255596448</v>
      </c>
      <c r="AB1662" t="str">
        <f>HYPERLINK("Melting_Curves/meltCurve_O95486_SEC24A.pdf", "Melting_Curves/meltCurve_O95486_SEC24A.pdf")</f>
        <v>Melting_Curves/meltCurve_O95486_SEC24A.pdf</v>
      </c>
    </row>
    <row r="1663" spans="1:28" x14ac:dyDescent="0.25">
      <c r="A1663" t="s">
        <v>1667</v>
      </c>
      <c r="B1663">
        <v>0.995954080203443</v>
      </c>
      <c r="C1663">
        <v>0.85638647458178296</v>
      </c>
      <c r="D1663">
        <v>0.691413313110116</v>
      </c>
      <c r="E1663">
        <v>0.41249991777877898</v>
      </c>
      <c r="F1663">
        <v>0.24986563470123599</v>
      </c>
      <c r="G1663">
        <v>0.153014842180831</v>
      </c>
      <c r="H1663">
        <v>0.110016379438642</v>
      </c>
      <c r="I1663">
        <v>0.121089808256542</v>
      </c>
      <c r="J1663">
        <v>0.137474707838174</v>
      </c>
      <c r="K1663">
        <v>0.12813083973457801</v>
      </c>
      <c r="L1663">
        <v>791.86749019217905</v>
      </c>
      <c r="M1663">
        <v>16.583705691566902</v>
      </c>
      <c r="N1663">
        <v>48.4774537119863</v>
      </c>
      <c r="O1663">
        <v>47.071616972680303</v>
      </c>
      <c r="P1663">
        <v>-7.8377155075530405E-2</v>
      </c>
      <c r="Q1663">
        <v>0.11018968855755699</v>
      </c>
      <c r="R1663">
        <v>0.99693679285283299</v>
      </c>
      <c r="S1663" t="s">
        <v>8469</v>
      </c>
      <c r="T1663" t="s">
        <v>13610</v>
      </c>
      <c r="U1663" t="s">
        <v>13610</v>
      </c>
      <c r="V1663" t="s">
        <v>13610</v>
      </c>
      <c r="W1663" t="s">
        <v>15234</v>
      </c>
      <c r="X1663">
        <v>21</v>
      </c>
      <c r="Y1663" t="s">
        <v>21931</v>
      </c>
      <c r="Z1663" t="s">
        <v>28518</v>
      </c>
      <c r="AA1663">
        <v>0.35894160686095028</v>
      </c>
      <c r="AB1663" t="str">
        <f>HYPERLINK("Melting_Curves/meltCurve_O95487_2_SEC24B.pdf", "Melting_Curves/meltCurve_O95487_2_SEC24B.pdf")</f>
        <v>Melting_Curves/meltCurve_O95487_2_SEC24B.pdf</v>
      </c>
    </row>
    <row r="1664" spans="1:28" x14ac:dyDescent="0.25">
      <c r="A1664" t="s">
        <v>1668</v>
      </c>
      <c r="B1664">
        <v>0.995954080203443</v>
      </c>
      <c r="C1664">
        <v>0.95668855525922503</v>
      </c>
      <c r="D1664">
        <v>0.78719079045282703</v>
      </c>
      <c r="E1664">
        <v>0.82959693805673196</v>
      </c>
      <c r="F1664">
        <v>0.61174068578060703</v>
      </c>
      <c r="G1664">
        <v>0.457374984419195</v>
      </c>
      <c r="H1664">
        <v>0.34065105587037198</v>
      </c>
      <c r="I1664">
        <v>0.375951233992737</v>
      </c>
      <c r="J1664">
        <v>0.39094504449719403</v>
      </c>
      <c r="K1664">
        <v>0.27857376176429099</v>
      </c>
      <c r="L1664">
        <v>601.92258456983905</v>
      </c>
      <c r="M1664">
        <v>11.456463246130999</v>
      </c>
      <c r="N1664">
        <v>56.384935845239497</v>
      </c>
      <c r="O1664">
        <v>51.015649438250101</v>
      </c>
      <c r="P1664">
        <v>-4.0934894897636097E-2</v>
      </c>
      <c r="Q1664">
        <v>0.27107775490956099</v>
      </c>
      <c r="R1664">
        <v>0.95989307188878403</v>
      </c>
      <c r="S1664" t="s">
        <v>8470</v>
      </c>
      <c r="T1664" t="s">
        <v>13610</v>
      </c>
      <c r="U1664" t="s">
        <v>13610</v>
      </c>
      <c r="V1664" t="s">
        <v>13610</v>
      </c>
      <c r="W1664" t="s">
        <v>15235</v>
      </c>
      <c r="X1664">
        <v>10</v>
      </c>
      <c r="Y1664" t="s">
        <v>21932</v>
      </c>
      <c r="Z1664" t="s">
        <v>28519</v>
      </c>
      <c r="AA1664">
        <v>0.59844765312676473</v>
      </c>
      <c r="AB1664" t="str">
        <f>HYPERLINK("Melting_Curves/meltCurve_O95544_NADK.pdf", "Melting_Curves/meltCurve_O95544_NADK.pdf")</f>
        <v>Melting_Curves/meltCurve_O95544_NADK.pdf</v>
      </c>
    </row>
    <row r="1665" spans="1:28" x14ac:dyDescent="0.25">
      <c r="A1665" t="s">
        <v>1669</v>
      </c>
      <c r="B1665">
        <v>0.995954080203443</v>
      </c>
      <c r="C1665">
        <v>0.99762786782146995</v>
      </c>
      <c r="D1665">
        <v>0.93481187563908497</v>
      </c>
      <c r="E1665">
        <v>0.54090909838026002</v>
      </c>
      <c r="F1665">
        <v>0.31072473979728399</v>
      </c>
      <c r="G1665">
        <v>0.22775570560042099</v>
      </c>
      <c r="H1665">
        <v>0.18889855312161799</v>
      </c>
      <c r="I1665">
        <v>0.16921836488064901</v>
      </c>
      <c r="J1665">
        <v>0.17515063981376899</v>
      </c>
      <c r="K1665">
        <v>0.164778425103837</v>
      </c>
      <c r="L1665">
        <v>1371.2582587997699</v>
      </c>
      <c r="M1665">
        <v>27.599978714618999</v>
      </c>
      <c r="N1665">
        <v>50.494883403223703</v>
      </c>
      <c r="O1665">
        <v>49.424681871372002</v>
      </c>
      <c r="P1665">
        <v>-0.11459845125308001</v>
      </c>
      <c r="Q1665">
        <v>0.17913841597694699</v>
      </c>
      <c r="R1665">
        <v>0.99867864057141098</v>
      </c>
      <c r="S1665" t="s">
        <v>8471</v>
      </c>
      <c r="T1665" t="s">
        <v>13610</v>
      </c>
      <c r="U1665" t="s">
        <v>13610</v>
      </c>
      <c r="V1665" t="s">
        <v>13610</v>
      </c>
      <c r="W1665" t="s">
        <v>15236</v>
      </c>
      <c r="X1665">
        <v>11</v>
      </c>
      <c r="Y1665" t="s">
        <v>21933</v>
      </c>
      <c r="Z1665" t="s">
        <v>28520</v>
      </c>
      <c r="AA1665">
        <v>0.4500774009418167</v>
      </c>
      <c r="AB1665" t="str">
        <f>HYPERLINK("Melting_Curves/meltCurve_O95551_TDP2.pdf", "Melting_Curves/meltCurve_O95551_TDP2.pdf")</f>
        <v>Melting_Curves/meltCurve_O95551_TDP2.pdf</v>
      </c>
    </row>
    <row r="1666" spans="1:28" x14ac:dyDescent="0.25">
      <c r="A1666" t="s">
        <v>1670</v>
      </c>
      <c r="B1666">
        <v>0.995954080203443</v>
      </c>
      <c r="C1666">
        <v>0.89507226517750005</v>
      </c>
      <c r="D1666">
        <v>0.81232666566745004</v>
      </c>
      <c r="E1666">
        <v>0.77389187538313298</v>
      </c>
      <c r="F1666">
        <v>0.48823700472886</v>
      </c>
      <c r="G1666">
        <v>0.149342449126418</v>
      </c>
      <c r="H1666">
        <v>7.9166900052227804E-2</v>
      </c>
      <c r="I1666">
        <v>7.0796924577787801E-2</v>
      </c>
      <c r="J1666">
        <v>6.35949491070706E-2</v>
      </c>
      <c r="K1666">
        <v>6.4258445640502704E-2</v>
      </c>
      <c r="L1666">
        <v>912.67221634549105</v>
      </c>
      <c r="M1666">
        <v>17.423657836624599</v>
      </c>
      <c r="N1666">
        <v>52.535916867096901</v>
      </c>
      <c r="O1666">
        <v>51.705817805540001</v>
      </c>
      <c r="P1666">
        <v>-8.21421648021462E-2</v>
      </c>
      <c r="Q1666">
        <v>2.50061987421876E-2</v>
      </c>
      <c r="R1666">
        <v>0.97835516980113801</v>
      </c>
      <c r="S1666" t="s">
        <v>8472</v>
      </c>
      <c r="T1666" t="s">
        <v>13610</v>
      </c>
      <c r="U1666" t="s">
        <v>13610</v>
      </c>
      <c r="V1666" t="s">
        <v>13610</v>
      </c>
      <c r="W1666" t="s">
        <v>15237</v>
      </c>
      <c r="X1666">
        <v>4</v>
      </c>
      <c r="Y1666" t="s">
        <v>21934</v>
      </c>
      <c r="Z1666" t="s">
        <v>28521</v>
      </c>
      <c r="AA1666">
        <v>0.44441845656871237</v>
      </c>
      <c r="AB1666" t="str">
        <f>HYPERLINK("Melting_Curves/meltCurve_O95568_METTL18.pdf", "Melting_Curves/meltCurve_O95568_METTL18.pdf")</f>
        <v>Melting_Curves/meltCurve_O95568_METTL18.pdf</v>
      </c>
    </row>
    <row r="1667" spans="1:28" x14ac:dyDescent="0.25">
      <c r="A1667" t="s">
        <v>1671</v>
      </c>
      <c r="B1667">
        <v>0.995954080203443</v>
      </c>
      <c r="C1667">
        <v>0.96997127253927395</v>
      </c>
      <c r="D1667">
        <v>0.94712791237766802</v>
      </c>
      <c r="E1667">
        <v>0.852778221094593</v>
      </c>
      <c r="F1667">
        <v>0.70047959552181804</v>
      </c>
      <c r="G1667">
        <v>0.49749858060145002</v>
      </c>
      <c r="H1667">
        <v>0.32310206645675499</v>
      </c>
      <c r="I1667">
        <v>0.19134500723759901</v>
      </c>
      <c r="J1667">
        <v>0.135903716677401</v>
      </c>
      <c r="K1667">
        <v>0.141696169857215</v>
      </c>
      <c r="L1667">
        <v>727.91612639923005</v>
      </c>
      <c r="M1667">
        <v>12.9081424442496</v>
      </c>
      <c r="N1667">
        <v>56.8123271438049</v>
      </c>
      <c r="O1667">
        <v>55.090010221393499</v>
      </c>
      <c r="P1667">
        <v>-5.5920039152475502E-2</v>
      </c>
      <c r="Q1667">
        <v>4.5540030634876202E-2</v>
      </c>
      <c r="R1667">
        <v>0.99814374219549096</v>
      </c>
      <c r="S1667" t="s">
        <v>8473</v>
      </c>
      <c r="T1667" t="s">
        <v>13610</v>
      </c>
      <c r="U1667" t="s">
        <v>13610</v>
      </c>
      <c r="V1667" t="s">
        <v>13610</v>
      </c>
      <c r="W1667" t="s">
        <v>15238</v>
      </c>
      <c r="X1667">
        <v>9</v>
      </c>
      <c r="Y1667" t="s">
        <v>21935</v>
      </c>
      <c r="Z1667" t="s">
        <v>28522</v>
      </c>
      <c r="AA1667">
        <v>0.584812160927356</v>
      </c>
      <c r="AB1667" t="str">
        <f>HYPERLINK("Melting_Curves/meltCurve_O95571_ETHE1.pdf", "Melting_Curves/meltCurve_O95571_ETHE1.pdf")</f>
        <v>Melting_Curves/meltCurve_O95571_ETHE1.pdf</v>
      </c>
    </row>
    <row r="1668" spans="1:28" x14ac:dyDescent="0.25">
      <c r="A1668" t="s">
        <v>1672</v>
      </c>
      <c r="B1668">
        <v>0.995954080203443</v>
      </c>
      <c r="C1668">
        <v>0.86912643108318499</v>
      </c>
      <c r="D1668">
        <v>0.68223596826770805</v>
      </c>
      <c r="E1668">
        <v>0.68600499481926103</v>
      </c>
      <c r="F1668">
        <v>0.31508158848419099</v>
      </c>
      <c r="G1668">
        <v>0.122331245616307</v>
      </c>
      <c r="H1668">
        <v>6.5322293841363496E-2</v>
      </c>
      <c r="I1668">
        <v>5.4462466064151401E-2</v>
      </c>
      <c r="J1668">
        <v>5.9213284301029297E-2</v>
      </c>
      <c r="K1668">
        <v>5.0917661575745503E-2</v>
      </c>
      <c r="L1668">
        <v>656.60846922952396</v>
      </c>
      <c r="M1668">
        <v>13.004780802058299</v>
      </c>
      <c r="N1668">
        <v>50.489775510789698</v>
      </c>
      <c r="O1668">
        <v>49.340663837601703</v>
      </c>
      <c r="P1668">
        <v>-6.5904439689244004E-2</v>
      </c>
      <c r="Q1668">
        <v>0</v>
      </c>
      <c r="R1668">
        <v>0.96665972354047502</v>
      </c>
      <c r="S1668" t="s">
        <v>8474</v>
      </c>
      <c r="T1668" t="s">
        <v>13610</v>
      </c>
      <c r="U1668" t="s">
        <v>13610</v>
      </c>
      <c r="V1668" t="s">
        <v>13610</v>
      </c>
      <c r="W1668" t="s">
        <v>15239</v>
      </c>
      <c r="X1668">
        <v>19</v>
      </c>
      <c r="Y1668" t="s">
        <v>21936</v>
      </c>
      <c r="Z1668" t="s">
        <v>28523</v>
      </c>
      <c r="AA1668">
        <v>0.3793699924615585</v>
      </c>
      <c r="AB1668" t="str">
        <f>HYPERLINK("Melting_Curves/meltCurve_O95573_ACSL3.pdf", "Melting_Curves/meltCurve_O95573_ACSL3.pdf")</f>
        <v>Melting_Curves/meltCurve_O95573_ACSL3.pdf</v>
      </c>
    </row>
    <row r="1669" spans="1:28" x14ac:dyDescent="0.25">
      <c r="A1669" t="s">
        <v>1673</v>
      </c>
      <c r="B1669">
        <v>0.995954080203443</v>
      </c>
      <c r="C1669">
        <v>0.59835909896814399</v>
      </c>
      <c r="D1669">
        <v>0.36236363365347302</v>
      </c>
      <c r="E1669">
        <v>0.35508494274892899</v>
      </c>
      <c r="F1669">
        <v>0.17870598048791</v>
      </c>
      <c r="G1669">
        <v>9.6173960979558201E-2</v>
      </c>
      <c r="H1669">
        <v>6.45831648645976E-2</v>
      </c>
      <c r="I1669">
        <v>5.7912057479229402E-2</v>
      </c>
      <c r="J1669">
        <v>7.0715872878435795E-2</v>
      </c>
      <c r="K1669">
        <v>5.4525821676682497E-2</v>
      </c>
      <c r="L1669">
        <v>647.48722989631597</v>
      </c>
      <c r="M1669">
        <v>14.46765127698</v>
      </c>
      <c r="N1669">
        <v>45.194913089018499</v>
      </c>
      <c r="O1669">
        <v>43.925154735561001</v>
      </c>
      <c r="P1669">
        <v>-7.6933525909360298E-2</v>
      </c>
      <c r="Q1669">
        <v>6.5798908413194093E-2</v>
      </c>
      <c r="R1669">
        <v>0.94458409597481996</v>
      </c>
      <c r="S1669" t="s">
        <v>8475</v>
      </c>
      <c r="T1669" t="s">
        <v>13610</v>
      </c>
      <c r="U1669" t="s">
        <v>13610</v>
      </c>
      <c r="V1669" t="s">
        <v>13610</v>
      </c>
      <c r="W1669" t="s">
        <v>15240</v>
      </c>
      <c r="X1669">
        <v>26</v>
      </c>
      <c r="Y1669" t="s">
        <v>21937</v>
      </c>
      <c r="Z1669" t="s">
        <v>28524</v>
      </c>
      <c r="AA1669">
        <v>0.24708017181509059</v>
      </c>
      <c r="AB1669" t="str">
        <f>HYPERLINK("Melting_Curves/meltCurve_O95602_POLR1A.pdf", "Melting_Curves/meltCurve_O95602_POLR1A.pdf")</f>
        <v>Melting_Curves/meltCurve_O95602_POLR1A.pdf</v>
      </c>
    </row>
    <row r="1670" spans="1:28" x14ac:dyDescent="0.25">
      <c r="A1670" t="s">
        <v>1674</v>
      </c>
      <c r="B1670">
        <v>0.995954080203443</v>
      </c>
      <c r="C1670">
        <v>0.93217740273815597</v>
      </c>
      <c r="D1670">
        <v>0.78410356760463795</v>
      </c>
      <c r="E1670">
        <v>0.63899554956047</v>
      </c>
      <c r="F1670">
        <v>0.46612363367221299</v>
      </c>
      <c r="G1670">
        <v>0.329635207149513</v>
      </c>
      <c r="H1670">
        <v>0.25555363289351801</v>
      </c>
      <c r="I1670">
        <v>0.262864362598419</v>
      </c>
      <c r="J1670">
        <v>0.32282975855805202</v>
      </c>
      <c r="K1670">
        <v>0.299820302033664</v>
      </c>
      <c r="L1670">
        <v>749.52302271598501</v>
      </c>
      <c r="M1670">
        <v>15.160354755694399</v>
      </c>
      <c r="N1670">
        <v>52.0196954786581</v>
      </c>
      <c r="O1670">
        <v>48.603400542243499</v>
      </c>
      <c r="P1670">
        <v>-5.7377965929667103E-2</v>
      </c>
      <c r="Q1670">
        <v>0.26426688426397899</v>
      </c>
      <c r="R1670">
        <v>0.987593163898834</v>
      </c>
      <c r="S1670" t="s">
        <v>8476</v>
      </c>
      <c r="T1670" t="s">
        <v>13610</v>
      </c>
      <c r="U1670" t="s">
        <v>13610</v>
      </c>
      <c r="V1670" t="s">
        <v>13610</v>
      </c>
      <c r="W1670" t="s">
        <v>15241</v>
      </c>
      <c r="X1670">
        <v>50</v>
      </c>
      <c r="Y1670" t="s">
        <v>21938</v>
      </c>
      <c r="Z1670" t="s">
        <v>28525</v>
      </c>
      <c r="AA1670">
        <v>0.5132982634444121</v>
      </c>
      <c r="AB1670" t="str">
        <f>HYPERLINK("Melting_Curves/meltCurve_O95613_PCNT.pdf", "Melting_Curves/meltCurve_O95613_PCNT.pdf")</f>
        <v>Melting_Curves/meltCurve_O95613_PCNT.pdf</v>
      </c>
    </row>
    <row r="1671" spans="1:28" x14ac:dyDescent="0.25">
      <c r="A1671" t="s">
        <v>1675</v>
      </c>
      <c r="B1671">
        <v>0.995954080203443</v>
      </c>
      <c r="C1671">
        <v>0.89253762758584698</v>
      </c>
      <c r="D1671">
        <v>0.84539982773061495</v>
      </c>
      <c r="E1671">
        <v>0.81679785348549505</v>
      </c>
      <c r="F1671">
        <v>0.52384177175706903</v>
      </c>
      <c r="G1671">
        <v>0.19672241283929701</v>
      </c>
      <c r="H1671">
        <v>0.12567398080061601</v>
      </c>
      <c r="I1671">
        <v>0.120336838070841</v>
      </c>
      <c r="J1671">
        <v>0.17411751065584599</v>
      </c>
      <c r="K1671">
        <v>0.149564610300328</v>
      </c>
      <c r="L1671">
        <v>1222.6535993960599</v>
      </c>
      <c r="M1671">
        <v>23.333280156473901</v>
      </c>
      <c r="N1671">
        <v>53.0466542565458</v>
      </c>
      <c r="O1671">
        <v>52.019229865253998</v>
      </c>
      <c r="P1671">
        <v>-9.8250628561608003E-2</v>
      </c>
      <c r="Q1671">
        <v>0.123855432307493</v>
      </c>
      <c r="R1671">
        <v>0.97359195372238705</v>
      </c>
      <c r="S1671" t="s">
        <v>8477</v>
      </c>
      <c r="T1671" t="s">
        <v>13610</v>
      </c>
      <c r="U1671" t="s">
        <v>13610</v>
      </c>
      <c r="V1671" t="s">
        <v>13610</v>
      </c>
      <c r="W1671" t="s">
        <v>15242</v>
      </c>
      <c r="X1671">
        <v>7</v>
      </c>
      <c r="Y1671" t="s">
        <v>21939</v>
      </c>
      <c r="Z1671" t="s">
        <v>28526</v>
      </c>
      <c r="AA1671">
        <v>0.49512768387135458</v>
      </c>
      <c r="AB1671" t="str">
        <f>HYPERLINK("Melting_Curves/meltCurve_O95619_YEATS4.pdf", "Melting_Curves/meltCurve_O95619_YEATS4.pdf")</f>
        <v>Melting_Curves/meltCurve_O95619_YEATS4.pdf</v>
      </c>
    </row>
    <row r="1672" spans="1:28" x14ac:dyDescent="0.25">
      <c r="A1672" t="s">
        <v>1676</v>
      </c>
      <c r="B1672">
        <v>0.995954080203443</v>
      </c>
      <c r="C1672">
        <v>0.98487008024442102</v>
      </c>
      <c r="D1672">
        <v>0.95200761885306795</v>
      </c>
      <c r="E1672">
        <v>0.86363992262013101</v>
      </c>
      <c r="F1672">
        <v>0.708393763888572</v>
      </c>
      <c r="G1672">
        <v>0.47178791631473099</v>
      </c>
      <c r="H1672">
        <v>0.26090751858198802</v>
      </c>
      <c r="I1672">
        <v>0.190439314919126</v>
      </c>
      <c r="J1672">
        <v>0.17210166548465</v>
      </c>
      <c r="K1672">
        <v>0.13737729754228301</v>
      </c>
      <c r="L1672">
        <v>870.24114652769094</v>
      </c>
      <c r="M1672">
        <v>15.6863953025463</v>
      </c>
      <c r="N1672">
        <v>56.295981852587701</v>
      </c>
      <c r="O1672">
        <v>54.599299810911603</v>
      </c>
      <c r="P1672">
        <v>-6.4506618985289296E-2</v>
      </c>
      <c r="Q1672">
        <v>0.10196889460505899</v>
      </c>
      <c r="R1672">
        <v>0.99919619541979698</v>
      </c>
      <c r="S1672" t="s">
        <v>8478</v>
      </c>
      <c r="T1672" t="s">
        <v>13610</v>
      </c>
      <c r="U1672" t="s">
        <v>13610</v>
      </c>
      <c r="V1672" t="s">
        <v>13610</v>
      </c>
      <c r="W1672" t="s">
        <v>15243</v>
      </c>
      <c r="X1672">
        <v>7</v>
      </c>
      <c r="Y1672" t="s">
        <v>21940</v>
      </c>
      <c r="Z1672" t="s">
        <v>28527</v>
      </c>
      <c r="AA1672">
        <v>0.58123609071422799</v>
      </c>
      <c r="AB1672" t="str">
        <f>HYPERLINK("Melting_Curves/meltCurve_O95620_DUS4L.pdf", "Melting_Curves/meltCurve_O95620_DUS4L.pdf")</f>
        <v>Melting_Curves/meltCurve_O95620_DUS4L.pdf</v>
      </c>
    </row>
    <row r="1673" spans="1:28" x14ac:dyDescent="0.25">
      <c r="A1673" t="s">
        <v>1677</v>
      </c>
      <c r="B1673">
        <v>0.995954080203443</v>
      </c>
      <c r="C1673">
        <v>0.94633901792008701</v>
      </c>
      <c r="D1673">
        <v>0.90984965907275195</v>
      </c>
      <c r="E1673">
        <v>0.74398307642684403</v>
      </c>
      <c r="F1673">
        <v>0.69222123753313802</v>
      </c>
      <c r="G1673">
        <v>0.51650544907547602</v>
      </c>
      <c r="H1673">
        <v>0.45526029598490497</v>
      </c>
      <c r="I1673">
        <v>0.500696243828885</v>
      </c>
      <c r="J1673">
        <v>0.59401893484090695</v>
      </c>
      <c r="K1673">
        <v>0.60138598699448897</v>
      </c>
      <c r="L1673">
        <v>935.06493755524195</v>
      </c>
      <c r="M1673">
        <v>18.8277983036938</v>
      </c>
      <c r="O1673">
        <v>49.113970896995397</v>
      </c>
      <c r="P1673">
        <v>-4.5140460773728401E-2</v>
      </c>
      <c r="Q1673">
        <v>0.52900797916101105</v>
      </c>
      <c r="R1673">
        <v>0.93107214039436204</v>
      </c>
      <c r="S1673" t="s">
        <v>8479</v>
      </c>
      <c r="T1673" t="s">
        <v>13610</v>
      </c>
      <c r="U1673" t="s">
        <v>13610</v>
      </c>
      <c r="V1673" t="s">
        <v>13610</v>
      </c>
      <c r="W1673" t="s">
        <v>15244</v>
      </c>
      <c r="X1673">
        <v>8</v>
      </c>
      <c r="Y1673" t="s">
        <v>21941</v>
      </c>
      <c r="Z1673" t="s">
        <v>28528</v>
      </c>
      <c r="AA1673">
        <v>0.68812566692938471</v>
      </c>
      <c r="AB1673" t="str">
        <f>HYPERLINK("Melting_Curves/meltCurve_O95625_ZBTB11.pdf", "Melting_Curves/meltCurve_O95625_ZBTB11.pdf")</f>
        <v>Melting_Curves/meltCurve_O95625_ZBTB11.pdf</v>
      </c>
    </row>
    <row r="1674" spans="1:28" x14ac:dyDescent="0.25">
      <c r="A1674" t="s">
        <v>1678</v>
      </c>
      <c r="B1674">
        <v>0.995954080203443</v>
      </c>
      <c r="C1674">
        <v>1.0165857336308499</v>
      </c>
      <c r="D1674">
        <v>0.95621897715662896</v>
      </c>
      <c r="E1674">
        <v>0.88841788178673797</v>
      </c>
      <c r="F1674">
        <v>0.75214667452043604</v>
      </c>
      <c r="G1674">
        <v>0.48397096691678898</v>
      </c>
      <c r="H1674">
        <v>0.25064784362179499</v>
      </c>
      <c r="I1674">
        <v>0.17286326639720301</v>
      </c>
      <c r="J1674">
        <v>0.158796908860136</v>
      </c>
      <c r="K1674">
        <v>0.179033826204752</v>
      </c>
      <c r="L1674">
        <v>1040.2560463877201</v>
      </c>
      <c r="M1674">
        <v>18.725270775186299</v>
      </c>
      <c r="N1674">
        <v>56.460628109921103</v>
      </c>
      <c r="O1674">
        <v>54.931636262625801</v>
      </c>
      <c r="P1674">
        <v>-7.4154247862423001E-2</v>
      </c>
      <c r="Q1674">
        <v>0.12989409037880201</v>
      </c>
      <c r="R1674">
        <v>0.99707081678273402</v>
      </c>
      <c r="S1674" t="s">
        <v>8480</v>
      </c>
      <c r="T1674" t="s">
        <v>13610</v>
      </c>
      <c r="U1674" t="s">
        <v>13610</v>
      </c>
      <c r="V1674" t="s">
        <v>13610</v>
      </c>
      <c r="W1674" t="s">
        <v>15245</v>
      </c>
      <c r="X1674">
        <v>13</v>
      </c>
      <c r="Y1674" t="s">
        <v>21942</v>
      </c>
      <c r="Z1674" t="s">
        <v>28529</v>
      </c>
      <c r="AA1674">
        <v>0.59347934090744625</v>
      </c>
      <c r="AB1674" t="str">
        <f>HYPERLINK("Melting_Curves/meltCurve_O95628_9_CNOT4.pdf", "Melting_Curves/meltCurve_O95628_9_CNOT4.pdf")</f>
        <v>Melting_Curves/meltCurve_O95628_9_CNOT4.pdf</v>
      </c>
    </row>
    <row r="1675" spans="1:28" x14ac:dyDescent="0.25">
      <c r="A1675" t="s">
        <v>1679</v>
      </c>
      <c r="B1675">
        <v>0.995954080203443</v>
      </c>
      <c r="C1675">
        <v>1.0513344396280599</v>
      </c>
      <c r="D1675">
        <v>1.0081134301450101</v>
      </c>
      <c r="E1675">
        <v>0.79706529970460804</v>
      </c>
      <c r="F1675">
        <v>0.43831484095644102</v>
      </c>
      <c r="G1675">
        <v>0.25237595292545001</v>
      </c>
      <c r="H1675">
        <v>0.278950525529439</v>
      </c>
      <c r="I1675">
        <v>0.18044341940304601</v>
      </c>
      <c r="J1675">
        <v>0.222471801515261</v>
      </c>
      <c r="K1675">
        <v>0.15900534275491501</v>
      </c>
      <c r="L1675">
        <v>1706.9217486694699</v>
      </c>
      <c r="M1675">
        <v>33.073800429308797</v>
      </c>
      <c r="N1675">
        <v>52.473019394810102</v>
      </c>
      <c r="O1675">
        <v>51.421903948915002</v>
      </c>
      <c r="P1675">
        <v>-0.127049899432222</v>
      </c>
      <c r="Q1675">
        <v>0.20987382507567601</v>
      </c>
      <c r="R1675">
        <v>0.99135122284243105</v>
      </c>
      <c r="S1675" t="s">
        <v>8481</v>
      </c>
      <c r="T1675" t="s">
        <v>13610</v>
      </c>
      <c r="U1675" t="s">
        <v>13610</v>
      </c>
      <c r="V1675" t="s">
        <v>13610</v>
      </c>
      <c r="W1675" t="s">
        <v>15246</v>
      </c>
      <c r="X1675">
        <v>14</v>
      </c>
      <c r="Y1675" t="s">
        <v>21943</v>
      </c>
      <c r="Z1675" t="s">
        <v>28530</v>
      </c>
      <c r="AA1675">
        <v>0.51976794867287368</v>
      </c>
      <c r="AB1675" t="str">
        <f>HYPERLINK("Melting_Curves/meltCurve_O95630_STAMBP.pdf", "Melting_Curves/meltCurve_O95630_STAMBP.pdf")</f>
        <v>Melting_Curves/meltCurve_O95630_STAMBP.pdf</v>
      </c>
    </row>
    <row r="1676" spans="1:28" x14ac:dyDescent="0.25">
      <c r="A1676" t="s">
        <v>1680</v>
      </c>
      <c r="B1676">
        <v>0.995954080203443</v>
      </c>
      <c r="C1676">
        <v>0.82969065890445404</v>
      </c>
      <c r="D1676">
        <v>0.71025694925622096</v>
      </c>
      <c r="E1676">
        <v>0.64555645593271704</v>
      </c>
      <c r="F1676">
        <v>0.37343803618516003</v>
      </c>
      <c r="G1676">
        <v>0.191183776661419</v>
      </c>
      <c r="H1676">
        <v>0.115880497410029</v>
      </c>
      <c r="I1676">
        <v>0.113271252780707</v>
      </c>
      <c r="J1676">
        <v>0.13385335549751201</v>
      </c>
      <c r="K1676">
        <v>0.122884807668144</v>
      </c>
      <c r="L1676">
        <v>592.07652477054398</v>
      </c>
      <c r="M1676">
        <v>11.7964315572045</v>
      </c>
      <c r="N1676">
        <v>50.701913490901703</v>
      </c>
      <c r="O1676">
        <v>48.813942912884798</v>
      </c>
      <c r="P1676">
        <v>-5.7045355371267398E-2</v>
      </c>
      <c r="Q1676">
        <v>5.6022541412535501E-2</v>
      </c>
      <c r="R1676">
        <v>0.97532175114894804</v>
      </c>
      <c r="S1676" t="s">
        <v>8482</v>
      </c>
      <c r="T1676" t="s">
        <v>13610</v>
      </c>
      <c r="U1676" t="s">
        <v>13610</v>
      </c>
      <c r="V1676" t="s">
        <v>13610</v>
      </c>
      <c r="W1676" t="s">
        <v>15247</v>
      </c>
      <c r="X1676">
        <v>14</v>
      </c>
      <c r="Y1676" t="s">
        <v>21944</v>
      </c>
      <c r="Z1676" t="s">
        <v>28531</v>
      </c>
      <c r="AA1676">
        <v>0.40986388132647639</v>
      </c>
      <c r="AB1676" t="str">
        <f>HYPERLINK("Melting_Curves/meltCurve_O95639_CPSF4.pdf", "Melting_Curves/meltCurve_O95639_CPSF4.pdf")</f>
        <v>Melting_Curves/meltCurve_O95639_CPSF4.pdf</v>
      </c>
    </row>
    <row r="1677" spans="1:28" x14ac:dyDescent="0.25">
      <c r="A1677" t="s">
        <v>1681</v>
      </c>
      <c r="B1677">
        <v>0.995954080203443</v>
      </c>
      <c r="C1677">
        <v>0.892392979294933</v>
      </c>
      <c r="D1677">
        <v>0.81000716107718596</v>
      </c>
      <c r="E1677">
        <v>0.71558994343139903</v>
      </c>
      <c r="F1677">
        <v>0.66645899883665305</v>
      </c>
      <c r="G1677">
        <v>0.464166706710471</v>
      </c>
      <c r="H1677">
        <v>0.38341951038019201</v>
      </c>
      <c r="I1677">
        <v>0.441429499328713</v>
      </c>
      <c r="J1677">
        <v>0.487379598747608</v>
      </c>
      <c r="K1677">
        <v>0.45892976053851497</v>
      </c>
      <c r="L1677">
        <v>596.98592069643098</v>
      </c>
      <c r="M1677">
        <v>12.0158917261474</v>
      </c>
      <c r="N1677">
        <v>58.014754122013798</v>
      </c>
      <c r="O1677">
        <v>48.366941557657697</v>
      </c>
      <c r="P1677">
        <v>-3.6592164605406499E-2</v>
      </c>
      <c r="Q1677">
        <v>0.41097103516743699</v>
      </c>
      <c r="R1677">
        <v>0.95051718591591305</v>
      </c>
      <c r="S1677" t="s">
        <v>8483</v>
      </c>
      <c r="T1677" t="s">
        <v>13610</v>
      </c>
      <c r="U1677" t="s">
        <v>13610</v>
      </c>
      <c r="V1677" t="s">
        <v>13610</v>
      </c>
      <c r="W1677" t="s">
        <v>15248</v>
      </c>
      <c r="X1677">
        <v>8</v>
      </c>
      <c r="Y1677" t="s">
        <v>21945</v>
      </c>
      <c r="Z1677" t="s">
        <v>28532</v>
      </c>
      <c r="AA1677">
        <v>0.62182113123754756</v>
      </c>
      <c r="AB1677" t="str">
        <f>HYPERLINK("Melting_Curves/meltCurve_O95644_5_NFATC1.pdf", "Melting_Curves/meltCurve_O95644_5_NFATC1.pdf")</f>
        <v>Melting_Curves/meltCurve_O95644_5_NFATC1.pdf</v>
      </c>
    </row>
    <row r="1678" spans="1:28" x14ac:dyDescent="0.25">
      <c r="A1678" t="s">
        <v>1682</v>
      </c>
      <c r="B1678">
        <v>0.995954080203443</v>
      </c>
      <c r="C1678">
        <v>0.96338627209978001</v>
      </c>
      <c r="D1678">
        <v>0.90643972161438302</v>
      </c>
      <c r="E1678">
        <v>0.61576652609936899</v>
      </c>
      <c r="F1678">
        <v>0.26994848053051601</v>
      </c>
      <c r="G1678">
        <v>0.124297468704526</v>
      </c>
      <c r="H1678">
        <v>8.02457751123304E-2</v>
      </c>
      <c r="I1678">
        <v>7.201227988825E-2</v>
      </c>
      <c r="J1678">
        <v>7.5975156282440698E-2</v>
      </c>
      <c r="K1678">
        <v>7.2178523731158906E-2</v>
      </c>
      <c r="L1678">
        <v>1263.76574162007</v>
      </c>
      <c r="M1678">
        <v>25.014396815208698</v>
      </c>
      <c r="N1678">
        <v>50.823549329072399</v>
      </c>
      <c r="O1678">
        <v>50.2019693345203</v>
      </c>
      <c r="P1678">
        <v>-0.115967303754604</v>
      </c>
      <c r="Q1678">
        <v>6.9062674857737899E-2</v>
      </c>
      <c r="R1678">
        <v>0.99868726237665795</v>
      </c>
      <c r="S1678" t="s">
        <v>8484</v>
      </c>
      <c r="T1678" t="s">
        <v>13610</v>
      </c>
      <c r="U1678" t="s">
        <v>13610</v>
      </c>
      <c r="V1678" t="s">
        <v>13610</v>
      </c>
      <c r="W1678" t="s">
        <v>15249</v>
      </c>
      <c r="X1678">
        <v>30</v>
      </c>
      <c r="Y1678" t="s">
        <v>21946</v>
      </c>
      <c r="Z1678" t="s">
        <v>28533</v>
      </c>
      <c r="AA1678">
        <v>0.40391574791355028</v>
      </c>
      <c r="AB1678" t="str">
        <f>HYPERLINK("Melting_Curves/meltCurve_O95671_2_ASMTL.pdf", "Melting_Curves/meltCurve_O95671_2_ASMTL.pdf")</f>
        <v>Melting_Curves/meltCurve_O95671_2_ASMTL.pdf</v>
      </c>
    </row>
    <row r="1679" spans="1:28" x14ac:dyDescent="0.25">
      <c r="A1679" t="s">
        <v>1683</v>
      </c>
      <c r="B1679">
        <v>0.995954080203443</v>
      </c>
      <c r="C1679">
        <v>1.0158292151522801</v>
      </c>
      <c r="D1679">
        <v>0.91968400904046499</v>
      </c>
      <c r="E1679">
        <v>0.87299139157566996</v>
      </c>
      <c r="F1679">
        <v>0.76276020965292901</v>
      </c>
      <c r="G1679">
        <v>0.49278708748328998</v>
      </c>
      <c r="H1679">
        <v>0.39979814055853002</v>
      </c>
      <c r="I1679">
        <v>0.37977835319089798</v>
      </c>
      <c r="J1679">
        <v>0.48122474401835102</v>
      </c>
      <c r="K1679">
        <v>0.43437808369416098</v>
      </c>
      <c r="L1679">
        <v>1286.5790502310699</v>
      </c>
      <c r="M1679">
        <v>24.1581475490241</v>
      </c>
      <c r="N1679">
        <v>57.406731525811999</v>
      </c>
      <c r="O1679">
        <v>52.895632265070702</v>
      </c>
      <c r="P1679">
        <v>-6.7045544978709098E-2</v>
      </c>
      <c r="Q1679">
        <v>0.412808973828038</v>
      </c>
      <c r="R1679">
        <v>0.97503430200659602</v>
      </c>
      <c r="S1679" t="s">
        <v>8485</v>
      </c>
      <c r="T1679" t="s">
        <v>13610</v>
      </c>
      <c r="U1679" t="s">
        <v>13610</v>
      </c>
      <c r="V1679" t="s">
        <v>13610</v>
      </c>
      <c r="W1679" t="s">
        <v>15250</v>
      </c>
      <c r="X1679">
        <v>9</v>
      </c>
      <c r="Y1679" t="s">
        <v>21947</v>
      </c>
      <c r="Z1679" t="s">
        <v>28534</v>
      </c>
      <c r="AA1679">
        <v>0.67804983942431896</v>
      </c>
      <c r="AB1679" t="str">
        <f>HYPERLINK("Melting_Curves/meltCurve_O95684_2_FGFR1OP.pdf", "Melting_Curves/meltCurve_O95684_2_FGFR1OP.pdf")</f>
        <v>Melting_Curves/meltCurve_O95684_2_FGFR1OP.pdf</v>
      </c>
    </row>
    <row r="1680" spans="1:28" x14ac:dyDescent="0.25">
      <c r="A1680" t="s">
        <v>1684</v>
      </c>
      <c r="B1680">
        <v>0.995954080203443</v>
      </c>
      <c r="C1680">
        <v>0.963265907114915</v>
      </c>
      <c r="D1680">
        <v>1.0282521457156699</v>
      </c>
      <c r="E1680">
        <v>0.90476422084359598</v>
      </c>
      <c r="F1680">
        <v>0.95392261652880395</v>
      </c>
      <c r="G1680">
        <v>0.75584195310207403</v>
      </c>
      <c r="H1680">
        <v>0.82728121979501701</v>
      </c>
      <c r="I1680">
        <v>1.09028147990054</v>
      </c>
      <c r="J1680">
        <v>1.30679887801468</v>
      </c>
      <c r="K1680">
        <v>1.31810471983164</v>
      </c>
      <c r="L1680">
        <v>15000</v>
      </c>
      <c r="M1680">
        <v>233.47435577323699</v>
      </c>
      <c r="O1680">
        <v>64.242162483160797</v>
      </c>
      <c r="P1680">
        <v>0.28389494212545502</v>
      </c>
      <c r="Q1680">
        <v>1.3124630497837499</v>
      </c>
      <c r="R1680">
        <v>0.66182724927563497</v>
      </c>
      <c r="S1680" t="s">
        <v>8486</v>
      </c>
      <c r="T1680" t="s">
        <v>13610</v>
      </c>
      <c r="U1680" t="s">
        <v>13610</v>
      </c>
      <c r="V1680" t="s">
        <v>13610</v>
      </c>
      <c r="W1680" t="s">
        <v>15251</v>
      </c>
      <c r="X1680">
        <v>19</v>
      </c>
      <c r="Y1680" t="s">
        <v>21948</v>
      </c>
      <c r="Z1680" t="s">
        <v>28535</v>
      </c>
      <c r="AA1680">
        <v>1.059880803004523</v>
      </c>
      <c r="AB1680" t="str">
        <f>HYPERLINK("Melting_Curves/meltCurve_O95721_SNAP29.pdf", "Melting_Curves/meltCurve_O95721_SNAP29.pdf")</f>
        <v>Melting_Curves/meltCurve_O95721_SNAP29.pdf</v>
      </c>
    </row>
    <row r="1681" spans="1:28" x14ac:dyDescent="0.25">
      <c r="A1681" t="s">
        <v>1685</v>
      </c>
      <c r="B1681">
        <v>0.995954080203443</v>
      </c>
      <c r="C1681">
        <v>0.72842435802025096</v>
      </c>
      <c r="D1681">
        <v>0.45991353608010599</v>
      </c>
      <c r="E1681">
        <v>0.43307373724171599</v>
      </c>
      <c r="F1681">
        <v>0.35396251129366002</v>
      </c>
      <c r="G1681">
        <v>0.26754107266613197</v>
      </c>
      <c r="H1681">
        <v>0.23419797870088399</v>
      </c>
      <c r="I1681">
        <v>0.27240954848929799</v>
      </c>
      <c r="J1681">
        <v>0.25875444961164101</v>
      </c>
      <c r="K1681">
        <v>0.30311575560383303</v>
      </c>
      <c r="L1681">
        <v>906.94130895164301</v>
      </c>
      <c r="M1681">
        <v>20.521472861888</v>
      </c>
      <c r="N1681">
        <v>46.079369114407598</v>
      </c>
      <c r="O1681">
        <v>43.781501690642202</v>
      </c>
      <c r="P1681">
        <v>-8.3904578432438898E-2</v>
      </c>
      <c r="Q1681">
        <v>0.28399672786073299</v>
      </c>
      <c r="R1681">
        <v>0.96008309850662799</v>
      </c>
      <c r="S1681" t="s">
        <v>8487</v>
      </c>
      <c r="T1681" t="s">
        <v>13610</v>
      </c>
      <c r="U1681" t="s">
        <v>13610</v>
      </c>
      <c r="V1681" t="s">
        <v>13610</v>
      </c>
      <c r="W1681" t="s">
        <v>15252</v>
      </c>
      <c r="X1681">
        <v>17</v>
      </c>
      <c r="Y1681" t="s">
        <v>21949</v>
      </c>
      <c r="Z1681" t="s">
        <v>28536</v>
      </c>
      <c r="AA1681">
        <v>0.39682352840553142</v>
      </c>
      <c r="AB1681" t="str">
        <f>HYPERLINK("Melting_Curves/meltCurve_O95747_OXSR1.pdf", "Melting_Curves/meltCurve_O95747_OXSR1.pdf")</f>
        <v>Melting_Curves/meltCurve_O95747_OXSR1.pdf</v>
      </c>
    </row>
    <row r="1682" spans="1:28" x14ac:dyDescent="0.25">
      <c r="A1682" t="s">
        <v>1686</v>
      </c>
      <c r="B1682">
        <v>0.995954080203443</v>
      </c>
      <c r="C1682">
        <v>0.92260422526549402</v>
      </c>
      <c r="D1682">
        <v>0.83854749455381905</v>
      </c>
      <c r="E1682">
        <v>0.76749516113753902</v>
      </c>
      <c r="F1682">
        <v>0.36801292839045302</v>
      </c>
      <c r="G1682">
        <v>0.13998158343282599</v>
      </c>
      <c r="H1682">
        <v>9.5887823789974805E-2</v>
      </c>
      <c r="I1682">
        <v>9.4986437991038106E-2</v>
      </c>
      <c r="J1682">
        <v>0.10799292532618</v>
      </c>
      <c r="K1682">
        <v>9.1969473637284097E-2</v>
      </c>
      <c r="L1682">
        <v>1242.5162916704201</v>
      </c>
      <c r="M1682">
        <v>24.111606656923701</v>
      </c>
      <c r="N1682">
        <v>51.9209510175221</v>
      </c>
      <c r="O1682">
        <v>51.181332459300897</v>
      </c>
      <c r="P1682">
        <v>-0.108042647417428</v>
      </c>
      <c r="Q1682">
        <v>8.2652451395390694E-2</v>
      </c>
      <c r="R1682">
        <v>0.982604384843762</v>
      </c>
      <c r="S1682" t="s">
        <v>8488</v>
      </c>
      <c r="T1682" t="s">
        <v>13610</v>
      </c>
      <c r="U1682" t="s">
        <v>13610</v>
      </c>
      <c r="V1682" t="s">
        <v>13610</v>
      </c>
      <c r="W1682" t="s">
        <v>15253</v>
      </c>
      <c r="X1682">
        <v>13</v>
      </c>
      <c r="Y1682" t="s">
        <v>21950</v>
      </c>
      <c r="Z1682" t="s">
        <v>28537</v>
      </c>
      <c r="AA1682">
        <v>0.444217251834297</v>
      </c>
      <c r="AB1682" t="str">
        <f>HYPERLINK("Melting_Curves/meltCurve_O95749_GGPS1.pdf", "Melting_Curves/meltCurve_O95749_GGPS1.pdf")</f>
        <v>Melting_Curves/meltCurve_O95749_GGPS1.pdf</v>
      </c>
    </row>
    <row r="1683" spans="1:28" x14ac:dyDescent="0.25">
      <c r="A1683" t="s">
        <v>1687</v>
      </c>
      <c r="B1683">
        <v>0.995954080203443</v>
      </c>
      <c r="C1683">
        <v>0.99226094689751998</v>
      </c>
      <c r="D1683">
        <v>0.86630948306203204</v>
      </c>
      <c r="E1683">
        <v>0.45096007196179699</v>
      </c>
      <c r="F1683">
        <v>0.189986339290662</v>
      </c>
      <c r="G1683">
        <v>0.114278739551624</v>
      </c>
      <c r="H1683">
        <v>8.4585586907890295E-2</v>
      </c>
      <c r="I1683">
        <v>8.2896443263233796E-2</v>
      </c>
      <c r="J1683">
        <v>0.104431271723099</v>
      </c>
      <c r="K1683">
        <v>8.7917306248061905E-2</v>
      </c>
      <c r="L1683">
        <v>1321.91668523408</v>
      </c>
      <c r="M1683">
        <v>26.8917609342821</v>
      </c>
      <c r="N1683">
        <v>49.512179800302697</v>
      </c>
      <c r="O1683">
        <v>48.887522769229697</v>
      </c>
      <c r="P1683">
        <v>-0.125454735697833</v>
      </c>
      <c r="Q1683">
        <v>8.7734050177456294E-2</v>
      </c>
      <c r="R1683">
        <v>0.999456292861298</v>
      </c>
      <c r="S1683" t="s">
        <v>8489</v>
      </c>
      <c r="T1683" t="s">
        <v>13610</v>
      </c>
      <c r="U1683" t="s">
        <v>13610</v>
      </c>
      <c r="V1683" t="s">
        <v>13610</v>
      </c>
      <c r="W1683" t="s">
        <v>15254</v>
      </c>
      <c r="X1683">
        <v>55</v>
      </c>
      <c r="Y1683" t="s">
        <v>21951</v>
      </c>
      <c r="Z1683" t="s">
        <v>28538</v>
      </c>
      <c r="AA1683">
        <v>0.37315380511617108</v>
      </c>
      <c r="AB1683" t="str">
        <f>HYPERLINK("Melting_Curves/meltCurve_O95757_HSPA4L.pdf", "Melting_Curves/meltCurve_O95757_HSPA4L.pdf")</f>
        <v>Melting_Curves/meltCurve_O95757_HSPA4L.pdf</v>
      </c>
    </row>
    <row r="1684" spans="1:28" x14ac:dyDescent="0.25">
      <c r="A1684" t="s">
        <v>1688</v>
      </c>
      <c r="B1684">
        <v>0.995954080203443</v>
      </c>
      <c r="C1684">
        <v>0.87795577285151905</v>
      </c>
      <c r="D1684">
        <v>0.68990852501300703</v>
      </c>
      <c r="E1684">
        <v>0.54990518682120004</v>
      </c>
      <c r="F1684">
        <v>0.427968278220203</v>
      </c>
      <c r="G1684">
        <v>0.24238657983128301</v>
      </c>
      <c r="H1684">
        <v>0.17017760950458399</v>
      </c>
      <c r="I1684">
        <v>0.158431193379104</v>
      </c>
      <c r="J1684">
        <v>0.206843801353846</v>
      </c>
      <c r="K1684">
        <v>0.17574635301467401</v>
      </c>
      <c r="L1684">
        <v>606.771379267253</v>
      </c>
      <c r="M1684">
        <v>12.3424938277089</v>
      </c>
      <c r="N1684">
        <v>50.472835835472303</v>
      </c>
      <c r="O1684">
        <v>47.9241039266727</v>
      </c>
      <c r="P1684">
        <v>-5.5564023378230298E-2</v>
      </c>
      <c r="Q1684">
        <v>0.137198521970221</v>
      </c>
      <c r="R1684">
        <v>0.98691321914208696</v>
      </c>
      <c r="S1684" t="s">
        <v>8490</v>
      </c>
      <c r="T1684" t="s">
        <v>13610</v>
      </c>
      <c r="U1684" t="s">
        <v>13610</v>
      </c>
      <c r="V1684" t="s">
        <v>13610</v>
      </c>
      <c r="W1684" t="s">
        <v>15255</v>
      </c>
      <c r="X1684">
        <v>12</v>
      </c>
      <c r="Y1684" t="s">
        <v>21952</v>
      </c>
      <c r="Z1684" t="s">
        <v>28539</v>
      </c>
      <c r="AA1684">
        <v>0.43062187855634881</v>
      </c>
      <c r="AB1684" t="str">
        <f>HYPERLINK("Melting_Curves/meltCurve_O95758_1_PTBP3.pdf", "Melting_Curves/meltCurve_O95758_1_PTBP3.pdf")</f>
        <v>Melting_Curves/meltCurve_O95758_1_PTBP3.pdf</v>
      </c>
    </row>
    <row r="1685" spans="1:28" x14ac:dyDescent="0.25">
      <c r="A1685" t="s">
        <v>1689</v>
      </c>
      <c r="B1685">
        <v>0.995954080203443</v>
      </c>
      <c r="C1685">
        <v>1.0265447279615001</v>
      </c>
      <c r="D1685">
        <v>1.1193251481845301</v>
      </c>
      <c r="E1685">
        <v>0.968578197159771</v>
      </c>
      <c r="F1685">
        <v>0.933372473703309</v>
      </c>
      <c r="G1685">
        <v>0.73768758439495496</v>
      </c>
      <c r="H1685">
        <v>0.60975707443969696</v>
      </c>
      <c r="I1685">
        <v>0.63233857035674401</v>
      </c>
      <c r="J1685">
        <v>0.74933909720785596</v>
      </c>
      <c r="K1685">
        <v>0.56223218213573101</v>
      </c>
      <c r="L1685">
        <v>1964.44966141809</v>
      </c>
      <c r="M1685">
        <v>35.546291054081799</v>
      </c>
      <c r="O1685">
        <v>55.090513481615503</v>
      </c>
      <c r="P1685">
        <v>-5.8674759607616797E-2</v>
      </c>
      <c r="Q1685">
        <v>0.63625888745450498</v>
      </c>
      <c r="R1685">
        <v>0.90014826948050397</v>
      </c>
      <c r="S1685" t="s">
        <v>8491</v>
      </c>
      <c r="T1685" t="s">
        <v>13610</v>
      </c>
      <c r="U1685" t="s">
        <v>13610</v>
      </c>
      <c r="V1685" t="s">
        <v>13610</v>
      </c>
      <c r="W1685" t="s">
        <v>15256</v>
      </c>
      <c r="X1685">
        <v>6</v>
      </c>
      <c r="Y1685" t="s">
        <v>21953</v>
      </c>
      <c r="Z1685" t="s">
        <v>28540</v>
      </c>
      <c r="AA1685">
        <v>0.82308284755153527</v>
      </c>
      <c r="AB1685" t="str">
        <f>HYPERLINK("Melting_Curves/meltCurve_O95777_NAA38.pdf", "Melting_Curves/meltCurve_O95777_NAA38.pdf")</f>
        <v>Melting_Curves/meltCurve_O95777_NAA38.pdf</v>
      </c>
    </row>
    <row r="1686" spans="1:28" x14ac:dyDescent="0.25">
      <c r="A1686" t="s">
        <v>1690</v>
      </c>
      <c r="B1686">
        <v>0.995954080203443</v>
      </c>
      <c r="C1686">
        <v>0.90258026871639396</v>
      </c>
      <c r="D1686">
        <v>0.80030010259821305</v>
      </c>
      <c r="E1686">
        <v>0.77043436847936697</v>
      </c>
      <c r="F1686">
        <v>0.51830867276575099</v>
      </c>
      <c r="G1686">
        <v>0.27378847667539802</v>
      </c>
      <c r="H1686">
        <v>0.116067280359002</v>
      </c>
      <c r="I1686">
        <v>8.3962768536101601E-2</v>
      </c>
      <c r="J1686">
        <v>8.3249755918555199E-2</v>
      </c>
      <c r="K1686">
        <v>7.6618222734770799E-2</v>
      </c>
      <c r="L1686">
        <v>687.57729546635699</v>
      </c>
      <c r="M1686">
        <v>12.947083997000901</v>
      </c>
      <c r="N1686">
        <v>53.121899291890102</v>
      </c>
      <c r="O1686">
        <v>51.887669012389502</v>
      </c>
      <c r="P1686">
        <v>-6.2276470355641503E-2</v>
      </c>
      <c r="Q1686">
        <v>1.8444403626673999E-3</v>
      </c>
      <c r="R1686">
        <v>0.98457336563513398</v>
      </c>
      <c r="S1686" t="s">
        <v>8492</v>
      </c>
      <c r="T1686" t="s">
        <v>13610</v>
      </c>
      <c r="U1686" t="s">
        <v>13610</v>
      </c>
      <c r="V1686" t="s">
        <v>13610</v>
      </c>
      <c r="W1686" t="s">
        <v>15257</v>
      </c>
      <c r="X1686">
        <v>46</v>
      </c>
      <c r="Y1686" t="s">
        <v>21954</v>
      </c>
      <c r="Z1686" t="s">
        <v>28541</v>
      </c>
      <c r="AA1686">
        <v>0.46376204542055038</v>
      </c>
      <c r="AB1686" t="str">
        <f>HYPERLINK("Melting_Curves/meltCurve_O95782_2_AP2A1.pdf", "Melting_Curves/meltCurve_O95782_2_AP2A1.pdf")</f>
        <v>Melting_Curves/meltCurve_O95782_2_AP2A1.pdf</v>
      </c>
    </row>
    <row r="1687" spans="1:28" x14ac:dyDescent="0.25">
      <c r="A1687" t="s">
        <v>1691</v>
      </c>
      <c r="B1687">
        <v>0.995954080203443</v>
      </c>
      <c r="C1687">
        <v>0.90594379357014698</v>
      </c>
      <c r="D1687">
        <v>0.75674343182836901</v>
      </c>
      <c r="E1687">
        <v>0.41988869763495001</v>
      </c>
      <c r="F1687">
        <v>0.16146153779839301</v>
      </c>
      <c r="G1687">
        <v>9.9814180350137699E-2</v>
      </c>
      <c r="H1687">
        <v>7.3856064534177507E-2</v>
      </c>
      <c r="I1687">
        <v>7.6240177837603701E-2</v>
      </c>
      <c r="J1687">
        <v>7.8015479153053305E-2</v>
      </c>
      <c r="K1687">
        <v>7.7776040747540104E-2</v>
      </c>
      <c r="L1687">
        <v>979.77974750520298</v>
      </c>
      <c r="M1687">
        <v>20.241531203213999</v>
      </c>
      <c r="N1687">
        <v>48.736988400908103</v>
      </c>
      <c r="O1687">
        <v>47.939413981558602</v>
      </c>
      <c r="P1687">
        <v>-9.8752178719724595E-2</v>
      </c>
      <c r="Q1687">
        <v>6.4502650246967594E-2</v>
      </c>
      <c r="R1687">
        <v>0.99684320568735596</v>
      </c>
      <c r="S1687" t="s">
        <v>8493</v>
      </c>
      <c r="T1687" t="s">
        <v>13610</v>
      </c>
      <c r="U1687" t="s">
        <v>13610</v>
      </c>
      <c r="V1687" t="s">
        <v>13610</v>
      </c>
      <c r="W1687" t="s">
        <v>15258</v>
      </c>
      <c r="X1687">
        <v>21</v>
      </c>
      <c r="Y1687" t="s">
        <v>21955</v>
      </c>
      <c r="Z1687" t="s">
        <v>28542</v>
      </c>
      <c r="AA1687">
        <v>0.33945262791153458</v>
      </c>
      <c r="AB1687" t="str">
        <f>HYPERLINK("Melting_Curves/meltCurve_O95801_TTC4.pdf", "Melting_Curves/meltCurve_O95801_TTC4.pdf")</f>
        <v>Melting_Curves/meltCurve_O95801_TTC4.pdf</v>
      </c>
    </row>
    <row r="1688" spans="1:28" x14ac:dyDescent="0.25">
      <c r="A1688" t="s">
        <v>1692</v>
      </c>
      <c r="B1688">
        <v>0.995954080203443</v>
      </c>
      <c r="C1688">
        <v>0.93059756163086105</v>
      </c>
      <c r="D1688">
        <v>0.86896928308399901</v>
      </c>
      <c r="E1688">
        <v>0.95741476982233997</v>
      </c>
      <c r="F1688">
        <v>0.78648707168096099</v>
      </c>
      <c r="G1688">
        <v>0.32377088239604002</v>
      </c>
      <c r="H1688">
        <v>0.18349823159393899</v>
      </c>
      <c r="I1688">
        <v>0.164995587679963</v>
      </c>
      <c r="J1688">
        <v>0.171527246524558</v>
      </c>
      <c r="K1688">
        <v>0.17312337322601501</v>
      </c>
      <c r="L1688">
        <v>1856.53036203392</v>
      </c>
      <c r="M1688">
        <v>33.998419636926698</v>
      </c>
      <c r="N1688">
        <v>55.258783891169003</v>
      </c>
      <c r="O1688">
        <v>54.418487907669402</v>
      </c>
      <c r="P1688">
        <v>-0.13037053074633301</v>
      </c>
      <c r="Q1688">
        <v>0.16530954514659699</v>
      </c>
      <c r="R1688">
        <v>0.98300658474126301</v>
      </c>
      <c r="S1688" t="s">
        <v>8494</v>
      </c>
      <c r="T1688" t="s">
        <v>13610</v>
      </c>
      <c r="U1688" t="s">
        <v>13610</v>
      </c>
      <c r="V1688" t="s">
        <v>13610</v>
      </c>
      <c r="W1688" t="s">
        <v>15259</v>
      </c>
      <c r="X1688">
        <v>14</v>
      </c>
      <c r="Y1688" t="s">
        <v>21956</v>
      </c>
      <c r="Z1688" t="s">
        <v>28543</v>
      </c>
      <c r="AA1688">
        <v>0.57603522434412968</v>
      </c>
      <c r="AB1688" t="str">
        <f>HYPERLINK("Melting_Curves/meltCurve_O95816_BAG2.pdf", "Melting_Curves/meltCurve_O95816_BAG2.pdf")</f>
        <v>Melting_Curves/meltCurve_O95816_BAG2.pdf</v>
      </c>
    </row>
    <row r="1689" spans="1:28" x14ac:dyDescent="0.25">
      <c r="A1689" t="s">
        <v>1693</v>
      </c>
      <c r="B1689">
        <v>0.995954080203443</v>
      </c>
      <c r="C1689">
        <v>1.0151177795372399</v>
      </c>
      <c r="D1689">
        <v>1.0682780637262601</v>
      </c>
      <c r="E1689">
        <v>0.93040801477897395</v>
      </c>
      <c r="F1689">
        <v>0.89013645552500698</v>
      </c>
      <c r="G1689">
        <v>0.69795831070022396</v>
      </c>
      <c r="H1689">
        <v>0.669553585393034</v>
      </c>
      <c r="I1689">
        <v>0.842396178682701</v>
      </c>
      <c r="J1689">
        <v>0.87805733934102803</v>
      </c>
      <c r="K1689">
        <v>1.0163678833171601</v>
      </c>
      <c r="L1689">
        <v>2149.7757271833302</v>
      </c>
      <c r="M1689">
        <v>42.103668312288001</v>
      </c>
      <c r="O1689">
        <v>50.944328170935897</v>
      </c>
      <c r="P1689">
        <v>-3.6079215394498598E-2</v>
      </c>
      <c r="Q1689">
        <v>0.82538069891821297</v>
      </c>
      <c r="R1689">
        <v>0.46454180437605502</v>
      </c>
      <c r="S1689" t="s">
        <v>8495</v>
      </c>
      <c r="T1689" t="s">
        <v>13610</v>
      </c>
      <c r="U1689" t="s">
        <v>13610</v>
      </c>
      <c r="V1689" t="s">
        <v>13610</v>
      </c>
      <c r="W1689" t="s">
        <v>15260</v>
      </c>
      <c r="X1689">
        <v>23</v>
      </c>
      <c r="Y1689" t="s">
        <v>20625</v>
      </c>
      <c r="Z1689" t="s">
        <v>28544</v>
      </c>
      <c r="AA1689">
        <v>0.89030762073153091</v>
      </c>
      <c r="AB1689" t="str">
        <f>HYPERLINK("Melting_Curves/meltCurve_O95817_BAG3.pdf", "Melting_Curves/meltCurve_O95817_BAG3.pdf")</f>
        <v>Melting_Curves/meltCurve_O95817_BAG3.pdf</v>
      </c>
    </row>
    <row r="1690" spans="1:28" x14ac:dyDescent="0.25">
      <c r="A1690" t="s">
        <v>1694</v>
      </c>
      <c r="B1690">
        <v>0.995954080203443</v>
      </c>
      <c r="C1690">
        <v>0.90988562732276601</v>
      </c>
      <c r="D1690">
        <v>0.81308994631601506</v>
      </c>
      <c r="E1690">
        <v>0.63306577805115705</v>
      </c>
      <c r="F1690">
        <v>0.224334163244094</v>
      </c>
      <c r="G1690">
        <v>0.15606486861367899</v>
      </c>
      <c r="H1690">
        <v>0.132712625793692</v>
      </c>
      <c r="I1690">
        <v>0.16711974710955399</v>
      </c>
      <c r="J1690">
        <v>0.21346595465755999</v>
      </c>
      <c r="K1690">
        <v>0.21313924893744199</v>
      </c>
      <c r="L1690">
        <v>1141.27617692635</v>
      </c>
      <c r="M1690">
        <v>23.051705683472601</v>
      </c>
      <c r="N1690">
        <v>50.353193331062698</v>
      </c>
      <c r="O1690">
        <v>49.141318808438399</v>
      </c>
      <c r="P1690">
        <v>-9.8485455418515597E-2</v>
      </c>
      <c r="Q1690">
        <v>0.16021551701481401</v>
      </c>
      <c r="R1690">
        <v>0.968595011821344</v>
      </c>
      <c r="S1690" t="s">
        <v>8496</v>
      </c>
      <c r="T1690" t="s">
        <v>13610</v>
      </c>
      <c r="U1690" t="s">
        <v>13610</v>
      </c>
      <c r="V1690" t="s">
        <v>13610</v>
      </c>
      <c r="W1690" t="s">
        <v>15261</v>
      </c>
      <c r="X1690">
        <v>7</v>
      </c>
      <c r="Y1690" t="s">
        <v>21957</v>
      </c>
      <c r="Z1690" t="s">
        <v>28545</v>
      </c>
      <c r="AA1690">
        <v>0.4352190382960211</v>
      </c>
      <c r="AB1690" t="str">
        <f>HYPERLINK("Melting_Curves/meltCurve_O95822_MLYCD.pdf", "Melting_Curves/meltCurve_O95822_MLYCD.pdf")</f>
        <v>Melting_Curves/meltCurve_O95822_MLYCD.pdf</v>
      </c>
    </row>
    <row r="1691" spans="1:28" x14ac:dyDescent="0.25">
      <c r="A1691" t="s">
        <v>1695</v>
      </c>
      <c r="B1691">
        <v>0.995954080203443</v>
      </c>
      <c r="C1691">
        <v>1.01372893444386</v>
      </c>
      <c r="D1691">
        <v>1.0421872314701599</v>
      </c>
      <c r="E1691">
        <v>0.982970937318287</v>
      </c>
      <c r="F1691">
        <v>0.936193941308894</v>
      </c>
      <c r="G1691">
        <v>0.78205760019595505</v>
      </c>
      <c r="H1691">
        <v>0.47579352485521698</v>
      </c>
      <c r="I1691">
        <v>0.109026743507824</v>
      </c>
      <c r="J1691">
        <v>8.2374835649988404E-2</v>
      </c>
      <c r="K1691">
        <v>7.8118927946517605E-2</v>
      </c>
      <c r="L1691">
        <v>1546.7786181648701</v>
      </c>
      <c r="M1691">
        <v>25.748114730256098</v>
      </c>
      <c r="N1691">
        <v>60.162999854685097</v>
      </c>
      <c r="O1691">
        <v>59.7146146549969</v>
      </c>
      <c r="P1691">
        <v>-0.105771372540286</v>
      </c>
      <c r="Q1691">
        <v>1.87985543117179E-2</v>
      </c>
      <c r="R1691">
        <v>0.99077216980387395</v>
      </c>
      <c r="S1691" t="s">
        <v>8497</v>
      </c>
      <c r="T1691" t="s">
        <v>13610</v>
      </c>
      <c r="U1691" t="s">
        <v>13610</v>
      </c>
      <c r="V1691" t="s">
        <v>13610</v>
      </c>
      <c r="W1691" t="s">
        <v>15262</v>
      </c>
      <c r="X1691">
        <v>14</v>
      </c>
      <c r="Y1691" t="s">
        <v>21958</v>
      </c>
      <c r="Z1691" t="s">
        <v>28546</v>
      </c>
      <c r="AA1691">
        <v>0.68236181130859264</v>
      </c>
      <c r="AB1691" t="str">
        <f>HYPERLINK("Melting_Curves/meltCurve_O95825_CRYZL1.pdf", "Melting_Curves/meltCurve_O95825_CRYZL1.pdf")</f>
        <v>Melting_Curves/meltCurve_O95825_CRYZL1.pdf</v>
      </c>
    </row>
    <row r="1692" spans="1:28" x14ac:dyDescent="0.25">
      <c r="A1692" t="s">
        <v>1696</v>
      </c>
      <c r="B1692">
        <v>0.995954080203443</v>
      </c>
      <c r="C1692">
        <v>0.93301790734131296</v>
      </c>
      <c r="D1692">
        <v>0.93360056491983601</v>
      </c>
      <c r="E1692">
        <v>0.78740409963909397</v>
      </c>
      <c r="F1692">
        <v>0.46154754511750901</v>
      </c>
      <c r="G1692">
        <v>0.18381867952898201</v>
      </c>
      <c r="H1692">
        <v>0.111197839175515</v>
      </c>
      <c r="I1692">
        <v>0.10541395784376301</v>
      </c>
      <c r="J1692">
        <v>0.13249365602915</v>
      </c>
      <c r="K1692">
        <v>0.11482814365751701</v>
      </c>
      <c r="L1692">
        <v>1345.3822406885399</v>
      </c>
      <c r="M1692">
        <v>25.812139684085299</v>
      </c>
      <c r="N1692">
        <v>52.609502743585097</v>
      </c>
      <c r="O1692">
        <v>51.812248653946703</v>
      </c>
      <c r="P1692">
        <v>-0.111302081111534</v>
      </c>
      <c r="Q1692">
        <v>0.10635183720631899</v>
      </c>
      <c r="R1692">
        <v>0.99518721108584696</v>
      </c>
      <c r="S1692" t="s">
        <v>8498</v>
      </c>
      <c r="T1692" t="s">
        <v>13610</v>
      </c>
      <c r="U1692" t="s">
        <v>13610</v>
      </c>
      <c r="V1692" t="s">
        <v>13610</v>
      </c>
      <c r="W1692" t="s">
        <v>15263</v>
      </c>
      <c r="X1692">
        <v>18</v>
      </c>
      <c r="Y1692" t="s">
        <v>21959</v>
      </c>
      <c r="Z1692" t="s">
        <v>28547</v>
      </c>
      <c r="AA1692">
        <v>0.47512736539621669</v>
      </c>
      <c r="AB1692" t="str">
        <f>HYPERLINK("Melting_Curves/meltCurve_O95831_3_AIFM1.pdf", "Melting_Curves/meltCurve_O95831_3_AIFM1.pdf")</f>
        <v>Melting_Curves/meltCurve_O95831_3_AIFM1.pdf</v>
      </c>
    </row>
    <row r="1693" spans="1:28" x14ac:dyDescent="0.25">
      <c r="A1693" t="s">
        <v>1697</v>
      </c>
      <c r="B1693">
        <v>0.995954080203443</v>
      </c>
      <c r="C1693">
        <v>0.99794617452447298</v>
      </c>
      <c r="D1693">
        <v>1.1449655706570001</v>
      </c>
      <c r="E1693">
        <v>0.90018671244287096</v>
      </c>
      <c r="F1693">
        <v>0.66801753792859297</v>
      </c>
      <c r="G1693">
        <v>0.15679422642385399</v>
      </c>
      <c r="H1693">
        <v>9.7237284496443005E-2</v>
      </c>
      <c r="I1693">
        <v>8.3935658336433794E-2</v>
      </c>
      <c r="J1693">
        <v>9.5779113608448804E-2</v>
      </c>
      <c r="K1693">
        <v>9.6426898009203801E-2</v>
      </c>
      <c r="L1693">
        <v>2048.1408444981098</v>
      </c>
      <c r="M1693">
        <v>38.163386644302399</v>
      </c>
      <c r="N1693">
        <v>53.938334976510603</v>
      </c>
      <c r="O1693">
        <v>53.520947217005002</v>
      </c>
      <c r="P1693">
        <v>-0.162730143964393</v>
      </c>
      <c r="Q1693">
        <v>8.7140433556664898E-2</v>
      </c>
      <c r="R1693">
        <v>0.986879089609076</v>
      </c>
      <c r="S1693" t="s">
        <v>8499</v>
      </c>
      <c r="T1693" t="s">
        <v>13610</v>
      </c>
      <c r="U1693" t="s">
        <v>13610</v>
      </c>
      <c r="V1693" t="s">
        <v>13610</v>
      </c>
      <c r="W1693" t="s">
        <v>15264</v>
      </c>
      <c r="X1693">
        <v>18</v>
      </c>
      <c r="Y1693" t="s">
        <v>21960</v>
      </c>
      <c r="Z1693" t="s">
        <v>28548</v>
      </c>
      <c r="AA1693">
        <v>0.50674379463640562</v>
      </c>
      <c r="AB1693" t="str">
        <f>HYPERLINK("Melting_Curves/meltCurve_O95834_2_EML2.pdf", "Melting_Curves/meltCurve_O95834_2_EML2.pdf")</f>
        <v>Melting_Curves/meltCurve_O95834_2_EML2.pdf</v>
      </c>
    </row>
    <row r="1694" spans="1:28" x14ac:dyDescent="0.25">
      <c r="A1694" t="s">
        <v>1698</v>
      </c>
      <c r="B1694">
        <v>0.995954080203443</v>
      </c>
      <c r="C1694">
        <v>0.97765875554482795</v>
      </c>
      <c r="D1694">
        <v>1.00052759626053</v>
      </c>
      <c r="E1694">
        <v>0.78933096086819099</v>
      </c>
      <c r="F1694">
        <v>0.81923648323760001</v>
      </c>
      <c r="G1694">
        <v>0.59395789311229996</v>
      </c>
      <c r="H1694">
        <v>0.51840492762208001</v>
      </c>
      <c r="I1694">
        <v>0.56955750650602999</v>
      </c>
      <c r="J1694">
        <v>0.69821643860428395</v>
      </c>
      <c r="K1694">
        <v>0.70497007786222199</v>
      </c>
      <c r="L1694">
        <v>1164.69503701031</v>
      </c>
      <c r="M1694">
        <v>22.8691622577178</v>
      </c>
      <c r="O1694">
        <v>50.544003773164299</v>
      </c>
      <c r="P1694">
        <v>-4.3221334544544202E-2</v>
      </c>
      <c r="Q1694">
        <v>0.61790683473116703</v>
      </c>
      <c r="R1694">
        <v>0.85029996357151805</v>
      </c>
      <c r="S1694" t="s">
        <v>8500</v>
      </c>
      <c r="T1694" t="s">
        <v>13610</v>
      </c>
      <c r="U1694" t="s">
        <v>13610</v>
      </c>
      <c r="V1694" t="s">
        <v>13610</v>
      </c>
      <c r="W1694" t="s">
        <v>15265</v>
      </c>
      <c r="X1694">
        <v>6</v>
      </c>
      <c r="Y1694" t="s">
        <v>21961</v>
      </c>
      <c r="Z1694" t="s">
        <v>28549</v>
      </c>
      <c r="AA1694">
        <v>0.76120453904093066</v>
      </c>
      <c r="AB1694" t="str">
        <f>HYPERLINK("Melting_Curves/meltCurve_O95835_2_LATS1.pdf", "Melting_Curves/meltCurve_O95835_2_LATS1.pdf")</f>
        <v>Melting_Curves/meltCurve_O95835_2_LATS1.pdf</v>
      </c>
    </row>
    <row r="1695" spans="1:28" x14ac:dyDescent="0.25">
      <c r="A1695" t="s">
        <v>1699</v>
      </c>
      <c r="B1695">
        <v>0.995954080203443</v>
      </c>
      <c r="C1695">
        <v>1.03082088800722</v>
      </c>
      <c r="D1695">
        <v>1.0236271929523799</v>
      </c>
      <c r="E1695">
        <v>0.915785391876621</v>
      </c>
      <c r="F1695">
        <v>0.85700673869597299</v>
      </c>
      <c r="G1695">
        <v>0.42866378741332001</v>
      </c>
      <c r="H1695">
        <v>0.116844174752097</v>
      </c>
      <c r="I1695">
        <v>9.5834763381882002E-2</v>
      </c>
      <c r="J1695">
        <v>0.108526299822403</v>
      </c>
      <c r="K1695">
        <v>9.5264861195942102E-2</v>
      </c>
      <c r="L1695">
        <v>1668.9659685627701</v>
      </c>
      <c r="M1695">
        <v>29.8460019885819</v>
      </c>
      <c r="N1695">
        <v>56.256320810651602</v>
      </c>
      <c r="O1695">
        <v>55.670027125359901</v>
      </c>
      <c r="P1695">
        <v>-0.123057766531821</v>
      </c>
      <c r="Q1695">
        <v>8.1876165173857304E-2</v>
      </c>
      <c r="R1695">
        <v>0.99582156197417804</v>
      </c>
      <c r="S1695" t="s">
        <v>8501</v>
      </c>
      <c r="T1695" t="s">
        <v>13610</v>
      </c>
      <c r="U1695" t="s">
        <v>13610</v>
      </c>
      <c r="V1695" t="s">
        <v>13610</v>
      </c>
      <c r="W1695" t="s">
        <v>15266</v>
      </c>
      <c r="X1695">
        <v>18</v>
      </c>
      <c r="Y1695" t="s">
        <v>21962</v>
      </c>
      <c r="Z1695" t="s">
        <v>28550</v>
      </c>
      <c r="AA1695">
        <v>0.57525011355649136</v>
      </c>
      <c r="AB1695" t="str">
        <f>HYPERLINK("Melting_Curves/meltCurve_O95861_BPNT1.pdf", "Melting_Curves/meltCurve_O95861_BPNT1.pdf")</f>
        <v>Melting_Curves/meltCurve_O95861_BPNT1.pdf</v>
      </c>
    </row>
    <row r="1696" spans="1:28" x14ac:dyDescent="0.25">
      <c r="A1696" t="s">
        <v>1700</v>
      </c>
      <c r="B1696">
        <v>0.995954080203443</v>
      </c>
      <c r="C1696">
        <v>1.09150636724093</v>
      </c>
      <c r="D1696">
        <v>1.0822166937519599</v>
      </c>
      <c r="E1696">
        <v>1.01365297235061</v>
      </c>
      <c r="F1696">
        <v>0.90222391716249495</v>
      </c>
      <c r="G1696">
        <v>0.47260215276496298</v>
      </c>
      <c r="H1696">
        <v>0.10713695405076799</v>
      </c>
      <c r="I1696">
        <v>7.4543555373454598E-2</v>
      </c>
      <c r="J1696">
        <v>7.6189598781318604E-2</v>
      </c>
      <c r="K1696">
        <v>8.1286092449131805E-2</v>
      </c>
      <c r="L1696">
        <v>2047.33789562685</v>
      </c>
      <c r="M1696">
        <v>36.227139028916397</v>
      </c>
      <c r="N1696">
        <v>56.738448163360601</v>
      </c>
      <c r="O1696">
        <v>56.342555763693703</v>
      </c>
      <c r="P1696">
        <v>-0.15001130566211501</v>
      </c>
      <c r="Q1696">
        <v>6.6777670988870302E-2</v>
      </c>
      <c r="R1696">
        <v>0.99144177470709904</v>
      </c>
      <c r="S1696" t="s">
        <v>8502</v>
      </c>
      <c r="T1696" t="s">
        <v>13610</v>
      </c>
      <c r="U1696" t="s">
        <v>13610</v>
      </c>
      <c r="V1696" t="s">
        <v>13610</v>
      </c>
      <c r="W1696" t="s">
        <v>15267</v>
      </c>
      <c r="X1696">
        <v>7</v>
      </c>
      <c r="Y1696" t="s">
        <v>21963</v>
      </c>
      <c r="Z1696" t="s">
        <v>28551</v>
      </c>
      <c r="AA1696">
        <v>0.58486304169839631</v>
      </c>
      <c r="AB1696" t="str">
        <f>HYPERLINK("Melting_Curves/meltCurve_O95865_DDAH2.pdf", "Melting_Curves/meltCurve_O95865_DDAH2.pdf")</f>
        <v>Melting_Curves/meltCurve_O95865_DDAH2.pdf</v>
      </c>
    </row>
    <row r="1697" spans="1:28" x14ac:dyDescent="0.25">
      <c r="A1697" t="s">
        <v>1701</v>
      </c>
      <c r="B1697">
        <v>0.995954080203443</v>
      </c>
      <c r="C1697">
        <v>0.94321471428003101</v>
      </c>
      <c r="D1697">
        <v>0.95677012944178597</v>
      </c>
      <c r="E1697">
        <v>0.83351268840278703</v>
      </c>
      <c r="F1697">
        <v>0.74652953657752696</v>
      </c>
      <c r="G1697">
        <v>0.37404642128306598</v>
      </c>
      <c r="H1697">
        <v>0.19550160280130399</v>
      </c>
      <c r="I1697">
        <v>0.173203518909469</v>
      </c>
      <c r="J1697">
        <v>0.21662693082950299</v>
      </c>
      <c r="K1697">
        <v>0.21189768018112701</v>
      </c>
      <c r="L1697">
        <v>1223.3061156124299</v>
      </c>
      <c r="M1697">
        <v>22.5525107976638</v>
      </c>
      <c r="N1697">
        <v>55.300348220213202</v>
      </c>
      <c r="O1697">
        <v>53.8214789893022</v>
      </c>
      <c r="P1697">
        <v>-8.6405166449936996E-2</v>
      </c>
      <c r="Q1697">
        <v>0.17519419189216201</v>
      </c>
      <c r="R1697">
        <v>0.98724966148594095</v>
      </c>
      <c r="S1697" t="s">
        <v>8503</v>
      </c>
      <c r="T1697" t="s">
        <v>13610</v>
      </c>
      <c r="U1697" t="s">
        <v>13610</v>
      </c>
      <c r="V1697" t="s">
        <v>13610</v>
      </c>
      <c r="W1697" t="s">
        <v>15268</v>
      </c>
      <c r="X1697">
        <v>10</v>
      </c>
      <c r="Y1697" t="s">
        <v>21964</v>
      </c>
      <c r="Z1697" t="s">
        <v>28552</v>
      </c>
      <c r="AA1697">
        <v>0.5759286552749191</v>
      </c>
      <c r="AB1697" t="str">
        <f>HYPERLINK("Melting_Curves/meltCurve_O95881_TXNDC12.pdf", "Melting_Curves/meltCurve_O95881_TXNDC12.pdf")</f>
        <v>Melting_Curves/meltCurve_O95881_TXNDC12.pdf</v>
      </c>
    </row>
    <row r="1698" spans="1:28" x14ac:dyDescent="0.25">
      <c r="A1698" t="s">
        <v>1702</v>
      </c>
      <c r="B1698">
        <v>0.995954080203443</v>
      </c>
      <c r="C1698">
        <v>0.82019007939675104</v>
      </c>
      <c r="D1698">
        <v>0.99872416018745103</v>
      </c>
      <c r="E1698">
        <v>0.64487685687572405</v>
      </c>
      <c r="F1698">
        <v>0.76832538525296201</v>
      </c>
      <c r="G1698">
        <v>0.680612730231688</v>
      </c>
      <c r="H1698">
        <v>0.63839306078282199</v>
      </c>
      <c r="I1698">
        <v>0.92061964076578595</v>
      </c>
      <c r="J1698">
        <v>0.78246238045870797</v>
      </c>
      <c r="K1698">
        <v>1.07346840807289</v>
      </c>
      <c r="L1698">
        <v>906.13732560872495</v>
      </c>
      <c r="M1698">
        <v>21.056814831966999</v>
      </c>
      <c r="O1698">
        <v>42.650493602468998</v>
      </c>
      <c r="P1698">
        <v>-2.4794716704317599E-2</v>
      </c>
      <c r="Q1698">
        <v>0.79911894779595505</v>
      </c>
      <c r="R1698">
        <v>0.140555941989149</v>
      </c>
      <c r="S1698" t="s">
        <v>8504</v>
      </c>
      <c r="T1698" t="s">
        <v>13610</v>
      </c>
      <c r="U1698" t="s">
        <v>13610</v>
      </c>
      <c r="V1698" t="s">
        <v>13610</v>
      </c>
      <c r="W1698" t="s">
        <v>15269</v>
      </c>
      <c r="X1698">
        <v>7</v>
      </c>
      <c r="Y1698" t="s">
        <v>21965</v>
      </c>
      <c r="Z1698" t="s">
        <v>28553</v>
      </c>
      <c r="AA1698">
        <v>0.82362757528989716</v>
      </c>
      <c r="AB1698" t="str">
        <f>HYPERLINK("Melting_Curves/meltCurve_O95905_ECD.pdf", "Melting_Curves/meltCurve_O95905_ECD.pdf")</f>
        <v>Melting_Curves/meltCurve_O95905_ECD.pdf</v>
      </c>
    </row>
    <row r="1699" spans="1:28" x14ac:dyDescent="0.25">
      <c r="A1699" t="s">
        <v>1703</v>
      </c>
      <c r="B1699">
        <v>0.995954080203443</v>
      </c>
      <c r="C1699">
        <v>0.932219317446916</v>
      </c>
      <c r="D1699">
        <v>0.95470293619596702</v>
      </c>
      <c r="E1699">
        <v>0.86602608592778596</v>
      </c>
      <c r="F1699">
        <v>0.79935260639218597</v>
      </c>
      <c r="G1699">
        <v>0.52366508161770497</v>
      </c>
      <c r="H1699">
        <v>0.48041686304840098</v>
      </c>
      <c r="I1699">
        <v>0.55436565072875899</v>
      </c>
      <c r="J1699">
        <v>0.606370653252301</v>
      </c>
      <c r="K1699">
        <v>0.58963429486789698</v>
      </c>
      <c r="L1699">
        <v>1470.1477526491201</v>
      </c>
      <c r="M1699">
        <v>28.032360201495099</v>
      </c>
      <c r="O1699">
        <v>52.1799494786613</v>
      </c>
      <c r="P1699">
        <v>-6.0974307044318103E-2</v>
      </c>
      <c r="Q1699">
        <v>0.54600908661951697</v>
      </c>
      <c r="R1699">
        <v>0.92579455097049501</v>
      </c>
      <c r="S1699" t="s">
        <v>8505</v>
      </c>
      <c r="T1699" t="s">
        <v>13610</v>
      </c>
      <c r="U1699" t="s">
        <v>13610</v>
      </c>
      <c r="V1699" t="s">
        <v>13610</v>
      </c>
      <c r="W1699" t="s">
        <v>15270</v>
      </c>
      <c r="X1699">
        <v>5</v>
      </c>
      <c r="Y1699" t="s">
        <v>21966</v>
      </c>
      <c r="Z1699" t="s">
        <v>28554</v>
      </c>
      <c r="AA1699">
        <v>0.73767112352502695</v>
      </c>
      <c r="AB1699" t="str">
        <f>HYPERLINK("Melting_Curves/meltCurve_O95926_SYF2.pdf", "Melting_Curves/meltCurve_O95926_SYF2.pdf")</f>
        <v>Melting_Curves/meltCurve_O95926_SYF2.pdf</v>
      </c>
    </row>
    <row r="1700" spans="1:28" x14ac:dyDescent="0.25">
      <c r="A1700" t="s">
        <v>1704</v>
      </c>
      <c r="B1700">
        <v>0.995954080203443</v>
      </c>
      <c r="C1700">
        <v>0.87849641412221902</v>
      </c>
      <c r="D1700">
        <v>0.71839318983846301</v>
      </c>
      <c r="E1700">
        <v>0.77941977644330596</v>
      </c>
      <c r="F1700">
        <v>0.51437605789897101</v>
      </c>
      <c r="G1700">
        <v>0.351063984203343</v>
      </c>
      <c r="H1700">
        <v>0.28862694786357102</v>
      </c>
      <c r="I1700">
        <v>0.322534699367723</v>
      </c>
      <c r="J1700">
        <v>0.35645197762896502</v>
      </c>
      <c r="K1700">
        <v>0.37371138956779298</v>
      </c>
      <c r="L1700">
        <v>600.63853838059299</v>
      </c>
      <c r="M1700">
        <v>12.059861761030501</v>
      </c>
      <c r="N1700">
        <v>53.689203769695297</v>
      </c>
      <c r="O1700">
        <v>48.494631221875103</v>
      </c>
      <c r="P1700">
        <v>-4.4086309436229203E-2</v>
      </c>
      <c r="Q1700">
        <v>0.29105506760057798</v>
      </c>
      <c r="R1700">
        <v>0.92635029409777403</v>
      </c>
      <c r="S1700" t="s">
        <v>8506</v>
      </c>
      <c r="T1700" t="s">
        <v>13610</v>
      </c>
      <c r="U1700" t="s">
        <v>13610</v>
      </c>
      <c r="V1700" t="s">
        <v>13610</v>
      </c>
      <c r="W1700" t="s">
        <v>15271</v>
      </c>
      <c r="X1700">
        <v>13</v>
      </c>
      <c r="Y1700" t="s">
        <v>21967</v>
      </c>
      <c r="Z1700" t="s">
        <v>28555</v>
      </c>
      <c r="AA1700">
        <v>0.54738586818623292</v>
      </c>
      <c r="AB1700" t="str">
        <f>HYPERLINK("Melting_Curves/meltCurve_O95983_MBD3.pdf", "Melting_Curves/meltCurve_O95983_MBD3.pdf")</f>
        <v>Melting_Curves/meltCurve_O95983_MBD3.pdf</v>
      </c>
    </row>
    <row r="1701" spans="1:28" x14ac:dyDescent="0.25">
      <c r="A1701" t="s">
        <v>1705</v>
      </c>
      <c r="B1701">
        <v>0.995954080203443</v>
      </c>
      <c r="C1701">
        <v>0.86634207429026799</v>
      </c>
      <c r="D1701">
        <v>0.74045385969492294</v>
      </c>
      <c r="E1701">
        <v>0.63517175671378701</v>
      </c>
      <c r="F1701">
        <v>0.44747148303332002</v>
      </c>
      <c r="G1701">
        <v>0.23168671269357899</v>
      </c>
      <c r="H1701">
        <v>0.120114949739818</v>
      </c>
      <c r="I1701">
        <v>0.105038246971642</v>
      </c>
      <c r="J1701">
        <v>0.16129362258294999</v>
      </c>
      <c r="K1701">
        <v>0.104249947608013</v>
      </c>
      <c r="L1701">
        <v>589.30884403831396</v>
      </c>
      <c r="M1701">
        <v>11.5625332204466</v>
      </c>
      <c r="N1701">
        <v>51.428851419005298</v>
      </c>
      <c r="O1701">
        <v>49.514130230287002</v>
      </c>
      <c r="P1701">
        <v>-5.55171261376496E-2</v>
      </c>
      <c r="Q1701">
        <v>4.93028609333395E-2</v>
      </c>
      <c r="R1701">
        <v>0.98428477474976195</v>
      </c>
      <c r="S1701" t="s">
        <v>8507</v>
      </c>
      <c r="T1701" t="s">
        <v>13610</v>
      </c>
      <c r="U1701" t="s">
        <v>13610</v>
      </c>
      <c r="V1701" t="s">
        <v>13610</v>
      </c>
      <c r="W1701" t="s">
        <v>15272</v>
      </c>
      <c r="X1701">
        <v>20</v>
      </c>
      <c r="Y1701" t="s">
        <v>21968</v>
      </c>
      <c r="Z1701" t="s">
        <v>28556</v>
      </c>
      <c r="AA1701">
        <v>0.42959529816031961</v>
      </c>
      <c r="AB1701" t="str">
        <f>HYPERLINK("Melting_Curves/meltCurve_O95985_TOP3B.pdf", "Melting_Curves/meltCurve_O95985_TOP3B.pdf")</f>
        <v>Melting_Curves/meltCurve_O95985_TOP3B.pdf</v>
      </c>
    </row>
    <row r="1702" spans="1:28" x14ac:dyDescent="0.25">
      <c r="A1702" t="s">
        <v>1706</v>
      </c>
      <c r="B1702">
        <v>0.995954080203443</v>
      </c>
      <c r="C1702">
        <v>0.90535252372457997</v>
      </c>
      <c r="D1702">
        <v>0.91693755577025304</v>
      </c>
      <c r="E1702">
        <v>0.79265834628182397</v>
      </c>
      <c r="F1702">
        <v>0.76511756433438505</v>
      </c>
      <c r="G1702">
        <v>0.441906196824699</v>
      </c>
      <c r="H1702">
        <v>0.183076369725862</v>
      </c>
      <c r="I1702">
        <v>0.104917780495538</v>
      </c>
      <c r="J1702">
        <v>9.9415422880875404E-2</v>
      </c>
      <c r="K1702">
        <v>9.4289231761575207E-2</v>
      </c>
      <c r="L1702">
        <v>824.78275068601704</v>
      </c>
      <c r="M1702">
        <v>14.7777782344856</v>
      </c>
      <c r="N1702">
        <v>55.887902625806802</v>
      </c>
      <c r="O1702">
        <v>54.820213369280701</v>
      </c>
      <c r="P1702">
        <v>-6.6732885744214099E-2</v>
      </c>
      <c r="Q1702">
        <v>9.8862623876368599E-3</v>
      </c>
      <c r="R1702">
        <v>0.98277471566785801</v>
      </c>
      <c r="S1702" t="s">
        <v>8508</v>
      </c>
      <c r="T1702" t="s">
        <v>13610</v>
      </c>
      <c r="U1702" t="s">
        <v>13610</v>
      </c>
      <c r="V1702" t="s">
        <v>13610</v>
      </c>
      <c r="W1702" t="s">
        <v>15273</v>
      </c>
      <c r="X1702">
        <v>12</v>
      </c>
      <c r="Y1702" t="s">
        <v>21969</v>
      </c>
      <c r="Z1702" t="s">
        <v>28557</v>
      </c>
      <c r="AA1702">
        <v>0.54986951712082344</v>
      </c>
      <c r="AB1702" t="str">
        <f>HYPERLINK("Melting_Curves/meltCurve_O95989_NUDT3.pdf", "Melting_Curves/meltCurve_O95989_NUDT3.pdf")</f>
        <v>Melting_Curves/meltCurve_O95989_NUDT3.pdf</v>
      </c>
    </row>
    <row r="1703" spans="1:28" x14ac:dyDescent="0.25">
      <c r="A1703" t="s">
        <v>1707</v>
      </c>
      <c r="B1703">
        <v>0.995954080203443</v>
      </c>
      <c r="C1703">
        <v>0.97187937506452504</v>
      </c>
      <c r="D1703">
        <v>0.98957814385973797</v>
      </c>
      <c r="E1703">
        <v>0.67385896593148997</v>
      </c>
      <c r="F1703">
        <v>0.48561347042108499</v>
      </c>
      <c r="G1703">
        <v>0.29964325612294201</v>
      </c>
      <c r="H1703">
        <v>0.192228978779827</v>
      </c>
      <c r="I1703">
        <v>0.252678350606372</v>
      </c>
      <c r="J1703">
        <v>0.273533536729892</v>
      </c>
      <c r="K1703">
        <v>0.31592250233073799</v>
      </c>
      <c r="L1703">
        <v>1287.6508785109199</v>
      </c>
      <c r="M1703">
        <v>25.335283822029901</v>
      </c>
      <c r="N1703">
        <v>52.320243059967297</v>
      </c>
      <c r="O1703">
        <v>50.510923643570102</v>
      </c>
      <c r="P1703">
        <v>-9.3084689674303805E-2</v>
      </c>
      <c r="Q1703">
        <v>0.25767794146107997</v>
      </c>
      <c r="R1703">
        <v>0.986524413974736</v>
      </c>
      <c r="S1703" t="s">
        <v>8509</v>
      </c>
      <c r="T1703" t="s">
        <v>13610</v>
      </c>
      <c r="U1703" t="s">
        <v>13610</v>
      </c>
      <c r="V1703" t="s">
        <v>13610</v>
      </c>
      <c r="W1703" t="s">
        <v>15274</v>
      </c>
      <c r="X1703">
        <v>9</v>
      </c>
      <c r="Y1703" t="s">
        <v>21970</v>
      </c>
      <c r="Z1703" t="s">
        <v>28558</v>
      </c>
      <c r="AA1703">
        <v>0.53203721297986684</v>
      </c>
      <c r="AB1703" t="str">
        <f>HYPERLINK("Melting_Curves/meltCurve_O95999_BCL10.pdf", "Melting_Curves/meltCurve_O95999_BCL10.pdf")</f>
        <v>Melting_Curves/meltCurve_O95999_BCL10.pdf</v>
      </c>
    </row>
    <row r="1704" spans="1:28" x14ac:dyDescent="0.25">
      <c r="A1704" t="s">
        <v>1708</v>
      </c>
      <c r="B1704">
        <v>0.995954080203443</v>
      </c>
      <c r="C1704">
        <v>1.04030679597957</v>
      </c>
      <c r="D1704">
        <v>1.0769307966530399</v>
      </c>
      <c r="E1704">
        <v>0.97152771124127102</v>
      </c>
      <c r="F1704">
        <v>0.92104775967612296</v>
      </c>
      <c r="G1704">
        <v>0.735651668505097</v>
      </c>
      <c r="H1704">
        <v>0.65596825683223503</v>
      </c>
      <c r="I1704">
        <v>0.768552082100737</v>
      </c>
      <c r="J1704">
        <v>0.78184077981760003</v>
      </c>
      <c r="K1704">
        <v>0.78836707116314697</v>
      </c>
      <c r="L1704">
        <v>4672.2663896369704</v>
      </c>
      <c r="M1704">
        <v>87.368994696216006</v>
      </c>
      <c r="O1704">
        <v>53.449418989537598</v>
      </c>
      <c r="P1704">
        <v>-0.10384770588433601</v>
      </c>
      <c r="Q1704">
        <v>0.74587795649534205</v>
      </c>
      <c r="R1704">
        <v>0.89334407151172801</v>
      </c>
      <c r="S1704" t="s">
        <v>8510</v>
      </c>
      <c r="T1704" t="s">
        <v>13610</v>
      </c>
      <c r="U1704" t="s">
        <v>13610</v>
      </c>
      <c r="V1704" t="s">
        <v>13610</v>
      </c>
      <c r="W1704" t="s">
        <v>15275</v>
      </c>
      <c r="X1704">
        <v>11</v>
      </c>
      <c r="Y1704" t="s">
        <v>21971</v>
      </c>
      <c r="Z1704" t="s">
        <v>28559</v>
      </c>
      <c r="AA1704">
        <v>0.86023699832266987</v>
      </c>
      <c r="AB1704" t="str">
        <f>HYPERLINK("Melting_Curves/meltCurve_O96007_MOCS2.pdf", "Melting_Curves/meltCurve_O96007_MOCS2.pdf")</f>
        <v>Melting_Curves/meltCurve_O96007_MOCS2.pdf</v>
      </c>
    </row>
    <row r="1705" spans="1:28" x14ac:dyDescent="0.25">
      <c r="A1705" t="s">
        <v>1709</v>
      </c>
      <c r="B1705">
        <v>0.995954080203443</v>
      </c>
      <c r="C1705">
        <v>0.90548786125129399</v>
      </c>
      <c r="D1705">
        <v>0.74721406900715304</v>
      </c>
      <c r="E1705">
        <v>0.79803668357648405</v>
      </c>
      <c r="F1705">
        <v>0.41262549022848299</v>
      </c>
      <c r="G1705">
        <v>0.24872791997441601</v>
      </c>
      <c r="H1705">
        <v>0.17192519666792699</v>
      </c>
      <c r="I1705">
        <v>0.117098641122012</v>
      </c>
      <c r="J1705">
        <v>0.13876213911761301</v>
      </c>
      <c r="K1705">
        <v>9.9634750376604797E-2</v>
      </c>
      <c r="L1705">
        <v>672.86427112125102</v>
      </c>
      <c r="M1705">
        <v>12.953790998429501</v>
      </c>
      <c r="N1705">
        <v>52.441587660776499</v>
      </c>
      <c r="O1705">
        <v>50.7522551087824</v>
      </c>
      <c r="P1705">
        <v>-6.0125710827975E-2</v>
      </c>
      <c r="Q1705">
        <v>5.7891580301296701E-2</v>
      </c>
      <c r="R1705">
        <v>0.96419278143492404</v>
      </c>
      <c r="S1705" t="s">
        <v>8511</v>
      </c>
      <c r="T1705" t="s">
        <v>13610</v>
      </c>
      <c r="U1705" t="s">
        <v>13610</v>
      </c>
      <c r="V1705" t="s">
        <v>13610</v>
      </c>
      <c r="W1705" t="s">
        <v>15276</v>
      </c>
      <c r="X1705">
        <v>4</v>
      </c>
      <c r="Y1705" t="s">
        <v>21972</v>
      </c>
      <c r="Z1705" t="s">
        <v>28560</v>
      </c>
      <c r="AA1705">
        <v>0.45909035335244047</v>
      </c>
      <c r="AB1705" t="str">
        <f>HYPERLINK("Melting_Curves/meltCurve_O96008_TOMM40.pdf", "Melting_Curves/meltCurve_O96008_TOMM40.pdf")</f>
        <v>Melting_Curves/meltCurve_O96008_TOMM40.pdf</v>
      </c>
    </row>
    <row r="1706" spans="1:28" x14ac:dyDescent="0.25">
      <c r="A1706" t="s">
        <v>1710</v>
      </c>
      <c r="B1706">
        <v>0.995954080203443</v>
      </c>
      <c r="C1706">
        <v>0.86721145778419495</v>
      </c>
      <c r="D1706">
        <v>0.61520511471957695</v>
      </c>
      <c r="E1706">
        <v>0.457598935720746</v>
      </c>
      <c r="F1706">
        <v>0.32159995844647299</v>
      </c>
      <c r="G1706">
        <v>0.21531590274208501</v>
      </c>
      <c r="H1706">
        <v>0.16234855884722299</v>
      </c>
      <c r="I1706">
        <v>0.16186690481851199</v>
      </c>
      <c r="J1706">
        <v>0.178045038752639</v>
      </c>
      <c r="K1706">
        <v>0.19505639988092399</v>
      </c>
      <c r="L1706">
        <v>705.67727408573103</v>
      </c>
      <c r="M1706">
        <v>14.908902522130401</v>
      </c>
      <c r="N1706">
        <v>48.613961268220002</v>
      </c>
      <c r="O1706">
        <v>46.5055359152202</v>
      </c>
      <c r="P1706">
        <v>-6.7131342492592394E-2</v>
      </c>
      <c r="Q1706">
        <v>0.162472165086707</v>
      </c>
      <c r="R1706">
        <v>0.98970088065043504</v>
      </c>
      <c r="S1706" t="s">
        <v>8512</v>
      </c>
      <c r="T1706" t="s">
        <v>13610</v>
      </c>
      <c r="U1706" t="s">
        <v>13610</v>
      </c>
      <c r="V1706" t="s">
        <v>13610</v>
      </c>
      <c r="W1706" t="s">
        <v>15277</v>
      </c>
      <c r="X1706">
        <v>8</v>
      </c>
      <c r="Y1706" t="s">
        <v>21973</v>
      </c>
      <c r="Z1706" t="s">
        <v>28561</v>
      </c>
      <c r="AA1706">
        <v>0.38976828580830919</v>
      </c>
      <c r="AB1706" t="str">
        <f>HYPERLINK("Melting_Curves/meltCurve_O96013_PAK4.pdf", "Melting_Curves/meltCurve_O96013_PAK4.pdf")</f>
        <v>Melting_Curves/meltCurve_O96013_PAK4.pdf</v>
      </c>
    </row>
    <row r="1707" spans="1:28" x14ac:dyDescent="0.25">
      <c r="A1707" t="s">
        <v>1711</v>
      </c>
      <c r="B1707">
        <v>0.995954080203443</v>
      </c>
      <c r="C1707">
        <v>1.0065102523229199</v>
      </c>
      <c r="D1707">
        <v>0.82629957356427797</v>
      </c>
      <c r="E1707">
        <v>0.50565084312572295</v>
      </c>
      <c r="F1707">
        <v>0.231134574510828</v>
      </c>
      <c r="G1707">
        <v>0.14544018712043799</v>
      </c>
      <c r="H1707">
        <v>9.3046065306445103E-2</v>
      </c>
      <c r="I1707">
        <v>7.9857143474726902E-2</v>
      </c>
      <c r="J1707">
        <v>8.1893335074909396E-2</v>
      </c>
      <c r="K1707">
        <v>7.0285845073852604E-2</v>
      </c>
      <c r="L1707">
        <v>1075.47703978965</v>
      </c>
      <c r="M1707">
        <v>21.731818916531299</v>
      </c>
      <c r="N1707">
        <v>49.8699702097936</v>
      </c>
      <c r="O1707">
        <v>49.075236122265402</v>
      </c>
      <c r="P1707">
        <v>-0.102233402130589</v>
      </c>
      <c r="Q1707">
        <v>7.65590387758497E-2</v>
      </c>
      <c r="R1707">
        <v>0.99763224125481498</v>
      </c>
      <c r="S1707" t="s">
        <v>8513</v>
      </c>
      <c r="T1707" t="s">
        <v>13610</v>
      </c>
      <c r="U1707" t="s">
        <v>13610</v>
      </c>
      <c r="V1707" t="s">
        <v>13610</v>
      </c>
      <c r="W1707" t="s">
        <v>15278</v>
      </c>
      <c r="X1707">
        <v>13</v>
      </c>
      <c r="Y1707" t="s">
        <v>21974</v>
      </c>
      <c r="Z1707" t="s">
        <v>28562</v>
      </c>
      <c r="AA1707">
        <v>0.3795418224773614</v>
      </c>
      <c r="AB1707" t="str">
        <f>HYPERLINK("Melting_Curves/meltCurve_O96017_CHEK2.pdf", "Melting_Curves/meltCurve_O96017_CHEK2.pdf")</f>
        <v>Melting_Curves/meltCurve_O96017_CHEK2.pdf</v>
      </c>
    </row>
    <row r="1708" spans="1:28" x14ac:dyDescent="0.25">
      <c r="A1708" t="s">
        <v>1712</v>
      </c>
      <c r="B1708">
        <v>0.995954080203443</v>
      </c>
      <c r="C1708">
        <v>0.89641557082919299</v>
      </c>
      <c r="D1708">
        <v>0.61898211103408896</v>
      </c>
      <c r="E1708">
        <v>0.40046097072572201</v>
      </c>
      <c r="F1708">
        <v>0.274884917748211</v>
      </c>
      <c r="G1708">
        <v>0.19557945970113499</v>
      </c>
      <c r="H1708">
        <v>0.13146747830015701</v>
      </c>
      <c r="I1708">
        <v>0.129245877786686</v>
      </c>
      <c r="J1708">
        <v>0.17005606822345701</v>
      </c>
      <c r="K1708">
        <v>0.14363168195808099</v>
      </c>
      <c r="L1708">
        <v>798.80421652825703</v>
      </c>
      <c r="M1708">
        <v>16.9189212034455</v>
      </c>
      <c r="N1708">
        <v>48.155420279766901</v>
      </c>
      <c r="O1708">
        <v>46.568859672926202</v>
      </c>
      <c r="P1708">
        <v>-7.8038841781179799E-2</v>
      </c>
      <c r="Q1708">
        <v>0.140854923610679</v>
      </c>
      <c r="R1708">
        <v>0.99312453140970403</v>
      </c>
      <c r="S1708" t="s">
        <v>8514</v>
      </c>
      <c r="T1708" t="s">
        <v>13610</v>
      </c>
      <c r="U1708" t="s">
        <v>13610</v>
      </c>
      <c r="V1708" t="s">
        <v>13610</v>
      </c>
      <c r="W1708" t="s">
        <v>15279</v>
      </c>
      <c r="X1708">
        <v>4</v>
      </c>
      <c r="Y1708" t="s">
        <v>21975</v>
      </c>
      <c r="Z1708" t="s">
        <v>28563</v>
      </c>
      <c r="AA1708">
        <v>0.36536267024772151</v>
      </c>
      <c r="AB1708" t="str">
        <f>HYPERLINK("Melting_Curves/meltCurve_O96018_APBA3.pdf", "Melting_Curves/meltCurve_O96018_APBA3.pdf")</f>
        <v>Melting_Curves/meltCurve_O96018_APBA3.pdf</v>
      </c>
    </row>
    <row r="1709" spans="1:28" x14ac:dyDescent="0.25">
      <c r="A1709" t="s">
        <v>1713</v>
      </c>
      <c r="B1709">
        <v>0.995954080203443</v>
      </c>
      <c r="C1709">
        <v>0.82155320636407403</v>
      </c>
      <c r="D1709">
        <v>0.71106390015669496</v>
      </c>
      <c r="E1709">
        <v>0.55166029867516198</v>
      </c>
      <c r="F1709">
        <v>0.30979547726727202</v>
      </c>
      <c r="G1709">
        <v>0.130105947357711</v>
      </c>
      <c r="H1709">
        <v>7.9098059085181999E-2</v>
      </c>
      <c r="I1709">
        <v>6.6301820977682599E-2</v>
      </c>
      <c r="J1709">
        <v>7.1140718411600801E-2</v>
      </c>
      <c r="K1709">
        <v>6.59565275114148E-2</v>
      </c>
      <c r="L1709">
        <v>623.36513243870604</v>
      </c>
      <c r="M1709">
        <v>12.571072300626801</v>
      </c>
      <c r="N1709">
        <v>49.714018999710497</v>
      </c>
      <c r="O1709">
        <v>48.3826490228697</v>
      </c>
      <c r="P1709">
        <v>-6.39449172020113E-2</v>
      </c>
      <c r="Q1709">
        <v>1.5771512148083401E-2</v>
      </c>
      <c r="R1709">
        <v>0.98798468043585597</v>
      </c>
      <c r="S1709" t="s">
        <v>8515</v>
      </c>
      <c r="T1709" t="s">
        <v>13610</v>
      </c>
      <c r="U1709" t="s">
        <v>13610</v>
      </c>
      <c r="V1709" t="s">
        <v>13610</v>
      </c>
      <c r="W1709" t="s">
        <v>15280</v>
      </c>
      <c r="X1709">
        <v>18</v>
      </c>
      <c r="Y1709" t="s">
        <v>21976</v>
      </c>
      <c r="Z1709" t="s">
        <v>28564</v>
      </c>
      <c r="AA1709">
        <v>0.36266319550584719</v>
      </c>
      <c r="AB1709" t="str">
        <f>HYPERLINK("Melting_Curves/meltCurve_O96019_ACTL6A.pdf", "Melting_Curves/meltCurve_O96019_ACTL6A.pdf")</f>
        <v>Melting_Curves/meltCurve_O96019_ACTL6A.pdf</v>
      </c>
    </row>
    <row r="1710" spans="1:28" x14ac:dyDescent="0.25">
      <c r="A1710" t="s">
        <v>1714</v>
      </c>
      <c r="B1710">
        <v>0.995954080203443</v>
      </c>
      <c r="C1710">
        <v>0.92059126153481097</v>
      </c>
      <c r="D1710">
        <v>1.02872839647004</v>
      </c>
      <c r="E1710">
        <v>0.854517203523533</v>
      </c>
      <c r="F1710">
        <v>0.92604021423845295</v>
      </c>
      <c r="G1710">
        <v>0.759647016545686</v>
      </c>
      <c r="H1710">
        <v>0.71877810633212602</v>
      </c>
      <c r="I1710">
        <v>0.87107277787465598</v>
      </c>
      <c r="J1710">
        <v>1.0452681567375099</v>
      </c>
      <c r="K1710">
        <v>1.01661331054318</v>
      </c>
      <c r="L1710">
        <v>11978.815975493701</v>
      </c>
      <c r="M1710">
        <v>250</v>
      </c>
      <c r="O1710">
        <v>47.912197485478004</v>
      </c>
      <c r="P1710">
        <v>-0.15058514131288001</v>
      </c>
      <c r="Q1710">
        <v>0.88456215929261905</v>
      </c>
      <c r="R1710">
        <v>0.16361909016814299</v>
      </c>
      <c r="S1710" t="s">
        <v>8516</v>
      </c>
      <c r="T1710" t="s">
        <v>13610</v>
      </c>
      <c r="U1710" t="s">
        <v>13610</v>
      </c>
      <c r="V1710" t="s">
        <v>13610</v>
      </c>
      <c r="W1710" t="s">
        <v>15281</v>
      </c>
      <c r="X1710">
        <v>9</v>
      </c>
      <c r="Y1710" t="s">
        <v>21977</v>
      </c>
      <c r="Z1710" t="s">
        <v>28565</v>
      </c>
      <c r="AA1710">
        <v>0.91502923230569555</v>
      </c>
      <c r="AB1710" t="str">
        <f>HYPERLINK("Melting_Curves/meltCurve_O96028_WHSC1.pdf", "Melting_Curves/meltCurve_O96028_WHSC1.pdf")</f>
        <v>Melting_Curves/meltCurve_O96028_WHSC1.pdf</v>
      </c>
    </row>
    <row r="1711" spans="1:28" x14ac:dyDescent="0.25">
      <c r="A1711" t="s">
        <v>1715</v>
      </c>
      <c r="B1711">
        <v>0.995954080203443</v>
      </c>
      <c r="C1711">
        <v>0.99591850957796102</v>
      </c>
      <c r="D1711">
        <v>1.0076359398571799</v>
      </c>
      <c r="E1711">
        <v>0.866917898598632</v>
      </c>
      <c r="F1711">
        <v>0.78887578607659803</v>
      </c>
      <c r="G1711">
        <v>0.57091066921353095</v>
      </c>
      <c r="H1711">
        <v>0.42207464928642902</v>
      </c>
      <c r="I1711">
        <v>0.382749603595056</v>
      </c>
      <c r="J1711">
        <v>0.34034801024732703</v>
      </c>
      <c r="K1711">
        <v>0.22200306023783001</v>
      </c>
      <c r="L1711">
        <v>750.54284030288704</v>
      </c>
      <c r="M1711">
        <v>13.2347546298799</v>
      </c>
      <c r="N1711">
        <v>59.1387114338632</v>
      </c>
      <c r="O1711">
        <v>55.462165200175797</v>
      </c>
      <c r="P1711">
        <v>-4.7157316546332297E-2</v>
      </c>
      <c r="Q1711">
        <v>0.20965184065078801</v>
      </c>
      <c r="R1711">
        <v>0.99105471360507902</v>
      </c>
      <c r="S1711" t="s">
        <v>8517</v>
      </c>
      <c r="T1711" t="s">
        <v>13610</v>
      </c>
      <c r="U1711" t="s">
        <v>13610</v>
      </c>
      <c r="V1711" t="s">
        <v>13610</v>
      </c>
      <c r="W1711" t="s">
        <v>15282</v>
      </c>
      <c r="X1711">
        <v>6</v>
      </c>
      <c r="Y1711" t="s">
        <v>21971</v>
      </c>
      <c r="Z1711" t="s">
        <v>28566</v>
      </c>
      <c r="AA1711">
        <v>0.66371426835635305</v>
      </c>
      <c r="AB1711" t="str">
        <f>HYPERLINK("Melting_Curves/meltCurve_O96033_MOCS2.pdf", "Melting_Curves/meltCurve_O96033_MOCS2.pdf")</f>
        <v>Melting_Curves/meltCurve_O96033_MOCS2.pdf</v>
      </c>
    </row>
    <row r="1712" spans="1:28" x14ac:dyDescent="0.25">
      <c r="A1712" t="s">
        <v>1716</v>
      </c>
      <c r="B1712">
        <v>0.995954080203443</v>
      </c>
      <c r="C1712">
        <v>0.94348030940366001</v>
      </c>
      <c r="D1712">
        <v>0.99639789927582201</v>
      </c>
      <c r="E1712">
        <v>0.90202806756613896</v>
      </c>
      <c r="F1712">
        <v>0.82707926114249397</v>
      </c>
      <c r="G1712">
        <v>0.707958997791867</v>
      </c>
      <c r="H1712">
        <v>0.419204069179893</v>
      </c>
      <c r="I1712">
        <v>0.247034356513677</v>
      </c>
      <c r="J1712">
        <v>0.13899001565775701</v>
      </c>
      <c r="K1712">
        <v>0.10246474442467</v>
      </c>
      <c r="L1712">
        <v>881.02745669270303</v>
      </c>
      <c r="M1712">
        <v>14.794675363843099</v>
      </c>
      <c r="N1712">
        <v>59.550307037908397</v>
      </c>
      <c r="O1712">
        <v>58.494068230025498</v>
      </c>
      <c r="P1712">
        <v>-6.3238259853111795E-2</v>
      </c>
      <c r="Q1712">
        <v>0</v>
      </c>
      <c r="R1712">
        <v>0.99242471022836298</v>
      </c>
      <c r="S1712" t="s">
        <v>8518</v>
      </c>
      <c r="T1712" t="s">
        <v>13610</v>
      </c>
      <c r="U1712" t="s">
        <v>13610</v>
      </c>
      <c r="V1712" t="s">
        <v>13610</v>
      </c>
      <c r="W1712" t="s">
        <v>15283</v>
      </c>
      <c r="X1712">
        <v>25</v>
      </c>
      <c r="Y1712" t="s">
        <v>20901</v>
      </c>
      <c r="Z1712" t="s">
        <v>28567</v>
      </c>
      <c r="AA1712">
        <v>0.66013039475763746</v>
      </c>
      <c r="AB1712" t="str">
        <f>HYPERLINK("Melting_Curves/meltCurve_P00338_LDHA.pdf", "Melting_Curves/meltCurve_P00338_LDHA.pdf")</f>
        <v>Melting_Curves/meltCurve_P00338_LDHA.pdf</v>
      </c>
    </row>
    <row r="1713" spans="1:28" x14ac:dyDescent="0.25">
      <c r="A1713" t="s">
        <v>1717</v>
      </c>
      <c r="B1713">
        <v>0.995954080203443</v>
      </c>
      <c r="C1713">
        <v>0.913418666497405</v>
      </c>
      <c r="D1713">
        <v>0.80151551938643995</v>
      </c>
      <c r="E1713">
        <v>0.86400562710769002</v>
      </c>
      <c r="F1713">
        <v>0.63618509201042805</v>
      </c>
      <c r="G1713">
        <v>0.47365517577065203</v>
      </c>
      <c r="H1713">
        <v>0.31847012050464801</v>
      </c>
      <c r="I1713">
        <v>0.31411301712727602</v>
      </c>
      <c r="J1713">
        <v>0.21082031977601101</v>
      </c>
      <c r="K1713">
        <v>0.12604252229197099</v>
      </c>
      <c r="L1713">
        <v>499.99031202825898</v>
      </c>
      <c r="M1713">
        <v>8.8174532664272807</v>
      </c>
      <c r="N1713">
        <v>56.704592524231302</v>
      </c>
      <c r="O1713">
        <v>54.015043633882598</v>
      </c>
      <c r="P1713">
        <v>-4.0842199721244303E-2</v>
      </c>
      <c r="Q1713">
        <v>0</v>
      </c>
      <c r="R1713">
        <v>0.97485525514973803</v>
      </c>
      <c r="S1713" t="s">
        <v>8519</v>
      </c>
      <c r="T1713" t="s">
        <v>13610</v>
      </c>
      <c r="U1713" t="s">
        <v>13610</v>
      </c>
      <c r="V1713" t="s">
        <v>13610</v>
      </c>
      <c r="W1713" t="s">
        <v>15284</v>
      </c>
      <c r="X1713">
        <v>24</v>
      </c>
      <c r="Y1713" t="s">
        <v>21978</v>
      </c>
      <c r="Z1713" t="s">
        <v>28568</v>
      </c>
      <c r="AA1713">
        <v>0.57284397747071825</v>
      </c>
      <c r="AB1713" t="str">
        <f>HYPERLINK("Melting_Curves/meltCurve_P00352_ALDH1A1.pdf", "Melting_Curves/meltCurve_P00352_ALDH1A1.pdf")</f>
        <v>Melting_Curves/meltCurve_P00352_ALDH1A1.pdf</v>
      </c>
    </row>
    <row r="1714" spans="1:28" x14ac:dyDescent="0.25">
      <c r="A1714" t="s">
        <v>1718</v>
      </c>
      <c r="B1714">
        <v>0.995954080203443</v>
      </c>
      <c r="C1714">
        <v>0.80294262190837595</v>
      </c>
      <c r="D1714">
        <v>0.62168620880752301</v>
      </c>
      <c r="E1714">
        <v>0.82207522322962101</v>
      </c>
      <c r="F1714">
        <v>0.46991013504499002</v>
      </c>
      <c r="G1714">
        <v>0.18609516982155699</v>
      </c>
      <c r="H1714">
        <v>7.0542006512974001E-2</v>
      </c>
      <c r="I1714">
        <v>6.1607355335567403E-2</v>
      </c>
      <c r="J1714">
        <v>6.9569042154065702E-2</v>
      </c>
      <c r="K1714">
        <v>6.2384260890191001E-2</v>
      </c>
      <c r="L1714">
        <v>586.30100603746598</v>
      </c>
      <c r="M1714">
        <v>11.3374198944753</v>
      </c>
      <c r="N1714">
        <v>51.713789407064802</v>
      </c>
      <c r="O1714">
        <v>50.1832800115438</v>
      </c>
      <c r="P1714">
        <v>-5.6497036643471402E-2</v>
      </c>
      <c r="Q1714">
        <v>0</v>
      </c>
      <c r="R1714">
        <v>0.90966057793060895</v>
      </c>
      <c r="S1714" t="s">
        <v>8520</v>
      </c>
      <c r="T1714" t="s">
        <v>13610</v>
      </c>
      <c r="U1714" t="s">
        <v>13610</v>
      </c>
      <c r="V1714" t="s">
        <v>13610</v>
      </c>
      <c r="W1714" t="s">
        <v>15285</v>
      </c>
      <c r="X1714">
        <v>26</v>
      </c>
      <c r="Y1714" t="s">
        <v>21979</v>
      </c>
      <c r="Z1714" t="s">
        <v>28569</v>
      </c>
      <c r="AA1714">
        <v>0.42402975650672398</v>
      </c>
      <c r="AB1714" t="str">
        <f>HYPERLINK("Melting_Curves/meltCurve_P00367_GLUD1.pdf", "Melting_Curves/meltCurve_P00367_GLUD1.pdf")</f>
        <v>Melting_Curves/meltCurve_P00367_GLUD1.pdf</v>
      </c>
    </row>
    <row r="1715" spans="1:28" x14ac:dyDescent="0.25">
      <c r="A1715" t="s">
        <v>1719</v>
      </c>
      <c r="B1715">
        <v>0.995954080203443</v>
      </c>
      <c r="C1715">
        <v>0.61065129409184704</v>
      </c>
      <c r="D1715">
        <v>0.230331125381107</v>
      </c>
      <c r="E1715">
        <v>0.19710820657919201</v>
      </c>
      <c r="F1715">
        <v>0.11317391375597501</v>
      </c>
      <c r="G1715">
        <v>6.8724208306718701E-2</v>
      </c>
      <c r="H1715">
        <v>5.2838129620178698E-2</v>
      </c>
      <c r="I1715">
        <v>5.0105050980911697E-2</v>
      </c>
      <c r="J1715">
        <v>5.8765823687226902E-2</v>
      </c>
      <c r="K1715">
        <v>4.4371860058972201E-2</v>
      </c>
      <c r="L1715">
        <v>1283.3350398212499</v>
      </c>
      <c r="M1715">
        <v>29.495972316041701</v>
      </c>
      <c r="N1715">
        <v>43.762227295955199</v>
      </c>
      <c r="O1715">
        <v>43.310313178425602</v>
      </c>
      <c r="P1715">
        <v>-0.15689473718313601</v>
      </c>
      <c r="Q1715">
        <v>7.8503132282099097E-2</v>
      </c>
      <c r="R1715">
        <v>0.97988196968752395</v>
      </c>
      <c r="S1715" t="s">
        <v>8521</v>
      </c>
      <c r="T1715" t="s">
        <v>13610</v>
      </c>
      <c r="U1715" t="s">
        <v>13610</v>
      </c>
      <c r="V1715" t="s">
        <v>13610</v>
      </c>
      <c r="W1715" t="s">
        <v>15286</v>
      </c>
      <c r="X1715">
        <v>10</v>
      </c>
      <c r="Y1715" t="s">
        <v>21980</v>
      </c>
      <c r="Z1715" t="s">
        <v>28570</v>
      </c>
      <c r="AA1715">
        <v>0.19403298848652509</v>
      </c>
      <c r="AB1715" t="str">
        <f>HYPERLINK("Melting_Curves/meltCurve_P00374_DHFR.pdf", "Melting_Curves/meltCurve_P00374_DHFR.pdf")</f>
        <v>Melting_Curves/meltCurve_P00374_DHFR.pdf</v>
      </c>
    </row>
    <row r="1716" spans="1:28" x14ac:dyDescent="0.25">
      <c r="A1716" t="s">
        <v>1720</v>
      </c>
      <c r="B1716">
        <v>0.995954080203443</v>
      </c>
      <c r="C1716">
        <v>0.98708323347653204</v>
      </c>
      <c r="D1716">
        <v>0.88337717187128195</v>
      </c>
      <c r="E1716">
        <v>0.81107710337640104</v>
      </c>
      <c r="F1716">
        <v>0.45671034656242698</v>
      </c>
      <c r="G1716">
        <v>0.19873607557780901</v>
      </c>
      <c r="H1716">
        <v>0.132146779208242</v>
      </c>
      <c r="I1716">
        <v>0.129674185550163</v>
      </c>
      <c r="J1716">
        <v>0.119239899345918</v>
      </c>
      <c r="K1716">
        <v>0.11706730077666599</v>
      </c>
      <c r="L1716">
        <v>1318.3304383367599</v>
      </c>
      <c r="M1716">
        <v>25.2770517766598</v>
      </c>
      <c r="N1716">
        <v>52.693114197914497</v>
      </c>
      <c r="O1716">
        <v>51.8320796488455</v>
      </c>
      <c r="P1716">
        <v>-0.10805583972777601</v>
      </c>
      <c r="Q1716">
        <v>0.11371201774062201</v>
      </c>
      <c r="R1716">
        <v>0.99333229274430002</v>
      </c>
      <c r="S1716" t="s">
        <v>8522</v>
      </c>
      <c r="T1716" t="s">
        <v>13610</v>
      </c>
      <c r="U1716" t="s">
        <v>13610</v>
      </c>
      <c r="V1716" t="s">
        <v>13610</v>
      </c>
      <c r="W1716" t="s">
        <v>15287</v>
      </c>
      <c r="X1716">
        <v>5</v>
      </c>
      <c r="Y1716" t="s">
        <v>21981</v>
      </c>
      <c r="Z1716" t="s">
        <v>28571</v>
      </c>
      <c r="AA1716">
        <v>0.48074645342664418</v>
      </c>
      <c r="AB1716" t="str">
        <f>HYPERLINK("Melting_Curves/meltCurve_P00387_2_CYB5R3.pdf", "Melting_Curves/meltCurve_P00387_2_CYB5R3.pdf")</f>
        <v>Melting_Curves/meltCurve_P00387_2_CYB5R3.pdf</v>
      </c>
    </row>
    <row r="1717" spans="1:28" x14ac:dyDescent="0.25">
      <c r="A1717" t="s">
        <v>1721</v>
      </c>
      <c r="B1717">
        <v>0.995954080203443</v>
      </c>
      <c r="C1717">
        <v>1.0118189715227399</v>
      </c>
      <c r="D1717">
        <v>0.98041968963541903</v>
      </c>
      <c r="E1717">
        <v>0.91953352437198599</v>
      </c>
      <c r="F1717">
        <v>0.77966077169056103</v>
      </c>
      <c r="G1717">
        <v>0.62070650624264501</v>
      </c>
      <c r="H1717">
        <v>0.49876856470866798</v>
      </c>
      <c r="I1717">
        <v>0.57499678759005202</v>
      </c>
      <c r="J1717">
        <v>0.64492940907354102</v>
      </c>
      <c r="K1717">
        <v>0.55076700470487405</v>
      </c>
      <c r="L1717">
        <v>1537.43304064834</v>
      </c>
      <c r="M1717">
        <v>29.118127210889298</v>
      </c>
      <c r="O1717">
        <v>52.552707747587696</v>
      </c>
      <c r="P1717">
        <v>-5.99673472083928E-2</v>
      </c>
      <c r="Q1717">
        <v>0.56708435274032398</v>
      </c>
      <c r="R1717">
        <v>0.96587938776889504</v>
      </c>
      <c r="S1717" t="s">
        <v>8523</v>
      </c>
      <c r="T1717" t="s">
        <v>13610</v>
      </c>
      <c r="U1717" t="s">
        <v>13610</v>
      </c>
      <c r="V1717" t="s">
        <v>13610</v>
      </c>
      <c r="W1717" t="s">
        <v>15288</v>
      </c>
      <c r="X1717">
        <v>20</v>
      </c>
      <c r="Y1717" t="s">
        <v>21982</v>
      </c>
      <c r="Z1717" t="s">
        <v>28572</v>
      </c>
      <c r="AA1717">
        <v>0.75476106641918017</v>
      </c>
      <c r="AB1717" t="str">
        <f>HYPERLINK("Melting_Curves/meltCurve_P00390_2_GSR.pdf", "Melting_Curves/meltCurve_P00390_2_GSR.pdf")</f>
        <v>Melting_Curves/meltCurve_P00390_2_GSR.pdf</v>
      </c>
    </row>
    <row r="1718" spans="1:28" x14ac:dyDescent="0.25">
      <c r="A1718" t="s">
        <v>1722</v>
      </c>
      <c r="B1718">
        <v>0.995954080203443</v>
      </c>
      <c r="C1718">
        <v>0.88644001120471505</v>
      </c>
      <c r="D1718">
        <v>0.69492000146312805</v>
      </c>
      <c r="E1718">
        <v>0.75372082236972904</v>
      </c>
      <c r="F1718">
        <v>0.54193416828320895</v>
      </c>
      <c r="G1718">
        <v>0.38605655685691598</v>
      </c>
      <c r="H1718">
        <v>0.29694995026871901</v>
      </c>
      <c r="I1718">
        <v>0.31283567920516397</v>
      </c>
      <c r="J1718">
        <v>0.28144787663883702</v>
      </c>
      <c r="K1718">
        <v>0.44473880688128697</v>
      </c>
      <c r="L1718">
        <v>563.38493276388897</v>
      </c>
      <c r="M1718">
        <v>11.329121350599699</v>
      </c>
      <c r="N1718">
        <v>53.866703698211097</v>
      </c>
      <c r="O1718">
        <v>48.255087181670099</v>
      </c>
      <c r="P1718">
        <v>-4.16513852646654E-2</v>
      </c>
      <c r="Q1718">
        <v>0.290576551885592</v>
      </c>
      <c r="R1718">
        <v>0.91250143981797405</v>
      </c>
      <c r="S1718" t="s">
        <v>8524</v>
      </c>
      <c r="T1718" t="s">
        <v>13610</v>
      </c>
      <c r="U1718" t="s">
        <v>13610</v>
      </c>
      <c r="V1718" t="s">
        <v>13610</v>
      </c>
      <c r="W1718" t="s">
        <v>15289</v>
      </c>
      <c r="X1718">
        <v>2</v>
      </c>
      <c r="Y1718" t="s">
        <v>21983</v>
      </c>
      <c r="Z1718" t="s">
        <v>28573</v>
      </c>
      <c r="AA1718">
        <v>0.54794193399012214</v>
      </c>
      <c r="AB1718" t="str">
        <f>HYPERLINK("Melting_Curves/meltCurve_P00403_MT_CO2.pdf", "Melting_Curves/meltCurve_P00403_MT_CO2.pdf")</f>
        <v>Melting_Curves/meltCurve_P00403_MT_CO2.pdf</v>
      </c>
    </row>
    <row r="1719" spans="1:28" x14ac:dyDescent="0.25">
      <c r="A1719" t="s">
        <v>1723</v>
      </c>
      <c r="B1719">
        <v>0.995954080203443</v>
      </c>
      <c r="C1719">
        <v>1.0674014179931799</v>
      </c>
      <c r="D1719">
        <v>1.07066206749975</v>
      </c>
      <c r="E1719">
        <v>0.90051626007383001</v>
      </c>
      <c r="F1719">
        <v>0.89349127013589202</v>
      </c>
      <c r="G1719">
        <v>0.70495765643124297</v>
      </c>
      <c r="H1719">
        <v>0.65727989262154196</v>
      </c>
      <c r="I1719">
        <v>0.66514026226110901</v>
      </c>
      <c r="J1719">
        <v>0.80706698549526801</v>
      </c>
      <c r="K1719">
        <v>0.52199386726605901</v>
      </c>
      <c r="L1719">
        <v>1317.4918407072701</v>
      </c>
      <c r="M1719">
        <v>24.4667773115833</v>
      </c>
      <c r="O1719">
        <v>53.492350214383798</v>
      </c>
      <c r="P1719">
        <v>-3.96293469787223E-2</v>
      </c>
      <c r="Q1719">
        <v>0.65343446599292399</v>
      </c>
      <c r="R1719">
        <v>0.826319371560995</v>
      </c>
      <c r="S1719" t="s">
        <v>8525</v>
      </c>
      <c r="T1719" t="s">
        <v>13610</v>
      </c>
      <c r="U1719" t="s">
        <v>13610</v>
      </c>
      <c r="V1719" t="s">
        <v>13610</v>
      </c>
      <c r="W1719" t="s">
        <v>15290</v>
      </c>
      <c r="X1719">
        <v>18</v>
      </c>
      <c r="Y1719" t="s">
        <v>21984</v>
      </c>
      <c r="Z1719" t="s">
        <v>28574</v>
      </c>
      <c r="AA1719">
        <v>0.81674534605043136</v>
      </c>
      <c r="AB1719" t="str">
        <f>HYPERLINK("Melting_Curves/meltCurve_P00441_SOD1.pdf", "Melting_Curves/meltCurve_P00441_SOD1.pdf")</f>
        <v>Melting_Curves/meltCurve_P00441_SOD1.pdf</v>
      </c>
    </row>
    <row r="1720" spans="1:28" x14ac:dyDescent="0.25">
      <c r="A1720" t="s">
        <v>1724</v>
      </c>
      <c r="B1720">
        <v>0.995954080203443</v>
      </c>
      <c r="C1720">
        <v>1.03804180960382</v>
      </c>
      <c r="D1720">
        <v>1.03477429075387</v>
      </c>
      <c r="E1720">
        <v>0.93044556456674699</v>
      </c>
      <c r="F1720">
        <v>0.81561868364882595</v>
      </c>
      <c r="G1720">
        <v>0.68334257937866305</v>
      </c>
      <c r="H1720">
        <v>0.54619652997798596</v>
      </c>
      <c r="I1720">
        <v>0.61386139892171099</v>
      </c>
      <c r="J1720">
        <v>0.60042006264862802</v>
      </c>
      <c r="K1720">
        <v>0.349234983969403</v>
      </c>
      <c r="L1720">
        <v>745.420727354983</v>
      </c>
      <c r="M1720">
        <v>13.1400938097068</v>
      </c>
      <c r="N1720">
        <v>66.5831303547982</v>
      </c>
      <c r="O1720">
        <v>55.463096448332301</v>
      </c>
      <c r="P1720">
        <v>-3.38557696382141E-2</v>
      </c>
      <c r="Q1720">
        <v>0.42848880097438102</v>
      </c>
      <c r="R1720">
        <v>0.91823274310036396</v>
      </c>
      <c r="S1720" t="s">
        <v>8526</v>
      </c>
      <c r="T1720" t="s">
        <v>13610</v>
      </c>
      <c r="U1720" t="s">
        <v>13610</v>
      </c>
      <c r="V1720" t="s">
        <v>13610</v>
      </c>
      <c r="W1720" t="s">
        <v>15291</v>
      </c>
      <c r="X1720">
        <v>15</v>
      </c>
      <c r="Y1720" t="s">
        <v>21985</v>
      </c>
      <c r="Z1720" t="s">
        <v>28575</v>
      </c>
      <c r="AA1720">
        <v>0.75717809131373026</v>
      </c>
      <c r="AB1720" t="str">
        <f>HYPERLINK("Melting_Curves/meltCurve_P00491_PNP.pdf", "Melting_Curves/meltCurve_P00491_PNP.pdf")</f>
        <v>Melting_Curves/meltCurve_P00491_PNP.pdf</v>
      </c>
    </row>
    <row r="1721" spans="1:28" x14ac:dyDescent="0.25">
      <c r="A1721" t="s">
        <v>1725</v>
      </c>
      <c r="B1721">
        <v>0.995954080203443</v>
      </c>
      <c r="C1721">
        <v>1.0413256039735299</v>
      </c>
      <c r="D1721">
        <v>1.02845955725913</v>
      </c>
      <c r="E1721">
        <v>0.94728666190996602</v>
      </c>
      <c r="F1721">
        <v>0.83551705747690796</v>
      </c>
      <c r="G1721">
        <v>0.65046860586942801</v>
      </c>
      <c r="H1721">
        <v>0.55001352205018905</v>
      </c>
      <c r="I1721">
        <v>0.61855725099402803</v>
      </c>
      <c r="J1721">
        <v>0.82433258170929002</v>
      </c>
      <c r="K1721">
        <v>0.72875218089607796</v>
      </c>
      <c r="L1721">
        <v>2413.2961022719801</v>
      </c>
      <c r="M1721">
        <v>45.7103308314137</v>
      </c>
      <c r="O1721">
        <v>52.6946699361716</v>
      </c>
      <c r="P1721">
        <v>-7.0829825503591598E-2</v>
      </c>
      <c r="Q1721">
        <v>0.67339114276850498</v>
      </c>
      <c r="R1721">
        <v>0.83132259550393905</v>
      </c>
      <c r="S1721" t="s">
        <v>8527</v>
      </c>
      <c r="T1721" t="s">
        <v>13610</v>
      </c>
      <c r="U1721" t="s">
        <v>13610</v>
      </c>
      <c r="V1721" t="s">
        <v>13610</v>
      </c>
      <c r="W1721" t="s">
        <v>15292</v>
      </c>
      <c r="X1721">
        <v>13</v>
      </c>
      <c r="Y1721" t="s">
        <v>21986</v>
      </c>
      <c r="Z1721" t="s">
        <v>28576</v>
      </c>
      <c r="AA1721">
        <v>0.81360516791102167</v>
      </c>
      <c r="AB1721" t="str">
        <f>HYPERLINK("Melting_Curves/meltCurve_P00492_HPRT1.pdf", "Melting_Curves/meltCurve_P00492_HPRT1.pdf")</f>
        <v>Melting_Curves/meltCurve_P00492_HPRT1.pdf</v>
      </c>
    </row>
    <row r="1722" spans="1:28" x14ac:dyDescent="0.25">
      <c r="A1722" t="s">
        <v>1726</v>
      </c>
      <c r="B1722">
        <v>0.995954080203443</v>
      </c>
      <c r="C1722">
        <v>1.01734290472443</v>
      </c>
      <c r="D1722">
        <v>1.0035320300474</v>
      </c>
      <c r="E1722">
        <v>0.92594341832315297</v>
      </c>
      <c r="F1722">
        <v>0.83914164474737296</v>
      </c>
      <c r="G1722">
        <v>0.66768920209847504</v>
      </c>
      <c r="H1722">
        <v>0.55403741674532403</v>
      </c>
      <c r="I1722">
        <v>0.61718613335772998</v>
      </c>
      <c r="J1722">
        <v>0.64184577661209796</v>
      </c>
      <c r="K1722">
        <v>0.220256527931809</v>
      </c>
      <c r="L1722">
        <v>479.47176264583402</v>
      </c>
      <c r="M1722">
        <v>7.3379683586242503</v>
      </c>
      <c r="N1722">
        <v>65.341213943388198</v>
      </c>
      <c r="O1722">
        <v>61.013789422666797</v>
      </c>
      <c r="P1722">
        <v>-3.0113703261072398E-2</v>
      </c>
      <c r="Q1722">
        <v>0</v>
      </c>
      <c r="R1722">
        <v>0.86017901647089401</v>
      </c>
      <c r="S1722" t="s">
        <v>8528</v>
      </c>
      <c r="T1722" t="s">
        <v>13610</v>
      </c>
      <c r="U1722" t="s">
        <v>13610</v>
      </c>
      <c r="V1722" t="s">
        <v>13610</v>
      </c>
      <c r="W1722" t="s">
        <v>15293</v>
      </c>
      <c r="X1722">
        <v>28</v>
      </c>
      <c r="Y1722" t="s">
        <v>21987</v>
      </c>
      <c r="Z1722" t="s">
        <v>28577</v>
      </c>
      <c r="AA1722">
        <v>0.75499165626159981</v>
      </c>
      <c r="AB1722" t="str">
        <f>HYPERLINK("Melting_Curves/meltCurve_P00505_GOT2.pdf", "Melting_Curves/meltCurve_P00505_GOT2.pdf")</f>
        <v>Melting_Curves/meltCurve_P00505_GOT2.pdf</v>
      </c>
    </row>
    <row r="1723" spans="1:28" x14ac:dyDescent="0.25">
      <c r="A1723" t="s">
        <v>1727</v>
      </c>
      <c r="B1723">
        <v>0.995954080203443</v>
      </c>
      <c r="C1723">
        <v>0.92103856103037796</v>
      </c>
      <c r="D1723">
        <v>0.71967542262580697</v>
      </c>
      <c r="E1723">
        <v>0.54988853561483197</v>
      </c>
      <c r="F1723">
        <v>0.43049886751091898</v>
      </c>
      <c r="G1723">
        <v>0.29162594568038103</v>
      </c>
      <c r="H1723">
        <v>0.26662005771133601</v>
      </c>
      <c r="I1723">
        <v>0.31115066829203802</v>
      </c>
      <c r="J1723">
        <v>0.40982889402684203</v>
      </c>
      <c r="K1723">
        <v>0.35919704883959702</v>
      </c>
      <c r="L1723">
        <v>857.99577967414405</v>
      </c>
      <c r="M1723">
        <v>18.104177475585502</v>
      </c>
      <c r="N1723">
        <v>50.297795305428302</v>
      </c>
      <c r="O1723">
        <v>46.825254166965401</v>
      </c>
      <c r="P1723">
        <v>-6.5314627544423701E-2</v>
      </c>
      <c r="Q1723">
        <v>0.32430462779431102</v>
      </c>
      <c r="R1723">
        <v>0.96807416878085195</v>
      </c>
      <c r="S1723" t="s">
        <v>8529</v>
      </c>
      <c r="T1723" t="s">
        <v>13610</v>
      </c>
      <c r="U1723" t="s">
        <v>13610</v>
      </c>
      <c r="V1723" t="s">
        <v>13610</v>
      </c>
      <c r="W1723" t="s">
        <v>15294</v>
      </c>
      <c r="X1723">
        <v>36</v>
      </c>
      <c r="Y1723" t="s">
        <v>21988</v>
      </c>
      <c r="Z1723" t="s">
        <v>28578</v>
      </c>
      <c r="AA1723">
        <v>0.50289735844873851</v>
      </c>
      <c r="AB1723" t="str">
        <f>HYPERLINK("Melting_Curves/meltCurve_P00519_ABL1.pdf", "Melting_Curves/meltCurve_P00519_ABL1.pdf")</f>
        <v>Melting_Curves/meltCurve_P00519_ABL1.pdf</v>
      </c>
    </row>
    <row r="1724" spans="1:28" x14ac:dyDescent="0.25">
      <c r="A1724" t="s">
        <v>1728</v>
      </c>
      <c r="B1724">
        <v>0.995954080203443</v>
      </c>
      <c r="C1724">
        <v>0.90923571150909499</v>
      </c>
      <c r="D1724">
        <v>1.0859862945810099</v>
      </c>
      <c r="E1724">
        <v>0.86722301750570496</v>
      </c>
      <c r="F1724">
        <v>0.29789649772725901</v>
      </c>
      <c r="G1724">
        <v>0.10512404776414699</v>
      </c>
      <c r="H1724">
        <v>6.9065955855386899E-2</v>
      </c>
      <c r="I1724">
        <v>6.2904709053732494E-2</v>
      </c>
      <c r="J1724">
        <v>7.1658138006102504E-2</v>
      </c>
      <c r="K1724">
        <v>6.3184192011946194E-2</v>
      </c>
      <c r="L1724">
        <v>2583.0364036577798</v>
      </c>
      <c r="M1724">
        <v>49.8620181919662</v>
      </c>
      <c r="N1724">
        <v>51.965854027259603</v>
      </c>
      <c r="O1724">
        <v>51.720564138492797</v>
      </c>
      <c r="P1724">
        <v>-0.22365142717571099</v>
      </c>
      <c r="Q1724">
        <v>7.2049737404674297E-2</v>
      </c>
      <c r="R1724">
        <v>0.99082990818601602</v>
      </c>
      <c r="S1724" t="s">
        <v>8530</v>
      </c>
      <c r="T1724" t="s">
        <v>13610</v>
      </c>
      <c r="U1724" t="s">
        <v>13610</v>
      </c>
      <c r="V1724" t="s">
        <v>13610</v>
      </c>
      <c r="W1724" t="s">
        <v>15295</v>
      </c>
      <c r="X1724">
        <v>40</v>
      </c>
      <c r="Y1724" t="s">
        <v>21989</v>
      </c>
      <c r="Z1724" t="s">
        <v>28579</v>
      </c>
      <c r="AA1724">
        <v>0.43928968918380212</v>
      </c>
      <c r="AB1724" t="str">
        <f>HYPERLINK("Melting_Curves/meltCurve_P00558_PGK1.pdf", "Melting_Curves/meltCurve_P00558_PGK1.pdf")</f>
        <v>Melting_Curves/meltCurve_P00558_PGK1.pdf</v>
      </c>
    </row>
    <row r="1725" spans="1:28" x14ac:dyDescent="0.25">
      <c r="A1725" t="s">
        <v>1729</v>
      </c>
      <c r="B1725">
        <v>0.995954080203443</v>
      </c>
      <c r="C1725">
        <v>0.94644226666216502</v>
      </c>
      <c r="D1725">
        <v>1.04718872047897</v>
      </c>
      <c r="E1725">
        <v>0.64040030521030999</v>
      </c>
      <c r="F1725">
        <v>0.26216465503231901</v>
      </c>
      <c r="G1725">
        <v>0.13204804926432701</v>
      </c>
      <c r="H1725">
        <v>8.4740246015403795E-2</v>
      </c>
      <c r="I1725">
        <v>7.9140730469883805E-2</v>
      </c>
      <c r="J1725">
        <v>9.2542031058041194E-2</v>
      </c>
      <c r="K1725">
        <v>8.9110070962579002E-2</v>
      </c>
      <c r="L1725">
        <v>1810.8279613785601</v>
      </c>
      <c r="M1725">
        <v>35.722261128147899</v>
      </c>
      <c r="N1725">
        <v>50.983798174097402</v>
      </c>
      <c r="O1725">
        <v>50.533789248038602</v>
      </c>
      <c r="P1725">
        <v>-0.16037957023349</v>
      </c>
      <c r="Q1725">
        <v>9.2491817774189494E-2</v>
      </c>
      <c r="R1725">
        <v>0.99445804099983304</v>
      </c>
      <c r="S1725" t="s">
        <v>8531</v>
      </c>
      <c r="T1725" t="s">
        <v>13610</v>
      </c>
      <c r="U1725" t="s">
        <v>13610</v>
      </c>
      <c r="V1725" t="s">
        <v>13610</v>
      </c>
      <c r="W1725" t="s">
        <v>15296</v>
      </c>
      <c r="X1725">
        <v>20</v>
      </c>
      <c r="Y1725" t="s">
        <v>21990</v>
      </c>
      <c r="Z1725" t="s">
        <v>28580</v>
      </c>
      <c r="AA1725">
        <v>0.41991801060513811</v>
      </c>
      <c r="AB1725" t="str">
        <f>HYPERLINK("Melting_Curves/meltCurve_P00568_AK1.pdf", "Melting_Curves/meltCurve_P00568_AK1.pdf")</f>
        <v>Melting_Curves/meltCurve_P00568_AK1.pdf</v>
      </c>
    </row>
    <row r="1726" spans="1:28" x14ac:dyDescent="0.25">
      <c r="A1726" t="s">
        <v>1730</v>
      </c>
      <c r="B1726">
        <v>0.995954080203443</v>
      </c>
      <c r="C1726">
        <v>0.87928859579337404</v>
      </c>
      <c r="D1726">
        <v>0.80816203394127595</v>
      </c>
      <c r="E1726">
        <v>0.68787834926314595</v>
      </c>
      <c r="F1726">
        <v>0.49888493864900801</v>
      </c>
      <c r="G1726">
        <v>0.44016320401464099</v>
      </c>
      <c r="H1726">
        <v>0.39532044478448802</v>
      </c>
      <c r="I1726">
        <v>0.46637532482759497</v>
      </c>
      <c r="J1726">
        <v>0.50952102105018204</v>
      </c>
      <c r="K1726">
        <v>0.46252957701833403</v>
      </c>
      <c r="L1726">
        <v>775.47652625204603</v>
      </c>
      <c r="M1726">
        <v>16.2093274902712</v>
      </c>
      <c r="N1726">
        <v>55.1511390855066</v>
      </c>
      <c r="O1726">
        <v>47.130977153883201</v>
      </c>
      <c r="P1726">
        <v>-4.8009365816286197E-2</v>
      </c>
      <c r="Q1726">
        <v>0.44166456802530601</v>
      </c>
      <c r="R1726">
        <v>0.95664428939202995</v>
      </c>
      <c r="S1726" t="s">
        <v>8532</v>
      </c>
      <c r="T1726" t="s">
        <v>13610</v>
      </c>
      <c r="U1726" t="s">
        <v>13610</v>
      </c>
      <c r="V1726" t="s">
        <v>13610</v>
      </c>
      <c r="X1726">
        <v>51</v>
      </c>
      <c r="Z1726" t="s">
        <v>28581</v>
      </c>
      <c r="AA1726">
        <v>0.5999792949033782</v>
      </c>
      <c r="AB1726" t="str">
        <f>HYPERLINK("Melting_Curves/meltCurve_P00747_.pdf", "Melting_Curves/meltCurve_P00747_.pdf")</f>
        <v>Melting_Curves/meltCurve_P00747_.pdf</v>
      </c>
    </row>
    <row r="1727" spans="1:28" x14ac:dyDescent="0.25">
      <c r="A1727" t="s">
        <v>1731</v>
      </c>
      <c r="B1727">
        <v>0.995954080203443</v>
      </c>
      <c r="C1727">
        <v>1.0360615019071999</v>
      </c>
      <c r="D1727">
        <v>1.06641100008473</v>
      </c>
      <c r="E1727">
        <v>0.93816055275756205</v>
      </c>
      <c r="F1727">
        <v>0.94685771696977195</v>
      </c>
      <c r="G1727">
        <v>0.71016764834647605</v>
      </c>
      <c r="H1727">
        <v>0.52628323961508905</v>
      </c>
      <c r="I1727">
        <v>0.375045749408981</v>
      </c>
      <c r="J1727">
        <v>0.18463231093608001</v>
      </c>
      <c r="K1727">
        <v>0.12636983188256601</v>
      </c>
      <c r="L1727">
        <v>922.91002695644397</v>
      </c>
      <c r="M1727">
        <v>15.077605903878201</v>
      </c>
      <c r="N1727">
        <v>61.210647957373602</v>
      </c>
      <c r="O1727">
        <v>60.1641779785108</v>
      </c>
      <c r="P1727">
        <v>-6.2658118153467196E-2</v>
      </c>
      <c r="Q1727">
        <v>0</v>
      </c>
      <c r="R1727">
        <v>0.98912836652198299</v>
      </c>
      <c r="S1727" t="s">
        <v>8533</v>
      </c>
      <c r="T1727" t="s">
        <v>13610</v>
      </c>
      <c r="U1727" t="s">
        <v>13610</v>
      </c>
      <c r="V1727" t="s">
        <v>13610</v>
      </c>
      <c r="W1727" t="s">
        <v>15297</v>
      </c>
      <c r="X1727">
        <v>17</v>
      </c>
      <c r="Y1727" t="s">
        <v>21991</v>
      </c>
      <c r="Z1727" t="s">
        <v>28582</v>
      </c>
      <c r="AA1727">
        <v>0.70858407456538131</v>
      </c>
      <c r="AB1727" t="str">
        <f>HYPERLINK("Melting_Curves/meltCurve_P00813_ADA.pdf", "Melting_Curves/meltCurve_P00813_ADA.pdf")</f>
        <v>Melting_Curves/meltCurve_P00813_ADA.pdf</v>
      </c>
    </row>
    <row r="1728" spans="1:28" x14ac:dyDescent="0.25">
      <c r="A1728" t="s">
        <v>1732</v>
      </c>
      <c r="B1728">
        <v>0.995954080203443</v>
      </c>
      <c r="C1728">
        <v>0.94420641620657297</v>
      </c>
      <c r="D1728">
        <v>0.90137002042833803</v>
      </c>
      <c r="E1728">
        <v>0.73413709036209196</v>
      </c>
      <c r="F1728">
        <v>0.33195838599298</v>
      </c>
      <c r="G1728">
        <v>9.19270835880098E-2</v>
      </c>
      <c r="H1728">
        <v>5.2095172540638002E-2</v>
      </c>
      <c r="I1728">
        <v>4.2942227150897801E-2</v>
      </c>
      <c r="J1728">
        <v>4.5408338911815803E-2</v>
      </c>
      <c r="K1728">
        <v>4.7274366659155798E-2</v>
      </c>
      <c r="L1728">
        <v>1404.5082110246999</v>
      </c>
      <c r="M1728">
        <v>27.264993560332901</v>
      </c>
      <c r="N1728">
        <v>51.664851890765398</v>
      </c>
      <c r="O1728">
        <v>51.2385184257462</v>
      </c>
      <c r="P1728">
        <v>-0.12791663441078199</v>
      </c>
      <c r="Q1728">
        <v>3.8445196337693097E-2</v>
      </c>
      <c r="R1728">
        <v>0.99514781014635001</v>
      </c>
      <c r="S1728" t="s">
        <v>8534</v>
      </c>
      <c r="T1728" t="s">
        <v>13610</v>
      </c>
      <c r="U1728" t="s">
        <v>13610</v>
      </c>
      <c r="V1728" t="s">
        <v>13610</v>
      </c>
      <c r="W1728" t="s">
        <v>15298</v>
      </c>
      <c r="X1728">
        <v>7</v>
      </c>
      <c r="Y1728" t="s">
        <v>21992</v>
      </c>
      <c r="Z1728" t="s">
        <v>28583</v>
      </c>
      <c r="AA1728">
        <v>0.41483486920827839</v>
      </c>
      <c r="AB1728" t="str">
        <f>HYPERLINK("Melting_Curves/meltCurve_P00918_CA2.pdf", "Melting_Curves/meltCurve_P00918_CA2.pdf")</f>
        <v>Melting_Curves/meltCurve_P00918_CA2.pdf</v>
      </c>
    </row>
    <row r="1729" spans="1:28" x14ac:dyDescent="0.25">
      <c r="A1729" t="s">
        <v>1733</v>
      </c>
      <c r="B1729">
        <v>0.995954080203443</v>
      </c>
      <c r="C1729">
        <v>0.82398495767993096</v>
      </c>
      <c r="D1729">
        <v>0.458450432732672</v>
      </c>
      <c r="E1729">
        <v>0.25695465921162902</v>
      </c>
      <c r="F1729">
        <v>0.14581365822926401</v>
      </c>
      <c r="G1729">
        <v>7.5395250336629499E-2</v>
      </c>
      <c r="H1729">
        <v>4.3667046399053298E-2</v>
      </c>
      <c r="I1729">
        <v>4.12931935484128E-2</v>
      </c>
      <c r="J1729">
        <v>4.5367583624784498E-2</v>
      </c>
      <c r="K1729">
        <v>4.2049882288424899E-2</v>
      </c>
      <c r="L1729">
        <v>871.22764666647504</v>
      </c>
      <c r="M1729">
        <v>18.978746639968598</v>
      </c>
      <c r="N1729">
        <v>46.157691762861504</v>
      </c>
      <c r="O1729">
        <v>45.404887968459199</v>
      </c>
      <c r="P1729">
        <v>-9.9353534273556005E-2</v>
      </c>
      <c r="Q1729">
        <v>4.92616725855013E-2</v>
      </c>
      <c r="R1729">
        <v>0.99176031635287898</v>
      </c>
      <c r="S1729" t="s">
        <v>8535</v>
      </c>
      <c r="T1729" t="s">
        <v>13610</v>
      </c>
      <c r="U1729" t="s">
        <v>13610</v>
      </c>
      <c r="V1729" t="s">
        <v>13610</v>
      </c>
      <c r="W1729" t="s">
        <v>15299</v>
      </c>
      <c r="X1729">
        <v>22</v>
      </c>
      <c r="Y1729" t="s">
        <v>21993</v>
      </c>
      <c r="Z1729" t="s">
        <v>28584</v>
      </c>
      <c r="AA1729">
        <v>0.25309431885362749</v>
      </c>
      <c r="AB1729" t="str">
        <f>HYPERLINK("Melting_Curves/meltCurve_P00966_ASS1.pdf", "Melting_Curves/meltCurve_P00966_ASS1.pdf")</f>
        <v>Melting_Curves/meltCurve_P00966_ASS1.pdf</v>
      </c>
    </row>
    <row r="1730" spans="1:28" x14ac:dyDescent="0.25">
      <c r="A1730" t="s">
        <v>1734</v>
      </c>
      <c r="B1730">
        <v>0.995954080203443</v>
      </c>
      <c r="C1730">
        <v>0.89947835112928398</v>
      </c>
      <c r="D1730">
        <v>0.96158934596582202</v>
      </c>
      <c r="E1730">
        <v>0.81288750573851398</v>
      </c>
      <c r="F1730">
        <v>0.81272580204254896</v>
      </c>
      <c r="G1730">
        <v>0.59105797336906696</v>
      </c>
      <c r="H1730">
        <v>0.452335344000526</v>
      </c>
      <c r="I1730">
        <v>0.44972291441606699</v>
      </c>
      <c r="J1730">
        <v>0.53858958519354005</v>
      </c>
      <c r="K1730">
        <v>0.468495511427442</v>
      </c>
      <c r="L1730">
        <v>804.14774713161296</v>
      </c>
      <c r="M1730">
        <v>15.0493748963932</v>
      </c>
      <c r="N1730">
        <v>62.517025676520298</v>
      </c>
      <c r="O1730">
        <v>52.517140819189699</v>
      </c>
      <c r="P1730">
        <v>-3.98470107438249E-2</v>
      </c>
      <c r="Q1730">
        <v>0.443846266324258</v>
      </c>
      <c r="R1730">
        <v>0.94169621566366102</v>
      </c>
      <c r="S1730" t="s">
        <v>8536</v>
      </c>
      <c r="T1730" t="s">
        <v>13610</v>
      </c>
      <c r="U1730" t="s">
        <v>13610</v>
      </c>
      <c r="V1730" t="s">
        <v>13610</v>
      </c>
      <c r="X1730">
        <v>11</v>
      </c>
      <c r="Z1730" t="s">
        <v>28585</v>
      </c>
      <c r="AA1730">
        <v>0.70457957171006114</v>
      </c>
      <c r="AB1730" t="str">
        <f>HYPERLINK("Melting_Curves/meltCurve_P01008_.pdf", "Melting_Curves/meltCurve_P01008_.pdf")</f>
        <v>Melting_Curves/meltCurve_P01008_.pdf</v>
      </c>
    </row>
    <row r="1731" spans="1:28" x14ac:dyDescent="0.25">
      <c r="A1731" t="s">
        <v>1735</v>
      </c>
      <c r="B1731">
        <v>0.995954080203443</v>
      </c>
      <c r="C1731">
        <v>0.80488728868874704</v>
      </c>
      <c r="D1731">
        <v>0.59226617525152003</v>
      </c>
      <c r="E1731">
        <v>0.93618651757934201</v>
      </c>
      <c r="F1731">
        <v>0.68556695175443005</v>
      </c>
      <c r="G1731">
        <v>0.57614611993744702</v>
      </c>
      <c r="H1731">
        <v>0.30288107002990999</v>
      </c>
      <c r="I1731">
        <v>0.225401799348871</v>
      </c>
      <c r="J1731">
        <v>0.135691316003545</v>
      </c>
      <c r="K1731">
        <v>0.18473063298666201</v>
      </c>
      <c r="L1731">
        <v>458.85273090182801</v>
      </c>
      <c r="M1731">
        <v>8.1234529769079398</v>
      </c>
      <c r="N1731">
        <v>56.484937156789002</v>
      </c>
      <c r="O1731">
        <v>53.3711861669359</v>
      </c>
      <c r="P1731">
        <v>-3.8092319652219202E-2</v>
      </c>
      <c r="Q1731">
        <v>0</v>
      </c>
      <c r="R1731">
        <v>0.83137688552445899</v>
      </c>
      <c r="S1731" t="s">
        <v>8537</v>
      </c>
      <c r="T1731" t="s">
        <v>13610</v>
      </c>
      <c r="U1731" t="s">
        <v>13610</v>
      </c>
      <c r="V1731" t="s">
        <v>13610</v>
      </c>
      <c r="X1731">
        <v>35</v>
      </c>
      <c r="Z1731" t="s">
        <v>28586</v>
      </c>
      <c r="AA1731">
        <v>0.56583418715050782</v>
      </c>
      <c r="AB1731" t="str">
        <f>HYPERLINK("Melting_Curves/meltCurve_P01023_.pdf", "Melting_Curves/meltCurve_P01023_.pdf")</f>
        <v>Melting_Curves/meltCurve_P01023_.pdf</v>
      </c>
    </row>
    <row r="1732" spans="1:28" x14ac:dyDescent="0.25">
      <c r="A1732" t="s">
        <v>1736</v>
      </c>
      <c r="B1732">
        <v>0.995954080203443</v>
      </c>
      <c r="C1732">
        <v>0.92748712006005396</v>
      </c>
      <c r="D1732">
        <v>0.92950794578777995</v>
      </c>
      <c r="E1732">
        <v>0.82205063649826904</v>
      </c>
      <c r="F1732">
        <v>0.679167319770555</v>
      </c>
      <c r="G1732">
        <v>0.49875569778434897</v>
      </c>
      <c r="H1732">
        <v>0.40307547710494301</v>
      </c>
      <c r="I1732">
        <v>0.45574802099217898</v>
      </c>
      <c r="J1732">
        <v>0.487113716149979</v>
      </c>
      <c r="K1732">
        <v>0.48032034596078299</v>
      </c>
      <c r="L1732">
        <v>1041.24820203438</v>
      </c>
      <c r="M1732">
        <v>20.145918392930799</v>
      </c>
      <c r="N1732">
        <v>58.0739654395637</v>
      </c>
      <c r="O1732">
        <v>51.184137096748202</v>
      </c>
      <c r="P1732">
        <v>-5.4565058156237599E-2</v>
      </c>
      <c r="Q1732">
        <v>0.44549024013711902</v>
      </c>
      <c r="R1732">
        <v>0.97343069051761399</v>
      </c>
      <c r="S1732" t="s">
        <v>8538</v>
      </c>
      <c r="T1732" t="s">
        <v>13610</v>
      </c>
      <c r="U1732" t="s">
        <v>13610</v>
      </c>
      <c r="V1732" t="s">
        <v>13610</v>
      </c>
      <c r="X1732">
        <v>29</v>
      </c>
      <c r="Z1732" t="s">
        <v>28587</v>
      </c>
      <c r="AA1732">
        <v>0.66905944664946437</v>
      </c>
      <c r="AB1732" t="str">
        <f>HYPERLINK("Melting_Curves/meltCurve_P01024_.pdf", "Melting_Curves/meltCurve_P01024_.pdf")</f>
        <v>Melting_Curves/meltCurve_P01024_.pdf</v>
      </c>
    </row>
    <row r="1733" spans="1:28" x14ac:dyDescent="0.25">
      <c r="A1733" t="s">
        <v>1737</v>
      </c>
      <c r="B1733">
        <v>0.995954080203443</v>
      </c>
      <c r="C1733">
        <v>1.0111764717273399</v>
      </c>
      <c r="D1733">
        <v>0.85104499074529105</v>
      </c>
      <c r="E1733">
        <v>0.86831250155248496</v>
      </c>
      <c r="F1733">
        <v>0.84067423986874901</v>
      </c>
      <c r="G1733">
        <v>0.62243190702542295</v>
      </c>
      <c r="H1733">
        <v>0.51994312370402795</v>
      </c>
      <c r="I1733">
        <v>0.492830704673488</v>
      </c>
      <c r="J1733">
        <v>0.31134694680407099</v>
      </c>
      <c r="K1733">
        <v>0.11857706965242699</v>
      </c>
      <c r="L1733">
        <v>570.00511873040898</v>
      </c>
      <c r="M1733">
        <v>9.3342010467811303</v>
      </c>
      <c r="N1733">
        <v>61.066287194698198</v>
      </c>
      <c r="O1733">
        <v>58.459988573914302</v>
      </c>
      <c r="P1733">
        <v>-3.9942295571804801E-2</v>
      </c>
      <c r="Q1733">
        <v>0</v>
      </c>
      <c r="R1733">
        <v>0.95334322058772802</v>
      </c>
      <c r="S1733" t="s">
        <v>8539</v>
      </c>
      <c r="T1733" t="s">
        <v>13610</v>
      </c>
      <c r="U1733" t="s">
        <v>13610</v>
      </c>
      <c r="V1733" t="s">
        <v>13610</v>
      </c>
      <c r="W1733" t="s">
        <v>15300</v>
      </c>
      <c r="X1733">
        <v>2</v>
      </c>
      <c r="Y1733" t="s">
        <v>21994</v>
      </c>
      <c r="Z1733" t="s">
        <v>28588</v>
      </c>
      <c r="AA1733">
        <v>0.68569527481950743</v>
      </c>
      <c r="AB1733" t="str">
        <f>HYPERLINK("Melting_Curves/meltCurve_P01034_CST3.pdf", "Melting_Curves/meltCurve_P01034_CST3.pdf")</f>
        <v>Melting_Curves/meltCurve_P01034_CST3.pdf</v>
      </c>
    </row>
    <row r="1734" spans="1:28" x14ac:dyDescent="0.25">
      <c r="A1734" t="s">
        <v>1738</v>
      </c>
      <c r="B1734">
        <v>0.995954080203443</v>
      </c>
      <c r="C1734">
        <v>1.0372331476461201</v>
      </c>
      <c r="D1734">
        <v>0.85974782343999701</v>
      </c>
      <c r="E1734">
        <v>0.786142492552658</v>
      </c>
      <c r="F1734">
        <v>0.46284205891144697</v>
      </c>
      <c r="G1734">
        <v>0.23246141640252199</v>
      </c>
      <c r="H1734">
        <v>0.109145701176074</v>
      </c>
      <c r="I1734">
        <v>5.8838890297728298E-2</v>
      </c>
      <c r="J1734">
        <v>3.4381058436848903E-2</v>
      </c>
      <c r="K1734">
        <v>3.5664708281642699E-2</v>
      </c>
      <c r="L1734">
        <v>937.85734363508402</v>
      </c>
      <c r="M1734">
        <v>17.763839572546502</v>
      </c>
      <c r="N1734">
        <v>52.912615107470401</v>
      </c>
      <c r="O1734">
        <v>52.140449258050303</v>
      </c>
      <c r="P1734">
        <v>-8.3540570883583104E-2</v>
      </c>
      <c r="Q1734">
        <v>1.9217771010381898E-2</v>
      </c>
      <c r="R1734">
        <v>0.99243372554859099</v>
      </c>
      <c r="S1734" t="s">
        <v>8540</v>
      </c>
      <c r="T1734" t="s">
        <v>13610</v>
      </c>
      <c r="U1734" t="s">
        <v>13610</v>
      </c>
      <c r="V1734" t="s">
        <v>13610</v>
      </c>
      <c r="W1734" t="s">
        <v>15301</v>
      </c>
      <c r="X1734">
        <v>7</v>
      </c>
      <c r="Y1734" t="s">
        <v>21995</v>
      </c>
      <c r="Z1734" t="s">
        <v>28589</v>
      </c>
      <c r="AA1734">
        <v>0.45401731459431832</v>
      </c>
      <c r="AB1734" t="str">
        <f>HYPERLINK("Melting_Curves/meltCurve_P01111_NRAS.pdf", "Melting_Curves/meltCurve_P01111_NRAS.pdf")</f>
        <v>Melting_Curves/meltCurve_P01111_NRAS.pdf</v>
      </c>
    </row>
    <row r="1735" spans="1:28" x14ac:dyDescent="0.25">
      <c r="A1735" t="s">
        <v>1739</v>
      </c>
      <c r="B1735">
        <v>0.995954080203443</v>
      </c>
      <c r="C1735">
        <v>1.0395608334853801</v>
      </c>
      <c r="D1735">
        <v>1.03112547745447</v>
      </c>
      <c r="E1735">
        <v>0.94140023254990801</v>
      </c>
      <c r="F1735">
        <v>0.81479424455615901</v>
      </c>
      <c r="G1735">
        <v>0.51934928326778595</v>
      </c>
      <c r="H1735">
        <v>0.20577375351427801</v>
      </c>
      <c r="I1735">
        <v>7.9238263192227001E-2</v>
      </c>
      <c r="J1735">
        <v>5.2943925026993403E-2</v>
      </c>
      <c r="K1735">
        <v>5.42068753157234E-2</v>
      </c>
      <c r="L1735">
        <v>1210.15357922097</v>
      </c>
      <c r="M1735">
        <v>21.258131840215398</v>
      </c>
      <c r="N1735">
        <v>57.017023126930503</v>
      </c>
      <c r="O1735">
        <v>56.430050746512201</v>
      </c>
      <c r="P1735">
        <v>-9.2620740032357901E-2</v>
      </c>
      <c r="Q1735">
        <v>1.6572206933917699E-2</v>
      </c>
      <c r="R1735">
        <v>0.997299356787826</v>
      </c>
      <c r="S1735" t="s">
        <v>8541</v>
      </c>
      <c r="T1735" t="s">
        <v>13610</v>
      </c>
      <c r="U1735" t="s">
        <v>13610</v>
      </c>
      <c r="V1735" t="s">
        <v>13610</v>
      </c>
      <c r="W1735" t="s">
        <v>15302</v>
      </c>
      <c r="X1735">
        <v>9</v>
      </c>
      <c r="Y1735" t="s">
        <v>21996</v>
      </c>
      <c r="Z1735" t="s">
        <v>28590</v>
      </c>
      <c r="AA1735">
        <v>0.58264452364233299</v>
      </c>
      <c r="AB1735" t="str">
        <f>HYPERLINK("Melting_Curves/meltCurve_P01116_2_KRAS.pdf", "Melting_Curves/meltCurve_P01116_2_KRAS.pdf")</f>
        <v>Melting_Curves/meltCurve_P01116_2_KRAS.pdf</v>
      </c>
    </row>
    <row r="1736" spans="1:28" x14ac:dyDescent="0.25">
      <c r="A1736" t="s">
        <v>1740</v>
      </c>
      <c r="B1736">
        <v>0.995954080203443</v>
      </c>
      <c r="C1736">
        <v>0.96995438159951097</v>
      </c>
      <c r="D1736">
        <v>0.82559014264110497</v>
      </c>
      <c r="E1736">
        <v>0.82463922444688298</v>
      </c>
      <c r="F1736">
        <v>0.61397627384372599</v>
      </c>
      <c r="G1736">
        <v>0.41539789836534602</v>
      </c>
      <c r="H1736">
        <v>0.23851659949491799</v>
      </c>
      <c r="I1736">
        <v>0.25797304992989001</v>
      </c>
      <c r="J1736">
        <v>0.25561615454660602</v>
      </c>
      <c r="K1736">
        <v>0.191487940664197</v>
      </c>
      <c r="L1736">
        <v>717.57278988943301</v>
      </c>
      <c r="M1736">
        <v>13.4149403348116</v>
      </c>
      <c r="N1736">
        <v>55.119254218048198</v>
      </c>
      <c r="O1736">
        <v>52.343876405748802</v>
      </c>
      <c r="P1736">
        <v>-5.3595763080547698E-2</v>
      </c>
      <c r="Q1736">
        <v>0.16362758227527899</v>
      </c>
      <c r="R1736">
        <v>0.98197169190123201</v>
      </c>
      <c r="S1736" t="s">
        <v>8542</v>
      </c>
      <c r="T1736" t="s">
        <v>13610</v>
      </c>
      <c r="U1736" t="s">
        <v>13610</v>
      </c>
      <c r="V1736" t="s">
        <v>13610</v>
      </c>
      <c r="W1736" t="s">
        <v>15303</v>
      </c>
      <c r="X1736">
        <v>8</v>
      </c>
      <c r="Y1736" t="s">
        <v>21997</v>
      </c>
      <c r="Z1736" t="s">
        <v>28591</v>
      </c>
      <c r="AA1736">
        <v>0.55996950599979012</v>
      </c>
      <c r="AB1736" t="str">
        <f>HYPERLINK("Melting_Curves/meltCurve_P01137_TGFB1.pdf", "Melting_Curves/meltCurve_P01137_TGFB1.pdf")</f>
        <v>Melting_Curves/meltCurve_P01137_TGFB1.pdf</v>
      </c>
    </row>
    <row r="1737" spans="1:28" x14ac:dyDescent="0.25">
      <c r="A1737" t="s">
        <v>1741</v>
      </c>
      <c r="B1737">
        <v>0.995954080203443</v>
      </c>
      <c r="C1737">
        <v>0.97707181336816895</v>
      </c>
      <c r="D1737">
        <v>1.0228614533871301</v>
      </c>
      <c r="E1737">
        <v>0.812525509249579</v>
      </c>
      <c r="F1737">
        <v>0.75522182878201805</v>
      </c>
      <c r="G1737">
        <v>0.52205093095386901</v>
      </c>
      <c r="H1737">
        <v>0.36687625506167598</v>
      </c>
      <c r="I1737">
        <v>0.24679651795837301</v>
      </c>
      <c r="J1737">
        <v>0.15676289328361601</v>
      </c>
      <c r="K1737">
        <v>8.4911736089045495E-2</v>
      </c>
      <c r="L1737">
        <v>688.64053703461695</v>
      </c>
      <c r="M1737">
        <v>11.934519140943999</v>
      </c>
      <c r="N1737">
        <v>57.701558362455501</v>
      </c>
      <c r="O1737">
        <v>56.153095216258301</v>
      </c>
      <c r="P1737">
        <v>-5.3146927006129302E-2</v>
      </c>
      <c r="Q1737">
        <v>0</v>
      </c>
      <c r="R1737">
        <v>0.99253097243004795</v>
      </c>
      <c r="S1737" t="s">
        <v>8543</v>
      </c>
      <c r="T1737" t="s">
        <v>13610</v>
      </c>
      <c r="U1737" t="s">
        <v>13610</v>
      </c>
      <c r="V1737" t="s">
        <v>13610</v>
      </c>
      <c r="W1737" t="s">
        <v>15304</v>
      </c>
      <c r="X1737">
        <v>10</v>
      </c>
      <c r="Y1737" t="s">
        <v>21998</v>
      </c>
      <c r="Z1737" t="s">
        <v>28592</v>
      </c>
      <c r="AA1737">
        <v>0.60401448117394996</v>
      </c>
      <c r="AB1737" t="str">
        <f>HYPERLINK("Melting_Curves/meltCurve_P02008_HBZ.pdf", "Melting_Curves/meltCurve_P02008_HBZ.pdf")</f>
        <v>Melting_Curves/meltCurve_P02008_HBZ.pdf</v>
      </c>
    </row>
    <row r="1738" spans="1:28" x14ac:dyDescent="0.25">
      <c r="A1738" t="s">
        <v>1742</v>
      </c>
      <c r="B1738">
        <v>0.995954080203443</v>
      </c>
      <c r="C1738">
        <v>1.0108866204748901</v>
      </c>
      <c r="D1738">
        <v>1.02570147816913</v>
      </c>
      <c r="E1738">
        <v>0.83020346828904101</v>
      </c>
      <c r="F1738">
        <v>0.76034197513069501</v>
      </c>
      <c r="G1738">
        <v>0.583418687294184</v>
      </c>
      <c r="H1738">
        <v>0.45167838366732199</v>
      </c>
      <c r="I1738">
        <v>0.38414302930063099</v>
      </c>
      <c r="J1738">
        <v>0.28368854076604799</v>
      </c>
      <c r="K1738">
        <v>0.16865248643227501</v>
      </c>
      <c r="L1738">
        <v>583.71050593167797</v>
      </c>
      <c r="M1738">
        <v>9.8408060713493999</v>
      </c>
      <c r="N1738">
        <v>59.656750430194997</v>
      </c>
      <c r="O1738">
        <v>57.021644844949797</v>
      </c>
      <c r="P1738">
        <v>-4.19853008172726E-2</v>
      </c>
      <c r="Q1738">
        <v>2.73831309392999E-2</v>
      </c>
      <c r="R1738">
        <v>0.98633982493258798</v>
      </c>
      <c r="S1738" t="s">
        <v>8544</v>
      </c>
      <c r="T1738" t="s">
        <v>13610</v>
      </c>
      <c r="U1738" t="s">
        <v>13610</v>
      </c>
      <c r="V1738" t="s">
        <v>13610</v>
      </c>
      <c r="W1738" t="s">
        <v>15305</v>
      </c>
      <c r="X1738">
        <v>8</v>
      </c>
      <c r="Y1738" t="s">
        <v>21999</v>
      </c>
      <c r="Z1738" t="s">
        <v>28593</v>
      </c>
      <c r="AA1738">
        <v>0.65412626179368161</v>
      </c>
      <c r="AB1738" t="str">
        <f>HYPERLINK("Melting_Curves/meltCurve_P02042_HBD.pdf", "Melting_Curves/meltCurve_P02042_HBD.pdf")</f>
        <v>Melting_Curves/meltCurve_P02042_HBD.pdf</v>
      </c>
    </row>
    <row r="1739" spans="1:28" x14ac:dyDescent="0.25">
      <c r="A1739" t="s">
        <v>1743</v>
      </c>
      <c r="B1739">
        <v>0.995954080203443</v>
      </c>
      <c r="C1739">
        <v>1.1154856834678499</v>
      </c>
      <c r="D1739">
        <v>1.0928698734251301</v>
      </c>
      <c r="E1739">
        <v>0.97193780453546397</v>
      </c>
      <c r="F1739">
        <v>0.89741389267889105</v>
      </c>
      <c r="G1739">
        <v>0.64471800590359996</v>
      </c>
      <c r="H1739">
        <v>0.425925027228855</v>
      </c>
      <c r="I1739">
        <v>0.27223819704574997</v>
      </c>
      <c r="J1739">
        <v>0.156203888375164</v>
      </c>
      <c r="K1739">
        <v>0.121893118362657</v>
      </c>
      <c r="L1739">
        <v>1039.4440736636</v>
      </c>
      <c r="M1739">
        <v>17.6028409202383</v>
      </c>
      <c r="N1739">
        <v>59.544409712592298</v>
      </c>
      <c r="O1739">
        <v>58.303522892746301</v>
      </c>
      <c r="P1739">
        <v>-7.0349282254257003E-2</v>
      </c>
      <c r="Q1739">
        <v>6.8016415520962797E-2</v>
      </c>
      <c r="R1739">
        <v>0.98195248879520602</v>
      </c>
      <c r="S1739" t="s">
        <v>8545</v>
      </c>
      <c r="T1739" t="s">
        <v>13610</v>
      </c>
      <c r="U1739" t="s">
        <v>13610</v>
      </c>
      <c r="V1739" t="s">
        <v>13610</v>
      </c>
      <c r="W1739" t="s">
        <v>15306</v>
      </c>
      <c r="X1739">
        <v>11</v>
      </c>
      <c r="Y1739" t="s">
        <v>22000</v>
      </c>
      <c r="Z1739" t="s">
        <v>28594</v>
      </c>
      <c r="AA1739">
        <v>0.66964378749654996</v>
      </c>
      <c r="AB1739" t="str">
        <f>HYPERLINK("Melting_Curves/meltCurve_P02100_HBE1.pdf", "Melting_Curves/meltCurve_P02100_HBE1.pdf")</f>
        <v>Melting_Curves/meltCurve_P02100_HBE1.pdf</v>
      </c>
    </row>
    <row r="1740" spans="1:28" x14ac:dyDescent="0.25">
      <c r="A1740" t="s">
        <v>1744</v>
      </c>
      <c r="B1740">
        <v>0.995954080203443</v>
      </c>
      <c r="C1740">
        <v>1.2204679188254199</v>
      </c>
      <c r="D1740">
        <v>1.0434025235653099</v>
      </c>
      <c r="E1740">
        <v>1.1068888264433101</v>
      </c>
      <c r="F1740">
        <v>1.0180144360077601</v>
      </c>
      <c r="G1740">
        <v>0.36330232029947901</v>
      </c>
      <c r="H1740">
        <v>0.39364358131960298</v>
      </c>
      <c r="I1740">
        <v>0.60051045520369195</v>
      </c>
      <c r="J1740">
        <v>0.55305226184353695</v>
      </c>
      <c r="K1740">
        <v>0.38908694691068801</v>
      </c>
      <c r="L1740">
        <v>13687.867810558901</v>
      </c>
      <c r="M1740">
        <v>250</v>
      </c>
      <c r="N1740">
        <v>55.309798096693001</v>
      </c>
      <c r="O1740">
        <v>54.747979522909198</v>
      </c>
      <c r="P1740">
        <v>-0.61655778791980398</v>
      </c>
      <c r="Q1740">
        <v>0.45991542835819199</v>
      </c>
      <c r="R1740">
        <v>0.89390629438846103</v>
      </c>
      <c r="S1740" t="s">
        <v>8546</v>
      </c>
      <c r="T1740" t="s">
        <v>13610</v>
      </c>
      <c r="U1740" t="s">
        <v>13610</v>
      </c>
      <c r="V1740" t="s">
        <v>13610</v>
      </c>
      <c r="W1740" t="s">
        <v>15307</v>
      </c>
      <c r="X1740">
        <v>27</v>
      </c>
      <c r="Y1740" t="s">
        <v>22001</v>
      </c>
      <c r="Z1740" t="s">
        <v>28595</v>
      </c>
      <c r="AA1740">
        <v>0.72553539155863589</v>
      </c>
      <c r="AB1740" t="str">
        <f>HYPERLINK("Melting_Curves/meltCurve_P02533_KRT14.pdf", "Melting_Curves/meltCurve_P02533_KRT14.pdf")</f>
        <v>Melting_Curves/meltCurve_P02533_KRT14.pdf</v>
      </c>
    </row>
    <row r="1741" spans="1:28" x14ac:dyDescent="0.25">
      <c r="A1741" t="s">
        <v>1745</v>
      </c>
      <c r="B1741">
        <v>0.995954080203443</v>
      </c>
      <c r="C1741">
        <v>1.8610016422142801</v>
      </c>
      <c r="D1741">
        <v>1.00741513804954</v>
      </c>
      <c r="E1741">
        <v>1.8740305056528299</v>
      </c>
      <c r="F1741">
        <v>1.9660347032267</v>
      </c>
      <c r="G1741">
        <v>0.40828286125144497</v>
      </c>
      <c r="H1741">
        <v>0.398454143774227</v>
      </c>
      <c r="I1741">
        <v>0.67426981841853895</v>
      </c>
      <c r="J1741">
        <v>1.0846538897028599</v>
      </c>
      <c r="K1741">
        <v>0.396504082488285</v>
      </c>
      <c r="L1741">
        <v>2697.67324439308</v>
      </c>
      <c r="M1741">
        <v>48.221343350860401</v>
      </c>
      <c r="O1741">
        <v>55.847574253849203</v>
      </c>
      <c r="P1741">
        <v>-8.6417765187919507E-2</v>
      </c>
      <c r="Q1741">
        <v>0.59966113973714597</v>
      </c>
      <c r="R1741">
        <v>0.18766830364503601</v>
      </c>
      <c r="S1741" t="s">
        <v>8547</v>
      </c>
      <c r="T1741" t="s">
        <v>13610</v>
      </c>
      <c r="U1741" t="s">
        <v>13610</v>
      </c>
      <c r="V1741" t="s">
        <v>13610</v>
      </c>
      <c r="W1741" t="s">
        <v>15308</v>
      </c>
      <c r="X1741">
        <v>28</v>
      </c>
      <c r="Y1741" t="s">
        <v>22002</v>
      </c>
      <c r="Z1741" t="s">
        <v>28596</v>
      </c>
      <c r="AA1741">
        <v>0.8134829169639608</v>
      </c>
      <c r="AB1741" t="str">
        <f>HYPERLINK("Melting_Curves/meltCurve_P02538_KRT6A.pdf", "Melting_Curves/meltCurve_P02538_KRT6A.pdf")</f>
        <v>Melting_Curves/meltCurve_P02538_KRT6A.pdf</v>
      </c>
    </row>
    <row r="1742" spans="1:28" x14ac:dyDescent="0.25">
      <c r="A1742" t="s">
        <v>1746</v>
      </c>
      <c r="B1742">
        <v>0.995954080203443</v>
      </c>
      <c r="C1742">
        <v>1.04817824476821</v>
      </c>
      <c r="D1742">
        <v>1.03744698582523</v>
      </c>
      <c r="E1742">
        <v>0.94348412250313995</v>
      </c>
      <c r="F1742">
        <v>0.87552026196775701</v>
      </c>
      <c r="G1742">
        <v>0.58782675710839705</v>
      </c>
      <c r="H1742">
        <v>0.35002043941498001</v>
      </c>
      <c r="I1742">
        <v>0.30925942242575999</v>
      </c>
      <c r="J1742">
        <v>0.36418611253858801</v>
      </c>
      <c r="K1742">
        <v>0.34911668965889298</v>
      </c>
      <c r="L1742">
        <v>1606.21265473623</v>
      </c>
      <c r="M1742">
        <v>28.766170396975699</v>
      </c>
      <c r="N1742">
        <v>57.976402982685102</v>
      </c>
      <c r="O1742">
        <v>55.569087371434797</v>
      </c>
      <c r="P1742">
        <v>-8.7091853470843306E-2</v>
      </c>
      <c r="Q1742">
        <v>0.32704573870513598</v>
      </c>
      <c r="R1742">
        <v>0.99034495415566903</v>
      </c>
      <c r="S1742" t="s">
        <v>8548</v>
      </c>
      <c r="T1742" t="s">
        <v>13610</v>
      </c>
      <c r="U1742" t="s">
        <v>13610</v>
      </c>
      <c r="V1742" t="s">
        <v>13610</v>
      </c>
      <c r="W1742" t="s">
        <v>15309</v>
      </c>
      <c r="X1742">
        <v>44</v>
      </c>
      <c r="Y1742" t="s">
        <v>22003</v>
      </c>
      <c r="Z1742" t="s">
        <v>28597</v>
      </c>
      <c r="AA1742">
        <v>0.68713836152875507</v>
      </c>
      <c r="AB1742" t="str">
        <f>HYPERLINK("Melting_Curves/meltCurve_P02545_LMNA.pdf", "Melting_Curves/meltCurve_P02545_LMNA.pdf")</f>
        <v>Melting_Curves/meltCurve_P02545_LMNA.pdf</v>
      </c>
    </row>
    <row r="1743" spans="1:28" x14ac:dyDescent="0.25">
      <c r="A1743" t="s">
        <v>1747</v>
      </c>
      <c r="B1743">
        <v>0.995954080203443</v>
      </c>
      <c r="C1743">
        <v>0.84542879213595601</v>
      </c>
      <c r="D1743">
        <v>0.69760167890830105</v>
      </c>
      <c r="E1743">
        <v>0.42509116974051703</v>
      </c>
      <c r="F1743">
        <v>0.21431976575526199</v>
      </c>
      <c r="G1743">
        <v>0.10526844845454</v>
      </c>
      <c r="H1743">
        <v>7.2939305823206402E-2</v>
      </c>
      <c r="I1743">
        <v>6.5473908109717802E-2</v>
      </c>
      <c r="J1743">
        <v>7.5596319581173396E-2</v>
      </c>
      <c r="K1743">
        <v>6.4574593759227597E-2</v>
      </c>
      <c r="L1743">
        <v>758.00413115168305</v>
      </c>
      <c r="M1743">
        <v>15.717035492085101</v>
      </c>
      <c r="N1743">
        <v>48.535165178540801</v>
      </c>
      <c r="O1743">
        <v>47.467685432824297</v>
      </c>
      <c r="P1743">
        <v>-7.8867958222227794E-2</v>
      </c>
      <c r="Q1743">
        <v>4.7310282895378003E-2</v>
      </c>
      <c r="R1743">
        <v>0.996186043666486</v>
      </c>
      <c r="S1743" t="s">
        <v>8549</v>
      </c>
      <c r="T1743" t="s">
        <v>13610</v>
      </c>
      <c r="U1743" t="s">
        <v>13610</v>
      </c>
      <c r="V1743" t="s">
        <v>13610</v>
      </c>
      <c r="W1743" t="s">
        <v>15310</v>
      </c>
      <c r="X1743">
        <v>71</v>
      </c>
      <c r="Y1743" t="s">
        <v>22004</v>
      </c>
      <c r="Z1743" t="s">
        <v>28598</v>
      </c>
      <c r="AA1743">
        <v>0.33073068849610288</v>
      </c>
      <c r="AB1743" t="str">
        <f>HYPERLINK("Melting_Curves/meltCurve_P02549_SPTA1.pdf", "Melting_Curves/meltCurve_P02549_SPTA1.pdf")</f>
        <v>Melting_Curves/meltCurve_P02549_SPTA1.pdf</v>
      </c>
    </row>
    <row r="1744" spans="1:28" x14ac:dyDescent="0.25">
      <c r="A1744" t="s">
        <v>1748</v>
      </c>
      <c r="B1744">
        <v>0.995954080203443</v>
      </c>
      <c r="C1744">
        <v>0.89390445651637496</v>
      </c>
      <c r="D1744">
        <v>0.78286572595940895</v>
      </c>
      <c r="E1744">
        <v>0.70319455999017899</v>
      </c>
      <c r="F1744">
        <v>0.53850581508921602</v>
      </c>
      <c r="G1744">
        <v>0.32387153792162299</v>
      </c>
      <c r="H1744">
        <v>0.19981232940549001</v>
      </c>
      <c r="I1744">
        <v>0.20376901592582</v>
      </c>
      <c r="J1744">
        <v>0.22631832644121</v>
      </c>
      <c r="K1744">
        <v>0.20522364243319899</v>
      </c>
      <c r="L1744">
        <v>606.59386914503398</v>
      </c>
      <c r="M1744">
        <v>11.746633340597</v>
      </c>
      <c r="N1744">
        <v>53.103738556500801</v>
      </c>
      <c r="O1744">
        <v>50.211350512638198</v>
      </c>
      <c r="P1744">
        <v>-5.0409897233633198E-2</v>
      </c>
      <c r="Q1744">
        <v>0.13831096772093199</v>
      </c>
      <c r="R1744">
        <v>0.98327613398102998</v>
      </c>
      <c r="S1744" t="s">
        <v>8550</v>
      </c>
      <c r="T1744" t="s">
        <v>13610</v>
      </c>
      <c r="U1744" t="s">
        <v>13610</v>
      </c>
      <c r="V1744" t="s">
        <v>13610</v>
      </c>
      <c r="W1744" t="s">
        <v>15311</v>
      </c>
      <c r="X1744">
        <v>11</v>
      </c>
      <c r="Y1744" t="s">
        <v>22005</v>
      </c>
      <c r="Z1744" t="s">
        <v>28599</v>
      </c>
      <c r="AA1744">
        <v>0.50041848559133262</v>
      </c>
      <c r="AB1744" t="str">
        <f>HYPERLINK("Melting_Curves/meltCurve_P02649_APOE.pdf", "Melting_Curves/meltCurve_P02649_APOE.pdf")</f>
        <v>Melting_Curves/meltCurve_P02649_APOE.pdf</v>
      </c>
    </row>
    <row r="1745" spans="1:28" x14ac:dyDescent="0.25">
      <c r="A1745" t="s">
        <v>1749</v>
      </c>
      <c r="B1745">
        <v>0.995954080203443</v>
      </c>
      <c r="C1745">
        <v>0.86591032456544004</v>
      </c>
      <c r="D1745">
        <v>0.71502619318183802</v>
      </c>
      <c r="E1745">
        <v>0.68666277857489599</v>
      </c>
      <c r="F1745">
        <v>0.51135720837396903</v>
      </c>
      <c r="G1745">
        <v>0.40461240636798301</v>
      </c>
      <c r="H1745">
        <v>0.28093746718049201</v>
      </c>
      <c r="I1745">
        <v>0.25689097849395098</v>
      </c>
      <c r="J1745">
        <v>0.26162330229917502</v>
      </c>
      <c r="K1745">
        <v>0.16041434515587399</v>
      </c>
      <c r="L1745">
        <v>433.86342323236198</v>
      </c>
      <c r="M1745">
        <v>8.2769581298391</v>
      </c>
      <c r="N1745">
        <v>53.684610474105597</v>
      </c>
      <c r="O1745">
        <v>49.625663556268897</v>
      </c>
      <c r="P1745">
        <v>-3.8036876681689799E-2</v>
      </c>
      <c r="Q1745">
        <v>8.8685680291225505E-2</v>
      </c>
      <c r="R1745">
        <v>0.98055086124354696</v>
      </c>
      <c r="S1745" t="s">
        <v>8551</v>
      </c>
      <c r="T1745" t="s">
        <v>13610</v>
      </c>
      <c r="U1745" t="s">
        <v>13610</v>
      </c>
      <c r="V1745" t="s">
        <v>13610</v>
      </c>
      <c r="W1745" t="s">
        <v>15312</v>
      </c>
      <c r="X1745">
        <v>1</v>
      </c>
      <c r="Y1745" t="s">
        <v>22006</v>
      </c>
      <c r="Z1745" t="s">
        <v>28600</v>
      </c>
      <c r="AA1745">
        <v>0.50534529935823735</v>
      </c>
      <c r="AB1745" t="str">
        <f>HYPERLINK("Melting_Curves/meltCurve_P02750_LRG1.pdf", "Melting_Curves/meltCurve_P02750_LRG1.pdf")</f>
        <v>Melting_Curves/meltCurve_P02750_LRG1.pdf</v>
      </c>
    </row>
    <row r="1746" spans="1:28" x14ac:dyDescent="0.25">
      <c r="A1746" t="s">
        <v>1750</v>
      </c>
      <c r="B1746">
        <v>0.995954080203443</v>
      </c>
      <c r="C1746">
        <v>0.87707185720719505</v>
      </c>
      <c r="D1746">
        <v>0.95145875660005896</v>
      </c>
      <c r="E1746">
        <v>0.75195079642260798</v>
      </c>
      <c r="F1746">
        <v>0.77077722761496903</v>
      </c>
      <c r="G1746">
        <v>0.59200085149998105</v>
      </c>
      <c r="H1746">
        <v>0.56972876241401504</v>
      </c>
      <c r="I1746">
        <v>0.62751785974327601</v>
      </c>
      <c r="J1746">
        <v>0.94446532986694698</v>
      </c>
      <c r="K1746">
        <v>0.75574024024421604</v>
      </c>
      <c r="L1746">
        <v>1036.93217698134</v>
      </c>
      <c r="M1746">
        <v>21.8987167744536</v>
      </c>
      <c r="O1746">
        <v>46.961718864340597</v>
      </c>
      <c r="P1746">
        <v>-3.4661882438820103E-2</v>
      </c>
      <c r="Q1746">
        <v>0.70267763398605099</v>
      </c>
      <c r="R1746">
        <v>0.47776834387599398</v>
      </c>
      <c r="S1746" t="s">
        <v>8552</v>
      </c>
      <c r="T1746" t="s">
        <v>13610</v>
      </c>
      <c r="U1746" t="s">
        <v>13610</v>
      </c>
      <c r="V1746" t="s">
        <v>13610</v>
      </c>
      <c r="X1746">
        <v>13</v>
      </c>
      <c r="Z1746" t="s">
        <v>28601</v>
      </c>
      <c r="AA1746">
        <v>0.77905937055504593</v>
      </c>
      <c r="AB1746" t="str">
        <f>HYPERLINK("Melting_Curves/meltCurve_P02765_.pdf", "Melting_Curves/meltCurve_P02765_.pdf")</f>
        <v>Melting_Curves/meltCurve_P02765_.pdf</v>
      </c>
    </row>
    <row r="1747" spans="1:28" x14ac:dyDescent="0.25">
      <c r="A1747" t="s">
        <v>1751</v>
      </c>
      <c r="B1747">
        <v>0.995954080203443</v>
      </c>
      <c r="C1747">
        <v>0.89219851931759897</v>
      </c>
      <c r="D1747">
        <v>0.77991630720891003</v>
      </c>
      <c r="E1747">
        <v>0.859159057757511</v>
      </c>
      <c r="F1747">
        <v>0.36047003401869798</v>
      </c>
      <c r="G1747">
        <v>3.4690410640885601</v>
      </c>
      <c r="H1747">
        <v>0.16959641401530301</v>
      </c>
      <c r="I1747">
        <v>0.36243881931495397</v>
      </c>
      <c r="J1747">
        <v>7.7221791879620805E-2</v>
      </c>
      <c r="K1747">
        <v>1.83233087907883</v>
      </c>
      <c r="L1747">
        <v>1795.8455782886101</v>
      </c>
      <c r="M1747">
        <v>29.456746032420501</v>
      </c>
      <c r="O1747">
        <v>60.686611690633796</v>
      </c>
      <c r="P1747">
        <v>-3.0792253787443099E-2</v>
      </c>
      <c r="Q1747">
        <v>0.74624972918292098</v>
      </c>
      <c r="R1747">
        <v>1.91576511364876E-2</v>
      </c>
      <c r="S1747" t="s">
        <v>8553</v>
      </c>
      <c r="T1747" t="s">
        <v>13610</v>
      </c>
      <c r="U1747" t="s">
        <v>13610</v>
      </c>
      <c r="V1747" t="s">
        <v>13610</v>
      </c>
      <c r="W1747" t="s">
        <v>15313</v>
      </c>
      <c r="X1747">
        <v>9</v>
      </c>
      <c r="Y1747" t="s">
        <v>22007</v>
      </c>
      <c r="Z1747" t="s">
        <v>28602</v>
      </c>
      <c r="AA1747">
        <v>0.92501543402828146</v>
      </c>
      <c r="AB1747" t="str">
        <f>HYPERLINK("Melting_Curves/meltCurve_P02768_ALB.pdf", "Melting_Curves/meltCurve_P02768_ALB.pdf")</f>
        <v>Melting_Curves/meltCurve_P02768_ALB.pdf</v>
      </c>
    </row>
    <row r="1748" spans="1:28" x14ac:dyDescent="0.25">
      <c r="A1748" t="s">
        <v>1752</v>
      </c>
      <c r="B1748">
        <v>0.995954080203443</v>
      </c>
      <c r="C1748">
        <v>0.99832255107378998</v>
      </c>
      <c r="D1748">
        <v>1.01557396774797</v>
      </c>
      <c r="E1748">
        <v>0.89610915638429001</v>
      </c>
      <c r="F1748">
        <v>0.84201771611871001</v>
      </c>
      <c r="G1748">
        <v>0.65067016579005899</v>
      </c>
      <c r="H1748">
        <v>0.50587985500907895</v>
      </c>
      <c r="I1748">
        <v>0.50511112383585899</v>
      </c>
      <c r="J1748">
        <v>0.40091229498818598</v>
      </c>
      <c r="K1748">
        <v>0.26022249263895803</v>
      </c>
      <c r="L1748">
        <v>616.311390356571</v>
      </c>
      <c r="M1748">
        <v>10.2578218028509</v>
      </c>
      <c r="N1748">
        <v>62.175420121046699</v>
      </c>
      <c r="O1748">
        <v>57.933008364137201</v>
      </c>
      <c r="P1748">
        <v>-3.7818950357495898E-2</v>
      </c>
      <c r="Q1748">
        <v>0.14601782818950901</v>
      </c>
      <c r="R1748">
        <v>0.98134872143637397</v>
      </c>
      <c r="S1748" t="s">
        <v>8554</v>
      </c>
      <c r="T1748" t="s">
        <v>13610</v>
      </c>
      <c r="U1748" t="s">
        <v>13610</v>
      </c>
      <c r="V1748" t="s">
        <v>13610</v>
      </c>
      <c r="X1748">
        <v>19</v>
      </c>
      <c r="Z1748" t="s">
        <v>28603</v>
      </c>
      <c r="AA1748">
        <v>0.71462806906655674</v>
      </c>
      <c r="AB1748" t="str">
        <f>HYPERLINK("Melting_Curves/meltCurve_P02774_.pdf", "Melting_Curves/meltCurve_P02774_.pdf")</f>
        <v>Melting_Curves/meltCurve_P02774_.pdf</v>
      </c>
    </row>
    <row r="1749" spans="1:28" x14ac:dyDescent="0.25">
      <c r="A1749" t="s">
        <v>1753</v>
      </c>
      <c r="B1749">
        <v>0.995954080203443</v>
      </c>
      <c r="C1749">
        <v>0.74776944494474895</v>
      </c>
      <c r="D1749">
        <v>0.56016836389386104</v>
      </c>
      <c r="E1749">
        <v>0.57769916285419498</v>
      </c>
      <c r="F1749">
        <v>0.26533628821649402</v>
      </c>
      <c r="G1749">
        <v>0.13351699027293801</v>
      </c>
      <c r="H1749">
        <v>9.2293506398430994E-2</v>
      </c>
      <c r="I1749">
        <v>7.0318099452240698E-2</v>
      </c>
      <c r="J1749">
        <v>6.8434843878622906E-2</v>
      </c>
      <c r="K1749">
        <v>5.6082368402449401E-2</v>
      </c>
      <c r="L1749">
        <v>507.48427007528301</v>
      </c>
      <c r="M1749">
        <v>10.4232674341559</v>
      </c>
      <c r="N1749">
        <v>48.6876379314537</v>
      </c>
      <c r="O1749">
        <v>46.997856297330003</v>
      </c>
      <c r="P1749">
        <v>-5.5468453080666801E-2</v>
      </c>
      <c r="Q1749">
        <v>0</v>
      </c>
      <c r="R1749">
        <v>0.95738677895025803</v>
      </c>
      <c r="S1749" t="s">
        <v>8555</v>
      </c>
      <c r="T1749" t="s">
        <v>13610</v>
      </c>
      <c r="U1749" t="s">
        <v>13610</v>
      </c>
      <c r="V1749" t="s">
        <v>13610</v>
      </c>
      <c r="W1749" t="s">
        <v>15314</v>
      </c>
      <c r="X1749">
        <v>5</v>
      </c>
      <c r="Y1749" t="s">
        <v>22008</v>
      </c>
      <c r="Z1749" t="s">
        <v>28604</v>
      </c>
      <c r="AA1749">
        <v>0.33668391854778479</v>
      </c>
      <c r="AB1749" t="str">
        <f>HYPERLINK("Melting_Curves/meltCurve_P02786_TFRC.pdf", "Melting_Curves/meltCurve_P02786_TFRC.pdf")</f>
        <v>Melting_Curves/meltCurve_P02786_TFRC.pdf</v>
      </c>
    </row>
    <row r="1750" spans="1:28" x14ac:dyDescent="0.25">
      <c r="A1750" t="s">
        <v>1754</v>
      </c>
      <c r="B1750">
        <v>0.995954080203443</v>
      </c>
      <c r="C1750">
        <v>0.75176160085791699</v>
      </c>
      <c r="D1750">
        <v>0.63957046795133299</v>
      </c>
      <c r="E1750">
        <v>0.83259458934756603</v>
      </c>
      <c r="F1750">
        <v>0.58363056687519699</v>
      </c>
      <c r="G1750">
        <v>0.41134698535764103</v>
      </c>
      <c r="H1750">
        <v>0.30267833487726697</v>
      </c>
      <c r="I1750">
        <v>0.46777851828025302</v>
      </c>
      <c r="J1750">
        <v>0.44483327879784301</v>
      </c>
      <c r="K1750">
        <v>2.4544045441577702</v>
      </c>
      <c r="L1750">
        <v>10161.696127344199</v>
      </c>
      <c r="M1750">
        <v>250</v>
      </c>
      <c r="O1750">
        <v>40.6441833945224</v>
      </c>
      <c r="P1750">
        <v>-0.36075298834750802</v>
      </c>
      <c r="Q1750">
        <v>0.76539983043496995</v>
      </c>
      <c r="R1750">
        <v>1.37274883159423E-2</v>
      </c>
      <c r="S1750" t="s">
        <v>8556</v>
      </c>
      <c r="T1750" t="s">
        <v>13610</v>
      </c>
      <c r="U1750" t="s">
        <v>13610</v>
      </c>
      <c r="V1750" t="s">
        <v>13610</v>
      </c>
      <c r="W1750" t="s">
        <v>15315</v>
      </c>
      <c r="X1750">
        <v>2</v>
      </c>
      <c r="Y1750" t="s">
        <v>22009</v>
      </c>
      <c r="Z1750" t="s">
        <v>28605</v>
      </c>
      <c r="AA1750">
        <v>0.77049568464172269</v>
      </c>
      <c r="AB1750" t="str">
        <f>HYPERLINK("Melting_Curves/meltCurve_P02792_FTL.pdf", "Melting_Curves/meltCurve_P02792_FTL.pdf")</f>
        <v>Melting_Curves/meltCurve_P02792_FTL.pdf</v>
      </c>
    </row>
    <row r="1751" spans="1:28" x14ac:dyDescent="0.25">
      <c r="A1751" t="s">
        <v>1755</v>
      </c>
      <c r="B1751">
        <v>0.995954080203443</v>
      </c>
      <c r="C1751">
        <v>0.81557697554154696</v>
      </c>
      <c r="D1751">
        <v>0.725632411185133</v>
      </c>
      <c r="E1751">
        <v>0.80240393114814301</v>
      </c>
      <c r="F1751">
        <v>0.51314949287953704</v>
      </c>
      <c r="G1751">
        <v>0.37546513025676898</v>
      </c>
      <c r="H1751">
        <v>0.20621629622305501</v>
      </c>
      <c r="I1751">
        <v>0.24109200409234499</v>
      </c>
      <c r="J1751">
        <v>0.20449437852394001</v>
      </c>
      <c r="K1751">
        <v>0.75826556292626102</v>
      </c>
      <c r="L1751">
        <v>638.87561106340502</v>
      </c>
      <c r="M1751">
        <v>13.054622746648899</v>
      </c>
      <c r="N1751">
        <v>53.488945771233901</v>
      </c>
      <c r="O1751">
        <v>47.8330116768322</v>
      </c>
      <c r="P1751">
        <v>-4.5359681485526798E-2</v>
      </c>
      <c r="Q1751">
        <v>0.33531188086074298</v>
      </c>
      <c r="R1751">
        <v>0.62745532748670296</v>
      </c>
      <c r="S1751" t="s">
        <v>8557</v>
      </c>
      <c r="T1751" t="s">
        <v>13610</v>
      </c>
      <c r="U1751" t="s">
        <v>13610</v>
      </c>
      <c r="V1751" t="s">
        <v>13610</v>
      </c>
      <c r="W1751" t="s">
        <v>15316</v>
      </c>
      <c r="X1751">
        <v>10</v>
      </c>
      <c r="Y1751" t="s">
        <v>22010</v>
      </c>
      <c r="Z1751" t="s">
        <v>28606</v>
      </c>
      <c r="AA1751">
        <v>0.55455718368774476</v>
      </c>
      <c r="AB1751" t="str">
        <f>HYPERLINK("Melting_Curves/meltCurve_P02794_FTH1.pdf", "Melting_Curves/meltCurve_P02794_FTH1.pdf")</f>
        <v>Melting_Curves/meltCurve_P02794_FTH1.pdf</v>
      </c>
    </row>
    <row r="1752" spans="1:28" x14ac:dyDescent="0.25">
      <c r="A1752" t="s">
        <v>1756</v>
      </c>
      <c r="B1752">
        <v>0.995954080203443</v>
      </c>
      <c r="C1752">
        <v>0.93253611442070505</v>
      </c>
      <c r="D1752">
        <v>0.73624700250092201</v>
      </c>
      <c r="E1752">
        <v>0.72033146416979599</v>
      </c>
      <c r="F1752">
        <v>0.43131967264505</v>
      </c>
      <c r="G1752">
        <v>0.30767363721094598</v>
      </c>
      <c r="H1752">
        <v>0.28333526583697899</v>
      </c>
      <c r="I1752">
        <v>0.375824385871463</v>
      </c>
      <c r="J1752">
        <v>0.53229489179942302</v>
      </c>
      <c r="K1752">
        <v>0.54312478162189803</v>
      </c>
      <c r="L1752">
        <v>888.94003762447096</v>
      </c>
      <c r="M1752">
        <v>18.617028243575099</v>
      </c>
      <c r="N1752">
        <v>52.437199116674797</v>
      </c>
      <c r="O1752">
        <v>47.208068307517898</v>
      </c>
      <c r="P1752">
        <v>-5.8627956399684301E-2</v>
      </c>
      <c r="Q1752">
        <v>0.40536309539438198</v>
      </c>
      <c r="R1752">
        <v>0.83450205160413904</v>
      </c>
      <c r="S1752" t="s">
        <v>8558</v>
      </c>
      <c r="T1752" t="s">
        <v>13610</v>
      </c>
      <c r="U1752" t="s">
        <v>13610</v>
      </c>
      <c r="V1752" t="s">
        <v>13610</v>
      </c>
      <c r="X1752">
        <v>7</v>
      </c>
      <c r="Z1752" t="s">
        <v>28607</v>
      </c>
      <c r="AA1752">
        <v>0.56885653573579131</v>
      </c>
      <c r="AB1752" t="str">
        <f>HYPERLINK("Melting_Curves/meltCurve_P04004_.pdf", "Melting_Curves/meltCurve_P04004_.pdf")</f>
        <v>Melting_Curves/meltCurve_P04004_.pdf</v>
      </c>
    </row>
    <row r="1753" spans="1:28" x14ac:dyDescent="0.25">
      <c r="A1753" t="s">
        <v>1757</v>
      </c>
      <c r="B1753">
        <v>0.995954080203443</v>
      </c>
      <c r="C1753">
        <v>0.89842646320111097</v>
      </c>
      <c r="D1753">
        <v>0.79168173846145395</v>
      </c>
      <c r="E1753">
        <v>0.86917078110522294</v>
      </c>
      <c r="F1753">
        <v>0.64331498519740005</v>
      </c>
      <c r="G1753">
        <v>0.48424076764795199</v>
      </c>
      <c r="H1753">
        <v>0.300459448366594</v>
      </c>
      <c r="I1753">
        <v>0.301221924033093</v>
      </c>
      <c r="J1753">
        <v>0.14556448048585299</v>
      </c>
      <c r="K1753">
        <v>9.1761292143360207E-2</v>
      </c>
      <c r="L1753">
        <v>543.43608285829396</v>
      </c>
      <c r="M1753">
        <v>9.6309430251138508</v>
      </c>
      <c r="N1753">
        <v>56.426070545983301</v>
      </c>
      <c r="O1753">
        <v>54.154294370574</v>
      </c>
      <c r="P1753">
        <v>-4.4485617834911E-2</v>
      </c>
      <c r="Q1753">
        <v>0</v>
      </c>
      <c r="R1753">
        <v>0.96890104224349005</v>
      </c>
      <c r="S1753" t="s">
        <v>8559</v>
      </c>
      <c r="T1753" t="s">
        <v>13610</v>
      </c>
      <c r="U1753" t="s">
        <v>13610</v>
      </c>
      <c r="V1753" t="s">
        <v>13610</v>
      </c>
      <c r="W1753" t="s">
        <v>15317</v>
      </c>
      <c r="X1753">
        <v>27</v>
      </c>
      <c r="Y1753" t="s">
        <v>22011</v>
      </c>
      <c r="Z1753" t="s">
        <v>28608</v>
      </c>
      <c r="AA1753">
        <v>0.5662305173134482</v>
      </c>
      <c r="AB1753" t="str">
        <f>HYPERLINK("Melting_Curves/meltCurve_P04040_CAT.pdf", "Melting_Curves/meltCurve_P04040_CAT.pdf")</f>
        <v>Melting_Curves/meltCurve_P04040_CAT.pdf</v>
      </c>
    </row>
    <row r="1754" spans="1:28" x14ac:dyDescent="0.25">
      <c r="A1754" t="s">
        <v>1758</v>
      </c>
      <c r="B1754">
        <v>0.995954080203443</v>
      </c>
      <c r="C1754">
        <v>0.976465826125688</v>
      </c>
      <c r="D1754">
        <v>0.84620642855735995</v>
      </c>
      <c r="E1754">
        <v>0.725795970762668</v>
      </c>
      <c r="F1754">
        <v>0.63719681701391095</v>
      </c>
      <c r="G1754">
        <v>0.43677504819537999</v>
      </c>
      <c r="H1754">
        <v>0.17383556426035099</v>
      </c>
      <c r="I1754">
        <v>7.37655175931618E-2</v>
      </c>
      <c r="J1754">
        <v>9.3573796578379498E-2</v>
      </c>
      <c r="K1754">
        <v>6.3170689352509496E-2</v>
      </c>
      <c r="L1754">
        <v>680.52406003505996</v>
      </c>
      <c r="M1754">
        <v>12.4586080798328</v>
      </c>
      <c r="N1754">
        <v>54.6228001743373</v>
      </c>
      <c r="O1754">
        <v>53.272767533371002</v>
      </c>
      <c r="P1754">
        <v>-5.8478306326815603E-2</v>
      </c>
      <c r="Q1754">
        <v>0</v>
      </c>
      <c r="R1754">
        <v>0.98678093653471799</v>
      </c>
      <c r="S1754" t="s">
        <v>8560</v>
      </c>
      <c r="T1754" t="s">
        <v>13610</v>
      </c>
      <c r="U1754" t="s">
        <v>13610</v>
      </c>
      <c r="V1754" t="s">
        <v>13610</v>
      </c>
      <c r="W1754" t="s">
        <v>15318</v>
      </c>
      <c r="X1754">
        <v>10</v>
      </c>
      <c r="Y1754" t="s">
        <v>22012</v>
      </c>
      <c r="Z1754" t="s">
        <v>28609</v>
      </c>
      <c r="AA1754">
        <v>0.51119007927314541</v>
      </c>
      <c r="AB1754" t="str">
        <f>HYPERLINK("Melting_Curves/meltCurve_P04066_FUCA1.pdf", "Melting_Curves/meltCurve_P04066_FUCA1.pdf")</f>
        <v>Melting_Curves/meltCurve_P04066_FUCA1.pdf</v>
      </c>
    </row>
    <row r="1755" spans="1:28" x14ac:dyDescent="0.25">
      <c r="A1755" t="s">
        <v>1759</v>
      </c>
      <c r="B1755">
        <v>0.995954080203443</v>
      </c>
      <c r="C1755">
        <v>1.0880750181046399</v>
      </c>
      <c r="D1755">
        <v>0.826968039691234</v>
      </c>
      <c r="E1755">
        <v>1.0185875066299099</v>
      </c>
      <c r="F1755">
        <v>0.69271369941997596</v>
      </c>
      <c r="G1755">
        <v>0.76841928269551496</v>
      </c>
      <c r="H1755">
        <v>0.468984637528155</v>
      </c>
      <c r="I1755">
        <v>0.43562419912195</v>
      </c>
      <c r="J1755">
        <v>0.13372044735308</v>
      </c>
      <c r="K1755">
        <v>8.9693242071495302E-2</v>
      </c>
      <c r="L1755">
        <v>769.07792389328097</v>
      </c>
      <c r="M1755">
        <v>12.720409295355401</v>
      </c>
      <c r="N1755">
        <v>60.460155577539297</v>
      </c>
      <c r="O1755">
        <v>59.024346867431099</v>
      </c>
      <c r="P1755">
        <v>-5.3888165802804797E-2</v>
      </c>
      <c r="Q1755">
        <v>0</v>
      </c>
      <c r="R1755">
        <v>0.91617435613429898</v>
      </c>
      <c r="S1755" t="s">
        <v>8561</v>
      </c>
      <c r="T1755" t="s">
        <v>13610</v>
      </c>
      <c r="U1755" t="s">
        <v>13610</v>
      </c>
      <c r="V1755" t="s">
        <v>13610</v>
      </c>
      <c r="W1755" t="s">
        <v>15319</v>
      </c>
      <c r="X1755">
        <v>40</v>
      </c>
      <c r="Y1755" t="s">
        <v>21150</v>
      </c>
      <c r="Z1755" t="s">
        <v>28610</v>
      </c>
      <c r="AA1755">
        <v>0.6833072577208712</v>
      </c>
      <c r="AB1755" t="str">
        <f>HYPERLINK("Melting_Curves/meltCurve_P04075_ALDOA.pdf", "Melting_Curves/meltCurve_P04075_ALDOA.pdf")</f>
        <v>Melting_Curves/meltCurve_P04075_ALDOA.pdf</v>
      </c>
    </row>
    <row r="1756" spans="1:28" x14ac:dyDescent="0.25">
      <c r="A1756" t="s">
        <v>1760</v>
      </c>
      <c r="B1756">
        <v>0.995954080203443</v>
      </c>
      <c r="C1756">
        <v>1.24389370632048</v>
      </c>
      <c r="D1756">
        <v>1.2659874209453299</v>
      </c>
      <c r="E1756">
        <v>1.2580395339675601</v>
      </c>
      <c r="F1756">
        <v>1.0877473122408801</v>
      </c>
      <c r="G1756">
        <v>1.04026947524936</v>
      </c>
      <c r="H1756">
        <v>0.79893071286366502</v>
      </c>
      <c r="I1756">
        <v>0.63988372343091704</v>
      </c>
      <c r="J1756">
        <v>0.50088400067789995</v>
      </c>
      <c r="K1756">
        <v>0.423488338385131</v>
      </c>
      <c r="L1756">
        <v>1977.1152945649001</v>
      </c>
      <c r="M1756">
        <v>31.486816614036201</v>
      </c>
      <c r="N1756">
        <v>66.581381924821301</v>
      </c>
      <c r="O1756">
        <v>62.540199426097203</v>
      </c>
      <c r="P1756">
        <v>-7.3418839970757599E-2</v>
      </c>
      <c r="Q1756">
        <v>0.41669507361858199</v>
      </c>
      <c r="R1756">
        <v>0.76632709068085003</v>
      </c>
      <c r="S1756" t="s">
        <v>8562</v>
      </c>
      <c r="T1756" t="s">
        <v>13610</v>
      </c>
      <c r="U1756" t="s">
        <v>13610</v>
      </c>
      <c r="V1756" t="s">
        <v>13610</v>
      </c>
      <c r="W1756" t="s">
        <v>15320</v>
      </c>
      <c r="X1756">
        <v>6</v>
      </c>
      <c r="Y1756" t="s">
        <v>22013</v>
      </c>
      <c r="Z1756" t="s">
        <v>28611</v>
      </c>
      <c r="AA1756">
        <v>0.86196232968639852</v>
      </c>
      <c r="AB1756" t="str">
        <f>HYPERLINK("Melting_Curves/meltCurve_P04080_CSTB.pdf", "Melting_Curves/meltCurve_P04080_CSTB.pdf")</f>
        <v>Melting_Curves/meltCurve_P04080_CSTB.pdf</v>
      </c>
    </row>
    <row r="1757" spans="1:28" x14ac:dyDescent="0.25">
      <c r="A1757" t="s">
        <v>1761</v>
      </c>
      <c r="B1757">
        <v>0.995954080203443</v>
      </c>
      <c r="C1757">
        <v>0.999260084378913</v>
      </c>
      <c r="D1757">
        <v>1.15339021804831</v>
      </c>
      <c r="E1757">
        <v>0.59551693174604003</v>
      </c>
      <c r="F1757">
        <v>0.14398530024915901</v>
      </c>
      <c r="G1757">
        <v>8.3446416243618801E-2</v>
      </c>
      <c r="H1757">
        <v>4.8392455571790102E-2</v>
      </c>
      <c r="I1757">
        <v>4.0495994413912398E-2</v>
      </c>
      <c r="J1757">
        <v>4.21679584117296E-2</v>
      </c>
      <c r="K1757">
        <v>3.5770338047250702E-2</v>
      </c>
      <c r="L1757">
        <v>2624.5837472671201</v>
      </c>
      <c r="M1757">
        <v>52.147899639044397</v>
      </c>
      <c r="N1757">
        <v>50.439674280035703</v>
      </c>
      <c r="O1757">
        <v>50.255778099377601</v>
      </c>
      <c r="P1757">
        <v>-0.245462651767135</v>
      </c>
      <c r="Q1757">
        <v>5.3775520972162698E-2</v>
      </c>
      <c r="R1757">
        <v>0.98598875318479795</v>
      </c>
      <c r="S1757" t="s">
        <v>8563</v>
      </c>
      <c r="T1757" t="s">
        <v>13610</v>
      </c>
      <c r="U1757" t="s">
        <v>13610</v>
      </c>
      <c r="V1757" t="s">
        <v>13610</v>
      </c>
      <c r="W1757" t="s">
        <v>15321</v>
      </c>
      <c r="X1757">
        <v>29</v>
      </c>
      <c r="Y1757" t="s">
        <v>22014</v>
      </c>
      <c r="Z1757" t="s">
        <v>28612</v>
      </c>
      <c r="AA1757">
        <v>0.38151034278168189</v>
      </c>
      <c r="AB1757" t="str">
        <f>HYPERLINK("Melting_Curves/meltCurve_P04083_ANXA1.pdf", "Melting_Curves/meltCurve_P04083_ANXA1.pdf")</f>
        <v>Melting_Curves/meltCurve_P04083_ANXA1.pdf</v>
      </c>
    </row>
    <row r="1758" spans="1:28" x14ac:dyDescent="0.25">
      <c r="A1758" t="s">
        <v>1762</v>
      </c>
      <c r="B1758">
        <v>0.995954080203443</v>
      </c>
      <c r="C1758">
        <v>1.0011758401550099</v>
      </c>
      <c r="D1758">
        <v>1.0294818499874001</v>
      </c>
      <c r="E1758">
        <v>0.904834073707935</v>
      </c>
      <c r="F1758">
        <v>0.95973560143445402</v>
      </c>
      <c r="G1758">
        <v>0.75944969324454603</v>
      </c>
      <c r="H1758">
        <v>0.74461142438053995</v>
      </c>
      <c r="I1758">
        <v>0.89230489840719895</v>
      </c>
      <c r="J1758">
        <v>1.1008133383411101</v>
      </c>
      <c r="K1758">
        <v>1.0899732223190399</v>
      </c>
      <c r="L1758">
        <v>15000</v>
      </c>
      <c r="M1758">
        <v>227.70943822095001</v>
      </c>
      <c r="O1758">
        <v>65.868336472490299</v>
      </c>
      <c r="P1758">
        <v>8.3209885867676803E-2</v>
      </c>
      <c r="Q1758">
        <v>1.0962787875006399</v>
      </c>
      <c r="R1758">
        <v>-6.6021893252690395E-2</v>
      </c>
      <c r="S1758" t="s">
        <v>8564</v>
      </c>
      <c r="T1758" t="s">
        <v>13610</v>
      </c>
      <c r="U1758" t="s">
        <v>13610</v>
      </c>
      <c r="V1758" t="s">
        <v>13610</v>
      </c>
      <c r="W1758" t="s">
        <v>15322</v>
      </c>
      <c r="X1758">
        <v>12</v>
      </c>
      <c r="Y1758" t="s">
        <v>22015</v>
      </c>
      <c r="Z1758" t="s">
        <v>28613</v>
      </c>
      <c r="AA1758">
        <v>1.013229981057955</v>
      </c>
      <c r="AB1758" t="str">
        <f>HYPERLINK("Melting_Curves/meltCurve_P04150_2_NR3C1.pdf", "Melting_Curves/meltCurve_P04150_2_NR3C1.pdf")</f>
        <v>Melting_Curves/meltCurve_P04150_2_NR3C1.pdf</v>
      </c>
    </row>
    <row r="1759" spans="1:28" x14ac:dyDescent="0.25">
      <c r="A1759" t="s">
        <v>1763</v>
      </c>
      <c r="B1759">
        <v>0.995954080203443</v>
      </c>
      <c r="C1759">
        <v>0.79506999072126106</v>
      </c>
      <c r="D1759">
        <v>0.49803518209269299</v>
      </c>
      <c r="E1759">
        <v>0.33189868664650002</v>
      </c>
      <c r="F1759">
        <v>0.16459187591506</v>
      </c>
      <c r="G1759">
        <v>9.4164856747905895E-2</v>
      </c>
      <c r="H1759">
        <v>5.9508924052423598E-2</v>
      </c>
      <c r="I1759">
        <v>5.4825185979350002E-2</v>
      </c>
      <c r="J1759">
        <v>4.3193953902494302E-2</v>
      </c>
      <c r="K1759">
        <v>2.9969190611468501E-2</v>
      </c>
      <c r="L1759">
        <v>718.04299840861404</v>
      </c>
      <c r="M1759">
        <v>15.4489022945227</v>
      </c>
      <c r="N1759">
        <v>46.723918769330297</v>
      </c>
      <c r="O1759">
        <v>45.7206946470031</v>
      </c>
      <c r="P1759">
        <v>-8.1190644713677401E-2</v>
      </c>
      <c r="Q1759">
        <v>3.8958615132275602E-2</v>
      </c>
      <c r="R1759">
        <v>0.98974210912921501</v>
      </c>
      <c r="S1759" t="s">
        <v>8565</v>
      </c>
      <c r="T1759" t="s">
        <v>13610</v>
      </c>
      <c r="U1759" t="s">
        <v>13610</v>
      </c>
      <c r="V1759" t="s">
        <v>13610</v>
      </c>
      <c r="W1759" t="s">
        <v>15323</v>
      </c>
      <c r="X1759">
        <v>15</v>
      </c>
      <c r="Y1759" t="s">
        <v>22016</v>
      </c>
      <c r="Z1759" t="s">
        <v>28614</v>
      </c>
      <c r="AA1759">
        <v>0.27191826767384358</v>
      </c>
      <c r="AB1759" t="str">
        <f>HYPERLINK("Melting_Curves/meltCurve_P04181_OAT.pdf", "Melting_Curves/meltCurve_P04181_OAT.pdf")</f>
        <v>Melting_Curves/meltCurve_P04181_OAT.pdf</v>
      </c>
    </row>
    <row r="1760" spans="1:28" x14ac:dyDescent="0.25">
      <c r="A1760" t="s">
        <v>1764</v>
      </c>
      <c r="B1760">
        <v>0.995954080203443</v>
      </c>
      <c r="C1760">
        <v>1.0289811495095</v>
      </c>
      <c r="D1760">
        <v>0.99588942068692099</v>
      </c>
      <c r="E1760">
        <v>0.92389655966011097</v>
      </c>
      <c r="F1760">
        <v>0.81028792898638602</v>
      </c>
      <c r="G1760">
        <v>0.691288528924768</v>
      </c>
      <c r="H1760">
        <v>0.58603010109477305</v>
      </c>
      <c r="I1760">
        <v>0.65186101574029398</v>
      </c>
      <c r="J1760">
        <v>0.67646968068447899</v>
      </c>
      <c r="K1760">
        <v>0.67424314725413603</v>
      </c>
      <c r="L1760">
        <v>1515.4984553132399</v>
      </c>
      <c r="M1760">
        <v>28.834254416673399</v>
      </c>
      <c r="O1760">
        <v>52.308113631726499</v>
      </c>
      <c r="P1760">
        <v>-4.8529300890398801E-2</v>
      </c>
      <c r="Q1760">
        <v>0.64785544900804104</v>
      </c>
      <c r="R1760">
        <v>0.97150582804206498</v>
      </c>
      <c r="S1760" t="s">
        <v>8566</v>
      </c>
      <c r="T1760" t="s">
        <v>13610</v>
      </c>
      <c r="U1760" t="s">
        <v>13610</v>
      </c>
      <c r="V1760" t="s">
        <v>13610</v>
      </c>
      <c r="W1760" t="s">
        <v>15324</v>
      </c>
      <c r="X1760">
        <v>15</v>
      </c>
      <c r="Y1760" t="s">
        <v>22017</v>
      </c>
      <c r="Z1760" t="s">
        <v>28615</v>
      </c>
      <c r="AA1760">
        <v>0.79772736328201721</v>
      </c>
      <c r="AB1760" t="str">
        <f>HYPERLINK("Melting_Curves/meltCurve_P04183_TK1.pdf", "Melting_Curves/meltCurve_P04183_TK1.pdf")</f>
        <v>Melting_Curves/meltCurve_P04183_TK1.pdf</v>
      </c>
    </row>
    <row r="1761" spans="1:28" x14ac:dyDescent="0.25">
      <c r="A1761" t="s">
        <v>1765</v>
      </c>
      <c r="B1761">
        <v>0.995954080203443</v>
      </c>
      <c r="C1761">
        <v>1.42533097308932</v>
      </c>
      <c r="D1761">
        <v>1.15465618350167</v>
      </c>
      <c r="E1761">
        <v>0.96224015493000203</v>
      </c>
      <c r="F1761">
        <v>1.23867316452889</v>
      </c>
      <c r="G1761">
        <v>0.48962126406175099</v>
      </c>
      <c r="H1761">
        <v>0.77330434810509896</v>
      </c>
      <c r="I1761">
        <v>0.98298980244145295</v>
      </c>
      <c r="J1761">
        <v>1.0254260759386999</v>
      </c>
      <c r="K1761">
        <v>0.63778872270972498</v>
      </c>
      <c r="L1761">
        <v>2725.0388136558799</v>
      </c>
      <c r="M1761">
        <v>49.710833639091497</v>
      </c>
      <c r="O1761">
        <v>54.729307478350599</v>
      </c>
      <c r="P1761">
        <v>-4.7148092633758298E-2</v>
      </c>
      <c r="Q1761">
        <v>0.79236876508049503</v>
      </c>
      <c r="R1761">
        <v>0.27878829061487598</v>
      </c>
      <c r="S1761" t="s">
        <v>8567</v>
      </c>
      <c r="T1761" t="s">
        <v>13610</v>
      </c>
      <c r="U1761" t="s">
        <v>13610</v>
      </c>
      <c r="V1761" t="s">
        <v>13610</v>
      </c>
      <c r="W1761" t="s">
        <v>15325</v>
      </c>
      <c r="X1761">
        <v>47</v>
      </c>
      <c r="Y1761" t="s">
        <v>22018</v>
      </c>
      <c r="Z1761" t="s">
        <v>28616</v>
      </c>
      <c r="AA1761">
        <v>0.89543108606541277</v>
      </c>
      <c r="AB1761" t="str">
        <f>HYPERLINK("Melting_Curves/meltCurve_P04264_KRT1.pdf", "Melting_Curves/meltCurve_P04264_KRT1.pdf")</f>
        <v>Melting_Curves/meltCurve_P04264_KRT1.pdf</v>
      </c>
    </row>
    <row r="1762" spans="1:28" x14ac:dyDescent="0.25">
      <c r="A1762" t="s">
        <v>1766</v>
      </c>
      <c r="B1762">
        <v>0.995954080203443</v>
      </c>
      <c r="C1762">
        <v>0.58362010317660695</v>
      </c>
      <c r="D1762">
        <v>0.37848482216178603</v>
      </c>
      <c r="E1762">
        <v>0.385926024518567</v>
      </c>
      <c r="F1762">
        <v>0.23901834413551301</v>
      </c>
      <c r="G1762">
        <v>0.137922349965824</v>
      </c>
      <c r="H1762">
        <v>9.4371250331261203E-2</v>
      </c>
      <c r="I1762">
        <v>0.103485099835948</v>
      </c>
      <c r="J1762">
        <v>0.10606535847361501</v>
      </c>
      <c r="K1762">
        <v>9.2127215616993996E-2</v>
      </c>
      <c r="L1762">
        <v>618.00313531000495</v>
      </c>
      <c r="M1762">
        <v>13.8496895547443</v>
      </c>
      <c r="N1762">
        <v>45.389456806542498</v>
      </c>
      <c r="O1762">
        <v>43.722741724193</v>
      </c>
      <c r="P1762">
        <v>-7.0935254955394295E-2</v>
      </c>
      <c r="Q1762">
        <v>0.104368291863378</v>
      </c>
      <c r="R1762">
        <v>0.93040781326400901</v>
      </c>
      <c r="S1762" t="s">
        <v>8568</v>
      </c>
      <c r="T1762" t="s">
        <v>13610</v>
      </c>
      <c r="U1762" t="s">
        <v>13610</v>
      </c>
      <c r="V1762" t="s">
        <v>13610</v>
      </c>
      <c r="W1762" t="s">
        <v>15326</v>
      </c>
      <c r="X1762">
        <v>22</v>
      </c>
      <c r="Y1762" t="s">
        <v>22019</v>
      </c>
      <c r="Z1762" t="s">
        <v>28617</v>
      </c>
      <c r="AA1762">
        <v>0.27769403925200431</v>
      </c>
      <c r="AB1762" t="str">
        <f>HYPERLINK("Melting_Curves/meltCurve_P04350_TUBB4A.pdf", "Melting_Curves/meltCurve_P04350_TUBB4A.pdf")</f>
        <v>Melting_Curves/meltCurve_P04350_TUBB4A.pdf</v>
      </c>
    </row>
    <row r="1763" spans="1:28" x14ac:dyDescent="0.25">
      <c r="A1763" t="s">
        <v>1767</v>
      </c>
      <c r="B1763">
        <v>0.995954080203443</v>
      </c>
      <c r="C1763">
        <v>0.96852600836728198</v>
      </c>
      <c r="D1763">
        <v>0.91017400476719901</v>
      </c>
      <c r="E1763">
        <v>0.87514270830387397</v>
      </c>
      <c r="F1763">
        <v>0.72097298640641505</v>
      </c>
      <c r="G1763">
        <v>0.56087333484912605</v>
      </c>
      <c r="H1763">
        <v>0.20529993180071399</v>
      </c>
      <c r="I1763">
        <v>8.4874150488324196E-2</v>
      </c>
      <c r="J1763">
        <v>7.5676447174477496E-2</v>
      </c>
      <c r="K1763">
        <v>7.3674460794956501E-2</v>
      </c>
      <c r="L1763">
        <v>894.77767455888898</v>
      </c>
      <c r="M1763">
        <v>15.7963802453387</v>
      </c>
      <c r="N1763">
        <v>56.644475567155801</v>
      </c>
      <c r="O1763">
        <v>55.759971537481597</v>
      </c>
      <c r="P1763">
        <v>-7.0828951049890995E-2</v>
      </c>
      <c r="Q1763">
        <v>0</v>
      </c>
      <c r="R1763">
        <v>0.98709378285807203</v>
      </c>
      <c r="S1763" t="s">
        <v>8569</v>
      </c>
      <c r="T1763" t="s">
        <v>13610</v>
      </c>
      <c r="U1763" t="s">
        <v>13610</v>
      </c>
      <c r="V1763" t="s">
        <v>13610</v>
      </c>
      <c r="W1763" t="s">
        <v>15327</v>
      </c>
      <c r="X1763">
        <v>30</v>
      </c>
      <c r="Y1763" t="s">
        <v>22020</v>
      </c>
      <c r="Z1763" t="s">
        <v>28618</v>
      </c>
      <c r="AA1763">
        <v>0.57074992724596973</v>
      </c>
      <c r="AB1763" t="str">
        <f>HYPERLINK("Melting_Curves/meltCurve_P04406_GAPDH.pdf", "Melting_Curves/meltCurve_P04406_GAPDH.pdf")</f>
        <v>Melting_Curves/meltCurve_P04406_GAPDH.pdf</v>
      </c>
    </row>
    <row r="1764" spans="1:28" x14ac:dyDescent="0.25">
      <c r="A1764" t="s">
        <v>1768</v>
      </c>
      <c r="B1764">
        <v>0.995954080203443</v>
      </c>
      <c r="C1764">
        <v>0.92810984293486798</v>
      </c>
      <c r="D1764">
        <v>0.89379523776816705</v>
      </c>
      <c r="E1764">
        <v>0.84080659985719797</v>
      </c>
      <c r="F1764">
        <v>0.72867771218060595</v>
      </c>
      <c r="G1764">
        <v>0.37832249404941398</v>
      </c>
      <c r="H1764">
        <v>0.118620693397718</v>
      </c>
      <c r="I1764">
        <v>0.106829609975265</v>
      </c>
      <c r="J1764">
        <v>0.122359173391052</v>
      </c>
      <c r="K1764">
        <v>0.11157114785861801</v>
      </c>
      <c r="L1764">
        <v>1068.57101613187</v>
      </c>
      <c r="M1764">
        <v>19.502104383204699</v>
      </c>
      <c r="N1764">
        <v>55.217160617271396</v>
      </c>
      <c r="O1764">
        <v>54.226241284850502</v>
      </c>
      <c r="P1764">
        <v>-8.3653860731863205E-2</v>
      </c>
      <c r="Q1764">
        <v>6.9624235940013199E-2</v>
      </c>
      <c r="R1764">
        <v>0.98453488019285196</v>
      </c>
      <c r="S1764" t="s">
        <v>8570</v>
      </c>
      <c r="T1764" t="s">
        <v>13610</v>
      </c>
      <c r="U1764" t="s">
        <v>13610</v>
      </c>
      <c r="V1764" t="s">
        <v>13610</v>
      </c>
      <c r="W1764" t="s">
        <v>15328</v>
      </c>
      <c r="X1764">
        <v>24</v>
      </c>
      <c r="Y1764" t="s">
        <v>22021</v>
      </c>
      <c r="Z1764" t="s">
        <v>28619</v>
      </c>
      <c r="AA1764">
        <v>0.54131347108509686</v>
      </c>
      <c r="AB1764" t="str">
        <f>HYPERLINK("Melting_Curves/meltCurve_P04424_ASL.pdf", "Melting_Curves/meltCurve_P04424_ASL.pdf")</f>
        <v>Melting_Curves/meltCurve_P04424_ASL.pdf</v>
      </c>
    </row>
    <row r="1765" spans="1:28" x14ac:dyDescent="0.25">
      <c r="A1765" t="s">
        <v>1769</v>
      </c>
      <c r="B1765">
        <v>0.995954080203443</v>
      </c>
      <c r="C1765">
        <v>0.81514461174274</v>
      </c>
      <c r="D1765">
        <v>0.62842638535933903</v>
      </c>
      <c r="E1765">
        <v>0.40355277723066502</v>
      </c>
      <c r="F1765">
        <v>0.19865860550348399</v>
      </c>
      <c r="G1765">
        <v>0.14136345270389999</v>
      </c>
      <c r="H1765">
        <v>1.94564763163044E-2</v>
      </c>
      <c r="I1765">
        <v>2.4796057169234099E-2</v>
      </c>
      <c r="J1765">
        <v>5.5344966839549703E-2</v>
      </c>
      <c r="K1765">
        <v>0</v>
      </c>
      <c r="L1765">
        <v>650.42424813749005</v>
      </c>
      <c r="M1765">
        <v>13.524123369763201</v>
      </c>
      <c r="N1765">
        <v>48.094178220994898</v>
      </c>
      <c r="O1765">
        <v>47.078638522283697</v>
      </c>
      <c r="P1765">
        <v>-7.1822051373725299E-2</v>
      </c>
      <c r="Q1765">
        <v>7.6411311583163104E-5</v>
      </c>
      <c r="R1765">
        <v>0.99222103573723597</v>
      </c>
      <c r="S1765" t="s">
        <v>8571</v>
      </c>
      <c r="T1765" t="s">
        <v>13610</v>
      </c>
      <c r="U1765" t="s">
        <v>13610</v>
      </c>
      <c r="V1765" t="s">
        <v>13610</v>
      </c>
      <c r="W1765" t="s">
        <v>15329</v>
      </c>
      <c r="X1765">
        <v>2</v>
      </c>
      <c r="Y1765" t="s">
        <v>22022</v>
      </c>
      <c r="Z1765" t="s">
        <v>28620</v>
      </c>
      <c r="AA1765">
        <v>0.30112343930736241</v>
      </c>
      <c r="AB1765" t="str">
        <f>HYPERLINK("Melting_Curves/meltCurve_P04629_4_NTRK1.pdf", "Melting_Curves/meltCurve_P04629_4_NTRK1.pdf")</f>
        <v>Melting_Curves/meltCurve_P04629_4_NTRK1.pdf</v>
      </c>
    </row>
    <row r="1766" spans="1:28" x14ac:dyDescent="0.25">
      <c r="A1766" t="s">
        <v>1770</v>
      </c>
      <c r="B1766">
        <v>0.995954080203443</v>
      </c>
      <c r="C1766">
        <v>0.974721992972301</v>
      </c>
      <c r="D1766">
        <v>0.84908481611240405</v>
      </c>
      <c r="E1766">
        <v>0.80916809880797902</v>
      </c>
      <c r="F1766">
        <v>0.64781029065526796</v>
      </c>
      <c r="G1766">
        <v>0.42811006038689298</v>
      </c>
      <c r="H1766">
        <v>0.252625239639789</v>
      </c>
      <c r="I1766">
        <v>0.185633157075074</v>
      </c>
      <c r="J1766">
        <v>0.11536279299013399</v>
      </c>
      <c r="K1766">
        <v>8.3645094926221103E-2</v>
      </c>
      <c r="L1766">
        <v>637.17577286853805</v>
      </c>
      <c r="M1766">
        <v>11.4673080628038</v>
      </c>
      <c r="N1766">
        <v>55.564544924246597</v>
      </c>
      <c r="O1766">
        <v>53.955335392751302</v>
      </c>
      <c r="P1766">
        <v>-5.3148604320824397E-2</v>
      </c>
      <c r="Q1766">
        <v>0</v>
      </c>
      <c r="R1766">
        <v>0.99520079140575901</v>
      </c>
      <c r="S1766" t="s">
        <v>8572</v>
      </c>
      <c r="T1766" t="s">
        <v>13610</v>
      </c>
      <c r="U1766" t="s">
        <v>13610</v>
      </c>
      <c r="V1766" t="s">
        <v>13610</v>
      </c>
      <c r="W1766" t="s">
        <v>15330</v>
      </c>
      <c r="X1766">
        <v>11</v>
      </c>
      <c r="Y1766" t="s">
        <v>22023</v>
      </c>
      <c r="Z1766" t="s">
        <v>28621</v>
      </c>
      <c r="AA1766">
        <v>0.54108041617600733</v>
      </c>
      <c r="AB1766" t="str">
        <f>HYPERLINK("Melting_Curves/meltCurve_P04632_CAPNS1.pdf", "Melting_Curves/meltCurve_P04632_CAPNS1.pdf")</f>
        <v>Melting_Curves/meltCurve_P04632_CAPNS1.pdf</v>
      </c>
    </row>
    <row r="1767" spans="1:28" x14ac:dyDescent="0.25">
      <c r="A1767" t="s">
        <v>1771</v>
      </c>
      <c r="B1767">
        <v>0.995954080203443</v>
      </c>
      <c r="C1767">
        <v>0.59065901457918801</v>
      </c>
      <c r="D1767">
        <v>0.42233863658223603</v>
      </c>
      <c r="E1767">
        <v>0.48201509886403798</v>
      </c>
      <c r="F1767">
        <v>0.338007687304548</v>
      </c>
      <c r="G1767">
        <v>0.19434968255663901</v>
      </c>
      <c r="H1767">
        <v>0.15041999243138299</v>
      </c>
      <c r="I1767">
        <v>0.14778706944615599</v>
      </c>
      <c r="J1767">
        <v>0.18675337408581499</v>
      </c>
      <c r="K1767">
        <v>0.30132842419096401</v>
      </c>
      <c r="L1767">
        <v>619.47160436608794</v>
      </c>
      <c r="M1767">
        <v>13.9863714572314</v>
      </c>
      <c r="N1767">
        <v>46.024053271043201</v>
      </c>
      <c r="O1767">
        <v>43.415152012599798</v>
      </c>
      <c r="P1767">
        <v>-6.4060387888126805E-2</v>
      </c>
      <c r="Q1767">
        <v>0.204705661582708</v>
      </c>
      <c r="R1767">
        <v>0.86975095851185902</v>
      </c>
      <c r="S1767" t="s">
        <v>8573</v>
      </c>
      <c r="T1767" t="s">
        <v>13610</v>
      </c>
      <c r="U1767" t="s">
        <v>13610</v>
      </c>
      <c r="V1767" t="s">
        <v>13610</v>
      </c>
      <c r="W1767" t="s">
        <v>15331</v>
      </c>
      <c r="X1767">
        <v>17</v>
      </c>
      <c r="Y1767" t="s">
        <v>22024</v>
      </c>
      <c r="Z1767" t="s">
        <v>28622</v>
      </c>
      <c r="AA1767">
        <v>0.35044941977380489</v>
      </c>
      <c r="AB1767" t="str">
        <f>HYPERLINK("Melting_Curves/meltCurve_P04792_HSPB1.pdf", "Melting_Curves/meltCurve_P04792_HSPB1.pdf")</f>
        <v>Melting_Curves/meltCurve_P04792_HSPB1.pdf</v>
      </c>
    </row>
    <row r="1768" spans="1:28" x14ac:dyDescent="0.25">
      <c r="A1768" t="s">
        <v>1772</v>
      </c>
      <c r="B1768">
        <v>0.995954080203443</v>
      </c>
      <c r="C1768">
        <v>1.03132196165256</v>
      </c>
      <c r="D1768">
        <v>0.64135916548845795</v>
      </c>
      <c r="E1768">
        <v>0.30895363193627601</v>
      </c>
      <c r="F1768">
        <v>0.16198328062412201</v>
      </c>
      <c r="G1768">
        <v>0.114382845970351</v>
      </c>
      <c r="H1768">
        <v>8.58991526295768E-2</v>
      </c>
      <c r="I1768">
        <v>8.6675491040401703E-2</v>
      </c>
      <c r="J1768">
        <v>9.7491213883538499E-2</v>
      </c>
      <c r="K1768">
        <v>9.3530183360159003E-2</v>
      </c>
      <c r="L1768">
        <v>1189.0841651661101</v>
      </c>
      <c r="M1768">
        <v>25.170270687107699</v>
      </c>
      <c r="N1768">
        <v>47.649332011821798</v>
      </c>
      <c r="O1768">
        <v>46.946458262792099</v>
      </c>
      <c r="P1768">
        <v>-0.121053223690079</v>
      </c>
      <c r="Q1768">
        <v>9.68799609589623E-2</v>
      </c>
      <c r="R1768">
        <v>0.98951320419578703</v>
      </c>
      <c r="S1768" t="s">
        <v>8574</v>
      </c>
      <c r="T1768" t="s">
        <v>13610</v>
      </c>
      <c r="U1768" t="s">
        <v>13610</v>
      </c>
      <c r="V1768" t="s">
        <v>13610</v>
      </c>
      <c r="W1768" t="s">
        <v>15332</v>
      </c>
      <c r="X1768">
        <v>14</v>
      </c>
      <c r="Y1768" t="s">
        <v>22025</v>
      </c>
      <c r="Z1768" t="s">
        <v>28623</v>
      </c>
      <c r="AA1768">
        <v>0.3227935745662332</v>
      </c>
      <c r="AB1768" t="str">
        <f>HYPERLINK("Melting_Curves/meltCurve_P04818_TYMS.pdf", "Melting_Curves/meltCurve_P04818_TYMS.pdf")</f>
        <v>Melting_Curves/meltCurve_P04818_TYMS.pdf</v>
      </c>
    </row>
    <row r="1769" spans="1:28" x14ac:dyDescent="0.25">
      <c r="A1769" t="s">
        <v>1773</v>
      </c>
      <c r="B1769">
        <v>0.995954080203443</v>
      </c>
      <c r="C1769">
        <v>0.86723364247512502</v>
      </c>
      <c r="D1769">
        <v>0.93369148354286002</v>
      </c>
      <c r="E1769">
        <v>0.93822553192604696</v>
      </c>
      <c r="F1769">
        <v>0.45180274934417602</v>
      </c>
      <c r="G1769">
        <v>0.14698164182606899</v>
      </c>
      <c r="H1769">
        <v>0.10628182574351699</v>
      </c>
      <c r="I1769">
        <v>9.0907556437372306E-2</v>
      </c>
      <c r="J1769">
        <v>0.11558116443331801</v>
      </c>
      <c r="K1769">
        <v>0.103742091915909</v>
      </c>
      <c r="L1769">
        <v>2563.58543831835</v>
      </c>
      <c r="M1769">
        <v>48.8174402338419</v>
      </c>
      <c r="N1769">
        <v>52.777530392568202</v>
      </c>
      <c r="O1769">
        <v>52.425825249734501</v>
      </c>
      <c r="P1769">
        <v>-0.20759049432330101</v>
      </c>
      <c r="Q1769">
        <v>0.10826191103194401</v>
      </c>
      <c r="R1769">
        <v>0.98488793825432597</v>
      </c>
      <c r="S1769" t="s">
        <v>8575</v>
      </c>
      <c r="T1769" t="s">
        <v>13610</v>
      </c>
      <c r="U1769" t="s">
        <v>13610</v>
      </c>
      <c r="V1769" t="s">
        <v>13610</v>
      </c>
      <c r="W1769" t="s">
        <v>15333</v>
      </c>
      <c r="X1769">
        <v>15</v>
      </c>
      <c r="Y1769" t="s">
        <v>22026</v>
      </c>
      <c r="Z1769" t="s">
        <v>28624</v>
      </c>
      <c r="AA1769">
        <v>0.48239451331989491</v>
      </c>
      <c r="AB1769" t="str">
        <f>HYPERLINK("Melting_Curves/meltCurve_P04843_RPN1.pdf", "Melting_Curves/meltCurve_P04843_RPN1.pdf")</f>
        <v>Melting_Curves/meltCurve_P04843_RPN1.pdf</v>
      </c>
    </row>
    <row r="1770" spans="1:28" x14ac:dyDescent="0.25">
      <c r="A1770" t="s">
        <v>1774</v>
      </c>
      <c r="B1770">
        <v>0.995954080203443</v>
      </c>
      <c r="C1770">
        <v>0.971756610247412</v>
      </c>
      <c r="D1770">
        <v>0.76019519568573901</v>
      </c>
      <c r="E1770">
        <v>0.98305514882607803</v>
      </c>
      <c r="F1770">
        <v>0.35717485161697299</v>
      </c>
      <c r="G1770">
        <v>0.11724944824356601</v>
      </c>
      <c r="H1770">
        <v>6.6518887181805195E-2</v>
      </c>
      <c r="I1770">
        <v>4.8337417801216698E-2</v>
      </c>
      <c r="J1770">
        <v>5.8088579416935203E-2</v>
      </c>
      <c r="K1770">
        <v>4.7255202366650199E-2</v>
      </c>
      <c r="L1770">
        <v>3932.3260141993101</v>
      </c>
      <c r="M1770">
        <v>74.983481161351804</v>
      </c>
      <c r="N1770">
        <v>52.543122204620602</v>
      </c>
      <c r="O1770">
        <v>52.405308701675096</v>
      </c>
      <c r="P1770">
        <v>-0.33379450513690501</v>
      </c>
      <c r="Q1770">
        <v>6.6855913611930995E-2</v>
      </c>
      <c r="R1770">
        <v>0.96370050671359397</v>
      </c>
      <c r="S1770" t="s">
        <v>8576</v>
      </c>
      <c r="T1770" t="s">
        <v>13610</v>
      </c>
      <c r="U1770" t="s">
        <v>13610</v>
      </c>
      <c r="V1770" t="s">
        <v>13610</v>
      </c>
      <c r="W1770" t="s">
        <v>15334</v>
      </c>
      <c r="X1770">
        <v>6</v>
      </c>
      <c r="Y1770" t="s">
        <v>22027</v>
      </c>
      <c r="Z1770" t="s">
        <v>28625</v>
      </c>
      <c r="AA1770">
        <v>0.45483623653429478</v>
      </c>
      <c r="AB1770" t="str">
        <f>HYPERLINK("Melting_Curves/meltCurve_P04844_2_RPN2.pdf", "Melting_Curves/meltCurve_P04844_2_RPN2.pdf")</f>
        <v>Melting_Curves/meltCurve_P04844_2_RPN2.pdf</v>
      </c>
    </row>
    <row r="1771" spans="1:28" x14ac:dyDescent="0.25">
      <c r="A1771" t="s">
        <v>1775</v>
      </c>
      <c r="B1771">
        <v>0.995954080203443</v>
      </c>
      <c r="C1771">
        <v>0.95679221203386799</v>
      </c>
      <c r="D1771">
        <v>0.87564731777988603</v>
      </c>
      <c r="E1771">
        <v>0.805937913875028</v>
      </c>
      <c r="F1771">
        <v>0.46390405080776398</v>
      </c>
      <c r="G1771">
        <v>0.25138343362597598</v>
      </c>
      <c r="H1771">
        <v>0.222483886507643</v>
      </c>
      <c r="I1771">
        <v>0.24770186744276701</v>
      </c>
      <c r="J1771">
        <v>0.30982674509382602</v>
      </c>
      <c r="K1771">
        <v>0.27737499543879302</v>
      </c>
      <c r="L1771">
        <v>1627.7104245621399</v>
      </c>
      <c r="M1771">
        <v>31.651402166503399</v>
      </c>
      <c r="N1771">
        <v>52.610903752622797</v>
      </c>
      <c r="O1771">
        <v>51.222194316452203</v>
      </c>
      <c r="P1771">
        <v>-0.115111718512136</v>
      </c>
      <c r="Q1771">
        <v>0.25485212249872002</v>
      </c>
      <c r="R1771">
        <v>0.97935033571270602</v>
      </c>
      <c r="S1771" t="s">
        <v>8577</v>
      </c>
      <c r="T1771" t="s">
        <v>13610</v>
      </c>
      <c r="U1771" t="s">
        <v>13610</v>
      </c>
      <c r="V1771" t="s">
        <v>13610</v>
      </c>
      <c r="W1771" t="s">
        <v>15335</v>
      </c>
      <c r="X1771">
        <v>6</v>
      </c>
      <c r="Y1771" t="s">
        <v>22028</v>
      </c>
      <c r="Z1771" t="s">
        <v>28626</v>
      </c>
      <c r="AA1771">
        <v>0.54289704617871182</v>
      </c>
      <c r="AB1771" t="str">
        <f>HYPERLINK("Melting_Curves/meltCurve_P04899_GNAI2.pdf", "Melting_Curves/meltCurve_P04899_GNAI2.pdf")</f>
        <v>Melting_Curves/meltCurve_P04899_GNAI2.pdf</v>
      </c>
    </row>
    <row r="1772" spans="1:28" x14ac:dyDescent="0.25">
      <c r="A1772" t="s">
        <v>1776</v>
      </c>
      <c r="B1772">
        <v>0.995954080203443</v>
      </c>
      <c r="C1772">
        <v>0.81575983486121195</v>
      </c>
      <c r="D1772">
        <v>0.85683474389727299</v>
      </c>
      <c r="E1772">
        <v>0.69007171722326699</v>
      </c>
      <c r="F1772">
        <v>0.670796864713052</v>
      </c>
      <c r="G1772">
        <v>0.50580096264966901</v>
      </c>
      <c r="H1772">
        <v>0.45378889680013101</v>
      </c>
      <c r="I1772">
        <v>0.52639592356748899</v>
      </c>
      <c r="J1772">
        <v>0.65212685279949201</v>
      </c>
      <c r="K1772">
        <v>0.60224839840645605</v>
      </c>
      <c r="L1772">
        <v>642.22699333002595</v>
      </c>
      <c r="M1772">
        <v>13.659212082633401</v>
      </c>
      <c r="O1772">
        <v>46.044440121998001</v>
      </c>
      <c r="P1772">
        <v>-3.3869330280529103E-2</v>
      </c>
      <c r="Q1772">
        <v>0.54338007326967996</v>
      </c>
      <c r="R1772">
        <v>0.82745645824297398</v>
      </c>
      <c r="S1772" t="s">
        <v>8578</v>
      </c>
      <c r="T1772" t="s">
        <v>13610</v>
      </c>
      <c r="U1772" t="s">
        <v>13610</v>
      </c>
      <c r="V1772" t="s">
        <v>13610</v>
      </c>
      <c r="W1772" t="s">
        <v>15336</v>
      </c>
      <c r="X1772">
        <v>5</v>
      </c>
      <c r="Y1772" t="s">
        <v>22029</v>
      </c>
      <c r="Z1772" t="s">
        <v>28627</v>
      </c>
      <c r="AA1772">
        <v>0.66516180916297019</v>
      </c>
      <c r="AB1772" t="str">
        <f>HYPERLINK("Melting_Curves/meltCurve_P04920_2_SLC4A2.pdf", "Melting_Curves/meltCurve_P04920_2_SLC4A2.pdf")</f>
        <v>Melting_Curves/meltCurve_P04920_2_SLC4A2.pdf</v>
      </c>
    </row>
    <row r="1773" spans="1:28" x14ac:dyDescent="0.25">
      <c r="A1773" t="s">
        <v>1777</v>
      </c>
      <c r="B1773">
        <v>0.995954080203443</v>
      </c>
      <c r="C1773">
        <v>0.90224372755174598</v>
      </c>
      <c r="D1773">
        <v>0.80097428220490496</v>
      </c>
      <c r="E1773">
        <v>0.93114345832122103</v>
      </c>
      <c r="F1773">
        <v>0.37698825803230401</v>
      </c>
      <c r="G1773">
        <v>0.15424767571874201</v>
      </c>
      <c r="H1773">
        <v>0.1056300970584</v>
      </c>
      <c r="I1773">
        <v>9.77403263954678E-2</v>
      </c>
      <c r="J1773">
        <v>9.9085712143903201E-2</v>
      </c>
      <c r="K1773">
        <v>0.100412380448185</v>
      </c>
      <c r="L1773">
        <v>2774.92644337817</v>
      </c>
      <c r="M1773">
        <v>53.172701312437901</v>
      </c>
      <c r="N1773">
        <v>52.428818092919201</v>
      </c>
      <c r="O1773">
        <v>52.113393422714402</v>
      </c>
      <c r="P1773">
        <v>-0.227348801308835</v>
      </c>
      <c r="Q1773">
        <v>0.108722407385694</v>
      </c>
      <c r="R1773">
        <v>0.96480024929251396</v>
      </c>
      <c r="S1773" t="s">
        <v>8579</v>
      </c>
      <c r="T1773" t="s">
        <v>13610</v>
      </c>
      <c r="U1773" t="s">
        <v>13610</v>
      </c>
      <c r="V1773" t="s">
        <v>13610</v>
      </c>
      <c r="W1773" t="s">
        <v>15337</v>
      </c>
      <c r="X1773">
        <v>11</v>
      </c>
      <c r="Y1773" t="s">
        <v>22030</v>
      </c>
      <c r="Z1773" t="s">
        <v>28628</v>
      </c>
      <c r="AA1773">
        <v>0.47260349510213912</v>
      </c>
      <c r="AB1773" t="str">
        <f>HYPERLINK("Melting_Curves/meltCurve_P05023_4_ATP1A1.pdf", "Melting_Curves/meltCurve_P05023_4_ATP1A1.pdf")</f>
        <v>Melting_Curves/meltCurve_P05023_4_ATP1A1.pdf</v>
      </c>
    </row>
    <row r="1774" spans="1:28" x14ac:dyDescent="0.25">
      <c r="A1774" t="s">
        <v>1778</v>
      </c>
      <c r="B1774">
        <v>0.995954080203443</v>
      </c>
      <c r="C1774">
        <v>0.87412770368232695</v>
      </c>
      <c r="D1774">
        <v>0.705558185426303</v>
      </c>
      <c r="E1774">
        <v>0.59763036017639604</v>
      </c>
      <c r="F1774">
        <v>0.25396417426996698</v>
      </c>
      <c r="G1774">
        <v>0.11043489436135399</v>
      </c>
      <c r="H1774">
        <v>7.0556985589625199E-2</v>
      </c>
      <c r="I1774">
        <v>6.2573393844928493E-2</v>
      </c>
      <c r="J1774">
        <v>7.0167191645728502E-2</v>
      </c>
      <c r="K1774">
        <v>6.1912583476152798E-2</v>
      </c>
      <c r="L1774">
        <v>710.15908026025204</v>
      </c>
      <c r="M1774">
        <v>14.3096289536663</v>
      </c>
      <c r="N1774">
        <v>49.795531243371499</v>
      </c>
      <c r="O1774">
        <v>48.6890237572049</v>
      </c>
      <c r="P1774">
        <v>-7.1757160521969704E-2</v>
      </c>
      <c r="Q1774">
        <v>2.34934883278381E-2</v>
      </c>
      <c r="R1774">
        <v>0.98152289909335499</v>
      </c>
      <c r="S1774" t="s">
        <v>8580</v>
      </c>
      <c r="T1774" t="s">
        <v>13610</v>
      </c>
      <c r="U1774" t="s">
        <v>13610</v>
      </c>
      <c r="V1774" t="s">
        <v>13610</v>
      </c>
      <c r="W1774" t="s">
        <v>15338</v>
      </c>
      <c r="X1774">
        <v>20</v>
      </c>
      <c r="Y1774" t="s">
        <v>22031</v>
      </c>
      <c r="Z1774" t="s">
        <v>28629</v>
      </c>
      <c r="AA1774">
        <v>0.36254027317796961</v>
      </c>
      <c r="AB1774" t="str">
        <f>HYPERLINK("Melting_Curves/meltCurve_P05091_ALDH2.pdf", "Melting_Curves/meltCurve_P05091_ALDH2.pdf")</f>
        <v>Melting_Curves/meltCurve_P05091_ALDH2.pdf</v>
      </c>
    </row>
    <row r="1775" spans="1:28" x14ac:dyDescent="0.25">
      <c r="A1775" t="s">
        <v>1779</v>
      </c>
      <c r="B1775">
        <v>0.995954080203443</v>
      </c>
      <c r="C1775">
        <v>1.0554147575706501</v>
      </c>
      <c r="D1775">
        <v>1.26887374247458</v>
      </c>
      <c r="E1775">
        <v>1.24029683524349</v>
      </c>
      <c r="F1775">
        <v>1.38115752704562</v>
      </c>
      <c r="G1775">
        <v>1.4198276439286199</v>
      </c>
      <c r="H1775">
        <v>1.60385842191177</v>
      </c>
      <c r="I1775">
        <v>2.1948098100109599</v>
      </c>
      <c r="J1775">
        <v>1.70629379431144</v>
      </c>
      <c r="K1775">
        <v>2.3020065542090502</v>
      </c>
      <c r="L1775">
        <v>891.63253941560095</v>
      </c>
      <c r="M1775">
        <v>18.6985523252958</v>
      </c>
      <c r="O1775">
        <v>47.149221334496097</v>
      </c>
      <c r="P1775">
        <v>4.9574908291129101E-2</v>
      </c>
      <c r="Q1775">
        <v>1.5</v>
      </c>
      <c r="R1775">
        <v>0.31109640532996802</v>
      </c>
      <c r="S1775" t="s">
        <v>8581</v>
      </c>
      <c r="T1775" t="s">
        <v>13610</v>
      </c>
      <c r="U1775" t="s">
        <v>13610</v>
      </c>
      <c r="V1775" t="s">
        <v>13610</v>
      </c>
      <c r="W1775" t="s">
        <v>15339</v>
      </c>
      <c r="X1775">
        <v>14</v>
      </c>
      <c r="Y1775" t="s">
        <v>22032</v>
      </c>
      <c r="Z1775" t="s">
        <v>28630</v>
      </c>
      <c r="AA1775">
        <v>1.363656732846747</v>
      </c>
      <c r="AB1775" t="str">
        <f>HYPERLINK("Melting_Curves/meltCurve_P05114_HMGN1.pdf", "Melting_Curves/meltCurve_P05114_HMGN1.pdf")</f>
        <v>Melting_Curves/meltCurve_P05114_HMGN1.pdf</v>
      </c>
    </row>
    <row r="1776" spans="1:28" x14ac:dyDescent="0.25">
      <c r="A1776" t="s">
        <v>1780</v>
      </c>
      <c r="B1776">
        <v>0.995954080203443</v>
      </c>
      <c r="C1776">
        <v>0.81704996367649996</v>
      </c>
      <c r="D1776">
        <v>0.63896053119480101</v>
      </c>
      <c r="E1776">
        <v>0.78704057442055597</v>
      </c>
      <c r="F1776">
        <v>0.33223921431366998</v>
      </c>
      <c r="G1776">
        <v>0.13380324507359601</v>
      </c>
      <c r="H1776">
        <v>8.4260716740616304E-2</v>
      </c>
      <c r="I1776">
        <v>7.0548254078180495E-2</v>
      </c>
      <c r="J1776">
        <v>8.3886656141604399E-2</v>
      </c>
      <c r="K1776">
        <v>7.55828635054792E-2</v>
      </c>
      <c r="L1776">
        <v>588.93250124114195</v>
      </c>
      <c r="M1776">
        <v>11.587615589700899</v>
      </c>
      <c r="N1776">
        <v>50.824304239997701</v>
      </c>
      <c r="O1776">
        <v>49.38138385853</v>
      </c>
      <c r="P1776">
        <v>-5.8680100788425303E-2</v>
      </c>
      <c r="Q1776">
        <v>0</v>
      </c>
      <c r="R1776">
        <v>0.92118333335423896</v>
      </c>
      <c r="S1776" t="s">
        <v>8582</v>
      </c>
      <c r="T1776" t="s">
        <v>13610</v>
      </c>
      <c r="U1776" t="s">
        <v>13610</v>
      </c>
      <c r="V1776" t="s">
        <v>13610</v>
      </c>
      <c r="W1776" t="s">
        <v>15340</v>
      </c>
      <c r="X1776">
        <v>8</v>
      </c>
      <c r="Y1776" t="s">
        <v>22033</v>
      </c>
      <c r="Z1776" t="s">
        <v>28631</v>
      </c>
      <c r="AA1776">
        <v>0.3954719511906219</v>
      </c>
      <c r="AB1776" t="str">
        <f>HYPERLINK("Melting_Curves/meltCurve_P05141_SLC25A5.pdf", "Melting_Curves/meltCurve_P05141_SLC25A5.pdf")</f>
        <v>Melting_Curves/meltCurve_P05141_SLC25A5.pdf</v>
      </c>
    </row>
    <row r="1777" spans="1:28" x14ac:dyDescent="0.25">
      <c r="A1777" t="s">
        <v>1781</v>
      </c>
      <c r="B1777">
        <v>0.995954080203443</v>
      </c>
      <c r="C1777">
        <v>0.92641988485582305</v>
      </c>
      <c r="D1777">
        <v>1.1385549879677099</v>
      </c>
      <c r="E1777">
        <v>0.737106282852108</v>
      </c>
      <c r="F1777">
        <v>0.397525496182565</v>
      </c>
      <c r="G1777">
        <v>0.10572734625795099</v>
      </c>
      <c r="H1777">
        <v>6.37762309901794E-2</v>
      </c>
      <c r="I1777">
        <v>5.7825149034183801E-2</v>
      </c>
      <c r="J1777">
        <v>6.7262101289601403E-2</v>
      </c>
      <c r="K1777">
        <v>5.75769716893706E-2</v>
      </c>
      <c r="L1777">
        <v>1625.50603019972</v>
      </c>
      <c r="M1777">
        <v>31.346253971098498</v>
      </c>
      <c r="N1777">
        <v>52.065454369417303</v>
      </c>
      <c r="O1777">
        <v>51.646766941879598</v>
      </c>
      <c r="P1777">
        <v>-0.142765312627256</v>
      </c>
      <c r="Q1777">
        <v>5.9111879391383002E-2</v>
      </c>
      <c r="R1777">
        <v>0.98253295555993303</v>
      </c>
      <c r="S1777" t="s">
        <v>8583</v>
      </c>
      <c r="T1777" t="s">
        <v>13610</v>
      </c>
      <c r="U1777" t="s">
        <v>13610</v>
      </c>
      <c r="V1777" t="s">
        <v>13610</v>
      </c>
      <c r="W1777" t="s">
        <v>15341</v>
      </c>
      <c r="X1777">
        <v>5</v>
      </c>
      <c r="Y1777" t="s">
        <v>22034</v>
      </c>
      <c r="Z1777" t="s">
        <v>28632</v>
      </c>
      <c r="AA1777">
        <v>0.43646201466859008</v>
      </c>
      <c r="AB1777" t="str">
        <f>HYPERLINK("Melting_Curves/meltCurve_P05161_ISG15.pdf", "Melting_Curves/meltCurve_P05161_ISG15.pdf")</f>
        <v>Melting_Curves/meltCurve_P05161_ISG15.pdf</v>
      </c>
    </row>
    <row r="1778" spans="1:28" x14ac:dyDescent="0.25">
      <c r="A1778" t="s">
        <v>1782</v>
      </c>
      <c r="B1778">
        <v>0.995954080203443</v>
      </c>
      <c r="C1778">
        <v>0.70674951717722501</v>
      </c>
      <c r="D1778">
        <v>0.47501605102142103</v>
      </c>
      <c r="E1778">
        <v>0.80280000013347097</v>
      </c>
      <c r="F1778">
        <v>0.23230344961125701</v>
      </c>
      <c r="G1778">
        <v>0.120408924838102</v>
      </c>
      <c r="H1778">
        <v>8.7391725550233001E-2</v>
      </c>
      <c r="I1778">
        <v>7.0471321398686199E-2</v>
      </c>
      <c r="J1778">
        <v>0.15791754216090101</v>
      </c>
      <c r="K1778">
        <v>7.5651299924954493E-2</v>
      </c>
      <c r="L1778">
        <v>456.66970314831701</v>
      </c>
      <c r="M1778">
        <v>9.3031936961524799</v>
      </c>
      <c r="N1778">
        <v>49.0874122127411</v>
      </c>
      <c r="O1778">
        <v>46.979346170511697</v>
      </c>
      <c r="P1778">
        <v>-4.9538532476721603E-2</v>
      </c>
      <c r="Q1778">
        <v>0</v>
      </c>
      <c r="R1778">
        <v>0.81715188353669099</v>
      </c>
      <c r="S1778" t="s">
        <v>8584</v>
      </c>
      <c r="T1778" t="s">
        <v>13610</v>
      </c>
      <c r="U1778" t="s">
        <v>13610</v>
      </c>
      <c r="V1778" t="s">
        <v>13610</v>
      </c>
      <c r="W1778" t="s">
        <v>15342</v>
      </c>
      <c r="X1778">
        <v>5</v>
      </c>
      <c r="Y1778" t="s">
        <v>22035</v>
      </c>
      <c r="Z1778" t="s">
        <v>28633</v>
      </c>
      <c r="AA1778">
        <v>0.35677571115496121</v>
      </c>
      <c r="AB1778" t="str">
        <f>HYPERLINK("Melting_Curves/meltCurve_P05165_3_PCCA.pdf", "Melting_Curves/meltCurve_P05165_3_PCCA.pdf")</f>
        <v>Melting_Curves/meltCurve_P05165_3_PCCA.pdf</v>
      </c>
    </row>
    <row r="1779" spans="1:28" x14ac:dyDescent="0.25">
      <c r="A1779" t="s">
        <v>1783</v>
      </c>
      <c r="B1779">
        <v>0.995954080203443</v>
      </c>
      <c r="C1779">
        <v>0.70706519092406395</v>
      </c>
      <c r="D1779">
        <v>0.49163438259159697</v>
      </c>
      <c r="E1779">
        <v>0.84778808253695903</v>
      </c>
      <c r="F1779">
        <v>0.65799808933197601</v>
      </c>
      <c r="G1779">
        <v>0.39009124465473</v>
      </c>
      <c r="H1779">
        <v>0.163265818424359</v>
      </c>
      <c r="I1779">
        <v>0.138912081132544</v>
      </c>
      <c r="J1779">
        <v>0.15768745077211299</v>
      </c>
      <c r="K1779">
        <v>0.13830364738932699</v>
      </c>
      <c r="L1779">
        <v>385.26126893478499</v>
      </c>
      <c r="M1779">
        <v>7.2740311261586896</v>
      </c>
      <c r="N1779">
        <v>52.963928696399698</v>
      </c>
      <c r="O1779">
        <v>49.401017015624497</v>
      </c>
      <c r="P1779">
        <v>-3.6870401576416398E-2</v>
      </c>
      <c r="Q1779">
        <v>0</v>
      </c>
      <c r="R1779">
        <v>0.78731133051860303</v>
      </c>
      <c r="S1779" t="s">
        <v>8585</v>
      </c>
      <c r="T1779" t="s">
        <v>13610</v>
      </c>
      <c r="U1779" t="s">
        <v>13610</v>
      </c>
      <c r="V1779" t="s">
        <v>13610</v>
      </c>
      <c r="W1779" t="s">
        <v>15343</v>
      </c>
      <c r="X1779">
        <v>10</v>
      </c>
      <c r="Y1779" t="s">
        <v>22036</v>
      </c>
      <c r="Z1779" t="s">
        <v>28634</v>
      </c>
      <c r="AA1779">
        <v>0.47562988992801269</v>
      </c>
      <c r="AB1779" t="str">
        <f>HYPERLINK("Melting_Curves/meltCurve_P05166_PCCB.pdf", "Melting_Curves/meltCurve_P05166_PCCB.pdf")</f>
        <v>Melting_Curves/meltCurve_P05166_PCCB.pdf</v>
      </c>
    </row>
    <row r="1780" spans="1:28" x14ac:dyDescent="0.25">
      <c r="A1780" t="s">
        <v>1784</v>
      </c>
      <c r="B1780">
        <v>0.995954080203443</v>
      </c>
      <c r="C1780">
        <v>0.930967446533287</v>
      </c>
      <c r="D1780">
        <v>0.838469554373659</v>
      </c>
      <c r="E1780">
        <v>0.74779213988147897</v>
      </c>
      <c r="F1780">
        <v>0.40071020559597997</v>
      </c>
      <c r="G1780">
        <v>0.16612136352350501</v>
      </c>
      <c r="H1780">
        <v>8.9192237072286906E-2</v>
      </c>
      <c r="I1780">
        <v>7.0366556844150802E-2</v>
      </c>
      <c r="J1780">
        <v>7.9038228402055197E-2</v>
      </c>
      <c r="K1780">
        <v>6.7348410239620196E-2</v>
      </c>
      <c r="L1780">
        <v>975.43267584117098</v>
      </c>
      <c r="M1780">
        <v>18.839819912497799</v>
      </c>
      <c r="N1780">
        <v>52.051649594059803</v>
      </c>
      <c r="O1780">
        <v>51.202299090470099</v>
      </c>
      <c r="P1780">
        <v>-8.7609240535001895E-2</v>
      </c>
      <c r="Q1780">
        <v>4.7632158787609701E-2</v>
      </c>
      <c r="R1780">
        <v>0.988977851157127</v>
      </c>
      <c r="S1780" t="s">
        <v>8586</v>
      </c>
      <c r="T1780" t="s">
        <v>13610</v>
      </c>
      <c r="U1780" t="s">
        <v>13610</v>
      </c>
      <c r="V1780" t="s">
        <v>13610</v>
      </c>
      <c r="W1780" t="s">
        <v>15344</v>
      </c>
      <c r="X1780">
        <v>33</v>
      </c>
      <c r="Y1780" t="s">
        <v>22037</v>
      </c>
      <c r="Z1780" t="s">
        <v>28635</v>
      </c>
      <c r="AA1780">
        <v>0.43611701217248749</v>
      </c>
      <c r="AB1780" t="str">
        <f>HYPERLINK("Melting_Curves/meltCurve_P05198_EIF2S1.pdf", "Melting_Curves/meltCurve_P05198_EIF2S1.pdf")</f>
        <v>Melting_Curves/meltCurve_P05198_EIF2S1.pdf</v>
      </c>
    </row>
    <row r="1781" spans="1:28" x14ac:dyDescent="0.25">
      <c r="A1781" t="s">
        <v>1785</v>
      </c>
      <c r="B1781">
        <v>0.995954080203443</v>
      </c>
      <c r="C1781">
        <v>0.72646644661558502</v>
      </c>
      <c r="D1781">
        <v>0.97980122216885102</v>
      </c>
      <c r="E1781">
        <v>0.77279926892511497</v>
      </c>
      <c r="F1781">
        <v>1.3718134244045701</v>
      </c>
      <c r="G1781">
        <v>1.05704115800239</v>
      </c>
      <c r="H1781">
        <v>1.5491502856544399</v>
      </c>
      <c r="I1781">
        <v>1.9238314817973099</v>
      </c>
      <c r="J1781">
        <v>3.54099100112711</v>
      </c>
      <c r="K1781">
        <v>1.5779180211688499</v>
      </c>
      <c r="L1781">
        <v>14366.832848317799</v>
      </c>
      <c r="M1781">
        <v>250</v>
      </c>
      <c r="O1781">
        <v>57.463629751783202</v>
      </c>
      <c r="P1781">
        <v>0.54382201354349502</v>
      </c>
      <c r="Q1781">
        <v>1.5</v>
      </c>
      <c r="R1781">
        <v>0.25415739003049098</v>
      </c>
      <c r="S1781" t="s">
        <v>8587</v>
      </c>
      <c r="T1781" t="s">
        <v>13610</v>
      </c>
      <c r="U1781" t="s">
        <v>13610</v>
      </c>
      <c r="V1781" t="s">
        <v>13610</v>
      </c>
      <c r="W1781" t="s">
        <v>15345</v>
      </c>
      <c r="X1781">
        <v>14</v>
      </c>
      <c r="Y1781" t="s">
        <v>22038</v>
      </c>
      <c r="Z1781" t="s">
        <v>28636</v>
      </c>
      <c r="AA1781">
        <v>1.2088273829760441</v>
      </c>
      <c r="AB1781" t="str">
        <f>HYPERLINK("Melting_Curves/meltCurve_P05204_HMGN2.pdf", "Melting_Curves/meltCurve_P05204_HMGN2.pdf")</f>
        <v>Melting_Curves/meltCurve_P05204_HMGN2.pdf</v>
      </c>
    </row>
    <row r="1782" spans="1:28" x14ac:dyDescent="0.25">
      <c r="A1782" t="s">
        <v>1786</v>
      </c>
      <c r="B1782">
        <v>0.995954080203443</v>
      </c>
      <c r="C1782">
        <v>0.90750045544278102</v>
      </c>
      <c r="D1782">
        <v>0.77581668995281905</v>
      </c>
      <c r="E1782">
        <v>0.88177213646447705</v>
      </c>
      <c r="F1782">
        <v>0.47749650765269702</v>
      </c>
      <c r="G1782">
        <v>0.28350494226325101</v>
      </c>
      <c r="H1782">
        <v>0.23898981461886101</v>
      </c>
      <c r="I1782">
        <v>0.25836356227893698</v>
      </c>
      <c r="J1782">
        <v>0.31649123493134701</v>
      </c>
      <c r="K1782">
        <v>0.31946405030897002</v>
      </c>
      <c r="L1782">
        <v>2104.9040035654698</v>
      </c>
      <c r="M1782">
        <v>40.646183253980197</v>
      </c>
      <c r="N1782">
        <v>52.849196061957699</v>
      </c>
      <c r="O1782">
        <v>51.661140766848199</v>
      </c>
      <c r="P1782">
        <v>-0.14176395310970599</v>
      </c>
      <c r="Q1782">
        <v>0.279275667255586</v>
      </c>
      <c r="R1782">
        <v>0.92661439864935702</v>
      </c>
      <c r="S1782" t="s">
        <v>8588</v>
      </c>
      <c r="T1782" t="s">
        <v>13610</v>
      </c>
      <c r="U1782" t="s">
        <v>13610</v>
      </c>
      <c r="V1782" t="s">
        <v>13610</v>
      </c>
      <c r="W1782" t="s">
        <v>15346</v>
      </c>
      <c r="X1782">
        <v>8</v>
      </c>
      <c r="Y1782" t="s">
        <v>21327</v>
      </c>
      <c r="Z1782" t="s">
        <v>28637</v>
      </c>
      <c r="AA1782">
        <v>0.56492180326064845</v>
      </c>
      <c r="AB1782" t="str">
        <f>HYPERLINK("Melting_Curves/meltCurve_P05362_ICAM1.pdf", "Melting_Curves/meltCurve_P05362_ICAM1.pdf")</f>
        <v>Melting_Curves/meltCurve_P05362_ICAM1.pdf</v>
      </c>
    </row>
    <row r="1783" spans="1:28" x14ac:dyDescent="0.25">
      <c r="A1783" t="s">
        <v>1787</v>
      </c>
      <c r="B1783">
        <v>0.995954080203443</v>
      </c>
      <c r="C1783">
        <v>0.85957433315419296</v>
      </c>
      <c r="D1783">
        <v>0.62950853656775396</v>
      </c>
      <c r="E1783">
        <v>0.57322714839088795</v>
      </c>
      <c r="F1783">
        <v>0.44563327819381299</v>
      </c>
      <c r="G1783">
        <v>0.36311950379788399</v>
      </c>
      <c r="H1783">
        <v>0.426176890892631</v>
      </c>
      <c r="I1783">
        <v>0.63101538104052102</v>
      </c>
      <c r="J1783">
        <v>0.63757390680049897</v>
      </c>
      <c r="K1783">
        <v>0.73200562417063897</v>
      </c>
      <c r="L1783">
        <v>1516.96885296921</v>
      </c>
      <c r="M1783">
        <v>34.500268668182898</v>
      </c>
      <c r="O1783">
        <v>43.822813138025502</v>
      </c>
      <c r="P1783">
        <v>-8.9893598204392397E-2</v>
      </c>
      <c r="Q1783">
        <v>0.54326420303976797</v>
      </c>
      <c r="R1783">
        <v>0.68621981844926105</v>
      </c>
      <c r="S1783" t="s">
        <v>8589</v>
      </c>
      <c r="T1783" t="s">
        <v>13610</v>
      </c>
      <c r="U1783" t="s">
        <v>13610</v>
      </c>
      <c r="V1783" t="s">
        <v>13610</v>
      </c>
      <c r="W1783" t="s">
        <v>15347</v>
      </c>
      <c r="X1783">
        <v>6</v>
      </c>
      <c r="Y1783" t="s">
        <v>22039</v>
      </c>
      <c r="Z1783" t="s">
        <v>28638</v>
      </c>
      <c r="AA1783">
        <v>0.60606371540025827</v>
      </c>
      <c r="AB1783" t="str">
        <f>HYPERLINK("Melting_Curves/meltCurve_P05387_RPLP2.pdf", "Melting_Curves/meltCurve_P05387_RPLP2.pdf")</f>
        <v>Melting_Curves/meltCurve_P05387_RPLP2.pdf</v>
      </c>
    </row>
    <row r="1784" spans="1:28" x14ac:dyDescent="0.25">
      <c r="A1784" t="s">
        <v>1788</v>
      </c>
      <c r="B1784">
        <v>0.995954080203443</v>
      </c>
      <c r="C1784">
        <v>0.79966724136807699</v>
      </c>
      <c r="D1784">
        <v>0.539854205825544</v>
      </c>
      <c r="E1784">
        <v>0.39138107022025098</v>
      </c>
      <c r="F1784">
        <v>0.17947586931034901</v>
      </c>
      <c r="G1784">
        <v>9.0539860040761505E-2</v>
      </c>
      <c r="H1784">
        <v>5.1115040568253799E-2</v>
      </c>
      <c r="I1784">
        <v>3.6624867474507702E-2</v>
      </c>
      <c r="J1784">
        <v>3.9266475451800197E-2</v>
      </c>
      <c r="K1784">
        <v>3.69810564723939E-2</v>
      </c>
      <c r="L1784">
        <v>662.19136175045696</v>
      </c>
      <c r="M1784">
        <v>14.028341602252301</v>
      </c>
      <c r="N1784">
        <v>47.339211382492401</v>
      </c>
      <c r="O1784">
        <v>46.275655940552397</v>
      </c>
      <c r="P1784">
        <v>-7.4306543030349004E-2</v>
      </c>
      <c r="Q1784">
        <v>1.9661034775771399E-2</v>
      </c>
      <c r="R1784">
        <v>0.98854884137616805</v>
      </c>
      <c r="S1784" t="s">
        <v>8590</v>
      </c>
      <c r="T1784" t="s">
        <v>13610</v>
      </c>
      <c r="U1784" t="s">
        <v>13610</v>
      </c>
      <c r="V1784" t="s">
        <v>13610</v>
      </c>
      <c r="W1784" t="s">
        <v>15348</v>
      </c>
      <c r="X1784">
        <v>11</v>
      </c>
      <c r="Y1784" t="s">
        <v>22040</v>
      </c>
      <c r="Z1784" t="s">
        <v>28639</v>
      </c>
      <c r="AA1784">
        <v>0.28517651120609427</v>
      </c>
      <c r="AB1784" t="str">
        <f>HYPERLINK("Melting_Curves/meltCurve_P05388_RPLP0.pdf", "Melting_Curves/meltCurve_P05388_RPLP0.pdf")</f>
        <v>Melting_Curves/meltCurve_P05388_RPLP0.pdf</v>
      </c>
    </row>
    <row r="1785" spans="1:28" x14ac:dyDescent="0.25">
      <c r="A1785" t="s">
        <v>1789</v>
      </c>
      <c r="B1785">
        <v>0.995954080203443</v>
      </c>
      <c r="C1785">
        <v>0.72743792880784897</v>
      </c>
      <c r="D1785">
        <v>0.58509563201824799</v>
      </c>
      <c r="E1785">
        <v>0.66646722698588301</v>
      </c>
      <c r="F1785">
        <v>0.400384433937583</v>
      </c>
      <c r="G1785">
        <v>0.24757232463606299</v>
      </c>
      <c r="H1785">
        <v>0.18465181016139201</v>
      </c>
      <c r="I1785">
        <v>0.187040986197544</v>
      </c>
      <c r="J1785">
        <v>0.20005513470670699</v>
      </c>
      <c r="K1785">
        <v>0.197799815975745</v>
      </c>
      <c r="L1785">
        <v>444.88394360311798</v>
      </c>
      <c r="M1785">
        <v>9.0906622541602005</v>
      </c>
      <c r="N1785">
        <v>50.276165746439297</v>
      </c>
      <c r="O1785">
        <v>46.7447386983374</v>
      </c>
      <c r="P1785">
        <v>-4.3426550663139198E-2</v>
      </c>
      <c r="Q1785">
        <v>0.10741620751900099</v>
      </c>
      <c r="R1785">
        <v>0.92445950174000302</v>
      </c>
      <c r="S1785" t="s">
        <v>8591</v>
      </c>
      <c r="T1785" t="s">
        <v>13610</v>
      </c>
      <c r="U1785" t="s">
        <v>13610</v>
      </c>
      <c r="V1785" t="s">
        <v>13610</v>
      </c>
      <c r="W1785" t="s">
        <v>15349</v>
      </c>
      <c r="X1785">
        <v>11</v>
      </c>
      <c r="Y1785" t="s">
        <v>22041</v>
      </c>
      <c r="Z1785" t="s">
        <v>28640</v>
      </c>
      <c r="AA1785">
        <v>0.42363039340360048</v>
      </c>
      <c r="AB1785" t="str">
        <f>HYPERLINK("Melting_Curves/meltCurve_P05423_POLR3D.pdf", "Melting_Curves/meltCurve_P05423_POLR3D.pdf")</f>
        <v>Melting_Curves/meltCurve_P05423_POLR3D.pdf</v>
      </c>
    </row>
    <row r="1786" spans="1:28" x14ac:dyDescent="0.25">
      <c r="A1786" t="s">
        <v>1790</v>
      </c>
      <c r="B1786">
        <v>0.995954080203443</v>
      </c>
      <c r="C1786">
        <v>1.23384961201328</v>
      </c>
      <c r="D1786">
        <v>0.69311109949435001</v>
      </c>
      <c r="E1786">
        <v>0.84350863285403199</v>
      </c>
      <c r="F1786">
        <v>0.338957109330283</v>
      </c>
      <c r="G1786">
        <v>0.21694356468071699</v>
      </c>
      <c r="H1786">
        <v>0.115417671009649</v>
      </c>
      <c r="I1786">
        <v>0.116951306371367</v>
      </c>
      <c r="J1786">
        <v>0.14127184120832001</v>
      </c>
      <c r="K1786">
        <v>0.123667338201382</v>
      </c>
      <c r="L1786">
        <v>1330.0617487560301</v>
      </c>
      <c r="M1786">
        <v>25.7865859801555</v>
      </c>
      <c r="N1786">
        <v>52.126817334701101</v>
      </c>
      <c r="O1786">
        <v>51.272407571212497</v>
      </c>
      <c r="P1786">
        <v>-0.110825312266295</v>
      </c>
      <c r="Q1786">
        <v>0.118578665262828</v>
      </c>
      <c r="R1786">
        <v>0.90674680258776497</v>
      </c>
      <c r="S1786" t="s">
        <v>8592</v>
      </c>
      <c r="T1786" t="s">
        <v>13610</v>
      </c>
      <c r="U1786" t="s">
        <v>13610</v>
      </c>
      <c r="V1786" t="s">
        <v>13610</v>
      </c>
      <c r="W1786" t="s">
        <v>15350</v>
      </c>
      <c r="X1786">
        <v>38</v>
      </c>
      <c r="Y1786" t="s">
        <v>22042</v>
      </c>
      <c r="Z1786" t="s">
        <v>28641</v>
      </c>
      <c r="AA1786">
        <v>0.46633849819678358</v>
      </c>
      <c r="AB1786" t="str">
        <f>HYPERLINK("Melting_Curves/meltCurve_P05455_SSB.pdf", "Melting_Curves/meltCurve_P05455_SSB.pdf")</f>
        <v>Melting_Curves/meltCurve_P05455_SSB.pdf</v>
      </c>
    </row>
    <row r="1787" spans="1:28" x14ac:dyDescent="0.25">
      <c r="A1787" t="s">
        <v>1791</v>
      </c>
      <c r="B1787">
        <v>0.995954080203443</v>
      </c>
      <c r="C1787">
        <v>1.0301224390666599</v>
      </c>
      <c r="D1787">
        <v>1.0273826732678499</v>
      </c>
      <c r="E1787">
        <v>1.0192863730544199</v>
      </c>
      <c r="F1787">
        <v>0.768550530249968</v>
      </c>
      <c r="G1787">
        <v>0.47525643486678298</v>
      </c>
      <c r="H1787">
        <v>0.40999533478054601</v>
      </c>
      <c r="I1787">
        <v>0.38537359640282198</v>
      </c>
      <c r="J1787">
        <v>0.44600371796265897</v>
      </c>
      <c r="K1787">
        <v>0.44628820923145002</v>
      </c>
      <c r="L1787">
        <v>2698.20940113188</v>
      </c>
      <c r="M1787">
        <v>50.459916485559198</v>
      </c>
      <c r="N1787">
        <v>55.590048140258901</v>
      </c>
      <c r="O1787">
        <v>53.388532856537502</v>
      </c>
      <c r="P1787">
        <v>-0.13542432951275299</v>
      </c>
      <c r="Q1787">
        <v>0.42686370613274999</v>
      </c>
      <c r="R1787">
        <v>0.99167494240548804</v>
      </c>
      <c r="S1787" t="s">
        <v>8593</v>
      </c>
      <c r="T1787" t="s">
        <v>13610</v>
      </c>
      <c r="U1787" t="s">
        <v>13610</v>
      </c>
      <c r="V1787" t="s">
        <v>13610</v>
      </c>
      <c r="W1787" t="s">
        <v>15351</v>
      </c>
      <c r="X1787">
        <v>5</v>
      </c>
      <c r="Y1787" t="s">
        <v>22043</v>
      </c>
      <c r="Z1787" t="s">
        <v>28642</v>
      </c>
      <c r="AA1787">
        <v>0.68557339037211662</v>
      </c>
      <c r="AB1787" t="str">
        <f>HYPERLINK("Melting_Curves/meltCurve_P05556_2_ITGB1.pdf", "Melting_Curves/meltCurve_P05556_2_ITGB1.pdf")</f>
        <v>Melting_Curves/meltCurve_P05556_2_ITGB1.pdf</v>
      </c>
    </row>
    <row r="1788" spans="1:28" x14ac:dyDescent="0.25">
      <c r="A1788" t="s">
        <v>1792</v>
      </c>
      <c r="B1788">
        <v>0.995954080203443</v>
      </c>
      <c r="C1788">
        <v>0.85044781592750796</v>
      </c>
      <c r="D1788">
        <v>0.75044544307284</v>
      </c>
      <c r="E1788">
        <v>0.38341537876465698</v>
      </c>
      <c r="F1788">
        <v>0.169422352039691</v>
      </c>
      <c r="G1788">
        <v>9.8937391286179205E-2</v>
      </c>
      <c r="H1788">
        <v>6.4797015276314401E-2</v>
      </c>
      <c r="I1788">
        <v>5.3246809388115601E-2</v>
      </c>
      <c r="J1788">
        <v>6.1445250633495797E-2</v>
      </c>
      <c r="K1788">
        <v>5.2856588063315502E-2</v>
      </c>
      <c r="L1788">
        <v>881.52957842181297</v>
      </c>
      <c r="M1788">
        <v>18.280012340632201</v>
      </c>
      <c r="N1788">
        <v>48.472003780148803</v>
      </c>
      <c r="O1788">
        <v>47.657689775990598</v>
      </c>
      <c r="P1788">
        <v>-9.1610557631820994E-2</v>
      </c>
      <c r="Q1788">
        <v>4.4695426888333903E-2</v>
      </c>
      <c r="R1788">
        <v>0.99530643568144095</v>
      </c>
      <c r="S1788" t="s">
        <v>8594</v>
      </c>
      <c r="T1788" t="s">
        <v>13610</v>
      </c>
      <c r="U1788" t="s">
        <v>13610</v>
      </c>
      <c r="V1788" t="s">
        <v>13610</v>
      </c>
      <c r="W1788" t="s">
        <v>15352</v>
      </c>
      <c r="X1788">
        <v>29</v>
      </c>
      <c r="Y1788" t="s">
        <v>22044</v>
      </c>
      <c r="Z1788" t="s">
        <v>28643</v>
      </c>
      <c r="AA1788">
        <v>0.32287739542127619</v>
      </c>
      <c r="AB1788" t="str">
        <f>HYPERLINK("Melting_Curves/meltCurve_P05771_2_PRKCB.pdf", "Melting_Curves/meltCurve_P05771_2_PRKCB.pdf")</f>
        <v>Melting_Curves/meltCurve_P05771_2_PRKCB.pdf</v>
      </c>
    </row>
    <row r="1789" spans="1:28" x14ac:dyDescent="0.25">
      <c r="A1789" t="s">
        <v>1793</v>
      </c>
      <c r="B1789">
        <v>0.995954080203443</v>
      </c>
      <c r="C1789">
        <v>1.01748696945493</v>
      </c>
      <c r="D1789">
        <v>1.0311384732711399</v>
      </c>
      <c r="E1789">
        <v>0.93451835542441997</v>
      </c>
      <c r="F1789">
        <v>0.836418682869291</v>
      </c>
      <c r="G1789">
        <v>0.65181263543465895</v>
      </c>
      <c r="H1789">
        <v>0.37538701883213998</v>
      </c>
      <c r="I1789">
        <v>0.198033650155584</v>
      </c>
      <c r="J1789">
        <v>0.121926011766559</v>
      </c>
      <c r="K1789">
        <v>0.10231453211423</v>
      </c>
      <c r="L1789">
        <v>970.59822893510898</v>
      </c>
      <c r="M1789">
        <v>16.516094048716901</v>
      </c>
      <c r="N1789">
        <v>58.903515523383497</v>
      </c>
      <c r="O1789">
        <v>57.925556800591401</v>
      </c>
      <c r="P1789">
        <v>-6.9946141939213002E-2</v>
      </c>
      <c r="Q1789">
        <v>1.8802215779017799E-2</v>
      </c>
      <c r="R1789">
        <v>0.99683823945916505</v>
      </c>
      <c r="S1789" t="s">
        <v>8595</v>
      </c>
      <c r="T1789" t="s">
        <v>13610</v>
      </c>
      <c r="U1789" t="s">
        <v>13610</v>
      </c>
      <c r="V1789" t="s">
        <v>13610</v>
      </c>
      <c r="W1789" t="s">
        <v>15353</v>
      </c>
      <c r="X1789">
        <v>39</v>
      </c>
      <c r="Y1789" t="s">
        <v>22045</v>
      </c>
      <c r="Z1789" t="s">
        <v>28644</v>
      </c>
      <c r="AA1789">
        <v>0.6436945904893191</v>
      </c>
      <c r="AB1789" t="str">
        <f>HYPERLINK("Melting_Curves/meltCurve_P05783_KRT18.pdf", "Melting_Curves/meltCurve_P05783_KRT18.pdf")</f>
        <v>Melting_Curves/meltCurve_P05783_KRT18.pdf</v>
      </c>
    </row>
    <row r="1790" spans="1:28" x14ac:dyDescent="0.25">
      <c r="A1790" t="s">
        <v>1794</v>
      </c>
      <c r="B1790">
        <v>0.995954080203443</v>
      </c>
      <c r="C1790">
        <v>1.0445773682328301</v>
      </c>
      <c r="D1790">
        <v>1.0890044251245801</v>
      </c>
      <c r="E1790">
        <v>0.97638118685429698</v>
      </c>
      <c r="F1790">
        <v>0.95941369339189198</v>
      </c>
      <c r="G1790">
        <v>0.76681033978080604</v>
      </c>
      <c r="H1790">
        <v>0.54921673807390703</v>
      </c>
      <c r="I1790">
        <v>0.36354025697314901</v>
      </c>
      <c r="J1790">
        <v>0.41004022380142302</v>
      </c>
      <c r="K1790">
        <v>0.33865119418669198</v>
      </c>
      <c r="L1790">
        <v>1424.17793452723</v>
      </c>
      <c r="M1790">
        <v>24.3061817773897</v>
      </c>
      <c r="N1790">
        <v>61.449938763448003</v>
      </c>
      <c r="O1790">
        <v>58.200929906867103</v>
      </c>
      <c r="P1790">
        <v>-6.9068452958083698E-2</v>
      </c>
      <c r="Q1790">
        <v>0.33847462477442097</v>
      </c>
      <c r="R1790">
        <v>0.98127304191373899</v>
      </c>
      <c r="S1790" t="s">
        <v>8596</v>
      </c>
      <c r="T1790" t="s">
        <v>13610</v>
      </c>
      <c r="U1790" t="s">
        <v>13610</v>
      </c>
      <c r="V1790" t="s">
        <v>13610</v>
      </c>
      <c r="W1790" t="s">
        <v>15354</v>
      </c>
      <c r="X1790">
        <v>52</v>
      </c>
      <c r="Y1790" t="s">
        <v>22046</v>
      </c>
      <c r="Z1790" t="s">
        <v>28645</v>
      </c>
      <c r="AA1790">
        <v>0.75424510738660844</v>
      </c>
      <c r="AB1790" t="str">
        <f>HYPERLINK("Melting_Curves/meltCurve_P05787_KRT8.pdf", "Melting_Curves/meltCurve_P05787_KRT8.pdf")</f>
        <v>Melting_Curves/meltCurve_P05787_KRT8.pdf</v>
      </c>
    </row>
    <row r="1791" spans="1:28" x14ac:dyDescent="0.25">
      <c r="A1791" t="s">
        <v>1795</v>
      </c>
      <c r="B1791">
        <v>0.995954080203443</v>
      </c>
      <c r="C1791">
        <v>0.99412439922539197</v>
      </c>
      <c r="D1791">
        <v>1.07843216541826</v>
      </c>
      <c r="E1791">
        <v>0.93414514725030096</v>
      </c>
      <c r="F1791">
        <v>0.97541382696248702</v>
      </c>
      <c r="G1791">
        <v>0.75104035644795397</v>
      </c>
      <c r="H1791">
        <v>0.45058350234856398</v>
      </c>
      <c r="I1791">
        <v>0.219657765352226</v>
      </c>
      <c r="J1791">
        <v>0.20399445940604499</v>
      </c>
      <c r="K1791">
        <v>0.14630826807341701</v>
      </c>
      <c r="L1791">
        <v>1423.236217076</v>
      </c>
      <c r="M1791">
        <v>23.980696576079101</v>
      </c>
      <c r="N1791">
        <v>60.085593201100302</v>
      </c>
      <c r="O1791">
        <v>58.941135914932403</v>
      </c>
      <c r="P1791">
        <v>-8.8765849155587606E-2</v>
      </c>
      <c r="Q1791">
        <v>0.12731830594787599</v>
      </c>
      <c r="R1791">
        <v>0.99017518789133296</v>
      </c>
      <c r="S1791" t="s">
        <v>8597</v>
      </c>
      <c r="T1791" t="s">
        <v>13610</v>
      </c>
      <c r="U1791" t="s">
        <v>13610</v>
      </c>
      <c r="V1791" t="s">
        <v>13610</v>
      </c>
      <c r="W1791" t="s">
        <v>15355</v>
      </c>
      <c r="X1791">
        <v>10</v>
      </c>
      <c r="Y1791" t="s">
        <v>22047</v>
      </c>
      <c r="Z1791" t="s">
        <v>28646</v>
      </c>
      <c r="AA1791">
        <v>0.69742905570685776</v>
      </c>
      <c r="AB1791" t="str">
        <f>HYPERLINK("Melting_Curves/meltCurve_P05937_CALB1.pdf", "Melting_Curves/meltCurve_P05937_CALB1.pdf")</f>
        <v>Melting_Curves/meltCurve_P05937_CALB1.pdf</v>
      </c>
    </row>
    <row r="1792" spans="1:28" x14ac:dyDescent="0.25">
      <c r="A1792" t="s">
        <v>1796</v>
      </c>
      <c r="B1792">
        <v>0.995954080203443</v>
      </c>
      <c r="C1792">
        <v>0.96757031083304001</v>
      </c>
      <c r="D1792">
        <v>0.87275535996786802</v>
      </c>
      <c r="E1792">
        <v>0.815444522610411</v>
      </c>
      <c r="F1792">
        <v>0.69929940313216898</v>
      </c>
      <c r="G1792">
        <v>0.50985117583231099</v>
      </c>
      <c r="H1792">
        <v>0.34002731519985602</v>
      </c>
      <c r="I1792">
        <v>0.24270229965082801</v>
      </c>
      <c r="J1792">
        <v>0.11743165834873701</v>
      </c>
      <c r="K1792">
        <v>9.2372546523920296E-2</v>
      </c>
      <c r="L1792">
        <v>620.58172409445501</v>
      </c>
      <c r="M1792">
        <v>10.9119697027317</v>
      </c>
      <c r="N1792">
        <v>56.8716502143143</v>
      </c>
      <c r="O1792">
        <v>55.061657087268799</v>
      </c>
      <c r="P1792">
        <v>-4.9561566958130403E-2</v>
      </c>
      <c r="Q1792">
        <v>0</v>
      </c>
      <c r="R1792">
        <v>0.99410964964024096</v>
      </c>
      <c r="S1792" t="s">
        <v>8598</v>
      </c>
      <c r="T1792" t="s">
        <v>13610</v>
      </c>
      <c r="U1792" t="s">
        <v>13610</v>
      </c>
      <c r="V1792" t="s">
        <v>13610</v>
      </c>
      <c r="W1792" t="s">
        <v>15356</v>
      </c>
      <c r="X1792">
        <v>17</v>
      </c>
      <c r="Y1792" t="s">
        <v>22048</v>
      </c>
      <c r="Z1792" t="s">
        <v>28647</v>
      </c>
      <c r="AA1792">
        <v>0.57951547546538074</v>
      </c>
      <c r="AB1792" t="str">
        <f>HYPERLINK("Melting_Curves/meltCurve_P06132_UROD.pdf", "Melting_Curves/meltCurve_P06132_UROD.pdf")</f>
        <v>Melting_Curves/meltCurve_P06132_UROD.pdf</v>
      </c>
    </row>
    <row r="1793" spans="1:28" x14ac:dyDescent="0.25">
      <c r="A1793" t="s">
        <v>1797</v>
      </c>
      <c r="B1793">
        <v>0.995954080203443</v>
      </c>
      <c r="C1793">
        <v>0.935070840796423</v>
      </c>
      <c r="D1793">
        <v>0.75825402981781498</v>
      </c>
      <c r="E1793">
        <v>0.58812760991100599</v>
      </c>
      <c r="F1793">
        <v>0.19558106732245301</v>
      </c>
      <c r="G1793">
        <v>0.13399163566845201</v>
      </c>
      <c r="H1793">
        <v>7.9151321351343798E-2</v>
      </c>
      <c r="I1793">
        <v>7.4046642017348202E-2</v>
      </c>
      <c r="J1793">
        <v>7.7990060396156302E-2</v>
      </c>
      <c r="K1793">
        <v>6.9362356128207098E-2</v>
      </c>
      <c r="L1793">
        <v>896.59361122657197</v>
      </c>
      <c r="M1793">
        <v>18.087143156703501</v>
      </c>
      <c r="N1793">
        <v>49.8873498131045</v>
      </c>
      <c r="O1793">
        <v>48.9767365577258</v>
      </c>
      <c r="P1793">
        <v>-8.7323675323143807E-2</v>
      </c>
      <c r="Q1793">
        <v>5.4218445155490201E-2</v>
      </c>
      <c r="R1793">
        <v>0.98505884255448595</v>
      </c>
      <c r="S1793" t="s">
        <v>8599</v>
      </c>
      <c r="T1793" t="s">
        <v>13610</v>
      </c>
      <c r="U1793" t="s">
        <v>13610</v>
      </c>
      <c r="V1793" t="s">
        <v>13610</v>
      </c>
      <c r="W1793" t="s">
        <v>15357</v>
      </c>
      <c r="X1793">
        <v>6</v>
      </c>
      <c r="Y1793" t="s">
        <v>22049</v>
      </c>
      <c r="Z1793" t="s">
        <v>28648</v>
      </c>
      <c r="AA1793">
        <v>0.37202138225802311</v>
      </c>
      <c r="AB1793" t="str">
        <f>HYPERLINK("Melting_Curves/meltCurve_P06280_GLA.pdf", "Melting_Curves/meltCurve_P06280_GLA.pdf")</f>
        <v>Melting_Curves/meltCurve_P06280_GLA.pdf</v>
      </c>
    </row>
    <row r="1794" spans="1:28" x14ac:dyDescent="0.25">
      <c r="A1794" t="s">
        <v>1798</v>
      </c>
      <c r="B1794">
        <v>0.995954080203443</v>
      </c>
      <c r="C1794">
        <v>0.86405822407761101</v>
      </c>
      <c r="D1794">
        <v>0.51690559687766302</v>
      </c>
      <c r="E1794">
        <v>0.26368160743813901</v>
      </c>
      <c r="F1794">
        <v>0.131358544063405</v>
      </c>
      <c r="G1794">
        <v>8.6901693530218399E-2</v>
      </c>
      <c r="H1794">
        <v>5.9423870156658502E-2</v>
      </c>
      <c r="I1794">
        <v>4.5045086314177502E-2</v>
      </c>
      <c r="J1794">
        <v>4.5621828916520502E-2</v>
      </c>
      <c r="K1794">
        <v>4.1393474879080502E-2</v>
      </c>
      <c r="L1794">
        <v>914.08405502194603</v>
      </c>
      <c r="M1794">
        <v>19.727257515146199</v>
      </c>
      <c r="N1794">
        <v>46.5923406949709</v>
      </c>
      <c r="O1794">
        <v>45.8678146558252</v>
      </c>
      <c r="P1794">
        <v>-0.101998238709258</v>
      </c>
      <c r="Q1794">
        <v>5.14084629486522E-2</v>
      </c>
      <c r="R1794">
        <v>0.99551203672526101</v>
      </c>
      <c r="S1794" t="s">
        <v>8600</v>
      </c>
      <c r="T1794" t="s">
        <v>13610</v>
      </c>
      <c r="U1794" t="s">
        <v>13610</v>
      </c>
      <c r="V1794" t="s">
        <v>13610</v>
      </c>
      <c r="W1794" t="s">
        <v>15358</v>
      </c>
      <c r="X1794">
        <v>21</v>
      </c>
      <c r="Y1794" t="s">
        <v>22050</v>
      </c>
      <c r="Z1794" t="s">
        <v>28649</v>
      </c>
      <c r="AA1794">
        <v>0.26655545137783959</v>
      </c>
      <c r="AB1794" t="str">
        <f>HYPERLINK("Melting_Curves/meltCurve_P06396_2_GSN.pdf", "Melting_Curves/meltCurve_P06396_2_GSN.pdf")</f>
        <v>Melting_Curves/meltCurve_P06396_2_GSN.pdf</v>
      </c>
    </row>
    <row r="1795" spans="1:28" x14ac:dyDescent="0.25">
      <c r="A1795" t="s">
        <v>1799</v>
      </c>
      <c r="B1795">
        <v>0.995954080203443</v>
      </c>
      <c r="C1795">
        <v>0.90795403214912296</v>
      </c>
      <c r="D1795">
        <v>0.787862039038426</v>
      </c>
      <c r="E1795">
        <v>0.59419729034816104</v>
      </c>
      <c r="F1795">
        <v>0.43890131196069998</v>
      </c>
      <c r="G1795">
        <v>0.27423846631733201</v>
      </c>
      <c r="H1795">
        <v>0.24409274355768401</v>
      </c>
      <c r="I1795">
        <v>0.30587628262765099</v>
      </c>
      <c r="J1795">
        <v>0.31575099084265101</v>
      </c>
      <c r="K1795">
        <v>0.34578294104879798</v>
      </c>
      <c r="L1795">
        <v>831.90116102530305</v>
      </c>
      <c r="M1795">
        <v>17.109906296379101</v>
      </c>
      <c r="N1795">
        <v>51.133509267996097</v>
      </c>
      <c r="O1795">
        <v>47.971429153349</v>
      </c>
      <c r="P1795">
        <v>-6.3820985157514998E-2</v>
      </c>
      <c r="Q1795">
        <v>0.284297800133334</v>
      </c>
      <c r="R1795">
        <v>0.97980921243629304</v>
      </c>
      <c r="S1795" t="s">
        <v>8601</v>
      </c>
      <c r="T1795" t="s">
        <v>13610</v>
      </c>
      <c r="U1795" t="s">
        <v>13610</v>
      </c>
      <c r="V1795" t="s">
        <v>13610</v>
      </c>
      <c r="W1795" t="s">
        <v>15359</v>
      </c>
      <c r="X1795">
        <v>26</v>
      </c>
      <c r="Y1795" t="s">
        <v>22051</v>
      </c>
      <c r="Z1795" t="s">
        <v>28650</v>
      </c>
      <c r="AA1795">
        <v>0.50380738504108535</v>
      </c>
      <c r="AB1795" t="str">
        <f>HYPERLINK("Melting_Curves/meltCurve_P06400_RB1.pdf", "Melting_Curves/meltCurve_P06400_RB1.pdf")</f>
        <v>Melting_Curves/meltCurve_P06400_RB1.pdf</v>
      </c>
    </row>
    <row r="1796" spans="1:28" x14ac:dyDescent="0.25">
      <c r="A1796" t="s">
        <v>1800</v>
      </c>
      <c r="B1796">
        <v>0.995954080203443</v>
      </c>
      <c r="C1796">
        <v>0.90583941539066504</v>
      </c>
      <c r="D1796">
        <v>0.63342363578081096</v>
      </c>
      <c r="E1796">
        <v>0.32908966863671701</v>
      </c>
      <c r="F1796">
        <v>0.18105516098583299</v>
      </c>
      <c r="G1796">
        <v>9.2788891936659401E-2</v>
      </c>
      <c r="H1796">
        <v>5.7973452451365703E-2</v>
      </c>
      <c r="I1796">
        <v>4.8442328888062297E-2</v>
      </c>
      <c r="J1796">
        <v>5.18742406447514E-2</v>
      </c>
      <c r="K1796">
        <v>4.7169005035285497E-2</v>
      </c>
      <c r="L1796">
        <v>868.84618341876205</v>
      </c>
      <c r="M1796">
        <v>18.290672095606801</v>
      </c>
      <c r="N1796">
        <v>47.756921054577496</v>
      </c>
      <c r="O1796">
        <v>46.945232395141403</v>
      </c>
      <c r="P1796">
        <v>-9.2880827969105406E-2</v>
      </c>
      <c r="Q1796">
        <v>4.6483971732451099E-2</v>
      </c>
      <c r="R1796">
        <v>0.99818306490506103</v>
      </c>
      <c r="S1796" t="s">
        <v>8602</v>
      </c>
      <c r="T1796" t="s">
        <v>13610</v>
      </c>
      <c r="U1796" t="s">
        <v>13610</v>
      </c>
      <c r="V1796" t="s">
        <v>13610</v>
      </c>
      <c r="W1796" t="s">
        <v>15360</v>
      </c>
      <c r="X1796">
        <v>18</v>
      </c>
      <c r="Y1796" t="s">
        <v>22052</v>
      </c>
      <c r="Z1796" t="s">
        <v>28651</v>
      </c>
      <c r="AA1796">
        <v>0.30156171132443088</v>
      </c>
      <c r="AB1796" t="str">
        <f>HYPERLINK("Melting_Curves/meltCurve_P06493_CDK1.pdf", "Melting_Curves/meltCurve_P06493_CDK1.pdf")</f>
        <v>Melting_Curves/meltCurve_P06493_CDK1.pdf</v>
      </c>
    </row>
    <row r="1797" spans="1:28" x14ac:dyDescent="0.25">
      <c r="A1797" t="s">
        <v>1801</v>
      </c>
      <c r="B1797">
        <v>0.995954080203443</v>
      </c>
      <c r="C1797">
        <v>0.79125137354411801</v>
      </c>
      <c r="D1797">
        <v>0.46206958026782102</v>
      </c>
      <c r="E1797">
        <v>0.37966797580921202</v>
      </c>
      <c r="F1797">
        <v>0.19837508876285301</v>
      </c>
      <c r="G1797">
        <v>0.111315688695801</v>
      </c>
      <c r="H1797">
        <v>7.5434513207388504E-2</v>
      </c>
      <c r="I1797">
        <v>7.0023919196289197E-2</v>
      </c>
      <c r="J1797">
        <v>7.6355929473434003E-2</v>
      </c>
      <c r="K1797">
        <v>6.4689494766501002E-2</v>
      </c>
      <c r="L1797">
        <v>682.83804684362599</v>
      </c>
      <c r="M1797">
        <v>14.739023508348801</v>
      </c>
      <c r="N1797">
        <v>46.757942872037503</v>
      </c>
      <c r="O1797">
        <v>45.500823594190599</v>
      </c>
      <c r="P1797">
        <v>-7.5864866239303802E-2</v>
      </c>
      <c r="Q1797">
        <v>6.3291983537081903E-2</v>
      </c>
      <c r="R1797">
        <v>0.97820000499430904</v>
      </c>
      <c r="S1797" t="s">
        <v>8603</v>
      </c>
      <c r="T1797" t="s">
        <v>13610</v>
      </c>
      <c r="U1797" t="s">
        <v>13610</v>
      </c>
      <c r="V1797" t="s">
        <v>13610</v>
      </c>
      <c r="W1797" t="s">
        <v>15361</v>
      </c>
      <c r="X1797">
        <v>20</v>
      </c>
      <c r="Y1797" t="s">
        <v>22053</v>
      </c>
      <c r="Z1797" t="s">
        <v>28652</v>
      </c>
      <c r="AA1797">
        <v>0.28853999562761828</v>
      </c>
      <c r="AB1797" t="str">
        <f>HYPERLINK("Melting_Curves/meltCurve_P06576_ATP5B.pdf", "Melting_Curves/meltCurve_P06576_ATP5B.pdf")</f>
        <v>Melting_Curves/meltCurve_P06576_ATP5B.pdf</v>
      </c>
    </row>
    <row r="1798" spans="1:28" x14ac:dyDescent="0.25">
      <c r="A1798" t="s">
        <v>1802</v>
      </c>
      <c r="B1798">
        <v>0.995954080203443</v>
      </c>
      <c r="C1798">
        <v>1.0135626980377199</v>
      </c>
      <c r="D1798">
        <v>0.95322590490135894</v>
      </c>
      <c r="E1798">
        <v>0.71071095478759305</v>
      </c>
      <c r="F1798">
        <v>0.431922473144911</v>
      </c>
      <c r="G1798">
        <v>0.15902363419451401</v>
      </c>
      <c r="H1798">
        <v>9.8859230063457801E-2</v>
      </c>
      <c r="I1798">
        <v>8.2882408429444304E-2</v>
      </c>
      <c r="J1798">
        <v>0.111991543629909</v>
      </c>
      <c r="K1798">
        <v>8.8390728014939093E-2</v>
      </c>
      <c r="L1798">
        <v>1237.02342716984</v>
      </c>
      <c r="M1798">
        <v>23.911405563708399</v>
      </c>
      <c r="N1798">
        <v>52.136128252758503</v>
      </c>
      <c r="O1798">
        <v>51.375844462573099</v>
      </c>
      <c r="P1798">
        <v>-0.106550594101298</v>
      </c>
      <c r="Q1798">
        <v>8.4279761690811E-2</v>
      </c>
      <c r="R1798">
        <v>0.998780567658621</v>
      </c>
      <c r="S1798" t="s">
        <v>8604</v>
      </c>
      <c r="T1798" t="s">
        <v>13610</v>
      </c>
      <c r="U1798" t="s">
        <v>13610</v>
      </c>
      <c r="V1798" t="s">
        <v>13610</v>
      </c>
      <c r="W1798" t="s">
        <v>15362</v>
      </c>
      <c r="X1798">
        <v>10</v>
      </c>
      <c r="Y1798" t="s">
        <v>22054</v>
      </c>
      <c r="Z1798" t="s">
        <v>28653</v>
      </c>
      <c r="AA1798">
        <v>0.45152098395774382</v>
      </c>
      <c r="AB1798" t="str">
        <f>HYPERLINK("Melting_Curves/meltCurve_P06730_EIF4E.pdf", "Melting_Curves/meltCurve_P06730_EIF4E.pdf")</f>
        <v>Melting_Curves/meltCurve_P06730_EIF4E.pdf</v>
      </c>
    </row>
    <row r="1799" spans="1:28" x14ac:dyDescent="0.25">
      <c r="A1799" t="s">
        <v>1803</v>
      </c>
      <c r="B1799">
        <v>0.995954080203443</v>
      </c>
      <c r="C1799">
        <v>1.01635136187768</v>
      </c>
      <c r="D1799">
        <v>1.0110717801540701</v>
      </c>
      <c r="E1799">
        <v>0.94447568901269596</v>
      </c>
      <c r="F1799">
        <v>0.86152299818420697</v>
      </c>
      <c r="G1799">
        <v>0.70677563517048203</v>
      </c>
      <c r="H1799">
        <v>0.453330448996209</v>
      </c>
      <c r="I1799">
        <v>0.112063093848309</v>
      </c>
      <c r="J1799">
        <v>4.9566108335022001E-2</v>
      </c>
      <c r="K1799">
        <v>5.0630367135171099E-2</v>
      </c>
      <c r="L1799">
        <v>1220.58157579877</v>
      </c>
      <c r="M1799">
        <v>20.5384029423291</v>
      </c>
      <c r="N1799">
        <v>59.429235366395197</v>
      </c>
      <c r="O1799">
        <v>58.874432193101498</v>
      </c>
      <c r="P1799">
        <v>-8.7215287832027796E-2</v>
      </c>
      <c r="Q1799">
        <v>0</v>
      </c>
      <c r="R1799">
        <v>0.98735333873337605</v>
      </c>
      <c r="S1799" t="s">
        <v>8605</v>
      </c>
      <c r="T1799" t="s">
        <v>13610</v>
      </c>
      <c r="U1799" t="s">
        <v>13610</v>
      </c>
      <c r="V1799" t="s">
        <v>13610</v>
      </c>
      <c r="W1799" t="s">
        <v>15363</v>
      </c>
      <c r="X1799">
        <v>37</v>
      </c>
      <c r="Y1799" t="s">
        <v>22055</v>
      </c>
      <c r="Z1799" t="s">
        <v>28654</v>
      </c>
      <c r="AA1799">
        <v>0.65691467222921973</v>
      </c>
      <c r="AB1799" t="str">
        <f>HYPERLINK("Melting_Curves/meltCurve_P06733_ENO1.pdf", "Melting_Curves/meltCurve_P06733_ENO1.pdf")</f>
        <v>Melting_Curves/meltCurve_P06733_ENO1.pdf</v>
      </c>
    </row>
    <row r="1800" spans="1:28" x14ac:dyDescent="0.25">
      <c r="A1800" t="s">
        <v>1804</v>
      </c>
      <c r="B1800">
        <v>0.995954080203443</v>
      </c>
      <c r="C1800">
        <v>0.87532362897413996</v>
      </c>
      <c r="D1800">
        <v>0.63702611714706603</v>
      </c>
      <c r="E1800">
        <v>0.55823472561390297</v>
      </c>
      <c r="F1800">
        <v>0.33025053251482001</v>
      </c>
      <c r="G1800">
        <v>0.19547717254913299</v>
      </c>
      <c r="H1800">
        <v>9.9442767301377799E-2</v>
      </c>
      <c r="I1800">
        <v>8.44055275234908E-2</v>
      </c>
      <c r="J1800">
        <v>0.102055719190304</v>
      </c>
      <c r="K1800">
        <v>9.0867007436796404E-2</v>
      </c>
      <c r="L1800">
        <v>589.91982997898799</v>
      </c>
      <c r="M1800">
        <v>11.9465999181462</v>
      </c>
      <c r="N1800">
        <v>49.754428204916003</v>
      </c>
      <c r="O1800">
        <v>48.057135311127603</v>
      </c>
      <c r="P1800">
        <v>-5.9488836061147E-2</v>
      </c>
      <c r="Q1800">
        <v>4.3020805438297602E-2</v>
      </c>
      <c r="R1800">
        <v>0.98442048873300703</v>
      </c>
      <c r="S1800" t="s">
        <v>8606</v>
      </c>
      <c r="T1800" t="s">
        <v>13610</v>
      </c>
      <c r="U1800" t="s">
        <v>13610</v>
      </c>
      <c r="V1800" t="s">
        <v>13610</v>
      </c>
      <c r="W1800" t="s">
        <v>15364</v>
      </c>
      <c r="X1800">
        <v>6</v>
      </c>
      <c r="Y1800" t="s">
        <v>22056</v>
      </c>
      <c r="Z1800" t="s">
        <v>28655</v>
      </c>
      <c r="AA1800">
        <v>0.37684265340879453</v>
      </c>
      <c r="AB1800" t="str">
        <f>HYPERLINK("Melting_Curves/meltCurve_P06737_2_PYGL.pdf", "Melting_Curves/meltCurve_P06737_2_PYGL.pdf")</f>
        <v>Melting_Curves/meltCurve_P06737_2_PYGL.pdf</v>
      </c>
    </row>
    <row r="1801" spans="1:28" x14ac:dyDescent="0.25">
      <c r="A1801" t="s">
        <v>1805</v>
      </c>
      <c r="B1801">
        <v>0.995954080203443</v>
      </c>
      <c r="C1801">
        <v>0.94619206786250398</v>
      </c>
      <c r="D1801">
        <v>0.93132859177830096</v>
      </c>
      <c r="E1801">
        <v>0.84478040594517601</v>
      </c>
      <c r="F1801">
        <v>0.61241071362065802</v>
      </c>
      <c r="G1801">
        <v>0.25704105391620502</v>
      </c>
      <c r="H1801">
        <v>5.9705619785004299E-2</v>
      </c>
      <c r="I1801">
        <v>5.1828734596840703E-2</v>
      </c>
      <c r="J1801">
        <v>5.3403016938681602E-2</v>
      </c>
      <c r="K1801">
        <v>5.1181846493968799E-2</v>
      </c>
      <c r="L1801">
        <v>1172.91960007327</v>
      </c>
      <c r="M1801">
        <v>21.772766379676</v>
      </c>
      <c r="N1801">
        <v>54.004699782777898</v>
      </c>
      <c r="O1801">
        <v>53.422684924022803</v>
      </c>
      <c r="P1801">
        <v>-9.9217105864627494E-2</v>
      </c>
      <c r="Q1801">
        <v>2.6247609158904901E-2</v>
      </c>
      <c r="R1801">
        <v>0.99580454177573896</v>
      </c>
      <c r="S1801" t="s">
        <v>8607</v>
      </c>
      <c r="T1801" t="s">
        <v>13610</v>
      </c>
      <c r="U1801" t="s">
        <v>13610</v>
      </c>
      <c r="V1801" t="s">
        <v>13610</v>
      </c>
      <c r="W1801" t="s">
        <v>15365</v>
      </c>
      <c r="X1801">
        <v>32</v>
      </c>
      <c r="Y1801" t="s">
        <v>22057</v>
      </c>
      <c r="Z1801" t="s">
        <v>28656</v>
      </c>
      <c r="AA1801">
        <v>0.48798520655229238</v>
      </c>
      <c r="AB1801" t="str">
        <f>HYPERLINK("Melting_Curves/meltCurve_P06744_GPI.pdf", "Melting_Curves/meltCurve_P06744_GPI.pdf")</f>
        <v>Melting_Curves/meltCurve_P06744_GPI.pdf</v>
      </c>
    </row>
    <row r="1802" spans="1:28" x14ac:dyDescent="0.25">
      <c r="A1802" t="s">
        <v>1806</v>
      </c>
      <c r="B1802">
        <v>0.995954080203443</v>
      </c>
      <c r="C1802">
        <v>0.986614601653242</v>
      </c>
      <c r="D1802">
        <v>0.561212574691906</v>
      </c>
      <c r="E1802">
        <v>0.28781783890114299</v>
      </c>
      <c r="F1802">
        <v>0.13669762285783499</v>
      </c>
      <c r="G1802">
        <v>6.9182927787525203E-2</v>
      </c>
      <c r="H1802">
        <v>4.0026730656283198E-2</v>
      </c>
      <c r="I1802">
        <v>3.2168085748410603E-2</v>
      </c>
      <c r="J1802">
        <v>3.3929016443830402E-2</v>
      </c>
      <c r="K1802">
        <v>3.4661278341800002E-2</v>
      </c>
      <c r="L1802">
        <v>1019.80397717892</v>
      </c>
      <c r="M1802">
        <v>21.682998756241599</v>
      </c>
      <c r="N1802">
        <v>47.220543605470901</v>
      </c>
      <c r="O1802">
        <v>46.637859974276402</v>
      </c>
      <c r="P1802">
        <v>-0.111423891215345</v>
      </c>
      <c r="Q1802">
        <v>4.1378171074309203E-2</v>
      </c>
      <c r="R1802">
        <v>0.98805134803044303</v>
      </c>
      <c r="S1802" t="s">
        <v>8608</v>
      </c>
      <c r="T1802" t="s">
        <v>13610</v>
      </c>
      <c r="U1802" t="s">
        <v>13610</v>
      </c>
      <c r="V1802" t="s">
        <v>13610</v>
      </c>
      <c r="W1802" t="s">
        <v>15366</v>
      </c>
      <c r="X1802">
        <v>10</v>
      </c>
      <c r="Y1802" t="s">
        <v>22058</v>
      </c>
      <c r="Z1802" t="s">
        <v>28657</v>
      </c>
      <c r="AA1802">
        <v>0.27781301487030807</v>
      </c>
      <c r="AB1802" t="str">
        <f>HYPERLINK("Melting_Curves/meltCurve_P06746_POLB.pdf", "Melting_Curves/meltCurve_P06746_POLB.pdf")</f>
        <v>Melting_Curves/meltCurve_P06746_POLB.pdf</v>
      </c>
    </row>
    <row r="1803" spans="1:28" x14ac:dyDescent="0.25">
      <c r="A1803" t="s">
        <v>1807</v>
      </c>
      <c r="B1803">
        <v>0.995954080203443</v>
      </c>
      <c r="C1803">
        <v>1.0024948120100601</v>
      </c>
      <c r="D1803">
        <v>0.99700000377442899</v>
      </c>
      <c r="E1803">
        <v>0.942148972919994</v>
      </c>
      <c r="F1803">
        <v>0.85293960731074303</v>
      </c>
      <c r="G1803">
        <v>0.740440442124503</v>
      </c>
      <c r="H1803">
        <v>0.72132975212421502</v>
      </c>
      <c r="I1803">
        <v>0.85944387384746002</v>
      </c>
      <c r="J1803">
        <v>1.18707565436819</v>
      </c>
      <c r="K1803">
        <v>0.95244983618978696</v>
      </c>
      <c r="L1803">
        <v>12498.849975110699</v>
      </c>
      <c r="M1803">
        <v>250</v>
      </c>
      <c r="O1803">
        <v>49.992193858745203</v>
      </c>
      <c r="P1803">
        <v>-0.143005817450577</v>
      </c>
      <c r="Q1803">
        <v>0.88561319206315103</v>
      </c>
      <c r="R1803">
        <v>0.15085275065821199</v>
      </c>
      <c r="S1803" t="s">
        <v>8609</v>
      </c>
      <c r="T1803" t="s">
        <v>13610</v>
      </c>
      <c r="U1803" t="s">
        <v>13610</v>
      </c>
      <c r="V1803" t="s">
        <v>13610</v>
      </c>
      <c r="W1803" t="s">
        <v>15367</v>
      </c>
      <c r="X1803">
        <v>24</v>
      </c>
      <c r="Y1803" t="s">
        <v>22059</v>
      </c>
      <c r="Z1803" t="s">
        <v>28658</v>
      </c>
      <c r="AA1803">
        <v>0.92373462478187718</v>
      </c>
      <c r="AB1803" t="str">
        <f>HYPERLINK("Melting_Curves/meltCurve_P06748_NPM1.pdf", "Melting_Curves/meltCurve_P06748_NPM1.pdf")</f>
        <v>Melting_Curves/meltCurve_P06748_NPM1.pdf</v>
      </c>
    </row>
    <row r="1804" spans="1:28" x14ac:dyDescent="0.25">
      <c r="A1804" t="s">
        <v>1808</v>
      </c>
      <c r="B1804">
        <v>0.995954080203443</v>
      </c>
      <c r="C1804">
        <v>0.94081225931708801</v>
      </c>
      <c r="D1804">
        <v>0.945576464652368</v>
      </c>
      <c r="E1804">
        <v>0.91805999166349295</v>
      </c>
      <c r="F1804">
        <v>0.98705732190294304</v>
      </c>
      <c r="G1804">
        <v>0.79205507951881504</v>
      </c>
      <c r="H1804">
        <v>0.81783256690595896</v>
      </c>
      <c r="I1804">
        <v>0.99074350003853295</v>
      </c>
      <c r="J1804">
        <v>1.43694431236599</v>
      </c>
      <c r="K1804">
        <v>1.1677944903052799</v>
      </c>
      <c r="L1804">
        <v>15000</v>
      </c>
      <c r="M1804">
        <v>230.269996381505</v>
      </c>
      <c r="O1804">
        <v>65.136009502399304</v>
      </c>
      <c r="P1804">
        <v>0.267257897032387</v>
      </c>
      <c r="Q1804">
        <v>1.3023948071349101</v>
      </c>
      <c r="R1804">
        <v>0.591036429667123</v>
      </c>
      <c r="S1804" t="s">
        <v>8610</v>
      </c>
      <c r="T1804" t="s">
        <v>13610</v>
      </c>
      <c r="U1804" t="s">
        <v>13610</v>
      </c>
      <c r="V1804" t="s">
        <v>13610</v>
      </c>
      <c r="W1804" t="s">
        <v>15368</v>
      </c>
      <c r="X1804">
        <v>44</v>
      </c>
      <c r="Y1804" t="s">
        <v>22060</v>
      </c>
      <c r="Z1804" t="s">
        <v>28659</v>
      </c>
      <c r="AA1804">
        <v>1.0489379103265299</v>
      </c>
      <c r="AB1804" t="str">
        <f>HYPERLINK("Melting_Curves/meltCurve_P06753_2_TPM3.pdf", "Melting_Curves/meltCurve_P06753_2_TPM3.pdf")</f>
        <v>Melting_Curves/meltCurve_P06753_2_TPM3.pdf</v>
      </c>
    </row>
    <row r="1805" spans="1:28" x14ac:dyDescent="0.25">
      <c r="A1805" t="s">
        <v>1809</v>
      </c>
      <c r="B1805">
        <v>0.995954080203443</v>
      </c>
      <c r="C1805">
        <v>0.96552012282305699</v>
      </c>
      <c r="D1805">
        <v>0.96629085777318602</v>
      </c>
      <c r="E1805">
        <v>0.80008247045480696</v>
      </c>
      <c r="F1805">
        <v>0.73233506871259102</v>
      </c>
      <c r="G1805">
        <v>0.57063372221153996</v>
      </c>
      <c r="H1805">
        <v>0.51705910970489899</v>
      </c>
      <c r="I1805">
        <v>0.59552137290679297</v>
      </c>
      <c r="J1805">
        <v>0.87817752841553898</v>
      </c>
      <c r="K1805">
        <v>0.74353669644629905</v>
      </c>
      <c r="L1805">
        <v>1557.3409093590001</v>
      </c>
      <c r="M1805">
        <v>31.5133583470326</v>
      </c>
      <c r="O1805">
        <v>49.220713859984798</v>
      </c>
      <c r="P1805">
        <v>-5.3566580401243402E-2</v>
      </c>
      <c r="Q1805">
        <v>0.66533922747795804</v>
      </c>
      <c r="R1805">
        <v>0.67246721645253504</v>
      </c>
      <c r="S1805" t="s">
        <v>8611</v>
      </c>
      <c r="T1805" t="s">
        <v>13610</v>
      </c>
      <c r="U1805" t="s">
        <v>13610</v>
      </c>
      <c r="V1805" t="s">
        <v>13610</v>
      </c>
      <c r="W1805" t="s">
        <v>15369</v>
      </c>
      <c r="X1805">
        <v>43</v>
      </c>
      <c r="Y1805" t="s">
        <v>22060</v>
      </c>
      <c r="Z1805" t="s">
        <v>28660</v>
      </c>
      <c r="AA1805">
        <v>0.77226065390079157</v>
      </c>
      <c r="AB1805" t="str">
        <f>HYPERLINK("Melting_Curves/meltCurve_P06753_3_TPM3.pdf", "Melting_Curves/meltCurve_P06753_3_TPM3.pdf")</f>
        <v>Melting_Curves/meltCurve_P06753_3_TPM3.pdf</v>
      </c>
    </row>
    <row r="1806" spans="1:28" x14ac:dyDescent="0.25">
      <c r="A1806" t="s">
        <v>1810</v>
      </c>
      <c r="B1806">
        <v>0.995954080203443</v>
      </c>
      <c r="C1806">
        <v>0.97312236174918698</v>
      </c>
      <c r="D1806">
        <v>1.1298079057052599</v>
      </c>
      <c r="E1806">
        <v>1.00735161581889</v>
      </c>
      <c r="F1806">
        <v>1.1037682838855301</v>
      </c>
      <c r="G1806">
        <v>1.0437534066837</v>
      </c>
      <c r="H1806">
        <v>1.1646853604413401</v>
      </c>
      <c r="I1806">
        <v>1.5673317787085601</v>
      </c>
      <c r="J1806">
        <v>1.8702518353534201</v>
      </c>
      <c r="K1806">
        <v>1.9471159828342499</v>
      </c>
      <c r="L1806">
        <v>15000</v>
      </c>
      <c r="M1806">
        <v>245.19066224788901</v>
      </c>
      <c r="O1806">
        <v>61.1728324878992</v>
      </c>
      <c r="P1806">
        <v>0.501020505458734</v>
      </c>
      <c r="Q1806">
        <v>1.5</v>
      </c>
      <c r="R1806">
        <v>0.70201629872211202</v>
      </c>
      <c r="S1806" t="s">
        <v>8612</v>
      </c>
      <c r="T1806" t="s">
        <v>13610</v>
      </c>
      <c r="U1806" t="s">
        <v>13610</v>
      </c>
      <c r="V1806" t="s">
        <v>13610</v>
      </c>
      <c r="W1806" t="s">
        <v>15370</v>
      </c>
      <c r="X1806">
        <v>40</v>
      </c>
      <c r="Y1806" t="s">
        <v>22060</v>
      </c>
      <c r="Z1806" t="s">
        <v>28661</v>
      </c>
      <c r="AA1806">
        <v>1.146996171766228</v>
      </c>
      <c r="AB1806" t="str">
        <f>HYPERLINK("Melting_Curves/meltCurve_P06753_5_TPM3.pdf", "Melting_Curves/meltCurve_P06753_5_TPM3.pdf")</f>
        <v>Melting_Curves/meltCurve_P06753_5_TPM3.pdf</v>
      </c>
    </row>
    <row r="1807" spans="1:28" x14ac:dyDescent="0.25">
      <c r="A1807" t="s">
        <v>1811</v>
      </c>
      <c r="B1807">
        <v>0.995954080203443</v>
      </c>
      <c r="C1807">
        <v>0.90833330769029696</v>
      </c>
      <c r="D1807">
        <v>0.88680203757634402</v>
      </c>
      <c r="E1807">
        <v>0.80504055373397998</v>
      </c>
      <c r="F1807">
        <v>0.68693007324882405</v>
      </c>
      <c r="G1807">
        <v>0.31470034518097501</v>
      </c>
      <c r="H1807">
        <v>9.0518245301460507E-2</v>
      </c>
      <c r="I1807">
        <v>7.34268893840683E-2</v>
      </c>
      <c r="J1807">
        <v>8.5599344770452904E-2</v>
      </c>
      <c r="K1807">
        <v>7.6126885766017505E-2</v>
      </c>
      <c r="L1807">
        <v>975.08616053190406</v>
      </c>
      <c r="M1807">
        <v>17.937099796921601</v>
      </c>
      <c r="N1807">
        <v>54.536024211058297</v>
      </c>
      <c r="O1807">
        <v>53.699264978326298</v>
      </c>
      <c r="P1807">
        <v>-8.1180970542730699E-2</v>
      </c>
      <c r="Q1807">
        <v>2.7905446723663501E-2</v>
      </c>
      <c r="R1807">
        <v>0.983873514064872</v>
      </c>
      <c r="S1807" t="s">
        <v>8613</v>
      </c>
      <c r="T1807" t="s">
        <v>13610</v>
      </c>
      <c r="U1807" t="s">
        <v>13610</v>
      </c>
      <c r="V1807" t="s">
        <v>13610</v>
      </c>
      <c r="W1807" t="s">
        <v>15371</v>
      </c>
      <c r="X1807">
        <v>14</v>
      </c>
      <c r="Y1807" t="s">
        <v>22061</v>
      </c>
      <c r="Z1807" t="s">
        <v>28662</v>
      </c>
      <c r="AA1807">
        <v>0.50872546091007387</v>
      </c>
      <c r="AB1807" t="str">
        <f>HYPERLINK("Melting_Curves/meltCurve_P06865_HEXA.pdf", "Melting_Curves/meltCurve_P06865_HEXA.pdf")</f>
        <v>Melting_Curves/meltCurve_P06865_HEXA.pdf</v>
      </c>
    </row>
    <row r="1808" spans="1:28" x14ac:dyDescent="0.25">
      <c r="A1808" t="s">
        <v>1812</v>
      </c>
      <c r="B1808">
        <v>0.995954080203443</v>
      </c>
      <c r="C1808">
        <v>1.0495770649225</v>
      </c>
      <c r="D1808">
        <v>1.03323628313823</v>
      </c>
      <c r="E1808">
        <v>0.96654737530245705</v>
      </c>
      <c r="F1808">
        <v>0.99399358501722701</v>
      </c>
      <c r="G1808">
        <v>0.73105889313186101</v>
      </c>
      <c r="H1808">
        <v>0.73556654037465197</v>
      </c>
      <c r="I1808">
        <v>0.86467665310266195</v>
      </c>
      <c r="J1808">
        <v>0.85632428548601502</v>
      </c>
      <c r="K1808">
        <v>0.91022831100732904</v>
      </c>
      <c r="L1808">
        <v>13428.5256833083</v>
      </c>
      <c r="M1808">
        <v>250</v>
      </c>
      <c r="O1808">
        <v>53.7106759109301</v>
      </c>
      <c r="P1808">
        <v>-0.209954883727793</v>
      </c>
      <c r="Q1808">
        <v>0.81957093600334796</v>
      </c>
      <c r="R1808">
        <v>0.739086273077731</v>
      </c>
      <c r="S1808" t="s">
        <v>8614</v>
      </c>
      <c r="T1808" t="s">
        <v>13610</v>
      </c>
      <c r="U1808" t="s">
        <v>13610</v>
      </c>
      <c r="V1808" t="s">
        <v>13610</v>
      </c>
      <c r="W1808" t="s">
        <v>15372</v>
      </c>
      <c r="X1808">
        <v>4</v>
      </c>
      <c r="Y1808" t="s">
        <v>22062</v>
      </c>
      <c r="Z1808" t="s">
        <v>28663</v>
      </c>
      <c r="AA1808">
        <v>0.90206870190838573</v>
      </c>
      <c r="AB1808" t="str">
        <f>HYPERLINK("Melting_Curves/meltCurve_P07108_DBI.pdf", "Melting_Curves/meltCurve_P07108_DBI.pdf")</f>
        <v>Melting_Curves/meltCurve_P07108_DBI.pdf</v>
      </c>
    </row>
    <row r="1809" spans="1:28" x14ac:dyDescent="0.25">
      <c r="A1809" t="s">
        <v>1813</v>
      </c>
      <c r="B1809">
        <v>0.995954080203443</v>
      </c>
      <c r="C1809">
        <v>0.81287339073068599</v>
      </c>
      <c r="D1809">
        <v>1.12470310030321</v>
      </c>
      <c r="E1809">
        <v>1.0418295631868899</v>
      </c>
      <c r="F1809">
        <v>0.65789867109762601</v>
      </c>
      <c r="G1809">
        <v>0.66810967194860904</v>
      </c>
      <c r="H1809">
        <v>0.44315145071491502</v>
      </c>
      <c r="I1809">
        <v>0.32361650227858102</v>
      </c>
      <c r="J1809">
        <v>0.13919587095336</v>
      </c>
      <c r="K1809">
        <v>7.5074154774615307E-2</v>
      </c>
      <c r="L1809">
        <v>784.156874335628</v>
      </c>
      <c r="M1809">
        <v>13.209096180440399</v>
      </c>
      <c r="N1809">
        <v>59.364915297551299</v>
      </c>
      <c r="O1809">
        <v>58.053775033194</v>
      </c>
      <c r="P1809">
        <v>-5.6892464277802597E-2</v>
      </c>
      <c r="Q1809">
        <v>0</v>
      </c>
      <c r="R1809">
        <v>0.91608737286526398</v>
      </c>
      <c r="S1809" t="s">
        <v>8615</v>
      </c>
      <c r="T1809" t="s">
        <v>13610</v>
      </c>
      <c r="U1809" t="s">
        <v>13610</v>
      </c>
      <c r="V1809" t="s">
        <v>13610</v>
      </c>
      <c r="W1809" t="s">
        <v>15373</v>
      </c>
      <c r="X1809">
        <v>20</v>
      </c>
      <c r="Y1809" t="s">
        <v>22063</v>
      </c>
      <c r="Z1809" t="s">
        <v>28664</v>
      </c>
      <c r="AA1809">
        <v>0.65328163359912117</v>
      </c>
      <c r="AB1809" t="str">
        <f>HYPERLINK("Melting_Curves/meltCurve_P07195_LDHB.pdf", "Melting_Curves/meltCurve_P07195_LDHB.pdf")</f>
        <v>Melting_Curves/meltCurve_P07195_LDHB.pdf</v>
      </c>
    </row>
    <row r="1810" spans="1:28" x14ac:dyDescent="0.25">
      <c r="A1810" t="s">
        <v>1814</v>
      </c>
      <c r="B1810">
        <v>0.995954080203443</v>
      </c>
      <c r="C1810">
        <v>1.0210667299257801</v>
      </c>
      <c r="D1810">
        <v>1.1748114680333399</v>
      </c>
      <c r="E1810">
        <v>0.92450822480319095</v>
      </c>
      <c r="F1810">
        <v>0.34855009468689602</v>
      </c>
      <c r="G1810">
        <v>0.141225943304536</v>
      </c>
      <c r="H1810">
        <v>9.3061119697566599E-2</v>
      </c>
      <c r="I1810">
        <v>6.8843113392961203E-2</v>
      </c>
      <c r="J1810">
        <v>7.7742189809390405E-2</v>
      </c>
      <c r="K1810">
        <v>6.1288968210952997E-2</v>
      </c>
      <c r="L1810">
        <v>2879.0418851424201</v>
      </c>
      <c r="M1810">
        <v>55.211943784357601</v>
      </c>
      <c r="N1810">
        <v>52.3245937426355</v>
      </c>
      <c r="O1810">
        <v>52.076998282213601</v>
      </c>
      <c r="P1810">
        <v>-0.24220349592423401</v>
      </c>
      <c r="Q1810">
        <v>8.6195996254902901E-2</v>
      </c>
      <c r="R1810">
        <v>0.982987779604381</v>
      </c>
      <c r="S1810" t="s">
        <v>8616</v>
      </c>
      <c r="T1810" t="s">
        <v>13610</v>
      </c>
      <c r="U1810" t="s">
        <v>13610</v>
      </c>
      <c r="V1810" t="s">
        <v>13610</v>
      </c>
      <c r="W1810" t="s">
        <v>15374</v>
      </c>
      <c r="X1810">
        <v>7</v>
      </c>
      <c r="Y1810" t="s">
        <v>22064</v>
      </c>
      <c r="Z1810" t="s">
        <v>28665</v>
      </c>
      <c r="AA1810">
        <v>0.45786463574216257</v>
      </c>
      <c r="AB1810" t="str">
        <f>HYPERLINK("Melting_Curves/meltCurve_P07205_PGK2.pdf", "Melting_Curves/meltCurve_P07205_PGK2.pdf")</f>
        <v>Melting_Curves/meltCurve_P07205_PGK2.pdf</v>
      </c>
    </row>
    <row r="1811" spans="1:28" x14ac:dyDescent="0.25">
      <c r="A1811" t="s">
        <v>1815</v>
      </c>
      <c r="B1811">
        <v>0.995954080203443</v>
      </c>
      <c r="C1811">
        <v>0.98998033850199896</v>
      </c>
      <c r="D1811">
        <v>1.01880838376017</v>
      </c>
      <c r="E1811">
        <v>0.95084476604694002</v>
      </c>
      <c r="F1811">
        <v>0.93676208186451704</v>
      </c>
      <c r="G1811">
        <v>0.75603169089269096</v>
      </c>
      <c r="H1811">
        <v>0.55673090144788795</v>
      </c>
      <c r="I1811">
        <v>0.47440889687194199</v>
      </c>
      <c r="J1811">
        <v>0.60682084596758101</v>
      </c>
      <c r="K1811">
        <v>0.422345665131516</v>
      </c>
      <c r="L1811">
        <v>1431.3286697829899</v>
      </c>
      <c r="M1811">
        <v>25.082445321646698</v>
      </c>
      <c r="N1811">
        <v>65.992049576823206</v>
      </c>
      <c r="O1811">
        <v>56.7059368794216</v>
      </c>
      <c r="P1811">
        <v>-5.7149497531447303E-2</v>
      </c>
      <c r="Q1811">
        <v>0.48319667492183399</v>
      </c>
      <c r="R1811">
        <v>0.95942467067596304</v>
      </c>
      <c r="S1811" t="s">
        <v>8617</v>
      </c>
      <c r="T1811" t="s">
        <v>13610</v>
      </c>
      <c r="U1811" t="s">
        <v>13610</v>
      </c>
      <c r="V1811" t="s">
        <v>13610</v>
      </c>
      <c r="W1811" t="s">
        <v>15375</v>
      </c>
      <c r="X1811">
        <v>42</v>
      </c>
      <c r="Y1811" t="s">
        <v>22065</v>
      </c>
      <c r="Z1811" t="s">
        <v>28666</v>
      </c>
      <c r="AA1811">
        <v>0.7817950363470233</v>
      </c>
      <c r="AB1811" t="str">
        <f>HYPERLINK("Melting_Curves/meltCurve_P07237_P4HB.pdf", "Melting_Curves/meltCurve_P07237_P4HB.pdf")</f>
        <v>Melting_Curves/meltCurve_P07237_P4HB.pdf</v>
      </c>
    </row>
    <row r="1812" spans="1:28" x14ac:dyDescent="0.25">
      <c r="A1812" t="s">
        <v>1816</v>
      </c>
      <c r="B1812">
        <v>0.995954080203443</v>
      </c>
      <c r="C1812">
        <v>0.94358173814839597</v>
      </c>
      <c r="D1812">
        <v>0.94488925244333799</v>
      </c>
      <c r="E1812">
        <v>0.51286240489048496</v>
      </c>
      <c r="F1812">
        <v>0.21559589375702201</v>
      </c>
      <c r="G1812">
        <v>0.115135945352247</v>
      </c>
      <c r="H1812">
        <v>7.2231279257422107E-2</v>
      </c>
      <c r="I1812">
        <v>6.1736842691422697E-2</v>
      </c>
      <c r="J1812">
        <v>7.0845508203447094E-2</v>
      </c>
      <c r="K1812">
        <v>5.77752467452958E-2</v>
      </c>
      <c r="L1812">
        <v>1423.6979526975299</v>
      </c>
      <c r="M1812">
        <v>28.5357497545433</v>
      </c>
      <c r="N1812">
        <v>50.149843182651097</v>
      </c>
      <c r="O1812">
        <v>49.648642100553602</v>
      </c>
      <c r="P1812">
        <v>-0.133876272502198</v>
      </c>
      <c r="Q1812">
        <v>6.8295487447901801E-2</v>
      </c>
      <c r="R1812">
        <v>0.99775834294804699</v>
      </c>
      <c r="S1812" t="s">
        <v>8618</v>
      </c>
      <c r="T1812" t="s">
        <v>13610</v>
      </c>
      <c r="U1812" t="s">
        <v>13610</v>
      </c>
      <c r="V1812" t="s">
        <v>13610</v>
      </c>
      <c r="W1812" t="s">
        <v>15376</v>
      </c>
      <c r="X1812">
        <v>16</v>
      </c>
      <c r="Y1812" t="s">
        <v>22066</v>
      </c>
      <c r="Z1812" t="s">
        <v>28667</v>
      </c>
      <c r="AA1812">
        <v>0.38186757788480019</v>
      </c>
      <c r="AB1812" t="str">
        <f>HYPERLINK("Melting_Curves/meltCurve_P07339_CTSD.pdf", "Melting_Curves/meltCurve_P07339_CTSD.pdf")</f>
        <v>Melting_Curves/meltCurve_P07339_CTSD.pdf</v>
      </c>
    </row>
    <row r="1813" spans="1:28" x14ac:dyDescent="0.25">
      <c r="A1813" t="s">
        <v>1817</v>
      </c>
      <c r="B1813">
        <v>0.995954080203443</v>
      </c>
      <c r="C1813">
        <v>0.99848741313750899</v>
      </c>
      <c r="D1813">
        <v>1.0291015712840199</v>
      </c>
      <c r="E1813">
        <v>0.88266777920170203</v>
      </c>
      <c r="F1813">
        <v>0.65523562281230796</v>
      </c>
      <c r="G1813">
        <v>0.137553006007125</v>
      </c>
      <c r="H1813">
        <v>9.1823085655362097E-2</v>
      </c>
      <c r="I1813">
        <v>8.9316428377704898E-2</v>
      </c>
      <c r="J1813">
        <v>9.9238181450098106E-2</v>
      </c>
      <c r="K1813">
        <v>9.1687393692506294E-2</v>
      </c>
      <c r="L1813">
        <v>1995.4770217375701</v>
      </c>
      <c r="M1813">
        <v>37.265671641829002</v>
      </c>
      <c r="N1813">
        <v>53.813349184970299</v>
      </c>
      <c r="O1813">
        <v>53.393829515501501</v>
      </c>
      <c r="P1813">
        <v>-0.159806458943139</v>
      </c>
      <c r="Q1813">
        <v>8.4127064743900998E-2</v>
      </c>
      <c r="R1813">
        <v>0.99639950426707302</v>
      </c>
      <c r="S1813" t="s">
        <v>8619</v>
      </c>
      <c r="T1813" t="s">
        <v>13610</v>
      </c>
      <c r="U1813" t="s">
        <v>13610</v>
      </c>
      <c r="V1813" t="s">
        <v>13610</v>
      </c>
      <c r="W1813" t="s">
        <v>15377</v>
      </c>
      <c r="X1813">
        <v>32</v>
      </c>
      <c r="Y1813" t="s">
        <v>22067</v>
      </c>
      <c r="Z1813" t="s">
        <v>28668</v>
      </c>
      <c r="AA1813">
        <v>0.50161416668459213</v>
      </c>
      <c r="AB1813" t="str">
        <f>HYPERLINK("Melting_Curves/meltCurve_P07355_ANXA2.pdf", "Melting_Curves/meltCurve_P07355_ANXA2.pdf")</f>
        <v>Melting_Curves/meltCurve_P07355_ANXA2.pdf</v>
      </c>
    </row>
    <row r="1814" spans="1:28" x14ac:dyDescent="0.25">
      <c r="A1814" t="s">
        <v>1818</v>
      </c>
      <c r="B1814">
        <v>0.995954080203443</v>
      </c>
      <c r="C1814">
        <v>0.95832729046745202</v>
      </c>
      <c r="D1814">
        <v>0.81018611091521697</v>
      </c>
      <c r="E1814">
        <v>0.73643671103501795</v>
      </c>
      <c r="F1814">
        <v>0.53264526515487298</v>
      </c>
      <c r="G1814">
        <v>0.37495162044842301</v>
      </c>
      <c r="H1814">
        <v>0.25008220360348599</v>
      </c>
      <c r="I1814">
        <v>0.17727868064136801</v>
      </c>
      <c r="J1814">
        <v>8.5695718597825696E-2</v>
      </c>
      <c r="K1814">
        <v>6.1517600985958799E-2</v>
      </c>
      <c r="L1814">
        <v>570.23045961509297</v>
      </c>
      <c r="M1814">
        <v>10.548360253105001</v>
      </c>
      <c r="N1814">
        <v>54.058682447414597</v>
      </c>
      <c r="O1814">
        <v>52.224264394602699</v>
      </c>
      <c r="P1814">
        <v>-5.0515511669398598E-2</v>
      </c>
      <c r="Q1814">
        <v>0</v>
      </c>
      <c r="R1814">
        <v>0.99378365984550998</v>
      </c>
      <c r="S1814" t="s">
        <v>8620</v>
      </c>
      <c r="T1814" t="s">
        <v>13610</v>
      </c>
      <c r="U1814" t="s">
        <v>13610</v>
      </c>
      <c r="V1814" t="s">
        <v>13610</v>
      </c>
      <c r="W1814" t="s">
        <v>15378</v>
      </c>
      <c r="X1814">
        <v>40</v>
      </c>
      <c r="Y1814" t="s">
        <v>22068</v>
      </c>
      <c r="Z1814" t="s">
        <v>28669</v>
      </c>
      <c r="AA1814">
        <v>0.49749386297024828</v>
      </c>
      <c r="AB1814" t="str">
        <f>HYPERLINK("Melting_Curves/meltCurve_P07384_CAPN1.pdf", "Melting_Curves/meltCurve_P07384_CAPN1.pdf")</f>
        <v>Melting_Curves/meltCurve_P07384_CAPN1.pdf</v>
      </c>
    </row>
    <row r="1815" spans="1:28" x14ac:dyDescent="0.25">
      <c r="A1815" t="s">
        <v>1819</v>
      </c>
      <c r="B1815">
        <v>0.995954080203443</v>
      </c>
      <c r="C1815">
        <v>1.0398088226033699</v>
      </c>
      <c r="D1815">
        <v>1.0900185227463901</v>
      </c>
      <c r="E1815">
        <v>0.993169040794459</v>
      </c>
      <c r="F1815">
        <v>0.93793446066959996</v>
      </c>
      <c r="G1815">
        <v>0.71926759869912305</v>
      </c>
      <c r="H1815">
        <v>0.64172341461492599</v>
      </c>
      <c r="I1815">
        <v>0.73959558337991305</v>
      </c>
      <c r="J1815">
        <v>0.87870743751665203</v>
      </c>
      <c r="K1815">
        <v>0.93056329063050003</v>
      </c>
      <c r="L1815">
        <v>13298.8356525376</v>
      </c>
      <c r="M1815">
        <v>250</v>
      </c>
      <c r="O1815">
        <v>53.191919155106703</v>
      </c>
      <c r="P1815">
        <v>-0.25618136636011302</v>
      </c>
      <c r="Q1815">
        <v>0.78197146421749397</v>
      </c>
      <c r="R1815">
        <v>0.66931733019625195</v>
      </c>
      <c r="S1815" t="s">
        <v>8621</v>
      </c>
      <c r="T1815" t="s">
        <v>13610</v>
      </c>
      <c r="U1815" t="s">
        <v>13610</v>
      </c>
      <c r="V1815" t="s">
        <v>13610</v>
      </c>
      <c r="W1815" t="s">
        <v>15379</v>
      </c>
      <c r="X1815">
        <v>22</v>
      </c>
      <c r="Y1815" t="s">
        <v>22069</v>
      </c>
      <c r="Z1815" t="s">
        <v>28670</v>
      </c>
      <c r="AA1815">
        <v>0.87789052632180897</v>
      </c>
      <c r="AB1815" t="str">
        <f>HYPERLINK("Melting_Curves/meltCurve_P07602_PSAP.pdf", "Melting_Curves/meltCurve_P07602_PSAP.pdf")</f>
        <v>Melting_Curves/meltCurve_P07602_PSAP.pdf</v>
      </c>
    </row>
    <row r="1816" spans="1:28" x14ac:dyDescent="0.25">
      <c r="A1816" t="s">
        <v>1820</v>
      </c>
      <c r="B1816">
        <v>0.995954080203443</v>
      </c>
      <c r="C1816">
        <v>0.93728794265680404</v>
      </c>
      <c r="D1816">
        <v>0.95640716735313402</v>
      </c>
      <c r="E1816">
        <v>0.80996324040692202</v>
      </c>
      <c r="F1816">
        <v>0.61951475298054903</v>
      </c>
      <c r="G1816">
        <v>0.29302753213493998</v>
      </c>
      <c r="H1816">
        <v>0.13948588461088399</v>
      </c>
      <c r="I1816">
        <v>9.1852965596636596E-2</v>
      </c>
      <c r="J1816">
        <v>0.10128455366257701</v>
      </c>
      <c r="K1816">
        <v>8.7540485025891498E-2</v>
      </c>
      <c r="L1816">
        <v>1032.9184823928799</v>
      </c>
      <c r="M1816">
        <v>19.210236215514598</v>
      </c>
      <c r="N1816">
        <v>54.165789592266599</v>
      </c>
      <c r="O1816">
        <v>53.196679440369699</v>
      </c>
      <c r="P1816">
        <v>-8.4359618182971399E-2</v>
      </c>
      <c r="Q1816">
        <v>6.5606521661803599E-2</v>
      </c>
      <c r="R1816">
        <v>0.99675674119985302</v>
      </c>
      <c r="S1816" t="s">
        <v>8622</v>
      </c>
      <c r="T1816" t="s">
        <v>13610</v>
      </c>
      <c r="U1816" t="s">
        <v>13610</v>
      </c>
      <c r="V1816" t="s">
        <v>13610</v>
      </c>
      <c r="W1816" t="s">
        <v>15380</v>
      </c>
      <c r="X1816">
        <v>21</v>
      </c>
      <c r="Y1816" t="s">
        <v>22070</v>
      </c>
      <c r="Z1816" t="s">
        <v>28671</v>
      </c>
      <c r="AA1816">
        <v>0.50806510576845454</v>
      </c>
      <c r="AB1816" t="str">
        <f>HYPERLINK("Melting_Curves/meltCurve_P07686_HEXB.pdf", "Melting_Curves/meltCurve_P07686_HEXB.pdf")</f>
        <v>Melting_Curves/meltCurve_P07686_HEXB.pdf</v>
      </c>
    </row>
    <row r="1817" spans="1:28" x14ac:dyDescent="0.25">
      <c r="A1817" t="s">
        <v>1821</v>
      </c>
      <c r="B1817">
        <v>0.995954080203443</v>
      </c>
      <c r="C1817">
        <v>0.935255130885844</v>
      </c>
      <c r="D1817">
        <v>1.06335061905268</v>
      </c>
      <c r="E1817">
        <v>0.81862185077988403</v>
      </c>
      <c r="F1817">
        <v>1.0236894681911699</v>
      </c>
      <c r="G1817">
        <v>0.95084781376993299</v>
      </c>
      <c r="H1817">
        <v>0.83241952684103404</v>
      </c>
      <c r="I1817">
        <v>0.77717094051090696</v>
      </c>
      <c r="J1817">
        <v>0.54982934838200803</v>
      </c>
      <c r="K1817">
        <v>0.60825688685152401</v>
      </c>
      <c r="L1817">
        <v>1392.63505938206</v>
      </c>
      <c r="M1817">
        <v>22.0848913848134</v>
      </c>
      <c r="O1817">
        <v>62.548086385665499</v>
      </c>
      <c r="P1817">
        <v>-4.2087413247555598E-2</v>
      </c>
      <c r="Q1817">
        <v>0.52321626382270603</v>
      </c>
      <c r="R1817">
        <v>0.80763896147181302</v>
      </c>
      <c r="S1817" t="s">
        <v>8623</v>
      </c>
      <c r="T1817" t="s">
        <v>13610</v>
      </c>
      <c r="U1817" t="s">
        <v>13610</v>
      </c>
      <c r="V1817" t="s">
        <v>13610</v>
      </c>
      <c r="W1817" t="s">
        <v>15381</v>
      </c>
      <c r="X1817">
        <v>5</v>
      </c>
      <c r="Y1817" t="s">
        <v>22071</v>
      </c>
      <c r="Z1817" t="s">
        <v>28672</v>
      </c>
      <c r="AA1817">
        <v>0.88997836014841736</v>
      </c>
      <c r="AB1817" t="str">
        <f>HYPERLINK("Melting_Curves/meltCurve_P07711_CTSL1.pdf", "Melting_Curves/meltCurve_P07711_CTSL1.pdf")</f>
        <v>Melting_Curves/meltCurve_P07711_CTSL1.pdf</v>
      </c>
    </row>
    <row r="1818" spans="1:28" x14ac:dyDescent="0.25">
      <c r="A1818" t="s">
        <v>1822</v>
      </c>
      <c r="B1818">
        <v>0.995954080203443</v>
      </c>
      <c r="C1818">
        <v>1.0133899785078599</v>
      </c>
      <c r="D1818">
        <v>1.13754209511321</v>
      </c>
      <c r="E1818">
        <v>0.97805413637321104</v>
      </c>
      <c r="F1818">
        <v>0.68060921306173705</v>
      </c>
      <c r="G1818">
        <v>0.176783695363354</v>
      </c>
      <c r="H1818">
        <v>0.107940766550801</v>
      </c>
      <c r="I1818">
        <v>9.3175847343130905E-2</v>
      </c>
      <c r="J1818">
        <v>0.106863462313779</v>
      </c>
      <c r="K1818">
        <v>9.6236069586387196E-2</v>
      </c>
      <c r="L1818">
        <v>2349.462148994</v>
      </c>
      <c r="M1818">
        <v>43.712562271382403</v>
      </c>
      <c r="N1818">
        <v>54.0268000635158</v>
      </c>
      <c r="O1818">
        <v>53.635861505290798</v>
      </c>
      <c r="P1818">
        <v>-0.18317373801973799</v>
      </c>
      <c r="Q1818">
        <v>0.100975424163938</v>
      </c>
      <c r="R1818">
        <v>0.989707573550761</v>
      </c>
      <c r="S1818" t="s">
        <v>8624</v>
      </c>
      <c r="T1818" t="s">
        <v>13610</v>
      </c>
      <c r="U1818" t="s">
        <v>13610</v>
      </c>
      <c r="V1818" t="s">
        <v>13610</v>
      </c>
      <c r="W1818" t="s">
        <v>15382</v>
      </c>
      <c r="X1818">
        <v>16</v>
      </c>
      <c r="Y1818" t="s">
        <v>22072</v>
      </c>
      <c r="Z1818" t="s">
        <v>28673</v>
      </c>
      <c r="AA1818">
        <v>0.51575894989629001</v>
      </c>
      <c r="AB1818" t="str">
        <f>HYPERLINK("Melting_Curves/meltCurve_P07737_PFN1.pdf", "Melting_Curves/meltCurve_P07737_PFN1.pdf")</f>
        <v>Melting_Curves/meltCurve_P07737_PFN1.pdf</v>
      </c>
    </row>
    <row r="1819" spans="1:28" x14ac:dyDescent="0.25">
      <c r="A1819" t="s">
        <v>1823</v>
      </c>
      <c r="B1819">
        <v>0.995954080203443</v>
      </c>
      <c r="C1819">
        <v>1.04770968205472</v>
      </c>
      <c r="D1819">
        <v>1.10010378880332</v>
      </c>
      <c r="E1819">
        <v>0.93162128872247196</v>
      </c>
      <c r="F1819">
        <v>0.79325099368603602</v>
      </c>
      <c r="G1819">
        <v>0.36393957037844799</v>
      </c>
      <c r="H1819">
        <v>0.13486573825466899</v>
      </c>
      <c r="I1819">
        <v>0.10281279763597299</v>
      </c>
      <c r="J1819">
        <v>8.5024606544965006E-2</v>
      </c>
      <c r="K1819">
        <v>8.0586801055772594E-2</v>
      </c>
      <c r="L1819">
        <v>1537.3487893701099</v>
      </c>
      <c r="M1819">
        <v>27.782351854744299</v>
      </c>
      <c r="N1819">
        <v>55.672419223526397</v>
      </c>
      <c r="O1819">
        <v>55.051132414894902</v>
      </c>
      <c r="P1819">
        <v>-0.116403000907883</v>
      </c>
      <c r="Q1819">
        <v>7.7391230977405398E-2</v>
      </c>
      <c r="R1819">
        <v>0.99240707731048705</v>
      </c>
      <c r="S1819" t="s">
        <v>8625</v>
      </c>
      <c r="T1819" t="s">
        <v>13610</v>
      </c>
      <c r="U1819" t="s">
        <v>13610</v>
      </c>
      <c r="V1819" t="s">
        <v>13610</v>
      </c>
      <c r="W1819" t="s">
        <v>15383</v>
      </c>
      <c r="X1819">
        <v>10</v>
      </c>
      <c r="Y1819" t="s">
        <v>22073</v>
      </c>
      <c r="Z1819" t="s">
        <v>28674</v>
      </c>
      <c r="AA1819">
        <v>0.55608004258491273</v>
      </c>
      <c r="AB1819" t="str">
        <f>HYPERLINK("Melting_Curves/meltCurve_P07738_BPGM.pdf", "Melting_Curves/meltCurve_P07738_BPGM.pdf")</f>
        <v>Melting_Curves/meltCurve_P07738_BPGM.pdf</v>
      </c>
    </row>
    <row r="1820" spans="1:28" x14ac:dyDescent="0.25">
      <c r="A1820" t="s">
        <v>1824</v>
      </c>
      <c r="B1820">
        <v>0.995954080203443</v>
      </c>
      <c r="C1820">
        <v>0.798359308524351</v>
      </c>
      <c r="D1820">
        <v>1.15443437991312</v>
      </c>
      <c r="E1820">
        <v>0.89791757998647503</v>
      </c>
      <c r="F1820">
        <v>0.827963214120499</v>
      </c>
      <c r="G1820">
        <v>0.56865375798051199</v>
      </c>
      <c r="H1820">
        <v>0.25347501368328401</v>
      </c>
      <c r="I1820">
        <v>8.5824209449694197E-2</v>
      </c>
      <c r="J1820">
        <v>4.25220839098309E-2</v>
      </c>
      <c r="K1820">
        <v>4.5770988375012998E-2</v>
      </c>
      <c r="L1820">
        <v>1136.4746000682001</v>
      </c>
      <c r="M1820">
        <v>19.757699292728301</v>
      </c>
      <c r="N1820">
        <v>57.520596334151698</v>
      </c>
      <c r="O1820">
        <v>56.941066451079699</v>
      </c>
      <c r="P1820">
        <v>-8.6749229677627299E-2</v>
      </c>
      <c r="Q1820">
        <v>0</v>
      </c>
      <c r="R1820">
        <v>0.95623712532465499</v>
      </c>
      <c r="S1820" t="s">
        <v>8626</v>
      </c>
      <c r="T1820" t="s">
        <v>13610</v>
      </c>
      <c r="U1820" t="s">
        <v>13610</v>
      </c>
      <c r="V1820" t="s">
        <v>13610</v>
      </c>
      <c r="W1820" t="s">
        <v>15384</v>
      </c>
      <c r="X1820">
        <v>11</v>
      </c>
      <c r="Y1820" t="s">
        <v>22074</v>
      </c>
      <c r="Z1820" t="s">
        <v>28675</v>
      </c>
      <c r="AA1820">
        <v>0.59597878639456314</v>
      </c>
      <c r="AB1820" t="str">
        <f>HYPERLINK("Melting_Curves/meltCurve_P07741_APRT.pdf", "Melting_Curves/meltCurve_P07741_APRT.pdf")</f>
        <v>Melting_Curves/meltCurve_P07741_APRT.pdf</v>
      </c>
    </row>
    <row r="1821" spans="1:28" x14ac:dyDescent="0.25">
      <c r="A1821" t="s">
        <v>1825</v>
      </c>
      <c r="B1821">
        <v>0.995954080203443</v>
      </c>
      <c r="C1821">
        <v>0.91923195666781699</v>
      </c>
      <c r="D1821">
        <v>0.79967790725572097</v>
      </c>
      <c r="E1821">
        <v>0.55466555833242803</v>
      </c>
      <c r="F1821">
        <v>0.36556068970371403</v>
      </c>
      <c r="G1821">
        <v>0.24723773420049699</v>
      </c>
      <c r="H1821">
        <v>0.22715870797740101</v>
      </c>
      <c r="I1821">
        <v>0.232330859917248</v>
      </c>
      <c r="J1821">
        <v>0.297533596674324</v>
      </c>
      <c r="K1821">
        <v>0.27349828589550901</v>
      </c>
      <c r="L1821">
        <v>923.21928176123902</v>
      </c>
      <c r="M1821">
        <v>18.987547592246301</v>
      </c>
      <c r="N1821">
        <v>50.388674257183702</v>
      </c>
      <c r="O1821">
        <v>48.092660923620599</v>
      </c>
      <c r="P1821">
        <v>-7.4719695978470196E-2</v>
      </c>
      <c r="Q1821">
        <v>0.243014275030251</v>
      </c>
      <c r="R1821">
        <v>0.99043709008409098</v>
      </c>
      <c r="S1821" t="s">
        <v>8627</v>
      </c>
      <c r="T1821" t="s">
        <v>13610</v>
      </c>
      <c r="U1821" t="s">
        <v>13610</v>
      </c>
      <c r="V1821" t="s">
        <v>13610</v>
      </c>
      <c r="W1821" t="s">
        <v>15385</v>
      </c>
      <c r="X1821">
        <v>12</v>
      </c>
      <c r="Y1821" t="s">
        <v>22075</v>
      </c>
      <c r="Z1821" t="s">
        <v>28676</v>
      </c>
      <c r="AA1821">
        <v>0.47243033919583532</v>
      </c>
      <c r="AB1821" t="str">
        <f>HYPERLINK("Melting_Curves/meltCurve_P07858_CTSB.pdf", "Melting_Curves/meltCurve_P07858_CTSB.pdf")</f>
        <v>Melting_Curves/meltCurve_P07858_CTSB.pdf</v>
      </c>
    </row>
    <row r="1822" spans="1:28" x14ac:dyDescent="0.25">
      <c r="A1822" t="s">
        <v>1826</v>
      </c>
      <c r="B1822">
        <v>0.995954080203443</v>
      </c>
      <c r="C1822">
        <v>0.92091742929897402</v>
      </c>
      <c r="D1822">
        <v>1.04406870047004</v>
      </c>
      <c r="E1822">
        <v>0.70754503556616499</v>
      </c>
      <c r="F1822">
        <v>0.22323906654596401</v>
      </c>
      <c r="G1822">
        <v>0.129299946414202</v>
      </c>
      <c r="H1822">
        <v>7.2071107328327999E-2</v>
      </c>
      <c r="I1822">
        <v>5.0879669127982897E-2</v>
      </c>
      <c r="J1822">
        <v>5.8687487982938102E-2</v>
      </c>
      <c r="K1822">
        <v>5.0356452519494901E-2</v>
      </c>
      <c r="L1822">
        <v>2112.0925563291698</v>
      </c>
      <c r="M1822">
        <v>41.443763122413998</v>
      </c>
      <c r="N1822">
        <v>51.146118923778701</v>
      </c>
      <c r="O1822">
        <v>50.844640362835698</v>
      </c>
      <c r="P1822">
        <v>-0.18971698075000601</v>
      </c>
      <c r="Q1822">
        <v>6.8996472933713304E-2</v>
      </c>
      <c r="R1822">
        <v>0.99271737664791404</v>
      </c>
      <c r="S1822" t="s">
        <v>8628</v>
      </c>
      <c r="T1822" t="s">
        <v>13610</v>
      </c>
      <c r="U1822" t="s">
        <v>13610</v>
      </c>
      <c r="V1822" t="s">
        <v>13610</v>
      </c>
      <c r="W1822" t="s">
        <v>15386</v>
      </c>
      <c r="X1822">
        <v>60</v>
      </c>
      <c r="Y1822" t="s">
        <v>22076</v>
      </c>
      <c r="Z1822" t="s">
        <v>28677</v>
      </c>
      <c r="AA1822">
        <v>0.41226516414781961</v>
      </c>
      <c r="AB1822" t="str">
        <f>HYPERLINK("Melting_Curves/meltCurve_P07900_HSP90AA1.pdf", "Melting_Curves/meltCurve_P07900_HSP90AA1.pdf")</f>
        <v>Melting_Curves/meltCurve_P07900_HSP90AA1.pdf</v>
      </c>
    </row>
    <row r="1823" spans="1:28" x14ac:dyDescent="0.25">
      <c r="A1823" t="s">
        <v>1827</v>
      </c>
      <c r="B1823">
        <v>0.995954080203443</v>
      </c>
      <c r="C1823">
        <v>1.0086724040850801</v>
      </c>
      <c r="D1823">
        <v>1.0045192175344799</v>
      </c>
      <c r="E1823">
        <v>0.86861099398348995</v>
      </c>
      <c r="F1823">
        <v>0.76918822582166202</v>
      </c>
      <c r="G1823">
        <v>0.27347053872992999</v>
      </c>
      <c r="H1823">
        <v>0.169039958825416</v>
      </c>
      <c r="I1823">
        <v>0.12420660727383501</v>
      </c>
      <c r="J1823">
        <v>0.14556194319839399</v>
      </c>
      <c r="K1823">
        <v>0.13359307401142401</v>
      </c>
      <c r="L1823">
        <v>1664.5953780754501</v>
      </c>
      <c r="M1823">
        <v>30.6096980008565</v>
      </c>
      <c r="N1823">
        <v>54.915950547623197</v>
      </c>
      <c r="O1823">
        <v>54.150784493458303</v>
      </c>
      <c r="P1823">
        <v>-0.12310875489306999</v>
      </c>
      <c r="Q1823">
        <v>0.128851857412733</v>
      </c>
      <c r="R1823">
        <v>0.99425186397472998</v>
      </c>
      <c r="S1823" t="s">
        <v>8629</v>
      </c>
      <c r="T1823" t="s">
        <v>13610</v>
      </c>
      <c r="U1823" t="s">
        <v>13610</v>
      </c>
      <c r="V1823" t="s">
        <v>13610</v>
      </c>
      <c r="W1823" t="s">
        <v>15387</v>
      </c>
      <c r="X1823">
        <v>7</v>
      </c>
      <c r="Y1823" t="s">
        <v>22077</v>
      </c>
      <c r="Z1823" t="s">
        <v>28678</v>
      </c>
      <c r="AA1823">
        <v>0.55198867770574322</v>
      </c>
      <c r="AB1823" t="str">
        <f>HYPERLINK("Melting_Curves/meltCurve_P07902_GALT.pdf", "Melting_Curves/meltCurve_P07902_GALT.pdf")</f>
        <v>Melting_Curves/meltCurve_P07902_GALT.pdf</v>
      </c>
    </row>
    <row r="1824" spans="1:28" x14ac:dyDescent="0.25">
      <c r="A1824" t="s">
        <v>1828</v>
      </c>
      <c r="B1824">
        <v>0.995954080203443</v>
      </c>
      <c r="C1824">
        <v>0.92881667383730004</v>
      </c>
      <c r="D1824">
        <v>1.0185814816626499</v>
      </c>
      <c r="E1824">
        <v>0.87596259022709999</v>
      </c>
      <c r="F1824">
        <v>0.91008289822132005</v>
      </c>
      <c r="G1824">
        <v>0.70779121504408204</v>
      </c>
      <c r="H1824">
        <v>0.82269861993179205</v>
      </c>
      <c r="I1824">
        <v>1.25005645999161</v>
      </c>
      <c r="J1824">
        <v>1.38151842228008</v>
      </c>
      <c r="K1824">
        <v>1.44038011861278</v>
      </c>
      <c r="L1824">
        <v>15000</v>
      </c>
      <c r="M1824">
        <v>234.81576769532199</v>
      </c>
      <c r="O1824">
        <v>63.8752333801419</v>
      </c>
      <c r="P1824">
        <v>0.37768528589325501</v>
      </c>
      <c r="Q1824">
        <v>1.4109559757941901</v>
      </c>
      <c r="R1824">
        <v>0.72527060418705402</v>
      </c>
      <c r="S1824" t="s">
        <v>8630</v>
      </c>
      <c r="T1824" t="s">
        <v>13610</v>
      </c>
      <c r="U1824" t="s">
        <v>13610</v>
      </c>
      <c r="V1824" t="s">
        <v>13610</v>
      </c>
      <c r="W1824" t="s">
        <v>15388</v>
      </c>
      <c r="X1824">
        <v>4</v>
      </c>
      <c r="Y1824" t="s">
        <v>22078</v>
      </c>
      <c r="Z1824" t="s">
        <v>28679</v>
      </c>
      <c r="AA1824">
        <v>1.0837846174555921</v>
      </c>
      <c r="AB1824" t="str">
        <f>HYPERLINK("Melting_Curves/meltCurve_P07919_UQCRH.pdf", "Melting_Curves/meltCurve_P07919_UQCRH.pdf")</f>
        <v>Melting_Curves/meltCurve_P07919_UQCRH.pdf</v>
      </c>
    </row>
    <row r="1825" spans="1:28" x14ac:dyDescent="0.25">
      <c r="A1825" t="s">
        <v>1829</v>
      </c>
      <c r="B1825">
        <v>0.995954080203443</v>
      </c>
      <c r="C1825">
        <v>0.91653499814727002</v>
      </c>
      <c r="D1825">
        <v>1.1542277061977599</v>
      </c>
      <c r="E1825">
        <v>0.86641151539002104</v>
      </c>
      <c r="F1825">
        <v>1.17271486070827</v>
      </c>
      <c r="G1825">
        <v>1.2514027480657399</v>
      </c>
      <c r="H1825">
        <v>1.4498088788219601</v>
      </c>
      <c r="I1825">
        <v>2.05432478159601</v>
      </c>
      <c r="J1825">
        <v>2.24024091729212</v>
      </c>
      <c r="K1825">
        <v>2.5395048970032499</v>
      </c>
      <c r="L1825">
        <v>2427.96754230021</v>
      </c>
      <c r="M1825">
        <v>42.963170835722401</v>
      </c>
      <c r="O1825">
        <v>56.390739209084899</v>
      </c>
      <c r="P1825">
        <v>9.5235579457479902E-2</v>
      </c>
      <c r="Q1825">
        <v>1.5</v>
      </c>
      <c r="R1825">
        <v>0.37267196201583602</v>
      </c>
      <c r="S1825" t="s">
        <v>8631</v>
      </c>
      <c r="T1825" t="s">
        <v>13610</v>
      </c>
      <c r="U1825" t="s">
        <v>13610</v>
      </c>
      <c r="V1825" t="s">
        <v>13610</v>
      </c>
      <c r="W1825" t="s">
        <v>15389</v>
      </c>
      <c r="X1825">
        <v>6</v>
      </c>
      <c r="Y1825" t="s">
        <v>22079</v>
      </c>
      <c r="Z1825" t="s">
        <v>28680</v>
      </c>
      <c r="AA1825">
        <v>1.223104831933822</v>
      </c>
      <c r="AB1825" t="str">
        <f>HYPERLINK("Melting_Curves/meltCurve_P07942_LAMB1.pdf", "Melting_Curves/meltCurve_P07942_LAMB1.pdf")</f>
        <v>Melting_Curves/meltCurve_P07942_LAMB1.pdf</v>
      </c>
    </row>
    <row r="1826" spans="1:28" x14ac:dyDescent="0.25">
      <c r="A1826" t="s">
        <v>1830</v>
      </c>
      <c r="B1826">
        <v>0.995954080203443</v>
      </c>
      <c r="C1826">
        <v>0.87551721094657498</v>
      </c>
      <c r="D1826">
        <v>0.51370103041176596</v>
      </c>
      <c r="E1826">
        <v>0.26676076535923898</v>
      </c>
      <c r="F1826">
        <v>0.12178486948958001</v>
      </c>
      <c r="G1826">
        <v>7.0150699374882997E-2</v>
      </c>
      <c r="H1826">
        <v>4.9212075999832197E-2</v>
      </c>
      <c r="I1826">
        <v>4.5736974578661001E-2</v>
      </c>
      <c r="J1826">
        <v>5.0970929521733599E-2</v>
      </c>
      <c r="K1826">
        <v>4.4194597886677602E-2</v>
      </c>
      <c r="L1826">
        <v>937.71081954085105</v>
      </c>
      <c r="M1826">
        <v>20.230246810888001</v>
      </c>
      <c r="N1826">
        <v>46.590207025150498</v>
      </c>
      <c r="O1826">
        <v>45.9061349840444</v>
      </c>
      <c r="P1826">
        <v>-0.104760407120307</v>
      </c>
      <c r="Q1826">
        <v>4.9147334492079697E-2</v>
      </c>
      <c r="R1826">
        <v>0.99489130324772801</v>
      </c>
      <c r="S1826" t="s">
        <v>8632</v>
      </c>
      <c r="T1826" t="s">
        <v>13610</v>
      </c>
      <c r="U1826" t="s">
        <v>13610</v>
      </c>
      <c r="V1826" t="s">
        <v>13610</v>
      </c>
      <c r="W1826" t="s">
        <v>15390</v>
      </c>
      <c r="X1826">
        <v>8</v>
      </c>
      <c r="Y1826" t="s">
        <v>22080</v>
      </c>
      <c r="Z1826" t="s">
        <v>28681</v>
      </c>
      <c r="AA1826">
        <v>0.26447339669071751</v>
      </c>
      <c r="AB1826" t="str">
        <f>HYPERLINK("Melting_Curves/meltCurve_P07947_YES1.pdf", "Melting_Curves/meltCurve_P07947_YES1.pdf")</f>
        <v>Melting_Curves/meltCurve_P07947_YES1.pdf</v>
      </c>
    </row>
    <row r="1827" spans="1:28" x14ac:dyDescent="0.25">
      <c r="A1827" t="s">
        <v>1831</v>
      </c>
      <c r="B1827">
        <v>0.995954080203443</v>
      </c>
      <c r="C1827">
        <v>0.93343447470826602</v>
      </c>
      <c r="D1827">
        <v>0.68702042546021802</v>
      </c>
      <c r="E1827">
        <v>0.41063293860952599</v>
      </c>
      <c r="F1827">
        <v>0.19247905544191399</v>
      </c>
      <c r="G1827">
        <v>9.9896584829129595E-2</v>
      </c>
      <c r="H1827">
        <v>8.0037499772079995E-2</v>
      </c>
      <c r="I1827">
        <v>6.2009227461500602E-2</v>
      </c>
      <c r="J1827">
        <v>7.7067471061519496E-2</v>
      </c>
      <c r="K1827">
        <v>6.5936989056453205E-2</v>
      </c>
      <c r="L1827">
        <v>882.05848492595203</v>
      </c>
      <c r="M1827">
        <v>18.311387614506501</v>
      </c>
      <c r="N1827">
        <v>48.504036927159298</v>
      </c>
      <c r="O1827">
        <v>47.606474972003802</v>
      </c>
      <c r="P1827">
        <v>-9.0467240103532701E-2</v>
      </c>
      <c r="Q1827">
        <v>5.9245996452917102E-2</v>
      </c>
      <c r="R1827">
        <v>0.99708829700485302</v>
      </c>
      <c r="S1827" t="s">
        <v>8633</v>
      </c>
      <c r="T1827" t="s">
        <v>13610</v>
      </c>
      <c r="U1827" t="s">
        <v>13610</v>
      </c>
      <c r="V1827" t="s">
        <v>13610</v>
      </c>
      <c r="W1827" t="s">
        <v>15391</v>
      </c>
      <c r="X1827">
        <v>11</v>
      </c>
      <c r="Y1827" t="s">
        <v>22081</v>
      </c>
      <c r="Z1827" t="s">
        <v>28682</v>
      </c>
      <c r="AA1827">
        <v>0.33147086345919619</v>
      </c>
      <c r="AB1827" t="str">
        <f>HYPERLINK("Melting_Curves/meltCurve_P07948_LYN.pdf", "Melting_Curves/meltCurve_P07948_LYN.pdf")</f>
        <v>Melting_Curves/meltCurve_P07948_LYN.pdf</v>
      </c>
    </row>
    <row r="1828" spans="1:28" x14ac:dyDescent="0.25">
      <c r="A1828" t="s">
        <v>1832</v>
      </c>
      <c r="B1828">
        <v>0.995954080203443</v>
      </c>
      <c r="C1828">
        <v>0.87794507886371997</v>
      </c>
      <c r="D1828">
        <v>0.80049321638674298</v>
      </c>
      <c r="E1828">
        <v>0.73293896662329805</v>
      </c>
      <c r="F1828">
        <v>0.148125893952962</v>
      </c>
      <c r="G1828">
        <v>8.8410595200187694E-2</v>
      </c>
      <c r="H1828">
        <v>5.15755423689244E-2</v>
      </c>
      <c r="I1828">
        <v>4.7897445572864301E-2</v>
      </c>
      <c r="J1828">
        <v>5.3004526489210897E-2</v>
      </c>
      <c r="K1828">
        <v>4.6540000493758303E-2</v>
      </c>
      <c r="L1828">
        <v>2542.67318768723</v>
      </c>
      <c r="M1828">
        <v>49.986370669120703</v>
      </c>
      <c r="N1828">
        <v>50.983918136059401</v>
      </c>
      <c r="O1828">
        <v>50.786114216834903</v>
      </c>
      <c r="P1828">
        <v>-0.232774785792985</v>
      </c>
      <c r="Q1828">
        <v>5.4004794642344998E-2</v>
      </c>
      <c r="R1828">
        <v>0.96388767684435595</v>
      </c>
      <c r="S1828" t="s">
        <v>8634</v>
      </c>
      <c r="T1828" t="s">
        <v>13610</v>
      </c>
      <c r="U1828" t="s">
        <v>13610</v>
      </c>
      <c r="V1828" t="s">
        <v>13610</v>
      </c>
      <c r="W1828" t="s">
        <v>15392</v>
      </c>
      <c r="X1828">
        <v>26</v>
      </c>
      <c r="Y1828" t="s">
        <v>22082</v>
      </c>
      <c r="Z1828" t="s">
        <v>28683</v>
      </c>
      <c r="AA1828">
        <v>0.39880990081715773</v>
      </c>
      <c r="AB1828" t="str">
        <f>HYPERLINK("Melting_Curves/meltCurve_P07954_2_FH.pdf", "Melting_Curves/meltCurve_P07954_2_FH.pdf")</f>
        <v>Melting_Curves/meltCurve_P07954_2_FH.pdf</v>
      </c>
    </row>
    <row r="1829" spans="1:28" x14ac:dyDescent="0.25">
      <c r="A1829" t="s">
        <v>1833</v>
      </c>
      <c r="B1829">
        <v>0.995954080203443</v>
      </c>
      <c r="C1829">
        <v>0.91955148346773596</v>
      </c>
      <c r="D1829">
        <v>0.85757922349555804</v>
      </c>
      <c r="E1829">
        <v>0.50182385975955901</v>
      </c>
      <c r="F1829">
        <v>0.25604959065729699</v>
      </c>
      <c r="G1829">
        <v>0.15551556773991801</v>
      </c>
      <c r="H1829">
        <v>0.124905421655161</v>
      </c>
      <c r="I1829">
        <v>0.12743690951653699</v>
      </c>
      <c r="J1829">
        <v>0.12242129012813199</v>
      </c>
      <c r="K1829">
        <v>0.14221575656562199</v>
      </c>
      <c r="L1829">
        <v>1095.86378954156</v>
      </c>
      <c r="M1829">
        <v>22.247063635491902</v>
      </c>
      <c r="N1829">
        <v>49.880079437713</v>
      </c>
      <c r="O1829">
        <v>48.865977526686898</v>
      </c>
      <c r="P1829">
        <v>-0.100046154636363</v>
      </c>
      <c r="Q1829">
        <v>0.121007764481221</v>
      </c>
      <c r="R1829">
        <v>0.99717957457047701</v>
      </c>
      <c r="S1829" t="s">
        <v>8635</v>
      </c>
      <c r="T1829" t="s">
        <v>13610</v>
      </c>
      <c r="U1829" t="s">
        <v>13610</v>
      </c>
      <c r="V1829" t="s">
        <v>13610</v>
      </c>
      <c r="W1829" t="s">
        <v>15393</v>
      </c>
      <c r="X1829">
        <v>9</v>
      </c>
      <c r="Y1829" t="s">
        <v>22083</v>
      </c>
      <c r="Z1829" t="s">
        <v>28684</v>
      </c>
      <c r="AA1829">
        <v>0.40219160632751649</v>
      </c>
      <c r="AB1829" t="str">
        <f>HYPERLINK("Melting_Curves/meltCurve_P07992_ERCC1.pdf", "Melting_Curves/meltCurve_P07992_ERCC1.pdf")</f>
        <v>Melting_Curves/meltCurve_P07992_ERCC1.pdf</v>
      </c>
    </row>
    <row r="1830" spans="1:28" x14ac:dyDescent="0.25">
      <c r="A1830" t="s">
        <v>1834</v>
      </c>
      <c r="B1830">
        <v>0.995954080203443</v>
      </c>
      <c r="C1830">
        <v>0.84227897797205498</v>
      </c>
      <c r="D1830">
        <v>0.78333595504995002</v>
      </c>
      <c r="E1830">
        <v>0.60662965756544895</v>
      </c>
      <c r="F1830">
        <v>0.36124349344557799</v>
      </c>
      <c r="G1830">
        <v>0.21460142200114299</v>
      </c>
      <c r="H1830">
        <v>0.10331437426770999</v>
      </c>
      <c r="I1830">
        <v>7.2065221387785802E-2</v>
      </c>
      <c r="J1830">
        <v>8.6150378524596005E-2</v>
      </c>
      <c r="K1830">
        <v>5.4391609716647797E-2</v>
      </c>
      <c r="L1830">
        <v>618.16979013978005</v>
      </c>
      <c r="M1830">
        <v>12.161038156888299</v>
      </c>
      <c r="N1830">
        <v>50.922819539296803</v>
      </c>
      <c r="O1830">
        <v>49.516083860533797</v>
      </c>
      <c r="P1830">
        <v>-6.0754756624659297E-2</v>
      </c>
      <c r="Q1830">
        <v>1.07265539199167E-2</v>
      </c>
      <c r="R1830">
        <v>0.99188350652361701</v>
      </c>
      <c r="S1830" t="s">
        <v>8636</v>
      </c>
      <c r="T1830" t="s">
        <v>13610</v>
      </c>
      <c r="U1830" t="s">
        <v>13610</v>
      </c>
      <c r="V1830" t="s">
        <v>13610</v>
      </c>
      <c r="W1830" t="s">
        <v>15394</v>
      </c>
      <c r="X1830">
        <v>1</v>
      </c>
      <c r="Y1830" t="s">
        <v>22084</v>
      </c>
      <c r="Z1830" t="s">
        <v>28685</v>
      </c>
      <c r="AA1830">
        <v>0.39988615554164558</v>
      </c>
      <c r="AB1830" t="str">
        <f>HYPERLINK("Melting_Curves/meltCurve_P07996_THBS1.pdf", "Melting_Curves/meltCurve_P07996_THBS1.pdf")</f>
        <v>Melting_Curves/meltCurve_P07996_THBS1.pdf</v>
      </c>
    </row>
    <row r="1831" spans="1:28" x14ac:dyDescent="0.25">
      <c r="A1831" t="s">
        <v>1835</v>
      </c>
      <c r="B1831">
        <v>0.995954080203443</v>
      </c>
      <c r="C1831">
        <v>0.84924023306141805</v>
      </c>
      <c r="D1831">
        <v>0.96674369521291303</v>
      </c>
      <c r="E1831">
        <v>0.68971929592304104</v>
      </c>
      <c r="F1831">
        <v>0.652170297277195</v>
      </c>
      <c r="G1831">
        <v>0.482535330929666</v>
      </c>
      <c r="H1831">
        <v>0.39712151943378299</v>
      </c>
      <c r="I1831">
        <v>0.46467041978217699</v>
      </c>
      <c r="J1831">
        <v>0.59414911955564398</v>
      </c>
      <c r="K1831">
        <v>0.67569187666837105</v>
      </c>
      <c r="L1831">
        <v>1137.69552692619</v>
      </c>
      <c r="M1831">
        <v>23.166083329180701</v>
      </c>
      <c r="O1831">
        <v>48.748833925935102</v>
      </c>
      <c r="P1831">
        <v>-5.6425498993966899E-2</v>
      </c>
      <c r="Q1831">
        <v>0.52505954417355005</v>
      </c>
      <c r="R1831">
        <v>0.80075503853658803</v>
      </c>
      <c r="S1831" t="s">
        <v>8637</v>
      </c>
      <c r="T1831" t="s">
        <v>13610</v>
      </c>
      <c r="U1831" t="s">
        <v>13610</v>
      </c>
      <c r="V1831" t="s">
        <v>13610</v>
      </c>
      <c r="W1831" t="s">
        <v>15395</v>
      </c>
      <c r="X1831">
        <v>7</v>
      </c>
      <c r="Y1831" t="s">
        <v>22085</v>
      </c>
      <c r="Z1831" t="s">
        <v>28686</v>
      </c>
      <c r="AA1831">
        <v>0.67421431940018262</v>
      </c>
      <c r="AB1831" t="str">
        <f>HYPERLINK("Melting_Curves/meltCurve_P08047_SP1.pdf", "Melting_Curves/meltCurve_P08047_SP1.pdf")</f>
        <v>Melting_Curves/meltCurve_P08047_SP1.pdf</v>
      </c>
    </row>
    <row r="1832" spans="1:28" x14ac:dyDescent="0.25">
      <c r="A1832" t="s">
        <v>1836</v>
      </c>
      <c r="B1832">
        <v>0.995954080203443</v>
      </c>
      <c r="C1832">
        <v>0.89004368563867997</v>
      </c>
      <c r="D1832">
        <v>1.0481899594219399</v>
      </c>
      <c r="E1832">
        <v>0.91795630281929996</v>
      </c>
      <c r="F1832">
        <v>0.74010853182682501</v>
      </c>
      <c r="G1832">
        <v>0.25324785273191802</v>
      </c>
      <c r="H1832">
        <v>7.8655124961204401E-2</v>
      </c>
      <c r="I1832">
        <v>6.6242723722768404E-2</v>
      </c>
      <c r="J1832">
        <v>7.4083436388305501E-2</v>
      </c>
      <c r="K1832">
        <v>6.5251016634673906E-2</v>
      </c>
      <c r="L1832">
        <v>1699.4768087657601</v>
      </c>
      <c r="M1832">
        <v>31.1573519368565</v>
      </c>
      <c r="N1832">
        <v>54.768195877152699</v>
      </c>
      <c r="O1832">
        <v>54.3217547842196</v>
      </c>
      <c r="P1832">
        <v>-0.13484288826652499</v>
      </c>
      <c r="Q1832">
        <v>5.9629822656249297E-2</v>
      </c>
      <c r="R1832">
        <v>0.99070945346084505</v>
      </c>
      <c r="S1832" t="s">
        <v>8638</v>
      </c>
      <c r="T1832" t="s">
        <v>13610</v>
      </c>
      <c r="U1832" t="s">
        <v>13610</v>
      </c>
      <c r="V1832" t="s">
        <v>13610</v>
      </c>
      <c r="W1832" t="s">
        <v>15396</v>
      </c>
      <c r="X1832">
        <v>45</v>
      </c>
      <c r="Y1832" t="s">
        <v>22086</v>
      </c>
      <c r="Z1832" t="s">
        <v>28687</v>
      </c>
      <c r="AA1832">
        <v>0.52132969316350875</v>
      </c>
      <c r="AB1832" t="str">
        <f>HYPERLINK("Melting_Curves/meltCurve_P08107_HSPA1A.pdf", "Melting_Curves/meltCurve_P08107_HSPA1A.pdf")</f>
        <v>Melting_Curves/meltCurve_P08107_HSPA1A.pdf</v>
      </c>
    </row>
    <row r="1833" spans="1:28" x14ac:dyDescent="0.25">
      <c r="A1833" t="s">
        <v>1837</v>
      </c>
      <c r="B1833">
        <v>0.995954080203443</v>
      </c>
      <c r="C1833">
        <v>1.0621551300140399</v>
      </c>
      <c r="D1833">
        <v>0.87039228315220096</v>
      </c>
      <c r="E1833">
        <v>0.64202721833252296</v>
      </c>
      <c r="F1833">
        <v>0.13136304106864999</v>
      </c>
      <c r="G1833">
        <v>6.3941432769544296E-2</v>
      </c>
      <c r="H1833">
        <v>2.7551132609459999E-2</v>
      </c>
      <c r="I1833">
        <v>1.82671799777098E-2</v>
      </c>
      <c r="J1833">
        <v>1.964592429403E-2</v>
      </c>
      <c r="K1833">
        <v>1.32032215675066E-2</v>
      </c>
      <c r="L1833">
        <v>1950.6246250331101</v>
      </c>
      <c r="M1833">
        <v>38.570380139958701</v>
      </c>
      <c r="N1833">
        <v>50.630739404959797</v>
      </c>
      <c r="O1833">
        <v>50.437753950314502</v>
      </c>
      <c r="P1833">
        <v>-0.18707517965185999</v>
      </c>
      <c r="Q1833">
        <v>2.1463747366835199E-2</v>
      </c>
      <c r="R1833">
        <v>0.989875514218301</v>
      </c>
      <c r="S1833" t="s">
        <v>8639</v>
      </c>
      <c r="T1833" t="s">
        <v>13610</v>
      </c>
      <c r="U1833" t="s">
        <v>13610</v>
      </c>
      <c r="V1833" t="s">
        <v>13610</v>
      </c>
      <c r="W1833" t="s">
        <v>15397</v>
      </c>
      <c r="X1833">
        <v>51</v>
      </c>
      <c r="Y1833" t="s">
        <v>20376</v>
      </c>
      <c r="Z1833" t="s">
        <v>28688</v>
      </c>
      <c r="AA1833">
        <v>0.37001811251906719</v>
      </c>
      <c r="AB1833" t="str">
        <f>HYPERLINK("Melting_Curves/meltCurve_P08133_ANXA6.pdf", "Melting_Curves/meltCurve_P08133_ANXA6.pdf")</f>
        <v>Melting_Curves/meltCurve_P08133_ANXA6.pdf</v>
      </c>
    </row>
    <row r="1834" spans="1:28" x14ac:dyDescent="0.25">
      <c r="A1834" t="s">
        <v>1838</v>
      </c>
      <c r="B1834">
        <v>0.995954080203443</v>
      </c>
      <c r="C1834">
        <v>1.02161396081545</v>
      </c>
      <c r="D1834">
        <v>0.89649848806809296</v>
      </c>
      <c r="E1834">
        <v>1.09952272521414</v>
      </c>
      <c r="F1834">
        <v>0.42263355282727</v>
      </c>
      <c r="G1834">
        <v>0.17915840800006999</v>
      </c>
      <c r="H1834">
        <v>9.8750188886935E-2</v>
      </c>
      <c r="I1834">
        <v>9.3008585308678698E-2</v>
      </c>
      <c r="J1834">
        <v>9.0949247822528098E-2</v>
      </c>
      <c r="K1834">
        <v>9.6277669292101506E-2</v>
      </c>
      <c r="L1834">
        <v>13217.210618865</v>
      </c>
      <c r="M1834">
        <v>250</v>
      </c>
      <c r="N1834">
        <v>52.922325836178203</v>
      </c>
      <c r="O1834">
        <v>52.865458081498801</v>
      </c>
      <c r="P1834">
        <v>-1.0502736817096501</v>
      </c>
      <c r="Q1834">
        <v>0.111628793186989</v>
      </c>
      <c r="R1834">
        <v>0.98509522061362098</v>
      </c>
      <c r="S1834" t="s">
        <v>8640</v>
      </c>
      <c r="T1834" t="s">
        <v>13610</v>
      </c>
      <c r="U1834" t="s">
        <v>13610</v>
      </c>
      <c r="V1834" t="s">
        <v>13610</v>
      </c>
      <c r="W1834" t="s">
        <v>15398</v>
      </c>
      <c r="X1834">
        <v>13</v>
      </c>
      <c r="Y1834" t="s">
        <v>22087</v>
      </c>
      <c r="Z1834" t="s">
        <v>28689</v>
      </c>
      <c r="AA1834">
        <v>0.49278819049093892</v>
      </c>
      <c r="AB1834" t="str">
        <f>HYPERLINK("Melting_Curves/meltCurve_P08195_2_SLC3A2.pdf", "Melting_Curves/meltCurve_P08195_2_SLC3A2.pdf")</f>
        <v>Melting_Curves/meltCurve_P08195_2_SLC3A2.pdf</v>
      </c>
    </row>
    <row r="1835" spans="1:28" x14ac:dyDescent="0.25">
      <c r="A1835" t="s">
        <v>1839</v>
      </c>
      <c r="B1835">
        <v>0.995954080203443</v>
      </c>
      <c r="C1835">
        <v>0.45248145734552397</v>
      </c>
      <c r="D1835">
        <v>0.27599518390532302</v>
      </c>
      <c r="E1835">
        <v>0.38266289877133097</v>
      </c>
      <c r="F1835">
        <v>0.242037952395667</v>
      </c>
      <c r="G1835">
        <v>0.17368935327441201</v>
      </c>
      <c r="H1835">
        <v>8.8830570816042703E-2</v>
      </c>
      <c r="I1835">
        <v>4.2329776840587502E-2</v>
      </c>
      <c r="J1835">
        <v>3.0765626450281101E-2</v>
      </c>
      <c r="K1835">
        <v>3.3752807287117402E-2</v>
      </c>
      <c r="L1835">
        <v>609.22287094310195</v>
      </c>
      <c r="M1835">
        <v>13.951102420096699</v>
      </c>
      <c r="N1835">
        <v>44.251463165268802</v>
      </c>
      <c r="O1835">
        <v>42.800567127922399</v>
      </c>
      <c r="P1835">
        <v>-7.4658042008848E-2</v>
      </c>
      <c r="Q1835">
        <v>8.3949742400879795E-2</v>
      </c>
      <c r="R1835">
        <v>0.84751848409153896</v>
      </c>
      <c r="S1835" t="s">
        <v>8641</v>
      </c>
      <c r="T1835" t="s">
        <v>13610</v>
      </c>
      <c r="U1835" t="s">
        <v>13610</v>
      </c>
      <c r="V1835" t="s">
        <v>13610</v>
      </c>
      <c r="W1835" t="s">
        <v>15399</v>
      </c>
      <c r="X1835">
        <v>16</v>
      </c>
      <c r="Y1835" t="s">
        <v>22088</v>
      </c>
      <c r="Z1835" t="s">
        <v>28690</v>
      </c>
      <c r="AA1835">
        <v>0.23607600829584641</v>
      </c>
      <c r="AB1835" t="str">
        <f>HYPERLINK("Melting_Curves/meltCurve_P08237_PFKM.pdf", "Melting_Curves/meltCurve_P08237_PFKM.pdf")</f>
        <v>Melting_Curves/meltCurve_P08237_PFKM.pdf</v>
      </c>
    </row>
    <row r="1836" spans="1:28" x14ac:dyDescent="0.25">
      <c r="A1836" t="s">
        <v>1840</v>
      </c>
      <c r="B1836">
        <v>0.995954080203443</v>
      </c>
      <c r="C1836">
        <v>0.92873345548577302</v>
      </c>
      <c r="D1836">
        <v>1.0153853153147201</v>
      </c>
      <c r="E1836">
        <v>0.70731942001689196</v>
      </c>
      <c r="F1836">
        <v>0.214062215926659</v>
      </c>
      <c r="G1836">
        <v>0.12463713150587399</v>
      </c>
      <c r="H1836">
        <v>7.1781094752474905E-2</v>
      </c>
      <c r="I1836">
        <v>5.4019149850414699E-2</v>
      </c>
      <c r="J1836">
        <v>5.9267112341070002E-2</v>
      </c>
      <c r="K1836">
        <v>5.2590631663751303E-2</v>
      </c>
      <c r="L1836">
        <v>2144.70455114384</v>
      </c>
      <c r="M1836">
        <v>42.114256465523503</v>
      </c>
      <c r="N1836">
        <v>51.106682210831103</v>
      </c>
      <c r="O1836">
        <v>50.811442539339403</v>
      </c>
      <c r="P1836">
        <v>-0.19286669931714401</v>
      </c>
      <c r="Q1836">
        <v>6.9216202502950894E-2</v>
      </c>
      <c r="R1836">
        <v>0.99500946884235797</v>
      </c>
      <c r="S1836" t="s">
        <v>8642</v>
      </c>
      <c r="T1836" t="s">
        <v>13610</v>
      </c>
      <c r="U1836" t="s">
        <v>13610</v>
      </c>
      <c r="V1836" t="s">
        <v>13610</v>
      </c>
      <c r="W1836" t="s">
        <v>15400</v>
      </c>
      <c r="X1836">
        <v>64</v>
      </c>
      <c r="Y1836" t="s">
        <v>22089</v>
      </c>
      <c r="Z1836" t="s">
        <v>28691</v>
      </c>
      <c r="AA1836">
        <v>0.411156670773205</v>
      </c>
      <c r="AB1836" t="str">
        <f>HYPERLINK("Melting_Curves/meltCurve_P08238_HSP90AB1.pdf", "Melting_Curves/meltCurve_P08238_HSP90AB1.pdf")</f>
        <v>Melting_Curves/meltCurve_P08238_HSP90AB1.pdf</v>
      </c>
    </row>
    <row r="1837" spans="1:28" x14ac:dyDescent="0.25">
      <c r="A1837" t="s">
        <v>1841</v>
      </c>
      <c r="B1837">
        <v>0.995954080203443</v>
      </c>
      <c r="C1837">
        <v>0.96780599661769096</v>
      </c>
      <c r="D1837">
        <v>0.71929907920819702</v>
      </c>
      <c r="E1837">
        <v>0.38966160386674698</v>
      </c>
      <c r="F1837">
        <v>0.22076408069133899</v>
      </c>
      <c r="G1837">
        <v>0.143115926651294</v>
      </c>
      <c r="H1837">
        <v>0.118272653117504</v>
      </c>
      <c r="I1837">
        <v>0.12534532466332601</v>
      </c>
      <c r="J1837">
        <v>0.14656852914628901</v>
      </c>
      <c r="K1837">
        <v>0.137987816617446</v>
      </c>
      <c r="L1837">
        <v>1046.07374077288</v>
      </c>
      <c r="M1837">
        <v>21.8596744388025</v>
      </c>
      <c r="N1837">
        <v>48.5093336430511</v>
      </c>
      <c r="O1837">
        <v>47.458976527102301</v>
      </c>
      <c r="P1837">
        <v>-0.10043160680874599</v>
      </c>
      <c r="Q1837">
        <v>0.127842387955764</v>
      </c>
      <c r="R1837">
        <v>0.99756414814162797</v>
      </c>
      <c r="S1837" t="s">
        <v>8643</v>
      </c>
      <c r="T1837" t="s">
        <v>13610</v>
      </c>
      <c r="U1837" t="s">
        <v>13610</v>
      </c>
      <c r="V1837" t="s">
        <v>13610</v>
      </c>
      <c r="W1837" t="s">
        <v>15401</v>
      </c>
      <c r="X1837">
        <v>26</v>
      </c>
      <c r="Y1837" t="s">
        <v>22090</v>
      </c>
      <c r="Z1837" t="s">
        <v>28692</v>
      </c>
      <c r="AA1837">
        <v>0.36645436773241358</v>
      </c>
      <c r="AB1837" t="str">
        <f>HYPERLINK("Melting_Curves/meltCurve_P08240_SRPR.pdf", "Melting_Curves/meltCurve_P08240_SRPR.pdf")</f>
        <v>Melting_Curves/meltCurve_P08240_SRPR.pdf</v>
      </c>
    </row>
    <row r="1838" spans="1:28" x14ac:dyDescent="0.25">
      <c r="A1838" t="s">
        <v>1842</v>
      </c>
      <c r="B1838">
        <v>0.995954080203443</v>
      </c>
      <c r="C1838">
        <v>0.914296241625001</v>
      </c>
      <c r="D1838">
        <v>1.00452474924777</v>
      </c>
      <c r="E1838">
        <v>0.79660972668587504</v>
      </c>
      <c r="F1838">
        <v>0.329206727813601</v>
      </c>
      <c r="G1838">
        <v>9.75026612307026E-2</v>
      </c>
      <c r="H1838">
        <v>6.07758148111101E-2</v>
      </c>
      <c r="I1838">
        <v>5.0274101877024101E-2</v>
      </c>
      <c r="J1838">
        <v>5.9077355617553999E-2</v>
      </c>
      <c r="K1838">
        <v>5.0866049864260202E-2</v>
      </c>
      <c r="L1838">
        <v>1914.4077271041699</v>
      </c>
      <c r="M1838">
        <v>37.004333363403198</v>
      </c>
      <c r="N1838">
        <v>51.902509643262597</v>
      </c>
      <c r="O1838">
        <v>51.5843079978726</v>
      </c>
      <c r="P1838">
        <v>-0.16922888659420099</v>
      </c>
      <c r="Q1838">
        <v>5.6377707915716301E-2</v>
      </c>
      <c r="R1838">
        <v>0.99547768159625705</v>
      </c>
      <c r="S1838" t="s">
        <v>8644</v>
      </c>
      <c r="T1838" t="s">
        <v>13610</v>
      </c>
      <c r="U1838" t="s">
        <v>13610</v>
      </c>
      <c r="V1838" t="s">
        <v>13610</v>
      </c>
      <c r="W1838" t="s">
        <v>15402</v>
      </c>
      <c r="X1838">
        <v>34</v>
      </c>
      <c r="Y1838" t="s">
        <v>22091</v>
      </c>
      <c r="Z1838" t="s">
        <v>28693</v>
      </c>
      <c r="AA1838">
        <v>0.42942644576558109</v>
      </c>
      <c r="AB1838" t="str">
        <f>HYPERLINK("Melting_Curves/meltCurve_P08243_2_ASNS.pdf", "Melting_Curves/meltCurve_P08243_2_ASNS.pdf")</f>
        <v>Melting_Curves/meltCurve_P08243_2_ASNS.pdf</v>
      </c>
    </row>
    <row r="1839" spans="1:28" x14ac:dyDescent="0.25">
      <c r="A1839" t="s">
        <v>1843</v>
      </c>
      <c r="B1839">
        <v>0.995954080203443</v>
      </c>
      <c r="C1839">
        <v>0.96996115904904301</v>
      </c>
      <c r="D1839">
        <v>0.91972936069287603</v>
      </c>
      <c r="E1839">
        <v>0.82589922900429302</v>
      </c>
      <c r="F1839">
        <v>0.75629415034190794</v>
      </c>
      <c r="G1839">
        <v>0.60444363164053305</v>
      </c>
      <c r="H1839">
        <v>0.51839530285590096</v>
      </c>
      <c r="I1839">
        <v>0.58419927049133102</v>
      </c>
      <c r="J1839">
        <v>0.58920756673327601</v>
      </c>
      <c r="K1839">
        <v>0.56742169283306998</v>
      </c>
      <c r="L1839">
        <v>836.74493963426301</v>
      </c>
      <c r="M1839">
        <v>16.281169346080599</v>
      </c>
      <c r="O1839">
        <v>50.636824932836497</v>
      </c>
      <c r="P1839">
        <v>-3.6199521970759201E-2</v>
      </c>
      <c r="Q1839">
        <v>0.54968948140626295</v>
      </c>
      <c r="R1839">
        <v>0.97447571475815498</v>
      </c>
      <c r="S1839" t="s">
        <v>8645</v>
      </c>
      <c r="T1839" t="s">
        <v>13610</v>
      </c>
      <c r="U1839" t="s">
        <v>13610</v>
      </c>
      <c r="V1839" t="s">
        <v>13610</v>
      </c>
      <c r="W1839" t="s">
        <v>15403</v>
      </c>
      <c r="X1839">
        <v>21</v>
      </c>
      <c r="Y1839" t="s">
        <v>22092</v>
      </c>
      <c r="Z1839" t="s">
        <v>28694</v>
      </c>
      <c r="AA1839">
        <v>0.72968791669213551</v>
      </c>
      <c r="AB1839" t="str">
        <f>HYPERLINK("Melting_Curves/meltCurve_P08397_2_HMBS.pdf", "Melting_Curves/meltCurve_P08397_2_HMBS.pdf")</f>
        <v>Melting_Curves/meltCurve_P08397_2_HMBS.pdf</v>
      </c>
    </row>
    <row r="1840" spans="1:28" x14ac:dyDescent="0.25">
      <c r="A1840" t="s">
        <v>1844</v>
      </c>
      <c r="B1840">
        <v>0.995954080203443</v>
      </c>
      <c r="C1840">
        <v>0.87122329946374999</v>
      </c>
      <c r="D1840">
        <v>0.56384750482829904</v>
      </c>
      <c r="E1840">
        <v>0.423327472448632</v>
      </c>
      <c r="F1840">
        <v>0.211529576535117</v>
      </c>
      <c r="G1840">
        <v>0.131185150701432</v>
      </c>
      <c r="H1840">
        <v>7.3721650111524303E-2</v>
      </c>
      <c r="I1840">
        <v>8.4832416476331204E-2</v>
      </c>
      <c r="J1840">
        <v>7.9684798104641102E-2</v>
      </c>
      <c r="K1840">
        <v>6.5085581450029004E-2</v>
      </c>
      <c r="L1840">
        <v>708.65045761272199</v>
      </c>
      <c r="M1840">
        <v>14.9262639330288</v>
      </c>
      <c r="N1840">
        <v>47.889307262468698</v>
      </c>
      <c r="O1840">
        <v>46.649027321252397</v>
      </c>
      <c r="P1840">
        <v>-7.5174035612436796E-2</v>
      </c>
      <c r="Q1840">
        <v>6.0331898709575497E-2</v>
      </c>
      <c r="R1840">
        <v>0.98751110257163999</v>
      </c>
      <c r="S1840" t="s">
        <v>8646</v>
      </c>
      <c r="T1840" t="s">
        <v>13610</v>
      </c>
      <c r="U1840" t="s">
        <v>13610</v>
      </c>
      <c r="V1840" t="s">
        <v>13610</v>
      </c>
      <c r="W1840" t="s">
        <v>15404</v>
      </c>
      <c r="X1840">
        <v>7</v>
      </c>
      <c r="Y1840" t="s">
        <v>22093</v>
      </c>
      <c r="Z1840" t="s">
        <v>28695</v>
      </c>
      <c r="AA1840">
        <v>0.31959967387397309</v>
      </c>
      <c r="AB1840" t="str">
        <f>HYPERLINK("Melting_Curves/meltCurve_P08559_3_PDHA1.pdf", "Melting_Curves/meltCurve_P08559_3_PDHA1.pdf")</f>
        <v>Melting_Curves/meltCurve_P08559_3_PDHA1.pdf</v>
      </c>
    </row>
    <row r="1841" spans="1:28" x14ac:dyDescent="0.25">
      <c r="A1841" t="s">
        <v>1845</v>
      </c>
      <c r="B1841">
        <v>0.995954080203443</v>
      </c>
      <c r="C1841">
        <v>0.94265968711205805</v>
      </c>
      <c r="D1841">
        <v>0.83794723764839996</v>
      </c>
      <c r="E1841">
        <v>0.91624447425817401</v>
      </c>
      <c r="F1841">
        <v>0.480461105044241</v>
      </c>
      <c r="G1841">
        <v>0.242929908055633</v>
      </c>
      <c r="H1841">
        <v>0.181649384771712</v>
      </c>
      <c r="I1841">
        <v>0.18266456626796301</v>
      </c>
      <c r="J1841">
        <v>0.20686818457480499</v>
      </c>
      <c r="K1841">
        <v>0.19500126131465101</v>
      </c>
      <c r="L1841">
        <v>2192.9502698566598</v>
      </c>
      <c r="M1841">
        <v>41.927529752218199</v>
      </c>
      <c r="N1841">
        <v>52.929237604313599</v>
      </c>
      <c r="O1841">
        <v>52.184801918805</v>
      </c>
      <c r="P1841">
        <v>-0.16160172090459399</v>
      </c>
      <c r="Q1841">
        <v>0.19545587001967299</v>
      </c>
      <c r="R1841">
        <v>0.97425157996533396</v>
      </c>
      <c r="S1841" t="s">
        <v>8647</v>
      </c>
      <c r="T1841" t="s">
        <v>13610</v>
      </c>
      <c r="U1841" t="s">
        <v>13610</v>
      </c>
      <c r="V1841" t="s">
        <v>13610</v>
      </c>
      <c r="W1841" t="s">
        <v>15405</v>
      </c>
      <c r="X1841">
        <v>13</v>
      </c>
      <c r="Y1841" t="s">
        <v>22094</v>
      </c>
      <c r="Z1841" t="s">
        <v>28696</v>
      </c>
      <c r="AA1841">
        <v>0.52805332129616667</v>
      </c>
      <c r="AB1841" t="str">
        <f>HYPERLINK("Melting_Curves/meltCurve_P08575_2_PTPRC.pdf", "Melting_Curves/meltCurve_P08575_2_PTPRC.pdf")</f>
        <v>Melting_Curves/meltCurve_P08575_2_PTPRC.pdf</v>
      </c>
    </row>
    <row r="1842" spans="1:28" x14ac:dyDescent="0.25">
      <c r="A1842" t="s">
        <v>1846</v>
      </c>
      <c r="B1842">
        <v>0.995954080203443</v>
      </c>
      <c r="C1842">
        <v>0.81883286102637198</v>
      </c>
      <c r="D1842">
        <v>0.67924238653357305</v>
      </c>
      <c r="E1842">
        <v>0.83929541309762701</v>
      </c>
      <c r="F1842">
        <v>0.69951035566756303</v>
      </c>
      <c r="G1842">
        <v>0.50057492482987598</v>
      </c>
      <c r="H1842">
        <v>0.237383953365912</v>
      </c>
      <c r="I1842">
        <v>0.208111670576553</v>
      </c>
      <c r="J1842">
        <v>0.18473517032276199</v>
      </c>
      <c r="K1842">
        <v>0.20951176916960601</v>
      </c>
      <c r="L1842">
        <v>449.732756681051</v>
      </c>
      <c r="M1842">
        <v>8.0580171225829407</v>
      </c>
      <c r="N1842">
        <v>55.811839290745802</v>
      </c>
      <c r="O1842">
        <v>52.689586460096301</v>
      </c>
      <c r="P1842">
        <v>-3.8275543713019701E-2</v>
      </c>
      <c r="Q1842">
        <v>0</v>
      </c>
      <c r="R1842">
        <v>0.90664154896992699</v>
      </c>
      <c r="S1842" t="s">
        <v>8648</v>
      </c>
      <c r="T1842" t="s">
        <v>13610</v>
      </c>
      <c r="U1842" t="s">
        <v>13610</v>
      </c>
      <c r="V1842" t="s">
        <v>13610</v>
      </c>
      <c r="W1842" t="s">
        <v>15406</v>
      </c>
      <c r="X1842">
        <v>11</v>
      </c>
      <c r="Y1842" t="s">
        <v>22095</v>
      </c>
      <c r="Z1842" t="s">
        <v>28697</v>
      </c>
      <c r="AA1842">
        <v>0.54835515039600358</v>
      </c>
      <c r="AB1842" t="str">
        <f>HYPERLINK("Melting_Curves/meltCurve_P08579_SNRPB2.pdf", "Melting_Curves/meltCurve_P08579_SNRPB2.pdf")</f>
        <v>Melting_Curves/meltCurve_P08579_SNRPB2.pdf</v>
      </c>
    </row>
    <row r="1843" spans="1:28" x14ac:dyDescent="0.25">
      <c r="A1843" t="s">
        <v>1847</v>
      </c>
      <c r="B1843">
        <v>0.995954080203443</v>
      </c>
      <c r="C1843">
        <v>0.80847680130933697</v>
      </c>
      <c r="D1843">
        <v>0.67672608172073301</v>
      </c>
      <c r="E1843">
        <v>0.75606022995793998</v>
      </c>
      <c r="F1843">
        <v>0.70876556093324405</v>
      </c>
      <c r="G1843">
        <v>0.52827455866213902</v>
      </c>
      <c r="H1843">
        <v>0.501816300910497</v>
      </c>
      <c r="I1843">
        <v>0.56027569080091899</v>
      </c>
      <c r="J1843">
        <v>0.78738642807441495</v>
      </c>
      <c r="K1843">
        <v>0.70157066276144697</v>
      </c>
      <c r="L1843">
        <v>1622.06763602706</v>
      </c>
      <c r="M1843">
        <v>37.905125370544503</v>
      </c>
      <c r="O1843">
        <v>42.674250814042303</v>
      </c>
      <c r="P1843">
        <v>-7.7936324886640498E-2</v>
      </c>
      <c r="Q1843">
        <v>0.64903263765373398</v>
      </c>
      <c r="R1843">
        <v>0.59207190038495106</v>
      </c>
      <c r="S1843" t="s">
        <v>8649</v>
      </c>
      <c r="T1843" t="s">
        <v>13610</v>
      </c>
      <c r="U1843" t="s">
        <v>13610</v>
      </c>
      <c r="V1843" t="s">
        <v>13610</v>
      </c>
      <c r="W1843" t="s">
        <v>15407</v>
      </c>
      <c r="X1843">
        <v>3</v>
      </c>
      <c r="Y1843" t="s">
        <v>22096</v>
      </c>
      <c r="Z1843" t="s">
        <v>28698</v>
      </c>
      <c r="AA1843">
        <v>0.68361673279314128</v>
      </c>
      <c r="AB1843" t="str">
        <f>HYPERLINK("Melting_Curves/meltCurve_P08590_MYL3.pdf", "Melting_Curves/meltCurve_P08590_MYL3.pdf")</f>
        <v>Melting_Curves/meltCurve_P08590_MYL3.pdf</v>
      </c>
    </row>
    <row r="1844" spans="1:28" x14ac:dyDescent="0.25">
      <c r="A1844" t="s">
        <v>1848</v>
      </c>
      <c r="B1844">
        <v>0.995954080203443</v>
      </c>
      <c r="C1844">
        <v>0.77887589624634501</v>
      </c>
      <c r="D1844">
        <v>0.67169948941537105</v>
      </c>
      <c r="E1844">
        <v>0.76155209062106599</v>
      </c>
      <c r="F1844">
        <v>0.25491863506553097</v>
      </c>
      <c r="G1844">
        <v>0.155466438666513</v>
      </c>
      <c r="H1844">
        <v>0.116020421696632</v>
      </c>
      <c r="I1844">
        <v>0.12946227735446</v>
      </c>
      <c r="J1844">
        <v>0.165688825580384</v>
      </c>
      <c r="K1844">
        <v>0.17023137187005</v>
      </c>
      <c r="L1844">
        <v>613.08002995725496</v>
      </c>
      <c r="M1844">
        <v>12.3760874290997</v>
      </c>
      <c r="N1844">
        <v>50.300668421952999</v>
      </c>
      <c r="O1844">
        <v>48.297404227362001</v>
      </c>
      <c r="P1844">
        <v>-5.8590602399880801E-2</v>
      </c>
      <c r="Q1844">
        <v>8.5601311281453707E-2</v>
      </c>
      <c r="R1844">
        <v>0.89871686081342705</v>
      </c>
      <c r="S1844" t="s">
        <v>8650</v>
      </c>
      <c r="T1844" t="s">
        <v>13610</v>
      </c>
      <c r="U1844" t="s">
        <v>13610</v>
      </c>
      <c r="V1844" t="s">
        <v>13610</v>
      </c>
      <c r="W1844" t="s">
        <v>15408</v>
      </c>
      <c r="X1844">
        <v>21</v>
      </c>
      <c r="Y1844" t="s">
        <v>22097</v>
      </c>
      <c r="Z1844" t="s">
        <v>28699</v>
      </c>
      <c r="AA1844">
        <v>0.40723448112807931</v>
      </c>
      <c r="AB1844" t="str">
        <f>HYPERLINK("Melting_Curves/meltCurve_P08621_SNRNP70.pdf", "Melting_Curves/meltCurve_P08621_SNRNP70.pdf")</f>
        <v>Melting_Curves/meltCurve_P08621_SNRNP70.pdf</v>
      </c>
    </row>
    <row r="1845" spans="1:28" x14ac:dyDescent="0.25">
      <c r="A1845" t="s">
        <v>1849</v>
      </c>
      <c r="B1845">
        <v>0.995954080203443</v>
      </c>
      <c r="C1845">
        <v>0.954584153656168</v>
      </c>
      <c r="D1845">
        <v>0.91432122758499401</v>
      </c>
      <c r="E1845">
        <v>0.829143054892864</v>
      </c>
      <c r="F1845">
        <v>0.71536451008138202</v>
      </c>
      <c r="G1845">
        <v>0.52643312047021096</v>
      </c>
      <c r="H1845">
        <v>0.41966205964803199</v>
      </c>
      <c r="I1845">
        <v>0.435914374351763</v>
      </c>
      <c r="J1845">
        <v>0.50313690579007198</v>
      </c>
      <c r="K1845">
        <v>0.42192670321734999</v>
      </c>
      <c r="L1845">
        <v>873.73698962695596</v>
      </c>
      <c r="M1845">
        <v>16.666939858691499</v>
      </c>
      <c r="N1845">
        <v>58.974910647702302</v>
      </c>
      <c r="O1845">
        <v>51.686118197652497</v>
      </c>
      <c r="P1845">
        <v>-4.6639368717018501E-2</v>
      </c>
      <c r="Q1845">
        <v>0.421502225492701</v>
      </c>
      <c r="R1845">
        <v>0.97842270346161198</v>
      </c>
      <c r="S1845" t="s">
        <v>8651</v>
      </c>
      <c r="T1845" t="s">
        <v>13610</v>
      </c>
      <c r="U1845" t="s">
        <v>13610</v>
      </c>
      <c r="V1845" t="s">
        <v>13610</v>
      </c>
      <c r="W1845" t="s">
        <v>15409</v>
      </c>
      <c r="X1845">
        <v>8</v>
      </c>
      <c r="Y1845" t="s">
        <v>22098</v>
      </c>
      <c r="Z1845" t="s">
        <v>28700</v>
      </c>
      <c r="AA1845">
        <v>0.67190608129696316</v>
      </c>
      <c r="AB1845" t="str">
        <f>HYPERLINK("Melting_Curves/meltCurve_P08651_2_NFIC.pdf", "Melting_Curves/meltCurve_P08651_2_NFIC.pdf")</f>
        <v>Melting_Curves/meltCurve_P08651_2_NFIC.pdf</v>
      </c>
    </row>
    <row r="1846" spans="1:28" x14ac:dyDescent="0.25">
      <c r="A1846" t="s">
        <v>1850</v>
      </c>
      <c r="B1846">
        <v>0.995954080203443</v>
      </c>
      <c r="C1846">
        <v>0.95448879133988496</v>
      </c>
      <c r="D1846">
        <v>1.07553259699897</v>
      </c>
      <c r="E1846">
        <v>0.981350554646367</v>
      </c>
      <c r="F1846">
        <v>0.83719155008910495</v>
      </c>
      <c r="G1846">
        <v>0.718506098023313</v>
      </c>
      <c r="H1846">
        <v>0.56634041380308897</v>
      </c>
      <c r="I1846">
        <v>0.55363151727070703</v>
      </c>
      <c r="J1846">
        <v>0.91496827764639799</v>
      </c>
      <c r="K1846">
        <v>0.713336569053444</v>
      </c>
      <c r="L1846">
        <v>2544.33959692096</v>
      </c>
      <c r="M1846">
        <v>48.099035173755297</v>
      </c>
      <c r="O1846">
        <v>52.806737757829303</v>
      </c>
      <c r="P1846">
        <v>-7.0325536916342996E-2</v>
      </c>
      <c r="Q1846">
        <v>0.69116565425022103</v>
      </c>
      <c r="R1846">
        <v>0.69429295056254103</v>
      </c>
      <c r="S1846" t="s">
        <v>8652</v>
      </c>
      <c r="T1846" t="s">
        <v>13610</v>
      </c>
      <c r="U1846" t="s">
        <v>13610</v>
      </c>
      <c r="V1846" t="s">
        <v>13610</v>
      </c>
      <c r="W1846" t="s">
        <v>15410</v>
      </c>
      <c r="X1846">
        <v>68</v>
      </c>
      <c r="Y1846" t="s">
        <v>22099</v>
      </c>
      <c r="Z1846" t="s">
        <v>28701</v>
      </c>
      <c r="AA1846">
        <v>0.82472205141578792</v>
      </c>
      <c r="AB1846" t="str">
        <f>HYPERLINK("Melting_Curves/meltCurve_P08670_VIM.pdf", "Melting_Curves/meltCurve_P08670_VIM.pdf")</f>
        <v>Melting_Curves/meltCurve_P08670_VIM.pdf</v>
      </c>
    </row>
    <row r="1847" spans="1:28" x14ac:dyDescent="0.25">
      <c r="A1847" t="s">
        <v>1851</v>
      </c>
      <c r="B1847">
        <v>0.995954080203443</v>
      </c>
      <c r="C1847">
        <v>1.0030364873883699</v>
      </c>
      <c r="D1847">
        <v>1.02137288430233</v>
      </c>
      <c r="E1847">
        <v>0.90724343350021597</v>
      </c>
      <c r="F1847">
        <v>0.87520813037581802</v>
      </c>
      <c r="G1847">
        <v>0.67395461741076701</v>
      </c>
      <c r="H1847">
        <v>0.50314490795493105</v>
      </c>
      <c r="I1847">
        <v>0.39304327433709702</v>
      </c>
      <c r="J1847">
        <v>0.34215305773395299</v>
      </c>
      <c r="K1847">
        <v>0.27845240153704998</v>
      </c>
      <c r="L1847">
        <v>837.96342146113398</v>
      </c>
      <c r="M1847">
        <v>14.318515294952901</v>
      </c>
      <c r="N1847">
        <v>60.986863212956301</v>
      </c>
      <c r="O1847">
        <v>57.417054476140002</v>
      </c>
      <c r="P1847">
        <v>-4.86583765587306E-2</v>
      </c>
      <c r="Q1847">
        <v>0.21961682519533099</v>
      </c>
      <c r="R1847">
        <v>0.99616615880387205</v>
      </c>
      <c r="S1847" t="s">
        <v>8653</v>
      </c>
      <c r="T1847" t="s">
        <v>13610</v>
      </c>
      <c r="U1847" t="s">
        <v>13610</v>
      </c>
      <c r="V1847" t="s">
        <v>13610</v>
      </c>
      <c r="W1847" t="s">
        <v>15411</v>
      </c>
      <c r="X1847">
        <v>40</v>
      </c>
      <c r="Y1847" t="s">
        <v>22100</v>
      </c>
      <c r="Z1847" t="s">
        <v>28702</v>
      </c>
      <c r="AA1847">
        <v>0.71069897272213489</v>
      </c>
      <c r="AB1847" t="str">
        <f>HYPERLINK("Melting_Curves/meltCurve_P08727_KRT19.pdf", "Melting_Curves/meltCurve_P08727_KRT19.pdf")</f>
        <v>Melting_Curves/meltCurve_P08727_KRT19.pdf</v>
      </c>
    </row>
    <row r="1848" spans="1:28" x14ac:dyDescent="0.25">
      <c r="A1848" t="s">
        <v>1852</v>
      </c>
      <c r="B1848">
        <v>0.995954080203443</v>
      </c>
      <c r="C1848">
        <v>0.99148446514120403</v>
      </c>
      <c r="D1848">
        <v>0.92215812365725602</v>
      </c>
      <c r="E1848">
        <v>0.83260160005052997</v>
      </c>
      <c r="F1848">
        <v>0.48499831626888801</v>
      </c>
      <c r="G1848">
        <v>0.225058447619159</v>
      </c>
      <c r="H1848">
        <v>0.162441620775267</v>
      </c>
      <c r="I1848">
        <v>0.128487333757208</v>
      </c>
      <c r="J1848">
        <v>0.15052959490634099</v>
      </c>
      <c r="K1848">
        <v>0.130059568286755</v>
      </c>
      <c r="L1848">
        <v>1408.52542076128</v>
      </c>
      <c r="M1848">
        <v>26.905818671114499</v>
      </c>
      <c r="N1848">
        <v>52.972789474922102</v>
      </c>
      <c r="O1848">
        <v>52.063592555952603</v>
      </c>
      <c r="P1848">
        <v>-0.111685502813367</v>
      </c>
      <c r="Q1848">
        <v>0.135549036927959</v>
      </c>
      <c r="R1848">
        <v>0.99672492749630504</v>
      </c>
      <c r="S1848" t="s">
        <v>8654</v>
      </c>
      <c r="T1848" t="s">
        <v>13610</v>
      </c>
      <c r="U1848" t="s">
        <v>13610</v>
      </c>
      <c r="V1848" t="s">
        <v>13610</v>
      </c>
      <c r="W1848" t="s">
        <v>15412</v>
      </c>
      <c r="X1848">
        <v>10</v>
      </c>
      <c r="Y1848" t="s">
        <v>22101</v>
      </c>
      <c r="Z1848" t="s">
        <v>28703</v>
      </c>
      <c r="AA1848">
        <v>0.49829402269229001</v>
      </c>
      <c r="AB1848" t="str">
        <f>HYPERLINK("Melting_Curves/meltCurve_P08754_GNAI3.pdf", "Melting_Curves/meltCurve_P08754_GNAI3.pdf")</f>
        <v>Melting_Curves/meltCurve_P08754_GNAI3.pdf</v>
      </c>
    </row>
    <row r="1849" spans="1:28" x14ac:dyDescent="0.25">
      <c r="A1849" t="s">
        <v>1853</v>
      </c>
      <c r="B1849">
        <v>0.995954080203443</v>
      </c>
      <c r="C1849">
        <v>1.6747939342431599</v>
      </c>
      <c r="D1849">
        <v>0.58190280174647302</v>
      </c>
      <c r="E1849">
        <v>0.59533998679070899</v>
      </c>
      <c r="F1849">
        <v>7.4461854783816298E-2</v>
      </c>
      <c r="G1849">
        <v>6.4408829140222404E-2</v>
      </c>
      <c r="H1849">
        <v>3.2221811183205301E-2</v>
      </c>
      <c r="I1849">
        <v>2.28710006594646E-2</v>
      </c>
      <c r="J1849">
        <v>2.44201317743457E-2</v>
      </c>
      <c r="K1849">
        <v>2.1155730857894899E-2</v>
      </c>
      <c r="L1849">
        <v>1269.80189839945</v>
      </c>
      <c r="M1849">
        <v>25.581607796047599</v>
      </c>
      <c r="N1849">
        <v>49.699879891356801</v>
      </c>
      <c r="O1849">
        <v>49.336958386501003</v>
      </c>
      <c r="P1849">
        <v>-0.12757406596224699</v>
      </c>
      <c r="Q1849">
        <v>1.5849384680225499E-2</v>
      </c>
      <c r="R1849">
        <v>0.78817750601882397</v>
      </c>
      <c r="S1849" t="s">
        <v>8655</v>
      </c>
      <c r="T1849" t="s">
        <v>13610</v>
      </c>
      <c r="U1849" t="s">
        <v>13610</v>
      </c>
      <c r="V1849" t="s">
        <v>13610</v>
      </c>
      <c r="W1849" t="s">
        <v>15413</v>
      </c>
      <c r="X1849">
        <v>23</v>
      </c>
      <c r="Y1849" t="s">
        <v>22102</v>
      </c>
      <c r="Z1849" t="s">
        <v>28704</v>
      </c>
      <c r="AA1849">
        <v>0.34036680405572872</v>
      </c>
      <c r="AB1849" t="str">
        <f>HYPERLINK("Melting_Curves/meltCurve_P08758_ANXA5.pdf", "Melting_Curves/meltCurve_P08758_ANXA5.pdf")</f>
        <v>Melting_Curves/meltCurve_P08758_ANXA5.pdf</v>
      </c>
    </row>
    <row r="1850" spans="1:28" x14ac:dyDescent="0.25">
      <c r="A1850" t="s">
        <v>1854</v>
      </c>
      <c r="B1850">
        <v>0.995954080203443</v>
      </c>
      <c r="C1850">
        <v>1.21060712225042</v>
      </c>
      <c r="D1850">
        <v>0.94896904947660499</v>
      </c>
      <c r="E1850">
        <v>1.31487608271566</v>
      </c>
      <c r="F1850">
        <v>1.4798168878504701</v>
      </c>
      <c r="G1850">
        <v>0.39592041283752599</v>
      </c>
      <c r="H1850">
        <v>0.58708859305207495</v>
      </c>
      <c r="I1850">
        <v>0.70983374306077096</v>
      </c>
      <c r="J1850">
        <v>1.0130322521202899</v>
      </c>
      <c r="K1850">
        <v>0.27722570749016401</v>
      </c>
      <c r="L1850">
        <v>3472.7620739689501</v>
      </c>
      <c r="M1850">
        <v>62.848466981937101</v>
      </c>
      <c r="O1850">
        <v>55.200264380229598</v>
      </c>
      <c r="P1850">
        <v>-0.11622819958262399</v>
      </c>
      <c r="Q1850">
        <v>0.591663948181956</v>
      </c>
      <c r="R1850">
        <v>0.46292525732127898</v>
      </c>
      <c r="S1850" t="s">
        <v>8656</v>
      </c>
      <c r="T1850" t="s">
        <v>13610</v>
      </c>
      <c r="U1850" t="s">
        <v>13610</v>
      </c>
      <c r="V1850" t="s">
        <v>13610</v>
      </c>
      <c r="W1850" t="s">
        <v>15414</v>
      </c>
      <c r="X1850">
        <v>24</v>
      </c>
      <c r="Y1850" t="s">
        <v>22103</v>
      </c>
      <c r="Z1850" t="s">
        <v>28705</v>
      </c>
      <c r="AA1850">
        <v>0.79994659087408571</v>
      </c>
      <c r="AB1850" t="str">
        <f>HYPERLINK("Melting_Curves/meltCurve_P08779_KRT16.pdf", "Melting_Curves/meltCurve_P08779_KRT16.pdf")</f>
        <v>Melting_Curves/meltCurve_P08779_KRT16.pdf</v>
      </c>
    </row>
    <row r="1851" spans="1:28" x14ac:dyDescent="0.25">
      <c r="A1851" t="s">
        <v>1855</v>
      </c>
      <c r="B1851">
        <v>0.995954080203443</v>
      </c>
      <c r="C1851">
        <v>0.93240618228174699</v>
      </c>
      <c r="D1851">
        <v>0.92580719636841302</v>
      </c>
      <c r="E1851">
        <v>0.98294228926460403</v>
      </c>
      <c r="F1851">
        <v>0.815573467113897</v>
      </c>
      <c r="G1851">
        <v>0.57588751830537299</v>
      </c>
      <c r="H1851">
        <v>0.32149076921876202</v>
      </c>
      <c r="I1851">
        <v>0.31402722665024302</v>
      </c>
      <c r="J1851">
        <v>0.253703979338467</v>
      </c>
      <c r="K1851">
        <v>0.37108292727028003</v>
      </c>
      <c r="L1851">
        <v>1401.28987190818</v>
      </c>
      <c r="M1851">
        <v>25.1974320988482</v>
      </c>
      <c r="N1851">
        <v>57.6361365968501</v>
      </c>
      <c r="O1851">
        <v>55.265670378965197</v>
      </c>
      <c r="P1851">
        <v>-8.0520094821713004E-2</v>
      </c>
      <c r="Q1851">
        <v>0.29358837686269201</v>
      </c>
      <c r="R1851">
        <v>0.97552115577441201</v>
      </c>
      <c r="S1851" t="s">
        <v>8657</v>
      </c>
      <c r="T1851" t="s">
        <v>13610</v>
      </c>
      <c r="U1851" t="s">
        <v>13610</v>
      </c>
      <c r="V1851" t="s">
        <v>13610</v>
      </c>
      <c r="W1851" t="s">
        <v>15415</v>
      </c>
      <c r="X1851">
        <v>12</v>
      </c>
      <c r="Y1851" t="s">
        <v>22104</v>
      </c>
      <c r="Z1851" t="s">
        <v>28706</v>
      </c>
      <c r="AA1851">
        <v>0.66763934807078562</v>
      </c>
      <c r="AB1851" t="str">
        <f>HYPERLINK("Melting_Curves/meltCurve_P09012_SNRPA.pdf", "Melting_Curves/meltCurve_P09012_SNRPA.pdf")</f>
        <v>Melting_Curves/meltCurve_P09012_SNRPA.pdf</v>
      </c>
    </row>
    <row r="1852" spans="1:28" x14ac:dyDescent="0.25">
      <c r="A1852" t="s">
        <v>1856</v>
      </c>
      <c r="B1852">
        <v>0.995954080203443</v>
      </c>
      <c r="C1852">
        <v>1.0738142591494799</v>
      </c>
      <c r="D1852">
        <v>0.93103770219900805</v>
      </c>
      <c r="E1852">
        <v>0.90593475534037804</v>
      </c>
      <c r="F1852">
        <v>0.717358517970901</v>
      </c>
      <c r="G1852">
        <v>0.51198734212350505</v>
      </c>
      <c r="H1852">
        <v>0.30737365830027702</v>
      </c>
      <c r="I1852">
        <v>0.148678182497405</v>
      </c>
      <c r="J1852">
        <v>8.1829367790061697E-2</v>
      </c>
      <c r="K1852">
        <v>8.2165793067626003E-2</v>
      </c>
      <c r="L1852">
        <v>820.12354479128101</v>
      </c>
      <c r="M1852">
        <v>14.3856350550139</v>
      </c>
      <c r="N1852">
        <v>57.0098950685014</v>
      </c>
      <c r="O1852">
        <v>55.942200554604902</v>
      </c>
      <c r="P1852">
        <v>-6.4295588940154497E-2</v>
      </c>
      <c r="Q1852">
        <v>0</v>
      </c>
      <c r="R1852">
        <v>0.991607579485558</v>
      </c>
      <c r="S1852" t="s">
        <v>8658</v>
      </c>
      <c r="T1852" t="s">
        <v>13610</v>
      </c>
      <c r="U1852" t="s">
        <v>13610</v>
      </c>
      <c r="V1852" t="s">
        <v>13610</v>
      </c>
      <c r="W1852" t="s">
        <v>15416</v>
      </c>
      <c r="X1852">
        <v>2</v>
      </c>
      <c r="Y1852" t="s">
        <v>22105</v>
      </c>
      <c r="Z1852" t="s">
        <v>28707</v>
      </c>
      <c r="AA1852">
        <v>0.5831390196012014</v>
      </c>
      <c r="AB1852" t="str">
        <f>HYPERLINK("Melting_Curves/meltCurve_P09038_2_FGF2.pdf", "Melting_Curves/meltCurve_P09038_2_FGF2.pdf")</f>
        <v>Melting_Curves/meltCurve_P09038_2_FGF2.pdf</v>
      </c>
    </row>
    <row r="1853" spans="1:28" x14ac:dyDescent="0.25">
      <c r="A1853" t="s">
        <v>1857</v>
      </c>
      <c r="B1853">
        <v>0.995954080203443</v>
      </c>
      <c r="C1853">
        <v>0.99840045385807497</v>
      </c>
      <c r="D1853">
        <v>0.89015484755802898</v>
      </c>
      <c r="E1853">
        <v>0.76690166550230399</v>
      </c>
      <c r="F1853">
        <v>0.66669281294447302</v>
      </c>
      <c r="G1853">
        <v>0.44420593800594099</v>
      </c>
      <c r="H1853">
        <v>0.26911900384174298</v>
      </c>
      <c r="I1853">
        <v>0.15518211935456999</v>
      </c>
      <c r="J1853">
        <v>8.7586804782112102E-2</v>
      </c>
      <c r="K1853">
        <v>7.2778595909793103E-2</v>
      </c>
      <c r="L1853">
        <v>669.21269228823803</v>
      </c>
      <c r="M1853">
        <v>12.032772030165701</v>
      </c>
      <c r="N1853">
        <v>55.615812379591297</v>
      </c>
      <c r="O1853">
        <v>54.146560397539702</v>
      </c>
      <c r="P1853">
        <v>-5.5569754371686798E-2</v>
      </c>
      <c r="Q1853">
        <v>0</v>
      </c>
      <c r="R1853">
        <v>0.99633277457866698</v>
      </c>
      <c r="S1853" t="s">
        <v>8659</v>
      </c>
      <c r="T1853" t="s">
        <v>13610</v>
      </c>
      <c r="U1853" t="s">
        <v>13610</v>
      </c>
      <c r="V1853" t="s">
        <v>13610</v>
      </c>
      <c r="W1853" t="s">
        <v>15417</v>
      </c>
      <c r="X1853">
        <v>8</v>
      </c>
      <c r="Y1853" t="s">
        <v>22106</v>
      </c>
      <c r="Z1853" t="s">
        <v>28708</v>
      </c>
      <c r="AA1853">
        <v>0.54211294407282984</v>
      </c>
      <c r="AB1853" t="str">
        <f>HYPERLINK("Melting_Curves/meltCurve_P09105_HBQ1.pdf", "Melting_Curves/meltCurve_P09105_HBQ1.pdf")</f>
        <v>Melting_Curves/meltCurve_P09105_HBQ1.pdf</v>
      </c>
    </row>
    <row r="1854" spans="1:28" x14ac:dyDescent="0.25">
      <c r="A1854" t="s">
        <v>1858</v>
      </c>
      <c r="B1854">
        <v>0.995954080203443</v>
      </c>
      <c r="C1854">
        <v>1.0103435226941999</v>
      </c>
      <c r="D1854">
        <v>0.84179250676113304</v>
      </c>
      <c r="E1854">
        <v>0.65567005889174301</v>
      </c>
      <c r="F1854">
        <v>0.38359806685801401</v>
      </c>
      <c r="G1854">
        <v>0.257683133338099</v>
      </c>
      <c r="H1854">
        <v>0.129518008788061</v>
      </c>
      <c r="I1854">
        <v>0.10538236742031699</v>
      </c>
      <c r="J1854">
        <v>9.1751910172310394E-2</v>
      </c>
      <c r="K1854">
        <v>8.2435528775539793E-2</v>
      </c>
      <c r="L1854">
        <v>832.23627535179696</v>
      </c>
      <c r="M1854">
        <v>16.2309906640401</v>
      </c>
      <c r="N1854">
        <v>51.777264123577297</v>
      </c>
      <c r="O1854">
        <v>50.515142409246899</v>
      </c>
      <c r="P1854">
        <v>-7.4476752705367896E-2</v>
      </c>
      <c r="Q1854">
        <v>7.2903207307441695E-2</v>
      </c>
      <c r="R1854">
        <v>0.99527278307037703</v>
      </c>
      <c r="S1854" t="s">
        <v>8660</v>
      </c>
      <c r="T1854" t="s">
        <v>13610</v>
      </c>
      <c r="U1854" t="s">
        <v>13610</v>
      </c>
      <c r="V1854" t="s">
        <v>13610</v>
      </c>
      <c r="W1854" t="s">
        <v>15418</v>
      </c>
      <c r="X1854">
        <v>8</v>
      </c>
      <c r="Y1854" t="s">
        <v>22107</v>
      </c>
      <c r="Z1854" t="s">
        <v>28709</v>
      </c>
      <c r="AA1854">
        <v>0.43995548402386447</v>
      </c>
      <c r="AB1854" t="str">
        <f>HYPERLINK("Melting_Curves/meltCurve_P09110_ACAA1.pdf", "Melting_Curves/meltCurve_P09110_ACAA1.pdf")</f>
        <v>Melting_Curves/meltCurve_P09110_ACAA1.pdf</v>
      </c>
    </row>
    <row r="1855" spans="1:28" x14ac:dyDescent="0.25">
      <c r="A1855" t="s">
        <v>1859</v>
      </c>
      <c r="B1855">
        <v>0.995954080203443</v>
      </c>
      <c r="C1855">
        <v>0.74509667459014095</v>
      </c>
      <c r="D1855">
        <v>0.63906941880399304</v>
      </c>
      <c r="E1855">
        <v>0.458042367206344</v>
      </c>
      <c r="F1855">
        <v>0.16993218523393899</v>
      </c>
      <c r="G1855">
        <v>8.5932955961891294E-2</v>
      </c>
      <c r="H1855">
        <v>4.4525757243809902E-2</v>
      </c>
      <c r="I1855">
        <v>3.2689089781211003E-2</v>
      </c>
      <c r="J1855">
        <v>3.0277555923807702E-2</v>
      </c>
      <c r="K1855">
        <v>3.1621259699165197E-2</v>
      </c>
      <c r="L1855">
        <v>629.17857875490699</v>
      </c>
      <c r="M1855">
        <v>13.108225590167001</v>
      </c>
      <c r="N1855">
        <v>47.998760572891499</v>
      </c>
      <c r="O1855">
        <v>46.922900295207803</v>
      </c>
      <c r="P1855">
        <v>-6.9851145061723602E-2</v>
      </c>
      <c r="Q1855">
        <v>0</v>
      </c>
      <c r="R1855">
        <v>0.98084261941311601</v>
      </c>
      <c r="S1855" t="s">
        <v>8661</v>
      </c>
      <c r="T1855" t="s">
        <v>13610</v>
      </c>
      <c r="U1855" t="s">
        <v>13610</v>
      </c>
      <c r="V1855" t="s">
        <v>13610</v>
      </c>
      <c r="W1855" t="s">
        <v>15419</v>
      </c>
      <c r="X1855">
        <v>7</v>
      </c>
      <c r="Y1855" t="s">
        <v>22108</v>
      </c>
      <c r="Z1855" t="s">
        <v>28710</v>
      </c>
      <c r="AA1855">
        <v>0.29996949983622762</v>
      </c>
      <c r="AB1855" t="str">
        <f>HYPERLINK("Melting_Curves/meltCurve_P09132_SRP19.pdf", "Melting_Curves/meltCurve_P09132_SRP19.pdf")</f>
        <v>Melting_Curves/meltCurve_P09132_SRP19.pdf</v>
      </c>
    </row>
    <row r="1856" spans="1:28" x14ac:dyDescent="0.25">
      <c r="A1856" t="s">
        <v>1860</v>
      </c>
      <c r="B1856">
        <v>0.995954080203443</v>
      </c>
      <c r="C1856">
        <v>1.14369499090836</v>
      </c>
      <c r="D1856">
        <v>1.1815248344453699</v>
      </c>
      <c r="E1856">
        <v>0.83919403463167597</v>
      </c>
      <c r="F1856">
        <v>0.1753538386521</v>
      </c>
      <c r="G1856">
        <v>8.9198814043304001E-2</v>
      </c>
      <c r="H1856">
        <v>5.20457886542771E-2</v>
      </c>
      <c r="I1856">
        <v>4.0911511533434197E-2</v>
      </c>
      <c r="J1856">
        <v>4.44161071651894E-2</v>
      </c>
      <c r="K1856">
        <v>4.0062548197028001E-2</v>
      </c>
      <c r="L1856">
        <v>3108.2205424850899</v>
      </c>
      <c r="M1856">
        <v>60.559692005568898</v>
      </c>
      <c r="N1856">
        <v>51.4198930300604</v>
      </c>
      <c r="O1856">
        <v>51.269023484442997</v>
      </c>
      <c r="P1856">
        <v>-0.27967621109130503</v>
      </c>
      <c r="Q1856">
        <v>5.2919732120135801E-2</v>
      </c>
      <c r="R1856">
        <v>0.976178336966533</v>
      </c>
      <c r="S1856" t="s">
        <v>8662</v>
      </c>
      <c r="T1856" t="s">
        <v>13610</v>
      </c>
      <c r="U1856" t="s">
        <v>13610</v>
      </c>
      <c r="V1856" t="s">
        <v>13610</v>
      </c>
      <c r="W1856" t="s">
        <v>15420</v>
      </c>
      <c r="X1856">
        <v>13</v>
      </c>
      <c r="Y1856" t="s">
        <v>22109</v>
      </c>
      <c r="Z1856" t="s">
        <v>28711</v>
      </c>
      <c r="AA1856">
        <v>0.41189857302048322</v>
      </c>
      <c r="AB1856" t="str">
        <f>HYPERLINK("Melting_Curves/meltCurve_P09211_GSTP1.pdf", "Melting_Curves/meltCurve_P09211_GSTP1.pdf")</f>
        <v>Melting_Curves/meltCurve_P09211_GSTP1.pdf</v>
      </c>
    </row>
    <row r="1857" spans="1:28" x14ac:dyDescent="0.25">
      <c r="A1857" t="s">
        <v>1861</v>
      </c>
      <c r="B1857">
        <v>0.995954080203443</v>
      </c>
      <c r="C1857">
        <v>0.89253855552732897</v>
      </c>
      <c r="D1857">
        <v>0.81045994769110996</v>
      </c>
      <c r="E1857">
        <v>0.94554663638265601</v>
      </c>
      <c r="F1857">
        <v>0.79301658838553302</v>
      </c>
      <c r="G1857">
        <v>0.52863826719158702</v>
      </c>
      <c r="H1857">
        <v>0.48037341460462701</v>
      </c>
      <c r="I1857">
        <v>0.60795560553623496</v>
      </c>
      <c r="J1857">
        <v>0.49393714599412603</v>
      </c>
      <c r="K1857">
        <v>0.544632345756622</v>
      </c>
      <c r="L1857">
        <v>662.75356973745204</v>
      </c>
      <c r="M1857">
        <v>12.557825869111699</v>
      </c>
      <c r="O1857">
        <v>51.491455505768897</v>
      </c>
      <c r="P1857">
        <v>-3.1689051703925303E-2</v>
      </c>
      <c r="Q1857">
        <v>0.48036047087820499</v>
      </c>
      <c r="R1857">
        <v>0.82577805994799303</v>
      </c>
      <c r="S1857" t="s">
        <v>8663</v>
      </c>
      <c r="T1857" t="s">
        <v>13610</v>
      </c>
      <c r="U1857" t="s">
        <v>13610</v>
      </c>
      <c r="V1857" t="s">
        <v>13610</v>
      </c>
      <c r="W1857" t="s">
        <v>15421</v>
      </c>
      <c r="X1857">
        <v>6</v>
      </c>
      <c r="Y1857" t="s">
        <v>22110</v>
      </c>
      <c r="Z1857" t="s">
        <v>28712</v>
      </c>
      <c r="AA1857">
        <v>0.71592304066223611</v>
      </c>
      <c r="AB1857" t="str">
        <f>HYPERLINK("Melting_Curves/meltCurve_P09234_SNRPC.pdf", "Melting_Curves/meltCurve_P09234_SNRPC.pdf")</f>
        <v>Melting_Curves/meltCurve_P09234_SNRPC.pdf</v>
      </c>
    </row>
    <row r="1858" spans="1:28" x14ac:dyDescent="0.25">
      <c r="A1858" t="s">
        <v>1862</v>
      </c>
      <c r="B1858">
        <v>0.995954080203443</v>
      </c>
      <c r="C1858">
        <v>0.77158886726251596</v>
      </c>
      <c r="D1858">
        <v>0.39889964020458202</v>
      </c>
      <c r="E1858">
        <v>0.265854153987995</v>
      </c>
      <c r="F1858">
        <v>0.22019568686965199</v>
      </c>
      <c r="G1858">
        <v>0.16241005223223001</v>
      </c>
      <c r="H1858">
        <v>0.18147539325913001</v>
      </c>
      <c r="I1858">
        <v>0.16034135434115501</v>
      </c>
      <c r="J1858">
        <v>0.16351129802821501</v>
      </c>
      <c r="K1858">
        <v>0.14966654853124001</v>
      </c>
      <c r="L1858">
        <v>1172.2828827370099</v>
      </c>
      <c r="M1858">
        <v>26.356360987747099</v>
      </c>
      <c r="N1858">
        <v>45.221100921818902</v>
      </c>
      <c r="O1858">
        <v>44.224508781296599</v>
      </c>
      <c r="P1858">
        <v>-0.122812373511083</v>
      </c>
      <c r="Q1858">
        <v>0.175719948367524</v>
      </c>
      <c r="R1858">
        <v>0.99189214229476697</v>
      </c>
      <c r="S1858" t="s">
        <v>8664</v>
      </c>
      <c r="T1858" t="s">
        <v>13610</v>
      </c>
      <c r="U1858" t="s">
        <v>13610</v>
      </c>
      <c r="V1858" t="s">
        <v>13610</v>
      </c>
      <c r="W1858" t="s">
        <v>15422</v>
      </c>
      <c r="X1858">
        <v>4</v>
      </c>
      <c r="Y1858" t="s">
        <v>22111</v>
      </c>
      <c r="Z1858" t="s">
        <v>28713</v>
      </c>
      <c r="AA1858">
        <v>0.30645370002752242</v>
      </c>
      <c r="AB1858" t="str">
        <f>HYPERLINK("Melting_Curves/meltCurve_P09327_VIL1.pdf", "Melting_Curves/meltCurve_P09327_VIL1.pdf")</f>
        <v>Melting_Curves/meltCurve_P09327_VIL1.pdf</v>
      </c>
    </row>
    <row r="1859" spans="1:28" x14ac:dyDescent="0.25">
      <c r="A1859" t="s">
        <v>1863</v>
      </c>
      <c r="B1859">
        <v>0.995954080203443</v>
      </c>
      <c r="C1859">
        <v>0.95663686532551795</v>
      </c>
      <c r="D1859">
        <v>0.96801283484254097</v>
      </c>
      <c r="E1859">
        <v>0.88832691453920798</v>
      </c>
      <c r="F1859">
        <v>0.86699199273732597</v>
      </c>
      <c r="G1859">
        <v>0.57012867777105602</v>
      </c>
      <c r="H1859">
        <v>0.36852471379604901</v>
      </c>
      <c r="I1859">
        <v>0.29676874674945097</v>
      </c>
      <c r="J1859">
        <v>0.304974199197175</v>
      </c>
      <c r="K1859">
        <v>0.27227714340496101</v>
      </c>
      <c r="L1859">
        <v>1141.30519393856</v>
      </c>
      <c r="M1859">
        <v>20.3286210901841</v>
      </c>
      <c r="N1859">
        <v>58.211792960155002</v>
      </c>
      <c r="O1859">
        <v>55.607957333995202</v>
      </c>
      <c r="P1859">
        <v>-6.7884801133947001E-2</v>
      </c>
      <c r="Q1859">
        <v>0.25724032457017898</v>
      </c>
      <c r="R1859">
        <v>0.99132952044615696</v>
      </c>
      <c r="S1859" t="s">
        <v>8665</v>
      </c>
      <c r="T1859" t="s">
        <v>13610</v>
      </c>
      <c r="U1859" t="s">
        <v>13610</v>
      </c>
      <c r="V1859" t="s">
        <v>13610</v>
      </c>
      <c r="W1859" t="s">
        <v>15423</v>
      </c>
      <c r="X1859">
        <v>7</v>
      </c>
      <c r="Y1859" t="s">
        <v>22112</v>
      </c>
      <c r="Z1859" t="s">
        <v>28714</v>
      </c>
      <c r="AA1859">
        <v>0.66621716821901644</v>
      </c>
      <c r="AB1859" t="str">
        <f>HYPERLINK("Melting_Curves/meltCurve_P09382_LGALS1.pdf", "Melting_Curves/meltCurve_P09382_LGALS1.pdf")</f>
        <v>Melting_Curves/meltCurve_P09382_LGALS1.pdf</v>
      </c>
    </row>
    <row r="1860" spans="1:28" x14ac:dyDescent="0.25">
      <c r="A1860" t="s">
        <v>1864</v>
      </c>
      <c r="B1860">
        <v>0.995954080203443</v>
      </c>
      <c r="C1860">
        <v>1.0437158092440999</v>
      </c>
      <c r="D1860">
        <v>1.03017038167515</v>
      </c>
      <c r="E1860">
        <v>0.92000622019302702</v>
      </c>
      <c r="F1860">
        <v>0.86612860011984905</v>
      </c>
      <c r="G1860">
        <v>0.54771978157521195</v>
      </c>
      <c r="H1860">
        <v>8.0586764268842995E-2</v>
      </c>
      <c r="I1860">
        <v>7.7603261079094099E-2</v>
      </c>
      <c r="J1860">
        <v>7.5823689981611694E-2</v>
      </c>
      <c r="K1860">
        <v>8.2969660998783806E-2</v>
      </c>
      <c r="L1860">
        <v>1771.97866465018</v>
      </c>
      <c r="M1860">
        <v>31.181746092549002</v>
      </c>
      <c r="N1860">
        <v>57.023326355982597</v>
      </c>
      <c r="O1860">
        <v>56.595241592877997</v>
      </c>
      <c r="P1860">
        <v>-0.13074483523924199</v>
      </c>
      <c r="Q1860">
        <v>5.0791568723448803E-2</v>
      </c>
      <c r="R1860">
        <v>0.99029606231451806</v>
      </c>
      <c r="S1860" t="s">
        <v>8666</v>
      </c>
      <c r="T1860" t="s">
        <v>13610</v>
      </c>
      <c r="U1860" t="s">
        <v>13610</v>
      </c>
      <c r="V1860" t="s">
        <v>13610</v>
      </c>
      <c r="W1860" t="s">
        <v>15424</v>
      </c>
      <c r="X1860">
        <v>12</v>
      </c>
      <c r="Y1860" t="s">
        <v>22113</v>
      </c>
      <c r="Z1860" t="s">
        <v>28715</v>
      </c>
      <c r="AA1860">
        <v>0.58912012942365621</v>
      </c>
      <c r="AB1860" t="str">
        <f>HYPERLINK("Melting_Curves/meltCurve_P09417_QDPR.pdf", "Melting_Curves/meltCurve_P09417_QDPR.pdf")</f>
        <v>Melting_Curves/meltCurve_P09417_QDPR.pdf</v>
      </c>
    </row>
    <row r="1861" spans="1:28" x14ac:dyDescent="0.25">
      <c r="A1861" t="s">
        <v>1865</v>
      </c>
      <c r="B1861">
        <v>0.995954080203443</v>
      </c>
      <c r="C1861">
        <v>0.96160631667408003</v>
      </c>
      <c r="D1861">
        <v>1.01276390232715</v>
      </c>
      <c r="E1861">
        <v>0.81971835478213995</v>
      </c>
      <c r="F1861">
        <v>0.66090329839163398</v>
      </c>
      <c r="G1861">
        <v>0.42139726617459</v>
      </c>
      <c r="H1861">
        <v>0.38459569968489699</v>
      </c>
      <c r="I1861">
        <v>0.50604099087801002</v>
      </c>
      <c r="J1861">
        <v>0.69101345990913499</v>
      </c>
      <c r="K1861">
        <v>0.74418232890998703</v>
      </c>
      <c r="L1861">
        <v>1980.6059941702799</v>
      </c>
      <c r="M1861">
        <v>39.087735814404503</v>
      </c>
      <c r="O1861">
        <v>50.538695222186497</v>
      </c>
      <c r="P1861">
        <v>-8.6209509851305099E-2</v>
      </c>
      <c r="Q1861">
        <v>0.55414084088053095</v>
      </c>
      <c r="R1861">
        <v>0.77428111467434402</v>
      </c>
      <c r="S1861" t="s">
        <v>8667</v>
      </c>
      <c r="T1861" t="s">
        <v>13610</v>
      </c>
      <c r="U1861" t="s">
        <v>13610</v>
      </c>
      <c r="V1861" t="s">
        <v>13610</v>
      </c>
      <c r="W1861" t="s">
        <v>15425</v>
      </c>
      <c r="X1861">
        <v>20</v>
      </c>
      <c r="Y1861" t="s">
        <v>22114</v>
      </c>
      <c r="Z1861" t="s">
        <v>28716</v>
      </c>
      <c r="AA1861">
        <v>0.71436570575397218</v>
      </c>
      <c r="AB1861" t="str">
        <f>HYPERLINK("Melting_Curves/meltCurve_P09429_HMGB1.pdf", "Melting_Curves/meltCurve_P09429_HMGB1.pdf")</f>
        <v>Melting_Curves/meltCurve_P09429_HMGB1.pdf</v>
      </c>
    </row>
    <row r="1862" spans="1:28" x14ac:dyDescent="0.25">
      <c r="A1862" t="s">
        <v>1866</v>
      </c>
      <c r="B1862">
        <v>0.995954080203443</v>
      </c>
      <c r="C1862">
        <v>0.89419963545859305</v>
      </c>
      <c r="D1862">
        <v>0.901407288087262</v>
      </c>
      <c r="E1862">
        <v>0.88517138542169804</v>
      </c>
      <c r="F1862">
        <v>0.88282572498232803</v>
      </c>
      <c r="G1862">
        <v>0.70226913414571102</v>
      </c>
      <c r="H1862">
        <v>0.674591471122302</v>
      </c>
      <c r="I1862">
        <v>0.829494887115517</v>
      </c>
      <c r="J1862">
        <v>1.0678058171518701</v>
      </c>
      <c r="K1862">
        <v>0.98343728326632596</v>
      </c>
      <c r="L1862">
        <v>2256.2498262024101</v>
      </c>
      <c r="M1862">
        <v>53.752373174498203</v>
      </c>
      <c r="O1862">
        <v>41.9169133428151</v>
      </c>
      <c r="P1862">
        <v>-4.3150514063648497E-2</v>
      </c>
      <c r="Q1862">
        <v>0.86540240016504599</v>
      </c>
      <c r="R1862">
        <v>0.11189654290527</v>
      </c>
      <c r="S1862" t="s">
        <v>8668</v>
      </c>
      <c r="T1862" t="s">
        <v>13610</v>
      </c>
      <c r="U1862" t="s">
        <v>13610</v>
      </c>
      <c r="V1862" t="s">
        <v>13610</v>
      </c>
      <c r="W1862" t="s">
        <v>15426</v>
      </c>
      <c r="X1862">
        <v>13</v>
      </c>
      <c r="Y1862" t="s">
        <v>22115</v>
      </c>
      <c r="Z1862" t="s">
        <v>28717</v>
      </c>
      <c r="AA1862">
        <v>0.87468734909193124</v>
      </c>
      <c r="AB1862" t="str">
        <f>HYPERLINK("Melting_Curves/meltCurve_P09496_2_CLTA.pdf", "Melting_Curves/meltCurve_P09496_2_CLTA.pdf")</f>
        <v>Melting_Curves/meltCurve_P09496_2_CLTA.pdf</v>
      </c>
    </row>
    <row r="1863" spans="1:28" x14ac:dyDescent="0.25">
      <c r="A1863" t="s">
        <v>1867</v>
      </c>
      <c r="B1863">
        <v>0.995954080203443</v>
      </c>
      <c r="C1863">
        <v>0.93202080282599398</v>
      </c>
      <c r="D1863">
        <v>1.0328087385518201</v>
      </c>
      <c r="E1863">
        <v>0.94677596158131305</v>
      </c>
      <c r="F1863">
        <v>0.98109931779939896</v>
      </c>
      <c r="G1863">
        <v>0.81117001063500604</v>
      </c>
      <c r="H1863">
        <v>0.79736805486072004</v>
      </c>
      <c r="I1863">
        <v>0.90377464720331502</v>
      </c>
      <c r="J1863">
        <v>1.13259775311578</v>
      </c>
      <c r="K1863">
        <v>1.1920652064660899</v>
      </c>
      <c r="L1863">
        <v>15000</v>
      </c>
      <c r="M1863">
        <v>224.68149104526799</v>
      </c>
      <c r="O1863">
        <v>66.7558829658809</v>
      </c>
      <c r="P1863">
        <v>0.16162540407318499</v>
      </c>
      <c r="Q1863">
        <v>1.19208430019401</v>
      </c>
      <c r="R1863">
        <v>0.33098420802845002</v>
      </c>
      <c r="S1863" t="s">
        <v>8669</v>
      </c>
      <c r="T1863" t="s">
        <v>13610</v>
      </c>
      <c r="U1863" t="s">
        <v>13610</v>
      </c>
      <c r="V1863" t="s">
        <v>13610</v>
      </c>
      <c r="W1863" t="s">
        <v>15427</v>
      </c>
      <c r="X1863">
        <v>14</v>
      </c>
      <c r="Y1863" t="s">
        <v>22116</v>
      </c>
      <c r="Z1863" t="s">
        <v>28718</v>
      </c>
      <c r="AA1863">
        <v>1.0207097905231119</v>
      </c>
      <c r="AB1863" t="str">
        <f>HYPERLINK("Melting_Curves/meltCurve_P09497_2_CLTB.pdf", "Melting_Curves/meltCurve_P09497_2_CLTB.pdf")</f>
        <v>Melting_Curves/meltCurve_P09497_2_CLTB.pdf</v>
      </c>
    </row>
    <row r="1864" spans="1:28" x14ac:dyDescent="0.25">
      <c r="A1864" t="s">
        <v>1868</v>
      </c>
      <c r="B1864">
        <v>0.995954080203443</v>
      </c>
      <c r="C1864">
        <v>0.93109552751634295</v>
      </c>
      <c r="D1864">
        <v>1.1442915897064101</v>
      </c>
      <c r="E1864">
        <v>0.56305123112715905</v>
      </c>
      <c r="F1864">
        <v>0.13246679347054399</v>
      </c>
      <c r="G1864">
        <v>7.9379898585536499E-2</v>
      </c>
      <c r="H1864">
        <v>5.3054872593610899E-2</v>
      </c>
      <c r="I1864">
        <v>4.7196885186105902E-2</v>
      </c>
      <c r="J1864">
        <v>5.6059511282067299E-2</v>
      </c>
      <c r="K1864">
        <v>5.1816868205094797E-2</v>
      </c>
      <c r="L1864">
        <v>2884.54574341436</v>
      </c>
      <c r="M1864">
        <v>57.519118442466898</v>
      </c>
      <c r="N1864">
        <v>50.2657257767235</v>
      </c>
      <c r="O1864">
        <v>50.088828662019097</v>
      </c>
      <c r="P1864">
        <v>-0.26918674529790998</v>
      </c>
      <c r="Q1864">
        <v>6.2347090197083899E-2</v>
      </c>
      <c r="R1864">
        <v>0.98466699200708796</v>
      </c>
      <c r="S1864" t="s">
        <v>8670</v>
      </c>
      <c r="T1864" t="s">
        <v>13610</v>
      </c>
      <c r="U1864" t="s">
        <v>13610</v>
      </c>
      <c r="V1864" t="s">
        <v>13610</v>
      </c>
      <c r="W1864" t="s">
        <v>15428</v>
      </c>
      <c r="X1864">
        <v>21</v>
      </c>
      <c r="Y1864" t="s">
        <v>20446</v>
      </c>
      <c r="Z1864" t="s">
        <v>28719</v>
      </c>
      <c r="AA1864">
        <v>0.38113084534116071</v>
      </c>
      <c r="AB1864" t="str">
        <f>HYPERLINK("Melting_Curves/meltCurve_P09525_ANXA4.pdf", "Melting_Curves/meltCurve_P09525_ANXA4.pdf")</f>
        <v>Melting_Curves/meltCurve_P09525_ANXA4.pdf</v>
      </c>
    </row>
    <row r="1865" spans="1:28" x14ac:dyDescent="0.25">
      <c r="A1865" t="s">
        <v>1869</v>
      </c>
      <c r="B1865">
        <v>0.995954080203443</v>
      </c>
      <c r="C1865">
        <v>0.94149652239216397</v>
      </c>
      <c r="D1865">
        <v>0.89273296008921799</v>
      </c>
      <c r="E1865">
        <v>0.55846291239639001</v>
      </c>
      <c r="F1865">
        <v>0.29074125542055501</v>
      </c>
      <c r="G1865">
        <v>0.15064338191771101</v>
      </c>
      <c r="H1865">
        <v>9.8005210855530503E-2</v>
      </c>
      <c r="I1865">
        <v>9.0481242178858404E-2</v>
      </c>
      <c r="J1865">
        <v>0.13796928929916799</v>
      </c>
      <c r="K1865">
        <v>0.104488331087824</v>
      </c>
      <c r="L1865">
        <v>1132.83093991754</v>
      </c>
      <c r="M1865">
        <v>22.6546179428098</v>
      </c>
      <c r="N1865">
        <v>50.5053160160709</v>
      </c>
      <c r="O1865">
        <v>49.619681810492096</v>
      </c>
      <c r="P1865">
        <v>-0.10265908442463299</v>
      </c>
      <c r="Q1865">
        <v>0.10061429837284</v>
      </c>
      <c r="R1865">
        <v>0.99750490932729596</v>
      </c>
      <c r="S1865" t="s">
        <v>8671</v>
      </c>
      <c r="T1865" t="s">
        <v>13610</v>
      </c>
      <c r="U1865" t="s">
        <v>13610</v>
      </c>
      <c r="V1865" t="s">
        <v>13610</v>
      </c>
      <c r="W1865" t="s">
        <v>15429</v>
      </c>
      <c r="X1865">
        <v>13</v>
      </c>
      <c r="Y1865" t="s">
        <v>22117</v>
      </c>
      <c r="Z1865" t="s">
        <v>28720</v>
      </c>
      <c r="AA1865">
        <v>0.41033330581265898</v>
      </c>
      <c r="AB1865" t="str">
        <f>HYPERLINK("Melting_Curves/meltCurve_P09543_2_CNP.pdf", "Melting_Curves/meltCurve_P09543_2_CNP.pdf")</f>
        <v>Melting_Curves/meltCurve_P09543_2_CNP.pdf</v>
      </c>
    </row>
    <row r="1866" spans="1:28" x14ac:dyDescent="0.25">
      <c r="A1866" t="s">
        <v>1870</v>
      </c>
      <c r="B1866">
        <v>0.995954080203443</v>
      </c>
      <c r="C1866">
        <v>0.92963258095724199</v>
      </c>
      <c r="D1866">
        <v>0.86267003624778305</v>
      </c>
      <c r="E1866">
        <v>0.74772736164409104</v>
      </c>
      <c r="F1866">
        <v>0.67489836024302396</v>
      </c>
      <c r="G1866">
        <v>0.56080617149465795</v>
      </c>
      <c r="H1866">
        <v>0.49976561593389102</v>
      </c>
      <c r="I1866">
        <v>0.57826692466502005</v>
      </c>
      <c r="J1866">
        <v>0.56289307191770099</v>
      </c>
      <c r="K1866">
        <v>0.39390993010834702</v>
      </c>
      <c r="L1866">
        <v>555.34372326261098</v>
      </c>
      <c r="M1866">
        <v>10.9609723233969</v>
      </c>
      <c r="N1866">
        <v>65.711148408194902</v>
      </c>
      <c r="O1866">
        <v>49.066710628434301</v>
      </c>
      <c r="P1866">
        <v>-3.0203994027587298E-2</v>
      </c>
      <c r="Q1866">
        <v>0.45935310705230897</v>
      </c>
      <c r="R1866">
        <v>0.94370588989837301</v>
      </c>
      <c r="S1866" t="s">
        <v>8672</v>
      </c>
      <c r="T1866" t="s">
        <v>13610</v>
      </c>
      <c r="U1866" t="s">
        <v>13610</v>
      </c>
      <c r="V1866" t="s">
        <v>13610</v>
      </c>
      <c r="W1866" t="s">
        <v>15430</v>
      </c>
      <c r="X1866">
        <v>23</v>
      </c>
      <c r="Y1866" t="s">
        <v>22118</v>
      </c>
      <c r="Z1866" t="s">
        <v>28721</v>
      </c>
      <c r="AA1866">
        <v>0.67204028600594556</v>
      </c>
      <c r="AB1866" t="str">
        <f>HYPERLINK("Melting_Curves/meltCurve_P09622_DLD.pdf", "Melting_Curves/meltCurve_P09622_DLD.pdf")</f>
        <v>Melting_Curves/meltCurve_P09622_DLD.pdf</v>
      </c>
    </row>
    <row r="1867" spans="1:28" x14ac:dyDescent="0.25">
      <c r="A1867" t="s">
        <v>1871</v>
      </c>
      <c r="B1867">
        <v>0.995954080203443</v>
      </c>
      <c r="C1867">
        <v>0.92598685447929796</v>
      </c>
      <c r="D1867">
        <v>0.92160947946032001</v>
      </c>
      <c r="E1867">
        <v>0.78928876463259601</v>
      </c>
      <c r="F1867">
        <v>0.58754993347022999</v>
      </c>
      <c r="G1867">
        <v>0.22070973979568101</v>
      </c>
      <c r="H1867">
        <v>0.11267864960203899</v>
      </c>
      <c r="I1867">
        <v>9.9387961093819893E-2</v>
      </c>
      <c r="J1867">
        <v>0.108184211742081</v>
      </c>
      <c r="K1867">
        <v>0.10023495376904</v>
      </c>
      <c r="L1867">
        <v>1112.2350701891901</v>
      </c>
      <c r="M1867">
        <v>20.952584792930601</v>
      </c>
      <c r="N1867">
        <v>53.513958654446299</v>
      </c>
      <c r="O1867">
        <v>52.606984736421303</v>
      </c>
      <c r="P1867">
        <v>-9.1850827959284898E-2</v>
      </c>
      <c r="Q1867">
        <v>7.7562161121828704E-2</v>
      </c>
      <c r="R1867">
        <v>0.99244395019633103</v>
      </c>
      <c r="S1867" t="s">
        <v>8673</v>
      </c>
      <c r="T1867" t="s">
        <v>13610</v>
      </c>
      <c r="U1867" t="s">
        <v>13610</v>
      </c>
      <c r="V1867" t="s">
        <v>13610</v>
      </c>
      <c r="W1867" t="s">
        <v>15431</v>
      </c>
      <c r="X1867">
        <v>23</v>
      </c>
      <c r="Y1867" t="s">
        <v>22119</v>
      </c>
      <c r="Z1867" t="s">
        <v>28722</v>
      </c>
      <c r="AA1867">
        <v>0.49155280573333138</v>
      </c>
      <c r="AB1867" t="str">
        <f>HYPERLINK("Melting_Curves/meltCurve_P09651_3_HNRNPA1.pdf", "Melting_Curves/meltCurve_P09651_3_HNRNPA1.pdf")</f>
        <v>Melting_Curves/meltCurve_P09651_3_HNRNPA1.pdf</v>
      </c>
    </row>
    <row r="1868" spans="1:28" x14ac:dyDescent="0.25">
      <c r="A1868" t="s">
        <v>1872</v>
      </c>
      <c r="B1868">
        <v>0.995954080203443</v>
      </c>
      <c r="C1868">
        <v>0.82693393125459103</v>
      </c>
      <c r="D1868">
        <v>0.73171449099268104</v>
      </c>
      <c r="E1868">
        <v>0.92662388972935295</v>
      </c>
      <c r="F1868">
        <v>0.714185721216132</v>
      </c>
      <c r="G1868">
        <v>0.46931698311568099</v>
      </c>
      <c r="H1868">
        <v>0.198075385682046</v>
      </c>
      <c r="I1868">
        <v>0.17091850656441901</v>
      </c>
      <c r="J1868">
        <v>0.21098778096436599</v>
      </c>
      <c r="K1868">
        <v>0.186807245590079</v>
      </c>
      <c r="L1868">
        <v>645.11620791918199</v>
      </c>
      <c r="M1868">
        <v>11.612047707741899</v>
      </c>
      <c r="N1868">
        <v>56.120959037969797</v>
      </c>
      <c r="O1868">
        <v>53.9848184092709</v>
      </c>
      <c r="P1868">
        <v>-5.08210749054211E-2</v>
      </c>
      <c r="Q1868">
        <v>5.5182784577833703E-2</v>
      </c>
      <c r="R1868">
        <v>0.90427122798468496</v>
      </c>
      <c r="S1868" t="s">
        <v>8674</v>
      </c>
      <c r="T1868" t="s">
        <v>13610</v>
      </c>
      <c r="U1868" t="s">
        <v>13610</v>
      </c>
      <c r="V1868" t="s">
        <v>13610</v>
      </c>
      <c r="W1868" t="s">
        <v>15432</v>
      </c>
      <c r="X1868">
        <v>18</v>
      </c>
      <c r="Y1868" t="s">
        <v>22120</v>
      </c>
      <c r="Z1868" t="s">
        <v>28723</v>
      </c>
      <c r="AA1868">
        <v>0.56603629367995856</v>
      </c>
      <c r="AB1868" t="str">
        <f>HYPERLINK("Melting_Curves/meltCurve_P09661_SNRPA1.pdf", "Melting_Curves/meltCurve_P09661_SNRPA1.pdf")</f>
        <v>Melting_Curves/meltCurve_P09661_SNRPA1.pdf</v>
      </c>
    </row>
    <row r="1869" spans="1:28" x14ac:dyDescent="0.25">
      <c r="A1869" t="s">
        <v>1873</v>
      </c>
      <c r="B1869">
        <v>0.995954080203443</v>
      </c>
      <c r="C1869">
        <v>1.0729390219560999</v>
      </c>
      <c r="D1869">
        <v>1.11779961209609</v>
      </c>
      <c r="E1869">
        <v>0.97702481365455596</v>
      </c>
      <c r="F1869">
        <v>0.99042647864219202</v>
      </c>
      <c r="G1869">
        <v>0.85960373288747205</v>
      </c>
      <c r="H1869">
        <v>0.79254741049530097</v>
      </c>
      <c r="I1869">
        <v>0.88907633573588996</v>
      </c>
      <c r="J1869">
        <v>0.9198834650987</v>
      </c>
      <c r="K1869">
        <v>0.56733359135001804</v>
      </c>
      <c r="L1869">
        <v>644.456984272196</v>
      </c>
      <c r="M1869">
        <v>8.4674275669425292</v>
      </c>
      <c r="Q1869">
        <v>0</v>
      </c>
      <c r="R1869">
        <v>0.64629790345060101</v>
      </c>
      <c r="S1869" t="s">
        <v>8675</v>
      </c>
      <c r="T1869" t="s">
        <v>13610</v>
      </c>
      <c r="U1869" t="s">
        <v>13610</v>
      </c>
      <c r="V1869" t="s">
        <v>13610</v>
      </c>
      <c r="W1869" t="s">
        <v>15433</v>
      </c>
      <c r="X1869">
        <v>9</v>
      </c>
      <c r="Y1869" t="s">
        <v>22121</v>
      </c>
      <c r="Z1869" t="s">
        <v>28724</v>
      </c>
      <c r="AA1869">
        <v>0.91904912907834346</v>
      </c>
      <c r="AB1869" t="str">
        <f>HYPERLINK("Melting_Curves/meltCurve_P09668_CTSH.pdf", "Melting_Curves/meltCurve_P09668_CTSH.pdf")</f>
        <v>Melting_Curves/meltCurve_P09668_CTSH.pdf</v>
      </c>
    </row>
    <row r="1870" spans="1:28" x14ac:dyDescent="0.25">
      <c r="A1870" t="s">
        <v>1874</v>
      </c>
      <c r="B1870">
        <v>0.995954080203443</v>
      </c>
      <c r="C1870">
        <v>0.92768040367098603</v>
      </c>
      <c r="D1870">
        <v>0.75467039418642501</v>
      </c>
      <c r="E1870">
        <v>0.57084002774757403</v>
      </c>
      <c r="F1870">
        <v>0.21661046019027599</v>
      </c>
      <c r="G1870">
        <v>0.121040274421231</v>
      </c>
      <c r="H1870">
        <v>8.1702502418788098E-2</v>
      </c>
      <c r="I1870">
        <v>7.5017283505426996E-2</v>
      </c>
      <c r="J1870">
        <v>9.3204271967438607E-2</v>
      </c>
      <c r="K1870">
        <v>8.2772205653009898E-2</v>
      </c>
      <c r="L1870">
        <v>880.46561077305796</v>
      </c>
      <c r="M1870">
        <v>17.807809577578201</v>
      </c>
      <c r="N1870">
        <v>49.803614184218603</v>
      </c>
      <c r="O1870">
        <v>48.831819493427702</v>
      </c>
      <c r="P1870">
        <v>-8.5654169604325106E-2</v>
      </c>
      <c r="Q1870">
        <v>6.0539454953296698E-2</v>
      </c>
      <c r="R1870">
        <v>0.98804752373573101</v>
      </c>
      <c r="S1870" t="s">
        <v>8676</v>
      </c>
      <c r="T1870" t="s">
        <v>13610</v>
      </c>
      <c r="U1870" t="s">
        <v>13610</v>
      </c>
      <c r="V1870" t="s">
        <v>13610</v>
      </c>
      <c r="W1870" t="s">
        <v>15434</v>
      </c>
      <c r="X1870">
        <v>47</v>
      </c>
      <c r="Y1870" t="s">
        <v>22122</v>
      </c>
      <c r="Z1870" t="s">
        <v>28725</v>
      </c>
      <c r="AA1870">
        <v>0.37273027210650839</v>
      </c>
      <c r="AB1870" t="str">
        <f>HYPERLINK("Melting_Curves/meltCurve_P09874_PARP1.pdf", "Melting_Curves/meltCurve_P09874_PARP1.pdf")</f>
        <v>Melting_Curves/meltCurve_P09874_PARP1.pdf</v>
      </c>
    </row>
    <row r="1871" spans="1:28" x14ac:dyDescent="0.25">
      <c r="A1871" t="s">
        <v>1875</v>
      </c>
      <c r="B1871">
        <v>0.995954080203443</v>
      </c>
      <c r="C1871">
        <v>0.89181588960318403</v>
      </c>
      <c r="D1871">
        <v>0.76461207564615397</v>
      </c>
      <c r="E1871">
        <v>0.74340054757259499</v>
      </c>
      <c r="F1871">
        <v>0.255467066967839</v>
      </c>
      <c r="G1871">
        <v>0.158937637828412</v>
      </c>
      <c r="H1871">
        <v>0.127316872647737</v>
      </c>
      <c r="I1871">
        <v>0.13640460977528501</v>
      </c>
      <c r="J1871">
        <v>0.15877539484363101</v>
      </c>
      <c r="K1871">
        <v>0.15025145159355299</v>
      </c>
      <c r="L1871">
        <v>950.97417559650899</v>
      </c>
      <c r="M1871">
        <v>18.909637998089501</v>
      </c>
      <c r="N1871">
        <v>50.994885829480502</v>
      </c>
      <c r="O1871">
        <v>49.738146570275902</v>
      </c>
      <c r="P1871">
        <v>-8.41246123272026E-2</v>
      </c>
      <c r="Q1871">
        <v>0.11494189327062899</v>
      </c>
      <c r="R1871">
        <v>0.95059242372660102</v>
      </c>
      <c r="S1871" t="s">
        <v>8677</v>
      </c>
      <c r="T1871" t="s">
        <v>13610</v>
      </c>
      <c r="U1871" t="s">
        <v>13610</v>
      </c>
      <c r="V1871" t="s">
        <v>13610</v>
      </c>
      <c r="W1871" t="s">
        <v>15435</v>
      </c>
      <c r="X1871">
        <v>27</v>
      </c>
      <c r="Y1871" t="s">
        <v>22123</v>
      </c>
      <c r="Z1871" t="s">
        <v>28726</v>
      </c>
      <c r="AA1871">
        <v>0.43223313979807959</v>
      </c>
      <c r="AB1871" t="str">
        <f>HYPERLINK("Melting_Curves/meltCurve_P09884_POLA1.pdf", "Melting_Curves/meltCurve_P09884_POLA1.pdf")</f>
        <v>Melting_Curves/meltCurve_P09884_POLA1.pdf</v>
      </c>
    </row>
    <row r="1872" spans="1:28" x14ac:dyDescent="0.25">
      <c r="A1872" t="s">
        <v>1876</v>
      </c>
      <c r="B1872">
        <v>0.995954080203443</v>
      </c>
      <c r="C1872">
        <v>0.96212831523728404</v>
      </c>
      <c r="D1872">
        <v>0.83133417389189301</v>
      </c>
      <c r="E1872">
        <v>0.78927350639060601</v>
      </c>
      <c r="F1872">
        <v>0.57269748265707698</v>
      </c>
      <c r="G1872">
        <v>0.41841268887771998</v>
      </c>
      <c r="H1872">
        <v>0.22568106067919999</v>
      </c>
      <c r="I1872">
        <v>0.113094292718637</v>
      </c>
      <c r="J1872">
        <v>0.113768311765</v>
      </c>
      <c r="K1872">
        <v>7.8774113664322201E-2</v>
      </c>
      <c r="L1872">
        <v>630.95596135494702</v>
      </c>
      <c r="M1872">
        <v>11.539573375846</v>
      </c>
      <c r="N1872">
        <v>54.677581258431999</v>
      </c>
      <c r="O1872">
        <v>53.112900751954598</v>
      </c>
      <c r="P1872">
        <v>-5.4331479544579502E-2</v>
      </c>
      <c r="Q1872">
        <v>0</v>
      </c>
      <c r="R1872">
        <v>0.99185067731210996</v>
      </c>
      <c r="S1872" t="s">
        <v>8678</v>
      </c>
      <c r="T1872" t="s">
        <v>13610</v>
      </c>
      <c r="U1872" t="s">
        <v>13610</v>
      </c>
      <c r="V1872" t="s">
        <v>13610</v>
      </c>
      <c r="W1872" t="s">
        <v>15436</v>
      </c>
      <c r="X1872">
        <v>5</v>
      </c>
      <c r="Y1872" t="s">
        <v>22124</v>
      </c>
      <c r="Z1872" t="s">
        <v>28727</v>
      </c>
      <c r="AA1872">
        <v>0.5143186443415525</v>
      </c>
      <c r="AB1872" t="str">
        <f>HYPERLINK("Melting_Curves/meltCurve_P09917_ALOX5.pdf", "Melting_Curves/meltCurve_P09917_ALOX5.pdf")</f>
        <v>Melting_Curves/meltCurve_P09917_ALOX5.pdf</v>
      </c>
    </row>
    <row r="1873" spans="1:28" x14ac:dyDescent="0.25">
      <c r="A1873" t="s">
        <v>1877</v>
      </c>
      <c r="B1873">
        <v>0.995954080203443</v>
      </c>
      <c r="C1873">
        <v>1.0741290407445301</v>
      </c>
      <c r="D1873">
        <v>1.09929853659795</v>
      </c>
      <c r="E1873">
        <v>0.99666408833410103</v>
      </c>
      <c r="F1873">
        <v>0.903372868296483</v>
      </c>
      <c r="G1873">
        <v>0.65756823579003199</v>
      </c>
      <c r="H1873">
        <v>0.268345475111192</v>
      </c>
      <c r="I1873">
        <v>0.12252721251278099</v>
      </c>
      <c r="J1873">
        <v>0.12885245837804199</v>
      </c>
      <c r="K1873">
        <v>0.10542859726402801</v>
      </c>
      <c r="L1873">
        <v>1612.94581526108</v>
      </c>
      <c r="M1873">
        <v>27.859272052348899</v>
      </c>
      <c r="N1873">
        <v>58.318997680530003</v>
      </c>
      <c r="O1873">
        <v>57.600352380071897</v>
      </c>
      <c r="P1873">
        <v>-0.109860769896154</v>
      </c>
      <c r="Q1873">
        <v>9.1438774959873098E-2</v>
      </c>
      <c r="R1873">
        <v>0.98928197546256802</v>
      </c>
      <c r="S1873" t="s">
        <v>8679</v>
      </c>
      <c r="T1873" t="s">
        <v>13610</v>
      </c>
      <c r="U1873" t="s">
        <v>13610</v>
      </c>
      <c r="V1873" t="s">
        <v>13610</v>
      </c>
      <c r="W1873" t="s">
        <v>15437</v>
      </c>
      <c r="X1873">
        <v>37</v>
      </c>
      <c r="Y1873" t="s">
        <v>22125</v>
      </c>
      <c r="Z1873" t="s">
        <v>28728</v>
      </c>
      <c r="AA1873">
        <v>0.64018612361937921</v>
      </c>
      <c r="AB1873" t="str">
        <f>HYPERLINK("Melting_Curves/meltCurve_P09960_LTA4H.pdf", "Melting_Curves/meltCurve_P09960_LTA4H.pdf")</f>
        <v>Melting_Curves/meltCurve_P09960_LTA4H.pdf</v>
      </c>
    </row>
    <row r="1874" spans="1:28" x14ac:dyDescent="0.25">
      <c r="A1874" t="s">
        <v>1878</v>
      </c>
      <c r="B1874">
        <v>0.995954080203443</v>
      </c>
      <c r="C1874">
        <v>0.98216742189361605</v>
      </c>
      <c r="D1874">
        <v>0.92795928864717603</v>
      </c>
      <c r="E1874">
        <v>0.91325455392883204</v>
      </c>
      <c r="F1874">
        <v>0.769302648923746</v>
      </c>
      <c r="G1874">
        <v>0.59797966196885</v>
      </c>
      <c r="H1874">
        <v>0.36174168185634997</v>
      </c>
      <c r="I1874">
        <v>0.20714869748152501</v>
      </c>
      <c r="J1874">
        <v>0.117014467713627</v>
      </c>
      <c r="K1874">
        <v>0.109687874257602</v>
      </c>
      <c r="L1874">
        <v>788.25125791844005</v>
      </c>
      <c r="M1874">
        <v>13.542416005189301</v>
      </c>
      <c r="N1874">
        <v>58.206102851604399</v>
      </c>
      <c r="O1874">
        <v>56.980890666979001</v>
      </c>
      <c r="P1874">
        <v>-5.9425432421304603E-2</v>
      </c>
      <c r="Q1874">
        <v>0</v>
      </c>
      <c r="R1874">
        <v>0.99587187861356696</v>
      </c>
      <c r="S1874" t="s">
        <v>8680</v>
      </c>
      <c r="T1874" t="s">
        <v>13610</v>
      </c>
      <c r="U1874" t="s">
        <v>13610</v>
      </c>
      <c r="V1874" t="s">
        <v>13610</v>
      </c>
      <c r="W1874" t="s">
        <v>15438</v>
      </c>
      <c r="X1874">
        <v>30</v>
      </c>
      <c r="Y1874" t="s">
        <v>22126</v>
      </c>
      <c r="Z1874" t="s">
        <v>28729</v>
      </c>
      <c r="AA1874">
        <v>0.61958028289142697</v>
      </c>
      <c r="AB1874" t="str">
        <f>HYPERLINK("Melting_Curves/meltCurve_P09972_ALDOC.pdf", "Melting_Curves/meltCurve_P09972_ALDOC.pdf")</f>
        <v>Melting_Curves/meltCurve_P09972_ALDOC.pdf</v>
      </c>
    </row>
    <row r="1875" spans="1:28" x14ac:dyDescent="0.25">
      <c r="A1875" t="s">
        <v>1879</v>
      </c>
      <c r="B1875">
        <v>0.995954080203443</v>
      </c>
      <c r="C1875">
        <v>0.74674392214117002</v>
      </c>
      <c r="D1875">
        <v>1.0464356827141801</v>
      </c>
      <c r="E1875">
        <v>0.73907782804150501</v>
      </c>
      <c r="F1875">
        <v>0.73304674941094305</v>
      </c>
      <c r="G1875">
        <v>0.88641262100024898</v>
      </c>
      <c r="H1875">
        <v>0.97318678134407099</v>
      </c>
      <c r="I1875">
        <v>1.0800097478747299</v>
      </c>
      <c r="J1875">
        <v>1.61155762108974</v>
      </c>
      <c r="K1875">
        <v>1.4183503216911699</v>
      </c>
      <c r="L1875">
        <v>15000</v>
      </c>
      <c r="M1875">
        <v>232.71870056710401</v>
      </c>
      <c r="O1875">
        <v>64.450752878762202</v>
      </c>
      <c r="P1875">
        <v>0.45134994551597002</v>
      </c>
      <c r="Q1875">
        <v>1.5</v>
      </c>
      <c r="R1875">
        <v>0.69013080986229802</v>
      </c>
      <c r="S1875" t="s">
        <v>8681</v>
      </c>
      <c r="T1875" t="s">
        <v>13610</v>
      </c>
      <c r="U1875" t="s">
        <v>13610</v>
      </c>
      <c r="V1875" t="s">
        <v>13610</v>
      </c>
      <c r="W1875" t="s">
        <v>15439</v>
      </c>
      <c r="X1875">
        <v>2</v>
      </c>
      <c r="Y1875" t="s">
        <v>22127</v>
      </c>
      <c r="Z1875" t="s">
        <v>28730</v>
      </c>
      <c r="AA1875">
        <v>1.092343074736603</v>
      </c>
      <c r="AB1875" t="str">
        <f>HYPERLINK("Melting_Curves/meltCurve_P0C7T5_ATXN1L.pdf", "Melting_Curves/meltCurve_P0C7T5_ATXN1L.pdf")</f>
        <v>Melting_Curves/meltCurve_P0C7T5_ATXN1L.pdf</v>
      </c>
    </row>
    <row r="1876" spans="1:28" x14ac:dyDescent="0.25">
      <c r="A1876" t="s">
        <v>1880</v>
      </c>
      <c r="B1876">
        <v>0.995954080203443</v>
      </c>
      <c r="C1876">
        <v>0.81164421727320901</v>
      </c>
      <c r="D1876">
        <v>0.79954666937265395</v>
      </c>
      <c r="E1876">
        <v>0.80164791427092297</v>
      </c>
      <c r="F1876">
        <v>0.87510767253546995</v>
      </c>
      <c r="G1876">
        <v>0.65175461271275503</v>
      </c>
      <c r="H1876">
        <v>0.54138983819047104</v>
      </c>
      <c r="I1876">
        <v>0.68048140056809903</v>
      </c>
      <c r="J1876">
        <v>0.803015192875146</v>
      </c>
      <c r="K1876">
        <v>0.83064995445828604</v>
      </c>
      <c r="L1876">
        <v>600.87670439751605</v>
      </c>
      <c r="M1876">
        <v>13.8074553297492</v>
      </c>
      <c r="O1876">
        <v>42.6359038723051</v>
      </c>
      <c r="P1876">
        <v>-2.2361813063372801E-2</v>
      </c>
      <c r="Q1876">
        <v>0.72383528929464303</v>
      </c>
      <c r="R1876">
        <v>0.393818163514634</v>
      </c>
      <c r="S1876" t="s">
        <v>8682</v>
      </c>
      <c r="T1876" t="s">
        <v>13610</v>
      </c>
      <c r="U1876" t="s">
        <v>13610</v>
      </c>
      <c r="V1876" t="s">
        <v>13610</v>
      </c>
      <c r="W1876" t="s">
        <v>15440</v>
      </c>
      <c r="X1876">
        <v>13</v>
      </c>
      <c r="Y1876" t="s">
        <v>22128</v>
      </c>
      <c r="Z1876" t="s">
        <v>28731</v>
      </c>
      <c r="AA1876">
        <v>0.76881089605162467</v>
      </c>
      <c r="AB1876" t="str">
        <f>HYPERLINK("Melting_Curves/meltCurve_P0CAP2_POLR2M.pdf", "Melting_Curves/meltCurve_P0CAP2_POLR2M.pdf")</f>
        <v>Melting_Curves/meltCurve_P0CAP2_POLR2M.pdf</v>
      </c>
    </row>
    <row r="1877" spans="1:28" x14ac:dyDescent="0.25">
      <c r="A1877" t="s">
        <v>1881</v>
      </c>
      <c r="B1877">
        <v>0.995954080203443</v>
      </c>
      <c r="C1877">
        <v>1.00128841218959</v>
      </c>
      <c r="D1877">
        <v>0.92956445789507902</v>
      </c>
      <c r="E1877">
        <v>0.85876413170500998</v>
      </c>
      <c r="F1877">
        <v>0.79996607393883901</v>
      </c>
      <c r="G1877">
        <v>0.62314519626111398</v>
      </c>
      <c r="H1877">
        <v>0.60452905448604799</v>
      </c>
      <c r="I1877">
        <v>0.71179235649595995</v>
      </c>
      <c r="J1877">
        <v>0.803416915565352</v>
      </c>
      <c r="K1877">
        <v>0.80197203741322498</v>
      </c>
      <c r="L1877">
        <v>1241.98200655248</v>
      </c>
      <c r="M1877">
        <v>24.986374243692801</v>
      </c>
      <c r="O1877">
        <v>49.391265415072503</v>
      </c>
      <c r="P1877">
        <v>-3.6255430289091103E-2</v>
      </c>
      <c r="Q1877">
        <v>0.71333537940912295</v>
      </c>
      <c r="R1877">
        <v>0.76251407761602197</v>
      </c>
      <c r="S1877" t="s">
        <v>8683</v>
      </c>
      <c r="T1877" t="s">
        <v>13610</v>
      </c>
      <c r="U1877" t="s">
        <v>13610</v>
      </c>
      <c r="V1877" t="s">
        <v>13610</v>
      </c>
      <c r="W1877" t="s">
        <v>15441</v>
      </c>
      <c r="X1877">
        <v>11</v>
      </c>
      <c r="Y1877" t="s">
        <v>22129</v>
      </c>
      <c r="Z1877" t="s">
        <v>28732</v>
      </c>
      <c r="AA1877">
        <v>0.80864209410926191</v>
      </c>
      <c r="AB1877" t="str">
        <f>HYPERLINK("Melting_Curves/meltCurve_P0CG12_CHTF8.pdf", "Melting_Curves/meltCurve_P0CG12_CHTF8.pdf")</f>
        <v>Melting_Curves/meltCurve_P0CG12_CHTF8.pdf</v>
      </c>
    </row>
    <row r="1878" spans="1:28" x14ac:dyDescent="0.25">
      <c r="A1878" t="s">
        <v>1882</v>
      </c>
      <c r="B1878">
        <v>0.995954080203443</v>
      </c>
      <c r="C1878">
        <v>0.83654613764890096</v>
      </c>
      <c r="D1878">
        <v>0.86924832083205095</v>
      </c>
      <c r="E1878">
        <v>0.50666682072767799</v>
      </c>
      <c r="F1878">
        <v>0.462271004513928</v>
      </c>
      <c r="G1878">
        <v>0.33518724237792502</v>
      </c>
      <c r="H1878">
        <v>0.36187243167937999</v>
      </c>
      <c r="I1878">
        <v>0.39861927026843702</v>
      </c>
      <c r="J1878">
        <v>0.497757037913786</v>
      </c>
      <c r="K1878">
        <v>0.45020601270107702</v>
      </c>
      <c r="L1878">
        <v>1137.5366767521</v>
      </c>
      <c r="M1878">
        <v>24.012090170559699</v>
      </c>
      <c r="N1878">
        <v>50.921114037838599</v>
      </c>
      <c r="O1878">
        <v>47.048595526419497</v>
      </c>
      <c r="P1878">
        <v>-7.5771866512098801E-2</v>
      </c>
      <c r="Q1878">
        <v>0.40614854967957298</v>
      </c>
      <c r="R1878">
        <v>0.92405327031713103</v>
      </c>
      <c r="S1878" t="s">
        <v>8684</v>
      </c>
      <c r="T1878" t="s">
        <v>13610</v>
      </c>
      <c r="U1878" t="s">
        <v>13610</v>
      </c>
      <c r="V1878" t="s">
        <v>13610</v>
      </c>
      <c r="W1878" t="s">
        <v>15442</v>
      </c>
      <c r="X1878">
        <v>3</v>
      </c>
      <c r="Y1878" t="s">
        <v>22129</v>
      </c>
      <c r="Z1878" t="s">
        <v>28733</v>
      </c>
      <c r="AA1878">
        <v>0.55786187046276769</v>
      </c>
      <c r="AB1878" t="str">
        <f>HYPERLINK("Melting_Curves/meltCurve_P0CG13_CHTF8.pdf", "Melting_Curves/meltCurve_P0CG13_CHTF8.pdf")</f>
        <v>Melting_Curves/meltCurve_P0CG13_CHTF8.pdf</v>
      </c>
    </row>
    <row r="1879" spans="1:28" x14ac:dyDescent="0.25">
      <c r="A1879" t="s">
        <v>1883</v>
      </c>
      <c r="B1879">
        <v>0.995954080203443</v>
      </c>
      <c r="C1879">
        <v>0.97907149325250797</v>
      </c>
      <c r="D1879">
        <v>0.83917400071070902</v>
      </c>
      <c r="E1879">
        <v>0.72950968191819199</v>
      </c>
      <c r="F1879">
        <v>0.74246481163272704</v>
      </c>
      <c r="G1879">
        <v>0.72002660976438604</v>
      </c>
      <c r="H1879">
        <v>0.84782316325443596</v>
      </c>
      <c r="I1879">
        <v>1.39012384363537</v>
      </c>
      <c r="J1879">
        <v>1.92359207029616</v>
      </c>
      <c r="K1879">
        <v>1.58628369472756</v>
      </c>
      <c r="L1879">
        <v>15000</v>
      </c>
      <c r="M1879">
        <v>235.641972611033</v>
      </c>
      <c r="O1879">
        <v>63.651297817432898</v>
      </c>
      <c r="P1879">
        <v>0.46275949286158102</v>
      </c>
      <c r="Q1879">
        <v>1.5</v>
      </c>
      <c r="R1879">
        <v>0.70871964819029798</v>
      </c>
      <c r="S1879" t="s">
        <v>8685</v>
      </c>
      <c r="T1879" t="s">
        <v>13610</v>
      </c>
      <c r="U1879" t="s">
        <v>13610</v>
      </c>
      <c r="V1879" t="s">
        <v>13610</v>
      </c>
      <c r="W1879" t="s">
        <v>15443</v>
      </c>
      <c r="X1879">
        <v>4</v>
      </c>
      <c r="Y1879" t="s">
        <v>22130</v>
      </c>
      <c r="Z1879" t="s">
        <v>28734</v>
      </c>
      <c r="AA1879">
        <v>1.105672256800881</v>
      </c>
      <c r="AB1879" t="str">
        <f>HYPERLINK("Melting_Curves/meltCurve_P0CJ79_ZNF888.pdf", "Melting_Curves/meltCurve_P0CJ79_ZNF888.pdf")</f>
        <v>Melting_Curves/meltCurve_P0CJ79_ZNF888.pdf</v>
      </c>
    </row>
    <row r="1880" spans="1:28" x14ac:dyDescent="0.25">
      <c r="A1880" t="s">
        <v>1884</v>
      </c>
      <c r="B1880">
        <v>0.995954080203443</v>
      </c>
      <c r="C1880">
        <v>0.85445401589432901</v>
      </c>
      <c r="D1880">
        <v>0.78478784189807205</v>
      </c>
      <c r="E1880">
        <v>0.67161826106344502</v>
      </c>
      <c r="F1880">
        <v>0.60913810095987098</v>
      </c>
      <c r="G1880">
        <v>0.35256685056215298</v>
      </c>
      <c r="H1880">
        <v>0.29790847402995402</v>
      </c>
      <c r="I1880">
        <v>0.36659574220438701</v>
      </c>
      <c r="J1880">
        <v>0.35902373941451599</v>
      </c>
      <c r="K1880">
        <v>0.32529817269262701</v>
      </c>
      <c r="L1880">
        <v>559.69599812450394</v>
      </c>
      <c r="M1880">
        <v>11.172026166147299</v>
      </c>
      <c r="N1880">
        <v>54.124938188440801</v>
      </c>
      <c r="O1880">
        <v>48.573267561080399</v>
      </c>
      <c r="P1880">
        <v>-4.12850109609426E-2</v>
      </c>
      <c r="Q1880">
        <v>0.28223915674898598</v>
      </c>
      <c r="R1880">
        <v>0.95975114840876397</v>
      </c>
      <c r="S1880" t="s">
        <v>8686</v>
      </c>
      <c r="T1880" t="s">
        <v>13610</v>
      </c>
      <c r="U1880" t="s">
        <v>13610</v>
      </c>
      <c r="V1880" t="s">
        <v>13610</v>
      </c>
      <c r="W1880" t="s">
        <v>15444</v>
      </c>
      <c r="X1880">
        <v>4</v>
      </c>
      <c r="Y1880" t="s">
        <v>22131</v>
      </c>
      <c r="Z1880" t="s">
        <v>28735</v>
      </c>
      <c r="AA1880">
        <v>0.55135968915173827</v>
      </c>
      <c r="AB1880" t="str">
        <f>HYPERLINK("Melting_Curves/meltCurve_P0CL82_GAGE12I.pdf", "Melting_Curves/meltCurve_P0CL82_GAGE12I.pdf")</f>
        <v>Melting_Curves/meltCurve_P0CL82_GAGE12I.pdf</v>
      </c>
    </row>
    <row r="1881" spans="1:28" x14ac:dyDescent="0.25">
      <c r="A1881" t="s">
        <v>1885</v>
      </c>
      <c r="B1881">
        <v>0.995954080203443</v>
      </c>
      <c r="C1881">
        <v>0.87470066796857804</v>
      </c>
      <c r="D1881">
        <v>0.69912607776076097</v>
      </c>
      <c r="E1881">
        <v>0.680779359634203</v>
      </c>
      <c r="F1881">
        <v>0.44884220912504702</v>
      </c>
      <c r="G1881">
        <v>0.30391285304626098</v>
      </c>
      <c r="H1881">
        <v>0.12691832237525999</v>
      </c>
      <c r="I1881">
        <v>0.118646496672644</v>
      </c>
      <c r="J1881">
        <v>0.12947010899967201</v>
      </c>
      <c r="K1881">
        <v>0.13241561217462899</v>
      </c>
      <c r="L1881">
        <v>529.91346540212305</v>
      </c>
      <c r="M1881">
        <v>10.268993815600201</v>
      </c>
      <c r="N1881">
        <v>51.901001528068299</v>
      </c>
      <c r="O1881">
        <v>49.761227631144401</v>
      </c>
      <c r="P1881">
        <v>-5.0137675479384698E-2</v>
      </c>
      <c r="Q1881">
        <v>2.8603376119393401E-2</v>
      </c>
      <c r="R1881">
        <v>0.97639938574760499</v>
      </c>
      <c r="S1881" t="s">
        <v>8687</v>
      </c>
      <c r="T1881" t="s">
        <v>13610</v>
      </c>
      <c r="U1881" t="s">
        <v>13610</v>
      </c>
      <c r="V1881" t="s">
        <v>13610</v>
      </c>
      <c r="W1881" t="s">
        <v>15445</v>
      </c>
      <c r="X1881">
        <v>7</v>
      </c>
      <c r="Y1881" t="s">
        <v>22132</v>
      </c>
      <c r="Z1881" t="s">
        <v>28736</v>
      </c>
      <c r="AA1881">
        <v>0.44144036686996468</v>
      </c>
      <c r="AB1881" t="str">
        <f>HYPERLINK("Melting_Curves/meltCurve_P0CW22_RPS17L.pdf", "Melting_Curves/meltCurve_P0CW22_RPS17L.pdf")</f>
        <v>Melting_Curves/meltCurve_P0CW22_RPS17L.pdf</v>
      </c>
    </row>
    <row r="1882" spans="1:28" x14ac:dyDescent="0.25">
      <c r="A1882" t="s">
        <v>1886</v>
      </c>
      <c r="B1882">
        <v>0.995954080203443</v>
      </c>
      <c r="C1882">
        <v>0.75858329694861804</v>
      </c>
      <c r="D1882">
        <v>0.50348894243660602</v>
      </c>
      <c r="E1882">
        <v>0.43886778304637097</v>
      </c>
      <c r="F1882">
        <v>0.18183505078428999</v>
      </c>
      <c r="G1882">
        <v>0.11010721051899899</v>
      </c>
      <c r="H1882">
        <v>7.3824162645752298E-2</v>
      </c>
      <c r="I1882">
        <v>5.0637263932698698E-2</v>
      </c>
      <c r="J1882">
        <v>5.0255855706554199E-2</v>
      </c>
      <c r="K1882">
        <v>4.2416648778603898E-2</v>
      </c>
      <c r="L1882">
        <v>599.69909242966901</v>
      </c>
      <c r="M1882">
        <v>12.7424628809897</v>
      </c>
      <c r="N1882">
        <v>47.254700855731599</v>
      </c>
      <c r="O1882">
        <v>45.949111574887397</v>
      </c>
      <c r="P1882">
        <v>-6.7596268486795105E-2</v>
      </c>
      <c r="Q1882">
        <v>2.5182190232573998E-2</v>
      </c>
      <c r="R1882">
        <v>0.97491182833964596</v>
      </c>
      <c r="S1882" t="s">
        <v>8688</v>
      </c>
      <c r="T1882" t="s">
        <v>13610</v>
      </c>
      <c r="U1882" t="s">
        <v>13610</v>
      </c>
      <c r="V1882" t="s">
        <v>13610</v>
      </c>
      <c r="W1882" t="s">
        <v>15446</v>
      </c>
      <c r="X1882">
        <v>2</v>
      </c>
      <c r="Y1882" t="s">
        <v>22133</v>
      </c>
      <c r="Z1882" t="s">
        <v>28737</v>
      </c>
      <c r="AA1882">
        <v>0.29111431895572631</v>
      </c>
      <c r="AB1882" t="str">
        <f>HYPERLINK("Melting_Curves/meltCurve_P0DI82_TRAPPC2P1.pdf", "Melting_Curves/meltCurve_P0DI82_TRAPPC2P1.pdf")</f>
        <v>Melting_Curves/meltCurve_P0DI82_TRAPPC2P1.pdf</v>
      </c>
    </row>
    <row r="1883" spans="1:28" x14ac:dyDescent="0.25">
      <c r="A1883" t="s">
        <v>1887</v>
      </c>
      <c r="B1883">
        <v>0.995954080203443</v>
      </c>
      <c r="C1883">
        <v>1.0305785881288101</v>
      </c>
      <c r="D1883">
        <v>1.10357129906551</v>
      </c>
      <c r="E1883">
        <v>0.98248602884054304</v>
      </c>
      <c r="F1883">
        <v>0.99459003296307402</v>
      </c>
      <c r="G1883">
        <v>0.78481487077537704</v>
      </c>
      <c r="H1883">
        <v>0.77969622298102803</v>
      </c>
      <c r="I1883">
        <v>0.92808308142859797</v>
      </c>
      <c r="J1883">
        <v>1.1626265864615399</v>
      </c>
      <c r="K1883">
        <v>1.1109055612812</v>
      </c>
      <c r="L1883">
        <v>11364.461157833801</v>
      </c>
      <c r="M1883">
        <v>173.102657527406</v>
      </c>
      <c r="O1883">
        <v>65.642807742594599</v>
      </c>
      <c r="P1883">
        <v>9.09623540264268E-2</v>
      </c>
      <c r="Q1883">
        <v>1.13797648984613</v>
      </c>
      <c r="R1883">
        <v>0.23701435731354001</v>
      </c>
      <c r="S1883" t="s">
        <v>8689</v>
      </c>
      <c r="T1883" t="s">
        <v>13610</v>
      </c>
      <c r="U1883" t="s">
        <v>13610</v>
      </c>
      <c r="V1883" t="s">
        <v>13610</v>
      </c>
      <c r="W1883" t="s">
        <v>15447</v>
      </c>
      <c r="X1883">
        <v>7</v>
      </c>
      <c r="Y1883" t="s">
        <v>22134</v>
      </c>
      <c r="Z1883" t="s">
        <v>28738</v>
      </c>
      <c r="AA1883">
        <v>1.019966248748625</v>
      </c>
      <c r="AB1883" t="str">
        <f>HYPERLINK("Melting_Curves/meltCurve_P10109_FDX1.pdf", "Melting_Curves/meltCurve_P10109_FDX1.pdf")</f>
        <v>Melting_Curves/meltCurve_P10109_FDX1.pdf</v>
      </c>
    </row>
    <row r="1884" spans="1:28" x14ac:dyDescent="0.25">
      <c r="A1884" t="s">
        <v>1888</v>
      </c>
      <c r="B1884">
        <v>0.995954080203443</v>
      </c>
      <c r="C1884">
        <v>0.96039602131678403</v>
      </c>
      <c r="D1884">
        <v>0.89087674929448202</v>
      </c>
      <c r="E1884">
        <v>0.89029141453996996</v>
      </c>
      <c r="F1884">
        <v>0.72025738232479697</v>
      </c>
      <c r="G1884">
        <v>0.58892323736064101</v>
      </c>
      <c r="H1884">
        <v>0.416337346407677</v>
      </c>
      <c r="I1884">
        <v>0.34674367673325102</v>
      </c>
      <c r="J1884">
        <v>0.11840833896730101</v>
      </c>
      <c r="K1884">
        <v>7.6659510037210596E-2</v>
      </c>
      <c r="L1884">
        <v>653.87813950972702</v>
      </c>
      <c r="M1884">
        <v>11.1887735099134</v>
      </c>
      <c r="N1884">
        <v>58.440535227050198</v>
      </c>
      <c r="O1884">
        <v>56.666988638418601</v>
      </c>
      <c r="P1884">
        <v>-4.93775526637628E-2</v>
      </c>
      <c r="Q1884">
        <v>0</v>
      </c>
      <c r="R1884">
        <v>0.97937224587369898</v>
      </c>
      <c r="S1884" t="s">
        <v>8690</v>
      </c>
      <c r="T1884" t="s">
        <v>13610</v>
      </c>
      <c r="U1884" t="s">
        <v>13610</v>
      </c>
      <c r="V1884" t="s">
        <v>13610</v>
      </c>
      <c r="W1884" t="s">
        <v>15448</v>
      </c>
      <c r="X1884">
        <v>30</v>
      </c>
      <c r="Y1884" t="s">
        <v>21092</v>
      </c>
      <c r="Z1884" t="s">
        <v>28739</v>
      </c>
      <c r="AA1884">
        <v>0.62425719830022119</v>
      </c>
      <c r="AB1884" t="str">
        <f>HYPERLINK("Melting_Curves/meltCurve_P10155_TROVE2.pdf", "Melting_Curves/meltCurve_P10155_TROVE2.pdf")</f>
        <v>Melting_Curves/meltCurve_P10155_TROVE2.pdf</v>
      </c>
    </row>
    <row r="1885" spans="1:28" x14ac:dyDescent="0.25">
      <c r="A1885" t="s">
        <v>1889</v>
      </c>
      <c r="B1885">
        <v>0.995954080203443</v>
      </c>
      <c r="C1885">
        <v>0.87844304559714403</v>
      </c>
      <c r="D1885">
        <v>0.86953514720474201</v>
      </c>
      <c r="E1885">
        <v>0.77447199648881804</v>
      </c>
      <c r="F1885">
        <v>0.69715015872339203</v>
      </c>
      <c r="G1885">
        <v>0.51038467785673902</v>
      </c>
      <c r="H1885">
        <v>0.46188303855706903</v>
      </c>
      <c r="I1885">
        <v>0.479594637943697</v>
      </c>
      <c r="J1885">
        <v>0.653853730363955</v>
      </c>
      <c r="K1885">
        <v>0.58270317017756601</v>
      </c>
      <c r="L1885">
        <v>701.78619898295801</v>
      </c>
      <c r="M1885">
        <v>14.2726587155469</v>
      </c>
      <c r="O1885">
        <v>48.234926729363799</v>
      </c>
      <c r="P1885">
        <v>-3.5062072472435202E-2</v>
      </c>
      <c r="Q1885">
        <v>0.52608438253240397</v>
      </c>
      <c r="R1885">
        <v>0.86140142988977897</v>
      </c>
      <c r="S1885" t="s">
        <v>8691</v>
      </c>
      <c r="T1885" t="s">
        <v>13610</v>
      </c>
      <c r="U1885" t="s">
        <v>13610</v>
      </c>
      <c r="V1885" t="s">
        <v>13610</v>
      </c>
      <c r="W1885" t="s">
        <v>15449</v>
      </c>
      <c r="X1885">
        <v>5</v>
      </c>
      <c r="Y1885" t="s">
        <v>22135</v>
      </c>
      <c r="Z1885" t="s">
        <v>28740</v>
      </c>
      <c r="AA1885">
        <v>0.6836829880799814</v>
      </c>
      <c r="AB1885" t="str">
        <f>HYPERLINK("Melting_Curves/meltCurve_P10242_11_MYB.pdf", "Melting_Curves/meltCurve_P10242_11_MYB.pdf")</f>
        <v>Melting_Curves/meltCurve_P10242_11_MYB.pdf</v>
      </c>
    </row>
    <row r="1886" spans="1:28" x14ac:dyDescent="0.25">
      <c r="A1886" t="s">
        <v>1890</v>
      </c>
      <c r="B1886">
        <v>0.995954080203443</v>
      </c>
      <c r="C1886">
        <v>0.97450766103423903</v>
      </c>
      <c r="D1886">
        <v>0.85967279569727995</v>
      </c>
      <c r="E1886">
        <v>0.80801014989658004</v>
      </c>
      <c r="F1886">
        <v>0.67928544089476195</v>
      </c>
      <c r="G1886">
        <v>0.49839493582618599</v>
      </c>
      <c r="H1886">
        <v>0.43518107943294698</v>
      </c>
      <c r="I1886">
        <v>0.46315919388410498</v>
      </c>
      <c r="J1886">
        <v>0.52010192435736102</v>
      </c>
      <c r="K1886">
        <v>0.514203102123585</v>
      </c>
      <c r="L1886">
        <v>845.34319259954896</v>
      </c>
      <c r="M1886">
        <v>16.612469109670801</v>
      </c>
      <c r="N1886">
        <v>60.618699147850101</v>
      </c>
      <c r="O1886">
        <v>50.165853120202797</v>
      </c>
      <c r="P1886">
        <v>-4.4271477310102399E-2</v>
      </c>
      <c r="Q1886">
        <v>0.46527728901653698</v>
      </c>
      <c r="R1886">
        <v>0.96194147456076295</v>
      </c>
      <c r="S1886" t="s">
        <v>8692</v>
      </c>
      <c r="T1886" t="s">
        <v>13610</v>
      </c>
      <c r="U1886" t="s">
        <v>13610</v>
      </c>
      <c r="V1886" t="s">
        <v>13610</v>
      </c>
      <c r="W1886" t="s">
        <v>15450</v>
      </c>
      <c r="X1886">
        <v>9</v>
      </c>
      <c r="Y1886" t="s">
        <v>22136</v>
      </c>
      <c r="Z1886" t="s">
        <v>28741</v>
      </c>
      <c r="AA1886">
        <v>0.66972223564366784</v>
      </c>
      <c r="AB1886" t="str">
        <f>HYPERLINK("Melting_Curves/meltCurve_P10244_MYBL2.pdf", "Melting_Curves/meltCurve_P10244_MYBL2.pdf")</f>
        <v>Melting_Curves/meltCurve_P10244_MYBL2.pdf</v>
      </c>
    </row>
    <row r="1887" spans="1:28" x14ac:dyDescent="0.25">
      <c r="A1887" t="s">
        <v>1891</v>
      </c>
      <c r="B1887">
        <v>0.995954080203443</v>
      </c>
      <c r="C1887">
        <v>1.00489606219816</v>
      </c>
      <c r="D1887">
        <v>0.95465506706190895</v>
      </c>
      <c r="E1887">
        <v>0.85526667257231104</v>
      </c>
      <c r="F1887">
        <v>0.71902041209321998</v>
      </c>
      <c r="G1887">
        <v>0.50257045921131704</v>
      </c>
      <c r="H1887">
        <v>0.29414718650023602</v>
      </c>
      <c r="I1887">
        <v>0.19856510327981999</v>
      </c>
      <c r="J1887">
        <v>0.13879329693346401</v>
      </c>
      <c r="K1887">
        <v>0.12866076961987299</v>
      </c>
      <c r="L1887">
        <v>783.55540922700197</v>
      </c>
      <c r="M1887">
        <v>13.9106056828162</v>
      </c>
      <c r="N1887">
        <v>56.814727932120697</v>
      </c>
      <c r="O1887">
        <v>55.202106881989501</v>
      </c>
      <c r="P1887">
        <v>-5.94672269160582E-2</v>
      </c>
      <c r="Q1887">
        <v>5.6181344832205E-2</v>
      </c>
      <c r="R1887">
        <v>0.99925759435069195</v>
      </c>
      <c r="S1887" t="s">
        <v>8693</v>
      </c>
      <c r="T1887" t="s">
        <v>13610</v>
      </c>
      <c r="U1887" t="s">
        <v>13610</v>
      </c>
      <c r="V1887" t="s">
        <v>13610</v>
      </c>
      <c r="W1887" t="s">
        <v>15451</v>
      </c>
      <c r="X1887">
        <v>17</v>
      </c>
      <c r="Y1887" t="s">
        <v>22137</v>
      </c>
      <c r="Z1887" t="s">
        <v>28742</v>
      </c>
      <c r="AA1887">
        <v>0.58692070229855964</v>
      </c>
      <c r="AB1887" t="str">
        <f>HYPERLINK("Melting_Curves/meltCurve_P10253_GAA.pdf", "Melting_Curves/meltCurve_P10253_GAA.pdf")</f>
        <v>Melting_Curves/meltCurve_P10253_GAA.pdf</v>
      </c>
    </row>
    <row r="1888" spans="1:28" x14ac:dyDescent="0.25">
      <c r="A1888" t="s">
        <v>1892</v>
      </c>
      <c r="B1888">
        <v>0.995954080203443</v>
      </c>
      <c r="C1888">
        <v>0.78926124522715901</v>
      </c>
      <c r="D1888">
        <v>0.61688752900848298</v>
      </c>
      <c r="E1888">
        <v>0.416488058982454</v>
      </c>
      <c r="F1888">
        <v>0.28973377420190199</v>
      </c>
      <c r="G1888">
        <v>0.19034529717262499</v>
      </c>
      <c r="H1888">
        <v>0.14673644516498699</v>
      </c>
      <c r="I1888">
        <v>0.17846645463779201</v>
      </c>
      <c r="J1888">
        <v>0.200479439534864</v>
      </c>
      <c r="K1888">
        <v>0.19143632581905701</v>
      </c>
      <c r="L1888">
        <v>710.67812345892605</v>
      </c>
      <c r="M1888">
        <v>15.2382660145075</v>
      </c>
      <c r="N1888">
        <v>47.911419564319601</v>
      </c>
      <c r="O1888">
        <v>45.856687201548297</v>
      </c>
      <c r="P1888">
        <v>-6.9246335558461394E-2</v>
      </c>
      <c r="Q1888">
        <v>0.16654436633613201</v>
      </c>
      <c r="R1888">
        <v>0.98864815937589201</v>
      </c>
      <c r="S1888" t="s">
        <v>8694</v>
      </c>
      <c r="T1888" t="s">
        <v>13610</v>
      </c>
      <c r="U1888" t="s">
        <v>13610</v>
      </c>
      <c r="V1888" t="s">
        <v>13610</v>
      </c>
      <c r="W1888" t="s">
        <v>15452</v>
      </c>
      <c r="X1888">
        <v>13</v>
      </c>
      <c r="Y1888" t="s">
        <v>22138</v>
      </c>
      <c r="Z1888" t="s">
        <v>28743</v>
      </c>
      <c r="AA1888">
        <v>0.3733934267109128</v>
      </c>
      <c r="AB1888" t="str">
        <f>HYPERLINK("Melting_Curves/meltCurve_P10398_ARAF.pdf", "Melting_Curves/meltCurve_P10398_ARAF.pdf")</f>
        <v>Melting_Curves/meltCurve_P10398_ARAF.pdf</v>
      </c>
    </row>
    <row r="1889" spans="1:28" x14ac:dyDescent="0.25">
      <c r="A1889" t="s">
        <v>1893</v>
      </c>
      <c r="B1889">
        <v>0.995954080203443</v>
      </c>
      <c r="C1889">
        <v>0.86915027620145602</v>
      </c>
      <c r="D1889">
        <v>0.75414520684816899</v>
      </c>
      <c r="E1889">
        <v>0.93637881536971501</v>
      </c>
      <c r="F1889">
        <v>0.69462522962368001</v>
      </c>
      <c r="G1889">
        <v>0.422447707839469</v>
      </c>
      <c r="H1889">
        <v>0.30057312951506299</v>
      </c>
      <c r="I1889">
        <v>0.25634234684289398</v>
      </c>
      <c r="J1889">
        <v>0.20074092362906601</v>
      </c>
      <c r="K1889">
        <v>0.20535815191764301</v>
      </c>
      <c r="L1889">
        <v>593.73527328161401</v>
      </c>
      <c r="M1889">
        <v>10.676988284917</v>
      </c>
      <c r="N1889">
        <v>56.4858841375423</v>
      </c>
      <c r="O1889">
        <v>53.764587578345399</v>
      </c>
      <c r="P1889">
        <v>-4.5872212530357601E-2</v>
      </c>
      <c r="Q1889">
        <v>7.6380852361612697E-2</v>
      </c>
      <c r="R1889">
        <v>0.93124788650099399</v>
      </c>
      <c r="S1889" t="s">
        <v>8695</v>
      </c>
      <c r="T1889" t="s">
        <v>13610</v>
      </c>
      <c r="U1889" t="s">
        <v>13610</v>
      </c>
      <c r="V1889" t="s">
        <v>13610</v>
      </c>
      <c r="W1889" t="s">
        <v>15453</v>
      </c>
      <c r="X1889">
        <v>8</v>
      </c>
      <c r="Y1889" t="s">
        <v>22139</v>
      </c>
      <c r="Z1889" t="s">
        <v>28744</v>
      </c>
      <c r="AA1889">
        <v>0.57788674474653268</v>
      </c>
      <c r="AB1889" t="str">
        <f>HYPERLINK("Melting_Curves/meltCurve_P10515_DLAT.pdf", "Melting_Curves/meltCurve_P10515_DLAT.pdf")</f>
        <v>Melting_Curves/meltCurve_P10515_DLAT.pdf</v>
      </c>
    </row>
    <row r="1890" spans="1:28" x14ac:dyDescent="0.25">
      <c r="A1890" t="s">
        <v>1894</v>
      </c>
      <c r="B1890">
        <v>0.995954080203443</v>
      </c>
      <c r="C1890">
        <v>1.0612123956989501</v>
      </c>
      <c r="D1890">
        <v>0.954871671807903</v>
      </c>
      <c r="E1890">
        <v>0.847609302426652</v>
      </c>
      <c r="F1890">
        <v>0.37647300567450398</v>
      </c>
      <c r="G1890">
        <v>0.201592389001293</v>
      </c>
      <c r="H1890">
        <v>9.5697239596363795E-2</v>
      </c>
      <c r="I1890">
        <v>5.9653592001780803E-2</v>
      </c>
      <c r="J1890">
        <v>7.2509892931708397E-2</v>
      </c>
      <c r="K1890">
        <v>7.7016289105262106E-2</v>
      </c>
      <c r="L1890">
        <v>1771.7529738904</v>
      </c>
      <c r="M1890">
        <v>34.036118499011401</v>
      </c>
      <c r="N1890">
        <v>52.348099227909103</v>
      </c>
      <c r="O1890">
        <v>51.876355609724698</v>
      </c>
      <c r="P1890">
        <v>-0.149799248000583</v>
      </c>
      <c r="Q1890">
        <v>8.67336093282077E-2</v>
      </c>
      <c r="R1890">
        <v>0.99243535829350205</v>
      </c>
      <c r="S1890" t="s">
        <v>8696</v>
      </c>
      <c r="T1890" t="s">
        <v>13610</v>
      </c>
      <c r="U1890" t="s">
        <v>13610</v>
      </c>
      <c r="V1890" t="s">
        <v>13610</v>
      </c>
      <c r="W1890" t="s">
        <v>15454</v>
      </c>
      <c r="X1890">
        <v>2</v>
      </c>
      <c r="Y1890" t="s">
        <v>22140</v>
      </c>
      <c r="Z1890" t="s">
        <v>28745</v>
      </c>
      <c r="AA1890">
        <v>0.45825849342443881</v>
      </c>
      <c r="AB1890" t="str">
        <f>HYPERLINK("Melting_Curves/meltCurve_P10586_2_PTPRF.pdf", "Melting_Curves/meltCurve_P10586_2_PTPRF.pdf")</f>
        <v>Melting_Curves/meltCurve_P10586_2_PTPRF.pdf</v>
      </c>
    </row>
    <row r="1891" spans="1:28" x14ac:dyDescent="0.25">
      <c r="A1891" t="s">
        <v>1895</v>
      </c>
      <c r="B1891">
        <v>0.995954080203443</v>
      </c>
      <c r="C1891">
        <v>0.80273281286736697</v>
      </c>
      <c r="D1891">
        <v>0.47052171068169102</v>
      </c>
      <c r="E1891">
        <v>0.60597166552738202</v>
      </c>
      <c r="F1891">
        <v>0.187912528970687</v>
      </c>
      <c r="G1891">
        <v>0.14404262553276201</v>
      </c>
      <c r="H1891">
        <v>6.9366261326369694E-2</v>
      </c>
      <c r="I1891">
        <v>2.54653396447596E-2</v>
      </c>
      <c r="J1891">
        <v>0</v>
      </c>
      <c r="K1891">
        <v>0</v>
      </c>
      <c r="L1891">
        <v>557.11525053275295</v>
      </c>
      <c r="M1891">
        <v>11.561428782298</v>
      </c>
      <c r="N1891">
        <v>48.187405168118303</v>
      </c>
      <c r="O1891">
        <v>46.813403479312598</v>
      </c>
      <c r="P1891">
        <v>-6.1759261830695501E-2</v>
      </c>
      <c r="Q1891">
        <v>0</v>
      </c>
      <c r="R1891">
        <v>0.92860763840467098</v>
      </c>
      <c r="S1891" t="s">
        <v>8697</v>
      </c>
      <c r="T1891" t="s">
        <v>13610</v>
      </c>
      <c r="U1891" t="s">
        <v>13610</v>
      </c>
      <c r="V1891" t="s">
        <v>13610</v>
      </c>
      <c r="W1891" t="s">
        <v>15455</v>
      </c>
      <c r="X1891">
        <v>2</v>
      </c>
      <c r="Y1891" t="s">
        <v>22141</v>
      </c>
      <c r="Z1891" t="s">
        <v>28746</v>
      </c>
      <c r="AA1891">
        <v>0.31413985912668307</v>
      </c>
      <c r="AB1891" t="str">
        <f>HYPERLINK("Melting_Curves/meltCurve_P10588_NR2F6.pdf", "Melting_Curves/meltCurve_P10588_NR2F6.pdf")</f>
        <v>Melting_Curves/meltCurve_P10588_NR2F6.pdf</v>
      </c>
    </row>
    <row r="1892" spans="1:28" x14ac:dyDescent="0.25">
      <c r="A1892" t="s">
        <v>1896</v>
      </c>
      <c r="B1892">
        <v>0.995954080203443</v>
      </c>
      <c r="C1892">
        <v>0.98682848962626402</v>
      </c>
      <c r="D1892">
        <v>1.02729299257113</v>
      </c>
      <c r="E1892">
        <v>0.92099916704249196</v>
      </c>
      <c r="F1892">
        <v>1.00991750523199</v>
      </c>
      <c r="G1892">
        <v>0.91323628319081096</v>
      </c>
      <c r="H1892">
        <v>1.17562207856886</v>
      </c>
      <c r="I1892">
        <v>1.6399642321616801</v>
      </c>
      <c r="J1892">
        <v>2.6556140211767101</v>
      </c>
      <c r="K1892">
        <v>2.0350237801504898</v>
      </c>
      <c r="L1892">
        <v>15000</v>
      </c>
      <c r="M1892">
        <v>245.28816265761799</v>
      </c>
      <c r="O1892">
        <v>61.148505634468599</v>
      </c>
      <c r="P1892">
        <v>0.50141902199484101</v>
      </c>
      <c r="Q1892">
        <v>1.5</v>
      </c>
      <c r="R1892">
        <v>0.47229194993184798</v>
      </c>
      <c r="S1892" t="s">
        <v>8698</v>
      </c>
      <c r="T1892" t="s">
        <v>13610</v>
      </c>
      <c r="U1892" t="s">
        <v>13610</v>
      </c>
      <c r="V1892" t="s">
        <v>13610</v>
      </c>
      <c r="W1892" t="s">
        <v>15456</v>
      </c>
      <c r="X1892">
        <v>8</v>
      </c>
      <c r="Y1892" t="s">
        <v>22142</v>
      </c>
      <c r="Z1892" t="s">
        <v>28747</v>
      </c>
      <c r="AA1892">
        <v>1.147401528342898</v>
      </c>
      <c r="AB1892" t="str">
        <f>HYPERLINK("Melting_Curves/meltCurve_P10599_TXN.pdf", "Melting_Curves/meltCurve_P10599_TXN.pdf")</f>
        <v>Melting_Curves/meltCurve_P10599_TXN.pdf</v>
      </c>
    </row>
    <row r="1893" spans="1:28" x14ac:dyDescent="0.25">
      <c r="A1893" t="s">
        <v>1897</v>
      </c>
      <c r="B1893">
        <v>0.995954080203443</v>
      </c>
      <c r="C1893">
        <v>0.96322290850175496</v>
      </c>
      <c r="D1893">
        <v>0.91456572674745396</v>
      </c>
      <c r="E1893">
        <v>0.70317061132581804</v>
      </c>
      <c r="F1893">
        <v>0.53893119088580499</v>
      </c>
      <c r="G1893">
        <v>0.32502096564008798</v>
      </c>
      <c r="H1893">
        <v>0.26849953622770001</v>
      </c>
      <c r="I1893">
        <v>0.27475629324015099</v>
      </c>
      <c r="J1893">
        <v>0.31743866931650699</v>
      </c>
      <c r="K1893">
        <v>0.30171816918862798</v>
      </c>
      <c r="L1893">
        <v>1011.74113207064</v>
      </c>
      <c r="M1893">
        <v>19.841401274085101</v>
      </c>
      <c r="N1893">
        <v>53.143741009102797</v>
      </c>
      <c r="O1893">
        <v>50.4819421852388</v>
      </c>
      <c r="P1893">
        <v>-7.1129093341188901E-2</v>
      </c>
      <c r="Q1893">
        <v>0.276137260036666</v>
      </c>
      <c r="R1893">
        <v>0.99345884979073396</v>
      </c>
      <c r="S1893" t="s">
        <v>8699</v>
      </c>
      <c r="T1893" t="s">
        <v>13610</v>
      </c>
      <c r="U1893" t="s">
        <v>13610</v>
      </c>
      <c r="V1893" t="s">
        <v>13610</v>
      </c>
      <c r="W1893" t="s">
        <v>15457</v>
      </c>
      <c r="X1893">
        <v>5</v>
      </c>
      <c r="Y1893" t="s">
        <v>22143</v>
      </c>
      <c r="Z1893" t="s">
        <v>28748</v>
      </c>
      <c r="AA1893">
        <v>0.55154574916415411</v>
      </c>
      <c r="AB1893" t="str">
        <f>HYPERLINK("Melting_Curves/meltCurve_P10606_COX5B.pdf", "Melting_Curves/meltCurve_P10606_COX5B.pdf")</f>
        <v>Melting_Curves/meltCurve_P10606_COX5B.pdf</v>
      </c>
    </row>
    <row r="1894" spans="1:28" x14ac:dyDescent="0.25">
      <c r="A1894" t="s">
        <v>1898</v>
      </c>
      <c r="B1894">
        <v>0.995954080203443</v>
      </c>
      <c r="C1894">
        <v>0.84376108402511296</v>
      </c>
      <c r="D1894">
        <v>0.81335504681676496</v>
      </c>
      <c r="E1894">
        <v>0.565771221239877</v>
      </c>
      <c r="F1894">
        <v>0.253260912674379</v>
      </c>
      <c r="G1894">
        <v>0.10536154478163599</v>
      </c>
      <c r="H1894">
        <v>9.1322994532135507E-2</v>
      </c>
      <c r="I1894">
        <v>6.7090856754123698E-2</v>
      </c>
      <c r="J1894">
        <v>7.9213476173189801E-2</v>
      </c>
      <c r="K1894">
        <v>6.9568408008409299E-2</v>
      </c>
      <c r="L1894">
        <v>838.96785077439301</v>
      </c>
      <c r="M1894">
        <v>16.8686529798692</v>
      </c>
      <c r="N1894">
        <v>50.0249455953142</v>
      </c>
      <c r="O1894">
        <v>49.0521519985029</v>
      </c>
      <c r="P1894">
        <v>-8.1978602212275001E-2</v>
      </c>
      <c r="Q1894">
        <v>4.6522831920777503E-2</v>
      </c>
      <c r="R1894">
        <v>0.98627611183068598</v>
      </c>
      <c r="S1894" t="s">
        <v>8700</v>
      </c>
      <c r="T1894" t="s">
        <v>13610</v>
      </c>
      <c r="U1894" t="s">
        <v>13610</v>
      </c>
      <c r="V1894" t="s">
        <v>13610</v>
      </c>
      <c r="W1894" t="s">
        <v>15458</v>
      </c>
      <c r="X1894">
        <v>5</v>
      </c>
      <c r="Y1894" t="s">
        <v>22144</v>
      </c>
      <c r="Z1894" t="s">
        <v>28749</v>
      </c>
      <c r="AA1894">
        <v>0.3744036868493042</v>
      </c>
      <c r="AB1894" t="str">
        <f>HYPERLINK("Melting_Curves/meltCurve_P10619_CTSA.pdf", "Melting_Curves/meltCurve_P10619_CTSA.pdf")</f>
        <v>Melting_Curves/meltCurve_P10619_CTSA.pdf</v>
      </c>
    </row>
    <row r="1895" spans="1:28" x14ac:dyDescent="0.25">
      <c r="A1895" t="s">
        <v>1899</v>
      </c>
      <c r="B1895">
        <v>0.995954080203443</v>
      </c>
      <c r="C1895">
        <v>0.955537278152924</v>
      </c>
      <c r="D1895">
        <v>1.0152384247253401</v>
      </c>
      <c r="E1895">
        <v>0.86565724935409105</v>
      </c>
      <c r="F1895">
        <v>0.857931498614393</v>
      </c>
      <c r="G1895">
        <v>0.68137728770944805</v>
      </c>
      <c r="H1895">
        <v>0.61050639171843102</v>
      </c>
      <c r="I1895">
        <v>0.74930098116231103</v>
      </c>
      <c r="J1895">
        <v>0.91572347406978605</v>
      </c>
      <c r="K1895">
        <v>0.79416491260544597</v>
      </c>
      <c r="L1895">
        <v>1526.2332213535201</v>
      </c>
      <c r="M1895">
        <v>30.279339381735401</v>
      </c>
      <c r="O1895">
        <v>50.186786416809099</v>
      </c>
      <c r="P1895">
        <v>-3.6784613314346702E-2</v>
      </c>
      <c r="Q1895">
        <v>0.75612549566405296</v>
      </c>
      <c r="R1895">
        <v>0.62088103119564797</v>
      </c>
      <c r="S1895" t="s">
        <v>8701</v>
      </c>
      <c r="T1895" t="s">
        <v>13610</v>
      </c>
      <c r="U1895" t="s">
        <v>13610</v>
      </c>
      <c r="V1895" t="s">
        <v>13610</v>
      </c>
      <c r="W1895" t="s">
        <v>15459</v>
      </c>
      <c r="X1895">
        <v>13</v>
      </c>
      <c r="Y1895" t="s">
        <v>22145</v>
      </c>
      <c r="Z1895" t="s">
        <v>28750</v>
      </c>
      <c r="AA1895">
        <v>0.84220045718484526</v>
      </c>
      <c r="AB1895" t="str">
        <f>HYPERLINK("Melting_Curves/meltCurve_P10636_2_MAPT.pdf", "Melting_Curves/meltCurve_P10636_2_MAPT.pdf")</f>
        <v>Melting_Curves/meltCurve_P10636_2_MAPT.pdf</v>
      </c>
    </row>
    <row r="1896" spans="1:28" x14ac:dyDescent="0.25">
      <c r="A1896" t="s">
        <v>1900</v>
      </c>
      <c r="B1896">
        <v>0.995954080203443</v>
      </c>
      <c r="C1896">
        <v>0.82265799400888695</v>
      </c>
      <c r="D1896">
        <v>0.61870690064010903</v>
      </c>
      <c r="E1896">
        <v>0.36840372146498501</v>
      </c>
      <c r="F1896">
        <v>0.21263916279019399</v>
      </c>
      <c r="G1896">
        <v>0.11969173377476</v>
      </c>
      <c r="H1896">
        <v>9.34663604544686E-2</v>
      </c>
      <c r="I1896">
        <v>0.102439848658558</v>
      </c>
      <c r="J1896">
        <v>0.118534791638691</v>
      </c>
      <c r="K1896">
        <v>0.123174075553925</v>
      </c>
      <c r="L1896">
        <v>777.82496425562204</v>
      </c>
      <c r="M1896">
        <v>16.549672259040001</v>
      </c>
      <c r="N1896">
        <v>47.6154607925058</v>
      </c>
      <c r="O1896">
        <v>46.329298949480901</v>
      </c>
      <c r="P1896">
        <v>-8.0703887422068896E-2</v>
      </c>
      <c r="Q1896">
        <v>9.6369805192263402E-2</v>
      </c>
      <c r="R1896">
        <v>0.99491864385666495</v>
      </c>
      <c r="S1896" t="s">
        <v>8702</v>
      </c>
      <c r="T1896" t="s">
        <v>13610</v>
      </c>
      <c r="U1896" t="s">
        <v>13610</v>
      </c>
      <c r="V1896" t="s">
        <v>13610</v>
      </c>
      <c r="W1896" t="s">
        <v>15460</v>
      </c>
      <c r="X1896">
        <v>19</v>
      </c>
      <c r="Y1896" t="s">
        <v>22146</v>
      </c>
      <c r="Z1896" t="s">
        <v>28751</v>
      </c>
      <c r="AA1896">
        <v>0.3271795509822405</v>
      </c>
      <c r="AB1896" t="str">
        <f>HYPERLINK("Melting_Curves/meltCurve_P10644_PRKAR1A.pdf", "Melting_Curves/meltCurve_P10644_PRKAR1A.pdf")</f>
        <v>Melting_Curves/meltCurve_P10644_PRKAR1A.pdf</v>
      </c>
    </row>
    <row r="1897" spans="1:28" x14ac:dyDescent="0.25">
      <c r="A1897" t="s">
        <v>1901</v>
      </c>
      <c r="B1897">
        <v>0.995954080203443</v>
      </c>
      <c r="C1897">
        <v>0.89534585682370704</v>
      </c>
      <c r="D1897">
        <v>0.75406292696333899</v>
      </c>
      <c r="E1897">
        <v>0.708701568840439</v>
      </c>
      <c r="F1897">
        <v>0.59524742920647999</v>
      </c>
      <c r="G1897">
        <v>0.44986049737599199</v>
      </c>
      <c r="H1897">
        <v>0.43203018527167403</v>
      </c>
      <c r="I1897">
        <v>0.49311970275797301</v>
      </c>
      <c r="J1897">
        <v>0.67572006493009795</v>
      </c>
      <c r="K1897">
        <v>0.52083189729322898</v>
      </c>
      <c r="L1897">
        <v>743.037469444728</v>
      </c>
      <c r="M1897">
        <v>15.8906220423502</v>
      </c>
      <c r="O1897">
        <v>46.037765562950597</v>
      </c>
      <c r="P1897">
        <v>-4.18766486980897E-2</v>
      </c>
      <c r="Q1897">
        <v>0.51474473408196897</v>
      </c>
      <c r="R1897">
        <v>0.84874912352391096</v>
      </c>
      <c r="S1897" t="s">
        <v>8703</v>
      </c>
      <c r="T1897" t="s">
        <v>13610</v>
      </c>
      <c r="U1897" t="s">
        <v>13610</v>
      </c>
      <c r="V1897" t="s">
        <v>13610</v>
      </c>
      <c r="W1897" t="s">
        <v>15461</v>
      </c>
      <c r="X1897">
        <v>3</v>
      </c>
      <c r="Y1897" t="s">
        <v>22147</v>
      </c>
      <c r="Z1897" t="s">
        <v>28752</v>
      </c>
      <c r="AA1897">
        <v>0.63594647825603501</v>
      </c>
      <c r="AB1897" t="str">
        <f>HYPERLINK("Melting_Curves/meltCurve_P10646_2_TFPI.pdf", "Melting_Curves/meltCurve_P10646_2_TFPI.pdf")</f>
        <v>Melting_Curves/meltCurve_P10646_2_TFPI.pdf</v>
      </c>
    </row>
    <row r="1898" spans="1:28" x14ac:dyDescent="0.25">
      <c r="A1898" t="s">
        <v>1902</v>
      </c>
      <c r="B1898">
        <v>0.995954080203443</v>
      </c>
      <c r="C1898">
        <v>0.98943746434633295</v>
      </c>
      <c r="D1898">
        <v>0.94694462006425595</v>
      </c>
      <c r="E1898">
        <v>0.69862558392984697</v>
      </c>
      <c r="F1898">
        <v>0.24626706087546299</v>
      </c>
      <c r="G1898">
        <v>0.125506800506785</v>
      </c>
      <c r="H1898">
        <v>9.2782947929655593E-2</v>
      </c>
      <c r="I1898">
        <v>8.0774818693926401E-2</v>
      </c>
      <c r="J1898">
        <v>0.112066521811663</v>
      </c>
      <c r="K1898">
        <v>8.4059500988749605E-2</v>
      </c>
      <c r="L1898">
        <v>1917.7044618478801</v>
      </c>
      <c r="M1898">
        <v>37.701536511314103</v>
      </c>
      <c r="N1898">
        <v>51.148524916346503</v>
      </c>
      <c r="O1898">
        <v>50.7229582518803</v>
      </c>
      <c r="P1898">
        <v>-0.16832211452086901</v>
      </c>
      <c r="Q1898">
        <v>9.4172608618155504E-2</v>
      </c>
      <c r="R1898">
        <v>0.99838425037213996</v>
      </c>
      <c r="S1898" t="s">
        <v>8704</v>
      </c>
      <c r="T1898" t="s">
        <v>13610</v>
      </c>
      <c r="U1898" t="s">
        <v>13610</v>
      </c>
      <c r="V1898" t="s">
        <v>13610</v>
      </c>
      <c r="W1898" t="s">
        <v>15462</v>
      </c>
      <c r="X1898">
        <v>7</v>
      </c>
      <c r="Y1898" t="s">
        <v>22148</v>
      </c>
      <c r="Z1898" t="s">
        <v>28753</v>
      </c>
      <c r="AA1898">
        <v>0.42583390762624279</v>
      </c>
      <c r="AB1898" t="str">
        <f>HYPERLINK("Melting_Curves/meltCurve_P10746_UROS.pdf", "Melting_Curves/meltCurve_P10746_UROS.pdf")</f>
        <v>Melting_Curves/meltCurve_P10746_UROS.pdf</v>
      </c>
    </row>
    <row r="1899" spans="1:28" x14ac:dyDescent="0.25">
      <c r="A1899" t="s">
        <v>1903</v>
      </c>
      <c r="B1899">
        <v>0.995954080203443</v>
      </c>
      <c r="C1899">
        <v>0.97854950882343705</v>
      </c>
      <c r="D1899">
        <v>1.16550835624907</v>
      </c>
      <c r="E1899">
        <v>0.97045626230457405</v>
      </c>
      <c r="F1899">
        <v>0.88104653614349104</v>
      </c>
      <c r="G1899">
        <v>0.37246456024528901</v>
      </c>
      <c r="H1899">
        <v>8.9092664701487398E-2</v>
      </c>
      <c r="I1899">
        <v>7.4333520896888799E-2</v>
      </c>
      <c r="J1899">
        <v>7.5252424876820101E-2</v>
      </c>
      <c r="K1899">
        <v>6.6283964975064003E-2</v>
      </c>
      <c r="L1899">
        <v>2032.2704798331399</v>
      </c>
      <c r="M1899">
        <v>36.3885798024073</v>
      </c>
      <c r="N1899">
        <v>56.059587798149799</v>
      </c>
      <c r="O1899">
        <v>55.681262339983903</v>
      </c>
      <c r="P1899">
        <v>-0.152948494759234</v>
      </c>
      <c r="Q1899">
        <v>6.3844819481001402E-2</v>
      </c>
      <c r="R1899">
        <v>0.985486904921271</v>
      </c>
      <c r="S1899" t="s">
        <v>8705</v>
      </c>
      <c r="T1899" t="s">
        <v>13610</v>
      </c>
      <c r="U1899" t="s">
        <v>13610</v>
      </c>
      <c r="V1899" t="s">
        <v>13610</v>
      </c>
      <c r="W1899" t="s">
        <v>15463</v>
      </c>
      <c r="X1899">
        <v>12</v>
      </c>
      <c r="Y1899" t="s">
        <v>22149</v>
      </c>
      <c r="Z1899" t="s">
        <v>28754</v>
      </c>
      <c r="AA1899">
        <v>0.56274422013456082</v>
      </c>
      <c r="AB1899" t="str">
        <f>HYPERLINK("Melting_Curves/meltCurve_P10768_ESD.pdf", "Melting_Curves/meltCurve_P10768_ESD.pdf")</f>
        <v>Melting_Curves/meltCurve_P10768_ESD.pdf</v>
      </c>
    </row>
    <row r="1900" spans="1:28" x14ac:dyDescent="0.25">
      <c r="A1900" t="s">
        <v>1904</v>
      </c>
      <c r="B1900">
        <v>0.995954080203443</v>
      </c>
      <c r="C1900">
        <v>0.90419613328896897</v>
      </c>
      <c r="D1900">
        <v>0.60955584389875395</v>
      </c>
      <c r="E1900">
        <v>0.45968784261976697</v>
      </c>
      <c r="F1900">
        <v>0.27857213329754599</v>
      </c>
      <c r="G1900">
        <v>0.17354393877789401</v>
      </c>
      <c r="H1900">
        <v>0.13895825891336899</v>
      </c>
      <c r="I1900">
        <v>0.150423795464593</v>
      </c>
      <c r="J1900">
        <v>0.18013596277386401</v>
      </c>
      <c r="K1900">
        <v>0.16980319928219301</v>
      </c>
      <c r="L1900">
        <v>773.70211959095104</v>
      </c>
      <c r="M1900">
        <v>16.323183907917102</v>
      </c>
      <c r="N1900">
        <v>48.441253818846903</v>
      </c>
      <c r="O1900">
        <v>46.704679946528799</v>
      </c>
      <c r="P1900">
        <v>-7.4441034736450598E-2</v>
      </c>
      <c r="Q1900">
        <v>0.14808422443199501</v>
      </c>
      <c r="R1900">
        <v>0.98646863654093397</v>
      </c>
      <c r="S1900" t="s">
        <v>8706</v>
      </c>
      <c r="T1900" t="s">
        <v>13610</v>
      </c>
      <c r="U1900" t="s">
        <v>13610</v>
      </c>
      <c r="V1900" t="s">
        <v>13610</v>
      </c>
      <c r="W1900" t="s">
        <v>15464</v>
      </c>
      <c r="X1900">
        <v>46</v>
      </c>
      <c r="Y1900" t="s">
        <v>22150</v>
      </c>
      <c r="Z1900" t="s">
        <v>28755</v>
      </c>
      <c r="AA1900">
        <v>0.37718696341672492</v>
      </c>
      <c r="AB1900" t="str">
        <f>HYPERLINK("Melting_Curves/meltCurve_P10809_HSPD1.pdf", "Melting_Curves/meltCurve_P10809_HSPD1.pdf")</f>
        <v>Melting_Curves/meltCurve_P10809_HSPD1.pdf</v>
      </c>
    </row>
    <row r="1901" spans="1:28" x14ac:dyDescent="0.25">
      <c r="A1901" t="s">
        <v>1905</v>
      </c>
      <c r="B1901">
        <v>0.995954080203443</v>
      </c>
      <c r="C1901">
        <v>0.963370258375981</v>
      </c>
      <c r="D1901">
        <v>1.0267380027756601</v>
      </c>
      <c r="E1901">
        <v>0.92896629775329997</v>
      </c>
      <c r="F1901">
        <v>0.69711481199264902</v>
      </c>
      <c r="G1901">
        <v>0.26449999240164701</v>
      </c>
      <c r="H1901">
        <v>0.115704335265782</v>
      </c>
      <c r="I1901">
        <v>7.81768187201793E-2</v>
      </c>
      <c r="J1901">
        <v>7.4326785102293902E-2</v>
      </c>
      <c r="K1901">
        <v>6.6124198787441593E-2</v>
      </c>
      <c r="L1901">
        <v>1552.5711944011</v>
      </c>
      <c r="M1901">
        <v>28.557497637458201</v>
      </c>
      <c r="N1901">
        <v>54.6495964584701</v>
      </c>
      <c r="O1901">
        <v>54.101999229873996</v>
      </c>
      <c r="P1901">
        <v>-0.12288921429055701</v>
      </c>
      <c r="Q1901">
        <v>6.8755937954133595E-2</v>
      </c>
      <c r="R1901">
        <v>0.99858148294201099</v>
      </c>
      <c r="S1901" t="s">
        <v>8707</v>
      </c>
      <c r="T1901" t="s">
        <v>13610</v>
      </c>
      <c r="U1901" t="s">
        <v>13610</v>
      </c>
      <c r="V1901" t="s">
        <v>13610</v>
      </c>
      <c r="W1901" t="s">
        <v>15465</v>
      </c>
      <c r="X1901">
        <v>45</v>
      </c>
      <c r="Y1901" t="s">
        <v>22151</v>
      </c>
      <c r="Z1901" t="s">
        <v>28756</v>
      </c>
      <c r="AA1901">
        <v>0.52145846777687743</v>
      </c>
      <c r="AB1901" t="str">
        <f>HYPERLINK("Melting_Curves/meltCurve_P11021_HSPA5.pdf", "Melting_Curves/meltCurve_P11021_HSPA5.pdf")</f>
        <v>Melting_Curves/meltCurve_P11021_HSPA5.pdf</v>
      </c>
    </row>
    <row r="1902" spans="1:28" x14ac:dyDescent="0.25">
      <c r="A1902" t="s">
        <v>1906</v>
      </c>
      <c r="B1902">
        <v>0.995954080203443</v>
      </c>
      <c r="C1902">
        <v>1.0133249568756899</v>
      </c>
      <c r="D1902">
        <v>0.97763891607856901</v>
      </c>
      <c r="E1902">
        <v>0.80127462560342</v>
      </c>
      <c r="F1902">
        <v>0.46870382780977299</v>
      </c>
      <c r="G1902">
        <v>0.110327320481703</v>
      </c>
      <c r="H1902">
        <v>7.64335919920794E-2</v>
      </c>
      <c r="I1902">
        <v>5.9591074668509401E-2</v>
      </c>
      <c r="J1902">
        <v>7.07541572141408E-2</v>
      </c>
      <c r="K1902">
        <v>6.6432382033492096E-2</v>
      </c>
      <c r="L1902">
        <v>1542.90012135656</v>
      </c>
      <c r="M1902">
        <v>29.448607173610402</v>
      </c>
      <c r="N1902">
        <v>52.615461992884697</v>
      </c>
      <c r="O1902">
        <v>52.153156446869303</v>
      </c>
      <c r="P1902">
        <v>-0.13290098296935801</v>
      </c>
      <c r="Q1902">
        <v>5.8541939125224297E-2</v>
      </c>
      <c r="R1902">
        <v>0.99896642771740196</v>
      </c>
      <c r="S1902" t="s">
        <v>8708</v>
      </c>
      <c r="T1902" t="s">
        <v>13610</v>
      </c>
      <c r="U1902" t="s">
        <v>13610</v>
      </c>
      <c r="V1902" t="s">
        <v>13610</v>
      </c>
      <c r="W1902" t="s">
        <v>15466</v>
      </c>
      <c r="X1902">
        <v>5</v>
      </c>
      <c r="Y1902" t="s">
        <v>22152</v>
      </c>
      <c r="Z1902" t="s">
        <v>28757</v>
      </c>
      <c r="AA1902">
        <v>0.4537345521070314</v>
      </c>
      <c r="AB1902" t="str">
        <f>HYPERLINK("Melting_Curves/meltCurve_P11086_PNMT.pdf", "Melting_Curves/meltCurve_P11086_PNMT.pdf")</f>
        <v>Melting_Curves/meltCurve_P11086_PNMT.pdf</v>
      </c>
    </row>
    <row r="1903" spans="1:28" x14ac:dyDescent="0.25">
      <c r="A1903" t="s">
        <v>1907</v>
      </c>
      <c r="B1903">
        <v>0.995954080203443</v>
      </c>
      <c r="C1903">
        <v>0.59910877796349704</v>
      </c>
      <c r="D1903">
        <v>0.49821966325202099</v>
      </c>
      <c r="E1903">
        <v>0.80450024222656402</v>
      </c>
      <c r="F1903">
        <v>0.49923903396118702</v>
      </c>
      <c r="G1903">
        <v>0.25672459511742701</v>
      </c>
      <c r="H1903">
        <v>0.57498293448501503</v>
      </c>
      <c r="I1903">
        <v>0.107918840677539</v>
      </c>
      <c r="J1903">
        <v>8.0159004380456006E-2</v>
      </c>
      <c r="K1903">
        <v>8.0903143023537405E-2</v>
      </c>
      <c r="L1903">
        <v>320.38246607350902</v>
      </c>
      <c r="M1903">
        <v>6.1957109866265698</v>
      </c>
      <c r="N1903">
        <v>51.710362745733299</v>
      </c>
      <c r="O1903">
        <v>47.103382295615397</v>
      </c>
      <c r="P1903">
        <v>-3.2978511242678102E-2</v>
      </c>
      <c r="Q1903">
        <v>0</v>
      </c>
      <c r="R1903">
        <v>0.68174462494291499</v>
      </c>
      <c r="S1903" t="s">
        <v>8709</v>
      </c>
      <c r="T1903" t="s">
        <v>13610</v>
      </c>
      <c r="U1903" t="s">
        <v>13610</v>
      </c>
      <c r="V1903" t="s">
        <v>13610</v>
      </c>
      <c r="W1903" t="s">
        <v>15467</v>
      </c>
      <c r="X1903">
        <v>3</v>
      </c>
      <c r="Y1903" t="s">
        <v>22153</v>
      </c>
      <c r="Z1903" t="s">
        <v>28758</v>
      </c>
      <c r="AA1903">
        <v>0.45021301833416028</v>
      </c>
      <c r="AB1903" t="str">
        <f>HYPERLINK("Melting_Curves/meltCurve_P11137_3_MAP2.pdf", "Melting_Curves/meltCurve_P11137_3_MAP2.pdf")</f>
        <v>Melting_Curves/meltCurve_P11137_3_MAP2.pdf</v>
      </c>
    </row>
    <row r="1904" spans="1:28" x14ac:dyDescent="0.25">
      <c r="A1904" t="s">
        <v>1908</v>
      </c>
      <c r="B1904">
        <v>0.995954080203443</v>
      </c>
      <c r="C1904">
        <v>0.91301590748920503</v>
      </c>
      <c r="D1904">
        <v>1.05965655312025</v>
      </c>
      <c r="E1904">
        <v>0.89656848076642803</v>
      </c>
      <c r="F1904">
        <v>0.75958619071459799</v>
      </c>
      <c r="G1904">
        <v>0.187120234575159</v>
      </c>
      <c r="H1904">
        <v>9.0103568965215E-2</v>
      </c>
      <c r="I1904">
        <v>7.0043984070332493E-2</v>
      </c>
      <c r="J1904">
        <v>8.1579936213942203E-2</v>
      </c>
      <c r="K1904">
        <v>7.34957429612524E-2</v>
      </c>
      <c r="L1904">
        <v>2057.6257457824099</v>
      </c>
      <c r="M1904">
        <v>37.890709496374001</v>
      </c>
      <c r="N1904">
        <v>54.526376750692997</v>
      </c>
      <c r="O1904">
        <v>54.153631004573</v>
      </c>
      <c r="P1904">
        <v>-0.16241144420291301</v>
      </c>
      <c r="Q1904">
        <v>7.1524715537062702E-2</v>
      </c>
      <c r="R1904">
        <v>0.99038229703691905</v>
      </c>
      <c r="S1904" t="s">
        <v>8710</v>
      </c>
      <c r="T1904" t="s">
        <v>13610</v>
      </c>
      <c r="U1904" t="s">
        <v>13610</v>
      </c>
      <c r="V1904" t="s">
        <v>13610</v>
      </c>
      <c r="W1904" t="s">
        <v>15468</v>
      </c>
      <c r="X1904">
        <v>62</v>
      </c>
      <c r="Y1904" t="s">
        <v>22154</v>
      </c>
      <c r="Z1904" t="s">
        <v>28759</v>
      </c>
      <c r="AA1904">
        <v>0.51810173446696484</v>
      </c>
      <c r="AB1904" t="str">
        <f>HYPERLINK("Melting_Curves/meltCurve_P11142_HSPA8.pdf", "Melting_Curves/meltCurve_P11142_HSPA8.pdf")</f>
        <v>Melting_Curves/meltCurve_P11142_HSPA8.pdf</v>
      </c>
    </row>
    <row r="1905" spans="1:28" x14ac:dyDescent="0.25">
      <c r="A1905" t="s">
        <v>1909</v>
      </c>
      <c r="B1905">
        <v>0.995954080203443</v>
      </c>
      <c r="C1905">
        <v>0.92856825294127099</v>
      </c>
      <c r="D1905">
        <v>0.890335203608555</v>
      </c>
      <c r="E1905">
        <v>0.86797382117751498</v>
      </c>
      <c r="F1905">
        <v>0.68039149449357395</v>
      </c>
      <c r="G1905">
        <v>0.54773562404012299</v>
      </c>
      <c r="H1905">
        <v>0.54972990130300103</v>
      </c>
      <c r="I1905">
        <v>0.61716230638730796</v>
      </c>
      <c r="J1905">
        <v>0.94271619574244903</v>
      </c>
      <c r="K1905">
        <v>0.77133836856459204</v>
      </c>
      <c r="L1905">
        <v>1056.8403497117499</v>
      </c>
      <c r="M1905">
        <v>21.957456644736901</v>
      </c>
      <c r="O1905">
        <v>47.737385922084201</v>
      </c>
      <c r="P1905">
        <v>-3.6088796330327001E-2</v>
      </c>
      <c r="Q1905">
        <v>0.68616655484225197</v>
      </c>
      <c r="R1905">
        <v>0.49096995842386199</v>
      </c>
      <c r="S1905" t="s">
        <v>8711</v>
      </c>
      <c r="T1905" t="s">
        <v>13610</v>
      </c>
      <c r="U1905" t="s">
        <v>13610</v>
      </c>
      <c r="V1905" t="s">
        <v>13610</v>
      </c>
      <c r="W1905" t="s">
        <v>15469</v>
      </c>
      <c r="X1905">
        <v>43</v>
      </c>
      <c r="Y1905" t="s">
        <v>22155</v>
      </c>
      <c r="Z1905" t="s">
        <v>28760</v>
      </c>
      <c r="AA1905">
        <v>0.77487978054963991</v>
      </c>
      <c r="AB1905" t="str">
        <f>HYPERLINK("Melting_Curves/meltCurve_P11171_EPB41.pdf", "Melting_Curves/meltCurve_P11171_EPB41.pdf")</f>
        <v>Melting_Curves/meltCurve_P11171_EPB41.pdf</v>
      </c>
    </row>
    <row r="1906" spans="1:28" x14ac:dyDescent="0.25">
      <c r="A1906" t="s">
        <v>1910</v>
      </c>
      <c r="B1906">
        <v>0.995954080203443</v>
      </c>
      <c r="C1906">
        <v>0.99861224650926494</v>
      </c>
      <c r="D1906">
        <v>1.0228403230374601</v>
      </c>
      <c r="E1906">
        <v>0.87786631373273505</v>
      </c>
      <c r="F1906">
        <v>0.62810783787259095</v>
      </c>
      <c r="G1906">
        <v>0.47206669554766401</v>
      </c>
      <c r="H1906">
        <v>0.43707445945704898</v>
      </c>
      <c r="I1906">
        <v>0.51190243652654999</v>
      </c>
      <c r="J1906">
        <v>0.57866514250069201</v>
      </c>
      <c r="K1906">
        <v>0.61024837423816303</v>
      </c>
      <c r="L1906">
        <v>2265.31542205918</v>
      </c>
      <c r="M1906">
        <v>44.156202840391998</v>
      </c>
      <c r="O1906">
        <v>51.197433528833997</v>
      </c>
      <c r="P1906">
        <v>-0.102949211386051</v>
      </c>
      <c r="Q1906">
        <v>0.52253800151348495</v>
      </c>
      <c r="R1906">
        <v>0.95482352150051997</v>
      </c>
      <c r="S1906" t="s">
        <v>8712</v>
      </c>
      <c r="T1906" t="s">
        <v>13610</v>
      </c>
      <c r="U1906" t="s">
        <v>13610</v>
      </c>
      <c r="V1906" t="s">
        <v>13610</v>
      </c>
      <c r="W1906" t="s">
        <v>15470</v>
      </c>
      <c r="X1906">
        <v>43</v>
      </c>
      <c r="Y1906" t="s">
        <v>22155</v>
      </c>
      <c r="Z1906" t="s">
        <v>28761</v>
      </c>
      <c r="AA1906">
        <v>0.70380623530917952</v>
      </c>
      <c r="AB1906" t="str">
        <f>HYPERLINK("Melting_Curves/meltCurve_P11171_2_EPB41.pdf", "Melting_Curves/meltCurve_P11171_2_EPB41.pdf")</f>
        <v>Melting_Curves/meltCurve_P11171_2_EPB41.pdf</v>
      </c>
    </row>
    <row r="1907" spans="1:28" x14ac:dyDescent="0.25">
      <c r="A1907" t="s">
        <v>1911</v>
      </c>
      <c r="B1907">
        <v>0.995954080203443</v>
      </c>
      <c r="C1907">
        <v>1.0184445320183599</v>
      </c>
      <c r="D1907">
        <v>1.042623625574</v>
      </c>
      <c r="E1907">
        <v>0.864682791502697</v>
      </c>
      <c r="F1907">
        <v>0.728646899622577</v>
      </c>
      <c r="G1907">
        <v>0.54936280358616696</v>
      </c>
      <c r="H1907">
        <v>0.54647938086141201</v>
      </c>
      <c r="I1907">
        <v>0.65863337513564102</v>
      </c>
      <c r="J1907">
        <v>0.83559985891510202</v>
      </c>
      <c r="K1907">
        <v>0.75627286176891995</v>
      </c>
      <c r="L1907">
        <v>2368.5112086819299</v>
      </c>
      <c r="M1907">
        <v>46.916350726448499</v>
      </c>
      <c r="O1907">
        <v>50.392257374721403</v>
      </c>
      <c r="P1907">
        <v>-7.61470535876351E-2</v>
      </c>
      <c r="Q1907">
        <v>0.67284612614010797</v>
      </c>
      <c r="R1907">
        <v>0.77542413320009296</v>
      </c>
      <c r="S1907" t="s">
        <v>8713</v>
      </c>
      <c r="T1907" t="s">
        <v>13610</v>
      </c>
      <c r="U1907" t="s">
        <v>13610</v>
      </c>
      <c r="V1907" t="s">
        <v>13610</v>
      </c>
      <c r="W1907" t="s">
        <v>15471</v>
      </c>
      <c r="X1907">
        <v>37</v>
      </c>
      <c r="Y1907" t="s">
        <v>22155</v>
      </c>
      <c r="Z1907" t="s">
        <v>28762</v>
      </c>
      <c r="AA1907">
        <v>0.78800033930614666</v>
      </c>
      <c r="AB1907" t="str">
        <f>HYPERLINK("Melting_Curves/meltCurve_P11171_4_EPB41.pdf", "Melting_Curves/meltCurve_P11171_4_EPB41.pdf")</f>
        <v>Melting_Curves/meltCurve_P11171_4_EPB41.pdf</v>
      </c>
    </row>
    <row r="1908" spans="1:28" x14ac:dyDescent="0.25">
      <c r="A1908" t="s">
        <v>1912</v>
      </c>
      <c r="B1908">
        <v>0.995954080203443</v>
      </c>
      <c r="C1908">
        <v>0.84408840702936505</v>
      </c>
      <c r="D1908">
        <v>1.1632118354068799</v>
      </c>
      <c r="E1908">
        <v>0.84909642566075205</v>
      </c>
      <c r="F1908">
        <v>0</v>
      </c>
      <c r="G1908">
        <v>0.82855267327112203</v>
      </c>
      <c r="H1908">
        <v>0.81557506876672703</v>
      </c>
      <c r="I1908">
        <v>0.98962993944424305</v>
      </c>
      <c r="J1908">
        <v>0.925111670110081</v>
      </c>
      <c r="K1908">
        <v>1.2642679914591699</v>
      </c>
      <c r="L1908">
        <v>15000</v>
      </c>
      <c r="M1908">
        <v>214.399798276995</v>
      </c>
      <c r="O1908">
        <v>69.956688890853897</v>
      </c>
      <c r="P1908">
        <v>0.38309394437287297</v>
      </c>
      <c r="Q1908">
        <v>1.5</v>
      </c>
      <c r="R1908">
        <v>-0.10180779076638399</v>
      </c>
      <c r="S1908" t="s">
        <v>8714</v>
      </c>
      <c r="T1908" t="s">
        <v>13610</v>
      </c>
      <c r="U1908" t="s">
        <v>13610</v>
      </c>
      <c r="V1908" t="s">
        <v>13610</v>
      </c>
      <c r="W1908" t="s">
        <v>15472</v>
      </c>
      <c r="X1908">
        <v>39</v>
      </c>
      <c r="Y1908" t="s">
        <v>22155</v>
      </c>
      <c r="Z1908" t="s">
        <v>28763</v>
      </c>
      <c r="AA1908">
        <v>1.004047933480239</v>
      </c>
      <c r="AB1908" t="str">
        <f>HYPERLINK("Melting_Curves/meltCurve_P11171_5_EPB41.pdf", "Melting_Curves/meltCurve_P11171_5_EPB41.pdf")</f>
        <v>Melting_Curves/meltCurve_P11171_5_EPB41.pdf</v>
      </c>
    </row>
    <row r="1909" spans="1:28" x14ac:dyDescent="0.25">
      <c r="A1909" t="s">
        <v>1913</v>
      </c>
      <c r="B1909">
        <v>0.995954080203443</v>
      </c>
      <c r="C1909">
        <v>0.93459283244135305</v>
      </c>
      <c r="D1909">
        <v>0.90172924185641601</v>
      </c>
      <c r="E1909">
        <v>0.72736336562914605</v>
      </c>
      <c r="F1909">
        <v>0.42062973324771002</v>
      </c>
      <c r="G1909">
        <v>0.144461227523838</v>
      </c>
      <c r="H1909">
        <v>7.4198928208136006E-2</v>
      </c>
      <c r="I1909">
        <v>5.6988321778167497E-2</v>
      </c>
      <c r="J1909">
        <v>5.3534046840499998E-2</v>
      </c>
      <c r="K1909">
        <v>5.2069344704304403E-2</v>
      </c>
      <c r="L1909">
        <v>1086.22909655542</v>
      </c>
      <c r="M1909">
        <v>20.9165174608607</v>
      </c>
      <c r="N1909">
        <v>52.126308477497098</v>
      </c>
      <c r="O1909">
        <v>51.463948850526002</v>
      </c>
      <c r="P1909">
        <v>-9.7792882607546594E-2</v>
      </c>
      <c r="Q1909">
        <v>3.7570040104986699E-2</v>
      </c>
      <c r="R1909">
        <v>0.99632078947599101</v>
      </c>
      <c r="S1909" t="s">
        <v>8715</v>
      </c>
      <c r="T1909" t="s">
        <v>13610</v>
      </c>
      <c r="U1909" t="s">
        <v>13610</v>
      </c>
      <c r="V1909" t="s">
        <v>13610</v>
      </c>
      <c r="W1909" t="s">
        <v>15473</v>
      </c>
      <c r="X1909">
        <v>28</v>
      </c>
      <c r="Y1909" t="s">
        <v>22156</v>
      </c>
      <c r="Z1909" t="s">
        <v>28764</v>
      </c>
      <c r="AA1909">
        <v>0.43263167653522439</v>
      </c>
      <c r="AB1909" t="str">
        <f>HYPERLINK("Melting_Curves/meltCurve_P11172_UMPS.pdf", "Melting_Curves/meltCurve_P11172_UMPS.pdf")</f>
        <v>Melting_Curves/meltCurve_P11172_UMPS.pdf</v>
      </c>
    </row>
    <row r="1910" spans="1:28" x14ac:dyDescent="0.25">
      <c r="A1910" t="s">
        <v>1914</v>
      </c>
      <c r="B1910">
        <v>0.995954080203443</v>
      </c>
      <c r="C1910">
        <v>0.63552922198950401</v>
      </c>
      <c r="D1910">
        <v>0.35587065414192598</v>
      </c>
      <c r="E1910">
        <v>0.36251913854831402</v>
      </c>
      <c r="F1910">
        <v>0.157008217129841</v>
      </c>
      <c r="G1910">
        <v>7.6656911185414497E-2</v>
      </c>
      <c r="H1910">
        <v>5.0308144862021703E-2</v>
      </c>
      <c r="I1910">
        <v>4.6704174768234998E-2</v>
      </c>
      <c r="J1910">
        <v>4.2101443297324397E-2</v>
      </c>
      <c r="K1910">
        <v>3.6908443625854499E-2</v>
      </c>
      <c r="L1910">
        <v>641.78969440762296</v>
      </c>
      <c r="M1910">
        <v>14.229160422342099</v>
      </c>
      <c r="N1910">
        <v>45.388561287071497</v>
      </c>
      <c r="O1910">
        <v>44.241005418582198</v>
      </c>
      <c r="P1910">
        <v>-7.6983494411506703E-2</v>
      </c>
      <c r="Q1910">
        <v>4.26965619039869E-2</v>
      </c>
      <c r="R1910">
        <v>0.94921302383010298</v>
      </c>
      <c r="S1910" t="s">
        <v>8716</v>
      </c>
      <c r="T1910" t="s">
        <v>13610</v>
      </c>
      <c r="U1910" t="s">
        <v>13610</v>
      </c>
      <c r="V1910" t="s">
        <v>13610</v>
      </c>
      <c r="W1910" t="s">
        <v>15474</v>
      </c>
      <c r="X1910">
        <v>5</v>
      </c>
      <c r="Y1910" t="s">
        <v>22157</v>
      </c>
      <c r="Z1910" t="s">
        <v>28765</v>
      </c>
      <c r="AA1910">
        <v>0.2394923189267267</v>
      </c>
      <c r="AB1910" t="str">
        <f>HYPERLINK("Melting_Curves/meltCurve_P11177_3_PDHB.pdf", "Melting_Curves/meltCurve_P11177_3_PDHB.pdf")</f>
        <v>Melting_Curves/meltCurve_P11177_3_PDHB.pdf</v>
      </c>
    </row>
    <row r="1911" spans="1:28" x14ac:dyDescent="0.25">
      <c r="A1911" t="s">
        <v>1915</v>
      </c>
      <c r="B1911">
        <v>0.995954080203443</v>
      </c>
      <c r="C1911">
        <v>0.92333709436149103</v>
      </c>
      <c r="D1911">
        <v>0.804698942299507</v>
      </c>
      <c r="E1911">
        <v>0.68901630762508204</v>
      </c>
      <c r="F1911">
        <v>0.39666384918803799</v>
      </c>
      <c r="G1911">
        <v>0.25628196054313401</v>
      </c>
      <c r="H1911">
        <v>0.14094954709115101</v>
      </c>
      <c r="I1911">
        <v>0.112613785906794</v>
      </c>
      <c r="J1911">
        <v>0.142957758302003</v>
      </c>
      <c r="K1911">
        <v>0.10595519410177499</v>
      </c>
      <c r="L1911">
        <v>733.36659772300504</v>
      </c>
      <c r="M1911">
        <v>14.3169913206461</v>
      </c>
      <c r="N1911">
        <v>51.855349640184897</v>
      </c>
      <c r="O1911">
        <v>50.255248476547401</v>
      </c>
      <c r="P1911">
        <v>-6.5528827913390805E-2</v>
      </c>
      <c r="Q1911">
        <v>8.0038926744256805E-2</v>
      </c>
      <c r="R1911">
        <v>0.99094099414735703</v>
      </c>
      <c r="S1911" t="s">
        <v>8717</v>
      </c>
      <c r="T1911" t="s">
        <v>13610</v>
      </c>
      <c r="U1911" t="s">
        <v>13610</v>
      </c>
      <c r="V1911" t="s">
        <v>13610</v>
      </c>
      <c r="W1911" t="s">
        <v>15475</v>
      </c>
      <c r="X1911">
        <v>4</v>
      </c>
      <c r="Y1911" t="s">
        <v>22158</v>
      </c>
      <c r="Z1911" t="s">
        <v>28766</v>
      </c>
      <c r="AA1911">
        <v>0.44695534870314008</v>
      </c>
      <c r="AB1911" t="str">
        <f>HYPERLINK("Melting_Curves/meltCurve_P11216_PYGB.pdf", "Melting_Curves/meltCurve_P11216_PYGB.pdf")</f>
        <v>Melting_Curves/meltCurve_P11216_PYGB.pdf</v>
      </c>
    </row>
    <row r="1912" spans="1:28" x14ac:dyDescent="0.25">
      <c r="A1912" t="s">
        <v>1916</v>
      </c>
      <c r="B1912">
        <v>0.995954080203443</v>
      </c>
      <c r="C1912">
        <v>0.94436346522423298</v>
      </c>
      <c r="D1912">
        <v>0.804181049136515</v>
      </c>
      <c r="E1912">
        <v>0.88325803876846898</v>
      </c>
      <c r="F1912">
        <v>0.43951242956577502</v>
      </c>
      <c r="G1912">
        <v>0.17531321470539199</v>
      </c>
      <c r="H1912">
        <v>8.0608412976022198E-2</v>
      </c>
      <c r="I1912">
        <v>5.4170183212409601E-2</v>
      </c>
      <c r="J1912">
        <v>5.5213460970733499E-2</v>
      </c>
      <c r="K1912">
        <v>4.6305606960072999E-2</v>
      </c>
      <c r="L1912">
        <v>1383.5186452348701</v>
      </c>
      <c r="M1912">
        <v>26.298054642049401</v>
      </c>
      <c r="N1912">
        <v>52.821075033520799</v>
      </c>
      <c r="O1912">
        <v>52.307794615172298</v>
      </c>
      <c r="P1912">
        <v>-0.119397719812597</v>
      </c>
      <c r="Q1912">
        <v>5.00648841044216E-2</v>
      </c>
      <c r="R1912">
        <v>0.97351433052417002</v>
      </c>
      <c r="S1912" t="s">
        <v>8718</v>
      </c>
      <c r="T1912" t="s">
        <v>13610</v>
      </c>
      <c r="U1912" t="s">
        <v>13610</v>
      </c>
      <c r="V1912" t="s">
        <v>13610</v>
      </c>
      <c r="W1912" t="s">
        <v>15476</v>
      </c>
      <c r="X1912">
        <v>3</v>
      </c>
      <c r="Y1912" t="s">
        <v>22159</v>
      </c>
      <c r="Z1912" t="s">
        <v>28767</v>
      </c>
      <c r="AA1912">
        <v>0.45724438482702312</v>
      </c>
      <c r="AB1912" t="str">
        <f>HYPERLINK("Melting_Curves/meltCurve_P11233_RALA.pdf", "Melting_Curves/meltCurve_P11233_RALA.pdf")</f>
        <v>Melting_Curves/meltCurve_P11233_RALA.pdf</v>
      </c>
    </row>
    <row r="1913" spans="1:28" x14ac:dyDescent="0.25">
      <c r="A1913" t="s">
        <v>1917</v>
      </c>
      <c r="B1913">
        <v>0.995954080203443</v>
      </c>
      <c r="C1913">
        <v>0.95104895878404705</v>
      </c>
      <c r="D1913">
        <v>0.78151978817027801</v>
      </c>
      <c r="E1913">
        <v>0.81416231757914403</v>
      </c>
      <c r="F1913">
        <v>0.458910436309373</v>
      </c>
      <c r="G1913">
        <v>0.22725177916629699</v>
      </c>
      <c r="H1913">
        <v>0.122722572224059</v>
      </c>
      <c r="I1913">
        <v>0.11223609356730301</v>
      </c>
      <c r="J1913">
        <v>0.13708588967791299</v>
      </c>
      <c r="K1913">
        <v>0.118408727477039</v>
      </c>
      <c r="L1913">
        <v>909.677878790156</v>
      </c>
      <c r="M1913">
        <v>17.4374018727699</v>
      </c>
      <c r="N1913">
        <v>52.741184656111699</v>
      </c>
      <c r="O1913">
        <v>51.496595931014099</v>
      </c>
      <c r="P1913">
        <v>-7.73528591410889E-2</v>
      </c>
      <c r="Q1913">
        <v>8.62890628045309E-2</v>
      </c>
      <c r="R1913">
        <v>0.97236517734598304</v>
      </c>
      <c r="S1913" t="s">
        <v>8719</v>
      </c>
      <c r="T1913" t="s">
        <v>13610</v>
      </c>
      <c r="U1913" t="s">
        <v>13610</v>
      </c>
      <c r="V1913" t="s">
        <v>13610</v>
      </c>
      <c r="W1913" t="s">
        <v>15477</v>
      </c>
      <c r="X1913">
        <v>2</v>
      </c>
      <c r="Y1913" t="s">
        <v>22160</v>
      </c>
      <c r="Z1913" t="s">
        <v>28768</v>
      </c>
      <c r="AA1913">
        <v>0.47289339673027919</v>
      </c>
      <c r="AB1913" t="str">
        <f>HYPERLINK("Melting_Curves/meltCurve_P11234_RALB.pdf", "Melting_Curves/meltCurve_P11234_RALB.pdf")</f>
        <v>Melting_Curves/meltCurve_P11234_RALB.pdf</v>
      </c>
    </row>
    <row r="1914" spans="1:28" x14ac:dyDescent="0.25">
      <c r="A1914" t="s">
        <v>1918</v>
      </c>
      <c r="B1914">
        <v>0.995954080203443</v>
      </c>
      <c r="C1914">
        <v>0.83166265660851202</v>
      </c>
      <c r="D1914">
        <v>0.62994801340305495</v>
      </c>
      <c r="E1914">
        <v>0.41688943410292401</v>
      </c>
      <c r="F1914">
        <v>0.29174579011317298</v>
      </c>
      <c r="G1914">
        <v>0.19844576574612</v>
      </c>
      <c r="H1914">
        <v>0.174250724280263</v>
      </c>
      <c r="I1914">
        <v>0.18317246606476101</v>
      </c>
      <c r="J1914">
        <v>0.219594262538541</v>
      </c>
      <c r="K1914">
        <v>0.20018280349129</v>
      </c>
      <c r="L1914">
        <v>772.34468699774095</v>
      </c>
      <c r="M1914">
        <v>16.525507731131299</v>
      </c>
      <c r="N1914">
        <v>48.071567657538203</v>
      </c>
      <c r="O1914">
        <v>46.068221266151703</v>
      </c>
      <c r="P1914">
        <v>-7.3181216525137496E-2</v>
      </c>
      <c r="Q1914">
        <v>0.18402615225237301</v>
      </c>
      <c r="R1914">
        <v>0.99308625721859201</v>
      </c>
      <c r="S1914" t="s">
        <v>8720</v>
      </c>
      <c r="T1914" t="s">
        <v>13610</v>
      </c>
      <c r="U1914" t="s">
        <v>13610</v>
      </c>
      <c r="V1914" t="s">
        <v>13610</v>
      </c>
      <c r="W1914" t="s">
        <v>15478</v>
      </c>
      <c r="X1914">
        <v>34</v>
      </c>
      <c r="Y1914" t="s">
        <v>22161</v>
      </c>
      <c r="Z1914" t="s">
        <v>28769</v>
      </c>
      <c r="AA1914">
        <v>0.38563262590456671</v>
      </c>
      <c r="AB1914" t="str">
        <f>HYPERLINK("Melting_Curves/meltCurve_P11274_BCR.pdf", "Melting_Curves/meltCurve_P11274_BCR.pdf")</f>
        <v>Melting_Curves/meltCurve_P11274_BCR.pdf</v>
      </c>
    </row>
    <row r="1915" spans="1:28" x14ac:dyDescent="0.25">
      <c r="A1915" t="s">
        <v>1919</v>
      </c>
      <c r="B1915">
        <v>0.995954080203443</v>
      </c>
      <c r="C1915">
        <v>0.81263758602270997</v>
      </c>
      <c r="D1915">
        <v>0.57538725383345302</v>
      </c>
      <c r="E1915">
        <v>0.25391853329226599</v>
      </c>
      <c r="F1915">
        <v>0.146251615040383</v>
      </c>
      <c r="G1915">
        <v>9.6966714766591203E-2</v>
      </c>
      <c r="H1915">
        <v>7.8963411964065006E-2</v>
      </c>
      <c r="I1915">
        <v>9.2406558150797805E-2</v>
      </c>
      <c r="J1915">
        <v>0.100205937024026</v>
      </c>
      <c r="K1915">
        <v>0.103265006075431</v>
      </c>
      <c r="L1915">
        <v>928.03462149954805</v>
      </c>
      <c r="M1915">
        <v>20.0848975972083</v>
      </c>
      <c r="N1915">
        <v>46.653137471997802</v>
      </c>
      <c r="O1915">
        <v>45.7548644223587</v>
      </c>
      <c r="P1915">
        <v>-0.100129059792281</v>
      </c>
      <c r="Q1915">
        <v>8.7623911276855301E-2</v>
      </c>
      <c r="R1915">
        <v>0.997338589218424</v>
      </c>
      <c r="S1915" t="s">
        <v>8721</v>
      </c>
      <c r="T1915" t="s">
        <v>13610</v>
      </c>
      <c r="U1915" t="s">
        <v>13610</v>
      </c>
      <c r="V1915" t="s">
        <v>13610</v>
      </c>
      <c r="W1915" t="s">
        <v>15479</v>
      </c>
      <c r="X1915">
        <v>27</v>
      </c>
      <c r="Y1915" t="s">
        <v>22162</v>
      </c>
      <c r="Z1915" t="s">
        <v>28770</v>
      </c>
      <c r="AA1915">
        <v>0.29012966363053161</v>
      </c>
      <c r="AB1915" t="str">
        <f>HYPERLINK("Melting_Curves/meltCurve_P11277_3_SPTB.pdf", "Melting_Curves/meltCurve_P11277_3_SPTB.pdf")</f>
        <v>Melting_Curves/meltCurve_P11277_3_SPTB.pdf</v>
      </c>
    </row>
    <row r="1916" spans="1:28" x14ac:dyDescent="0.25">
      <c r="A1916" t="s">
        <v>1920</v>
      </c>
      <c r="B1916">
        <v>0.995954080203443</v>
      </c>
      <c r="C1916">
        <v>0.91155162935949596</v>
      </c>
      <c r="D1916">
        <v>0.86667229705192295</v>
      </c>
      <c r="E1916">
        <v>0.73421554134899603</v>
      </c>
      <c r="F1916">
        <v>0.62420097269908703</v>
      </c>
      <c r="G1916">
        <v>0.47198268333652998</v>
      </c>
      <c r="H1916">
        <v>0.40394673636703499</v>
      </c>
      <c r="I1916">
        <v>0.41437346885361198</v>
      </c>
      <c r="J1916">
        <v>0.49937796524037897</v>
      </c>
      <c r="K1916">
        <v>0.46016991614192798</v>
      </c>
      <c r="L1916">
        <v>739.92264970838801</v>
      </c>
      <c r="M1916">
        <v>14.800249438086301</v>
      </c>
      <c r="N1916">
        <v>57.300745114119401</v>
      </c>
      <c r="O1916">
        <v>49.107853095735102</v>
      </c>
      <c r="P1916">
        <v>-4.33842346060416E-2</v>
      </c>
      <c r="Q1916">
        <v>0.42425852111946599</v>
      </c>
      <c r="R1916">
        <v>0.970618707029408</v>
      </c>
      <c r="S1916" t="s">
        <v>8722</v>
      </c>
      <c r="T1916" t="s">
        <v>13610</v>
      </c>
      <c r="U1916" t="s">
        <v>13610</v>
      </c>
      <c r="V1916" t="s">
        <v>13610</v>
      </c>
      <c r="W1916" t="s">
        <v>15480</v>
      </c>
      <c r="X1916">
        <v>2</v>
      </c>
      <c r="Y1916" t="s">
        <v>22163</v>
      </c>
      <c r="Z1916" t="s">
        <v>28771</v>
      </c>
      <c r="AA1916">
        <v>0.63011691606486386</v>
      </c>
      <c r="AB1916" t="str">
        <f>HYPERLINK("Melting_Curves/meltCurve_P11279_LAMP1.pdf", "Melting_Curves/meltCurve_P11279_LAMP1.pdf")</f>
        <v>Melting_Curves/meltCurve_P11279_LAMP1.pdf</v>
      </c>
    </row>
    <row r="1917" spans="1:28" x14ac:dyDescent="0.25">
      <c r="A1917" t="s">
        <v>1921</v>
      </c>
      <c r="B1917">
        <v>0.995954080203443</v>
      </c>
      <c r="C1917">
        <v>0.59882264740461899</v>
      </c>
      <c r="D1917">
        <v>0.18994826914683</v>
      </c>
      <c r="E1917">
        <v>0.205384225918712</v>
      </c>
      <c r="F1917">
        <v>7.7580634733906098E-2</v>
      </c>
      <c r="G1917">
        <v>3.9338525246174601E-2</v>
      </c>
      <c r="H1917">
        <v>2.4596083315506799E-2</v>
      </c>
      <c r="I1917">
        <v>2.06858932646262E-2</v>
      </c>
      <c r="J1917">
        <v>1.8814395874952101E-2</v>
      </c>
      <c r="K1917">
        <v>2.0037230017540798E-2</v>
      </c>
      <c r="L1917">
        <v>1332.3563592505</v>
      </c>
      <c r="M1917">
        <v>30.662109536398599</v>
      </c>
      <c r="N1917">
        <v>43.611949436194401</v>
      </c>
      <c r="O1917">
        <v>43.269297928182503</v>
      </c>
      <c r="P1917">
        <v>-0.16778698536928799</v>
      </c>
      <c r="Q1917">
        <v>5.2905360871335301E-2</v>
      </c>
      <c r="R1917">
        <v>0.97173757362094104</v>
      </c>
      <c r="S1917" t="s">
        <v>8723</v>
      </c>
      <c r="T1917" t="s">
        <v>13610</v>
      </c>
      <c r="U1917" t="s">
        <v>13610</v>
      </c>
      <c r="V1917" t="s">
        <v>13610</v>
      </c>
      <c r="W1917" t="s">
        <v>15481</v>
      </c>
      <c r="X1917">
        <v>2</v>
      </c>
      <c r="Y1917" t="s">
        <v>22164</v>
      </c>
      <c r="Z1917" t="s">
        <v>28772</v>
      </c>
      <c r="AA1917">
        <v>0.16923413518752359</v>
      </c>
      <c r="AB1917" t="str">
        <f>HYPERLINK("Melting_Curves/meltCurve_P11309_2_PIM1.pdf", "Melting_Curves/meltCurve_P11309_2_PIM1.pdf")</f>
        <v>Melting_Curves/meltCurve_P11309_2_PIM1.pdf</v>
      </c>
    </row>
    <row r="1918" spans="1:28" x14ac:dyDescent="0.25">
      <c r="A1918" t="s">
        <v>1922</v>
      </c>
      <c r="B1918">
        <v>0.995954080203443</v>
      </c>
      <c r="C1918">
        <v>0.89272734150299404</v>
      </c>
      <c r="D1918">
        <v>0.784392218756506</v>
      </c>
      <c r="E1918">
        <v>0.61769246241267595</v>
      </c>
      <c r="F1918">
        <v>0.26204279377801398</v>
      </c>
      <c r="G1918">
        <v>0.11787167466009101</v>
      </c>
      <c r="H1918">
        <v>7.5858933672166506E-2</v>
      </c>
      <c r="I1918">
        <v>6.83505536747539E-2</v>
      </c>
      <c r="J1918">
        <v>7.2239864164390696E-2</v>
      </c>
      <c r="K1918">
        <v>6.9443764711979994E-2</v>
      </c>
      <c r="L1918">
        <v>843.05700335839401</v>
      </c>
      <c r="M1918">
        <v>16.830404785787199</v>
      </c>
      <c r="N1918">
        <v>50.345721640350298</v>
      </c>
      <c r="O1918">
        <v>49.4001698784786</v>
      </c>
      <c r="P1918">
        <v>-8.1706833209179694E-2</v>
      </c>
      <c r="Q1918">
        <v>4.0766516320336198E-2</v>
      </c>
      <c r="R1918">
        <v>0.98696361581930303</v>
      </c>
      <c r="S1918" t="s">
        <v>8724</v>
      </c>
      <c r="T1918" t="s">
        <v>13610</v>
      </c>
      <c r="U1918" t="s">
        <v>13610</v>
      </c>
      <c r="V1918" t="s">
        <v>13610</v>
      </c>
      <c r="W1918" t="s">
        <v>15482</v>
      </c>
      <c r="X1918">
        <v>19</v>
      </c>
      <c r="Y1918" t="s">
        <v>22165</v>
      </c>
      <c r="Z1918" t="s">
        <v>28773</v>
      </c>
      <c r="AA1918">
        <v>0.38195630938445507</v>
      </c>
      <c r="AB1918" t="str">
        <f>HYPERLINK("Melting_Curves/meltCurve_P11310_ACADM.pdf", "Melting_Curves/meltCurve_P11310_ACADM.pdf")</f>
        <v>Melting_Curves/meltCurve_P11310_ACADM.pdf</v>
      </c>
    </row>
    <row r="1919" spans="1:28" x14ac:dyDescent="0.25">
      <c r="A1919" t="s">
        <v>1923</v>
      </c>
      <c r="B1919">
        <v>0.995954080203443</v>
      </c>
      <c r="C1919">
        <v>0.94547762758706699</v>
      </c>
      <c r="D1919">
        <v>0.66500087833460997</v>
      </c>
      <c r="E1919">
        <v>0.45704764955486299</v>
      </c>
      <c r="F1919">
        <v>0.34853980582127198</v>
      </c>
      <c r="G1919">
        <v>0.27525863164749698</v>
      </c>
      <c r="H1919">
        <v>0.24363594120128401</v>
      </c>
      <c r="I1919">
        <v>0.33651424166030802</v>
      </c>
      <c r="J1919">
        <v>0.29404880906709102</v>
      </c>
      <c r="K1919">
        <v>0.38946869583129401</v>
      </c>
      <c r="L1919">
        <v>1097.5752736500399</v>
      </c>
      <c r="M1919">
        <v>23.616875563751499</v>
      </c>
      <c r="N1919">
        <v>48.460690567406303</v>
      </c>
      <c r="O1919">
        <v>46.144830823985203</v>
      </c>
      <c r="P1919">
        <v>-8.8274024061956904E-2</v>
      </c>
      <c r="Q1919">
        <v>0.310099891376241</v>
      </c>
      <c r="R1919">
        <v>0.97513309884223898</v>
      </c>
      <c r="S1919" t="s">
        <v>8725</v>
      </c>
      <c r="T1919" t="s">
        <v>13610</v>
      </c>
      <c r="U1919" t="s">
        <v>13610</v>
      </c>
      <c r="V1919" t="s">
        <v>13610</v>
      </c>
      <c r="W1919" t="s">
        <v>15483</v>
      </c>
      <c r="X1919">
        <v>13</v>
      </c>
      <c r="Y1919" t="s">
        <v>22166</v>
      </c>
      <c r="Z1919" t="s">
        <v>28774</v>
      </c>
      <c r="AA1919">
        <v>0.46608943205456649</v>
      </c>
      <c r="AB1919" t="str">
        <f>HYPERLINK("Melting_Curves/meltCurve_P11387_TOP1.pdf", "Melting_Curves/meltCurve_P11387_TOP1.pdf")</f>
        <v>Melting_Curves/meltCurve_P11387_TOP1.pdf</v>
      </c>
    </row>
    <row r="1920" spans="1:28" x14ac:dyDescent="0.25">
      <c r="A1920" t="s">
        <v>1924</v>
      </c>
      <c r="B1920">
        <v>0.995954080203443</v>
      </c>
      <c r="C1920">
        <v>0.94468726864243802</v>
      </c>
      <c r="D1920">
        <v>0.78146274840954699</v>
      </c>
      <c r="E1920">
        <v>0.33461019291473898</v>
      </c>
      <c r="F1920">
        <v>0.172202262452261</v>
      </c>
      <c r="G1920">
        <v>0.107967361926202</v>
      </c>
      <c r="H1920">
        <v>8.8051739556114395E-2</v>
      </c>
      <c r="I1920">
        <v>8.4387350602424804E-2</v>
      </c>
      <c r="J1920">
        <v>8.5636401849051802E-2</v>
      </c>
      <c r="K1920">
        <v>9.6228045819918007E-2</v>
      </c>
      <c r="L1920">
        <v>1197.63080437505</v>
      </c>
      <c r="M1920">
        <v>24.9175114890473</v>
      </c>
      <c r="N1920">
        <v>48.437473604768599</v>
      </c>
      <c r="O1920">
        <v>47.757461087790702</v>
      </c>
      <c r="P1920">
        <v>-0.119034214986994</v>
      </c>
      <c r="Q1920">
        <v>8.7437942348973494E-2</v>
      </c>
      <c r="R1920">
        <v>0.99973981629466802</v>
      </c>
      <c r="S1920" t="s">
        <v>8726</v>
      </c>
      <c r="T1920" t="s">
        <v>13610</v>
      </c>
      <c r="U1920" t="s">
        <v>13610</v>
      </c>
      <c r="V1920" t="s">
        <v>13610</v>
      </c>
      <c r="W1920" t="s">
        <v>15484</v>
      </c>
      <c r="X1920">
        <v>17</v>
      </c>
      <c r="Y1920" t="s">
        <v>22167</v>
      </c>
      <c r="Z1920" t="s">
        <v>28775</v>
      </c>
      <c r="AA1920">
        <v>0.34085062925352838</v>
      </c>
      <c r="AB1920" t="str">
        <f>HYPERLINK("Melting_Curves/meltCurve_P11388_TOP2A.pdf", "Melting_Curves/meltCurve_P11388_TOP2A.pdf")</f>
        <v>Melting_Curves/meltCurve_P11388_TOP2A.pdf</v>
      </c>
    </row>
    <row r="1921" spans="1:28" x14ac:dyDescent="0.25">
      <c r="A1921" t="s">
        <v>1925</v>
      </c>
      <c r="B1921">
        <v>0.995954080203443</v>
      </c>
      <c r="C1921">
        <v>0.82589381607291101</v>
      </c>
      <c r="D1921">
        <v>1.0545113818451499</v>
      </c>
      <c r="E1921">
        <v>0.78620715994762802</v>
      </c>
      <c r="F1921">
        <v>0.33403840420762898</v>
      </c>
      <c r="G1921">
        <v>9.7967706426334497E-2</v>
      </c>
      <c r="H1921">
        <v>6.4868392398774496E-2</v>
      </c>
      <c r="I1921">
        <v>5.51661232050316E-2</v>
      </c>
      <c r="J1921">
        <v>6.4828870752532006E-2</v>
      </c>
      <c r="K1921">
        <v>5.6984130663153297E-2</v>
      </c>
      <c r="L1921">
        <v>1905.7474984416201</v>
      </c>
      <c r="M1921">
        <v>36.8564534303515</v>
      </c>
      <c r="N1921">
        <v>51.890858603534497</v>
      </c>
      <c r="O1921">
        <v>51.555774497857897</v>
      </c>
      <c r="P1921">
        <v>-0.16779776954707701</v>
      </c>
      <c r="Q1921">
        <v>6.1122930477226799E-2</v>
      </c>
      <c r="R1921">
        <v>0.97924998753042503</v>
      </c>
      <c r="S1921" t="s">
        <v>8727</v>
      </c>
      <c r="T1921" t="s">
        <v>13610</v>
      </c>
      <c r="U1921" t="s">
        <v>13610</v>
      </c>
      <c r="V1921" t="s">
        <v>13610</v>
      </c>
      <c r="W1921" t="s">
        <v>15485</v>
      </c>
      <c r="X1921">
        <v>38</v>
      </c>
      <c r="Y1921" t="s">
        <v>20762</v>
      </c>
      <c r="Z1921" t="s">
        <v>28776</v>
      </c>
      <c r="AA1921">
        <v>0.43146804483727119</v>
      </c>
      <c r="AB1921" t="str">
        <f>HYPERLINK("Melting_Curves/meltCurve_P11413_G6PD.pdf", "Melting_Curves/meltCurve_P11413_G6PD.pdf")</f>
        <v>Melting_Curves/meltCurve_P11413_G6PD.pdf</v>
      </c>
    </row>
    <row r="1922" spans="1:28" x14ac:dyDescent="0.25">
      <c r="A1922" t="s">
        <v>1926</v>
      </c>
      <c r="B1922">
        <v>0.995954080203443</v>
      </c>
      <c r="C1922">
        <v>0.94990668398474598</v>
      </c>
      <c r="D1922">
        <v>0.89560623773037396</v>
      </c>
      <c r="E1922">
        <v>0.79468581009719497</v>
      </c>
      <c r="F1922">
        <v>0.57708317553749799</v>
      </c>
      <c r="G1922">
        <v>0.329038914770724</v>
      </c>
      <c r="H1922">
        <v>0.20128989517887899</v>
      </c>
      <c r="I1922">
        <v>0.18074333531725401</v>
      </c>
      <c r="J1922">
        <v>0.20177117266490899</v>
      </c>
      <c r="K1922">
        <v>0.184741495821412</v>
      </c>
      <c r="L1922">
        <v>936.35747848532696</v>
      </c>
      <c r="M1922">
        <v>17.732233083434</v>
      </c>
      <c r="N1922">
        <v>53.966724664696997</v>
      </c>
      <c r="O1922">
        <v>52.147556133972401</v>
      </c>
      <c r="P1922">
        <v>-7.1529895193229304E-2</v>
      </c>
      <c r="Q1922">
        <v>0.15861411222374899</v>
      </c>
      <c r="R1922">
        <v>0.99445285929402305</v>
      </c>
      <c r="S1922" t="s">
        <v>8728</v>
      </c>
      <c r="T1922" t="s">
        <v>13610</v>
      </c>
      <c r="U1922" t="s">
        <v>13610</v>
      </c>
      <c r="V1922" t="s">
        <v>13610</v>
      </c>
      <c r="W1922" t="s">
        <v>15486</v>
      </c>
      <c r="X1922">
        <v>10</v>
      </c>
      <c r="Y1922" t="s">
        <v>22168</v>
      </c>
      <c r="Z1922" t="s">
        <v>28777</v>
      </c>
      <c r="AA1922">
        <v>0.5319215233842618</v>
      </c>
      <c r="AB1922" t="str">
        <f>HYPERLINK("Melting_Curves/meltCurve_P11441_UBL4A.pdf", "Melting_Curves/meltCurve_P11441_UBL4A.pdf")</f>
        <v>Melting_Curves/meltCurve_P11441_UBL4A.pdf</v>
      </c>
    </row>
    <row r="1923" spans="1:28" x14ac:dyDescent="0.25">
      <c r="A1923" t="s">
        <v>1927</v>
      </c>
      <c r="B1923">
        <v>0.995954080203443</v>
      </c>
      <c r="C1923">
        <v>0.72309459127268205</v>
      </c>
      <c r="D1923">
        <v>0.43412159732568001</v>
      </c>
      <c r="E1923">
        <v>0.29797515762051002</v>
      </c>
      <c r="F1923">
        <v>0.18279895530745</v>
      </c>
      <c r="G1923">
        <v>0.11495624646819901</v>
      </c>
      <c r="H1923">
        <v>9.1273026656117306E-2</v>
      </c>
      <c r="I1923">
        <v>9.3717753807172705E-2</v>
      </c>
      <c r="J1923">
        <v>0.113231174012248</v>
      </c>
      <c r="K1923">
        <v>0.11193557778782801</v>
      </c>
      <c r="L1923">
        <v>813.02021711867803</v>
      </c>
      <c r="M1923">
        <v>18.029292377898098</v>
      </c>
      <c r="N1923">
        <v>45.705321725876502</v>
      </c>
      <c r="O1923">
        <v>44.550610427427202</v>
      </c>
      <c r="P1923">
        <v>-9.0344504908537501E-2</v>
      </c>
      <c r="Q1923">
        <v>0.10707410112944001</v>
      </c>
      <c r="R1923">
        <v>0.98489409601584799</v>
      </c>
      <c r="S1923" t="s">
        <v>8729</v>
      </c>
      <c r="T1923" t="s">
        <v>13610</v>
      </c>
      <c r="U1923" t="s">
        <v>13610</v>
      </c>
      <c r="V1923" t="s">
        <v>13610</v>
      </c>
      <c r="W1923" t="s">
        <v>15487</v>
      </c>
      <c r="X1923">
        <v>10</v>
      </c>
      <c r="Y1923" t="s">
        <v>22169</v>
      </c>
      <c r="Z1923" t="s">
        <v>28778</v>
      </c>
      <c r="AA1923">
        <v>0.2776923193581316</v>
      </c>
      <c r="AB1923" t="str">
        <f>HYPERLINK("Melting_Curves/meltCurve_P11498_PC.pdf", "Melting_Curves/meltCurve_P11498_PC.pdf")</f>
        <v>Melting_Curves/meltCurve_P11498_PC.pdf</v>
      </c>
    </row>
    <row r="1924" spans="1:28" x14ac:dyDescent="0.25">
      <c r="A1924" t="s">
        <v>1928</v>
      </c>
      <c r="B1924">
        <v>0.995954080203443</v>
      </c>
      <c r="C1924">
        <v>0.96964734791209795</v>
      </c>
      <c r="D1924">
        <v>0.93125334401904003</v>
      </c>
      <c r="E1924">
        <v>0.80227705071296895</v>
      </c>
      <c r="F1924">
        <v>0.59058600850839804</v>
      </c>
      <c r="G1924">
        <v>0.30931276008076802</v>
      </c>
      <c r="H1924">
        <v>0.22939971710600901</v>
      </c>
      <c r="I1924">
        <v>0.24044492398716399</v>
      </c>
      <c r="J1924">
        <v>0.277351119350636</v>
      </c>
      <c r="K1924">
        <v>0.27307817265932</v>
      </c>
      <c r="L1924">
        <v>1241.32282919248</v>
      </c>
      <c r="M1924">
        <v>23.736842818156799</v>
      </c>
      <c r="N1924">
        <v>53.800260508293199</v>
      </c>
      <c r="O1924">
        <v>51.928255319750697</v>
      </c>
      <c r="P1924">
        <v>-8.6553039843308602E-2</v>
      </c>
      <c r="Q1924">
        <v>0.24261613100698001</v>
      </c>
      <c r="R1924">
        <v>0.99267882328067703</v>
      </c>
      <c r="S1924" t="s">
        <v>8730</v>
      </c>
      <c r="T1924" t="s">
        <v>13610</v>
      </c>
      <c r="U1924" t="s">
        <v>13610</v>
      </c>
      <c r="V1924" t="s">
        <v>13610</v>
      </c>
      <c r="W1924" t="s">
        <v>15488</v>
      </c>
      <c r="X1924">
        <v>34</v>
      </c>
      <c r="Y1924" t="s">
        <v>20981</v>
      </c>
      <c r="Z1924" t="s">
        <v>28779</v>
      </c>
      <c r="AA1924">
        <v>0.56067282865983548</v>
      </c>
      <c r="AB1924" t="str">
        <f>HYPERLINK("Melting_Curves/meltCurve_P11532_3_DMD.pdf", "Melting_Curves/meltCurve_P11532_3_DMD.pdf")</f>
        <v>Melting_Curves/meltCurve_P11532_3_DMD.pdf</v>
      </c>
    </row>
    <row r="1925" spans="1:28" x14ac:dyDescent="0.25">
      <c r="A1925" t="s">
        <v>1929</v>
      </c>
      <c r="B1925">
        <v>0.995954080203443</v>
      </c>
      <c r="C1925">
        <v>0.89399171237595798</v>
      </c>
      <c r="D1925">
        <v>0.82685805797477396</v>
      </c>
      <c r="E1925">
        <v>0.80714487778531396</v>
      </c>
      <c r="F1925">
        <v>0.71604626679035199</v>
      </c>
      <c r="G1925">
        <v>0.56949279265449904</v>
      </c>
      <c r="H1925">
        <v>0.486083597189785</v>
      </c>
      <c r="I1925">
        <v>0.55440821681344399</v>
      </c>
      <c r="J1925">
        <v>0.58613996908981503</v>
      </c>
      <c r="K1925">
        <v>0.53674755322678003</v>
      </c>
      <c r="L1925">
        <v>539.49100282222605</v>
      </c>
      <c r="M1925">
        <v>10.771755148777901</v>
      </c>
      <c r="O1925">
        <v>48.450350873532201</v>
      </c>
      <c r="P1925">
        <v>-2.7598036650644399E-2</v>
      </c>
      <c r="Q1925">
        <v>0.50364796077234497</v>
      </c>
      <c r="R1925">
        <v>0.93389347896722996</v>
      </c>
      <c r="S1925" t="s">
        <v>8731</v>
      </c>
      <c r="T1925" t="s">
        <v>13610</v>
      </c>
      <c r="U1925" t="s">
        <v>13610</v>
      </c>
      <c r="V1925" t="s">
        <v>13610</v>
      </c>
      <c r="W1925" t="s">
        <v>15489</v>
      </c>
      <c r="X1925">
        <v>15</v>
      </c>
      <c r="Y1925" t="s">
        <v>22170</v>
      </c>
      <c r="Z1925" t="s">
        <v>28780</v>
      </c>
      <c r="AA1925">
        <v>0.6905760903370054</v>
      </c>
      <c r="AB1925" t="str">
        <f>HYPERLINK("Melting_Curves/meltCurve_P11717_IGF2R.pdf", "Melting_Curves/meltCurve_P11717_IGF2R.pdf")</f>
        <v>Melting_Curves/meltCurve_P11717_IGF2R.pdf</v>
      </c>
    </row>
    <row r="1926" spans="1:28" x14ac:dyDescent="0.25">
      <c r="A1926" t="s">
        <v>1930</v>
      </c>
      <c r="B1926">
        <v>0.995954080203443</v>
      </c>
      <c r="C1926">
        <v>1.4118827203498501</v>
      </c>
      <c r="D1926">
        <v>0.72140556803535005</v>
      </c>
      <c r="E1926">
        <v>1.2999682044234599</v>
      </c>
      <c r="F1926">
        <v>0.60619818536050796</v>
      </c>
      <c r="G1926">
        <v>0.68448431342331395</v>
      </c>
      <c r="H1926">
        <v>0.40968175580907201</v>
      </c>
      <c r="I1926">
        <v>0.224932477791083</v>
      </c>
      <c r="J1926">
        <v>9.4424683728352096E-2</v>
      </c>
      <c r="K1926">
        <v>5.9583595852499997E-2</v>
      </c>
      <c r="L1926">
        <v>945.04728279732001</v>
      </c>
      <c r="M1926">
        <v>16.013382748597198</v>
      </c>
      <c r="N1926">
        <v>59.016093286384397</v>
      </c>
      <c r="O1926">
        <v>58.118746225123097</v>
      </c>
      <c r="P1926">
        <v>-6.8887560883393206E-2</v>
      </c>
      <c r="Q1926">
        <v>0</v>
      </c>
      <c r="R1926">
        <v>0.78414154712787398</v>
      </c>
      <c r="S1926" t="s">
        <v>8732</v>
      </c>
      <c r="T1926" t="s">
        <v>13610</v>
      </c>
      <c r="U1926" t="s">
        <v>13610</v>
      </c>
      <c r="V1926" t="s">
        <v>13610</v>
      </c>
      <c r="W1926" t="s">
        <v>15490</v>
      </c>
      <c r="X1926">
        <v>19</v>
      </c>
      <c r="Y1926" t="s">
        <v>22171</v>
      </c>
      <c r="Z1926" t="s">
        <v>28781</v>
      </c>
      <c r="AA1926">
        <v>0.64451947056700287</v>
      </c>
      <c r="AB1926" t="str">
        <f>HYPERLINK("Melting_Curves/meltCurve_P11766_ADH5.pdf", "Melting_Curves/meltCurve_P11766_ADH5.pdf")</f>
        <v>Melting_Curves/meltCurve_P11766_ADH5.pdf</v>
      </c>
    </row>
    <row r="1927" spans="1:28" x14ac:dyDescent="0.25">
      <c r="A1927" t="s">
        <v>1931</v>
      </c>
      <c r="B1927">
        <v>0.995954080203443</v>
      </c>
      <c r="C1927">
        <v>0.87829619459245101</v>
      </c>
      <c r="D1927">
        <v>0.59755785003268602</v>
      </c>
      <c r="E1927">
        <v>0.405889957624956</v>
      </c>
      <c r="F1927">
        <v>0.229048786622772</v>
      </c>
      <c r="G1927">
        <v>0.13221230808106299</v>
      </c>
      <c r="H1927">
        <v>9.3484526238308593E-2</v>
      </c>
      <c r="I1927">
        <v>8.3314209223708205E-2</v>
      </c>
      <c r="J1927">
        <v>8.8389865661165898E-2</v>
      </c>
      <c r="K1927">
        <v>8.5428948982587599E-2</v>
      </c>
      <c r="L1927">
        <v>740.62796637148597</v>
      </c>
      <c r="M1927">
        <v>15.5858290690212</v>
      </c>
      <c r="N1927">
        <v>48.013741562842299</v>
      </c>
      <c r="O1927">
        <v>46.757676168359303</v>
      </c>
      <c r="P1927">
        <v>-7.7161476922111297E-2</v>
      </c>
      <c r="Q1927">
        <v>7.4139334675165702E-2</v>
      </c>
      <c r="R1927">
        <v>0.99331199075232102</v>
      </c>
      <c r="S1927" t="s">
        <v>8733</v>
      </c>
      <c r="T1927" t="s">
        <v>13610</v>
      </c>
      <c r="U1927" t="s">
        <v>13610</v>
      </c>
      <c r="V1927" t="s">
        <v>13610</v>
      </c>
      <c r="W1927" t="s">
        <v>15491</v>
      </c>
      <c r="X1927">
        <v>12</v>
      </c>
      <c r="Y1927" t="s">
        <v>22172</v>
      </c>
      <c r="Z1927" t="s">
        <v>28782</v>
      </c>
      <c r="AA1927">
        <v>0.32877931137594718</v>
      </c>
      <c r="AB1927" t="str">
        <f>HYPERLINK("Melting_Curves/meltCurve_P11802_CDK4.pdf", "Melting_Curves/meltCurve_P11802_CDK4.pdf")</f>
        <v>Melting_Curves/meltCurve_P11802_CDK4.pdf</v>
      </c>
    </row>
    <row r="1928" spans="1:28" x14ac:dyDescent="0.25">
      <c r="A1928" t="s">
        <v>1932</v>
      </c>
      <c r="B1928">
        <v>0.995954080203443</v>
      </c>
      <c r="C1928">
        <v>1.1059786306971</v>
      </c>
      <c r="D1928">
        <v>1.0555887675615401</v>
      </c>
      <c r="E1928">
        <v>0.85549995554865699</v>
      </c>
      <c r="F1928">
        <v>0.55613535561901095</v>
      </c>
      <c r="G1928">
        <v>0.22981711460698501</v>
      </c>
      <c r="H1928">
        <v>0.14169188911798999</v>
      </c>
      <c r="I1928">
        <v>0.11355583695537</v>
      </c>
      <c r="J1928">
        <v>0.172907634612676</v>
      </c>
      <c r="K1928">
        <v>0.101051140347027</v>
      </c>
      <c r="L1928">
        <v>1563.1496823218099</v>
      </c>
      <c r="M1928">
        <v>29.532286560301099</v>
      </c>
      <c r="N1928">
        <v>53.463856516397598</v>
      </c>
      <c r="O1928">
        <v>52.6892913157916</v>
      </c>
      <c r="P1928">
        <v>-0.12223765076943501</v>
      </c>
      <c r="Q1928">
        <v>0.127657255932726</v>
      </c>
      <c r="R1928">
        <v>0.98853783442240994</v>
      </c>
      <c r="S1928" t="s">
        <v>8734</v>
      </c>
      <c r="T1928" t="s">
        <v>13610</v>
      </c>
      <c r="U1928" t="s">
        <v>13610</v>
      </c>
      <c r="V1928" t="s">
        <v>13610</v>
      </c>
      <c r="W1928" t="s">
        <v>15492</v>
      </c>
      <c r="X1928">
        <v>4</v>
      </c>
      <c r="Y1928" t="s">
        <v>22173</v>
      </c>
      <c r="Z1928" t="s">
        <v>28783</v>
      </c>
      <c r="AA1928">
        <v>0.50947085646353563</v>
      </c>
      <c r="AB1928" t="str">
        <f>HYPERLINK("Melting_Curves/meltCurve_P11831_SRF.pdf", "Melting_Curves/meltCurve_P11831_SRF.pdf")</f>
        <v>Melting_Curves/meltCurve_P11831_SRF.pdf</v>
      </c>
    </row>
    <row r="1929" spans="1:28" x14ac:dyDescent="0.25">
      <c r="A1929" t="s">
        <v>1933</v>
      </c>
      <c r="B1929">
        <v>0.995954080203443</v>
      </c>
      <c r="C1929">
        <v>0.857378794659579</v>
      </c>
      <c r="D1929">
        <v>0.87309775906195897</v>
      </c>
      <c r="E1929">
        <v>0.76191668283070801</v>
      </c>
      <c r="F1929">
        <v>0.49637444898650801</v>
      </c>
      <c r="G1929">
        <v>0.13805146375528601</v>
      </c>
      <c r="H1929">
        <v>7.8178420562273102E-2</v>
      </c>
      <c r="I1929">
        <v>6.4926671572055006E-2</v>
      </c>
      <c r="J1929">
        <v>7.5491129128257298E-2</v>
      </c>
      <c r="K1929">
        <v>7.2506351948405504E-2</v>
      </c>
      <c r="L1929">
        <v>1052.2878144746601</v>
      </c>
      <c r="M1929">
        <v>20.097231685504902</v>
      </c>
      <c r="N1929">
        <v>52.589408289982003</v>
      </c>
      <c r="O1929">
        <v>51.849694163746697</v>
      </c>
      <c r="P1929">
        <v>-9.2834491728499405E-2</v>
      </c>
      <c r="Q1929">
        <v>4.2000136256211601E-2</v>
      </c>
      <c r="R1929">
        <v>0.97926265386454703</v>
      </c>
      <c r="S1929" t="s">
        <v>8735</v>
      </c>
      <c r="T1929" t="s">
        <v>13610</v>
      </c>
      <c r="U1929" t="s">
        <v>13610</v>
      </c>
      <c r="V1929" t="s">
        <v>13610</v>
      </c>
      <c r="W1929" t="s">
        <v>15493</v>
      </c>
      <c r="X1929">
        <v>13</v>
      </c>
      <c r="Y1929" t="s">
        <v>22174</v>
      </c>
      <c r="Z1929" t="s">
        <v>28784</v>
      </c>
      <c r="AA1929">
        <v>0.44981286596766118</v>
      </c>
      <c r="AB1929" t="str">
        <f>HYPERLINK("Melting_Curves/meltCurve_P11908_PRPS2.pdf", "Melting_Curves/meltCurve_P11908_PRPS2.pdf")</f>
        <v>Melting_Curves/meltCurve_P11908_PRPS2.pdf</v>
      </c>
    </row>
    <row r="1930" spans="1:28" x14ac:dyDescent="0.25">
      <c r="A1930" t="s">
        <v>1934</v>
      </c>
      <c r="B1930">
        <v>0.995954080203443</v>
      </c>
      <c r="C1930">
        <v>0.90415695364848703</v>
      </c>
      <c r="D1930">
        <v>0.80585588625956905</v>
      </c>
      <c r="E1930">
        <v>0.66323934863270495</v>
      </c>
      <c r="F1930">
        <v>0.236653758924182</v>
      </c>
      <c r="G1930">
        <v>0.11843398198829901</v>
      </c>
      <c r="H1930">
        <v>7.8425853310241406E-2</v>
      </c>
      <c r="I1930">
        <v>7.5766945501836297E-2</v>
      </c>
      <c r="J1930">
        <v>8.9545042388083307E-2</v>
      </c>
      <c r="K1930">
        <v>8.0067226707857903E-2</v>
      </c>
      <c r="L1930">
        <v>1001.3775109466</v>
      </c>
      <c r="M1930">
        <v>19.904082608918898</v>
      </c>
      <c r="N1930">
        <v>50.628789227592797</v>
      </c>
      <c r="O1930">
        <v>49.810579611130301</v>
      </c>
      <c r="P1930">
        <v>-9.4021030968400907E-2</v>
      </c>
      <c r="Q1930">
        <v>5.8869117515476597E-2</v>
      </c>
      <c r="R1930">
        <v>0.98013230450141298</v>
      </c>
      <c r="S1930" t="s">
        <v>8736</v>
      </c>
      <c r="T1930" t="s">
        <v>13610</v>
      </c>
      <c r="U1930" t="s">
        <v>13610</v>
      </c>
      <c r="V1930" t="s">
        <v>13610</v>
      </c>
      <c r="W1930" t="s">
        <v>15494</v>
      </c>
      <c r="X1930">
        <v>35</v>
      </c>
      <c r="Y1930" t="s">
        <v>22175</v>
      </c>
      <c r="Z1930" t="s">
        <v>28785</v>
      </c>
      <c r="AA1930">
        <v>0.39551896397181768</v>
      </c>
      <c r="AB1930" t="str">
        <f>HYPERLINK("Melting_Curves/meltCurve_P11940_PABPC1.pdf", "Melting_Curves/meltCurve_P11940_PABPC1.pdf")</f>
        <v>Melting_Curves/meltCurve_P11940_PABPC1.pdf</v>
      </c>
    </row>
    <row r="1931" spans="1:28" x14ac:dyDescent="0.25">
      <c r="A1931" t="s">
        <v>1935</v>
      </c>
      <c r="B1931">
        <v>0.995954080203443</v>
      </c>
      <c r="C1931">
        <v>1.0619601466919899</v>
      </c>
      <c r="D1931">
        <v>1.13977558372905</v>
      </c>
      <c r="E1931">
        <v>0.88777244261473598</v>
      </c>
      <c r="F1931">
        <v>0.68300540011394895</v>
      </c>
      <c r="G1931">
        <v>0.351347159914497</v>
      </c>
      <c r="H1931">
        <v>0.123090790310661</v>
      </c>
      <c r="I1931">
        <v>7.06252149445845E-2</v>
      </c>
      <c r="J1931">
        <v>6.7933280334073406E-2</v>
      </c>
      <c r="K1931">
        <v>6.5446520056305094E-2</v>
      </c>
      <c r="L1931">
        <v>1266.4533838032901</v>
      </c>
      <c r="M1931">
        <v>23.113074667556301</v>
      </c>
      <c r="N1931">
        <v>55.0507446123855</v>
      </c>
      <c r="O1931">
        <v>54.388580134947603</v>
      </c>
      <c r="P1931">
        <v>-0.100810259129654</v>
      </c>
      <c r="Q1931">
        <v>5.1129932026195798E-2</v>
      </c>
      <c r="R1931">
        <v>0.98462244379665498</v>
      </c>
      <c r="S1931" t="s">
        <v>8737</v>
      </c>
      <c r="T1931" t="s">
        <v>13610</v>
      </c>
      <c r="U1931" t="s">
        <v>13610</v>
      </c>
      <c r="V1931" t="s">
        <v>13610</v>
      </c>
      <c r="W1931" t="s">
        <v>15495</v>
      </c>
      <c r="X1931">
        <v>16</v>
      </c>
      <c r="Y1931" t="s">
        <v>22176</v>
      </c>
      <c r="Z1931" t="s">
        <v>28786</v>
      </c>
      <c r="AA1931">
        <v>0.52910429113241719</v>
      </c>
      <c r="AB1931" t="str">
        <f>HYPERLINK("Melting_Curves/meltCurve_P12004_PCNA.pdf", "Melting_Curves/meltCurve_P12004_PCNA.pdf")</f>
        <v>Melting_Curves/meltCurve_P12004_PCNA.pdf</v>
      </c>
    </row>
    <row r="1932" spans="1:28" x14ac:dyDescent="0.25">
      <c r="A1932" t="s">
        <v>1936</v>
      </c>
      <c r="B1932">
        <v>0.995954080203443</v>
      </c>
      <c r="C1932">
        <v>0.99354594088049797</v>
      </c>
      <c r="D1932">
        <v>1.0706213956597599</v>
      </c>
      <c r="E1932">
        <v>0.81006511815401405</v>
      </c>
      <c r="F1932">
        <v>0.68042501019191104</v>
      </c>
      <c r="G1932">
        <v>0.51373585612848205</v>
      </c>
      <c r="H1932">
        <v>0.38543829028572202</v>
      </c>
      <c r="I1932">
        <v>0.38730850250927001</v>
      </c>
      <c r="J1932">
        <v>0.455916419747118</v>
      </c>
      <c r="K1932">
        <v>0.45514782534206699</v>
      </c>
      <c r="L1932">
        <v>1271.65004852938</v>
      </c>
      <c r="M1932">
        <v>24.332802409635299</v>
      </c>
      <c r="N1932">
        <v>56.541127317982102</v>
      </c>
      <c r="O1932">
        <v>51.911612368962103</v>
      </c>
      <c r="P1932">
        <v>-6.7878860405611197E-2</v>
      </c>
      <c r="Q1932">
        <v>0.420757707202777</v>
      </c>
      <c r="R1932">
        <v>0.97326320614107698</v>
      </c>
      <c r="S1932" t="s">
        <v>8738</v>
      </c>
      <c r="T1932" t="s">
        <v>13610</v>
      </c>
      <c r="U1932" t="s">
        <v>13610</v>
      </c>
      <c r="V1932" t="s">
        <v>13610</v>
      </c>
      <c r="W1932" t="s">
        <v>15496</v>
      </c>
      <c r="X1932">
        <v>13</v>
      </c>
      <c r="Y1932" t="s">
        <v>22177</v>
      </c>
      <c r="Z1932" t="s">
        <v>28787</v>
      </c>
      <c r="AA1932">
        <v>0.66307039006713742</v>
      </c>
      <c r="AB1932" t="str">
        <f>HYPERLINK("Melting_Curves/meltCurve_P12036_NEFH.pdf", "Melting_Curves/meltCurve_P12036_NEFH.pdf")</f>
        <v>Melting_Curves/meltCurve_P12036_NEFH.pdf</v>
      </c>
    </row>
    <row r="1933" spans="1:28" x14ac:dyDescent="0.25">
      <c r="A1933" t="s">
        <v>1937</v>
      </c>
      <c r="B1933">
        <v>0.995954080203443</v>
      </c>
      <c r="C1933">
        <v>0.97351550607108095</v>
      </c>
      <c r="D1933">
        <v>0.89914924346271996</v>
      </c>
      <c r="E1933">
        <v>0.62495720326604298</v>
      </c>
      <c r="F1933">
        <v>0.29809024113910199</v>
      </c>
      <c r="G1933">
        <v>0.12587898384333199</v>
      </c>
      <c r="H1933">
        <v>5.9301346303218698E-2</v>
      </c>
      <c r="I1933">
        <v>4.7427951329843697E-2</v>
      </c>
      <c r="J1933">
        <v>5.1695566997380898E-2</v>
      </c>
      <c r="K1933">
        <v>4.5545445601787998E-2</v>
      </c>
      <c r="L1933">
        <v>1135.2517618054401</v>
      </c>
      <c r="M1933">
        <v>22.342150355263598</v>
      </c>
      <c r="N1933">
        <v>51.009967922964996</v>
      </c>
      <c r="O1933">
        <v>50.410292991525502</v>
      </c>
      <c r="P1933">
        <v>-0.106204798955533</v>
      </c>
      <c r="Q1933">
        <v>4.15063071341834E-2</v>
      </c>
      <c r="R1933">
        <v>0.99929126039114002</v>
      </c>
      <c r="S1933" t="s">
        <v>8739</v>
      </c>
      <c r="T1933" t="s">
        <v>13610</v>
      </c>
      <c r="U1933" t="s">
        <v>13610</v>
      </c>
      <c r="V1933" t="s">
        <v>13610</v>
      </c>
      <c r="W1933" t="s">
        <v>15497</v>
      </c>
      <c r="X1933">
        <v>37</v>
      </c>
      <c r="Y1933" t="s">
        <v>22178</v>
      </c>
      <c r="Z1933" t="s">
        <v>28788</v>
      </c>
      <c r="AA1933">
        <v>0.39771984480776812</v>
      </c>
      <c r="AB1933" t="str">
        <f>HYPERLINK("Melting_Curves/meltCurve_P12081_HARS.pdf", "Melting_Curves/meltCurve_P12081_HARS.pdf")</f>
        <v>Melting_Curves/meltCurve_P12081_HARS.pdf</v>
      </c>
    </row>
    <row r="1934" spans="1:28" x14ac:dyDescent="0.25">
      <c r="A1934" t="s">
        <v>1938</v>
      </c>
      <c r="B1934">
        <v>0.995954080203443</v>
      </c>
      <c r="C1934">
        <v>0.83587119965747003</v>
      </c>
      <c r="D1934">
        <v>0.667134581627573</v>
      </c>
      <c r="E1934">
        <v>0.76627127858702804</v>
      </c>
      <c r="F1934">
        <v>0.42536626917542197</v>
      </c>
      <c r="G1934">
        <v>0.219447467725643</v>
      </c>
      <c r="H1934">
        <v>0.16297329677155301</v>
      </c>
      <c r="I1934">
        <v>0.18717031873470699</v>
      </c>
      <c r="J1934">
        <v>0.23082336573125101</v>
      </c>
      <c r="K1934">
        <v>0.206961048184862</v>
      </c>
      <c r="L1934">
        <v>570.81313574650005</v>
      </c>
      <c r="M1934">
        <v>11.3489172617373</v>
      </c>
      <c r="N1934">
        <v>51.6381752080162</v>
      </c>
      <c r="O1934">
        <v>48.810989569489998</v>
      </c>
      <c r="P1934">
        <v>-5.07210189665976E-2</v>
      </c>
      <c r="Q1934">
        <v>0.127669103740882</v>
      </c>
      <c r="R1934">
        <v>0.92234651597330497</v>
      </c>
      <c r="S1934" t="s">
        <v>8740</v>
      </c>
      <c r="T1934" t="s">
        <v>13610</v>
      </c>
      <c r="U1934" t="s">
        <v>13610</v>
      </c>
      <c r="V1934" t="s">
        <v>13610</v>
      </c>
      <c r="W1934" t="s">
        <v>15498</v>
      </c>
      <c r="X1934">
        <v>6</v>
      </c>
      <c r="Y1934" t="s">
        <v>22179</v>
      </c>
      <c r="Z1934" t="s">
        <v>28789</v>
      </c>
      <c r="AA1934">
        <v>0.45932774360462231</v>
      </c>
      <c r="AB1934" t="str">
        <f>HYPERLINK("Melting_Curves/meltCurve_P12236_SLC25A6.pdf", "Melting_Curves/meltCurve_P12236_SLC25A6.pdf")</f>
        <v>Melting_Curves/meltCurve_P12236_SLC25A6.pdf</v>
      </c>
    </row>
    <row r="1935" spans="1:28" x14ac:dyDescent="0.25">
      <c r="A1935" t="s">
        <v>1939</v>
      </c>
      <c r="B1935">
        <v>0.995954080203443</v>
      </c>
      <c r="C1935">
        <v>1.0010698928774999</v>
      </c>
      <c r="D1935">
        <v>1.00120592247928</v>
      </c>
      <c r="E1935">
        <v>0.87731759235483597</v>
      </c>
      <c r="F1935">
        <v>0.63673348002590002</v>
      </c>
      <c r="G1935">
        <v>0.42065641632040102</v>
      </c>
      <c r="H1935">
        <v>0.20938055945351999</v>
      </c>
      <c r="I1935">
        <v>0.150115646214315</v>
      </c>
      <c r="J1935">
        <v>0.13767160252090899</v>
      </c>
      <c r="K1935">
        <v>0.13073581048416499</v>
      </c>
      <c r="L1935">
        <v>1009.90490730305</v>
      </c>
      <c r="M1935">
        <v>18.5071444012091</v>
      </c>
      <c r="N1935">
        <v>55.300620365044502</v>
      </c>
      <c r="O1935">
        <v>53.943244392313098</v>
      </c>
      <c r="P1935">
        <v>-7.6453936329708594E-2</v>
      </c>
      <c r="Q1935">
        <v>0.10867047592982</v>
      </c>
      <c r="R1935">
        <v>0.99709420701343598</v>
      </c>
      <c r="S1935" t="s">
        <v>8741</v>
      </c>
      <c r="T1935" t="s">
        <v>13610</v>
      </c>
      <c r="U1935" t="s">
        <v>13610</v>
      </c>
      <c r="V1935" t="s">
        <v>13610</v>
      </c>
      <c r="W1935" t="s">
        <v>15499</v>
      </c>
      <c r="X1935">
        <v>143</v>
      </c>
      <c r="Y1935" t="s">
        <v>22180</v>
      </c>
      <c r="Z1935" t="s">
        <v>28790</v>
      </c>
      <c r="AA1935">
        <v>0.55497863080782039</v>
      </c>
      <c r="AB1935" t="str">
        <f>HYPERLINK("Melting_Curves/meltCurve_P12270_TPR.pdf", "Melting_Curves/meltCurve_P12270_TPR.pdf")</f>
        <v>Melting_Curves/meltCurve_P12270_TPR.pdf</v>
      </c>
    </row>
    <row r="1936" spans="1:28" x14ac:dyDescent="0.25">
      <c r="A1936" t="s">
        <v>1940</v>
      </c>
      <c r="B1936">
        <v>0.995954080203443</v>
      </c>
      <c r="C1936">
        <v>1.01627112574961</v>
      </c>
      <c r="D1936">
        <v>0.970416239600982</v>
      </c>
      <c r="E1936">
        <v>0.41968255804976901</v>
      </c>
      <c r="F1936">
        <v>0.147216465501956</v>
      </c>
      <c r="G1936">
        <v>8.7054177846274797E-2</v>
      </c>
      <c r="H1936">
        <v>5.6327014299359997E-2</v>
      </c>
      <c r="I1936">
        <v>4.6940822486373102E-2</v>
      </c>
      <c r="J1936">
        <v>5.3099913200214399E-2</v>
      </c>
      <c r="K1936">
        <v>4.2562811515318502E-2</v>
      </c>
      <c r="L1936">
        <v>1902.09230094395</v>
      </c>
      <c r="M1936">
        <v>38.467456846766197</v>
      </c>
      <c r="N1936">
        <v>49.608229236270503</v>
      </c>
      <c r="O1936">
        <v>49.313726154845199</v>
      </c>
      <c r="P1936">
        <v>-0.18354026679178301</v>
      </c>
      <c r="Q1936">
        <v>5.8837419936360498E-2</v>
      </c>
      <c r="R1936">
        <v>0.99862385120308095</v>
      </c>
      <c r="S1936" t="s">
        <v>8742</v>
      </c>
      <c r="T1936" t="s">
        <v>13610</v>
      </c>
      <c r="U1936" t="s">
        <v>13610</v>
      </c>
      <c r="V1936" t="s">
        <v>13610</v>
      </c>
      <c r="W1936" t="s">
        <v>15500</v>
      </c>
      <c r="X1936">
        <v>23</v>
      </c>
      <c r="Y1936" t="s">
        <v>22181</v>
      </c>
      <c r="Z1936" t="s">
        <v>28791</v>
      </c>
      <c r="AA1936">
        <v>0.35868649695905219</v>
      </c>
      <c r="AB1936" t="str">
        <f>HYPERLINK("Melting_Curves/meltCurve_P12277_CKB.pdf", "Melting_Curves/meltCurve_P12277_CKB.pdf")</f>
        <v>Melting_Curves/meltCurve_P12277_CKB.pdf</v>
      </c>
    </row>
    <row r="1937" spans="1:28" x14ac:dyDescent="0.25">
      <c r="A1937" t="s">
        <v>1941</v>
      </c>
      <c r="B1937">
        <v>0.995954080203443</v>
      </c>
      <c r="C1937">
        <v>0.71987976240768903</v>
      </c>
      <c r="D1937">
        <v>1.0954842185396101</v>
      </c>
      <c r="E1937">
        <v>0.80128145515753102</v>
      </c>
      <c r="F1937">
        <v>0.230284201429207</v>
      </c>
      <c r="G1937">
        <v>0.105148646312038</v>
      </c>
      <c r="H1937">
        <v>6.1333080816475198E-2</v>
      </c>
      <c r="I1937">
        <v>4.5297433961217298E-2</v>
      </c>
      <c r="J1937">
        <v>4.9965541087364299E-2</v>
      </c>
      <c r="K1937">
        <v>4.5961733500361902E-2</v>
      </c>
      <c r="L1937">
        <v>2499.71778907623</v>
      </c>
      <c r="M1937">
        <v>48.661035892290101</v>
      </c>
      <c r="N1937">
        <v>51.504325081941403</v>
      </c>
      <c r="O1937">
        <v>51.283474647425003</v>
      </c>
      <c r="P1937">
        <v>-0.22308052066692999</v>
      </c>
      <c r="Q1937">
        <v>5.9589835284829099E-2</v>
      </c>
      <c r="R1937">
        <v>0.947114657559738</v>
      </c>
      <c r="S1937" t="s">
        <v>8743</v>
      </c>
      <c r="T1937" t="s">
        <v>13610</v>
      </c>
      <c r="U1937" t="s">
        <v>13610</v>
      </c>
      <c r="V1937" t="s">
        <v>13610</v>
      </c>
      <c r="W1937" t="s">
        <v>15501</v>
      </c>
      <c r="X1937">
        <v>22</v>
      </c>
      <c r="Y1937" t="s">
        <v>22182</v>
      </c>
      <c r="Z1937" t="s">
        <v>28792</v>
      </c>
      <c r="AA1937">
        <v>0.41825591134332751</v>
      </c>
      <c r="AB1937" t="str">
        <f>HYPERLINK("Melting_Curves/meltCurve_P12429_ANXA3.pdf", "Melting_Curves/meltCurve_P12429_ANXA3.pdf")</f>
        <v>Melting_Curves/meltCurve_P12429_ANXA3.pdf</v>
      </c>
    </row>
    <row r="1938" spans="1:28" x14ac:dyDescent="0.25">
      <c r="A1938" t="s">
        <v>1942</v>
      </c>
      <c r="B1938">
        <v>0.995954080203443</v>
      </c>
      <c r="C1938">
        <v>1.5674613801611701</v>
      </c>
      <c r="D1938">
        <v>1.3969163522711401</v>
      </c>
      <c r="E1938">
        <v>0.84673886256544695</v>
      </c>
      <c r="F1938">
        <v>0.25709596672968499</v>
      </c>
      <c r="G1938">
        <v>0.136575794002854</v>
      </c>
      <c r="H1938">
        <v>0.10102332391141899</v>
      </c>
      <c r="I1938">
        <v>9.5974541682994796E-2</v>
      </c>
      <c r="J1938">
        <v>9.9166445763719094E-2</v>
      </c>
      <c r="K1938">
        <v>9.9062919610518496E-2</v>
      </c>
      <c r="L1938">
        <v>2889.1019608971501</v>
      </c>
      <c r="M1938">
        <v>56.136632051365602</v>
      </c>
      <c r="N1938">
        <v>51.684998143412201</v>
      </c>
      <c r="O1938">
        <v>51.400363405941398</v>
      </c>
      <c r="P1938">
        <v>-0.24408465282619601</v>
      </c>
      <c r="Q1938">
        <v>0.106036153618819</v>
      </c>
      <c r="R1938">
        <v>0.84514868781392405</v>
      </c>
      <c r="S1938" t="s">
        <v>8744</v>
      </c>
      <c r="T1938" t="s">
        <v>13610</v>
      </c>
      <c r="U1938" t="s">
        <v>13610</v>
      </c>
      <c r="V1938" t="s">
        <v>13610</v>
      </c>
      <c r="W1938" t="s">
        <v>15502</v>
      </c>
      <c r="X1938">
        <v>10</v>
      </c>
      <c r="Y1938" t="s">
        <v>22183</v>
      </c>
      <c r="Z1938" t="s">
        <v>28793</v>
      </c>
      <c r="AA1938">
        <v>0.44930347327919079</v>
      </c>
      <c r="AB1938" t="str">
        <f>HYPERLINK("Melting_Curves/meltCurve_P12532_CKMT1A.pdf", "Melting_Curves/meltCurve_P12532_CKMT1A.pdf")</f>
        <v>Melting_Curves/meltCurve_P12532_CKMT1A.pdf</v>
      </c>
    </row>
    <row r="1939" spans="1:28" x14ac:dyDescent="0.25">
      <c r="A1939" t="s">
        <v>1943</v>
      </c>
      <c r="B1939">
        <v>0.995954080203443</v>
      </c>
      <c r="C1939">
        <v>0.75143005607778701</v>
      </c>
      <c r="D1939">
        <v>0.53207463494120699</v>
      </c>
      <c r="E1939">
        <v>0.34152903908858201</v>
      </c>
      <c r="F1939">
        <v>0.21618079867825801</v>
      </c>
      <c r="G1939">
        <v>0.108054309689461</v>
      </c>
      <c r="H1939">
        <v>8.0413432503969401E-2</v>
      </c>
      <c r="I1939">
        <v>7.5526910727576405E-2</v>
      </c>
      <c r="J1939">
        <v>9.8428283686351203E-2</v>
      </c>
      <c r="K1939">
        <v>8.0098101533461794E-2</v>
      </c>
      <c r="L1939">
        <v>685.70539032139095</v>
      </c>
      <c r="M1939">
        <v>14.792773054653599</v>
      </c>
      <c r="N1939">
        <v>46.844432376363102</v>
      </c>
      <c r="O1939">
        <v>45.531698783976303</v>
      </c>
      <c r="P1939">
        <v>-7.54046397473358E-2</v>
      </c>
      <c r="Q1939">
        <v>7.17264230817036E-2</v>
      </c>
      <c r="R1939">
        <v>0.98919385563368101</v>
      </c>
      <c r="S1939" t="s">
        <v>8745</v>
      </c>
      <c r="T1939" t="s">
        <v>13610</v>
      </c>
      <c r="U1939" t="s">
        <v>13610</v>
      </c>
      <c r="V1939" t="s">
        <v>13610</v>
      </c>
      <c r="W1939" t="s">
        <v>15503</v>
      </c>
      <c r="X1939">
        <v>2</v>
      </c>
      <c r="Y1939" t="s">
        <v>22184</v>
      </c>
      <c r="Z1939" t="s">
        <v>28794</v>
      </c>
      <c r="AA1939">
        <v>0.295476118940523</v>
      </c>
      <c r="AB1939" t="str">
        <f>HYPERLINK("Melting_Curves/meltCurve_P12694_BCKDHA.pdf", "Melting_Curves/meltCurve_P12694_BCKDHA.pdf")</f>
        <v>Melting_Curves/meltCurve_P12694_BCKDHA.pdf</v>
      </c>
    </row>
    <row r="1940" spans="1:28" x14ac:dyDescent="0.25">
      <c r="A1940" t="s">
        <v>1944</v>
      </c>
      <c r="B1940">
        <v>0.995954080203443</v>
      </c>
      <c r="C1940">
        <v>0.86435411240277404</v>
      </c>
      <c r="D1940">
        <v>1.00086542244086</v>
      </c>
      <c r="E1940">
        <v>0.72838554647954201</v>
      </c>
      <c r="F1940">
        <v>0.69123896119316497</v>
      </c>
      <c r="G1940">
        <v>0.50163088157517</v>
      </c>
      <c r="H1940">
        <v>0.44900808038735901</v>
      </c>
      <c r="I1940">
        <v>0.49982781768659501</v>
      </c>
      <c r="J1940">
        <v>0.49462626322376302</v>
      </c>
      <c r="K1940">
        <v>0.60156957382419396</v>
      </c>
      <c r="L1940">
        <v>1074.95980286485</v>
      </c>
      <c r="M1940">
        <v>21.354626962547201</v>
      </c>
      <c r="O1940">
        <v>49.903297674792903</v>
      </c>
      <c r="P1940">
        <v>-5.3005070949125002E-2</v>
      </c>
      <c r="Q1940">
        <v>0.50454551785499102</v>
      </c>
      <c r="R1940">
        <v>0.89985220426911805</v>
      </c>
      <c r="S1940" t="s">
        <v>8746</v>
      </c>
      <c r="T1940" t="s">
        <v>13610</v>
      </c>
      <c r="U1940" t="s">
        <v>13610</v>
      </c>
      <c r="V1940" t="s">
        <v>13610</v>
      </c>
      <c r="W1940" t="s">
        <v>15504</v>
      </c>
      <c r="X1940">
        <v>5</v>
      </c>
      <c r="Y1940" t="s">
        <v>22185</v>
      </c>
      <c r="Z1940" t="s">
        <v>28795</v>
      </c>
      <c r="AA1940">
        <v>0.68135502550114713</v>
      </c>
      <c r="AB1940" t="str">
        <f>HYPERLINK("Melting_Curves/meltCurve_P12757_3_SKIL.pdf", "Melting_Curves/meltCurve_P12757_3_SKIL.pdf")</f>
        <v>Melting_Curves/meltCurve_P12757_3_SKIL.pdf</v>
      </c>
    </row>
    <row r="1941" spans="1:28" x14ac:dyDescent="0.25">
      <c r="A1941" t="s">
        <v>1945</v>
      </c>
      <c r="B1941">
        <v>0.995954080203443</v>
      </c>
      <c r="C1941">
        <v>0.92257160955387496</v>
      </c>
      <c r="D1941">
        <v>0.75461346262638895</v>
      </c>
      <c r="E1941">
        <v>0.997621646845957</v>
      </c>
      <c r="F1941">
        <v>0.85686391489617297</v>
      </c>
      <c r="G1941">
        <v>0.72099985371076403</v>
      </c>
      <c r="H1941">
        <v>0.33148504555595099</v>
      </c>
      <c r="I1941">
        <v>9.1216876951710907E-2</v>
      </c>
      <c r="J1941">
        <v>7.82718817338834E-2</v>
      </c>
      <c r="K1941">
        <v>7.7766813962463405E-2</v>
      </c>
      <c r="L1941">
        <v>1344.41098203857</v>
      </c>
      <c r="M1941">
        <v>22.851847341764</v>
      </c>
      <c r="N1941">
        <v>58.926057038397701</v>
      </c>
      <c r="O1941">
        <v>58.386628547801301</v>
      </c>
      <c r="P1941">
        <v>-9.6089508077986802E-2</v>
      </c>
      <c r="Q1941">
        <v>1.7981194247719701E-2</v>
      </c>
      <c r="R1941">
        <v>0.94482897925298903</v>
      </c>
      <c r="S1941" t="s">
        <v>8747</v>
      </c>
      <c r="T1941" t="s">
        <v>13610</v>
      </c>
      <c r="U1941" t="s">
        <v>13610</v>
      </c>
      <c r="V1941" t="s">
        <v>13610</v>
      </c>
      <c r="W1941" t="s">
        <v>15505</v>
      </c>
      <c r="X1941">
        <v>64</v>
      </c>
      <c r="Y1941" t="s">
        <v>22186</v>
      </c>
      <c r="Z1941" t="s">
        <v>28796</v>
      </c>
      <c r="AA1941">
        <v>0.64342953018801885</v>
      </c>
      <c r="AB1941" t="str">
        <f>HYPERLINK("Melting_Curves/meltCurve_P12814_ACTN1.pdf", "Melting_Curves/meltCurve_P12814_ACTN1.pdf")</f>
        <v>Melting_Curves/meltCurve_P12814_ACTN1.pdf</v>
      </c>
    </row>
    <row r="1942" spans="1:28" x14ac:dyDescent="0.25">
      <c r="A1942" t="s">
        <v>1946</v>
      </c>
      <c r="B1942">
        <v>0.995954080203443</v>
      </c>
      <c r="C1942">
        <v>1.1194267881545099</v>
      </c>
      <c r="D1942">
        <v>1.40547656055578</v>
      </c>
      <c r="E1942">
        <v>1.1152519905939999</v>
      </c>
      <c r="F1942">
        <v>1.50721829926058</v>
      </c>
      <c r="G1942">
        <v>1.4839985306248999</v>
      </c>
      <c r="H1942">
        <v>1.4797058338904701</v>
      </c>
      <c r="I1942">
        <v>1.7878010126277299</v>
      </c>
      <c r="J1942">
        <v>2.3259123540525599</v>
      </c>
      <c r="K1942">
        <v>2.2784858986055201</v>
      </c>
      <c r="L1942">
        <v>777.62844132683199</v>
      </c>
      <c r="M1942">
        <v>16.977542934926898</v>
      </c>
      <c r="O1942">
        <v>45.182041977782298</v>
      </c>
      <c r="P1942">
        <v>4.6972748667252803E-2</v>
      </c>
      <c r="Q1942">
        <v>1.5</v>
      </c>
      <c r="R1942">
        <v>0.217724370223252</v>
      </c>
      <c r="S1942" t="s">
        <v>8748</v>
      </c>
      <c r="T1942" t="s">
        <v>13610</v>
      </c>
      <c r="U1942" t="s">
        <v>13610</v>
      </c>
      <c r="V1942" t="s">
        <v>13610</v>
      </c>
      <c r="W1942" t="s">
        <v>15506</v>
      </c>
      <c r="X1942">
        <v>3</v>
      </c>
      <c r="Y1942" t="s">
        <v>22187</v>
      </c>
      <c r="Z1942" t="s">
        <v>28797</v>
      </c>
      <c r="AA1942">
        <v>1.391915693750932</v>
      </c>
      <c r="AB1942" t="str">
        <f>HYPERLINK("Melting_Curves/meltCurve_P12821_2_ACE.pdf", "Melting_Curves/meltCurve_P12821_2_ACE.pdf")</f>
        <v>Melting_Curves/meltCurve_P12821_2_ACE.pdf</v>
      </c>
    </row>
    <row r="1943" spans="1:28" x14ac:dyDescent="0.25">
      <c r="A1943" t="s">
        <v>1947</v>
      </c>
      <c r="B1943">
        <v>0.995954080203443</v>
      </c>
      <c r="C1943">
        <v>0.97013267020336502</v>
      </c>
      <c r="D1943">
        <v>1.1544357066899</v>
      </c>
      <c r="E1943">
        <v>0.85394110072319995</v>
      </c>
      <c r="F1943">
        <v>0.84553393131315502</v>
      </c>
      <c r="G1943">
        <v>0.567645371078355</v>
      </c>
      <c r="H1943">
        <v>0.46470662474417601</v>
      </c>
      <c r="I1943">
        <v>0.490253298195575</v>
      </c>
      <c r="J1943">
        <v>0.64184982639754096</v>
      </c>
      <c r="K1943">
        <v>0.63310108452189295</v>
      </c>
      <c r="L1943">
        <v>1720.07495268563</v>
      </c>
      <c r="M1943">
        <v>32.306135071718003</v>
      </c>
      <c r="O1943">
        <v>53.040217851348601</v>
      </c>
      <c r="P1943">
        <v>-6.8222090464056598E-2</v>
      </c>
      <c r="Q1943">
        <v>0.55197401479255503</v>
      </c>
      <c r="R1943">
        <v>0.86691848438590502</v>
      </c>
      <c r="S1943" t="s">
        <v>8749</v>
      </c>
      <c r="T1943" t="s">
        <v>13610</v>
      </c>
      <c r="U1943" t="s">
        <v>13610</v>
      </c>
      <c r="V1943" t="s">
        <v>13610</v>
      </c>
      <c r="W1943" t="s">
        <v>15507</v>
      </c>
      <c r="X1943">
        <v>2</v>
      </c>
      <c r="Y1943" t="s">
        <v>22188</v>
      </c>
      <c r="Z1943" t="s">
        <v>28798</v>
      </c>
      <c r="AA1943">
        <v>0.75226792919648766</v>
      </c>
      <c r="AB1943" t="str">
        <f>HYPERLINK("Melting_Curves/meltCurve_P12882_MYH1.pdf", "Melting_Curves/meltCurve_P12882_MYH1.pdf")</f>
        <v>Melting_Curves/meltCurve_P12882_MYH1.pdf</v>
      </c>
    </row>
    <row r="1944" spans="1:28" x14ac:dyDescent="0.25">
      <c r="A1944" t="s">
        <v>1948</v>
      </c>
      <c r="B1944">
        <v>0.995954080203443</v>
      </c>
      <c r="C1944">
        <v>1.03080336758538</v>
      </c>
      <c r="D1944">
        <v>0.99334012872843802</v>
      </c>
      <c r="E1944">
        <v>0.90899560670829804</v>
      </c>
      <c r="F1944">
        <v>0.70183705286243903</v>
      </c>
      <c r="G1944">
        <v>0.363690789475617</v>
      </c>
      <c r="H1944">
        <v>0.146545624042902</v>
      </c>
      <c r="I1944">
        <v>8.9850416448034001E-2</v>
      </c>
      <c r="J1944">
        <v>8.5227742711945498E-2</v>
      </c>
      <c r="K1944">
        <v>7.36762829893534E-2</v>
      </c>
      <c r="L1944">
        <v>1217.77954874495</v>
      </c>
      <c r="M1944">
        <v>22.165767778033501</v>
      </c>
      <c r="N1944">
        <v>55.264928754230901</v>
      </c>
      <c r="O1944">
        <v>54.498347043010703</v>
      </c>
      <c r="P1944">
        <v>-9.5464647491429896E-2</v>
      </c>
      <c r="Q1944">
        <v>6.1155434487642102E-2</v>
      </c>
      <c r="R1944">
        <v>0.99902131771976899</v>
      </c>
      <c r="S1944" t="s">
        <v>8750</v>
      </c>
      <c r="T1944" t="s">
        <v>13610</v>
      </c>
      <c r="U1944" t="s">
        <v>13610</v>
      </c>
      <c r="V1944" t="s">
        <v>13610</v>
      </c>
      <c r="W1944" t="s">
        <v>15508</v>
      </c>
      <c r="X1944">
        <v>15</v>
      </c>
      <c r="Y1944" t="s">
        <v>22189</v>
      </c>
      <c r="Z1944" t="s">
        <v>28799</v>
      </c>
      <c r="AA1944">
        <v>0.53934333620440145</v>
      </c>
      <c r="AB1944" t="str">
        <f>HYPERLINK("Melting_Curves/meltCurve_P12955_PEPD.pdf", "Melting_Curves/meltCurve_P12955_PEPD.pdf")</f>
        <v>Melting_Curves/meltCurve_P12955_PEPD.pdf</v>
      </c>
    </row>
    <row r="1945" spans="1:28" x14ac:dyDescent="0.25">
      <c r="A1945" t="s">
        <v>1949</v>
      </c>
      <c r="B1945">
        <v>0.995954080203443</v>
      </c>
      <c r="C1945">
        <v>1.00093150236168</v>
      </c>
      <c r="D1945">
        <v>0.55099387609428696</v>
      </c>
      <c r="E1945">
        <v>0.40164289517586299</v>
      </c>
      <c r="F1945">
        <v>0.15915321017211101</v>
      </c>
      <c r="G1945">
        <v>8.7118637491420806E-2</v>
      </c>
      <c r="H1945">
        <v>5.4655996403794899E-2</v>
      </c>
      <c r="I1945">
        <v>4.6278366263929102E-2</v>
      </c>
      <c r="J1945">
        <v>5.4913284131977103E-2</v>
      </c>
      <c r="K1945">
        <v>4.9516040728916001E-2</v>
      </c>
      <c r="L1945">
        <v>872.02042932592497</v>
      </c>
      <c r="M1945">
        <v>18.3268782491661</v>
      </c>
      <c r="N1945">
        <v>47.835666840649999</v>
      </c>
      <c r="O1945">
        <v>47.025859724586702</v>
      </c>
      <c r="P1945">
        <v>-9.2914101211710301E-2</v>
      </c>
      <c r="Q1945">
        <v>4.6392302166254597E-2</v>
      </c>
      <c r="R1945">
        <v>0.974822498554196</v>
      </c>
      <c r="S1945" t="s">
        <v>8751</v>
      </c>
      <c r="T1945" t="s">
        <v>13610</v>
      </c>
      <c r="U1945" t="s">
        <v>13610</v>
      </c>
      <c r="V1945" t="s">
        <v>13610</v>
      </c>
      <c r="W1945" t="s">
        <v>15509</v>
      </c>
      <c r="X1945">
        <v>36</v>
      </c>
      <c r="Y1945" t="s">
        <v>22190</v>
      </c>
      <c r="Z1945" t="s">
        <v>28800</v>
      </c>
      <c r="AA1945">
        <v>0.30389913418164638</v>
      </c>
      <c r="AB1945" t="str">
        <f>HYPERLINK("Melting_Curves/meltCurve_P12956_XRCC6.pdf", "Melting_Curves/meltCurve_P12956_XRCC6.pdf")</f>
        <v>Melting_Curves/meltCurve_P12956_XRCC6.pdf</v>
      </c>
    </row>
    <row r="1946" spans="1:28" x14ac:dyDescent="0.25">
      <c r="A1946" t="s">
        <v>1950</v>
      </c>
      <c r="B1946">
        <v>0.995954080203443</v>
      </c>
      <c r="C1946">
        <v>0.920106667118606</v>
      </c>
      <c r="D1946">
        <v>0.93508408638632201</v>
      </c>
      <c r="E1946">
        <v>0.74959449995647798</v>
      </c>
      <c r="F1946">
        <v>0.75256656971364799</v>
      </c>
      <c r="G1946">
        <v>0.63294967369134303</v>
      </c>
      <c r="H1946">
        <v>0.61944359771521595</v>
      </c>
      <c r="I1946">
        <v>0.71047325588769605</v>
      </c>
      <c r="J1946">
        <v>0.88056120930877702</v>
      </c>
      <c r="K1946">
        <v>0.81100742237105505</v>
      </c>
      <c r="L1946">
        <v>1472.76522041308</v>
      </c>
      <c r="M1946">
        <v>31.305761561491199</v>
      </c>
      <c r="O1946">
        <v>46.8538297944907</v>
      </c>
      <c r="P1946">
        <v>-4.4907530072421702E-2</v>
      </c>
      <c r="Q1946">
        <v>0.731157705874109</v>
      </c>
      <c r="R1946">
        <v>0.62154165294207997</v>
      </c>
      <c r="S1946" t="s">
        <v>8752</v>
      </c>
      <c r="T1946" t="s">
        <v>13610</v>
      </c>
      <c r="U1946" t="s">
        <v>13610</v>
      </c>
      <c r="V1946" t="s">
        <v>13610</v>
      </c>
      <c r="W1946" t="s">
        <v>15510</v>
      </c>
      <c r="X1946">
        <v>3</v>
      </c>
      <c r="Y1946" t="s">
        <v>22191</v>
      </c>
      <c r="Z1946" t="s">
        <v>28801</v>
      </c>
      <c r="AA1946">
        <v>0.79575860952985533</v>
      </c>
      <c r="AB1946" t="str">
        <f>HYPERLINK("Melting_Curves/meltCurve_P12980_LYL1.pdf", "Melting_Curves/meltCurve_P12980_LYL1.pdf")</f>
        <v>Melting_Curves/meltCurve_P12980_LYL1.pdf</v>
      </c>
    </row>
    <row r="1947" spans="1:28" x14ac:dyDescent="0.25">
      <c r="A1947" t="s">
        <v>1951</v>
      </c>
      <c r="B1947">
        <v>0.995954080203443</v>
      </c>
      <c r="C1947">
        <v>0.87077583830469596</v>
      </c>
      <c r="D1947">
        <v>0.380672025799901</v>
      </c>
      <c r="E1947">
        <v>0.28778163599918899</v>
      </c>
      <c r="F1947">
        <v>0.205236996727998</v>
      </c>
      <c r="G1947">
        <v>0.150397842441404</v>
      </c>
      <c r="H1947">
        <v>0.12063093044565799</v>
      </c>
      <c r="I1947">
        <v>0.12181763060156001</v>
      </c>
      <c r="J1947">
        <v>0.12795017053393201</v>
      </c>
      <c r="K1947">
        <v>0.112487098376578</v>
      </c>
      <c r="L1947">
        <v>1433.97573946231</v>
      </c>
      <c r="M1947">
        <v>31.9442880609285</v>
      </c>
      <c r="N1947">
        <v>45.403733178398497</v>
      </c>
      <c r="O1947">
        <v>44.715072755605199</v>
      </c>
      <c r="P1947">
        <v>-0.15150818960476301</v>
      </c>
      <c r="Q1947">
        <v>0.151689925279891</v>
      </c>
      <c r="R1947">
        <v>0.97955108075731301</v>
      </c>
      <c r="S1947" t="s">
        <v>8753</v>
      </c>
      <c r="T1947" t="s">
        <v>13610</v>
      </c>
      <c r="U1947" t="s">
        <v>13610</v>
      </c>
      <c r="V1947" t="s">
        <v>13610</v>
      </c>
      <c r="W1947" t="s">
        <v>15511</v>
      </c>
      <c r="X1947">
        <v>43</v>
      </c>
      <c r="Y1947" t="s">
        <v>22192</v>
      </c>
      <c r="Z1947" t="s">
        <v>28802</v>
      </c>
      <c r="AA1947">
        <v>0.29470641840173689</v>
      </c>
      <c r="AB1947" t="str">
        <f>HYPERLINK("Melting_Curves/meltCurve_P13010_XRCC5.pdf", "Melting_Curves/meltCurve_P13010_XRCC5.pdf")</f>
        <v>Melting_Curves/meltCurve_P13010_XRCC5.pdf</v>
      </c>
    </row>
    <row r="1948" spans="1:28" x14ac:dyDescent="0.25">
      <c r="A1948" t="s">
        <v>1952</v>
      </c>
      <c r="B1948">
        <v>0.995954080203443</v>
      </c>
      <c r="C1948">
        <v>0.795501000499787</v>
      </c>
      <c r="D1948">
        <v>0.97355354826683405</v>
      </c>
      <c r="E1948">
        <v>0.60985328576109099</v>
      </c>
      <c r="F1948">
        <v>0.43275343414656298</v>
      </c>
      <c r="G1948">
        <v>0.200279154461662</v>
      </c>
      <c r="H1948">
        <v>0.145211053573085</v>
      </c>
      <c r="I1948">
        <v>0.164150060030922</v>
      </c>
      <c r="J1948">
        <v>0.20082713856345399</v>
      </c>
      <c r="K1948">
        <v>0.18854987078674701</v>
      </c>
      <c r="L1948">
        <v>1036.4209312828</v>
      </c>
      <c r="M1948">
        <v>20.477941770546501</v>
      </c>
      <c r="N1948">
        <v>51.582180390044101</v>
      </c>
      <c r="O1948">
        <v>50.136347590651297</v>
      </c>
      <c r="P1948">
        <v>-8.5787622361156293E-2</v>
      </c>
      <c r="Q1948">
        <v>0.15988616707578299</v>
      </c>
      <c r="R1948">
        <v>0.95825912495128895</v>
      </c>
      <c r="S1948" t="s">
        <v>8754</v>
      </c>
      <c r="T1948" t="s">
        <v>13610</v>
      </c>
      <c r="U1948" t="s">
        <v>13610</v>
      </c>
      <c r="V1948" t="s">
        <v>13610</v>
      </c>
      <c r="W1948" t="s">
        <v>15512</v>
      </c>
      <c r="X1948">
        <v>1</v>
      </c>
      <c r="Y1948" t="s">
        <v>22193</v>
      </c>
      <c r="Z1948" t="s">
        <v>28803</v>
      </c>
      <c r="AA1948">
        <v>0.4682095570796298</v>
      </c>
      <c r="AB1948" t="str">
        <f>HYPERLINK("Melting_Curves/meltCurve_P13056_NR2C1.pdf", "Melting_Curves/meltCurve_P13056_NR2C1.pdf")</f>
        <v>Melting_Curves/meltCurve_P13056_NR2C1.pdf</v>
      </c>
    </row>
    <row r="1949" spans="1:28" x14ac:dyDescent="0.25">
      <c r="A1949" t="s">
        <v>1953</v>
      </c>
      <c r="B1949">
        <v>0.995954080203443</v>
      </c>
      <c r="C1949">
        <v>0.92953376694942602</v>
      </c>
      <c r="D1949">
        <v>0.90601637381234601</v>
      </c>
      <c r="E1949">
        <v>0.82249871829445398</v>
      </c>
      <c r="F1949">
        <v>0.74717370409073003</v>
      </c>
      <c r="G1949">
        <v>0.55985704255565205</v>
      </c>
      <c r="H1949">
        <v>0.51363278104224996</v>
      </c>
      <c r="I1949">
        <v>0.62817995104971502</v>
      </c>
      <c r="J1949">
        <v>0.68410009882551004</v>
      </c>
      <c r="K1949">
        <v>0.73306962985691904</v>
      </c>
      <c r="L1949">
        <v>952.89274670726002</v>
      </c>
      <c r="M1949">
        <v>19.2707328514959</v>
      </c>
      <c r="O1949">
        <v>48.924425601420801</v>
      </c>
      <c r="P1949">
        <v>-3.69280812421049E-2</v>
      </c>
      <c r="Q1949">
        <v>0.625002954822235</v>
      </c>
      <c r="R1949">
        <v>0.81391840074211097</v>
      </c>
      <c r="S1949" t="s">
        <v>8755</v>
      </c>
      <c r="T1949" t="s">
        <v>13610</v>
      </c>
      <c r="U1949" t="s">
        <v>13610</v>
      </c>
      <c r="V1949" t="s">
        <v>13610</v>
      </c>
      <c r="W1949" t="s">
        <v>15513</v>
      </c>
      <c r="X1949">
        <v>9</v>
      </c>
      <c r="Y1949" t="s">
        <v>22194</v>
      </c>
      <c r="Z1949" t="s">
        <v>28804</v>
      </c>
      <c r="AA1949">
        <v>0.74873393476378325</v>
      </c>
      <c r="AB1949" t="str">
        <f>HYPERLINK("Melting_Curves/meltCurve_P13073_COX4I1.pdf", "Melting_Curves/meltCurve_P13073_COX4I1.pdf")</f>
        <v>Melting_Curves/meltCurve_P13073_COX4I1.pdf</v>
      </c>
    </row>
    <row r="1950" spans="1:28" x14ac:dyDescent="0.25">
      <c r="A1950" t="s">
        <v>1954</v>
      </c>
      <c r="B1950">
        <v>0.995954080203443</v>
      </c>
      <c r="C1950">
        <v>1.00932518042097</v>
      </c>
      <c r="D1950">
        <v>1.1228525207714699</v>
      </c>
      <c r="E1950">
        <v>0.910214968184337</v>
      </c>
      <c r="F1950">
        <v>0.86475295102647198</v>
      </c>
      <c r="G1950">
        <v>0.58343828120066199</v>
      </c>
      <c r="H1950">
        <v>0.33064925339753498</v>
      </c>
      <c r="I1950">
        <v>0.28897829473951198</v>
      </c>
      <c r="J1950">
        <v>0.32088959876490603</v>
      </c>
      <c r="K1950">
        <v>0.32893989100691101</v>
      </c>
      <c r="L1950">
        <v>1479.9721504685101</v>
      </c>
      <c r="M1950">
        <v>26.4800930268363</v>
      </c>
      <c r="N1950">
        <v>57.842150715776697</v>
      </c>
      <c r="O1950">
        <v>55.574170853903802</v>
      </c>
      <c r="P1950">
        <v>-8.3929662023120494E-2</v>
      </c>
      <c r="Q1950">
        <v>0.29542985697278401</v>
      </c>
      <c r="R1950">
        <v>0.97738546771103696</v>
      </c>
      <c r="S1950" t="s">
        <v>8756</v>
      </c>
      <c r="T1950" t="s">
        <v>13610</v>
      </c>
      <c r="U1950" t="s">
        <v>13610</v>
      </c>
      <c r="V1950" t="s">
        <v>13610</v>
      </c>
      <c r="W1950" t="s">
        <v>15514</v>
      </c>
      <c r="X1950">
        <v>3</v>
      </c>
      <c r="Y1950" t="s">
        <v>22195</v>
      </c>
      <c r="Z1950" t="s">
        <v>28805</v>
      </c>
      <c r="AA1950">
        <v>0.67448888554510178</v>
      </c>
      <c r="AB1950" t="str">
        <f>HYPERLINK("Melting_Curves/meltCurve_P13284_IFI30.pdf", "Melting_Curves/meltCurve_P13284_IFI30.pdf")</f>
        <v>Melting_Curves/meltCurve_P13284_IFI30.pdf</v>
      </c>
    </row>
    <row r="1951" spans="1:28" x14ac:dyDescent="0.25">
      <c r="A1951" t="s">
        <v>1955</v>
      </c>
      <c r="B1951">
        <v>0.995954080203443</v>
      </c>
      <c r="C1951">
        <v>0.97623080839139997</v>
      </c>
      <c r="D1951">
        <v>1.0762116533066599</v>
      </c>
      <c r="E1951">
        <v>0.91945479269252295</v>
      </c>
      <c r="F1951">
        <v>0.88479025455557403</v>
      </c>
      <c r="G1951">
        <v>0.20360275328254601</v>
      </c>
      <c r="H1951">
        <v>9.3598758450024494E-2</v>
      </c>
      <c r="I1951">
        <v>7.4211605334872505E-2</v>
      </c>
      <c r="J1951">
        <v>8.0527541778214806E-2</v>
      </c>
      <c r="K1951">
        <v>6.8343384033409102E-2</v>
      </c>
      <c r="L1951">
        <v>2766.8311450792398</v>
      </c>
      <c r="M1951">
        <v>50.336312165872698</v>
      </c>
      <c r="N1951">
        <v>55.148984240807998</v>
      </c>
      <c r="O1951">
        <v>54.880354733003898</v>
      </c>
      <c r="P1951">
        <v>-0.21174710112970199</v>
      </c>
      <c r="Q1951">
        <v>7.6551638194640698E-2</v>
      </c>
      <c r="R1951">
        <v>0.99360489355452797</v>
      </c>
      <c r="S1951" t="s">
        <v>8757</v>
      </c>
      <c r="T1951" t="s">
        <v>13610</v>
      </c>
      <c r="U1951" t="s">
        <v>13610</v>
      </c>
      <c r="V1951" t="s">
        <v>13610</v>
      </c>
      <c r="W1951" t="s">
        <v>15515</v>
      </c>
      <c r="X1951">
        <v>27</v>
      </c>
      <c r="Y1951" t="s">
        <v>22196</v>
      </c>
      <c r="Z1951" t="s">
        <v>28806</v>
      </c>
      <c r="AA1951">
        <v>0.53946487416140543</v>
      </c>
      <c r="AB1951" t="str">
        <f>HYPERLINK("Melting_Curves/meltCurve_P13489_RNH1.pdf", "Melting_Curves/meltCurve_P13489_RNH1.pdf")</f>
        <v>Melting_Curves/meltCurve_P13489_RNH1.pdf</v>
      </c>
    </row>
    <row r="1952" spans="1:28" x14ac:dyDescent="0.25">
      <c r="A1952" t="s">
        <v>1956</v>
      </c>
      <c r="B1952">
        <v>0.995954080203443</v>
      </c>
      <c r="C1952">
        <v>0.89503488300933798</v>
      </c>
      <c r="D1952">
        <v>0.977679424831986</v>
      </c>
      <c r="E1952">
        <v>0.93548743320139904</v>
      </c>
      <c r="F1952">
        <v>0.94204211090669299</v>
      </c>
      <c r="G1952">
        <v>0.72146836658499602</v>
      </c>
      <c r="H1952">
        <v>0.75611190270001405</v>
      </c>
      <c r="I1952">
        <v>0.93755233137690996</v>
      </c>
      <c r="J1952">
        <v>1.0220397276134701</v>
      </c>
      <c r="K1952">
        <v>1.23089370551384</v>
      </c>
      <c r="L1952">
        <v>15000</v>
      </c>
      <c r="M1952">
        <v>221.630988692702</v>
      </c>
      <c r="O1952">
        <v>67.674556034117799</v>
      </c>
      <c r="P1952">
        <v>0.18916357587325799</v>
      </c>
      <c r="Q1952">
        <v>1.23104279752168</v>
      </c>
      <c r="R1952">
        <v>0.10857130846709299</v>
      </c>
      <c r="S1952" t="s">
        <v>8758</v>
      </c>
      <c r="T1952" t="s">
        <v>13610</v>
      </c>
      <c r="U1952" t="s">
        <v>13610</v>
      </c>
      <c r="V1952" t="s">
        <v>13610</v>
      </c>
      <c r="W1952" t="s">
        <v>15516</v>
      </c>
      <c r="X1952">
        <v>1</v>
      </c>
      <c r="Y1952" t="s">
        <v>22197</v>
      </c>
      <c r="Z1952" t="s">
        <v>28807</v>
      </c>
      <c r="AA1952">
        <v>1.017833518722473</v>
      </c>
      <c r="AB1952" t="str">
        <f>HYPERLINK("Melting_Curves/meltCurve_P13498_CYBA.pdf", "Melting_Curves/meltCurve_P13498_CYBA.pdf")</f>
        <v>Melting_Curves/meltCurve_P13498_CYBA.pdf</v>
      </c>
    </row>
    <row r="1953" spans="1:28" x14ac:dyDescent="0.25">
      <c r="A1953" t="s">
        <v>1957</v>
      </c>
      <c r="B1953">
        <v>0.995954080203443</v>
      </c>
      <c r="C1953">
        <v>1.0527057839540199</v>
      </c>
      <c r="D1953">
        <v>1.0784847685715999</v>
      </c>
      <c r="E1953">
        <v>0.97770243915763799</v>
      </c>
      <c r="F1953">
        <v>0.87362925784914702</v>
      </c>
      <c r="G1953">
        <v>0.53531200901137699</v>
      </c>
      <c r="H1953">
        <v>0.15189701936267</v>
      </c>
      <c r="I1953">
        <v>9.3954314924658597E-2</v>
      </c>
      <c r="J1953">
        <v>8.9628778928629096E-2</v>
      </c>
      <c r="K1953">
        <v>8.6280654303733606E-2</v>
      </c>
      <c r="L1953">
        <v>1672.07750791276</v>
      </c>
      <c r="M1953">
        <v>29.426290287777601</v>
      </c>
      <c r="N1953">
        <v>57.1117973328776</v>
      </c>
      <c r="O1953">
        <v>56.562087785173603</v>
      </c>
      <c r="P1953">
        <v>-0.12105921923964801</v>
      </c>
      <c r="Q1953">
        <v>6.9224984709260806E-2</v>
      </c>
      <c r="R1953">
        <v>0.99363773057208005</v>
      </c>
      <c r="S1953" t="s">
        <v>8759</v>
      </c>
      <c r="T1953" t="s">
        <v>13610</v>
      </c>
      <c r="U1953" t="s">
        <v>13610</v>
      </c>
      <c r="V1953" t="s">
        <v>13610</v>
      </c>
      <c r="W1953" t="s">
        <v>15517</v>
      </c>
      <c r="X1953">
        <v>62</v>
      </c>
      <c r="Y1953" t="s">
        <v>22198</v>
      </c>
      <c r="Z1953" t="s">
        <v>28808</v>
      </c>
      <c r="AA1953">
        <v>0.59757762732519693</v>
      </c>
      <c r="AB1953" t="str">
        <f>HYPERLINK("Melting_Curves/meltCurve_P13639_EEF2.pdf", "Melting_Curves/meltCurve_P13639_EEF2.pdf")</f>
        <v>Melting_Curves/meltCurve_P13639_EEF2.pdf</v>
      </c>
    </row>
    <row r="1954" spans="1:28" x14ac:dyDescent="0.25">
      <c r="A1954" t="s">
        <v>1958</v>
      </c>
      <c r="B1954">
        <v>0.995954080203443</v>
      </c>
      <c r="C1954">
        <v>1.29337443217114</v>
      </c>
      <c r="D1954">
        <v>1.00386273879375</v>
      </c>
      <c r="E1954">
        <v>0.96208898506005303</v>
      </c>
      <c r="F1954">
        <v>1.2126816146988</v>
      </c>
      <c r="G1954">
        <v>0.493095929909527</v>
      </c>
      <c r="H1954">
        <v>0.68549316771563196</v>
      </c>
      <c r="I1954">
        <v>1.2525084949724301</v>
      </c>
      <c r="J1954">
        <v>1.2415563681903301</v>
      </c>
      <c r="K1954">
        <v>0.76016603566024099</v>
      </c>
      <c r="L1954">
        <v>11829.201723800001</v>
      </c>
      <c r="M1954">
        <v>215.66442866941301</v>
      </c>
      <c r="O1954">
        <v>54.845300746077001</v>
      </c>
      <c r="P1954">
        <v>-0.111480600299376</v>
      </c>
      <c r="Q1954">
        <v>0.88659809687087898</v>
      </c>
      <c r="R1954">
        <v>9.4865490646483794E-2</v>
      </c>
      <c r="S1954" t="s">
        <v>8760</v>
      </c>
      <c r="T1954" t="s">
        <v>13610</v>
      </c>
      <c r="U1954" t="s">
        <v>13610</v>
      </c>
      <c r="V1954" t="s">
        <v>13610</v>
      </c>
      <c r="W1954" t="s">
        <v>15518</v>
      </c>
      <c r="X1954">
        <v>36</v>
      </c>
      <c r="Y1954" t="s">
        <v>22199</v>
      </c>
      <c r="Z1954" t="s">
        <v>28809</v>
      </c>
      <c r="AA1954">
        <v>0.94274684571172529</v>
      </c>
      <c r="AB1954" t="str">
        <f>HYPERLINK("Melting_Curves/meltCurve_P13645_KRT10.pdf", "Melting_Curves/meltCurve_P13645_KRT10.pdf")</f>
        <v>Melting_Curves/meltCurve_P13645_KRT10.pdf</v>
      </c>
    </row>
    <row r="1955" spans="1:28" x14ac:dyDescent="0.25">
      <c r="A1955" t="s">
        <v>1959</v>
      </c>
      <c r="B1955">
        <v>0.995954080203443</v>
      </c>
      <c r="C1955">
        <v>1.6556845040768799</v>
      </c>
      <c r="D1955">
        <v>0.90375883471927398</v>
      </c>
      <c r="E1955">
        <v>1.0977737977866699</v>
      </c>
      <c r="F1955">
        <v>1.4540001162040399</v>
      </c>
      <c r="G1955">
        <v>0.444805152510795</v>
      </c>
      <c r="H1955">
        <v>0.767293415088667</v>
      </c>
      <c r="I1955">
        <v>0.68096233705012499</v>
      </c>
      <c r="J1955">
        <v>0.94220249836220904</v>
      </c>
      <c r="K1955">
        <v>0.562364245749849</v>
      </c>
      <c r="L1955">
        <v>3382.2975013243099</v>
      </c>
      <c r="M1955">
        <v>61.200930449065098</v>
      </c>
      <c r="O1955">
        <v>55.206562263504999</v>
      </c>
      <c r="P1955">
        <v>-8.7328446932374695E-2</v>
      </c>
      <c r="Q1955">
        <v>0.68490022147085905</v>
      </c>
      <c r="R1955">
        <v>0.34654738394756401</v>
      </c>
      <c r="S1955" t="s">
        <v>8761</v>
      </c>
      <c r="T1955" t="s">
        <v>13610</v>
      </c>
      <c r="U1955" t="s">
        <v>13610</v>
      </c>
      <c r="V1955" t="s">
        <v>13610</v>
      </c>
      <c r="W1955" t="s">
        <v>15519</v>
      </c>
      <c r="X1955">
        <v>26</v>
      </c>
      <c r="Y1955" t="s">
        <v>22200</v>
      </c>
      <c r="Z1955" t="s">
        <v>28810</v>
      </c>
      <c r="AA1955">
        <v>0.84575001835093067</v>
      </c>
      <c r="AB1955" t="str">
        <f>HYPERLINK("Melting_Curves/meltCurve_P13647_KRT5.pdf", "Melting_Curves/meltCurve_P13647_KRT5.pdf")</f>
        <v>Melting_Curves/meltCurve_P13647_KRT5.pdf</v>
      </c>
    </row>
    <row r="1956" spans="1:28" x14ac:dyDescent="0.25">
      <c r="A1956" t="s">
        <v>1960</v>
      </c>
      <c r="B1956">
        <v>0.995954080203443</v>
      </c>
      <c r="C1956">
        <v>1.0154074597748799</v>
      </c>
      <c r="D1956">
        <v>1.0368941545054</v>
      </c>
      <c r="E1956">
        <v>0.77484031898330197</v>
      </c>
      <c r="F1956">
        <v>0.374469163399752</v>
      </c>
      <c r="G1956">
        <v>0.16225363102842999</v>
      </c>
      <c r="H1956">
        <v>8.6748941494353096E-2</v>
      </c>
      <c r="I1956">
        <v>7.1307276305110995E-2</v>
      </c>
      <c r="J1956">
        <v>7.6506399561497004E-2</v>
      </c>
      <c r="K1956">
        <v>7.2082233775215304E-2</v>
      </c>
      <c r="L1956">
        <v>1641.8188704136801</v>
      </c>
      <c r="M1956">
        <v>31.689046813258599</v>
      </c>
      <c r="N1956">
        <v>52.098478159250398</v>
      </c>
      <c r="O1956">
        <v>51.605281187148897</v>
      </c>
      <c r="P1956">
        <v>-0.14117567698670999</v>
      </c>
      <c r="Q1956">
        <v>8.0392394002962705E-2</v>
      </c>
      <c r="R1956">
        <v>0.99733459493814602</v>
      </c>
      <c r="S1956" t="s">
        <v>8762</v>
      </c>
      <c r="T1956" t="s">
        <v>13610</v>
      </c>
      <c r="U1956" t="s">
        <v>13610</v>
      </c>
      <c r="V1956" t="s">
        <v>13610</v>
      </c>
      <c r="W1956" t="s">
        <v>15520</v>
      </c>
      <c r="X1956">
        <v>49</v>
      </c>
      <c r="Y1956" t="s">
        <v>22201</v>
      </c>
      <c r="Z1956" t="s">
        <v>28811</v>
      </c>
      <c r="AA1956">
        <v>0.44767310419110551</v>
      </c>
      <c r="AB1956" t="str">
        <f>HYPERLINK("Melting_Curves/meltCurve_P13667_PDIA4.pdf", "Melting_Curves/meltCurve_P13667_PDIA4.pdf")</f>
        <v>Melting_Curves/meltCurve_P13667_PDIA4.pdf</v>
      </c>
    </row>
    <row r="1957" spans="1:28" x14ac:dyDescent="0.25">
      <c r="A1957" t="s">
        <v>1961</v>
      </c>
      <c r="B1957">
        <v>0.995954080203443</v>
      </c>
      <c r="C1957">
        <v>0.73933413981707996</v>
      </c>
      <c r="D1957">
        <v>0.44387367379071702</v>
      </c>
      <c r="E1957">
        <v>0.41738702898251701</v>
      </c>
      <c r="F1957">
        <v>0.214671129494931</v>
      </c>
      <c r="G1957">
        <v>0.134260257800839</v>
      </c>
      <c r="H1957">
        <v>8.0009317022120996E-2</v>
      </c>
      <c r="I1957">
        <v>7.1028062474107506E-2</v>
      </c>
      <c r="J1957">
        <v>7.2435261350168506E-2</v>
      </c>
      <c r="K1957">
        <v>6.9348283716633402E-2</v>
      </c>
      <c r="L1957">
        <v>601.76841128334695</v>
      </c>
      <c r="M1957">
        <v>12.989555217145501</v>
      </c>
      <c r="N1957">
        <v>46.769298843097701</v>
      </c>
      <c r="O1957">
        <v>45.2703394567068</v>
      </c>
      <c r="P1957">
        <v>-6.7600014687904303E-2</v>
      </c>
      <c r="Q1957">
        <v>5.7786434374468197E-2</v>
      </c>
      <c r="R1957">
        <v>0.96598773100995905</v>
      </c>
      <c r="S1957" t="s">
        <v>8763</v>
      </c>
      <c r="T1957" t="s">
        <v>13610</v>
      </c>
      <c r="U1957" t="s">
        <v>13610</v>
      </c>
      <c r="V1957" t="s">
        <v>13610</v>
      </c>
      <c r="W1957" t="s">
        <v>15521</v>
      </c>
      <c r="X1957">
        <v>6</v>
      </c>
      <c r="Y1957" t="s">
        <v>22202</v>
      </c>
      <c r="Z1957" t="s">
        <v>28812</v>
      </c>
      <c r="AA1957">
        <v>0.29237391129106099</v>
      </c>
      <c r="AB1957" t="str">
        <f>HYPERLINK("Melting_Curves/meltCurve_P13674_2_P4HA1.pdf", "Melting_Curves/meltCurve_P13674_2_P4HA1.pdf")</f>
        <v>Melting_Curves/meltCurve_P13674_2_P4HA1.pdf</v>
      </c>
    </row>
    <row r="1958" spans="1:28" x14ac:dyDescent="0.25">
      <c r="A1958" t="s">
        <v>1962</v>
      </c>
      <c r="B1958">
        <v>0.995954080203443</v>
      </c>
      <c r="C1958">
        <v>0.99716111282820596</v>
      </c>
      <c r="D1958">
        <v>0.86598361415731095</v>
      </c>
      <c r="E1958">
        <v>0.82927672256746499</v>
      </c>
      <c r="F1958">
        <v>0.78537877267294898</v>
      </c>
      <c r="G1958">
        <v>0.58826570683587498</v>
      </c>
      <c r="H1958">
        <v>0.61993299642093702</v>
      </c>
      <c r="I1958">
        <v>0.65410633709921095</v>
      </c>
      <c r="J1958">
        <v>0.84760661529715198</v>
      </c>
      <c r="K1958">
        <v>0.80488971564776501</v>
      </c>
      <c r="L1958">
        <v>978.61355533632297</v>
      </c>
      <c r="M1958">
        <v>20.548810679216601</v>
      </c>
      <c r="O1958">
        <v>47.179720911443603</v>
      </c>
      <c r="P1958">
        <v>-3.1378784961881498E-2</v>
      </c>
      <c r="Q1958">
        <v>0.71182786397276798</v>
      </c>
      <c r="R1958">
        <v>0.65952750457316001</v>
      </c>
      <c r="S1958" t="s">
        <v>8764</v>
      </c>
      <c r="T1958" t="s">
        <v>13610</v>
      </c>
      <c r="U1958" t="s">
        <v>13610</v>
      </c>
      <c r="V1958" t="s">
        <v>13610</v>
      </c>
      <c r="W1958" t="s">
        <v>15522</v>
      </c>
      <c r="X1958">
        <v>4</v>
      </c>
      <c r="Y1958" t="s">
        <v>22203</v>
      </c>
      <c r="Z1958" t="s">
        <v>28813</v>
      </c>
      <c r="AA1958">
        <v>0.78895826296103366</v>
      </c>
      <c r="AB1958" t="str">
        <f>HYPERLINK("Melting_Curves/meltCurve_P13682_ZNF35.pdf", "Melting_Curves/meltCurve_P13682_ZNF35.pdf")</f>
        <v>Melting_Curves/meltCurve_P13682_ZNF35.pdf</v>
      </c>
    </row>
    <row r="1959" spans="1:28" x14ac:dyDescent="0.25">
      <c r="A1959" t="s">
        <v>1963</v>
      </c>
      <c r="B1959">
        <v>0.995954080203443</v>
      </c>
      <c r="C1959">
        <v>1.0032505787105299</v>
      </c>
      <c r="D1959">
        <v>1.0498043190178401</v>
      </c>
      <c r="E1959">
        <v>0.77901730992268303</v>
      </c>
      <c r="F1959">
        <v>0.44488683700829601</v>
      </c>
      <c r="G1959">
        <v>0.18080631648427301</v>
      </c>
      <c r="H1959">
        <v>0.122864663452498</v>
      </c>
      <c r="I1959">
        <v>0.12549019757510399</v>
      </c>
      <c r="J1959">
        <v>0.158538417544027</v>
      </c>
      <c r="K1959">
        <v>0.1432250016919</v>
      </c>
      <c r="L1959">
        <v>1625.5758214242701</v>
      </c>
      <c r="M1959">
        <v>31.3175000988678</v>
      </c>
      <c r="N1959">
        <v>52.433246421316298</v>
      </c>
      <c r="O1959">
        <v>51.696048750859298</v>
      </c>
      <c r="P1959">
        <v>-0.13100392366092301</v>
      </c>
      <c r="Q1959">
        <v>0.13500792427351799</v>
      </c>
      <c r="R1959">
        <v>0.9960547668634</v>
      </c>
      <c r="S1959" t="s">
        <v>8765</v>
      </c>
      <c r="T1959" t="s">
        <v>13610</v>
      </c>
      <c r="U1959" t="s">
        <v>13610</v>
      </c>
      <c r="V1959" t="s">
        <v>13610</v>
      </c>
      <c r="W1959" t="s">
        <v>15523</v>
      </c>
      <c r="X1959">
        <v>11</v>
      </c>
      <c r="Y1959" t="s">
        <v>22204</v>
      </c>
      <c r="Z1959" t="s">
        <v>28814</v>
      </c>
      <c r="AA1959">
        <v>0.48336986260469422</v>
      </c>
      <c r="AB1959" t="str">
        <f>HYPERLINK("Melting_Curves/meltCurve_P13693_TPT1.pdf", "Melting_Curves/meltCurve_P13693_TPT1.pdf")</f>
        <v>Melting_Curves/meltCurve_P13693_TPT1.pdf</v>
      </c>
    </row>
    <row r="1960" spans="1:28" x14ac:dyDescent="0.25">
      <c r="A1960" t="s">
        <v>1964</v>
      </c>
      <c r="B1960">
        <v>0.995954080203443</v>
      </c>
      <c r="C1960">
        <v>1.0365315883961199</v>
      </c>
      <c r="D1960">
        <v>1.0415175323558901</v>
      </c>
      <c r="E1960">
        <v>0.97461066026713605</v>
      </c>
      <c r="F1960">
        <v>0.91762934686147701</v>
      </c>
      <c r="G1960">
        <v>0.79735355797177299</v>
      </c>
      <c r="H1960">
        <v>0.68769520902633996</v>
      </c>
      <c r="I1960">
        <v>0.81651121944933402</v>
      </c>
      <c r="J1960">
        <v>0.91596535952388503</v>
      </c>
      <c r="K1960">
        <v>0.22951146304974299</v>
      </c>
      <c r="L1960">
        <v>703.986054978884</v>
      </c>
      <c r="M1960">
        <v>10.0844420441232</v>
      </c>
      <c r="N1960">
        <v>69.809122946133101</v>
      </c>
      <c r="O1960">
        <v>67.230736358859701</v>
      </c>
      <c r="P1960">
        <v>-3.7517030465264098E-2</v>
      </c>
      <c r="Q1960">
        <v>0</v>
      </c>
      <c r="R1960">
        <v>0.60541044115027698</v>
      </c>
      <c r="S1960" t="s">
        <v>8766</v>
      </c>
      <c r="T1960" t="s">
        <v>13610</v>
      </c>
      <c r="U1960" t="s">
        <v>13610</v>
      </c>
      <c r="V1960" t="s">
        <v>13610</v>
      </c>
      <c r="W1960" t="s">
        <v>15524</v>
      </c>
      <c r="X1960">
        <v>48</v>
      </c>
      <c r="Y1960" t="s">
        <v>22205</v>
      </c>
      <c r="Z1960" t="s">
        <v>28815</v>
      </c>
      <c r="AA1960">
        <v>0.86571245176601663</v>
      </c>
      <c r="AB1960" t="str">
        <f>HYPERLINK("Melting_Curves/meltCurve_P13796_LCP1.pdf", "Melting_Curves/meltCurve_P13796_LCP1.pdf")</f>
        <v>Melting_Curves/meltCurve_P13796_LCP1.pdf</v>
      </c>
    </row>
    <row r="1961" spans="1:28" x14ac:dyDescent="0.25">
      <c r="A1961" t="s">
        <v>1965</v>
      </c>
      <c r="B1961">
        <v>0.995954080203443</v>
      </c>
      <c r="C1961">
        <v>1.1498353746459899</v>
      </c>
      <c r="D1961">
        <v>1.08057894397831</v>
      </c>
      <c r="E1961">
        <v>1.05357366181997</v>
      </c>
      <c r="F1961">
        <v>1.0989250231368799</v>
      </c>
      <c r="G1961">
        <v>0.90689815782301797</v>
      </c>
      <c r="H1961">
        <v>0.69226377448068399</v>
      </c>
      <c r="I1961">
        <v>0.95105681240531803</v>
      </c>
      <c r="J1961">
        <v>0.46332496665463901</v>
      </c>
      <c r="K1961">
        <v>0.14302704660068999</v>
      </c>
      <c r="L1961">
        <v>2549.2831323262399</v>
      </c>
      <c r="M1961">
        <v>38.117053077663499</v>
      </c>
      <c r="N1961">
        <v>66.880383631879894</v>
      </c>
      <c r="O1961">
        <v>66.697097239869194</v>
      </c>
      <c r="P1961">
        <v>-0.14287409449869901</v>
      </c>
      <c r="Q1961">
        <v>0</v>
      </c>
      <c r="R1961">
        <v>0.85201715234494402</v>
      </c>
      <c r="S1961" t="s">
        <v>8767</v>
      </c>
      <c r="T1961" t="s">
        <v>13610</v>
      </c>
      <c r="U1961" t="s">
        <v>13610</v>
      </c>
      <c r="V1961" t="s">
        <v>13610</v>
      </c>
      <c r="W1961" t="s">
        <v>15525</v>
      </c>
      <c r="X1961">
        <v>10</v>
      </c>
      <c r="Y1961" t="s">
        <v>22206</v>
      </c>
      <c r="Z1961" t="s">
        <v>28816</v>
      </c>
      <c r="AA1961">
        <v>0.88967216394910409</v>
      </c>
      <c r="AB1961" t="str">
        <f>HYPERLINK("Melting_Curves/meltCurve_P13797_PLS3.pdf", "Melting_Curves/meltCurve_P13797_PLS3.pdf")</f>
        <v>Melting_Curves/meltCurve_P13797_PLS3.pdf</v>
      </c>
    </row>
    <row r="1962" spans="1:28" x14ac:dyDescent="0.25">
      <c r="A1962" t="s">
        <v>1966</v>
      </c>
      <c r="B1962">
        <v>0.995954080203443</v>
      </c>
      <c r="C1962">
        <v>0.87069806116781401</v>
      </c>
      <c r="D1962">
        <v>0.75396790377214995</v>
      </c>
      <c r="E1962">
        <v>0.92040630588901595</v>
      </c>
      <c r="F1962">
        <v>0.71364552545330995</v>
      </c>
      <c r="G1962">
        <v>0.58812756631832397</v>
      </c>
      <c r="H1962">
        <v>0.32285671456383003</v>
      </c>
      <c r="I1962">
        <v>0.27711813929302997</v>
      </c>
      <c r="J1962">
        <v>0.12763721085983601</v>
      </c>
      <c r="K1962">
        <v>9.2738979487357903E-2</v>
      </c>
      <c r="L1962">
        <v>620.189940268133</v>
      </c>
      <c r="M1962">
        <v>10.7775058635122</v>
      </c>
      <c r="N1962">
        <v>57.5448475367686</v>
      </c>
      <c r="O1962">
        <v>55.669897013826201</v>
      </c>
      <c r="P1962">
        <v>-4.8416829003306502E-2</v>
      </c>
      <c r="Q1962">
        <v>0</v>
      </c>
      <c r="R1962">
        <v>0.940107761816387</v>
      </c>
      <c r="S1962" t="s">
        <v>8768</v>
      </c>
      <c r="T1962" t="s">
        <v>13610</v>
      </c>
      <c r="U1962" t="s">
        <v>13610</v>
      </c>
      <c r="V1962" t="s">
        <v>13610</v>
      </c>
      <c r="W1962" t="s">
        <v>15526</v>
      </c>
      <c r="X1962">
        <v>21</v>
      </c>
      <c r="Y1962" t="s">
        <v>22207</v>
      </c>
      <c r="Z1962" t="s">
        <v>28817</v>
      </c>
      <c r="AA1962">
        <v>0.59856273165862361</v>
      </c>
      <c r="AB1962" t="str">
        <f>HYPERLINK("Melting_Curves/meltCurve_P13798_APEH.pdf", "Melting_Curves/meltCurve_P13798_APEH.pdf")</f>
        <v>Melting_Curves/meltCurve_P13798_APEH.pdf</v>
      </c>
    </row>
    <row r="1963" spans="1:28" x14ac:dyDescent="0.25">
      <c r="A1963" t="s">
        <v>1967</v>
      </c>
      <c r="B1963">
        <v>0.995954080203443</v>
      </c>
      <c r="C1963">
        <v>0.82212375073704202</v>
      </c>
      <c r="D1963">
        <v>0.48273240495245401</v>
      </c>
      <c r="E1963">
        <v>0.29163078288371402</v>
      </c>
      <c r="F1963">
        <v>0.17633687836984099</v>
      </c>
      <c r="G1963">
        <v>9.1032275460339096E-2</v>
      </c>
      <c r="H1963">
        <v>5.0120343555782397E-2</v>
      </c>
      <c r="I1963">
        <v>4.1936649119034698E-2</v>
      </c>
      <c r="J1963">
        <v>4.7532196930766997E-2</v>
      </c>
      <c r="K1963">
        <v>4.2220017475257603E-2</v>
      </c>
      <c r="L1963">
        <v>784.33805957549805</v>
      </c>
      <c r="M1963">
        <v>16.954654905304199</v>
      </c>
      <c r="N1963">
        <v>46.532957804297098</v>
      </c>
      <c r="O1963">
        <v>45.631749472702197</v>
      </c>
      <c r="P1963">
        <v>-8.8511395206649898E-2</v>
      </c>
      <c r="Q1963">
        <v>4.7181414507384702E-2</v>
      </c>
      <c r="R1963">
        <v>0.99043684514578101</v>
      </c>
      <c r="S1963" t="s">
        <v>8769</v>
      </c>
      <c r="T1963" t="s">
        <v>13610</v>
      </c>
      <c r="U1963" t="s">
        <v>13610</v>
      </c>
      <c r="V1963" t="s">
        <v>13610</v>
      </c>
      <c r="W1963" t="s">
        <v>15527</v>
      </c>
      <c r="X1963">
        <v>17</v>
      </c>
      <c r="Y1963" t="s">
        <v>22208</v>
      </c>
      <c r="Z1963" t="s">
        <v>28818</v>
      </c>
      <c r="AA1963">
        <v>0.26698375006353492</v>
      </c>
      <c r="AB1963" t="str">
        <f>HYPERLINK("Melting_Curves/meltCurve_P13804_ETFA.pdf", "Melting_Curves/meltCurve_P13804_ETFA.pdf")</f>
        <v>Melting_Curves/meltCurve_P13804_ETFA.pdf</v>
      </c>
    </row>
    <row r="1964" spans="1:28" x14ac:dyDescent="0.25">
      <c r="A1964" t="s">
        <v>1968</v>
      </c>
      <c r="B1964">
        <v>0.995954080203443</v>
      </c>
      <c r="C1964">
        <v>1.01585790077992</v>
      </c>
      <c r="D1964">
        <v>0.95282760167358205</v>
      </c>
      <c r="E1964">
        <v>0.67660922710618998</v>
      </c>
      <c r="F1964">
        <v>0.38209479802160501</v>
      </c>
      <c r="G1964">
        <v>0.17117248605680099</v>
      </c>
      <c r="H1964">
        <v>0.102654493157827</v>
      </c>
      <c r="I1964">
        <v>9.26608744458257E-2</v>
      </c>
      <c r="J1964">
        <v>0.10062528612351</v>
      </c>
      <c r="K1964">
        <v>9.1783869062671705E-2</v>
      </c>
      <c r="L1964">
        <v>1234.4150089645</v>
      </c>
      <c r="M1964">
        <v>24.0600241192022</v>
      </c>
      <c r="N1964">
        <v>51.7345574465173</v>
      </c>
      <c r="O1964">
        <v>50.955158685251497</v>
      </c>
      <c r="P1964">
        <v>-0.107373226388189</v>
      </c>
      <c r="Q1964">
        <v>9.0419177193853603E-2</v>
      </c>
      <c r="R1964">
        <v>0.99944051642642395</v>
      </c>
      <c r="S1964" t="s">
        <v>8770</v>
      </c>
      <c r="T1964" t="s">
        <v>13610</v>
      </c>
      <c r="U1964" t="s">
        <v>13610</v>
      </c>
      <c r="V1964" t="s">
        <v>13610</v>
      </c>
      <c r="W1964" t="s">
        <v>15528</v>
      </c>
      <c r="X1964">
        <v>24</v>
      </c>
      <c r="Y1964" t="s">
        <v>22209</v>
      </c>
      <c r="Z1964" t="s">
        <v>28819</v>
      </c>
      <c r="AA1964">
        <v>0.44208244152184528</v>
      </c>
      <c r="AB1964" t="str">
        <f>HYPERLINK("Melting_Curves/meltCurve_P13861_PRKAR2A.pdf", "Melting_Curves/meltCurve_P13861_PRKAR2A.pdf")</f>
        <v>Melting_Curves/meltCurve_P13861_PRKAR2A.pdf</v>
      </c>
    </row>
    <row r="1965" spans="1:28" x14ac:dyDescent="0.25">
      <c r="A1965" t="s">
        <v>1969</v>
      </c>
      <c r="B1965">
        <v>0.995954080203443</v>
      </c>
      <c r="C1965">
        <v>0.99851968034587302</v>
      </c>
      <c r="D1965">
        <v>1.10299287429467</v>
      </c>
      <c r="E1965">
        <v>0.81231088759621095</v>
      </c>
      <c r="F1965">
        <v>0.76267841345824705</v>
      </c>
      <c r="G1965">
        <v>0.64298671640057103</v>
      </c>
      <c r="H1965">
        <v>0.44812614961453801</v>
      </c>
      <c r="I1965">
        <v>0.20761765922893199</v>
      </c>
      <c r="J1965">
        <v>0.13559390158093801</v>
      </c>
      <c r="K1965">
        <v>0.12209833038916</v>
      </c>
      <c r="L1965">
        <v>754.884837765763</v>
      </c>
      <c r="M1965">
        <v>12.8399712446107</v>
      </c>
      <c r="N1965">
        <v>58.791785759418701</v>
      </c>
      <c r="O1965">
        <v>57.420475590221301</v>
      </c>
      <c r="P1965">
        <v>-5.5913634815925199E-2</v>
      </c>
      <c r="Q1965">
        <v>0</v>
      </c>
      <c r="R1965">
        <v>0.97041623961880896</v>
      </c>
      <c r="S1965" t="s">
        <v>8771</v>
      </c>
      <c r="T1965" t="s">
        <v>13610</v>
      </c>
      <c r="U1965" t="s">
        <v>13610</v>
      </c>
      <c r="V1965" t="s">
        <v>13610</v>
      </c>
      <c r="W1965" t="s">
        <v>15529</v>
      </c>
      <c r="X1965">
        <v>9</v>
      </c>
      <c r="Y1965" t="s">
        <v>22210</v>
      </c>
      <c r="Z1965" t="s">
        <v>28820</v>
      </c>
      <c r="AA1965">
        <v>0.63634613364926851</v>
      </c>
      <c r="AB1965" t="str">
        <f>HYPERLINK("Melting_Curves/meltCurve_P13929_3_ENO3.pdf", "Melting_Curves/meltCurve_P13929_3_ENO3.pdf")</f>
        <v>Melting_Curves/meltCurve_P13929_3_ENO3.pdf</v>
      </c>
    </row>
    <row r="1966" spans="1:28" x14ac:dyDescent="0.25">
      <c r="A1966" t="s">
        <v>1970</v>
      </c>
      <c r="B1966">
        <v>0.995954080203443</v>
      </c>
      <c r="C1966">
        <v>1.0437640466689899</v>
      </c>
      <c r="D1966">
        <v>1.1568038442964499</v>
      </c>
      <c r="E1966">
        <v>0.95079865206430303</v>
      </c>
      <c r="F1966">
        <v>0.895509217758786</v>
      </c>
      <c r="G1966">
        <v>0.54834434542895105</v>
      </c>
      <c r="H1966">
        <v>0.37507152588006798</v>
      </c>
      <c r="I1966">
        <v>0.36431621636530298</v>
      </c>
      <c r="J1966">
        <v>0.35330882136688502</v>
      </c>
      <c r="K1966">
        <v>0.38125769224662198</v>
      </c>
      <c r="L1966">
        <v>1886.8285217052101</v>
      </c>
      <c r="M1966">
        <v>34.0040486193936</v>
      </c>
      <c r="N1966">
        <v>57.644736945394897</v>
      </c>
      <c r="O1966">
        <v>55.297494022760297</v>
      </c>
      <c r="P1966">
        <v>-9.8409204696796995E-2</v>
      </c>
      <c r="Q1966">
        <v>0.35986907340916502</v>
      </c>
      <c r="R1966">
        <v>0.97077994110042498</v>
      </c>
      <c r="S1966" t="s">
        <v>8772</v>
      </c>
      <c r="T1966" t="s">
        <v>13610</v>
      </c>
      <c r="U1966" t="s">
        <v>13610</v>
      </c>
      <c r="V1966" t="s">
        <v>13610</v>
      </c>
      <c r="W1966" t="s">
        <v>15530</v>
      </c>
      <c r="X1966">
        <v>15</v>
      </c>
      <c r="Y1966" t="s">
        <v>22211</v>
      </c>
      <c r="Z1966" t="s">
        <v>28821</v>
      </c>
      <c r="AA1966">
        <v>0.69371283603885936</v>
      </c>
      <c r="AB1966" t="str">
        <f>HYPERLINK("Melting_Curves/meltCurve_P13984_GTF2F2.pdf", "Melting_Curves/meltCurve_P13984_GTF2F2.pdf")</f>
        <v>Melting_Curves/meltCurve_P13984_GTF2F2.pdf</v>
      </c>
    </row>
    <row r="1967" spans="1:28" x14ac:dyDescent="0.25">
      <c r="A1967" t="s">
        <v>1971</v>
      </c>
      <c r="B1967">
        <v>0.995954080203443</v>
      </c>
      <c r="C1967">
        <v>0.918444906168563</v>
      </c>
      <c r="D1967">
        <v>0.62620508523140195</v>
      </c>
      <c r="E1967">
        <v>0.38049666994029102</v>
      </c>
      <c r="F1967">
        <v>0.18147735214317301</v>
      </c>
      <c r="G1967">
        <v>0.10514427248586999</v>
      </c>
      <c r="H1967">
        <v>6.3333798013286993E-2</v>
      </c>
      <c r="I1967">
        <v>6.6387820633129896E-2</v>
      </c>
      <c r="J1967">
        <v>6.4887455568008595E-2</v>
      </c>
      <c r="K1967">
        <v>7.8270605714041999E-2</v>
      </c>
      <c r="L1967">
        <v>850.34962063825503</v>
      </c>
      <c r="M1967">
        <v>17.853797711371101</v>
      </c>
      <c r="N1967">
        <v>47.972524758493499</v>
      </c>
      <c r="O1967">
        <v>47.0430381000983</v>
      </c>
      <c r="P1967">
        <v>-8.9183479923348005E-2</v>
      </c>
      <c r="Q1967">
        <v>6.0088487555540103E-2</v>
      </c>
      <c r="R1967">
        <v>0.99497601837444205</v>
      </c>
      <c r="S1967" t="s">
        <v>8773</v>
      </c>
      <c r="T1967" t="s">
        <v>13610</v>
      </c>
      <c r="U1967" t="s">
        <v>13610</v>
      </c>
      <c r="V1967" t="s">
        <v>13610</v>
      </c>
      <c r="W1967" t="s">
        <v>15531</v>
      </c>
      <c r="X1967">
        <v>6</v>
      </c>
      <c r="Y1967" t="s">
        <v>22212</v>
      </c>
      <c r="Z1967" t="s">
        <v>28822</v>
      </c>
      <c r="AA1967">
        <v>0.31627077276349691</v>
      </c>
      <c r="AB1967" t="str">
        <f>HYPERLINK("Melting_Curves/meltCurve_P13995_MTHFD2.pdf", "Melting_Curves/meltCurve_P13995_MTHFD2.pdf")</f>
        <v>Melting_Curves/meltCurve_P13995_MTHFD2.pdf</v>
      </c>
    </row>
    <row r="1968" spans="1:28" x14ac:dyDescent="0.25">
      <c r="A1968" t="s">
        <v>1972</v>
      </c>
      <c r="B1968">
        <v>0.995954080203443</v>
      </c>
      <c r="C1968">
        <v>1.2150041322981</v>
      </c>
      <c r="D1968">
        <v>1.1443563499606599</v>
      </c>
      <c r="E1968">
        <v>1.0843784192114001</v>
      </c>
      <c r="F1968">
        <v>1.0288602364222099</v>
      </c>
      <c r="G1968">
        <v>0.80695556435234705</v>
      </c>
      <c r="H1968">
        <v>0.60949251121231895</v>
      </c>
      <c r="I1968">
        <v>0.68391631659764796</v>
      </c>
      <c r="J1968">
        <v>0.65450346494874001</v>
      </c>
      <c r="K1968">
        <v>0.42113302339159298</v>
      </c>
      <c r="L1968">
        <v>2325.6242701568399</v>
      </c>
      <c r="M1968">
        <v>40.534023787094903</v>
      </c>
      <c r="O1968">
        <v>57.235505129014001</v>
      </c>
      <c r="P1968">
        <v>-7.4249898138072007E-2</v>
      </c>
      <c r="Q1968">
        <v>0.58062668668691397</v>
      </c>
      <c r="R1968">
        <v>0.81645539336594497</v>
      </c>
      <c r="S1968" t="s">
        <v>8774</v>
      </c>
      <c r="T1968" t="s">
        <v>13610</v>
      </c>
      <c r="U1968" t="s">
        <v>13610</v>
      </c>
      <c r="V1968" t="s">
        <v>13610</v>
      </c>
      <c r="W1968" t="s">
        <v>15532</v>
      </c>
      <c r="X1968">
        <v>5</v>
      </c>
      <c r="Y1968" t="s">
        <v>22213</v>
      </c>
      <c r="Z1968" t="s">
        <v>28823</v>
      </c>
      <c r="AA1968">
        <v>0.82510720141050842</v>
      </c>
      <c r="AB1968" t="str">
        <f>HYPERLINK("Melting_Curves/meltCurve_P14174_MIF.pdf", "Melting_Curves/meltCurve_P14174_MIF.pdf")</f>
        <v>Melting_Curves/meltCurve_P14174_MIF.pdf</v>
      </c>
    </row>
    <row r="1969" spans="1:28" x14ac:dyDescent="0.25">
      <c r="A1969" t="s">
        <v>1973</v>
      </c>
      <c r="B1969">
        <v>0.995954080203443</v>
      </c>
      <c r="C1969">
        <v>0.85273419333507705</v>
      </c>
      <c r="D1969">
        <v>1.1118676428195999</v>
      </c>
      <c r="E1969">
        <v>0.73089394505298799</v>
      </c>
      <c r="F1969">
        <v>0.81259166641029401</v>
      </c>
      <c r="G1969">
        <v>0.67132047350898505</v>
      </c>
      <c r="H1969">
        <v>0.76574173299741299</v>
      </c>
      <c r="I1969">
        <v>1.0621368281377399</v>
      </c>
      <c r="J1969">
        <v>1.2061457829836899</v>
      </c>
      <c r="K1969">
        <v>1.1719376503160299</v>
      </c>
      <c r="L1969">
        <v>15000</v>
      </c>
      <c r="M1969">
        <v>233.660848346341</v>
      </c>
      <c r="O1969">
        <v>64.190902925979501</v>
      </c>
      <c r="P1969">
        <v>0.17203636921329499</v>
      </c>
      <c r="Q1969">
        <v>1.1890461357083899</v>
      </c>
      <c r="R1969">
        <v>0.108258227872473</v>
      </c>
      <c r="S1969" t="s">
        <v>8775</v>
      </c>
      <c r="T1969" t="s">
        <v>13610</v>
      </c>
      <c r="U1969" t="s">
        <v>13610</v>
      </c>
      <c r="V1969" t="s">
        <v>13610</v>
      </c>
      <c r="W1969" t="s">
        <v>15533</v>
      </c>
      <c r="X1969">
        <v>2</v>
      </c>
      <c r="Y1969" t="s">
        <v>22214</v>
      </c>
      <c r="Z1969" t="s">
        <v>28824</v>
      </c>
      <c r="AA1969">
        <v>1.0365522200624</v>
      </c>
      <c r="AB1969" t="str">
        <f>HYPERLINK("Melting_Curves/meltCurve_P14209_3_CD99.pdf", "Melting_Curves/meltCurve_P14209_3_CD99.pdf")</f>
        <v>Melting_Curves/meltCurve_P14209_3_CD99.pdf</v>
      </c>
    </row>
    <row r="1970" spans="1:28" x14ac:dyDescent="0.25">
      <c r="A1970" t="s">
        <v>1974</v>
      </c>
      <c r="B1970">
        <v>0.995954080203443</v>
      </c>
      <c r="C1970">
        <v>0.96223594242896504</v>
      </c>
      <c r="D1970">
        <v>0.92111667938536701</v>
      </c>
      <c r="E1970">
        <v>0.82642866443907503</v>
      </c>
      <c r="F1970">
        <v>0.63951018862208298</v>
      </c>
      <c r="G1970">
        <v>0.48270789280746301</v>
      </c>
      <c r="H1970">
        <v>0.42912047409335602</v>
      </c>
      <c r="I1970">
        <v>0.56547069269865702</v>
      </c>
      <c r="J1970">
        <v>0.74550630333561296</v>
      </c>
      <c r="K1970">
        <v>0.76411432000086799</v>
      </c>
      <c r="L1970">
        <v>1993.6228846742499</v>
      </c>
      <c r="M1970">
        <v>39.719828760774803</v>
      </c>
      <c r="O1970">
        <v>50.065413463068197</v>
      </c>
      <c r="P1970">
        <v>-7.9865324953743197E-2</v>
      </c>
      <c r="Q1970">
        <v>0.59733142162652897</v>
      </c>
      <c r="R1970">
        <v>0.72295162358640297</v>
      </c>
      <c r="S1970" t="s">
        <v>8776</v>
      </c>
      <c r="T1970" t="s">
        <v>13610</v>
      </c>
      <c r="U1970" t="s">
        <v>13610</v>
      </c>
      <c r="V1970" t="s">
        <v>13610</v>
      </c>
      <c r="W1970" t="s">
        <v>15534</v>
      </c>
      <c r="X1970">
        <v>18</v>
      </c>
      <c r="Y1970" t="s">
        <v>22215</v>
      </c>
      <c r="Z1970" t="s">
        <v>28825</v>
      </c>
      <c r="AA1970">
        <v>0.73555047308332322</v>
      </c>
      <c r="AB1970" t="str">
        <f>HYPERLINK("Melting_Curves/meltCurve_P14314_2_PRKCSH.pdf", "Melting_Curves/meltCurve_P14314_2_PRKCSH.pdf")</f>
        <v>Melting_Curves/meltCurve_P14314_2_PRKCSH.pdf</v>
      </c>
    </row>
    <row r="1971" spans="1:28" x14ac:dyDescent="0.25">
      <c r="A1971" t="s">
        <v>1975</v>
      </c>
      <c r="B1971">
        <v>0.995954080203443</v>
      </c>
      <c r="C1971">
        <v>0.95647761859470604</v>
      </c>
      <c r="D1971">
        <v>0.95837521978537898</v>
      </c>
      <c r="E1971">
        <v>0.83653410960254604</v>
      </c>
      <c r="F1971">
        <v>0.80025245662820998</v>
      </c>
      <c r="G1971">
        <v>0.64893207009753395</v>
      </c>
      <c r="H1971">
        <v>0.61953426415258495</v>
      </c>
      <c r="I1971">
        <v>0.72956930506471396</v>
      </c>
      <c r="J1971">
        <v>0.77467128652221695</v>
      </c>
      <c r="K1971">
        <v>0.84986537414085805</v>
      </c>
      <c r="L1971">
        <v>1271.95032169303</v>
      </c>
      <c r="M1971">
        <v>25.8636839289201</v>
      </c>
      <c r="O1971">
        <v>48.887830111451002</v>
      </c>
      <c r="P1971">
        <v>-3.58557595818133E-2</v>
      </c>
      <c r="Q1971">
        <v>0.72890332408960601</v>
      </c>
      <c r="R1971">
        <v>0.737514388287283</v>
      </c>
      <c r="S1971" t="s">
        <v>8777</v>
      </c>
      <c r="T1971" t="s">
        <v>13610</v>
      </c>
      <c r="U1971" t="s">
        <v>13610</v>
      </c>
      <c r="V1971" t="s">
        <v>13610</v>
      </c>
      <c r="W1971" t="s">
        <v>15535</v>
      </c>
      <c r="X1971">
        <v>14</v>
      </c>
      <c r="Y1971" t="s">
        <v>22216</v>
      </c>
      <c r="Z1971" t="s">
        <v>28826</v>
      </c>
      <c r="AA1971">
        <v>0.81409335355472878</v>
      </c>
      <c r="AB1971" t="str">
        <f>HYPERLINK("Melting_Curves/meltCurve_P14317_HCLS1.pdf", "Melting_Curves/meltCurve_P14317_HCLS1.pdf")</f>
        <v>Melting_Curves/meltCurve_P14317_HCLS1.pdf</v>
      </c>
    </row>
    <row r="1972" spans="1:28" x14ac:dyDescent="0.25">
      <c r="A1972" t="s">
        <v>1976</v>
      </c>
      <c r="B1972">
        <v>0.995954080203443</v>
      </c>
      <c r="C1972">
        <v>1.0434107604280101</v>
      </c>
      <c r="D1972">
        <v>1.0827108798591201</v>
      </c>
      <c r="E1972">
        <v>0.35758559999162398</v>
      </c>
      <c r="F1972">
        <v>0.19709110737122201</v>
      </c>
      <c r="G1972">
        <v>0.11331026451932499</v>
      </c>
      <c r="H1972">
        <v>8.0337412140253403E-2</v>
      </c>
      <c r="I1972">
        <v>7.0900530438994094E-2</v>
      </c>
      <c r="J1972">
        <v>8.1967821371314101E-2</v>
      </c>
      <c r="K1972">
        <v>7.2703521695155204E-2</v>
      </c>
      <c r="L1972">
        <v>3597.7585226055598</v>
      </c>
      <c r="M1972">
        <v>72.846245768270506</v>
      </c>
      <c r="N1972">
        <v>49.541927825679501</v>
      </c>
      <c r="O1972">
        <v>49.3512043531044</v>
      </c>
      <c r="P1972">
        <v>-0.33173101758474599</v>
      </c>
      <c r="Q1972">
        <v>0.101047849648793</v>
      </c>
      <c r="R1972">
        <v>0.98864222500816501</v>
      </c>
      <c r="S1972" t="s">
        <v>8778</v>
      </c>
      <c r="T1972" t="s">
        <v>13610</v>
      </c>
      <c r="U1972" t="s">
        <v>13610</v>
      </c>
      <c r="V1972" t="s">
        <v>13610</v>
      </c>
      <c r="W1972" t="s">
        <v>15536</v>
      </c>
      <c r="X1972">
        <v>12</v>
      </c>
      <c r="Y1972" t="s">
        <v>22217</v>
      </c>
      <c r="Z1972" t="s">
        <v>28827</v>
      </c>
      <c r="AA1972">
        <v>0.38329141640314218</v>
      </c>
      <c r="AB1972" t="str">
        <f>HYPERLINK("Melting_Curves/meltCurve_P14324_2_FDPS.pdf", "Melting_Curves/meltCurve_P14324_2_FDPS.pdf")</f>
        <v>Melting_Curves/meltCurve_P14324_2_FDPS.pdf</v>
      </c>
    </row>
    <row r="1973" spans="1:28" x14ac:dyDescent="0.25">
      <c r="A1973" t="s">
        <v>1977</v>
      </c>
      <c r="B1973">
        <v>0.995954080203443</v>
      </c>
      <c r="C1973">
        <v>1.05166559772468</v>
      </c>
      <c r="D1973">
        <v>1.0568379385798301</v>
      </c>
      <c r="E1973">
        <v>0.72553244923570903</v>
      </c>
      <c r="F1973">
        <v>0.18099812214000299</v>
      </c>
      <c r="G1973">
        <v>0.10750880565259301</v>
      </c>
      <c r="H1973">
        <v>7.6210417310883502E-2</v>
      </c>
      <c r="I1973">
        <v>7.5583200669516501E-2</v>
      </c>
      <c r="J1973">
        <v>9.2058858975363103E-2</v>
      </c>
      <c r="K1973">
        <v>7.8720904448102896E-2</v>
      </c>
      <c r="L1973">
        <v>2688.82717161454</v>
      </c>
      <c r="M1973">
        <v>52.916673711391397</v>
      </c>
      <c r="N1973">
        <v>50.993816318714899</v>
      </c>
      <c r="O1973">
        <v>50.740063744762203</v>
      </c>
      <c r="P1973">
        <v>-0.238361602720816</v>
      </c>
      <c r="Q1973">
        <v>8.5772128093127301E-2</v>
      </c>
      <c r="R1973">
        <v>0.99619536845207401</v>
      </c>
      <c r="S1973" t="s">
        <v>8779</v>
      </c>
      <c r="T1973" t="s">
        <v>13610</v>
      </c>
      <c r="U1973" t="s">
        <v>13610</v>
      </c>
      <c r="V1973" t="s">
        <v>13610</v>
      </c>
      <c r="W1973" t="s">
        <v>15537</v>
      </c>
      <c r="X1973">
        <v>23</v>
      </c>
      <c r="Y1973" t="s">
        <v>22218</v>
      </c>
      <c r="Z1973" t="s">
        <v>28828</v>
      </c>
      <c r="AA1973">
        <v>0.41710266499473009</v>
      </c>
      <c r="AB1973" t="str">
        <f>HYPERLINK("Melting_Curves/meltCurve_P14550_AKR1A1.pdf", "Melting_Curves/meltCurve_P14550_AKR1A1.pdf")</f>
        <v>Melting_Curves/meltCurve_P14550_AKR1A1.pdf</v>
      </c>
    </row>
    <row r="1974" spans="1:28" x14ac:dyDescent="0.25">
      <c r="A1974" t="s">
        <v>1978</v>
      </c>
      <c r="B1974">
        <v>0.995954080203443</v>
      </c>
      <c r="C1974">
        <v>1.01993547591573</v>
      </c>
      <c r="D1974">
        <v>0.88370254480942201</v>
      </c>
      <c r="E1974">
        <v>0.97376926313885004</v>
      </c>
      <c r="F1974">
        <v>0.56427429011054098</v>
      </c>
      <c r="G1974">
        <v>0.58836102231615806</v>
      </c>
      <c r="H1974">
        <v>0.20386153865085099</v>
      </c>
      <c r="I1974">
        <v>6.8964218990499301E-2</v>
      </c>
      <c r="J1974">
        <v>5.7876379991281299E-2</v>
      </c>
      <c r="K1974">
        <v>5.4528507434002303E-2</v>
      </c>
      <c r="L1974">
        <v>863.664251273471</v>
      </c>
      <c r="M1974">
        <v>15.3653922811689</v>
      </c>
      <c r="N1974">
        <v>56.208400663564397</v>
      </c>
      <c r="O1974">
        <v>55.282153565826398</v>
      </c>
      <c r="P1974">
        <v>-6.9492611773301197E-2</v>
      </c>
      <c r="Q1974">
        <v>0</v>
      </c>
      <c r="R1974">
        <v>0.95664264853632897</v>
      </c>
      <c r="S1974" t="s">
        <v>8780</v>
      </c>
      <c r="T1974" t="s">
        <v>13610</v>
      </c>
      <c r="U1974" t="s">
        <v>13610</v>
      </c>
      <c r="V1974" t="s">
        <v>13610</v>
      </c>
      <c r="W1974" t="s">
        <v>15538</v>
      </c>
      <c r="X1974">
        <v>49</v>
      </c>
      <c r="Y1974" t="s">
        <v>22219</v>
      </c>
      <c r="Z1974" t="s">
        <v>28829</v>
      </c>
      <c r="AA1974">
        <v>0.55731607216919155</v>
      </c>
      <c r="AB1974" t="str">
        <f>HYPERLINK("Melting_Curves/meltCurve_P14618_PKM.pdf", "Melting_Curves/meltCurve_P14618_PKM.pdf")</f>
        <v>Melting_Curves/meltCurve_P14618_PKM.pdf</v>
      </c>
    </row>
    <row r="1975" spans="1:28" x14ac:dyDescent="0.25">
      <c r="A1975" t="s">
        <v>1979</v>
      </c>
      <c r="B1975">
        <v>0.995954080203443</v>
      </c>
      <c r="C1975">
        <v>0.94403306656602404</v>
      </c>
      <c r="D1975">
        <v>0.86181642351091703</v>
      </c>
      <c r="E1975">
        <v>0.934488757267114</v>
      </c>
      <c r="F1975">
        <v>0.69420575883527502</v>
      </c>
      <c r="G1975">
        <v>0.53339200697646805</v>
      </c>
      <c r="H1975">
        <v>0.27994884261305902</v>
      </c>
      <c r="I1975">
        <v>4.7819229021021398E-2</v>
      </c>
      <c r="J1975">
        <v>2.9551057090640601E-2</v>
      </c>
      <c r="K1975">
        <v>3.56759830593186E-2</v>
      </c>
      <c r="L1975">
        <v>924.55040081170296</v>
      </c>
      <c r="M1975">
        <v>16.3307440916955</v>
      </c>
      <c r="N1975">
        <v>56.614101360862797</v>
      </c>
      <c r="O1975">
        <v>55.785607401172399</v>
      </c>
      <c r="P1975">
        <v>-7.3190589807264603E-2</v>
      </c>
      <c r="Q1975">
        <v>0</v>
      </c>
      <c r="R1975">
        <v>0.97599497212006503</v>
      </c>
      <c r="S1975" t="s">
        <v>8781</v>
      </c>
      <c r="T1975" t="s">
        <v>13610</v>
      </c>
      <c r="U1975" t="s">
        <v>13610</v>
      </c>
      <c r="V1975" t="s">
        <v>13610</v>
      </c>
      <c r="W1975" t="s">
        <v>15539</v>
      </c>
      <c r="X1975">
        <v>48</v>
      </c>
      <c r="Y1975" t="s">
        <v>22219</v>
      </c>
      <c r="Z1975" t="s">
        <v>28830</v>
      </c>
      <c r="AA1975">
        <v>0.56935026168054581</v>
      </c>
      <c r="AB1975" t="str">
        <f>HYPERLINK("Melting_Curves/meltCurve_P14618_2_PKM.pdf", "Melting_Curves/meltCurve_P14618_2_PKM.pdf")</f>
        <v>Melting_Curves/meltCurve_P14618_2_PKM.pdf</v>
      </c>
    </row>
    <row r="1976" spans="1:28" x14ac:dyDescent="0.25">
      <c r="A1976" t="s">
        <v>1980</v>
      </c>
      <c r="B1976">
        <v>0.995954080203443</v>
      </c>
      <c r="C1976">
        <v>0.79718551349016398</v>
      </c>
      <c r="D1976">
        <v>0.93180638103465097</v>
      </c>
      <c r="E1976">
        <v>0.90091117874245696</v>
      </c>
      <c r="F1976">
        <v>0.923527078330868</v>
      </c>
      <c r="G1976">
        <v>0.53656807791004701</v>
      </c>
      <c r="H1976">
        <v>0.19188690549929999</v>
      </c>
      <c r="I1976">
        <v>0.117429584196141</v>
      </c>
      <c r="J1976">
        <v>0.107485028100549</v>
      </c>
      <c r="K1976">
        <v>0.11777453711430701</v>
      </c>
      <c r="L1976">
        <v>1698.75858615368</v>
      </c>
      <c r="M1976">
        <v>29.880811925026499</v>
      </c>
      <c r="N1976">
        <v>57.267592030197399</v>
      </c>
      <c r="O1976">
        <v>56.598346782106901</v>
      </c>
      <c r="P1976">
        <v>-0.119098435338742</v>
      </c>
      <c r="Q1976">
        <v>9.7651045090889205E-2</v>
      </c>
      <c r="R1976">
        <v>0.96075583072815296</v>
      </c>
      <c r="S1976" t="s">
        <v>8782</v>
      </c>
      <c r="T1976" t="s">
        <v>13610</v>
      </c>
      <c r="U1976" t="s">
        <v>13610</v>
      </c>
      <c r="V1976" t="s">
        <v>13610</v>
      </c>
      <c r="W1976" t="s">
        <v>15540</v>
      </c>
      <c r="X1976">
        <v>10</v>
      </c>
      <c r="Y1976" t="s">
        <v>22220</v>
      </c>
      <c r="Z1976" t="s">
        <v>28831</v>
      </c>
      <c r="AA1976">
        <v>0.61056079966714849</v>
      </c>
      <c r="AB1976" t="str">
        <f>HYPERLINK("Melting_Curves/meltCurve_P14621_ACYP2.pdf", "Melting_Curves/meltCurve_P14621_ACYP2.pdf")</f>
        <v>Melting_Curves/meltCurve_P14621_ACYP2.pdf</v>
      </c>
    </row>
    <row r="1977" spans="1:28" x14ac:dyDescent="0.25">
      <c r="A1977" t="s">
        <v>1981</v>
      </c>
      <c r="B1977">
        <v>0.995954080203443</v>
      </c>
      <c r="C1977">
        <v>1.0086202257311501</v>
      </c>
      <c r="D1977">
        <v>1.0786192904048999</v>
      </c>
      <c r="E1977">
        <v>0.80393875779510404</v>
      </c>
      <c r="F1977">
        <v>0.30796883991784701</v>
      </c>
      <c r="G1977">
        <v>0.16114821455463399</v>
      </c>
      <c r="H1977">
        <v>8.86272324056811E-2</v>
      </c>
      <c r="I1977">
        <v>6.2939500016291006E-2</v>
      </c>
      <c r="J1977">
        <v>6.6424643444930306E-2</v>
      </c>
      <c r="K1977">
        <v>5.9897653244695197E-2</v>
      </c>
      <c r="L1977">
        <v>2095.9076276082801</v>
      </c>
      <c r="M1977">
        <v>40.611509227875402</v>
      </c>
      <c r="N1977">
        <v>51.837316423565298</v>
      </c>
      <c r="O1977">
        <v>51.484040733060702</v>
      </c>
      <c r="P1977">
        <v>-0.18103616352781399</v>
      </c>
      <c r="Q1977">
        <v>8.1988661326998294E-2</v>
      </c>
      <c r="R1977">
        <v>0.99330433390945805</v>
      </c>
      <c r="S1977" t="s">
        <v>8783</v>
      </c>
      <c r="T1977" t="s">
        <v>13610</v>
      </c>
      <c r="U1977" t="s">
        <v>13610</v>
      </c>
      <c r="V1977" t="s">
        <v>13610</v>
      </c>
      <c r="W1977" t="s">
        <v>15541</v>
      </c>
      <c r="X1977">
        <v>56</v>
      </c>
      <c r="Y1977" t="s">
        <v>22221</v>
      </c>
      <c r="Z1977" t="s">
        <v>28832</v>
      </c>
      <c r="AA1977">
        <v>0.44039502950334042</v>
      </c>
      <c r="AB1977" t="str">
        <f>HYPERLINK("Melting_Curves/meltCurve_P14625_HSP90B1.pdf", "Melting_Curves/meltCurve_P14625_HSP90B1.pdf")</f>
        <v>Melting_Curves/meltCurve_P14625_HSP90B1.pdf</v>
      </c>
    </row>
    <row r="1978" spans="1:28" x14ac:dyDescent="0.25">
      <c r="A1978" t="s">
        <v>1982</v>
      </c>
      <c r="B1978">
        <v>0.995954080203443</v>
      </c>
      <c r="C1978">
        <v>1.02306887978679</v>
      </c>
      <c r="D1978">
        <v>1.0400933409176101</v>
      </c>
      <c r="E1978">
        <v>0.827690833895245</v>
      </c>
      <c r="F1978">
        <v>0.66222454002299502</v>
      </c>
      <c r="G1978">
        <v>0.39765446730547899</v>
      </c>
      <c r="H1978">
        <v>0.29600886441954</v>
      </c>
      <c r="I1978">
        <v>0.329226697344639</v>
      </c>
      <c r="J1978">
        <v>0.30749460906027198</v>
      </c>
      <c r="K1978">
        <v>0.35568597097042198</v>
      </c>
      <c r="L1978">
        <v>1360.86923130684</v>
      </c>
      <c r="M1978">
        <v>25.800018653454298</v>
      </c>
      <c r="N1978">
        <v>54.864422169096699</v>
      </c>
      <c r="O1978">
        <v>52.433001313877497</v>
      </c>
      <c r="P1978">
        <v>-8.4230373968261801E-2</v>
      </c>
      <c r="Q1978">
        <v>0.31528749031480402</v>
      </c>
      <c r="R1978">
        <v>0.99019538348625402</v>
      </c>
      <c r="S1978" t="s">
        <v>8784</v>
      </c>
      <c r="T1978" t="s">
        <v>13610</v>
      </c>
      <c r="U1978" t="s">
        <v>13610</v>
      </c>
      <c r="V1978" t="s">
        <v>13610</v>
      </c>
      <c r="W1978" t="s">
        <v>15542</v>
      </c>
      <c r="X1978">
        <v>11</v>
      </c>
      <c r="Y1978" t="s">
        <v>22222</v>
      </c>
      <c r="Z1978" t="s">
        <v>28833</v>
      </c>
      <c r="AA1978">
        <v>0.61214508982774118</v>
      </c>
      <c r="AB1978" t="str">
        <f>HYPERLINK("Melting_Curves/meltCurve_P14635_CCNB1.pdf", "Melting_Curves/meltCurve_P14635_CCNB1.pdf")</f>
        <v>Melting_Curves/meltCurve_P14635_CCNB1.pdf</v>
      </c>
    </row>
    <row r="1979" spans="1:28" x14ac:dyDescent="0.25">
      <c r="A1979" t="s">
        <v>1983</v>
      </c>
      <c r="B1979">
        <v>0.995954080203443</v>
      </c>
      <c r="C1979">
        <v>0.90923003763874499</v>
      </c>
      <c r="D1979">
        <v>0.85017060460518701</v>
      </c>
      <c r="E1979">
        <v>0.84951523850339905</v>
      </c>
      <c r="F1979">
        <v>0.78646551099470796</v>
      </c>
      <c r="G1979">
        <v>0.64927051722245899</v>
      </c>
      <c r="H1979">
        <v>0.59143481116535102</v>
      </c>
      <c r="I1979">
        <v>0.63272295742123097</v>
      </c>
      <c r="J1979">
        <v>0.82398589376567599</v>
      </c>
      <c r="K1979">
        <v>0.78624174404416303</v>
      </c>
      <c r="L1979">
        <v>659.08934107380605</v>
      </c>
      <c r="M1979">
        <v>14.033190242145</v>
      </c>
      <c r="O1979">
        <v>46.043581708077397</v>
      </c>
      <c r="P1979">
        <v>-2.2834203361727701E-2</v>
      </c>
      <c r="Q1979">
        <v>0.70035875740270803</v>
      </c>
      <c r="R1979">
        <v>0.64293041180034205</v>
      </c>
      <c r="S1979" t="s">
        <v>8785</v>
      </c>
      <c r="T1979" t="s">
        <v>13610</v>
      </c>
      <c r="U1979" t="s">
        <v>13610</v>
      </c>
      <c r="V1979" t="s">
        <v>13610</v>
      </c>
      <c r="W1979" t="s">
        <v>15543</v>
      </c>
      <c r="X1979">
        <v>10</v>
      </c>
      <c r="Y1979" t="s">
        <v>22223</v>
      </c>
      <c r="Z1979" t="s">
        <v>28834</v>
      </c>
      <c r="AA1979">
        <v>0.77928010844634887</v>
      </c>
      <c r="AB1979" t="str">
        <f>HYPERLINK("Melting_Curves/meltCurve_P14649_MYL6B.pdf", "Melting_Curves/meltCurve_P14649_MYL6B.pdf")</f>
        <v>Melting_Curves/meltCurve_P14649_MYL6B.pdf</v>
      </c>
    </row>
    <row r="1980" spans="1:28" x14ac:dyDescent="0.25">
      <c r="A1980" t="s">
        <v>1984</v>
      </c>
      <c r="B1980">
        <v>0.995954080203443</v>
      </c>
      <c r="C1980">
        <v>0.83317321906086494</v>
      </c>
      <c r="D1980">
        <v>0.72558768904867899</v>
      </c>
      <c r="E1980">
        <v>0.87325017043031306</v>
      </c>
      <c r="F1980">
        <v>0.70530289162971505</v>
      </c>
      <c r="G1980">
        <v>0.54574639400095604</v>
      </c>
      <c r="H1980">
        <v>0.37649597008947899</v>
      </c>
      <c r="I1980">
        <v>0.34593483271450798</v>
      </c>
      <c r="J1980">
        <v>0.33024830793155302</v>
      </c>
      <c r="K1980">
        <v>0.25097093651951902</v>
      </c>
      <c r="L1980">
        <v>375.19696364098002</v>
      </c>
      <c r="M1980">
        <v>6.4164750757603404</v>
      </c>
      <c r="N1980">
        <v>58.474020231200797</v>
      </c>
      <c r="O1980">
        <v>53.5696128768409</v>
      </c>
      <c r="P1980">
        <v>-3.0020773231204001E-2</v>
      </c>
      <c r="Q1980">
        <v>0</v>
      </c>
      <c r="R1980">
        <v>0.92660029355987095</v>
      </c>
      <c r="S1980" t="s">
        <v>8786</v>
      </c>
      <c r="T1980" t="s">
        <v>13610</v>
      </c>
      <c r="U1980" t="s">
        <v>13610</v>
      </c>
      <c r="V1980" t="s">
        <v>13610</v>
      </c>
      <c r="W1980" t="s">
        <v>15544</v>
      </c>
      <c r="X1980">
        <v>15</v>
      </c>
      <c r="Y1980" t="s">
        <v>22224</v>
      </c>
      <c r="Z1980" t="s">
        <v>28835</v>
      </c>
      <c r="AA1980">
        <v>0.60495307413796873</v>
      </c>
      <c r="AB1980" t="str">
        <f>HYPERLINK("Melting_Curves/meltCurve_P14678_SNRPB.pdf", "Melting_Curves/meltCurve_P14678_SNRPB.pdf")</f>
        <v>Melting_Curves/meltCurve_P14678_SNRPB.pdf</v>
      </c>
    </row>
    <row r="1981" spans="1:28" x14ac:dyDescent="0.25">
      <c r="A1981" t="s">
        <v>1985</v>
      </c>
      <c r="B1981">
        <v>0.995954080203443</v>
      </c>
      <c r="C1981">
        <v>0.92897416903389296</v>
      </c>
      <c r="D1981">
        <v>0.83144839118208402</v>
      </c>
      <c r="E1981">
        <v>0.55990437130465198</v>
      </c>
      <c r="F1981">
        <v>0.22526815354750501</v>
      </c>
      <c r="G1981">
        <v>0.114638860632354</v>
      </c>
      <c r="H1981">
        <v>5.9603282793772701E-2</v>
      </c>
      <c r="I1981">
        <v>4.4651302644209197E-2</v>
      </c>
      <c r="J1981">
        <v>5.0169056453037097E-2</v>
      </c>
      <c r="K1981">
        <v>4.2228825099666703E-2</v>
      </c>
      <c r="L1981">
        <v>986.78942070021003</v>
      </c>
      <c r="M1981">
        <v>19.751623485758099</v>
      </c>
      <c r="N1981">
        <v>50.139584633629603</v>
      </c>
      <c r="O1981">
        <v>49.4562772530019</v>
      </c>
      <c r="P1981">
        <v>-9.6435976450837402E-2</v>
      </c>
      <c r="Q1981">
        <v>3.4165621440111503E-2</v>
      </c>
      <c r="R1981">
        <v>0.995950346198198</v>
      </c>
      <c r="S1981" t="s">
        <v>8787</v>
      </c>
      <c r="T1981" t="s">
        <v>13610</v>
      </c>
      <c r="U1981" t="s">
        <v>13610</v>
      </c>
      <c r="V1981" t="s">
        <v>13610</v>
      </c>
      <c r="W1981" t="s">
        <v>15545</v>
      </c>
      <c r="X1981">
        <v>46</v>
      </c>
      <c r="Y1981" t="s">
        <v>22225</v>
      </c>
      <c r="Z1981" t="s">
        <v>28836</v>
      </c>
      <c r="AA1981">
        <v>0.3685996254035081</v>
      </c>
      <c r="AB1981" t="str">
        <f>HYPERLINK("Melting_Curves/meltCurve_P14735_IDE.pdf", "Melting_Curves/meltCurve_P14735_IDE.pdf")</f>
        <v>Melting_Curves/meltCurve_P14735_IDE.pdf</v>
      </c>
    </row>
    <row r="1982" spans="1:28" x14ac:dyDescent="0.25">
      <c r="A1982" t="s">
        <v>1986</v>
      </c>
      <c r="B1982">
        <v>0.995954080203443</v>
      </c>
      <c r="C1982">
        <v>0.87511610662696804</v>
      </c>
      <c r="D1982">
        <v>0.67819452273979197</v>
      </c>
      <c r="E1982">
        <v>0.58014034045081297</v>
      </c>
      <c r="F1982">
        <v>0.55087971023818305</v>
      </c>
      <c r="G1982">
        <v>0.420086877617599</v>
      </c>
      <c r="H1982">
        <v>0.39658123246813498</v>
      </c>
      <c r="I1982">
        <v>0.45352085520216001</v>
      </c>
      <c r="J1982">
        <v>0.491677552132395</v>
      </c>
      <c r="K1982">
        <v>0.514982169930849</v>
      </c>
      <c r="L1982">
        <v>838.431612104122</v>
      </c>
      <c r="M1982">
        <v>18.3780565815544</v>
      </c>
      <c r="N1982">
        <v>53.075122831174099</v>
      </c>
      <c r="O1982">
        <v>45.0914777223702</v>
      </c>
      <c r="P1982">
        <v>-5.4805718732866E-2</v>
      </c>
      <c r="Q1982">
        <v>0.462150200997616</v>
      </c>
      <c r="R1982">
        <v>0.95157030976750501</v>
      </c>
      <c r="S1982" t="s">
        <v>8788</v>
      </c>
      <c r="T1982" t="s">
        <v>13610</v>
      </c>
      <c r="U1982" t="s">
        <v>13610</v>
      </c>
      <c r="V1982" t="s">
        <v>13610</v>
      </c>
      <c r="W1982" t="s">
        <v>15546</v>
      </c>
      <c r="X1982">
        <v>10</v>
      </c>
      <c r="Y1982" t="s">
        <v>22226</v>
      </c>
      <c r="Z1982" t="s">
        <v>28837</v>
      </c>
      <c r="AA1982">
        <v>0.57332656020361172</v>
      </c>
      <c r="AB1982" t="str">
        <f>HYPERLINK("Melting_Curves/meltCurve_P14854_COX6B1.pdf", "Melting_Curves/meltCurve_P14854_COX6B1.pdf")</f>
        <v>Melting_Curves/meltCurve_P14854_COX6B1.pdf</v>
      </c>
    </row>
    <row r="1983" spans="1:28" x14ac:dyDescent="0.25">
      <c r="A1983" t="s">
        <v>1987</v>
      </c>
      <c r="B1983">
        <v>0.995954080203443</v>
      </c>
      <c r="C1983">
        <v>0.88873442710178796</v>
      </c>
      <c r="D1983">
        <v>0.93282614699733601</v>
      </c>
      <c r="E1983">
        <v>0.51571671624011295</v>
      </c>
      <c r="F1983">
        <v>0.31625040863618997</v>
      </c>
      <c r="G1983">
        <v>0.16231852677581601</v>
      </c>
      <c r="H1983">
        <v>9.4074932606608805E-2</v>
      </c>
      <c r="I1983">
        <v>8.8425695124272202E-2</v>
      </c>
      <c r="J1983">
        <v>8.9929144685355497E-2</v>
      </c>
      <c r="K1983">
        <v>8.1167691443198298E-2</v>
      </c>
      <c r="L1983">
        <v>1041.1516486056701</v>
      </c>
      <c r="M1983">
        <v>20.7979997266984</v>
      </c>
      <c r="N1983">
        <v>50.495225031880899</v>
      </c>
      <c r="O1983">
        <v>49.604268661432798</v>
      </c>
      <c r="P1983">
        <v>-9.6224515705702104E-2</v>
      </c>
      <c r="Q1983">
        <v>8.2024483444488899E-2</v>
      </c>
      <c r="R1983">
        <v>0.99110323243526499</v>
      </c>
      <c r="S1983" t="s">
        <v>8789</v>
      </c>
      <c r="T1983" t="s">
        <v>13610</v>
      </c>
      <c r="U1983" t="s">
        <v>13610</v>
      </c>
      <c r="V1983" t="s">
        <v>13610</v>
      </c>
      <c r="W1983" t="s">
        <v>15547</v>
      </c>
      <c r="X1983">
        <v>23</v>
      </c>
      <c r="Y1983" t="s">
        <v>22227</v>
      </c>
      <c r="Z1983" t="s">
        <v>28838</v>
      </c>
      <c r="AA1983">
        <v>0.40169410231632952</v>
      </c>
      <c r="AB1983" t="str">
        <f>HYPERLINK("Melting_Curves/meltCurve_P14866_HNRNPL.pdf", "Melting_Curves/meltCurve_P14866_HNRNPL.pdf")</f>
        <v>Melting_Curves/meltCurve_P14866_HNRNPL.pdf</v>
      </c>
    </row>
    <row r="1984" spans="1:28" x14ac:dyDescent="0.25">
      <c r="A1984" t="s">
        <v>1988</v>
      </c>
      <c r="B1984">
        <v>0.995954080203443</v>
      </c>
      <c r="C1984">
        <v>0.67840359731048305</v>
      </c>
      <c r="D1984">
        <v>0.48114527406894098</v>
      </c>
      <c r="E1984">
        <v>0.26426901385608698</v>
      </c>
      <c r="F1984">
        <v>0.12568255742289999</v>
      </c>
      <c r="G1984">
        <v>7.1161132514908298E-2</v>
      </c>
      <c r="H1984">
        <v>4.8485540982858601E-2</v>
      </c>
      <c r="I1984">
        <v>4.17204728899985E-2</v>
      </c>
      <c r="J1984">
        <v>4.8090660383246497E-2</v>
      </c>
      <c r="K1984">
        <v>4.2471749086435001E-2</v>
      </c>
      <c r="L1984">
        <v>725.897315358215</v>
      </c>
      <c r="M1984">
        <v>15.9274985057863</v>
      </c>
      <c r="N1984">
        <v>45.8061847391672</v>
      </c>
      <c r="O1984">
        <v>44.874831143229798</v>
      </c>
      <c r="P1984">
        <v>-8.5314271473482695E-2</v>
      </c>
      <c r="Q1984">
        <v>3.8604341879542502E-2</v>
      </c>
      <c r="R1984">
        <v>0.98651712276690395</v>
      </c>
      <c r="S1984" t="s">
        <v>8790</v>
      </c>
      <c r="T1984" t="s">
        <v>13610</v>
      </c>
      <c r="U1984" t="s">
        <v>13610</v>
      </c>
      <c r="V1984" t="s">
        <v>13610</v>
      </c>
      <c r="W1984" t="s">
        <v>15548</v>
      </c>
      <c r="X1984">
        <v>38</v>
      </c>
      <c r="Y1984" t="s">
        <v>22228</v>
      </c>
      <c r="Z1984" t="s">
        <v>28839</v>
      </c>
      <c r="AA1984">
        <v>0.24290678380546049</v>
      </c>
      <c r="AB1984" t="str">
        <f>HYPERLINK("Melting_Curves/meltCurve_P14868_DARS.pdf", "Melting_Curves/meltCurve_P14868_DARS.pdf")</f>
        <v>Melting_Curves/meltCurve_P14868_DARS.pdf</v>
      </c>
    </row>
    <row r="1985" spans="1:28" x14ac:dyDescent="0.25">
      <c r="A1985" t="s">
        <v>1989</v>
      </c>
      <c r="B1985">
        <v>0.995954080203443</v>
      </c>
      <c r="C1985">
        <v>0.97239910895329995</v>
      </c>
      <c r="D1985">
        <v>0.84549810809134496</v>
      </c>
      <c r="E1985">
        <v>0.63003823345724097</v>
      </c>
      <c r="F1985">
        <v>0.46897093070229601</v>
      </c>
      <c r="G1985">
        <v>0.26706766825338701</v>
      </c>
      <c r="H1985">
        <v>0.16793216842457401</v>
      </c>
      <c r="I1985">
        <v>0.13910998827023999</v>
      </c>
      <c r="J1985">
        <v>0.155828343260907</v>
      </c>
      <c r="K1985">
        <v>0.136896538223507</v>
      </c>
      <c r="L1985">
        <v>768.97618025480097</v>
      </c>
      <c r="M1985">
        <v>15.0114521451335</v>
      </c>
      <c r="N1985">
        <v>52.111201668454498</v>
      </c>
      <c r="O1985">
        <v>50.342690325286704</v>
      </c>
      <c r="P1985">
        <v>-6.6163358240884804E-2</v>
      </c>
      <c r="Q1985">
        <v>0.112542624330076</v>
      </c>
      <c r="R1985">
        <v>0.99802892935149601</v>
      </c>
      <c r="S1985" t="s">
        <v>8791</v>
      </c>
      <c r="T1985" t="s">
        <v>13610</v>
      </c>
      <c r="U1985" t="s">
        <v>13610</v>
      </c>
      <c r="V1985" t="s">
        <v>13610</v>
      </c>
      <c r="W1985" t="s">
        <v>14153</v>
      </c>
      <c r="X1985">
        <v>16</v>
      </c>
      <c r="Y1985" t="s">
        <v>20878</v>
      </c>
      <c r="Z1985" t="s">
        <v>28840</v>
      </c>
      <c r="AA1985">
        <v>0.46496083498041618</v>
      </c>
      <c r="AB1985" t="str">
        <f>HYPERLINK("Melting_Curves/meltCurve_P14923_JUP.pdf", "Melting_Curves/meltCurve_P14923_JUP.pdf")</f>
        <v>Melting_Curves/meltCurve_P14923_JUP.pdf</v>
      </c>
    </row>
    <row r="1986" spans="1:28" x14ac:dyDescent="0.25">
      <c r="A1986" t="s">
        <v>1990</v>
      </c>
      <c r="B1986">
        <v>0.995954080203443</v>
      </c>
      <c r="C1986">
        <v>0.87353983208127295</v>
      </c>
      <c r="D1986">
        <v>0.89813889053892104</v>
      </c>
      <c r="E1986">
        <v>0.71137566161417498</v>
      </c>
      <c r="F1986">
        <v>0.43702472347690002</v>
      </c>
      <c r="G1986">
        <v>0.26456861152238398</v>
      </c>
      <c r="H1986">
        <v>0.23742380973181201</v>
      </c>
      <c r="I1986">
        <v>0.27497825169539702</v>
      </c>
      <c r="J1986">
        <v>0.51396968852586</v>
      </c>
      <c r="K1986">
        <v>0.38766987734248398</v>
      </c>
      <c r="L1986">
        <v>1445.1344926050299</v>
      </c>
      <c r="M1986">
        <v>28.8467002001439</v>
      </c>
      <c r="N1986">
        <v>52.068146476764603</v>
      </c>
      <c r="O1986">
        <v>49.8581420238108</v>
      </c>
      <c r="P1986">
        <v>-9.6589341604864695E-2</v>
      </c>
      <c r="Q1986">
        <v>0.332231589054787</v>
      </c>
      <c r="R1986">
        <v>0.89835701354556896</v>
      </c>
      <c r="S1986" t="s">
        <v>8792</v>
      </c>
      <c r="T1986" t="s">
        <v>13610</v>
      </c>
      <c r="U1986" t="s">
        <v>13610</v>
      </c>
      <c r="V1986" t="s">
        <v>13610</v>
      </c>
      <c r="W1986" t="s">
        <v>15549</v>
      </c>
      <c r="X1986">
        <v>4</v>
      </c>
      <c r="Y1986" t="s">
        <v>22229</v>
      </c>
      <c r="Z1986" t="s">
        <v>28841</v>
      </c>
      <c r="AA1986">
        <v>0.56145903047753942</v>
      </c>
      <c r="AB1986" t="str">
        <f>HYPERLINK("Melting_Curves/meltCurve_P14927_UQCRB.pdf", "Melting_Curves/meltCurve_P14927_UQCRB.pdf")</f>
        <v>Melting_Curves/meltCurve_P14927_UQCRB.pdf</v>
      </c>
    </row>
    <row r="1987" spans="1:28" x14ac:dyDescent="0.25">
      <c r="A1987" t="s">
        <v>1991</v>
      </c>
      <c r="B1987">
        <v>0.995954080203443</v>
      </c>
      <c r="C1987">
        <v>0.76485771503045996</v>
      </c>
      <c r="D1987">
        <v>0.56782385181484096</v>
      </c>
      <c r="E1987">
        <v>0.40476562615932099</v>
      </c>
      <c r="F1987">
        <v>0.25710592837179003</v>
      </c>
      <c r="G1987">
        <v>0.18091732693851001</v>
      </c>
      <c r="H1987">
        <v>0.126426961459952</v>
      </c>
      <c r="I1987">
        <v>0.125688588133296</v>
      </c>
      <c r="J1987">
        <v>0.112121341183146</v>
      </c>
      <c r="K1987">
        <v>0.124710484398703</v>
      </c>
      <c r="L1987">
        <v>638.150648328069</v>
      </c>
      <c r="M1987">
        <v>13.6519601753731</v>
      </c>
      <c r="N1987">
        <v>47.577802573140502</v>
      </c>
      <c r="O1987">
        <v>45.775476001980699</v>
      </c>
      <c r="P1987">
        <v>-6.6638726874165402E-2</v>
      </c>
      <c r="Q1987">
        <v>0.106362637849072</v>
      </c>
      <c r="R1987">
        <v>0.98861932505598604</v>
      </c>
      <c r="S1987" t="s">
        <v>8793</v>
      </c>
      <c r="T1987" t="s">
        <v>13610</v>
      </c>
      <c r="U1987" t="s">
        <v>13610</v>
      </c>
      <c r="V1987" t="s">
        <v>13610</v>
      </c>
      <c r="W1987" t="s">
        <v>15550</v>
      </c>
      <c r="X1987">
        <v>13</v>
      </c>
      <c r="Y1987" t="s">
        <v>22230</v>
      </c>
      <c r="Z1987" t="s">
        <v>28842</v>
      </c>
      <c r="AA1987">
        <v>0.33714462020040842</v>
      </c>
      <c r="AB1987" t="str">
        <f>HYPERLINK("Melting_Curves/meltCurve_P15056_BRAF.pdf", "Melting_Curves/meltCurve_P15056_BRAF.pdf")</f>
        <v>Melting_Curves/meltCurve_P15056_BRAF.pdf</v>
      </c>
    </row>
    <row r="1988" spans="1:28" x14ac:dyDescent="0.25">
      <c r="A1988" t="s">
        <v>1992</v>
      </c>
      <c r="B1988">
        <v>0.995954080203443</v>
      </c>
      <c r="C1988">
        <v>1.07332364658527</v>
      </c>
      <c r="D1988">
        <v>0.96269020501989</v>
      </c>
      <c r="E1988">
        <v>0.94068196460171005</v>
      </c>
      <c r="F1988">
        <v>0.88587052433221003</v>
      </c>
      <c r="G1988">
        <v>0.583864073641711</v>
      </c>
      <c r="H1988">
        <v>0.39567615153805802</v>
      </c>
      <c r="I1988">
        <v>0.32490855706094601</v>
      </c>
      <c r="J1988">
        <v>0.23707257452602801</v>
      </c>
      <c r="K1988">
        <v>0.18423162031825999</v>
      </c>
      <c r="L1988">
        <v>1022.03499773439</v>
      </c>
      <c r="M1988">
        <v>17.7771906175808</v>
      </c>
      <c r="N1988">
        <v>58.9137677454979</v>
      </c>
      <c r="O1988">
        <v>56.778680622175301</v>
      </c>
      <c r="P1988">
        <v>-6.4619575370660695E-2</v>
      </c>
      <c r="Q1988">
        <v>0.17448730687859099</v>
      </c>
      <c r="R1988">
        <v>0.99026882084037704</v>
      </c>
      <c r="S1988" t="s">
        <v>8794</v>
      </c>
      <c r="T1988" t="s">
        <v>13610</v>
      </c>
      <c r="U1988" t="s">
        <v>13610</v>
      </c>
      <c r="V1988" t="s">
        <v>13610</v>
      </c>
      <c r="W1988" t="s">
        <v>15551</v>
      </c>
      <c r="X1988">
        <v>1</v>
      </c>
      <c r="Y1988" t="s">
        <v>22231</v>
      </c>
      <c r="Z1988" t="s">
        <v>28843</v>
      </c>
      <c r="AA1988">
        <v>0.66673152885767673</v>
      </c>
      <c r="AB1988" t="str">
        <f>HYPERLINK("Melting_Curves/meltCurve_P15088_CPA3.pdf", "Melting_Curves/meltCurve_P15088_CPA3.pdf")</f>
        <v>Melting_Curves/meltCurve_P15088_CPA3.pdf</v>
      </c>
    </row>
    <row r="1989" spans="1:28" x14ac:dyDescent="0.25">
      <c r="A1989" t="s">
        <v>1993</v>
      </c>
      <c r="B1989">
        <v>0.995954080203443</v>
      </c>
      <c r="C1989">
        <v>0.76107892786662701</v>
      </c>
      <c r="D1989">
        <v>0.53300309680787405</v>
      </c>
      <c r="E1989">
        <v>0.83036570779525098</v>
      </c>
      <c r="F1989">
        <v>0.55357895108275001</v>
      </c>
      <c r="G1989">
        <v>0.273896474087373</v>
      </c>
      <c r="H1989">
        <v>6.1867908019392903E-2</v>
      </c>
      <c r="I1989">
        <v>6.1944863324364503E-2</v>
      </c>
      <c r="J1989">
        <v>7.3577419341060796E-2</v>
      </c>
      <c r="K1989">
        <v>6.3771064464367394E-2</v>
      </c>
      <c r="L1989">
        <v>501.33514923436098</v>
      </c>
      <c r="M1989">
        <v>9.6833546180256693</v>
      </c>
      <c r="N1989">
        <v>51.772870781080897</v>
      </c>
      <c r="O1989">
        <v>49.709508204407598</v>
      </c>
      <c r="P1989">
        <v>-4.8726493322107198E-2</v>
      </c>
      <c r="Q1989">
        <v>0</v>
      </c>
      <c r="R1989">
        <v>0.85637243022993004</v>
      </c>
      <c r="S1989" t="s">
        <v>8795</v>
      </c>
      <c r="T1989" t="s">
        <v>13610</v>
      </c>
      <c r="U1989" t="s">
        <v>13610</v>
      </c>
      <c r="V1989" t="s">
        <v>13610</v>
      </c>
      <c r="W1989" t="s">
        <v>15552</v>
      </c>
      <c r="X1989">
        <v>12</v>
      </c>
      <c r="Y1989" t="s">
        <v>22232</v>
      </c>
      <c r="Z1989" t="s">
        <v>28844</v>
      </c>
      <c r="AA1989">
        <v>0.43262783928695531</v>
      </c>
      <c r="AB1989" t="str">
        <f>HYPERLINK("Melting_Curves/meltCurve_P15104_GLUL.pdf", "Melting_Curves/meltCurve_P15104_GLUL.pdf")</f>
        <v>Melting_Curves/meltCurve_P15104_GLUL.pdf</v>
      </c>
    </row>
    <row r="1990" spans="1:28" x14ac:dyDescent="0.25">
      <c r="A1990" t="s">
        <v>1994</v>
      </c>
      <c r="B1990">
        <v>0.995954080203443</v>
      </c>
      <c r="C1990">
        <v>0.98826884313941199</v>
      </c>
      <c r="D1990">
        <v>0.90304674397920404</v>
      </c>
      <c r="E1990">
        <v>0.88611637758582396</v>
      </c>
      <c r="F1990">
        <v>0.61453656081417796</v>
      </c>
      <c r="G1990">
        <v>0.42436697692828401</v>
      </c>
      <c r="H1990">
        <v>0.324661003739178</v>
      </c>
      <c r="I1990">
        <v>0.36762763363971201</v>
      </c>
      <c r="J1990">
        <v>0.53411603444730904</v>
      </c>
      <c r="K1990">
        <v>0.40675994492483503</v>
      </c>
      <c r="L1990">
        <v>1786.52309871942</v>
      </c>
      <c r="M1990">
        <v>34.3539379062289</v>
      </c>
      <c r="N1990">
        <v>54.658068715817002</v>
      </c>
      <c r="O1990">
        <v>51.828179536303601</v>
      </c>
      <c r="P1990">
        <v>-9.8476464861614099E-2</v>
      </c>
      <c r="Q1990">
        <v>0.40573490829147402</v>
      </c>
      <c r="R1990">
        <v>0.94943785776542899</v>
      </c>
      <c r="S1990" t="s">
        <v>8796</v>
      </c>
      <c r="T1990" t="s">
        <v>13610</v>
      </c>
      <c r="U1990" t="s">
        <v>13610</v>
      </c>
      <c r="V1990" t="s">
        <v>13610</v>
      </c>
      <c r="W1990" t="s">
        <v>15553</v>
      </c>
      <c r="X1990">
        <v>2</v>
      </c>
      <c r="Y1990" t="s">
        <v>22233</v>
      </c>
      <c r="Z1990" t="s">
        <v>28845</v>
      </c>
      <c r="AA1990">
        <v>0.64640720791188477</v>
      </c>
      <c r="AB1990" t="str">
        <f>HYPERLINK("Melting_Curves/meltCurve_P15151_3_PVR.pdf", "Melting_Curves/meltCurve_P15151_3_PVR.pdf")</f>
        <v>Melting_Curves/meltCurve_P15151_3_PVR.pdf</v>
      </c>
    </row>
    <row r="1991" spans="1:28" x14ac:dyDescent="0.25">
      <c r="A1991" t="s">
        <v>1995</v>
      </c>
      <c r="B1991">
        <v>0.995954080203443</v>
      </c>
      <c r="C1991">
        <v>0.84676837688491102</v>
      </c>
      <c r="D1991">
        <v>0.68811720932794196</v>
      </c>
      <c r="E1991">
        <v>0.27181482982184801</v>
      </c>
      <c r="F1991">
        <v>0.14032465805629701</v>
      </c>
      <c r="G1991">
        <v>7.6672896293577694E-2</v>
      </c>
      <c r="H1991">
        <v>5.4956992532471501E-2</v>
      </c>
      <c r="I1991">
        <v>4.5557961577658901E-2</v>
      </c>
      <c r="J1991">
        <v>4.9208469753600097E-2</v>
      </c>
      <c r="K1991">
        <v>4.5641697075623003E-2</v>
      </c>
      <c r="L1991">
        <v>947.050502366552</v>
      </c>
      <c r="M1991">
        <v>20.0076601655215</v>
      </c>
      <c r="N1991">
        <v>47.545820307121801</v>
      </c>
      <c r="O1991">
        <v>46.869142973798503</v>
      </c>
      <c r="P1991">
        <v>-0.10218182151992</v>
      </c>
      <c r="Q1991">
        <v>4.2562956070079497E-2</v>
      </c>
      <c r="R1991">
        <v>0.99698910492420101</v>
      </c>
      <c r="S1991" t="s">
        <v>8797</v>
      </c>
      <c r="T1991" t="s">
        <v>13610</v>
      </c>
      <c r="U1991" t="s">
        <v>13610</v>
      </c>
      <c r="V1991" t="s">
        <v>13610</v>
      </c>
      <c r="W1991" t="s">
        <v>15554</v>
      </c>
      <c r="X1991">
        <v>10</v>
      </c>
      <c r="Y1991" t="s">
        <v>22234</v>
      </c>
      <c r="Z1991" t="s">
        <v>28846</v>
      </c>
      <c r="AA1991">
        <v>0.29047243143002233</v>
      </c>
      <c r="AB1991" t="str">
        <f>HYPERLINK("Melting_Curves/meltCurve_P15153_RAC2.pdf", "Melting_Curves/meltCurve_P15153_RAC2.pdf")</f>
        <v>Melting_Curves/meltCurve_P15153_RAC2.pdf</v>
      </c>
    </row>
    <row r="1992" spans="1:28" x14ac:dyDescent="0.25">
      <c r="A1992" t="s">
        <v>1996</v>
      </c>
      <c r="B1992">
        <v>0.995954080203443</v>
      </c>
      <c r="C1992">
        <v>0.92829759520834298</v>
      </c>
      <c r="D1992">
        <v>1.05376826521172</v>
      </c>
      <c r="E1992">
        <v>0.81192675927286295</v>
      </c>
      <c r="F1992">
        <v>0.37020033892117399</v>
      </c>
      <c r="G1992">
        <v>0.14439844022005299</v>
      </c>
      <c r="H1992">
        <v>8.7922333015915899E-2</v>
      </c>
      <c r="I1992">
        <v>7.44731253283797E-2</v>
      </c>
      <c r="J1992">
        <v>8.5060757394513506E-2</v>
      </c>
      <c r="K1992">
        <v>7.8341745195963597E-2</v>
      </c>
      <c r="L1992">
        <v>1885.61104055601</v>
      </c>
      <c r="M1992">
        <v>36.346041407380497</v>
      </c>
      <c r="N1992">
        <v>52.148213758140002</v>
      </c>
      <c r="O1992">
        <v>51.723106944581801</v>
      </c>
      <c r="P1992">
        <v>-0.16066952244525101</v>
      </c>
      <c r="Q1992">
        <v>8.5424285980482698E-2</v>
      </c>
      <c r="R1992">
        <v>0.99407330484416601</v>
      </c>
      <c r="S1992" t="s">
        <v>8798</v>
      </c>
      <c r="T1992" t="s">
        <v>13610</v>
      </c>
      <c r="U1992" t="s">
        <v>13610</v>
      </c>
      <c r="V1992" t="s">
        <v>13610</v>
      </c>
      <c r="W1992" t="s">
        <v>15555</v>
      </c>
      <c r="X1992">
        <v>38</v>
      </c>
      <c r="Y1992" t="s">
        <v>22235</v>
      </c>
      <c r="Z1992" t="s">
        <v>28847</v>
      </c>
      <c r="AA1992">
        <v>0.45155258831640199</v>
      </c>
      <c r="AB1992" t="str">
        <f>HYPERLINK("Melting_Curves/meltCurve_P15170_2_GSPT1.pdf", "Melting_Curves/meltCurve_P15170_2_GSPT1.pdf")</f>
        <v>Melting_Curves/meltCurve_P15170_2_GSPT1.pdf</v>
      </c>
    </row>
    <row r="1993" spans="1:28" x14ac:dyDescent="0.25">
      <c r="A1993" t="s">
        <v>1997</v>
      </c>
      <c r="B1993">
        <v>0.995954080203443</v>
      </c>
      <c r="C1993">
        <v>0.90333790323124197</v>
      </c>
      <c r="D1993">
        <v>0.81207269641055302</v>
      </c>
      <c r="E1993">
        <v>0.763235161925232</v>
      </c>
      <c r="F1993">
        <v>0.69024667088369696</v>
      </c>
      <c r="G1993">
        <v>0.437074449771931</v>
      </c>
      <c r="H1993">
        <v>0.33988809957101601</v>
      </c>
      <c r="I1993">
        <v>0.41871861064742599</v>
      </c>
      <c r="J1993">
        <v>0.40045285684545501</v>
      </c>
      <c r="K1993">
        <v>0.23665862298852</v>
      </c>
      <c r="L1993">
        <v>489.11288942936898</v>
      </c>
      <c r="M1993">
        <v>9.1271243828876507</v>
      </c>
      <c r="N1993">
        <v>57.083693643021697</v>
      </c>
      <c r="O1993">
        <v>51.204414550170398</v>
      </c>
      <c r="P1993">
        <v>-3.5047958993969099E-2</v>
      </c>
      <c r="Q1993">
        <v>0.21404593865338001</v>
      </c>
      <c r="R1993">
        <v>0.95107827366446696</v>
      </c>
      <c r="S1993" t="s">
        <v>8799</v>
      </c>
      <c r="T1993" t="s">
        <v>13610</v>
      </c>
      <c r="U1993" t="s">
        <v>13610</v>
      </c>
      <c r="V1993" t="s">
        <v>13610</v>
      </c>
      <c r="W1993" t="s">
        <v>15556</v>
      </c>
      <c r="X1993">
        <v>12</v>
      </c>
      <c r="Y1993" t="s">
        <v>22236</v>
      </c>
      <c r="Z1993" t="s">
        <v>28848</v>
      </c>
      <c r="AA1993">
        <v>0.59682664541481356</v>
      </c>
      <c r="AB1993" t="str">
        <f>HYPERLINK("Melting_Curves/meltCurve_P15289_ARSA.pdf", "Melting_Curves/meltCurve_P15289_ARSA.pdf")</f>
        <v>Melting_Curves/meltCurve_P15289_ARSA.pdf</v>
      </c>
    </row>
    <row r="1994" spans="1:28" x14ac:dyDescent="0.25">
      <c r="A1994" t="s">
        <v>1998</v>
      </c>
      <c r="B1994">
        <v>0.995954080203443</v>
      </c>
      <c r="C1994">
        <v>0.99013298635908398</v>
      </c>
      <c r="D1994">
        <v>1.0319740459781599</v>
      </c>
      <c r="E1994">
        <v>0.85853084109436095</v>
      </c>
      <c r="F1994">
        <v>0.81751998736529996</v>
      </c>
      <c r="G1994">
        <v>0.153726690587005</v>
      </c>
      <c r="H1994">
        <v>0.1153307910756</v>
      </c>
      <c r="I1994">
        <v>0.10828098815731101</v>
      </c>
      <c r="J1994">
        <v>0.131514810047277</v>
      </c>
      <c r="K1994">
        <v>0.113930816773831</v>
      </c>
      <c r="L1994">
        <v>2944.1935245129598</v>
      </c>
      <c r="M1994">
        <v>54.294808542955103</v>
      </c>
      <c r="N1994">
        <v>54.482844238275497</v>
      </c>
      <c r="O1994">
        <v>54.152622189468701</v>
      </c>
      <c r="P1994">
        <v>-0.22235995295427199</v>
      </c>
      <c r="Q1994">
        <v>0.112889574834074</v>
      </c>
      <c r="R1994">
        <v>0.988430228597176</v>
      </c>
      <c r="S1994" t="s">
        <v>8800</v>
      </c>
      <c r="T1994" t="s">
        <v>13610</v>
      </c>
      <c r="U1994" t="s">
        <v>13610</v>
      </c>
      <c r="V1994" t="s">
        <v>13610</v>
      </c>
      <c r="W1994" t="s">
        <v>15557</v>
      </c>
      <c r="X1994">
        <v>47</v>
      </c>
      <c r="Y1994" t="s">
        <v>22237</v>
      </c>
      <c r="Z1994" t="s">
        <v>28849</v>
      </c>
      <c r="AA1994">
        <v>0.53535680597733903</v>
      </c>
      <c r="AB1994" t="str">
        <f>HYPERLINK("Melting_Curves/meltCurve_P15311_EZR.pdf", "Melting_Curves/meltCurve_P15311_EZR.pdf")</f>
        <v>Melting_Curves/meltCurve_P15311_EZR.pdf</v>
      </c>
    </row>
    <row r="1995" spans="1:28" x14ac:dyDescent="0.25">
      <c r="A1995" t="s">
        <v>1999</v>
      </c>
      <c r="B1995">
        <v>0.995954080203443</v>
      </c>
      <c r="C1995">
        <v>1.03697529511741</v>
      </c>
      <c r="D1995">
        <v>1.0114720036215701</v>
      </c>
      <c r="E1995">
        <v>0.90457420448228898</v>
      </c>
      <c r="F1995">
        <v>0.679556148136233</v>
      </c>
      <c r="G1995">
        <v>0.28273139676540499</v>
      </c>
      <c r="H1995">
        <v>0.14766374072361099</v>
      </c>
      <c r="I1995">
        <v>0.12695995061252299</v>
      </c>
      <c r="J1995">
        <v>0.151466303673087</v>
      </c>
      <c r="K1995">
        <v>0.130585838399468</v>
      </c>
      <c r="L1995">
        <v>1553.1397862947599</v>
      </c>
      <c r="M1995">
        <v>28.791445786152099</v>
      </c>
      <c r="N1995">
        <v>54.507951260917103</v>
      </c>
      <c r="O1995">
        <v>53.686274191421603</v>
      </c>
      <c r="P1995">
        <v>-0.116817071556557</v>
      </c>
      <c r="Q1995">
        <v>0.128710188752821</v>
      </c>
      <c r="R1995">
        <v>0.99831802634822797</v>
      </c>
      <c r="S1995" t="s">
        <v>8801</v>
      </c>
      <c r="T1995" t="s">
        <v>13610</v>
      </c>
      <c r="U1995" t="s">
        <v>13610</v>
      </c>
      <c r="V1995" t="s">
        <v>13610</v>
      </c>
      <c r="W1995" t="s">
        <v>15558</v>
      </c>
      <c r="X1995">
        <v>19</v>
      </c>
      <c r="Y1995" t="s">
        <v>22238</v>
      </c>
      <c r="Z1995" t="s">
        <v>28850</v>
      </c>
      <c r="AA1995">
        <v>0.53988962987110689</v>
      </c>
      <c r="AB1995" t="str">
        <f>HYPERLINK("Melting_Curves/meltCurve_P15374_UCHL3.pdf", "Melting_Curves/meltCurve_P15374_UCHL3.pdf")</f>
        <v>Melting_Curves/meltCurve_P15374_UCHL3.pdf</v>
      </c>
    </row>
    <row r="1996" spans="1:28" x14ac:dyDescent="0.25">
      <c r="A1996" t="s">
        <v>2000</v>
      </c>
      <c r="B1996">
        <v>0.995954080203443</v>
      </c>
      <c r="C1996">
        <v>0.906013296195048</v>
      </c>
      <c r="D1996">
        <v>0.66483162919105598</v>
      </c>
      <c r="E1996">
        <v>0.38155156819797897</v>
      </c>
      <c r="F1996">
        <v>0.124657663716309</v>
      </c>
      <c r="G1996">
        <v>7.1901942034827401E-2</v>
      </c>
      <c r="H1996">
        <v>4.9225353187504199E-2</v>
      </c>
      <c r="I1996">
        <v>5.0608283956833297E-2</v>
      </c>
      <c r="J1996">
        <v>5.4112313370016901E-2</v>
      </c>
      <c r="K1996">
        <v>5.5042727854689603E-2</v>
      </c>
      <c r="L1996">
        <v>908.21344808944002</v>
      </c>
      <c r="M1996">
        <v>18.994637812833499</v>
      </c>
      <c r="N1996">
        <v>48.022263477061003</v>
      </c>
      <c r="O1996">
        <v>47.293696359297101</v>
      </c>
      <c r="P1996">
        <v>-9.6445498066923901E-2</v>
      </c>
      <c r="Q1996">
        <v>3.9501116576142199E-2</v>
      </c>
      <c r="R1996">
        <v>0.99537056945771696</v>
      </c>
      <c r="S1996" t="s">
        <v>8802</v>
      </c>
      <c r="T1996" t="s">
        <v>13610</v>
      </c>
      <c r="U1996" t="s">
        <v>13610</v>
      </c>
      <c r="V1996" t="s">
        <v>13610</v>
      </c>
      <c r="W1996" t="s">
        <v>15559</v>
      </c>
      <c r="X1996">
        <v>30</v>
      </c>
      <c r="Y1996" t="s">
        <v>22239</v>
      </c>
      <c r="Z1996" t="s">
        <v>28851</v>
      </c>
      <c r="AA1996">
        <v>0.30498437110680032</v>
      </c>
      <c r="AB1996" t="str">
        <f>HYPERLINK("Melting_Curves/meltCurve_P15498_VAV1.pdf", "Melting_Curves/meltCurve_P15498_VAV1.pdf")</f>
        <v>Melting_Curves/meltCurve_P15498_VAV1.pdf</v>
      </c>
    </row>
    <row r="1997" spans="1:28" x14ac:dyDescent="0.25">
      <c r="A1997" t="s">
        <v>2001</v>
      </c>
      <c r="B1997">
        <v>0.995954080203443</v>
      </c>
      <c r="C1997">
        <v>0.97373743784290601</v>
      </c>
      <c r="D1997">
        <v>1.3125559280986001</v>
      </c>
      <c r="E1997">
        <v>0.81691077968338399</v>
      </c>
      <c r="F1997">
        <v>0.80801020276023106</v>
      </c>
      <c r="G1997">
        <v>0.83775431322305804</v>
      </c>
      <c r="H1997">
        <v>0.69480309577726096</v>
      </c>
      <c r="I1997">
        <v>0.85930829231674899</v>
      </c>
      <c r="J1997">
        <v>0.93268729491469904</v>
      </c>
      <c r="K1997">
        <v>0.96398292264389995</v>
      </c>
      <c r="L1997">
        <v>12038.6733500995</v>
      </c>
      <c r="M1997">
        <v>250</v>
      </c>
      <c r="O1997">
        <v>48.151611849059002</v>
      </c>
      <c r="P1997">
        <v>-0.20147542836632701</v>
      </c>
      <c r="Q1997">
        <v>0.84477813429638304</v>
      </c>
      <c r="R1997">
        <v>0.41721826126065698</v>
      </c>
      <c r="S1997" t="s">
        <v>8803</v>
      </c>
      <c r="T1997" t="s">
        <v>13610</v>
      </c>
      <c r="U1997" t="s">
        <v>13610</v>
      </c>
      <c r="V1997" t="s">
        <v>13610</v>
      </c>
      <c r="W1997" t="s">
        <v>15560</v>
      </c>
      <c r="X1997">
        <v>4</v>
      </c>
      <c r="Y1997" t="s">
        <v>22240</v>
      </c>
      <c r="Z1997" t="s">
        <v>28852</v>
      </c>
      <c r="AA1997">
        <v>0.88698414300574935</v>
      </c>
      <c r="AB1997" t="str">
        <f>HYPERLINK("Melting_Curves/meltCurve_P15529_15_CD46.pdf", "Melting_Curves/meltCurve_P15529_15_CD46.pdf")</f>
        <v>Melting_Curves/meltCurve_P15529_15_CD46.pdf</v>
      </c>
    </row>
    <row r="1998" spans="1:28" x14ac:dyDescent="0.25">
      <c r="A1998" t="s">
        <v>2002</v>
      </c>
      <c r="B1998">
        <v>0.995954080203443</v>
      </c>
      <c r="C1998">
        <v>0.95076609333914797</v>
      </c>
      <c r="D1998">
        <v>0.91443981612563996</v>
      </c>
      <c r="E1998">
        <v>0.92133287628007698</v>
      </c>
      <c r="F1998">
        <v>0.74619783887188396</v>
      </c>
      <c r="G1998">
        <v>0.66044823901565397</v>
      </c>
      <c r="H1998">
        <v>0.39450879361510999</v>
      </c>
      <c r="I1998">
        <v>0.1986574594546</v>
      </c>
      <c r="J1998">
        <v>0.16907176513900599</v>
      </c>
      <c r="K1998">
        <v>0.152670698672352</v>
      </c>
      <c r="L1998">
        <v>730.30427108166998</v>
      </c>
      <c r="M1998">
        <v>12.434200576418901</v>
      </c>
      <c r="N1998">
        <v>58.733512223978998</v>
      </c>
      <c r="O1998">
        <v>57.276425992020997</v>
      </c>
      <c r="P1998">
        <v>-5.4284181822276401E-2</v>
      </c>
      <c r="Q1998">
        <v>0</v>
      </c>
      <c r="R1998">
        <v>0.98413804324599696</v>
      </c>
      <c r="S1998" t="s">
        <v>8804</v>
      </c>
      <c r="T1998" t="s">
        <v>13610</v>
      </c>
      <c r="U1998" t="s">
        <v>13610</v>
      </c>
      <c r="V1998" t="s">
        <v>13610</v>
      </c>
      <c r="W1998" t="s">
        <v>15561</v>
      </c>
      <c r="X1998">
        <v>14</v>
      </c>
      <c r="Y1998" t="s">
        <v>22241</v>
      </c>
      <c r="Z1998" t="s">
        <v>28853</v>
      </c>
      <c r="AA1998">
        <v>0.63424528757335519</v>
      </c>
      <c r="AB1998" t="str">
        <f>HYPERLINK("Melting_Curves/meltCurve_P15531_NME1.pdf", "Melting_Curves/meltCurve_P15531_NME1.pdf")</f>
        <v>Melting_Curves/meltCurve_P15531_NME1.pdf</v>
      </c>
    </row>
    <row r="1999" spans="1:28" x14ac:dyDescent="0.25">
      <c r="A1999" t="s">
        <v>2003</v>
      </c>
      <c r="B1999">
        <v>0.995954080203443</v>
      </c>
      <c r="C1999">
        <v>0.83851140059868601</v>
      </c>
      <c r="D1999">
        <v>0.62336096087862303</v>
      </c>
      <c r="E1999">
        <v>0.45672726200452402</v>
      </c>
      <c r="F1999">
        <v>0.30435941471025901</v>
      </c>
      <c r="G1999">
        <v>0.20658429440142201</v>
      </c>
      <c r="H1999">
        <v>0.176150870701308</v>
      </c>
      <c r="I1999">
        <v>0.15920596694120701</v>
      </c>
      <c r="J1999">
        <v>0.175402457164402</v>
      </c>
      <c r="K1999">
        <v>0.13909732485241</v>
      </c>
      <c r="L1999">
        <v>668.641475802949</v>
      </c>
      <c r="M1999">
        <v>14.095843892884799</v>
      </c>
      <c r="N1999">
        <v>48.597059602795497</v>
      </c>
      <c r="O1999">
        <v>46.511273407704998</v>
      </c>
      <c r="P1999">
        <v>-6.4937337374445805E-2</v>
      </c>
      <c r="Q1999">
        <v>0.143030048536684</v>
      </c>
      <c r="R1999">
        <v>0.99266020762499896</v>
      </c>
      <c r="S1999" t="s">
        <v>8805</v>
      </c>
      <c r="T1999" t="s">
        <v>13610</v>
      </c>
      <c r="U1999" t="s">
        <v>13610</v>
      </c>
      <c r="V1999" t="s">
        <v>13610</v>
      </c>
      <c r="W1999" t="s">
        <v>15562</v>
      </c>
      <c r="X1999">
        <v>1</v>
      </c>
      <c r="Y1999" t="s">
        <v>22242</v>
      </c>
      <c r="Z1999" t="s">
        <v>28854</v>
      </c>
      <c r="AA1999">
        <v>0.38112837656382159</v>
      </c>
      <c r="AB1999" t="str">
        <f>HYPERLINK("Melting_Curves/meltCurve_P15735_2_PHKG2.pdf", "Melting_Curves/meltCurve_P15735_2_PHKG2.pdf")</f>
        <v>Melting_Curves/meltCurve_P15735_2_PHKG2.pdf</v>
      </c>
    </row>
    <row r="2000" spans="1:28" x14ac:dyDescent="0.25">
      <c r="A2000" t="s">
        <v>2004</v>
      </c>
      <c r="B2000">
        <v>0.995954080203443</v>
      </c>
      <c r="C2000">
        <v>0.91312693101410303</v>
      </c>
      <c r="D2000">
        <v>0.83964234830360596</v>
      </c>
      <c r="E2000">
        <v>0.78181175766660405</v>
      </c>
      <c r="F2000">
        <v>0.64083456573233699</v>
      </c>
      <c r="G2000">
        <v>0.45631556603377799</v>
      </c>
      <c r="H2000">
        <v>0.41996549476926398</v>
      </c>
      <c r="I2000">
        <v>0.50247959301165601</v>
      </c>
      <c r="J2000">
        <v>0.556522425809994</v>
      </c>
      <c r="K2000">
        <v>0.54545071225813202</v>
      </c>
      <c r="L2000">
        <v>772.76332960994</v>
      </c>
      <c r="M2000">
        <v>15.651819278586199</v>
      </c>
      <c r="N2000">
        <v>63.665802835960598</v>
      </c>
      <c r="O2000">
        <v>48.5872434817731</v>
      </c>
      <c r="P2000">
        <v>-4.1469905713400403E-2</v>
      </c>
      <c r="Q2000">
        <v>0.48511137611493499</v>
      </c>
      <c r="R2000">
        <v>0.91835095949239898</v>
      </c>
      <c r="S2000" t="s">
        <v>8806</v>
      </c>
      <c r="T2000" t="s">
        <v>13610</v>
      </c>
      <c r="U2000" t="s">
        <v>13610</v>
      </c>
      <c r="V2000" t="s">
        <v>13610</v>
      </c>
      <c r="W2000" t="s">
        <v>15563</v>
      </c>
      <c r="X2000">
        <v>13</v>
      </c>
      <c r="Y2000" t="s">
        <v>22243</v>
      </c>
      <c r="Z2000" t="s">
        <v>28855</v>
      </c>
      <c r="AA2000">
        <v>0.65755046053499977</v>
      </c>
      <c r="AB2000" t="str">
        <f>HYPERLINK("Melting_Curves/meltCurve_P15822_HIVEP1.pdf", "Melting_Curves/meltCurve_P15822_HIVEP1.pdf")</f>
        <v>Melting_Curves/meltCurve_P15822_HIVEP1.pdf</v>
      </c>
    </row>
    <row r="2001" spans="1:28" x14ac:dyDescent="0.25">
      <c r="A2001" t="s">
        <v>2005</v>
      </c>
      <c r="B2001">
        <v>0.995954080203443</v>
      </c>
      <c r="C2001">
        <v>0.98172135605647404</v>
      </c>
      <c r="D2001">
        <v>0.93681430864554005</v>
      </c>
      <c r="E2001">
        <v>0.84476697537273704</v>
      </c>
      <c r="F2001">
        <v>0.78600419469335803</v>
      </c>
      <c r="G2001">
        <v>0.62370263000728798</v>
      </c>
      <c r="H2001">
        <v>0.48687322109891301</v>
      </c>
      <c r="I2001">
        <v>0.43320433739437297</v>
      </c>
      <c r="J2001">
        <v>0.432680671625706</v>
      </c>
      <c r="K2001">
        <v>0.27223984231732701</v>
      </c>
      <c r="L2001">
        <v>526.99704869533298</v>
      </c>
      <c r="M2001">
        <v>8.9676709871586606</v>
      </c>
      <c r="N2001">
        <v>61.325945108468296</v>
      </c>
      <c r="O2001">
        <v>56.064631747509097</v>
      </c>
      <c r="P2001">
        <v>-3.3770333248668301E-2</v>
      </c>
      <c r="Q2001">
        <v>0.15611157661744701</v>
      </c>
      <c r="R2001">
        <v>0.98762068025706995</v>
      </c>
      <c r="S2001" t="s">
        <v>8807</v>
      </c>
      <c r="T2001" t="s">
        <v>13610</v>
      </c>
      <c r="U2001" t="s">
        <v>13610</v>
      </c>
      <c r="V2001" t="s">
        <v>13610</v>
      </c>
      <c r="W2001" t="s">
        <v>15564</v>
      </c>
      <c r="X2001">
        <v>7</v>
      </c>
      <c r="Y2001" t="s">
        <v>22244</v>
      </c>
      <c r="Z2001" t="s">
        <v>28856</v>
      </c>
      <c r="AA2001">
        <v>0.68514161415442121</v>
      </c>
      <c r="AB2001" t="str">
        <f>HYPERLINK("Melting_Curves/meltCurve_P15848_ARSB.pdf", "Melting_Curves/meltCurve_P15848_ARSB.pdf")</f>
        <v>Melting_Curves/meltCurve_P15848_ARSB.pdf</v>
      </c>
    </row>
    <row r="2002" spans="1:28" x14ac:dyDescent="0.25">
      <c r="A2002" t="s">
        <v>2006</v>
      </c>
      <c r="B2002">
        <v>0.995954080203443</v>
      </c>
      <c r="C2002">
        <v>0.84485039241180104</v>
      </c>
      <c r="D2002">
        <v>0.78656969729170301</v>
      </c>
      <c r="E2002">
        <v>0.592541304578455</v>
      </c>
      <c r="F2002">
        <v>0.21945847035932001</v>
      </c>
      <c r="G2002">
        <v>9.48203125335184E-2</v>
      </c>
      <c r="H2002">
        <v>5.6489405410445302E-2</v>
      </c>
      <c r="I2002">
        <v>4.3568089856777001E-2</v>
      </c>
      <c r="J2002">
        <v>4.5995987420190697E-2</v>
      </c>
      <c r="K2002">
        <v>4.1596524921950498E-2</v>
      </c>
      <c r="L2002">
        <v>812.82208965017196</v>
      </c>
      <c r="M2002">
        <v>16.295989312326501</v>
      </c>
      <c r="N2002">
        <v>49.959639411048698</v>
      </c>
      <c r="O2002">
        <v>49.145694031952502</v>
      </c>
      <c r="P2002">
        <v>-8.1821807438407404E-2</v>
      </c>
      <c r="Q2002">
        <v>1.30342629520584E-2</v>
      </c>
      <c r="R2002">
        <v>0.98236919938709399</v>
      </c>
      <c r="S2002" t="s">
        <v>8808</v>
      </c>
      <c r="T2002" t="s">
        <v>13610</v>
      </c>
      <c r="U2002" t="s">
        <v>13610</v>
      </c>
      <c r="V2002" t="s">
        <v>13610</v>
      </c>
      <c r="W2002" t="s">
        <v>15565</v>
      </c>
      <c r="X2002">
        <v>11</v>
      </c>
      <c r="Y2002" t="s">
        <v>22245</v>
      </c>
      <c r="Z2002" t="s">
        <v>28857</v>
      </c>
      <c r="AA2002">
        <v>0.35835591295378327</v>
      </c>
      <c r="AB2002" t="str">
        <f>HYPERLINK("Melting_Curves/meltCurve_P15880_RPS2.pdf", "Melting_Curves/meltCurve_P15880_RPS2.pdf")</f>
        <v>Melting_Curves/meltCurve_P15880_RPS2.pdf</v>
      </c>
    </row>
    <row r="2003" spans="1:28" x14ac:dyDescent="0.25">
      <c r="A2003" t="s">
        <v>2007</v>
      </c>
      <c r="B2003">
        <v>0.995954080203443</v>
      </c>
      <c r="C2003">
        <v>0.90705708294335696</v>
      </c>
      <c r="D2003">
        <v>2.0219544859001202</v>
      </c>
      <c r="E2003">
        <v>1.103746090754</v>
      </c>
      <c r="F2003">
        <v>1.6359524991576</v>
      </c>
      <c r="G2003">
        <v>1.1623258621977799</v>
      </c>
      <c r="H2003">
        <v>1.1148375052106501</v>
      </c>
      <c r="I2003">
        <v>1.4119230448109199</v>
      </c>
      <c r="J2003">
        <v>1.5085591067137401</v>
      </c>
      <c r="K2003">
        <v>1.68326558351074</v>
      </c>
      <c r="L2003">
        <v>11060.408805295699</v>
      </c>
      <c r="M2003">
        <v>250</v>
      </c>
      <c r="O2003">
        <v>44.238805526825502</v>
      </c>
      <c r="P2003">
        <v>0.64326283683088403</v>
      </c>
      <c r="Q2003">
        <v>1.4553148569332499</v>
      </c>
      <c r="R2003">
        <v>0.35027098820393199</v>
      </c>
      <c r="S2003" t="s">
        <v>8809</v>
      </c>
      <c r="T2003" t="s">
        <v>13610</v>
      </c>
      <c r="U2003" t="s">
        <v>13610</v>
      </c>
      <c r="V2003" t="s">
        <v>13610</v>
      </c>
      <c r="W2003" t="s">
        <v>15566</v>
      </c>
      <c r="X2003">
        <v>6</v>
      </c>
      <c r="Y2003" t="s">
        <v>22246</v>
      </c>
      <c r="Z2003" t="s">
        <v>28858</v>
      </c>
      <c r="AA2003">
        <v>1.390903520285016</v>
      </c>
      <c r="AB2003" t="str">
        <f>HYPERLINK("Melting_Curves/meltCurve_P15884_5_TCF4.pdf", "Melting_Curves/meltCurve_P15884_5_TCF4.pdf")</f>
        <v>Melting_Curves/meltCurve_P15884_5_TCF4.pdf</v>
      </c>
    </row>
    <row r="2004" spans="1:28" x14ac:dyDescent="0.25">
      <c r="A2004" t="s">
        <v>2008</v>
      </c>
      <c r="B2004">
        <v>0.995954080203443</v>
      </c>
      <c r="C2004">
        <v>0.91462931474797704</v>
      </c>
      <c r="D2004">
        <v>0.99179726146503899</v>
      </c>
      <c r="E2004">
        <v>0.73356114210502799</v>
      </c>
      <c r="F2004">
        <v>0.819775778939975</v>
      </c>
      <c r="G2004">
        <v>0.66750857042607303</v>
      </c>
      <c r="H2004">
        <v>0.64662581634662297</v>
      </c>
      <c r="I2004">
        <v>0.88131186485464996</v>
      </c>
      <c r="J2004">
        <v>0.72517117810079401</v>
      </c>
      <c r="K2004">
        <v>1.0001010973823601</v>
      </c>
      <c r="L2004">
        <v>11649.114947927799</v>
      </c>
      <c r="M2004">
        <v>250</v>
      </c>
      <c r="O2004">
        <v>46.593472475813599</v>
      </c>
      <c r="P2004">
        <v>-0.29241227724746</v>
      </c>
      <c r="Q2004">
        <v>0.78200792043886802</v>
      </c>
      <c r="R2004">
        <v>0.40116071267886899</v>
      </c>
      <c r="S2004" t="s">
        <v>8810</v>
      </c>
      <c r="T2004" t="s">
        <v>13610</v>
      </c>
      <c r="U2004" t="s">
        <v>13610</v>
      </c>
      <c r="V2004" t="s">
        <v>13610</v>
      </c>
      <c r="W2004" t="s">
        <v>15567</v>
      </c>
      <c r="X2004">
        <v>11</v>
      </c>
      <c r="Y2004" t="s">
        <v>22247</v>
      </c>
      <c r="Z2004" t="s">
        <v>28859</v>
      </c>
      <c r="AA2004">
        <v>0.82995827989717408</v>
      </c>
      <c r="AB2004" t="str">
        <f>HYPERLINK("Melting_Curves/meltCurve_P15923_2_TCF3.pdf", "Melting_Curves/meltCurve_P15923_2_TCF3.pdf")</f>
        <v>Melting_Curves/meltCurve_P15923_2_TCF3.pdf</v>
      </c>
    </row>
    <row r="2005" spans="1:28" x14ac:dyDescent="0.25">
      <c r="A2005" t="s">
        <v>2009</v>
      </c>
      <c r="B2005">
        <v>0.995954080203443</v>
      </c>
      <c r="C2005">
        <v>0.926377151918368</v>
      </c>
      <c r="D2005">
        <v>0.75798787130326695</v>
      </c>
      <c r="E2005">
        <v>0.58482673127889395</v>
      </c>
      <c r="F2005">
        <v>0.54951339600748295</v>
      </c>
      <c r="G2005">
        <v>0.45382519485851602</v>
      </c>
      <c r="H2005">
        <v>0.52372891912464603</v>
      </c>
      <c r="I2005">
        <v>0.58322833473364999</v>
      </c>
      <c r="J2005">
        <v>0.70783205345398004</v>
      </c>
      <c r="K2005">
        <v>0.25534321520297498</v>
      </c>
      <c r="L2005">
        <v>1035.6850771625</v>
      </c>
      <c r="M2005">
        <v>22.4314672517072</v>
      </c>
      <c r="O2005">
        <v>45.808831740515103</v>
      </c>
      <c r="P2005">
        <v>-6.0446428964197503E-2</v>
      </c>
      <c r="Q2005">
        <v>0.50624310392383198</v>
      </c>
      <c r="R2005">
        <v>0.74050186070883695</v>
      </c>
      <c r="S2005" t="s">
        <v>8811</v>
      </c>
      <c r="T2005" t="s">
        <v>13610</v>
      </c>
      <c r="U2005" t="s">
        <v>13610</v>
      </c>
      <c r="V2005" t="s">
        <v>13610</v>
      </c>
      <c r="W2005" t="s">
        <v>15568</v>
      </c>
      <c r="X2005">
        <v>9</v>
      </c>
      <c r="Y2005" t="s">
        <v>22248</v>
      </c>
      <c r="Z2005" t="s">
        <v>28860</v>
      </c>
      <c r="AA2005">
        <v>0.61361198464323352</v>
      </c>
      <c r="AB2005" t="str">
        <f>HYPERLINK("Melting_Curves/meltCurve_P15924_DSP.pdf", "Melting_Curves/meltCurve_P15924_DSP.pdf")</f>
        <v>Melting_Curves/meltCurve_P15924_DSP.pdf</v>
      </c>
    </row>
    <row r="2006" spans="1:28" x14ac:dyDescent="0.25">
      <c r="A2006" t="s">
        <v>2010</v>
      </c>
      <c r="B2006">
        <v>0.995954080203443</v>
      </c>
      <c r="C2006">
        <v>0.91088184286759499</v>
      </c>
      <c r="D2006">
        <v>0.96123382710115401</v>
      </c>
      <c r="E2006">
        <v>0.73629758142888302</v>
      </c>
      <c r="F2006">
        <v>0.59317537956564104</v>
      </c>
      <c r="G2006">
        <v>0.28672631661466702</v>
      </c>
      <c r="H2006">
        <v>0.123719524555396</v>
      </c>
      <c r="I2006">
        <v>0.105926767456551</v>
      </c>
      <c r="J2006">
        <v>0.11207989336355</v>
      </c>
      <c r="K2006">
        <v>0.104883368741153</v>
      </c>
      <c r="L2006">
        <v>916.08166126805497</v>
      </c>
      <c r="M2006">
        <v>17.2132488597308</v>
      </c>
      <c r="N2006">
        <v>53.679327707907099</v>
      </c>
      <c r="O2006">
        <v>52.516860830591099</v>
      </c>
      <c r="P2006">
        <v>-7.6329976124092494E-2</v>
      </c>
      <c r="Q2006">
        <v>6.8537293881337197E-2</v>
      </c>
      <c r="R2006">
        <v>0.99165261637771895</v>
      </c>
      <c r="S2006" t="s">
        <v>8812</v>
      </c>
      <c r="T2006" t="s">
        <v>13610</v>
      </c>
      <c r="U2006" t="s">
        <v>13610</v>
      </c>
      <c r="V2006" t="s">
        <v>13610</v>
      </c>
      <c r="W2006" t="s">
        <v>15569</v>
      </c>
      <c r="X2006">
        <v>9</v>
      </c>
      <c r="Y2006" t="s">
        <v>22249</v>
      </c>
      <c r="Z2006" t="s">
        <v>28861</v>
      </c>
      <c r="AA2006">
        <v>0.495264079467165</v>
      </c>
      <c r="AB2006" t="str">
        <f>HYPERLINK("Melting_Curves/meltCurve_P15927_RPA2.pdf", "Melting_Curves/meltCurve_P15927_RPA2.pdf")</f>
        <v>Melting_Curves/meltCurve_P15927_RPA2.pdf</v>
      </c>
    </row>
    <row r="2007" spans="1:28" x14ac:dyDescent="0.25">
      <c r="A2007" t="s">
        <v>2011</v>
      </c>
      <c r="B2007">
        <v>0.995954080203443</v>
      </c>
      <c r="C2007">
        <v>1.0751745589327699</v>
      </c>
      <c r="D2007">
        <v>0.96276256646394798</v>
      </c>
      <c r="E2007">
        <v>0.97727125184199504</v>
      </c>
      <c r="F2007">
        <v>0.88491040907873597</v>
      </c>
      <c r="G2007">
        <v>0.67953615171500104</v>
      </c>
      <c r="H2007">
        <v>0.63915466671180698</v>
      </c>
      <c r="I2007">
        <v>0.76459692395111201</v>
      </c>
      <c r="J2007">
        <v>0.65228507513673095</v>
      </c>
      <c r="K2007">
        <v>0.86985606718630504</v>
      </c>
      <c r="L2007">
        <v>7646.8843215112302</v>
      </c>
      <c r="M2007">
        <v>143.92805350015101</v>
      </c>
      <c r="O2007">
        <v>53.119653758510097</v>
      </c>
      <c r="P2007">
        <v>-0.18893102033668699</v>
      </c>
      <c r="Q2007">
        <v>0.72108425475226801</v>
      </c>
      <c r="R2007">
        <v>0.79872841544811601</v>
      </c>
      <c r="S2007" t="s">
        <v>8813</v>
      </c>
      <c r="T2007" t="s">
        <v>13610</v>
      </c>
      <c r="U2007" t="s">
        <v>13610</v>
      </c>
      <c r="V2007" t="s">
        <v>13610</v>
      </c>
      <c r="W2007" t="s">
        <v>15570</v>
      </c>
      <c r="X2007">
        <v>6</v>
      </c>
      <c r="Y2007" t="s">
        <v>22250</v>
      </c>
      <c r="Z2007" t="s">
        <v>28862</v>
      </c>
      <c r="AA2007">
        <v>0.84323402889221388</v>
      </c>
      <c r="AB2007" t="str">
        <f>HYPERLINK("Melting_Curves/meltCurve_P15976_3_GATA1.pdf", "Melting_Curves/meltCurve_P15976_3_GATA1.pdf")</f>
        <v>Melting_Curves/meltCurve_P15976_3_GATA1.pdf</v>
      </c>
    </row>
    <row r="2008" spans="1:28" x14ac:dyDescent="0.25">
      <c r="A2008" t="s">
        <v>2012</v>
      </c>
      <c r="B2008">
        <v>0.995954080203443</v>
      </c>
      <c r="C2008">
        <v>1.04633204224277</v>
      </c>
      <c r="D2008">
        <v>1.0383125579951</v>
      </c>
      <c r="E2008">
        <v>0.96403256671872495</v>
      </c>
      <c r="F2008">
        <v>0.92397782819604202</v>
      </c>
      <c r="G2008">
        <v>0.71448800725426798</v>
      </c>
      <c r="H2008">
        <v>0.44251000707945698</v>
      </c>
      <c r="I2008">
        <v>0.31355402067069799</v>
      </c>
      <c r="J2008">
        <v>0.21093087837003199</v>
      </c>
      <c r="K2008">
        <v>0.12613549109604699</v>
      </c>
      <c r="L2008">
        <v>1044.76567104427</v>
      </c>
      <c r="M2008">
        <v>17.489372409842399</v>
      </c>
      <c r="N2008">
        <v>60.315379674736597</v>
      </c>
      <c r="O2008">
        <v>58.972591194401801</v>
      </c>
      <c r="P2008">
        <v>-6.8423561550173304E-2</v>
      </c>
      <c r="Q2008">
        <v>7.7178568071395601E-2</v>
      </c>
      <c r="R2008">
        <v>0.99562053353454205</v>
      </c>
      <c r="S2008" t="s">
        <v>8814</v>
      </c>
      <c r="T2008" t="s">
        <v>13610</v>
      </c>
      <c r="U2008" t="s">
        <v>13610</v>
      </c>
      <c r="V2008" t="s">
        <v>13610</v>
      </c>
      <c r="W2008" t="s">
        <v>15571</v>
      </c>
      <c r="X2008">
        <v>14</v>
      </c>
      <c r="Y2008" t="s">
        <v>22251</v>
      </c>
      <c r="Z2008" t="s">
        <v>28863</v>
      </c>
      <c r="AA2008">
        <v>0.69250291983708612</v>
      </c>
      <c r="AB2008" t="str">
        <f>HYPERLINK("Melting_Curves/meltCurve_P16083_NQO2.pdf", "Melting_Curves/meltCurve_P16083_NQO2.pdf")</f>
        <v>Melting_Curves/meltCurve_P16083_NQO2.pdf</v>
      </c>
    </row>
    <row r="2009" spans="1:28" x14ac:dyDescent="0.25">
      <c r="A2009" t="s">
        <v>2013</v>
      </c>
      <c r="B2009">
        <v>0.995954080203443</v>
      </c>
      <c r="C2009">
        <v>1.10519369969333</v>
      </c>
      <c r="D2009">
        <v>1.2634519402546101</v>
      </c>
      <c r="E2009">
        <v>1.0863165745138399</v>
      </c>
      <c r="F2009">
        <v>1.18635212076042</v>
      </c>
      <c r="G2009">
        <v>1.0260093170356801</v>
      </c>
      <c r="H2009">
        <v>1.0445583868536401</v>
      </c>
      <c r="I2009">
        <v>1.3346568512523</v>
      </c>
      <c r="J2009">
        <v>1.3724790372484399</v>
      </c>
      <c r="K2009">
        <v>1.5152160842361599</v>
      </c>
      <c r="L2009">
        <v>3230.7331815385101</v>
      </c>
      <c r="M2009">
        <v>51.170553363458502</v>
      </c>
      <c r="O2009">
        <v>63.040374460027103</v>
      </c>
      <c r="P2009">
        <v>9.4410770707312699E-2</v>
      </c>
      <c r="Q2009">
        <v>1.4652429476931501</v>
      </c>
      <c r="R2009">
        <v>0.50922321390860403</v>
      </c>
      <c r="S2009" t="s">
        <v>8815</v>
      </c>
      <c r="T2009" t="s">
        <v>13610</v>
      </c>
      <c r="U2009" t="s">
        <v>13610</v>
      </c>
      <c r="V2009" t="s">
        <v>13610</v>
      </c>
      <c r="W2009" t="s">
        <v>15572</v>
      </c>
      <c r="X2009">
        <v>2</v>
      </c>
      <c r="Y2009" t="s">
        <v>22252</v>
      </c>
      <c r="Z2009" t="s">
        <v>28864</v>
      </c>
      <c r="AA2009">
        <v>1.105364466239279</v>
      </c>
      <c r="AB2009" t="str">
        <f>HYPERLINK("Melting_Curves/meltCurve_P16150_SPN.pdf", "Melting_Curves/meltCurve_P16150_SPN.pdf")</f>
        <v>Melting_Curves/meltCurve_P16150_SPN.pdf</v>
      </c>
    </row>
    <row r="2010" spans="1:28" x14ac:dyDescent="0.25">
      <c r="A2010" t="s">
        <v>2014</v>
      </c>
      <c r="B2010">
        <v>0.995954080203443</v>
      </c>
      <c r="C2010">
        <v>1.00360585508834</v>
      </c>
      <c r="D2010">
        <v>0.99068371950044298</v>
      </c>
      <c r="E2010">
        <v>0.84194880644413705</v>
      </c>
      <c r="F2010">
        <v>0.59721964272473904</v>
      </c>
      <c r="G2010">
        <v>0.16013574546575199</v>
      </c>
      <c r="H2010">
        <v>8.0818544914023099E-2</v>
      </c>
      <c r="I2010">
        <v>7.2886599188795295E-2</v>
      </c>
      <c r="J2010">
        <v>7.4774723931144399E-2</v>
      </c>
      <c r="K2010">
        <v>7.0564697720425201E-2</v>
      </c>
      <c r="L2010">
        <v>1525.97327247359</v>
      </c>
      <c r="M2010">
        <v>28.633914373410601</v>
      </c>
      <c r="N2010">
        <v>53.540013149850402</v>
      </c>
      <c r="O2010">
        <v>53.034614465032398</v>
      </c>
      <c r="P2010">
        <v>-0.1266112264474</v>
      </c>
      <c r="Q2010">
        <v>6.1989963271659197E-2</v>
      </c>
      <c r="R2010">
        <v>0.99820340837583499</v>
      </c>
      <c r="S2010" t="s">
        <v>8816</v>
      </c>
      <c r="T2010" t="s">
        <v>13610</v>
      </c>
      <c r="U2010" t="s">
        <v>13610</v>
      </c>
      <c r="V2010" t="s">
        <v>13610</v>
      </c>
      <c r="W2010" t="s">
        <v>15573</v>
      </c>
      <c r="X2010">
        <v>18</v>
      </c>
      <c r="Y2010" t="s">
        <v>22253</v>
      </c>
      <c r="Z2010" t="s">
        <v>28865</v>
      </c>
      <c r="AA2010">
        <v>0.48429305173806142</v>
      </c>
      <c r="AB2010" t="str">
        <f>HYPERLINK("Melting_Curves/meltCurve_P16152_CBR1.pdf", "Melting_Curves/meltCurve_P16152_CBR1.pdf")</f>
        <v>Melting_Curves/meltCurve_P16152_CBR1.pdf</v>
      </c>
    </row>
    <row r="2011" spans="1:28" x14ac:dyDescent="0.25">
      <c r="A2011" t="s">
        <v>2015</v>
      </c>
      <c r="B2011">
        <v>0.995954080203443</v>
      </c>
      <c r="C2011">
        <v>0.78396258126875795</v>
      </c>
      <c r="D2011">
        <v>0.40449018591983799</v>
      </c>
      <c r="E2011">
        <v>0.31100638205527897</v>
      </c>
      <c r="F2011">
        <v>0.205920009393109</v>
      </c>
      <c r="G2011">
        <v>0.12788082030230499</v>
      </c>
      <c r="H2011">
        <v>8.8953579596517299E-2</v>
      </c>
      <c r="I2011">
        <v>9.6784377753621906E-2</v>
      </c>
      <c r="J2011">
        <v>0.10112035679777601</v>
      </c>
      <c r="K2011">
        <v>0.102421087937814</v>
      </c>
      <c r="L2011">
        <v>860.49853168809796</v>
      </c>
      <c r="M2011">
        <v>19.033174800464</v>
      </c>
      <c r="N2011">
        <v>45.818279592510699</v>
      </c>
      <c r="O2011">
        <v>44.720253508512698</v>
      </c>
      <c r="P2011">
        <v>-9.4533956482449999E-2</v>
      </c>
      <c r="Q2011">
        <v>0.11156914826159001</v>
      </c>
      <c r="R2011">
        <v>0.97856807109780497</v>
      </c>
      <c r="S2011" t="s">
        <v>8817</v>
      </c>
      <c r="T2011" t="s">
        <v>13610</v>
      </c>
      <c r="U2011" t="s">
        <v>13610</v>
      </c>
      <c r="V2011" t="s">
        <v>13610</v>
      </c>
      <c r="W2011" t="s">
        <v>15574</v>
      </c>
      <c r="X2011">
        <v>38</v>
      </c>
      <c r="Y2011" t="s">
        <v>22254</v>
      </c>
      <c r="Z2011" t="s">
        <v>28866</v>
      </c>
      <c r="AA2011">
        <v>0.28236182420771438</v>
      </c>
      <c r="AB2011" t="str">
        <f>HYPERLINK("Melting_Curves/meltCurve_P16157_10_ANK1.pdf", "Melting_Curves/meltCurve_P16157_10_ANK1.pdf")</f>
        <v>Melting_Curves/meltCurve_P16157_10_ANK1.pdf</v>
      </c>
    </row>
    <row r="2012" spans="1:28" x14ac:dyDescent="0.25">
      <c r="A2012" t="s">
        <v>2016</v>
      </c>
      <c r="B2012">
        <v>0.995954080203443</v>
      </c>
      <c r="C2012">
        <v>0.92748170465176105</v>
      </c>
      <c r="D2012">
        <v>0.73941270154987704</v>
      </c>
      <c r="E2012">
        <v>0.48706195241859301</v>
      </c>
      <c r="F2012">
        <v>0.26339423281454699</v>
      </c>
      <c r="G2012">
        <v>0.16343675099001201</v>
      </c>
      <c r="H2012">
        <v>8.9240332411472195E-2</v>
      </c>
      <c r="I2012">
        <v>7.5968995192772004E-2</v>
      </c>
      <c r="J2012">
        <v>7.6610586154348903E-2</v>
      </c>
      <c r="K2012">
        <v>5.8714952735124802E-2</v>
      </c>
      <c r="L2012">
        <v>781.81319347492899</v>
      </c>
      <c r="M2012">
        <v>15.9028938284736</v>
      </c>
      <c r="N2012">
        <v>49.525382760970899</v>
      </c>
      <c r="O2012">
        <v>48.404024843367402</v>
      </c>
      <c r="P2012">
        <v>-7.7615859597390605E-2</v>
      </c>
      <c r="Q2012">
        <v>5.5110747309890698E-2</v>
      </c>
      <c r="R2012">
        <v>0.99821206328249501</v>
      </c>
      <c r="S2012" t="s">
        <v>8818</v>
      </c>
      <c r="T2012" t="s">
        <v>13610</v>
      </c>
      <c r="U2012" t="s">
        <v>13610</v>
      </c>
      <c r="V2012" t="s">
        <v>13610</v>
      </c>
      <c r="W2012" t="s">
        <v>15575</v>
      </c>
      <c r="X2012">
        <v>6</v>
      </c>
      <c r="Y2012" t="s">
        <v>22255</v>
      </c>
      <c r="Z2012" t="s">
        <v>28867</v>
      </c>
      <c r="AA2012">
        <v>0.36443328784066098</v>
      </c>
      <c r="AB2012" t="str">
        <f>HYPERLINK("Melting_Curves/meltCurve_P16219_ACADS.pdf", "Melting_Curves/meltCurve_P16219_ACADS.pdf")</f>
        <v>Melting_Curves/meltCurve_P16219_ACADS.pdf</v>
      </c>
    </row>
    <row r="2013" spans="1:28" x14ac:dyDescent="0.25">
      <c r="A2013" t="s">
        <v>2017</v>
      </c>
      <c r="B2013">
        <v>0.995954080203443</v>
      </c>
      <c r="C2013">
        <v>0.93552931587375598</v>
      </c>
      <c r="D2013">
        <v>0.76613859739302403</v>
      </c>
      <c r="E2013">
        <v>0.53815690388951598</v>
      </c>
      <c r="F2013">
        <v>0.217645023046483</v>
      </c>
      <c r="G2013">
        <v>0.14146351070415999</v>
      </c>
      <c r="H2013">
        <v>8.9887225702481505E-2</v>
      </c>
      <c r="I2013">
        <v>8.6219586727256797E-2</v>
      </c>
      <c r="J2013">
        <v>0.1071063760632</v>
      </c>
      <c r="K2013">
        <v>8.6125170611103696E-2</v>
      </c>
      <c r="L2013">
        <v>906.97759521916498</v>
      </c>
      <c r="M2013">
        <v>18.419634212066399</v>
      </c>
      <c r="N2013">
        <v>49.681484524681601</v>
      </c>
      <c r="O2013">
        <v>48.670358610568599</v>
      </c>
      <c r="P2013">
        <v>-8.7471158842164304E-2</v>
      </c>
      <c r="Q2013">
        <v>7.5538477058712999E-2</v>
      </c>
      <c r="R2013">
        <v>0.99263526829936899</v>
      </c>
      <c r="S2013" t="s">
        <v>8819</v>
      </c>
      <c r="T2013" t="s">
        <v>13610</v>
      </c>
      <c r="U2013" t="s">
        <v>13610</v>
      </c>
      <c r="V2013" t="s">
        <v>13610</v>
      </c>
      <c r="W2013" t="s">
        <v>15576</v>
      </c>
      <c r="X2013">
        <v>11</v>
      </c>
      <c r="Y2013" t="s">
        <v>22256</v>
      </c>
      <c r="Z2013" t="s">
        <v>28868</v>
      </c>
      <c r="AA2013">
        <v>0.37549783333726178</v>
      </c>
      <c r="AB2013" t="str">
        <f>HYPERLINK("Melting_Curves/meltCurve_P16278_3_GLB1.pdf", "Melting_Curves/meltCurve_P16278_3_GLB1.pdf")</f>
        <v>Melting_Curves/meltCurve_P16278_3_GLB1.pdf</v>
      </c>
    </row>
    <row r="2014" spans="1:28" x14ac:dyDescent="0.25">
      <c r="A2014" t="s">
        <v>2018</v>
      </c>
      <c r="B2014">
        <v>0.995954080203443</v>
      </c>
      <c r="C2014">
        <v>0.939433879553211</v>
      </c>
      <c r="D2014">
        <v>0.79371280003631595</v>
      </c>
      <c r="E2014">
        <v>0.52622582789860906</v>
      </c>
      <c r="F2014">
        <v>0.29042864086858799</v>
      </c>
      <c r="G2014">
        <v>0.13880293146614001</v>
      </c>
      <c r="H2014">
        <v>0.101955704960114</v>
      </c>
      <c r="I2014">
        <v>0.107565040830779</v>
      </c>
      <c r="J2014">
        <v>0.118911431732759</v>
      </c>
      <c r="K2014">
        <v>0.10350844106368801</v>
      </c>
      <c r="L2014">
        <v>899.15917120447602</v>
      </c>
      <c r="M2014">
        <v>18.1883370235266</v>
      </c>
      <c r="N2014">
        <v>49.981192732266599</v>
      </c>
      <c r="O2014">
        <v>48.850039091682298</v>
      </c>
      <c r="P2014">
        <v>-8.4711529266941102E-2</v>
      </c>
      <c r="Q2014">
        <v>8.9973547800792197E-2</v>
      </c>
      <c r="R2014">
        <v>0.99772428257418999</v>
      </c>
      <c r="S2014" t="s">
        <v>8820</v>
      </c>
      <c r="T2014" t="s">
        <v>13610</v>
      </c>
      <c r="U2014" t="s">
        <v>13610</v>
      </c>
      <c r="V2014" t="s">
        <v>13610</v>
      </c>
      <c r="W2014" t="s">
        <v>15577</v>
      </c>
      <c r="X2014">
        <v>12</v>
      </c>
      <c r="Y2014" t="s">
        <v>22257</v>
      </c>
      <c r="Z2014" t="s">
        <v>28869</v>
      </c>
      <c r="AA2014">
        <v>0.39153756464259781</v>
      </c>
      <c r="AB2014" t="str">
        <f>HYPERLINK("Melting_Curves/meltCurve_P16298_PPP3CB.pdf", "Melting_Curves/meltCurve_P16298_PPP3CB.pdf")</f>
        <v>Melting_Curves/meltCurve_P16298_PPP3CB.pdf</v>
      </c>
    </row>
    <row r="2015" spans="1:28" x14ac:dyDescent="0.25">
      <c r="A2015" t="s">
        <v>2019</v>
      </c>
      <c r="B2015">
        <v>0.995954080203443</v>
      </c>
      <c r="C2015">
        <v>1.0323412611841101</v>
      </c>
      <c r="D2015">
        <v>0.95688635468237204</v>
      </c>
      <c r="E2015">
        <v>0.72707333262900697</v>
      </c>
      <c r="F2015">
        <v>0.41593711830022201</v>
      </c>
      <c r="G2015">
        <v>0.28060905980982098</v>
      </c>
      <c r="H2015">
        <v>0.23102264214441701</v>
      </c>
      <c r="I2015">
        <v>0.24503264202313799</v>
      </c>
      <c r="J2015">
        <v>0.29423765541514701</v>
      </c>
      <c r="K2015">
        <v>0.26770464057059901</v>
      </c>
      <c r="L2015">
        <v>1613.7432114129399</v>
      </c>
      <c r="M2015">
        <v>31.752258815058301</v>
      </c>
      <c r="N2015">
        <v>52.012685501805599</v>
      </c>
      <c r="O2015">
        <v>50.622629854008103</v>
      </c>
      <c r="P2015">
        <v>-0.11632855167284201</v>
      </c>
      <c r="Q2015">
        <v>0.25815338717765901</v>
      </c>
      <c r="R2015">
        <v>0.996188324828433</v>
      </c>
      <c r="S2015" t="s">
        <v>8821</v>
      </c>
      <c r="T2015" t="s">
        <v>13610</v>
      </c>
      <c r="U2015" t="s">
        <v>13610</v>
      </c>
      <c r="V2015" t="s">
        <v>13610</v>
      </c>
      <c r="W2015" t="s">
        <v>15578</v>
      </c>
      <c r="X2015">
        <v>8</v>
      </c>
      <c r="Y2015" t="s">
        <v>22258</v>
      </c>
      <c r="Z2015" t="s">
        <v>28870</v>
      </c>
      <c r="AA2015">
        <v>0.52993502266162773</v>
      </c>
      <c r="AB2015" t="str">
        <f>HYPERLINK("Melting_Curves/meltCurve_P16333_NCK1.pdf", "Melting_Curves/meltCurve_P16333_NCK1.pdf")</f>
        <v>Melting_Curves/meltCurve_P16333_NCK1.pdf</v>
      </c>
    </row>
    <row r="2016" spans="1:28" x14ac:dyDescent="0.25">
      <c r="A2016" t="s">
        <v>2020</v>
      </c>
      <c r="B2016">
        <v>0.995954080203443</v>
      </c>
      <c r="C2016">
        <v>0.955206412855096</v>
      </c>
      <c r="D2016">
        <v>0.70695387529882503</v>
      </c>
      <c r="E2016">
        <v>0.36262961884947997</v>
      </c>
      <c r="F2016">
        <v>0.250259895248856</v>
      </c>
      <c r="G2016">
        <v>0.18123613868016999</v>
      </c>
      <c r="H2016">
        <v>0.15151588291566501</v>
      </c>
      <c r="I2016">
        <v>0.16670517955849401</v>
      </c>
      <c r="J2016">
        <v>0.19429775647585701</v>
      </c>
      <c r="K2016">
        <v>0.17823447176048701</v>
      </c>
      <c r="L2016">
        <v>1104.4081450346901</v>
      </c>
      <c r="M2016">
        <v>23.327769164247101</v>
      </c>
      <c r="N2016">
        <v>48.217750898790598</v>
      </c>
      <c r="O2016">
        <v>46.999278675162103</v>
      </c>
      <c r="P2016">
        <v>-0.102680761370711</v>
      </c>
      <c r="Q2016">
        <v>0.172516450420682</v>
      </c>
      <c r="R2016">
        <v>0.99782416240537497</v>
      </c>
      <c r="S2016" t="s">
        <v>8822</v>
      </c>
      <c r="T2016" t="s">
        <v>13610</v>
      </c>
      <c r="U2016" t="s">
        <v>13610</v>
      </c>
      <c r="V2016" t="s">
        <v>13610</v>
      </c>
      <c r="W2016" t="s">
        <v>15579</v>
      </c>
      <c r="X2016">
        <v>14</v>
      </c>
      <c r="Y2016" t="s">
        <v>22259</v>
      </c>
      <c r="Z2016" t="s">
        <v>28871</v>
      </c>
      <c r="AA2016">
        <v>0.3836040024946526</v>
      </c>
      <c r="AB2016" t="str">
        <f>HYPERLINK("Melting_Curves/meltCurve_P16383_GCFC2.pdf", "Melting_Curves/meltCurve_P16383_GCFC2.pdf")</f>
        <v>Melting_Curves/meltCurve_P16383_GCFC2.pdf</v>
      </c>
    </row>
    <row r="2017" spans="1:28" x14ac:dyDescent="0.25">
      <c r="A2017" t="s">
        <v>2021</v>
      </c>
      <c r="B2017">
        <v>0.995954080203443</v>
      </c>
      <c r="C2017">
        <v>1.0257309730059101</v>
      </c>
      <c r="D2017">
        <v>0.984743751647709</v>
      </c>
      <c r="E2017">
        <v>0.95441065873981801</v>
      </c>
      <c r="F2017">
        <v>0.78104825662773802</v>
      </c>
      <c r="G2017">
        <v>0.62597151962903397</v>
      </c>
      <c r="H2017">
        <v>0.49188846272613201</v>
      </c>
      <c r="I2017">
        <v>0.516703078287581</v>
      </c>
      <c r="J2017">
        <v>0.59397256950141097</v>
      </c>
      <c r="K2017">
        <v>0.64676487634345803</v>
      </c>
      <c r="L2017">
        <v>1833.4423229767201</v>
      </c>
      <c r="M2017">
        <v>34.573912605495799</v>
      </c>
      <c r="O2017">
        <v>52.853176763159098</v>
      </c>
      <c r="P2017">
        <v>-7.0965249752918194E-2</v>
      </c>
      <c r="Q2017">
        <v>0.56606300055714198</v>
      </c>
      <c r="R2017">
        <v>0.95676700398887105</v>
      </c>
      <c r="S2017" t="s">
        <v>8823</v>
      </c>
      <c r="T2017" t="s">
        <v>13610</v>
      </c>
      <c r="U2017" t="s">
        <v>13610</v>
      </c>
      <c r="V2017" t="s">
        <v>13610</v>
      </c>
      <c r="W2017" t="s">
        <v>15580</v>
      </c>
      <c r="X2017">
        <v>8</v>
      </c>
      <c r="Y2017" t="s">
        <v>22260</v>
      </c>
      <c r="Z2017" t="s">
        <v>28872</v>
      </c>
      <c r="AA2017">
        <v>0.75665786750765329</v>
      </c>
      <c r="AB2017" t="str">
        <f>HYPERLINK("Melting_Curves/meltCurve_P16401_HIST1H1B.pdf", "Melting_Curves/meltCurve_P16401_HIST1H1B.pdf")</f>
        <v>Melting_Curves/meltCurve_P16401_HIST1H1B.pdf</v>
      </c>
    </row>
    <row r="2018" spans="1:28" x14ac:dyDescent="0.25">
      <c r="A2018" t="s">
        <v>2022</v>
      </c>
      <c r="B2018">
        <v>0.995954080203443</v>
      </c>
      <c r="C2018">
        <v>0.94558802405945497</v>
      </c>
      <c r="D2018">
        <v>0.97809771214455699</v>
      </c>
      <c r="E2018">
        <v>0.90025666621835798</v>
      </c>
      <c r="F2018">
        <v>0.814074704280908</v>
      </c>
      <c r="G2018">
        <v>0.68275937233655404</v>
      </c>
      <c r="H2018">
        <v>0.54299104107291896</v>
      </c>
      <c r="I2018">
        <v>0.59144725811891696</v>
      </c>
      <c r="J2018">
        <v>0.74056119176028801</v>
      </c>
      <c r="K2018">
        <v>0.67355812753264399</v>
      </c>
      <c r="L2018">
        <v>1361.5409464448301</v>
      </c>
      <c r="M2018">
        <v>25.998324367815499</v>
      </c>
      <c r="O2018">
        <v>52.0634331080484</v>
      </c>
      <c r="P2018">
        <v>-4.5218302010045799E-2</v>
      </c>
      <c r="Q2018">
        <v>0.63779312372067598</v>
      </c>
      <c r="R2018">
        <v>0.88188774854302199</v>
      </c>
      <c r="S2018" t="s">
        <v>8824</v>
      </c>
      <c r="T2018" t="s">
        <v>13610</v>
      </c>
      <c r="U2018" t="s">
        <v>13610</v>
      </c>
      <c r="V2018" t="s">
        <v>13610</v>
      </c>
      <c r="W2018" t="s">
        <v>15581</v>
      </c>
      <c r="X2018">
        <v>10</v>
      </c>
      <c r="Y2018" t="s">
        <v>22261</v>
      </c>
      <c r="Z2018" t="s">
        <v>28873</v>
      </c>
      <c r="AA2018">
        <v>0.7902252278560975</v>
      </c>
      <c r="AB2018" t="str">
        <f>HYPERLINK("Melting_Curves/meltCurve_P16403_HIST1H1C.pdf", "Melting_Curves/meltCurve_P16403_HIST1H1C.pdf")</f>
        <v>Melting_Curves/meltCurve_P16403_HIST1H1C.pdf</v>
      </c>
    </row>
    <row r="2019" spans="1:28" x14ac:dyDescent="0.25">
      <c r="A2019" t="s">
        <v>2023</v>
      </c>
      <c r="B2019">
        <v>0.995954080203443</v>
      </c>
      <c r="C2019">
        <v>0.86119532141837396</v>
      </c>
      <c r="D2019">
        <v>0.54647291172296097</v>
      </c>
      <c r="E2019">
        <v>0.39168182054738199</v>
      </c>
      <c r="F2019">
        <v>0.28098823683843599</v>
      </c>
      <c r="G2019">
        <v>0.202524172365596</v>
      </c>
      <c r="H2019">
        <v>0.174848970499067</v>
      </c>
      <c r="I2019">
        <v>0.17768252428471901</v>
      </c>
      <c r="J2019">
        <v>0.21296587834409</v>
      </c>
      <c r="K2019">
        <v>0.203663988366063</v>
      </c>
      <c r="L2019">
        <v>854.526277497043</v>
      </c>
      <c r="M2019">
        <v>18.548383255673698</v>
      </c>
      <c r="N2019">
        <v>47.322206038784202</v>
      </c>
      <c r="O2019">
        <v>45.544642257913601</v>
      </c>
      <c r="P2019">
        <v>-8.2073927643303998E-2</v>
      </c>
      <c r="Q2019">
        <v>0.193921378330841</v>
      </c>
      <c r="R2019">
        <v>0.98805969093424595</v>
      </c>
      <c r="S2019" t="s">
        <v>8825</v>
      </c>
      <c r="T2019" t="s">
        <v>13610</v>
      </c>
      <c r="U2019" t="s">
        <v>13610</v>
      </c>
      <c r="V2019" t="s">
        <v>13610</v>
      </c>
      <c r="W2019" t="s">
        <v>15582</v>
      </c>
      <c r="X2019">
        <v>13</v>
      </c>
      <c r="Y2019" t="s">
        <v>22262</v>
      </c>
      <c r="Z2019" t="s">
        <v>28874</v>
      </c>
      <c r="AA2019">
        <v>0.37173627996650838</v>
      </c>
      <c r="AB2019" t="str">
        <f>HYPERLINK("Melting_Curves/meltCurve_P16591_FER.pdf", "Melting_Curves/meltCurve_P16591_FER.pdf")</f>
        <v>Melting_Curves/meltCurve_P16591_FER.pdf</v>
      </c>
    </row>
    <row r="2020" spans="1:28" x14ac:dyDescent="0.25">
      <c r="A2020" t="s">
        <v>2024</v>
      </c>
      <c r="B2020">
        <v>0.995954080203443</v>
      </c>
      <c r="C2020">
        <v>1.10062994458785</v>
      </c>
      <c r="D2020">
        <v>1.0934455026891501</v>
      </c>
      <c r="E2020">
        <v>1.0792995685175999</v>
      </c>
      <c r="F2020">
        <v>1.0905717867377001</v>
      </c>
      <c r="G2020">
        <v>0.89019798182570897</v>
      </c>
      <c r="H2020">
        <v>0.86888496424365402</v>
      </c>
      <c r="I2020">
        <v>1.1164698021788599</v>
      </c>
      <c r="J2020">
        <v>1.1091686619839101</v>
      </c>
      <c r="K2020">
        <v>1.3150604061536599</v>
      </c>
      <c r="L2020">
        <v>2307.10905143624</v>
      </c>
      <c r="M2020">
        <v>33.436169036013403</v>
      </c>
      <c r="O2020">
        <v>68.754986634290702</v>
      </c>
      <c r="P2020">
        <v>6.0788882571395003E-2</v>
      </c>
      <c r="Q2020">
        <v>1.5</v>
      </c>
      <c r="R2020">
        <v>0.50069161187658895</v>
      </c>
      <c r="S2020" t="s">
        <v>8826</v>
      </c>
      <c r="T2020" t="s">
        <v>13610</v>
      </c>
      <c r="U2020" t="s">
        <v>13610</v>
      </c>
      <c r="V2020" t="s">
        <v>13610</v>
      </c>
      <c r="W2020" t="s">
        <v>15583</v>
      </c>
      <c r="X2020">
        <v>11</v>
      </c>
      <c r="Y2020" t="s">
        <v>22262</v>
      </c>
      <c r="Z2020" t="s">
        <v>28875</v>
      </c>
      <c r="AA2020">
        <v>1.0316160409486581</v>
      </c>
      <c r="AB2020" t="str">
        <f>HYPERLINK("Melting_Curves/meltCurve_P16591_3_FER.pdf", "Melting_Curves/meltCurve_P16591_3_FER.pdf")</f>
        <v>Melting_Curves/meltCurve_P16591_3_FER.pdf</v>
      </c>
    </row>
    <row r="2021" spans="1:28" x14ac:dyDescent="0.25">
      <c r="A2021" t="s">
        <v>2025</v>
      </c>
      <c r="B2021">
        <v>0.995954080203443</v>
      </c>
      <c r="C2021">
        <v>0.95466912049073305</v>
      </c>
      <c r="D2021">
        <v>0.76274549196112396</v>
      </c>
      <c r="E2021">
        <v>0.90620188557093095</v>
      </c>
      <c r="F2021">
        <v>0.32632212142156503</v>
      </c>
      <c r="G2021">
        <v>0.126137638481677</v>
      </c>
      <c r="H2021">
        <v>9.0162202096167807E-2</v>
      </c>
      <c r="I2021">
        <v>9.6271069216865707E-2</v>
      </c>
      <c r="J2021">
        <v>0.100231857969483</v>
      </c>
      <c r="K2021">
        <v>0.102069767147571</v>
      </c>
      <c r="L2021">
        <v>2767.7125110710899</v>
      </c>
      <c r="M2021">
        <v>53.2943946702717</v>
      </c>
      <c r="N2021">
        <v>52.153092396514701</v>
      </c>
      <c r="O2021">
        <v>51.859566487522798</v>
      </c>
      <c r="P2021">
        <v>-0.23099469770008499</v>
      </c>
      <c r="Q2021">
        <v>0.10089790632107699</v>
      </c>
      <c r="R2021">
        <v>0.960422734799523</v>
      </c>
      <c r="S2021" t="s">
        <v>8827</v>
      </c>
      <c r="T2021" t="s">
        <v>13610</v>
      </c>
      <c r="U2021" t="s">
        <v>13610</v>
      </c>
      <c r="V2021" t="s">
        <v>13610</v>
      </c>
      <c r="W2021" t="s">
        <v>15584</v>
      </c>
      <c r="X2021">
        <v>12</v>
      </c>
      <c r="Y2021" t="s">
        <v>22263</v>
      </c>
      <c r="Z2021" t="s">
        <v>28876</v>
      </c>
      <c r="AA2021">
        <v>0.46032811955363601</v>
      </c>
      <c r="AB2021" t="str">
        <f>HYPERLINK("Melting_Curves/meltCurve_P16615_ATP2A2.pdf", "Melting_Curves/meltCurve_P16615_ATP2A2.pdf")</f>
        <v>Melting_Curves/meltCurve_P16615_ATP2A2.pdf</v>
      </c>
    </row>
    <row r="2022" spans="1:28" x14ac:dyDescent="0.25">
      <c r="A2022" t="s">
        <v>2026</v>
      </c>
      <c r="B2022">
        <v>0.995954080203443</v>
      </c>
      <c r="C2022">
        <v>0.90284188671838606</v>
      </c>
      <c r="D2022">
        <v>0.62694883830231796</v>
      </c>
      <c r="E2022">
        <v>0.28039271210834199</v>
      </c>
      <c r="F2022">
        <v>0.195563050086169</v>
      </c>
      <c r="G2022">
        <v>0.129656838678401</v>
      </c>
      <c r="H2022">
        <v>8.9541806692185005E-2</v>
      </c>
      <c r="I2022">
        <v>8.2901673421583597E-2</v>
      </c>
      <c r="J2022">
        <v>9.7650785058998393E-2</v>
      </c>
      <c r="K2022">
        <v>9.0726912462507997E-2</v>
      </c>
      <c r="L2022">
        <v>985.64431917516197</v>
      </c>
      <c r="M2022">
        <v>21.014468747400699</v>
      </c>
      <c r="N2022">
        <v>47.375045141483902</v>
      </c>
      <c r="O2022">
        <v>46.484592354964803</v>
      </c>
      <c r="P2022">
        <v>-0.102348102250104</v>
      </c>
      <c r="Q2022">
        <v>9.4436780665629202E-2</v>
      </c>
      <c r="R2022">
        <v>0.99816243078879296</v>
      </c>
      <c r="S2022" t="s">
        <v>8828</v>
      </c>
      <c r="T2022" t="s">
        <v>13610</v>
      </c>
      <c r="U2022" t="s">
        <v>13610</v>
      </c>
      <c r="V2022" t="s">
        <v>13610</v>
      </c>
      <c r="W2022" t="s">
        <v>15585</v>
      </c>
      <c r="X2022">
        <v>22</v>
      </c>
      <c r="Y2022" t="s">
        <v>22264</v>
      </c>
      <c r="Z2022" t="s">
        <v>28877</v>
      </c>
      <c r="AA2022">
        <v>0.31473447208320332</v>
      </c>
      <c r="AB2022" t="str">
        <f>HYPERLINK("Melting_Curves/meltCurve_P16885_PLCG2.pdf", "Melting_Curves/meltCurve_P16885_PLCG2.pdf")</f>
        <v>Melting_Curves/meltCurve_P16885_PLCG2.pdf</v>
      </c>
    </row>
    <row r="2023" spans="1:28" x14ac:dyDescent="0.25">
      <c r="A2023" t="s">
        <v>2027</v>
      </c>
      <c r="B2023">
        <v>0.995954080203443</v>
      </c>
      <c r="C2023">
        <v>1.0004952729438299</v>
      </c>
      <c r="D2023">
        <v>1.0045670973229099</v>
      </c>
      <c r="E2023">
        <v>0.90788558342467096</v>
      </c>
      <c r="F2023">
        <v>0.83468028649689696</v>
      </c>
      <c r="G2023">
        <v>0.66525090234244699</v>
      </c>
      <c r="H2023">
        <v>0.57555704288236598</v>
      </c>
      <c r="I2023">
        <v>0.64587146511479498</v>
      </c>
      <c r="J2023">
        <v>0.70877508744945505</v>
      </c>
      <c r="K2023">
        <v>0.3532837678179</v>
      </c>
      <c r="L2023">
        <v>646.35220278465397</v>
      </c>
      <c r="M2023">
        <v>11.4404166826239</v>
      </c>
      <c r="O2023">
        <v>54.853711938300997</v>
      </c>
      <c r="P2023">
        <v>-2.8014174133849101E-2</v>
      </c>
      <c r="Q2023">
        <v>0.462874191225911</v>
      </c>
      <c r="R2023">
        <v>0.840888490256536</v>
      </c>
      <c r="S2023" t="s">
        <v>8829</v>
      </c>
      <c r="T2023" t="s">
        <v>13610</v>
      </c>
      <c r="U2023" t="s">
        <v>13610</v>
      </c>
      <c r="V2023" t="s">
        <v>13610</v>
      </c>
      <c r="W2023" t="s">
        <v>15586</v>
      </c>
      <c r="X2023">
        <v>24</v>
      </c>
      <c r="Y2023" t="s">
        <v>22265</v>
      </c>
      <c r="Z2023" t="s">
        <v>28878</v>
      </c>
      <c r="AA2023">
        <v>0.76834596047380543</v>
      </c>
      <c r="AB2023" t="str">
        <f>HYPERLINK("Melting_Curves/meltCurve_P16930_FAH.pdf", "Melting_Curves/meltCurve_P16930_FAH.pdf")</f>
        <v>Melting_Curves/meltCurve_P16930_FAH.pdf</v>
      </c>
    </row>
    <row r="2024" spans="1:28" x14ac:dyDescent="0.25">
      <c r="A2024" t="s">
        <v>2028</v>
      </c>
      <c r="B2024">
        <v>0.995954080203443</v>
      </c>
      <c r="C2024">
        <v>0.963795521498231</v>
      </c>
      <c r="D2024">
        <v>0.996079894311096</v>
      </c>
      <c r="E2024">
        <v>0.95382040910128796</v>
      </c>
      <c r="F2024">
        <v>0.95896587807895195</v>
      </c>
      <c r="G2024">
        <v>0.78308048997427404</v>
      </c>
      <c r="H2024">
        <v>0.85979428294249105</v>
      </c>
      <c r="I2024">
        <v>1.01051801260691</v>
      </c>
      <c r="J2024">
        <v>1.5257318282549599</v>
      </c>
      <c r="K2024">
        <v>1.2167045784263699</v>
      </c>
      <c r="L2024">
        <v>15000</v>
      </c>
      <c r="M2024">
        <v>231.110998162073</v>
      </c>
      <c r="O2024">
        <v>64.899034398859698</v>
      </c>
      <c r="P2024">
        <v>0.33050303599165898</v>
      </c>
      <c r="Q2024">
        <v>1.3712384541301501</v>
      </c>
      <c r="R2024">
        <v>0.69173492310068296</v>
      </c>
      <c r="S2024" t="s">
        <v>8830</v>
      </c>
      <c r="T2024" t="s">
        <v>13610</v>
      </c>
      <c r="U2024" t="s">
        <v>13610</v>
      </c>
      <c r="V2024" t="s">
        <v>13610</v>
      </c>
      <c r="W2024" t="s">
        <v>13829</v>
      </c>
      <c r="X2024">
        <v>25</v>
      </c>
      <c r="Y2024" t="s">
        <v>22266</v>
      </c>
      <c r="Z2024" t="s">
        <v>28879</v>
      </c>
      <c r="AA2024">
        <v>1.063013067664585</v>
      </c>
      <c r="AB2024" t="str">
        <f>HYPERLINK("Melting_Curves/meltCurve_P16949_STMN1.pdf", "Melting_Curves/meltCurve_P16949_STMN1.pdf")</f>
        <v>Melting_Curves/meltCurve_P16949_STMN1.pdf</v>
      </c>
    </row>
    <row r="2025" spans="1:28" x14ac:dyDescent="0.25">
      <c r="A2025" t="s">
        <v>2029</v>
      </c>
      <c r="B2025">
        <v>0.995954080203443</v>
      </c>
      <c r="C2025">
        <v>0.98232892034443597</v>
      </c>
      <c r="D2025">
        <v>1.07727113577728</v>
      </c>
      <c r="E2025">
        <v>0.95173368026168703</v>
      </c>
      <c r="F2025">
        <v>1.07056637879801</v>
      </c>
      <c r="G2025">
        <v>0.95588867187075299</v>
      </c>
      <c r="H2025">
        <v>0.95238821781180405</v>
      </c>
      <c r="I2025">
        <v>1.27029326988336</v>
      </c>
      <c r="J2025">
        <v>1.3718709432871701</v>
      </c>
      <c r="K2025">
        <v>1.5136372630272099</v>
      </c>
      <c r="L2025">
        <v>8682.7767802027502</v>
      </c>
      <c r="M2025">
        <v>136.10640677747099</v>
      </c>
      <c r="O2025">
        <v>63.780268892845697</v>
      </c>
      <c r="P2025">
        <v>0.23652212291028901</v>
      </c>
      <c r="Q2025">
        <v>1.4433426371587299</v>
      </c>
      <c r="R2025">
        <v>0.92315871360938395</v>
      </c>
      <c r="S2025" t="s">
        <v>8831</v>
      </c>
      <c r="T2025" t="s">
        <v>13610</v>
      </c>
      <c r="U2025" t="s">
        <v>13610</v>
      </c>
      <c r="V2025" t="s">
        <v>13610</v>
      </c>
      <c r="W2025" t="s">
        <v>15587</v>
      </c>
      <c r="X2025">
        <v>16</v>
      </c>
      <c r="Y2025" t="s">
        <v>22267</v>
      </c>
      <c r="Z2025" t="s">
        <v>28880</v>
      </c>
      <c r="AA2025">
        <v>1.0915448057739521</v>
      </c>
      <c r="AB2025" t="str">
        <f>HYPERLINK("Melting_Curves/meltCurve_P16989_YBX3.pdf", "Melting_Curves/meltCurve_P16989_YBX3.pdf")</f>
        <v>Melting_Curves/meltCurve_P16989_YBX3.pdf</v>
      </c>
    </row>
    <row r="2026" spans="1:28" x14ac:dyDescent="0.25">
      <c r="A2026" t="s">
        <v>2030</v>
      </c>
      <c r="B2026">
        <v>0.995954080203443</v>
      </c>
      <c r="C2026">
        <v>0.87681327071883597</v>
      </c>
      <c r="D2026">
        <v>1.2160203074642899</v>
      </c>
      <c r="E2026">
        <v>0.87533905440104398</v>
      </c>
      <c r="F2026">
        <v>1.15027229579693</v>
      </c>
      <c r="G2026">
        <v>1.1847859245672601</v>
      </c>
      <c r="H2026">
        <v>1.0789797319095999</v>
      </c>
      <c r="I2026">
        <v>1.49910437381144</v>
      </c>
      <c r="J2026">
        <v>1.1306648400238</v>
      </c>
      <c r="K2026">
        <v>1.73904991352075</v>
      </c>
      <c r="L2026">
        <v>1029.7588226924599</v>
      </c>
      <c r="M2026">
        <v>16.8038787038316</v>
      </c>
      <c r="O2026">
        <v>60.4328773684366</v>
      </c>
      <c r="P2026">
        <v>3.4759566977164098E-2</v>
      </c>
      <c r="Q2026">
        <v>1.5</v>
      </c>
      <c r="R2026">
        <v>0.51751119309556004</v>
      </c>
      <c r="S2026" t="s">
        <v>8832</v>
      </c>
      <c r="T2026" t="s">
        <v>13610</v>
      </c>
      <c r="U2026" t="s">
        <v>13610</v>
      </c>
      <c r="V2026" t="s">
        <v>13610</v>
      </c>
      <c r="W2026" t="s">
        <v>15588</v>
      </c>
      <c r="X2026">
        <v>15</v>
      </c>
      <c r="Y2026" t="s">
        <v>22267</v>
      </c>
      <c r="Z2026" t="s">
        <v>28881</v>
      </c>
      <c r="AA2026">
        <v>1.1436466417327069</v>
      </c>
      <c r="AB2026" t="str">
        <f>HYPERLINK("Melting_Curves/meltCurve_P16989_2_YBX3.pdf", "Melting_Curves/meltCurve_P16989_2_YBX3.pdf")</f>
        <v>Melting_Curves/meltCurve_P16989_2_YBX3.pdf</v>
      </c>
    </row>
    <row r="2027" spans="1:28" x14ac:dyDescent="0.25">
      <c r="A2027" t="s">
        <v>2031</v>
      </c>
      <c r="B2027">
        <v>0.995954080203443</v>
      </c>
      <c r="C2027">
        <v>0.93634765320753699</v>
      </c>
      <c r="D2027">
        <v>0.970012487353898</v>
      </c>
      <c r="E2027">
        <v>0.83012334024107703</v>
      </c>
      <c r="F2027">
        <v>0.66130121075494297</v>
      </c>
      <c r="G2027">
        <v>0.553130909208991</v>
      </c>
      <c r="H2027">
        <v>0.49961938997695599</v>
      </c>
      <c r="I2027">
        <v>0.63718270716896097</v>
      </c>
      <c r="J2027">
        <v>0.75306539344991497</v>
      </c>
      <c r="K2027">
        <v>0.78742621636035504</v>
      </c>
      <c r="L2027">
        <v>2703.8709475944102</v>
      </c>
      <c r="M2027">
        <v>54.015842266335198</v>
      </c>
      <c r="O2027">
        <v>49.988531147515999</v>
      </c>
      <c r="P2027">
        <v>-9.5665373232765E-2</v>
      </c>
      <c r="Q2027">
        <v>0.64586919672825305</v>
      </c>
      <c r="R2027">
        <v>0.755519414172654</v>
      </c>
      <c r="S2027" t="s">
        <v>8833</v>
      </c>
      <c r="T2027" t="s">
        <v>13610</v>
      </c>
      <c r="U2027" t="s">
        <v>13610</v>
      </c>
      <c r="V2027" t="s">
        <v>13610</v>
      </c>
      <c r="W2027" t="s">
        <v>15589</v>
      </c>
      <c r="X2027">
        <v>1</v>
      </c>
      <c r="Y2027" t="s">
        <v>22268</v>
      </c>
      <c r="Z2027" t="s">
        <v>28882</v>
      </c>
      <c r="AA2027">
        <v>0.76525508441785517</v>
      </c>
      <c r="AB2027" t="str">
        <f>HYPERLINK("Melting_Curves/meltCurve_P17026_ZNF22.pdf", "Melting_Curves/meltCurve_P17026_ZNF22.pdf")</f>
        <v>Melting_Curves/meltCurve_P17026_ZNF22.pdf</v>
      </c>
    </row>
    <row r="2028" spans="1:28" x14ac:dyDescent="0.25">
      <c r="A2028" t="s">
        <v>2032</v>
      </c>
      <c r="B2028">
        <v>0.995954080203443</v>
      </c>
      <c r="C2028">
        <v>0.96187769824538105</v>
      </c>
      <c r="D2028">
        <v>0.99501447288275502</v>
      </c>
      <c r="E2028">
        <v>0.80690447838916302</v>
      </c>
      <c r="F2028">
        <v>0.77839953104687398</v>
      </c>
      <c r="G2028">
        <v>0.51072267841236496</v>
      </c>
      <c r="H2028">
        <v>0.30489746132450202</v>
      </c>
      <c r="I2028">
        <v>0.31658386608420302</v>
      </c>
      <c r="J2028">
        <v>0.34714906364313702</v>
      </c>
      <c r="K2028">
        <v>0.35675465330761102</v>
      </c>
      <c r="L2028">
        <v>1038.54418079469</v>
      </c>
      <c r="M2028">
        <v>19.197785670661599</v>
      </c>
      <c r="N2028">
        <v>56.903522905976303</v>
      </c>
      <c r="O2028">
        <v>53.520347385334901</v>
      </c>
      <c r="P2028">
        <v>-6.22357049152647E-2</v>
      </c>
      <c r="Q2028">
        <v>0.30601374767803102</v>
      </c>
      <c r="R2028">
        <v>0.97693309127880701</v>
      </c>
      <c r="S2028" t="s">
        <v>8834</v>
      </c>
      <c r="T2028" t="s">
        <v>13610</v>
      </c>
      <c r="U2028" t="s">
        <v>13610</v>
      </c>
      <c r="V2028" t="s">
        <v>13610</v>
      </c>
      <c r="W2028" t="s">
        <v>15590</v>
      </c>
      <c r="X2028">
        <v>11</v>
      </c>
      <c r="Y2028" t="s">
        <v>22269</v>
      </c>
      <c r="Z2028" t="s">
        <v>28883</v>
      </c>
      <c r="AA2028">
        <v>0.64216501532307579</v>
      </c>
      <c r="AB2028" t="str">
        <f>HYPERLINK("Melting_Curves/meltCurve_P17028_ZNF24.pdf", "Melting_Curves/meltCurve_P17028_ZNF24.pdf")</f>
        <v>Melting_Curves/meltCurve_P17028_ZNF24.pdf</v>
      </c>
    </row>
    <row r="2029" spans="1:28" x14ac:dyDescent="0.25">
      <c r="A2029" t="s">
        <v>2033</v>
      </c>
      <c r="B2029">
        <v>0.995954080203443</v>
      </c>
      <c r="C2029">
        <v>0.86722210116918297</v>
      </c>
      <c r="D2029">
        <v>0.85898777352900502</v>
      </c>
      <c r="E2029">
        <v>0.74983266380770297</v>
      </c>
      <c r="F2029">
        <v>0.66779128164048396</v>
      </c>
      <c r="G2029">
        <v>0.42384430764703901</v>
      </c>
      <c r="H2029">
        <v>0.39716165284376498</v>
      </c>
      <c r="I2029">
        <v>0.43799927899848501</v>
      </c>
      <c r="J2029">
        <v>0.48007586260958501</v>
      </c>
      <c r="K2029">
        <v>0.51078395023035195</v>
      </c>
      <c r="L2029">
        <v>692.25106470491301</v>
      </c>
      <c r="M2029">
        <v>13.8586424807333</v>
      </c>
      <c r="N2029">
        <v>58.039316177445201</v>
      </c>
      <c r="O2029">
        <v>48.9452748689706</v>
      </c>
      <c r="P2029">
        <v>-4.0529031503538898E-2</v>
      </c>
      <c r="Q2029">
        <v>0.427525023126272</v>
      </c>
      <c r="R2029">
        <v>0.92421773434113397</v>
      </c>
      <c r="S2029" t="s">
        <v>8835</v>
      </c>
      <c r="T2029" t="s">
        <v>13610</v>
      </c>
      <c r="U2029" t="s">
        <v>13610</v>
      </c>
      <c r="V2029" t="s">
        <v>13610</v>
      </c>
      <c r="W2029" t="s">
        <v>15591</v>
      </c>
      <c r="X2029">
        <v>14</v>
      </c>
      <c r="Y2029" t="s">
        <v>22270</v>
      </c>
      <c r="Z2029" t="s">
        <v>28884</v>
      </c>
      <c r="AA2029">
        <v>0.63310789917833765</v>
      </c>
      <c r="AB2029" t="str">
        <f>HYPERLINK("Melting_Curves/meltCurve_P17029_ZKSCAN1.pdf", "Melting_Curves/meltCurve_P17029_ZKSCAN1.pdf")</f>
        <v>Melting_Curves/meltCurve_P17029_ZKSCAN1.pdf</v>
      </c>
    </row>
    <row r="2030" spans="1:28" x14ac:dyDescent="0.25">
      <c r="A2030" t="s">
        <v>2034</v>
      </c>
      <c r="B2030">
        <v>0.995954080203443</v>
      </c>
      <c r="C2030">
        <v>1.0023306127029099</v>
      </c>
      <c r="D2030">
        <v>0.91055357951112903</v>
      </c>
      <c r="E2030">
        <v>0.83962607447985005</v>
      </c>
      <c r="F2030">
        <v>0.61061959552605405</v>
      </c>
      <c r="G2030">
        <v>0.32344051423655401</v>
      </c>
      <c r="H2030">
        <v>0.155594917653788</v>
      </c>
      <c r="I2030">
        <v>9.4884535140957404E-2</v>
      </c>
      <c r="J2030">
        <v>0.104214755380811</v>
      </c>
      <c r="K2030">
        <v>8.7274510257517604E-2</v>
      </c>
      <c r="L2030">
        <v>989.97520576133797</v>
      </c>
      <c r="M2030">
        <v>18.342820149748501</v>
      </c>
      <c r="N2030">
        <v>54.377852846534097</v>
      </c>
      <c r="O2030">
        <v>53.341518102413602</v>
      </c>
      <c r="P2030">
        <v>-8.0456829376770303E-2</v>
      </c>
      <c r="Q2030">
        <v>6.4158551997033797E-2</v>
      </c>
      <c r="R2030">
        <v>0.99731048236167796</v>
      </c>
      <c r="S2030" t="s">
        <v>8836</v>
      </c>
      <c r="T2030" t="s">
        <v>13610</v>
      </c>
      <c r="U2030" t="s">
        <v>13610</v>
      </c>
      <c r="V2030" t="s">
        <v>13610</v>
      </c>
      <c r="W2030" t="s">
        <v>15592</v>
      </c>
      <c r="X2030">
        <v>8</v>
      </c>
      <c r="Y2030" t="s">
        <v>22271</v>
      </c>
      <c r="Z2030" t="s">
        <v>28885</v>
      </c>
      <c r="AA2030">
        <v>0.51453858184764856</v>
      </c>
      <c r="AB2030" t="str">
        <f>HYPERLINK("Melting_Curves/meltCurve_P17050_NAGA.pdf", "Melting_Curves/meltCurve_P17050_NAGA.pdf")</f>
        <v>Melting_Curves/meltCurve_P17050_NAGA.pdf</v>
      </c>
    </row>
    <row r="2031" spans="1:28" x14ac:dyDescent="0.25">
      <c r="A2031" t="s">
        <v>2035</v>
      </c>
      <c r="B2031">
        <v>0.995954080203443</v>
      </c>
      <c r="C2031">
        <v>0.91973136788508902</v>
      </c>
      <c r="D2031">
        <v>0.92386129552341301</v>
      </c>
      <c r="E2031">
        <v>0.87631947994067805</v>
      </c>
      <c r="F2031">
        <v>0.78183025864598699</v>
      </c>
      <c r="G2031">
        <v>0.25387994344786002</v>
      </c>
      <c r="H2031">
        <v>0.14645573915801399</v>
      </c>
      <c r="I2031">
        <v>0.143291356029423</v>
      </c>
      <c r="J2031">
        <v>0.24221918815933799</v>
      </c>
      <c r="K2031">
        <v>0.13856711938684399</v>
      </c>
      <c r="L2031">
        <v>2050.4645742171201</v>
      </c>
      <c r="M2031">
        <v>37.823136626343803</v>
      </c>
      <c r="N2031">
        <v>54.773245631669603</v>
      </c>
      <c r="O2031">
        <v>54.061036905208503</v>
      </c>
      <c r="P2031">
        <v>-0.146807799929184</v>
      </c>
      <c r="Q2031">
        <v>0.16066599353504599</v>
      </c>
      <c r="R2031">
        <v>0.97735097479141997</v>
      </c>
      <c r="S2031" t="s">
        <v>8837</v>
      </c>
      <c r="T2031" t="s">
        <v>13610</v>
      </c>
      <c r="U2031" t="s">
        <v>13610</v>
      </c>
      <c r="V2031" t="s">
        <v>13610</v>
      </c>
      <c r="W2031" t="s">
        <v>15593</v>
      </c>
      <c r="X2031">
        <v>13</v>
      </c>
      <c r="Y2031" t="s">
        <v>22272</v>
      </c>
      <c r="Z2031" t="s">
        <v>28886</v>
      </c>
      <c r="AA2031">
        <v>0.56179229209696679</v>
      </c>
      <c r="AB2031" t="str">
        <f>HYPERLINK("Melting_Curves/meltCurve_P17066_HSPA6.pdf", "Melting_Curves/meltCurve_P17066_HSPA6.pdf")</f>
        <v>Melting_Curves/meltCurve_P17066_HSPA6.pdf</v>
      </c>
    </row>
    <row r="2032" spans="1:28" x14ac:dyDescent="0.25">
      <c r="A2032" t="s">
        <v>2036</v>
      </c>
      <c r="B2032">
        <v>0.995954080203443</v>
      </c>
      <c r="C2032">
        <v>0.86405681095909004</v>
      </c>
      <c r="D2032">
        <v>1.1404044830455899</v>
      </c>
      <c r="E2032">
        <v>0.80237523946115497</v>
      </c>
      <c r="F2032">
        <v>0.97120096617260798</v>
      </c>
      <c r="G2032">
        <v>0.75584086525080096</v>
      </c>
      <c r="H2032">
        <v>0.73625775422720696</v>
      </c>
      <c r="I2032">
        <v>0.93573968159389298</v>
      </c>
      <c r="J2032">
        <v>1.0737389703771401</v>
      </c>
      <c r="K2032">
        <v>1.0654407818942699</v>
      </c>
      <c r="L2032">
        <v>11988.1445338472</v>
      </c>
      <c r="M2032">
        <v>250</v>
      </c>
      <c r="O2032">
        <v>47.949513157013101</v>
      </c>
      <c r="P2032">
        <v>-0.122785770166606</v>
      </c>
      <c r="Q2032">
        <v>0.90579972087543603</v>
      </c>
      <c r="R2032">
        <v>0.105173241615289</v>
      </c>
      <c r="S2032" t="s">
        <v>8838</v>
      </c>
      <c r="T2032" t="s">
        <v>13610</v>
      </c>
      <c r="U2032" t="s">
        <v>13610</v>
      </c>
      <c r="V2032" t="s">
        <v>13610</v>
      </c>
      <c r="W2032" t="s">
        <v>15594</v>
      </c>
      <c r="X2032">
        <v>4</v>
      </c>
      <c r="Y2032" t="s">
        <v>22273</v>
      </c>
      <c r="Z2032" t="s">
        <v>28887</v>
      </c>
      <c r="AA2032">
        <v>0.93077881773390581</v>
      </c>
      <c r="AB2032" t="str">
        <f>HYPERLINK("Melting_Curves/meltCurve_P17096_2_HMGA1.pdf", "Melting_Curves/meltCurve_P17096_2_HMGA1.pdf")</f>
        <v>Melting_Curves/meltCurve_P17096_2_HMGA1.pdf</v>
      </c>
    </row>
    <row r="2033" spans="1:28" x14ac:dyDescent="0.25">
      <c r="A2033" t="s">
        <v>2037</v>
      </c>
      <c r="B2033">
        <v>0.995954080203443</v>
      </c>
      <c r="C2033">
        <v>0.944965676148391</v>
      </c>
      <c r="D2033">
        <v>0.98865734004712102</v>
      </c>
      <c r="E2033">
        <v>0.80528468970239797</v>
      </c>
      <c r="F2033">
        <v>0.81683185324558105</v>
      </c>
      <c r="G2033">
        <v>0.67260406081805402</v>
      </c>
      <c r="H2033">
        <v>0.63748022095983903</v>
      </c>
      <c r="I2033">
        <v>0.74261797190097101</v>
      </c>
      <c r="J2033">
        <v>0.91530045617233802</v>
      </c>
      <c r="K2033">
        <v>0.90058676869366105</v>
      </c>
      <c r="L2033">
        <v>2550.41211109603</v>
      </c>
      <c r="M2033">
        <v>52.877666246677897</v>
      </c>
      <c r="O2033">
        <v>48.163498257224198</v>
      </c>
      <c r="P2033">
        <v>-6.0387936649636799E-2</v>
      </c>
      <c r="Q2033">
        <v>0.77998341109040104</v>
      </c>
      <c r="R2033">
        <v>0.52125763932806402</v>
      </c>
      <c r="S2033" t="s">
        <v>8839</v>
      </c>
      <c r="T2033" t="s">
        <v>13610</v>
      </c>
      <c r="U2033" t="s">
        <v>13610</v>
      </c>
      <c r="V2033" t="s">
        <v>13610</v>
      </c>
      <c r="W2033" t="s">
        <v>15595</v>
      </c>
      <c r="X2033">
        <v>6</v>
      </c>
      <c r="Y2033" t="s">
        <v>22274</v>
      </c>
      <c r="Z2033" t="s">
        <v>28888</v>
      </c>
      <c r="AA2033">
        <v>0.84077662023576927</v>
      </c>
      <c r="AB2033" t="str">
        <f>HYPERLINK("Melting_Curves/meltCurve_P17098_ZNF8.pdf", "Melting_Curves/meltCurve_P17098_ZNF8.pdf")</f>
        <v>Melting_Curves/meltCurve_P17098_ZNF8.pdf</v>
      </c>
    </row>
    <row r="2034" spans="1:28" x14ac:dyDescent="0.25">
      <c r="A2034" t="s">
        <v>2038</v>
      </c>
      <c r="B2034">
        <v>0.995954080203443</v>
      </c>
      <c r="C2034">
        <v>0.97020086975508901</v>
      </c>
      <c r="D2034">
        <v>0.96036925811560803</v>
      </c>
      <c r="E2034">
        <v>0.84828895391429704</v>
      </c>
      <c r="F2034">
        <v>0.77577112428317496</v>
      </c>
      <c r="G2034">
        <v>0.63214847411085195</v>
      </c>
      <c r="H2034">
        <v>0.57975364006258301</v>
      </c>
      <c r="I2034">
        <v>0.70556660446479402</v>
      </c>
      <c r="J2034">
        <v>0.88225725223268803</v>
      </c>
      <c r="K2034">
        <v>0.59376247539500004</v>
      </c>
      <c r="L2034">
        <v>1312.9092059254599</v>
      </c>
      <c r="M2034">
        <v>26.1334217063444</v>
      </c>
      <c r="O2034">
        <v>49.947301746306799</v>
      </c>
      <c r="P2034">
        <v>-4.1854249134178102E-2</v>
      </c>
      <c r="Q2034">
        <v>0.68002916685565895</v>
      </c>
      <c r="R2034">
        <v>0.71774317621594397</v>
      </c>
      <c r="S2034" t="s">
        <v>8840</v>
      </c>
      <c r="T2034" t="s">
        <v>13610</v>
      </c>
      <c r="U2034" t="s">
        <v>13610</v>
      </c>
      <c r="V2034" t="s">
        <v>13610</v>
      </c>
      <c r="W2034" t="s">
        <v>15596</v>
      </c>
      <c r="X2034">
        <v>29</v>
      </c>
      <c r="Y2034" t="s">
        <v>22275</v>
      </c>
      <c r="Z2034" t="s">
        <v>28889</v>
      </c>
      <c r="AA2034">
        <v>0.79185520941792276</v>
      </c>
      <c r="AB2034" t="str">
        <f>HYPERLINK("Melting_Curves/meltCurve_P17174_GOT1.pdf", "Melting_Curves/meltCurve_P17174_GOT1.pdf")</f>
        <v>Melting_Curves/meltCurve_P17174_GOT1.pdf</v>
      </c>
    </row>
    <row r="2035" spans="1:28" x14ac:dyDescent="0.25">
      <c r="A2035" t="s">
        <v>2039</v>
      </c>
      <c r="B2035">
        <v>0.995954080203443</v>
      </c>
      <c r="C2035">
        <v>0.94128798427646498</v>
      </c>
      <c r="D2035">
        <v>0.73224562308085805</v>
      </c>
      <c r="E2035">
        <v>0.272672596795901</v>
      </c>
      <c r="F2035">
        <v>0.14715783381324801</v>
      </c>
      <c r="G2035">
        <v>7.9189437306400295E-2</v>
      </c>
      <c r="H2035">
        <v>5.5414878705326603E-2</v>
      </c>
      <c r="I2035">
        <v>4.5277703409894801E-2</v>
      </c>
      <c r="J2035">
        <v>5.0134887461312103E-2</v>
      </c>
      <c r="K2035">
        <v>4.2412309092259799E-2</v>
      </c>
      <c r="L2035">
        <v>1157.95356013946</v>
      </c>
      <c r="M2035">
        <v>24.265287915241899</v>
      </c>
      <c r="N2035">
        <v>47.932409932856402</v>
      </c>
      <c r="O2035">
        <v>47.400014792727198</v>
      </c>
      <c r="P2035">
        <v>-0.121476218002494</v>
      </c>
      <c r="Q2035">
        <v>5.0843758034374298E-2</v>
      </c>
      <c r="R2035">
        <v>0.99939858904222001</v>
      </c>
      <c r="S2035" t="s">
        <v>8841</v>
      </c>
      <c r="T2035" t="s">
        <v>13610</v>
      </c>
      <c r="U2035" t="s">
        <v>13610</v>
      </c>
      <c r="V2035" t="s">
        <v>13610</v>
      </c>
      <c r="W2035" t="s">
        <v>15597</v>
      </c>
      <c r="X2035">
        <v>22</v>
      </c>
      <c r="Y2035" t="s">
        <v>22276</v>
      </c>
      <c r="Z2035" t="s">
        <v>28890</v>
      </c>
      <c r="AA2035">
        <v>0.30406599857035149</v>
      </c>
      <c r="AB2035" t="str">
        <f>HYPERLINK("Melting_Curves/meltCurve_P17252_PRKCA.pdf", "Melting_Curves/meltCurve_P17252_PRKCA.pdf")</f>
        <v>Melting_Curves/meltCurve_P17252_PRKCA.pdf</v>
      </c>
    </row>
    <row r="2036" spans="1:28" x14ac:dyDescent="0.25">
      <c r="A2036" t="s">
        <v>2040</v>
      </c>
      <c r="B2036">
        <v>0.995954080203443</v>
      </c>
      <c r="C2036">
        <v>0.83874262818790402</v>
      </c>
      <c r="D2036">
        <v>0.90302885745140404</v>
      </c>
      <c r="E2036">
        <v>0.66649885064895398</v>
      </c>
      <c r="F2036">
        <v>0.67275448272931304</v>
      </c>
      <c r="G2036">
        <v>0.48925760705891602</v>
      </c>
      <c r="H2036">
        <v>0.47512134722974297</v>
      </c>
      <c r="I2036">
        <v>0.48873821959845798</v>
      </c>
      <c r="J2036">
        <v>0.61207551429927698</v>
      </c>
      <c r="K2036">
        <v>0.58126814299102203</v>
      </c>
      <c r="L2036">
        <v>731.44865942445301</v>
      </c>
      <c r="M2036">
        <v>15.240394329115899</v>
      </c>
      <c r="O2036">
        <v>47.190517526362903</v>
      </c>
      <c r="P2036">
        <v>-3.8475101294383501E-2</v>
      </c>
      <c r="Q2036">
        <v>0.52350638163866303</v>
      </c>
      <c r="R2036">
        <v>0.87184788959723802</v>
      </c>
      <c r="S2036" t="s">
        <v>8842</v>
      </c>
      <c r="T2036" t="s">
        <v>13610</v>
      </c>
      <c r="U2036" t="s">
        <v>13610</v>
      </c>
      <c r="V2036" t="s">
        <v>13610</v>
      </c>
      <c r="W2036" t="s">
        <v>15598</v>
      </c>
      <c r="X2036">
        <v>3</v>
      </c>
      <c r="Y2036" t="s">
        <v>22277</v>
      </c>
      <c r="Z2036" t="s">
        <v>28891</v>
      </c>
      <c r="AA2036">
        <v>0.662361315354556</v>
      </c>
      <c r="AB2036" t="str">
        <f>HYPERLINK("Melting_Curves/meltCurve_P17275_JUNB.pdf", "Melting_Curves/meltCurve_P17275_JUNB.pdf")</f>
        <v>Melting_Curves/meltCurve_P17275_JUNB.pdf</v>
      </c>
    </row>
    <row r="2037" spans="1:28" x14ac:dyDescent="0.25">
      <c r="A2037" t="s">
        <v>2041</v>
      </c>
      <c r="B2037">
        <v>0.995954080203443</v>
      </c>
      <c r="C2037">
        <v>0.89403749580313796</v>
      </c>
      <c r="D2037">
        <v>0.77316431573833699</v>
      </c>
      <c r="E2037">
        <v>0.605707998776158</v>
      </c>
      <c r="F2037">
        <v>0.44415980877712902</v>
      </c>
      <c r="G2037">
        <v>0.26767596293853602</v>
      </c>
      <c r="H2037">
        <v>0.225600327398189</v>
      </c>
      <c r="I2037">
        <v>0.22977395706125101</v>
      </c>
      <c r="J2037">
        <v>0.348916640775077</v>
      </c>
      <c r="K2037">
        <v>0.26655459490819999</v>
      </c>
      <c r="L2037">
        <v>747.63938141349797</v>
      </c>
      <c r="M2037">
        <v>15.258810497447</v>
      </c>
      <c r="N2037">
        <v>51.245244992162696</v>
      </c>
      <c r="O2037">
        <v>48.1787963767582</v>
      </c>
      <c r="P2037">
        <v>-5.98655189704171E-2</v>
      </c>
      <c r="Q2037">
        <v>0.24398401078437701</v>
      </c>
      <c r="R2037">
        <v>0.97428297128831498</v>
      </c>
      <c r="S2037" t="s">
        <v>8843</v>
      </c>
      <c r="T2037" t="s">
        <v>13610</v>
      </c>
      <c r="U2037" t="s">
        <v>13610</v>
      </c>
      <c r="V2037" t="s">
        <v>13610</v>
      </c>
      <c r="W2037" t="s">
        <v>15599</v>
      </c>
      <c r="X2037">
        <v>17</v>
      </c>
      <c r="Y2037" t="s">
        <v>22278</v>
      </c>
      <c r="Z2037" t="s">
        <v>28892</v>
      </c>
      <c r="AA2037">
        <v>0.48878666684592909</v>
      </c>
      <c r="AB2037" t="str">
        <f>HYPERLINK("Melting_Curves/meltCurve_P17480_2_UBTF.pdf", "Melting_Curves/meltCurve_P17480_2_UBTF.pdf")</f>
        <v>Melting_Curves/meltCurve_P17480_2_UBTF.pdf</v>
      </c>
    </row>
    <row r="2038" spans="1:28" x14ac:dyDescent="0.25">
      <c r="A2038" t="s">
        <v>2042</v>
      </c>
      <c r="B2038">
        <v>0.995954080203443</v>
      </c>
      <c r="C2038">
        <v>0.94426679449121997</v>
      </c>
      <c r="D2038">
        <v>1.0814220018626</v>
      </c>
      <c r="E2038">
        <v>0.885521853897978</v>
      </c>
      <c r="F2038">
        <v>1.0198067319648401</v>
      </c>
      <c r="G2038">
        <v>0.84780396291349602</v>
      </c>
      <c r="H2038">
        <v>0.849805687705247</v>
      </c>
      <c r="I2038">
        <v>1.03514644545935</v>
      </c>
      <c r="J2038">
        <v>1.1556574175751499</v>
      </c>
      <c r="K2038">
        <v>1.2102298411029699</v>
      </c>
      <c r="L2038">
        <v>4585.06128227926</v>
      </c>
      <c r="M2038">
        <v>69.537818477124901</v>
      </c>
      <c r="O2038">
        <v>65.881757397921405</v>
      </c>
      <c r="P2038">
        <v>5.5936407577567002E-2</v>
      </c>
      <c r="Q2038">
        <v>1.2119818002363301</v>
      </c>
      <c r="R2038">
        <v>0.49941685326493701</v>
      </c>
      <c r="S2038" t="s">
        <v>8844</v>
      </c>
      <c r="T2038" t="s">
        <v>13610</v>
      </c>
      <c r="U2038" t="s">
        <v>13610</v>
      </c>
      <c r="V2038" t="s">
        <v>13610</v>
      </c>
      <c r="W2038" t="s">
        <v>15600</v>
      </c>
      <c r="X2038">
        <v>7</v>
      </c>
      <c r="Y2038" t="s">
        <v>22279</v>
      </c>
      <c r="Z2038" t="s">
        <v>28893</v>
      </c>
      <c r="AA2038">
        <v>1.0285333585846661</v>
      </c>
      <c r="AB2038" t="str">
        <f>HYPERLINK("Melting_Curves/meltCurve_P17482_HOXB9.pdf", "Melting_Curves/meltCurve_P17482_HOXB9.pdf")</f>
        <v>Melting_Curves/meltCurve_P17482_HOXB9.pdf</v>
      </c>
    </row>
    <row r="2039" spans="1:28" x14ac:dyDescent="0.25">
      <c r="A2039" t="s">
        <v>2043</v>
      </c>
      <c r="B2039">
        <v>0.995954080203443</v>
      </c>
      <c r="C2039">
        <v>0.99634713627994398</v>
      </c>
      <c r="D2039">
        <v>0.92700170817084404</v>
      </c>
      <c r="E2039">
        <v>0.855314324469302</v>
      </c>
      <c r="F2039">
        <v>0.836255300527731</v>
      </c>
      <c r="G2039">
        <v>0.64445935850098002</v>
      </c>
      <c r="H2039">
        <v>0.64919305006281003</v>
      </c>
      <c r="I2039">
        <v>0.74464159474885705</v>
      </c>
      <c r="J2039">
        <v>0.88793479622550198</v>
      </c>
      <c r="K2039">
        <v>0.88182644320403103</v>
      </c>
      <c r="L2039">
        <v>1164.5150673103301</v>
      </c>
      <c r="M2039">
        <v>24.096324509411598</v>
      </c>
      <c r="O2039">
        <v>47.998326694945199</v>
      </c>
      <c r="P2039">
        <v>-2.8938113637820499E-2</v>
      </c>
      <c r="Q2039">
        <v>0.76943208577953404</v>
      </c>
      <c r="R2039">
        <v>0.57314141193041901</v>
      </c>
      <c r="S2039" t="s">
        <v>8845</v>
      </c>
      <c r="T2039" t="s">
        <v>13610</v>
      </c>
      <c r="U2039" t="s">
        <v>13610</v>
      </c>
      <c r="V2039" t="s">
        <v>13610</v>
      </c>
      <c r="W2039" t="s">
        <v>15601</v>
      </c>
      <c r="X2039">
        <v>5</v>
      </c>
      <c r="Y2039" t="s">
        <v>22280</v>
      </c>
      <c r="Z2039" t="s">
        <v>28894</v>
      </c>
      <c r="AA2039">
        <v>0.83563546844767733</v>
      </c>
      <c r="AB2039" t="str">
        <f>HYPERLINK("Melting_Curves/meltCurve_P17483_HOXB4.pdf", "Melting_Curves/meltCurve_P17483_HOXB4.pdf")</f>
        <v>Melting_Curves/meltCurve_P17483_HOXB4.pdf</v>
      </c>
    </row>
    <row r="2040" spans="1:28" x14ac:dyDescent="0.25">
      <c r="A2040" t="s">
        <v>2044</v>
      </c>
      <c r="B2040">
        <v>0.995954080203443</v>
      </c>
      <c r="C2040">
        <v>1.0475659523652501</v>
      </c>
      <c r="D2040">
        <v>1.00414599679379</v>
      </c>
      <c r="E2040">
        <v>0.91163245067751097</v>
      </c>
      <c r="F2040">
        <v>0.90775022007017103</v>
      </c>
      <c r="G2040">
        <v>0.681386144580019</v>
      </c>
      <c r="H2040">
        <v>0.61616932145076198</v>
      </c>
      <c r="I2040">
        <v>0.73823199961196595</v>
      </c>
      <c r="J2040">
        <v>0.95884969940394105</v>
      </c>
      <c r="K2040">
        <v>0.91363944350014004</v>
      </c>
      <c r="L2040">
        <v>1808.34026622743</v>
      </c>
      <c r="M2040">
        <v>34.949706559077498</v>
      </c>
      <c r="O2040">
        <v>51.572681757069198</v>
      </c>
      <c r="P2040">
        <v>-3.61175714533934E-2</v>
      </c>
      <c r="Q2040">
        <v>0.786816644608065</v>
      </c>
      <c r="R2040">
        <v>0.50042701853943306</v>
      </c>
      <c r="S2040" t="s">
        <v>8846</v>
      </c>
      <c r="T2040" t="s">
        <v>13610</v>
      </c>
      <c r="U2040" t="s">
        <v>13610</v>
      </c>
      <c r="V2040" t="s">
        <v>13610</v>
      </c>
      <c r="W2040" t="s">
        <v>15602</v>
      </c>
      <c r="X2040">
        <v>5</v>
      </c>
      <c r="Y2040" t="s">
        <v>22281</v>
      </c>
      <c r="Z2040" t="s">
        <v>28895</v>
      </c>
      <c r="AA2040">
        <v>0.87125072549946414</v>
      </c>
      <c r="AB2040" t="str">
        <f>HYPERLINK("Melting_Curves/meltCurve_P17535_JUND.pdf", "Melting_Curves/meltCurve_P17535_JUND.pdf")</f>
        <v>Melting_Curves/meltCurve_P17535_JUND.pdf</v>
      </c>
    </row>
    <row r="2041" spans="1:28" x14ac:dyDescent="0.25">
      <c r="A2041" t="s">
        <v>2045</v>
      </c>
      <c r="B2041">
        <v>0.995954080203443</v>
      </c>
      <c r="C2041">
        <v>0.83145365522797698</v>
      </c>
      <c r="D2041">
        <v>0.82926066016532496</v>
      </c>
      <c r="E2041">
        <v>0.66520652391849699</v>
      </c>
      <c r="F2041">
        <v>0.58521078917875302</v>
      </c>
      <c r="G2041">
        <v>0.35584017502613002</v>
      </c>
      <c r="H2041">
        <v>0.29815931213913499</v>
      </c>
      <c r="I2041">
        <v>0.33391669979843602</v>
      </c>
      <c r="J2041">
        <v>0.37667214116755698</v>
      </c>
      <c r="K2041">
        <v>0.37723713912617701</v>
      </c>
      <c r="L2041">
        <v>621.52651874122796</v>
      </c>
      <c r="M2041">
        <v>12.5034118286599</v>
      </c>
      <c r="N2041">
        <v>53.840951212515002</v>
      </c>
      <c r="O2041">
        <v>48.488399194419301</v>
      </c>
      <c r="P2041">
        <v>-4.45881176263377E-2</v>
      </c>
      <c r="Q2041">
        <v>0.30848865971045403</v>
      </c>
      <c r="R2041">
        <v>0.95357800204571996</v>
      </c>
      <c r="S2041" t="s">
        <v>8847</v>
      </c>
      <c r="T2041" t="s">
        <v>13610</v>
      </c>
      <c r="U2041" t="s">
        <v>13610</v>
      </c>
      <c r="V2041" t="s">
        <v>13610</v>
      </c>
      <c r="W2041" t="s">
        <v>15603</v>
      </c>
      <c r="X2041">
        <v>6</v>
      </c>
      <c r="Y2041" t="s">
        <v>22282</v>
      </c>
      <c r="Z2041" t="s">
        <v>28896</v>
      </c>
      <c r="AA2041">
        <v>0.55506100824473392</v>
      </c>
      <c r="AB2041" t="str">
        <f>HYPERLINK("Melting_Curves/meltCurve_P17542_TAL1.pdf", "Melting_Curves/meltCurve_P17542_TAL1.pdf")</f>
        <v>Melting_Curves/meltCurve_P17542_TAL1.pdf</v>
      </c>
    </row>
    <row r="2042" spans="1:28" x14ac:dyDescent="0.25">
      <c r="A2042" t="s">
        <v>2046</v>
      </c>
      <c r="B2042">
        <v>0.995954080203443</v>
      </c>
      <c r="C2042">
        <v>1.0302387700545901</v>
      </c>
      <c r="D2042">
        <v>1.09953225022502</v>
      </c>
      <c r="E2042">
        <v>0.93761000304100195</v>
      </c>
      <c r="F2042">
        <v>0.92970782834479504</v>
      </c>
      <c r="G2042">
        <v>0.73782537612911203</v>
      </c>
      <c r="H2042">
        <v>0.65420079626648298</v>
      </c>
      <c r="I2042">
        <v>0.72874124365226101</v>
      </c>
      <c r="J2042">
        <v>0.87865061028281</v>
      </c>
      <c r="K2042">
        <v>0.86588731827252197</v>
      </c>
      <c r="L2042">
        <v>6190.1586515912704</v>
      </c>
      <c r="M2042">
        <v>115.99852899036399</v>
      </c>
      <c r="O2042">
        <v>53.3482630851042</v>
      </c>
      <c r="P2042">
        <v>-0.123370064212753</v>
      </c>
      <c r="Q2042">
        <v>0.77304616460794795</v>
      </c>
      <c r="R2042">
        <v>0.71823567886655304</v>
      </c>
      <c r="S2042" t="s">
        <v>8848</v>
      </c>
      <c r="T2042" t="s">
        <v>13610</v>
      </c>
      <c r="U2042" t="s">
        <v>13610</v>
      </c>
      <c r="V2042" t="s">
        <v>13610</v>
      </c>
      <c r="W2042" t="s">
        <v>15604</v>
      </c>
      <c r="X2042">
        <v>9</v>
      </c>
      <c r="Y2042" t="s">
        <v>22283</v>
      </c>
      <c r="Z2042" t="s">
        <v>28897</v>
      </c>
      <c r="AA2042">
        <v>0.87424619737485976</v>
      </c>
      <c r="AB2042" t="str">
        <f>HYPERLINK("Melting_Curves/meltCurve_P17544_4_ATF7.pdf", "Melting_Curves/meltCurve_P17544_4_ATF7.pdf")</f>
        <v>Melting_Curves/meltCurve_P17544_4_ATF7.pdf</v>
      </c>
    </row>
    <row r="2043" spans="1:28" x14ac:dyDescent="0.25">
      <c r="A2043" t="s">
        <v>2047</v>
      </c>
      <c r="B2043">
        <v>0.995954080203443</v>
      </c>
      <c r="C2043">
        <v>1.0059758446753899</v>
      </c>
      <c r="D2043">
        <v>0.96265019783742301</v>
      </c>
      <c r="E2043">
        <v>0.73392242146683595</v>
      </c>
      <c r="F2043">
        <v>0.35886948670066898</v>
      </c>
      <c r="G2043">
        <v>0.16606152425784901</v>
      </c>
      <c r="H2043">
        <v>0.109472339049049</v>
      </c>
      <c r="I2043">
        <v>8.6084587420701603E-2</v>
      </c>
      <c r="J2043">
        <v>0.103968578713797</v>
      </c>
      <c r="K2043">
        <v>8.0350556915243898E-2</v>
      </c>
      <c r="L2043">
        <v>1462.4480449626899</v>
      </c>
      <c r="M2043">
        <v>28.413607493810101</v>
      </c>
      <c r="N2043">
        <v>51.848992861751903</v>
      </c>
      <c r="O2043">
        <v>51.217061836027099</v>
      </c>
      <c r="P2043">
        <v>-0.125687476174418</v>
      </c>
      <c r="Q2043">
        <v>9.3773476194811495E-2</v>
      </c>
      <c r="R2043">
        <v>0.99927756462668704</v>
      </c>
      <c r="S2043" t="s">
        <v>8849</v>
      </c>
      <c r="T2043" t="s">
        <v>13610</v>
      </c>
      <c r="U2043" t="s">
        <v>13610</v>
      </c>
      <c r="V2043" t="s">
        <v>13610</v>
      </c>
      <c r="W2043" t="s">
        <v>15605</v>
      </c>
      <c r="X2043">
        <v>17</v>
      </c>
      <c r="Y2043" t="s">
        <v>22284</v>
      </c>
      <c r="Z2043" t="s">
        <v>28898</v>
      </c>
      <c r="AA2043">
        <v>0.44665051741035272</v>
      </c>
      <c r="AB2043" t="str">
        <f>HYPERLINK("Melting_Curves/meltCurve_P17612_PRKACA.pdf", "Melting_Curves/meltCurve_P17612_PRKACA.pdf")</f>
        <v>Melting_Curves/meltCurve_P17612_PRKACA.pdf</v>
      </c>
    </row>
    <row r="2044" spans="1:28" x14ac:dyDescent="0.25">
      <c r="A2044" t="s">
        <v>2048</v>
      </c>
      <c r="B2044">
        <v>0.995954080203443</v>
      </c>
      <c r="C2044">
        <v>1.06354849861851</v>
      </c>
      <c r="D2044">
        <v>1.0422204758100899</v>
      </c>
      <c r="E2044">
        <v>0.98533273924838105</v>
      </c>
      <c r="F2044">
        <v>0.80483492501868903</v>
      </c>
      <c r="G2044">
        <v>0.38739434434558101</v>
      </c>
      <c r="H2044">
        <v>9.87185141978692E-2</v>
      </c>
      <c r="I2044">
        <v>8.5712150246142801E-2</v>
      </c>
      <c r="J2044">
        <v>8.5120078230072199E-2</v>
      </c>
      <c r="K2044">
        <v>8.49671519625501E-2</v>
      </c>
      <c r="L2044">
        <v>1665.7270321590299</v>
      </c>
      <c r="M2044">
        <v>29.9747677987781</v>
      </c>
      <c r="N2044">
        <v>55.853297276159303</v>
      </c>
      <c r="O2044">
        <v>55.325398401135701</v>
      </c>
      <c r="P2044">
        <v>-0.12592684958286901</v>
      </c>
      <c r="Q2044">
        <v>7.0297086067020995E-2</v>
      </c>
      <c r="R2044">
        <v>0.99547408692872796</v>
      </c>
      <c r="S2044" t="s">
        <v>8850</v>
      </c>
      <c r="T2044" t="s">
        <v>13610</v>
      </c>
      <c r="U2044" t="s">
        <v>13610</v>
      </c>
      <c r="V2044" t="s">
        <v>13610</v>
      </c>
      <c r="W2044" t="s">
        <v>15606</v>
      </c>
      <c r="X2044">
        <v>26</v>
      </c>
      <c r="Y2044" t="s">
        <v>22285</v>
      </c>
      <c r="Z2044" t="s">
        <v>28899</v>
      </c>
      <c r="AA2044">
        <v>0.55904254896117045</v>
      </c>
      <c r="AB2044" t="str">
        <f>HYPERLINK("Melting_Curves/meltCurve_P17655_CAPN2.pdf", "Melting_Curves/meltCurve_P17655_CAPN2.pdf")</f>
        <v>Melting_Curves/meltCurve_P17655_CAPN2.pdf</v>
      </c>
    </row>
    <row r="2045" spans="1:28" x14ac:dyDescent="0.25">
      <c r="A2045" t="s">
        <v>2049</v>
      </c>
      <c r="B2045">
        <v>0.995954080203443</v>
      </c>
      <c r="C2045">
        <v>1.0634836743801901</v>
      </c>
      <c r="D2045">
        <v>0.88469396387606603</v>
      </c>
      <c r="E2045">
        <v>0.75812555203963505</v>
      </c>
      <c r="F2045">
        <v>0.48807230560246101</v>
      </c>
      <c r="G2045">
        <v>0.22179808146119701</v>
      </c>
      <c r="H2045">
        <v>0.14057244317256801</v>
      </c>
      <c r="I2045">
        <v>0.13438768802419301</v>
      </c>
      <c r="J2045">
        <v>0.16599538894162699</v>
      </c>
      <c r="K2045">
        <v>0.127853963642272</v>
      </c>
      <c r="L2045">
        <v>1132.30647583465</v>
      </c>
      <c r="M2045">
        <v>21.7608670699294</v>
      </c>
      <c r="N2045">
        <v>52.734896840631997</v>
      </c>
      <c r="O2045">
        <v>51.600621519048303</v>
      </c>
      <c r="P2045">
        <v>-9.2193052728522601E-2</v>
      </c>
      <c r="Q2045">
        <v>0.12556646313262901</v>
      </c>
      <c r="R2045">
        <v>0.99128389633991099</v>
      </c>
      <c r="S2045" t="s">
        <v>8851</v>
      </c>
      <c r="T2045" t="s">
        <v>13610</v>
      </c>
      <c r="U2045" t="s">
        <v>13610</v>
      </c>
      <c r="V2045" t="s">
        <v>13610</v>
      </c>
      <c r="W2045" t="s">
        <v>15607</v>
      </c>
      <c r="X2045">
        <v>8</v>
      </c>
      <c r="Y2045" t="s">
        <v>22286</v>
      </c>
      <c r="Z2045" t="s">
        <v>28900</v>
      </c>
      <c r="AA2045">
        <v>0.48671008229113982</v>
      </c>
      <c r="AB2045" t="str">
        <f>HYPERLINK("Melting_Curves/meltCurve_P17661_DES.pdf", "Melting_Curves/meltCurve_P17661_DES.pdf")</f>
        <v>Melting_Curves/meltCurve_P17661_DES.pdf</v>
      </c>
    </row>
    <row r="2046" spans="1:28" x14ac:dyDescent="0.25">
      <c r="A2046" t="s">
        <v>2050</v>
      </c>
      <c r="B2046">
        <v>0.995954080203443</v>
      </c>
      <c r="C2046">
        <v>0.97839527610052501</v>
      </c>
      <c r="D2046">
        <v>1.01639953277295</v>
      </c>
      <c r="E2046">
        <v>0.91007783497146499</v>
      </c>
      <c r="F2046">
        <v>0.81989382559818103</v>
      </c>
      <c r="G2046">
        <v>0.67090034807767096</v>
      </c>
      <c r="H2046">
        <v>0.57602179354440697</v>
      </c>
      <c r="I2046">
        <v>0.651047970697748</v>
      </c>
      <c r="J2046">
        <v>0.59100738959805899</v>
      </c>
      <c r="K2046">
        <v>0.71781104425170195</v>
      </c>
      <c r="L2046">
        <v>1483.8679675230701</v>
      </c>
      <c r="M2046">
        <v>28.158362969104399</v>
      </c>
      <c r="O2046">
        <v>52.433604791595997</v>
      </c>
      <c r="P2046">
        <v>-4.9316973592566399E-2</v>
      </c>
      <c r="Q2046">
        <v>0.63267111565164202</v>
      </c>
      <c r="R2046">
        <v>0.94311853110800903</v>
      </c>
      <c r="S2046" t="s">
        <v>8852</v>
      </c>
      <c r="T2046" t="s">
        <v>13610</v>
      </c>
      <c r="U2046" t="s">
        <v>13610</v>
      </c>
      <c r="V2046" t="s">
        <v>13610</v>
      </c>
      <c r="W2046" t="s">
        <v>15608</v>
      </c>
      <c r="X2046">
        <v>7</v>
      </c>
      <c r="Y2046" t="s">
        <v>22287</v>
      </c>
      <c r="Z2046" t="s">
        <v>28901</v>
      </c>
      <c r="AA2046">
        <v>0.79082477162824527</v>
      </c>
      <c r="AB2046" t="str">
        <f>HYPERLINK("Melting_Curves/meltCurve_P17676_CEBPB.pdf", "Melting_Curves/meltCurve_P17676_CEBPB.pdf")</f>
        <v>Melting_Curves/meltCurve_P17676_CEBPB.pdf</v>
      </c>
    </row>
    <row r="2047" spans="1:28" x14ac:dyDescent="0.25">
      <c r="A2047" t="s">
        <v>2051</v>
      </c>
      <c r="B2047">
        <v>0.995954080203443</v>
      </c>
      <c r="C2047">
        <v>0.92984767131579904</v>
      </c>
      <c r="D2047">
        <v>0.97497418381584999</v>
      </c>
      <c r="E2047">
        <v>0.538321264404511</v>
      </c>
      <c r="F2047">
        <v>0.24733544691381901</v>
      </c>
      <c r="G2047">
        <v>0.14625954417133</v>
      </c>
      <c r="H2047">
        <v>9.8719738123867307E-2</v>
      </c>
      <c r="I2047">
        <v>0.10273727899669299</v>
      </c>
      <c r="J2047">
        <v>0.116588221698221</v>
      </c>
      <c r="K2047">
        <v>0.108956636553893</v>
      </c>
      <c r="L2047">
        <v>1563.8845251082701</v>
      </c>
      <c r="M2047">
        <v>31.3015818834096</v>
      </c>
      <c r="N2047">
        <v>50.365144671574498</v>
      </c>
      <c r="O2047">
        <v>49.759243362096797</v>
      </c>
      <c r="P2047">
        <v>-0.13983248994953801</v>
      </c>
      <c r="Q2047">
        <v>0.11085379113853699</v>
      </c>
      <c r="R2047">
        <v>0.99568276597674499</v>
      </c>
      <c r="S2047" t="s">
        <v>8853</v>
      </c>
      <c r="T2047" t="s">
        <v>13610</v>
      </c>
      <c r="U2047" t="s">
        <v>13610</v>
      </c>
      <c r="V2047" t="s">
        <v>13610</v>
      </c>
      <c r="W2047" t="s">
        <v>15609</v>
      </c>
      <c r="X2047">
        <v>15</v>
      </c>
      <c r="Y2047" t="s">
        <v>22288</v>
      </c>
      <c r="Z2047" t="s">
        <v>28902</v>
      </c>
      <c r="AA2047">
        <v>0.41114804202617561</v>
      </c>
      <c r="AB2047" t="str">
        <f>HYPERLINK("Melting_Curves/meltCurve_P17706_2_PTPN2.pdf", "Melting_Curves/meltCurve_P17706_2_PTPN2.pdf")</f>
        <v>Melting_Curves/meltCurve_P17706_2_PTPN2.pdf</v>
      </c>
    </row>
    <row r="2048" spans="1:28" x14ac:dyDescent="0.25">
      <c r="A2048" t="s">
        <v>2052</v>
      </c>
      <c r="B2048">
        <v>0.995954080203443</v>
      </c>
      <c r="C2048">
        <v>1.0228626601358699</v>
      </c>
      <c r="D2048">
        <v>0.88294062216228297</v>
      </c>
      <c r="E2048">
        <v>0.72224023232782197</v>
      </c>
      <c r="F2048">
        <v>0.42925158643767197</v>
      </c>
      <c r="G2048">
        <v>0.322389775536011</v>
      </c>
      <c r="H2048">
        <v>0.222849885086051</v>
      </c>
      <c r="I2048">
        <v>0.2483336845803</v>
      </c>
      <c r="J2048">
        <v>0.25166916799914002</v>
      </c>
      <c r="K2048">
        <v>0.287577971516144</v>
      </c>
      <c r="L2048">
        <v>1162.7236768171599</v>
      </c>
      <c r="M2048">
        <v>22.910197282002802</v>
      </c>
      <c r="N2048">
        <v>52.318232769054703</v>
      </c>
      <c r="O2048">
        <v>50.369439361566599</v>
      </c>
      <c r="P2048">
        <v>-8.54848705882848E-2</v>
      </c>
      <c r="Q2048">
        <v>0.24823995569496399</v>
      </c>
      <c r="R2048">
        <v>0.99063606349782196</v>
      </c>
      <c r="S2048" t="s">
        <v>8854</v>
      </c>
      <c r="T2048" t="s">
        <v>13610</v>
      </c>
      <c r="U2048" t="s">
        <v>13610</v>
      </c>
      <c r="V2048" t="s">
        <v>13610</v>
      </c>
      <c r="W2048" t="s">
        <v>15610</v>
      </c>
      <c r="X2048">
        <v>2</v>
      </c>
      <c r="Y2048" t="s">
        <v>22289</v>
      </c>
      <c r="Z2048" t="s">
        <v>28903</v>
      </c>
      <c r="AA2048">
        <v>0.52569546532609635</v>
      </c>
      <c r="AB2048" t="str">
        <f>HYPERLINK("Melting_Curves/meltCurve_P17707_AMD1.pdf", "Melting_Curves/meltCurve_P17707_AMD1.pdf")</f>
        <v>Melting_Curves/meltCurve_P17707_AMD1.pdf</v>
      </c>
    </row>
    <row r="2049" spans="1:28" x14ac:dyDescent="0.25">
      <c r="A2049" t="s">
        <v>2053</v>
      </c>
      <c r="B2049">
        <v>0.995954080203443</v>
      </c>
      <c r="C2049">
        <v>0.88721465629835905</v>
      </c>
      <c r="D2049">
        <v>0.70852661621139401</v>
      </c>
      <c r="E2049">
        <v>0.52394164035908497</v>
      </c>
      <c r="F2049">
        <v>0.25632813778706298</v>
      </c>
      <c r="G2049">
        <v>0.126921977620788</v>
      </c>
      <c r="H2049">
        <v>6.6498945337527204E-2</v>
      </c>
      <c r="I2049">
        <v>5.1131427351859403E-2</v>
      </c>
      <c r="J2049">
        <v>5.5184180085371501E-2</v>
      </c>
      <c r="K2049">
        <v>5.0961399427978997E-2</v>
      </c>
      <c r="L2049">
        <v>712.53940755455199</v>
      </c>
      <c r="M2049">
        <v>14.4448541435388</v>
      </c>
      <c r="N2049">
        <v>49.477159482644097</v>
      </c>
      <c r="O2049">
        <v>48.411748010095401</v>
      </c>
      <c r="P2049">
        <v>-7.3015606699125005E-2</v>
      </c>
      <c r="Q2049">
        <v>2.12710275764828E-2</v>
      </c>
      <c r="R2049">
        <v>0.99393284697229101</v>
      </c>
      <c r="S2049" t="s">
        <v>8855</v>
      </c>
      <c r="T2049" t="s">
        <v>13610</v>
      </c>
      <c r="U2049" t="s">
        <v>13610</v>
      </c>
      <c r="V2049" t="s">
        <v>13610</v>
      </c>
      <c r="W2049" t="s">
        <v>15611</v>
      </c>
      <c r="X2049">
        <v>32</v>
      </c>
      <c r="Y2049" t="s">
        <v>22290</v>
      </c>
      <c r="Z2049" t="s">
        <v>28904</v>
      </c>
      <c r="AA2049">
        <v>0.35117559031863732</v>
      </c>
      <c r="AB2049" t="str">
        <f>HYPERLINK("Melting_Curves/meltCurve_P17812_CTPS1.pdf", "Melting_Curves/meltCurve_P17812_CTPS1.pdf")</f>
        <v>Melting_Curves/meltCurve_P17812_CTPS1.pdf</v>
      </c>
    </row>
    <row r="2050" spans="1:28" x14ac:dyDescent="0.25">
      <c r="A2050" t="s">
        <v>2054</v>
      </c>
      <c r="B2050">
        <v>0.995954080203443</v>
      </c>
      <c r="C2050">
        <v>1.0074294956466101</v>
      </c>
      <c r="D2050">
        <v>0.99070534359082896</v>
      </c>
      <c r="E2050">
        <v>0.691358841430321</v>
      </c>
      <c r="F2050">
        <v>0.18959199954317099</v>
      </c>
      <c r="G2050">
        <v>9.4169051429057807E-2</v>
      </c>
      <c r="H2050">
        <v>6.0033892427501699E-2</v>
      </c>
      <c r="I2050">
        <v>5.1576336661647799E-2</v>
      </c>
      <c r="J2050">
        <v>5.44626088854121E-2</v>
      </c>
      <c r="K2050">
        <v>5.3443359721222002E-2</v>
      </c>
      <c r="L2050">
        <v>2219.1875409568502</v>
      </c>
      <c r="M2050">
        <v>43.673696395772502</v>
      </c>
      <c r="N2050">
        <v>50.962964856963602</v>
      </c>
      <c r="O2050">
        <v>50.706696885450697</v>
      </c>
      <c r="P2050">
        <v>-0.202334418384331</v>
      </c>
      <c r="Q2050">
        <v>6.0331459466734398E-2</v>
      </c>
      <c r="R2050">
        <v>0.99948324684832701</v>
      </c>
      <c r="S2050" t="s">
        <v>8856</v>
      </c>
      <c r="T2050" t="s">
        <v>13610</v>
      </c>
      <c r="U2050" t="s">
        <v>13610</v>
      </c>
      <c r="V2050" t="s">
        <v>13610</v>
      </c>
      <c r="W2050" t="s">
        <v>15612</v>
      </c>
      <c r="X2050">
        <v>41</v>
      </c>
      <c r="Y2050" t="s">
        <v>22291</v>
      </c>
      <c r="Z2050" t="s">
        <v>28905</v>
      </c>
      <c r="AA2050">
        <v>0.40178152589884952</v>
      </c>
      <c r="AB2050" t="str">
        <f>HYPERLINK("Melting_Curves/meltCurve_P17844_DDX5.pdf", "Melting_Curves/meltCurve_P17844_DDX5.pdf")</f>
        <v>Melting_Curves/meltCurve_P17844_DDX5.pdf</v>
      </c>
    </row>
    <row r="2051" spans="1:28" x14ac:dyDescent="0.25">
      <c r="A2051" t="s">
        <v>2055</v>
      </c>
      <c r="B2051">
        <v>0.995954080203443</v>
      </c>
      <c r="C2051">
        <v>0.480326049801585</v>
      </c>
      <c r="D2051">
        <v>0.28524947043893301</v>
      </c>
      <c r="E2051">
        <v>0.483395212122331</v>
      </c>
      <c r="F2051">
        <v>0.31535840806907101</v>
      </c>
      <c r="G2051">
        <v>0.23165293450942001</v>
      </c>
      <c r="H2051">
        <v>0.111538064114844</v>
      </c>
      <c r="I2051">
        <v>4.8927170654016201E-2</v>
      </c>
      <c r="J2051">
        <v>4.50792653317365E-2</v>
      </c>
      <c r="K2051">
        <v>3.9835261805936502E-2</v>
      </c>
      <c r="L2051">
        <v>369.18203403546499</v>
      </c>
      <c r="M2051">
        <v>8.0547817766374994</v>
      </c>
      <c r="N2051">
        <v>45.833897190819798</v>
      </c>
      <c r="O2051">
        <v>43.267964438511001</v>
      </c>
      <c r="P2051">
        <v>-4.6591429767708803E-2</v>
      </c>
      <c r="Q2051">
        <v>0</v>
      </c>
      <c r="R2051">
        <v>0.80629736967060806</v>
      </c>
      <c r="S2051" t="s">
        <v>8857</v>
      </c>
      <c r="T2051" t="s">
        <v>13610</v>
      </c>
      <c r="U2051" t="s">
        <v>13610</v>
      </c>
      <c r="V2051" t="s">
        <v>13610</v>
      </c>
      <c r="W2051" t="s">
        <v>15613</v>
      </c>
      <c r="X2051">
        <v>20</v>
      </c>
      <c r="Y2051" t="s">
        <v>22292</v>
      </c>
      <c r="Z2051" t="s">
        <v>28906</v>
      </c>
      <c r="AA2051">
        <v>0.28217350654612772</v>
      </c>
      <c r="AB2051" t="str">
        <f>HYPERLINK("Melting_Curves/meltCurve_P17858_PFKL.pdf", "Melting_Curves/meltCurve_P17858_PFKL.pdf")</f>
        <v>Melting_Curves/meltCurve_P17858_PFKL.pdf</v>
      </c>
    </row>
    <row r="2052" spans="1:28" x14ac:dyDescent="0.25">
      <c r="A2052" t="s">
        <v>2056</v>
      </c>
      <c r="B2052">
        <v>0.995954080203443</v>
      </c>
      <c r="C2052">
        <v>0.92021820968463097</v>
      </c>
      <c r="D2052">
        <v>0.76887167480376195</v>
      </c>
      <c r="E2052">
        <v>0.62333223305555596</v>
      </c>
      <c r="F2052">
        <v>0.52054232413693402</v>
      </c>
      <c r="G2052">
        <v>0.34812298900124999</v>
      </c>
      <c r="H2052">
        <v>0.29368935068736601</v>
      </c>
      <c r="I2052">
        <v>0.32848166884880597</v>
      </c>
      <c r="J2052">
        <v>0.41239261047273401</v>
      </c>
      <c r="K2052">
        <v>0.37917462813993102</v>
      </c>
      <c r="L2052">
        <v>743.47934427532402</v>
      </c>
      <c r="M2052">
        <v>15.3081343819017</v>
      </c>
      <c r="N2052">
        <v>52.401003470877399</v>
      </c>
      <c r="O2052">
        <v>47.761423032156898</v>
      </c>
      <c r="P2052">
        <v>-5.31429156264277E-2</v>
      </c>
      <c r="Q2052">
        <v>0.33683767154318101</v>
      </c>
      <c r="R2052">
        <v>0.97014476075317502</v>
      </c>
      <c r="S2052" t="s">
        <v>8858</v>
      </c>
      <c r="T2052" t="s">
        <v>13610</v>
      </c>
      <c r="U2052" t="s">
        <v>13610</v>
      </c>
      <c r="V2052" t="s">
        <v>13610</v>
      </c>
      <c r="W2052" t="s">
        <v>15614</v>
      </c>
      <c r="X2052">
        <v>1</v>
      </c>
      <c r="Y2052" t="s">
        <v>22293</v>
      </c>
      <c r="Z2052" t="s">
        <v>28907</v>
      </c>
      <c r="AA2052">
        <v>0.54223204409818748</v>
      </c>
      <c r="AB2052" t="str">
        <f>HYPERLINK("Melting_Curves/meltCurve_P17861_XBP1.pdf", "Melting_Curves/meltCurve_P17861_XBP1.pdf")</f>
        <v>Melting_Curves/meltCurve_P17861_XBP1.pdf</v>
      </c>
    </row>
    <row r="2053" spans="1:28" x14ac:dyDescent="0.25">
      <c r="A2053" t="s">
        <v>2057</v>
      </c>
      <c r="B2053">
        <v>0.995954080203443</v>
      </c>
      <c r="C2053">
        <v>0.968215226698938</v>
      </c>
      <c r="D2053">
        <v>0.970135353224019</v>
      </c>
      <c r="E2053">
        <v>0.89510085441948395</v>
      </c>
      <c r="F2053">
        <v>0.84087633918012605</v>
      </c>
      <c r="G2053">
        <v>0.69650121396028797</v>
      </c>
      <c r="H2053">
        <v>0.56341715553634297</v>
      </c>
      <c r="I2053">
        <v>0.63323136937315605</v>
      </c>
      <c r="J2053">
        <v>0.56836218099333302</v>
      </c>
      <c r="K2053">
        <v>0.60897379259606799</v>
      </c>
      <c r="L2053">
        <v>972.39666619304501</v>
      </c>
      <c r="M2053">
        <v>18.081325816993399</v>
      </c>
      <c r="O2053">
        <v>53.134181217561498</v>
      </c>
      <c r="P2053">
        <v>-3.6041339283099397E-2</v>
      </c>
      <c r="Q2053">
        <v>0.57637299795851904</v>
      </c>
      <c r="R2053">
        <v>0.97365020533354296</v>
      </c>
      <c r="S2053" t="s">
        <v>8859</v>
      </c>
      <c r="T2053" t="s">
        <v>13610</v>
      </c>
      <c r="U2053" t="s">
        <v>13610</v>
      </c>
      <c r="V2053" t="s">
        <v>13610</v>
      </c>
      <c r="W2053" t="s">
        <v>15615</v>
      </c>
      <c r="X2053">
        <v>7</v>
      </c>
      <c r="Y2053" t="s">
        <v>22294</v>
      </c>
      <c r="Z2053" t="s">
        <v>28908</v>
      </c>
      <c r="AA2053">
        <v>0.77771725365420485</v>
      </c>
      <c r="AB2053" t="str">
        <f>HYPERLINK("Melting_Curves/meltCurve_P17900_GM2A.pdf", "Melting_Curves/meltCurve_P17900_GM2A.pdf")</f>
        <v>Melting_Curves/meltCurve_P17900_GM2A.pdf</v>
      </c>
    </row>
    <row r="2054" spans="1:28" x14ac:dyDescent="0.25">
      <c r="A2054" t="s">
        <v>2058</v>
      </c>
      <c r="B2054">
        <v>0.995954080203443</v>
      </c>
      <c r="C2054">
        <v>1.0261324354825101</v>
      </c>
      <c r="D2054">
        <v>0.98122574101410398</v>
      </c>
      <c r="E2054">
        <v>0.93488591224108097</v>
      </c>
      <c r="F2054">
        <v>0.88995466191905304</v>
      </c>
      <c r="G2054">
        <v>0.57811220283190801</v>
      </c>
      <c r="H2054">
        <v>0.29143624280521102</v>
      </c>
      <c r="I2054">
        <v>0.21046347834051801</v>
      </c>
      <c r="J2054">
        <v>0.18256975282660701</v>
      </c>
      <c r="K2054">
        <v>0.189562846872493</v>
      </c>
      <c r="L2054">
        <v>1401.5939977017499</v>
      </c>
      <c r="M2054">
        <v>24.647150633222299</v>
      </c>
      <c r="N2054">
        <v>57.822008465079797</v>
      </c>
      <c r="O2054">
        <v>56.495988530488397</v>
      </c>
      <c r="P2054">
        <v>-9.0821134043891499E-2</v>
      </c>
      <c r="Q2054">
        <v>0.16729413091981399</v>
      </c>
      <c r="R2054">
        <v>0.99774275552454805</v>
      </c>
      <c r="S2054" t="s">
        <v>8860</v>
      </c>
      <c r="T2054" t="s">
        <v>13610</v>
      </c>
      <c r="U2054" t="s">
        <v>13610</v>
      </c>
      <c r="V2054" t="s">
        <v>13610</v>
      </c>
      <c r="W2054" t="s">
        <v>15616</v>
      </c>
      <c r="X2054">
        <v>4</v>
      </c>
      <c r="Y2054" t="s">
        <v>22295</v>
      </c>
      <c r="Z2054" t="s">
        <v>28909</v>
      </c>
      <c r="AA2054">
        <v>0.64314597016551789</v>
      </c>
      <c r="AB2054" t="str">
        <f>HYPERLINK("Melting_Curves/meltCurve_P17931_LGALS3.pdf", "Melting_Curves/meltCurve_P17931_LGALS3.pdf")</f>
        <v>Melting_Curves/meltCurve_P17931_LGALS3.pdf</v>
      </c>
    </row>
    <row r="2055" spans="1:28" x14ac:dyDescent="0.25">
      <c r="A2055" t="s">
        <v>2059</v>
      </c>
      <c r="B2055">
        <v>0.995954080203443</v>
      </c>
      <c r="C2055">
        <v>0.56602741615597696</v>
      </c>
      <c r="D2055">
        <v>0.34230498461111503</v>
      </c>
      <c r="E2055">
        <v>0.99566772866682096</v>
      </c>
      <c r="F2055">
        <v>0.70164624315146795</v>
      </c>
      <c r="G2055">
        <v>0.214292082401801</v>
      </c>
      <c r="H2055">
        <v>9.1622059950580703E-2</v>
      </c>
      <c r="I2055">
        <v>7.2794071331085203E-2</v>
      </c>
      <c r="J2055">
        <v>8.0890160818289494E-2</v>
      </c>
      <c r="K2055">
        <v>7.5583699042854099E-2</v>
      </c>
      <c r="L2055">
        <v>384.694039798539</v>
      </c>
      <c r="M2055">
        <v>7.5170607681369201</v>
      </c>
      <c r="N2055">
        <v>51.176121294821399</v>
      </c>
      <c r="O2055">
        <v>47.930088745720198</v>
      </c>
      <c r="P2055">
        <v>-3.9264366128809E-2</v>
      </c>
      <c r="Q2055">
        <v>0</v>
      </c>
      <c r="R2055">
        <v>0.59163798203829199</v>
      </c>
      <c r="S2055" t="s">
        <v>8861</v>
      </c>
      <c r="T2055" t="s">
        <v>13610</v>
      </c>
      <c r="U2055" t="s">
        <v>13610</v>
      </c>
      <c r="V2055" t="s">
        <v>13610</v>
      </c>
      <c r="W2055" t="s">
        <v>15617</v>
      </c>
      <c r="X2055">
        <v>33</v>
      </c>
      <c r="Y2055" t="s">
        <v>22296</v>
      </c>
      <c r="Z2055" t="s">
        <v>28910</v>
      </c>
      <c r="AA2055">
        <v>0.42800557018348179</v>
      </c>
      <c r="AB2055" t="str">
        <f>HYPERLINK("Melting_Curves/meltCurve_P17987_TCP1.pdf", "Melting_Curves/meltCurve_P17987_TCP1.pdf")</f>
        <v>Melting_Curves/meltCurve_P17987_TCP1.pdf</v>
      </c>
    </row>
    <row r="2056" spans="1:28" x14ac:dyDescent="0.25">
      <c r="A2056" t="s">
        <v>2060</v>
      </c>
      <c r="B2056">
        <v>0.995954080203443</v>
      </c>
      <c r="C2056">
        <v>1.22858844745745</v>
      </c>
      <c r="D2056">
        <v>0.71084383654560002</v>
      </c>
      <c r="E2056">
        <v>0.52002847485928305</v>
      </c>
      <c r="F2056">
        <v>0.16780436043709901</v>
      </c>
      <c r="G2056">
        <v>0.102689961528508</v>
      </c>
      <c r="H2056">
        <v>7.4278289667584402E-2</v>
      </c>
      <c r="I2056">
        <v>7.0411018977780196E-2</v>
      </c>
      <c r="J2056">
        <v>8.0464416656319204E-2</v>
      </c>
      <c r="K2056">
        <v>7.38113476875977E-2</v>
      </c>
      <c r="L2056">
        <v>1153.62121856556</v>
      </c>
      <c r="M2056">
        <v>23.441983971460001</v>
      </c>
      <c r="N2056">
        <v>49.517665150040997</v>
      </c>
      <c r="O2056">
        <v>48.8578087960516</v>
      </c>
      <c r="P2056">
        <v>-0.111866065132308</v>
      </c>
      <c r="Q2056">
        <v>6.7410262272462301E-2</v>
      </c>
      <c r="R2056">
        <v>0.94616435313293001</v>
      </c>
      <c r="S2056" t="s">
        <v>8862</v>
      </c>
      <c r="T2056" t="s">
        <v>13610</v>
      </c>
      <c r="U2056" t="s">
        <v>13610</v>
      </c>
      <c r="V2056" t="s">
        <v>13610</v>
      </c>
      <c r="W2056" t="s">
        <v>15618</v>
      </c>
      <c r="X2056">
        <v>19</v>
      </c>
      <c r="Y2056" t="s">
        <v>22297</v>
      </c>
      <c r="Z2056" t="s">
        <v>28911</v>
      </c>
      <c r="AA2056">
        <v>0.36321182837219601</v>
      </c>
      <c r="AB2056" t="str">
        <f>HYPERLINK("Melting_Curves/meltCurve_P18031_PTPN1.pdf", "Melting_Curves/meltCurve_P18031_PTPN1.pdf")</f>
        <v>Melting_Curves/meltCurve_P18031_PTPN1.pdf</v>
      </c>
    </row>
    <row r="2057" spans="1:28" x14ac:dyDescent="0.25">
      <c r="A2057" t="s">
        <v>2061</v>
      </c>
      <c r="B2057">
        <v>0.995954080203443</v>
      </c>
      <c r="C2057">
        <v>0.95616907637195803</v>
      </c>
      <c r="D2057">
        <v>1.0217362145101601</v>
      </c>
      <c r="E2057">
        <v>0.72631297491649705</v>
      </c>
      <c r="F2057">
        <v>0.60104473755045096</v>
      </c>
      <c r="G2057">
        <v>0.48573305216311102</v>
      </c>
      <c r="H2057">
        <v>0.44572320944621202</v>
      </c>
      <c r="I2057">
        <v>0.51507760406797598</v>
      </c>
      <c r="J2057">
        <v>0.584258287698733</v>
      </c>
      <c r="K2057">
        <v>0.63599029271210605</v>
      </c>
      <c r="L2057">
        <v>2161.8156716273302</v>
      </c>
      <c r="M2057">
        <v>43.513253208732699</v>
      </c>
      <c r="O2057">
        <v>49.577162748886899</v>
      </c>
      <c r="P2057">
        <v>-0.101288121830831</v>
      </c>
      <c r="Q2057">
        <v>0.53838683767886197</v>
      </c>
      <c r="R2057">
        <v>0.93432907957792699</v>
      </c>
      <c r="S2057" t="s">
        <v>8863</v>
      </c>
      <c r="T2057" t="s">
        <v>13610</v>
      </c>
      <c r="U2057" t="s">
        <v>13610</v>
      </c>
      <c r="V2057" t="s">
        <v>13610</v>
      </c>
      <c r="W2057" t="s">
        <v>15619</v>
      </c>
      <c r="X2057">
        <v>2</v>
      </c>
      <c r="Y2057" t="s">
        <v>22298</v>
      </c>
      <c r="Z2057" t="s">
        <v>28912</v>
      </c>
      <c r="AA2057">
        <v>0.68869964413308637</v>
      </c>
      <c r="AB2057" t="str">
        <f>HYPERLINK("Melting_Curves/meltCurve_P18065_IGFBP2.pdf", "Melting_Curves/meltCurve_P18065_IGFBP2.pdf")</f>
        <v>Melting_Curves/meltCurve_P18065_IGFBP2.pdf</v>
      </c>
    </row>
    <row r="2058" spans="1:28" x14ac:dyDescent="0.25">
      <c r="A2058" t="s">
        <v>2062</v>
      </c>
      <c r="B2058">
        <v>0.995954080203443</v>
      </c>
      <c r="C2058">
        <v>1.14147597805398</v>
      </c>
      <c r="D2058">
        <v>1.0415474556393201</v>
      </c>
      <c r="E2058">
        <v>0.75089944179628298</v>
      </c>
      <c r="F2058">
        <v>0.24154300029408499</v>
      </c>
      <c r="G2058">
        <v>0.104402073407769</v>
      </c>
      <c r="H2058">
        <v>5.974936902426E-2</v>
      </c>
      <c r="I2058">
        <v>4.8509662268445101E-2</v>
      </c>
      <c r="J2058">
        <v>4.4953049999691901E-2</v>
      </c>
      <c r="K2058">
        <v>5.1244223105391298E-2</v>
      </c>
      <c r="L2058">
        <v>2166.0301326891999</v>
      </c>
      <c r="M2058">
        <v>42.280091383460103</v>
      </c>
      <c r="N2058">
        <v>51.381760518839499</v>
      </c>
      <c r="O2058">
        <v>51.116288449589597</v>
      </c>
      <c r="P2058">
        <v>-0.19468382269458001</v>
      </c>
      <c r="Q2058">
        <v>5.8516891169920898E-2</v>
      </c>
      <c r="R2058">
        <v>0.98811116530820498</v>
      </c>
      <c r="S2058" t="s">
        <v>8864</v>
      </c>
      <c r="T2058" t="s">
        <v>13610</v>
      </c>
      <c r="U2058" t="s">
        <v>13610</v>
      </c>
      <c r="V2058" t="s">
        <v>13610</v>
      </c>
      <c r="W2058" t="s">
        <v>15620</v>
      </c>
      <c r="X2058">
        <v>9</v>
      </c>
      <c r="Y2058" t="s">
        <v>22299</v>
      </c>
      <c r="Z2058" t="s">
        <v>28913</v>
      </c>
      <c r="AA2058">
        <v>0.41394243375808393</v>
      </c>
      <c r="AB2058" t="str">
        <f>HYPERLINK("Melting_Curves/meltCurve_P18085_ARF4.pdf", "Melting_Curves/meltCurve_P18085_ARF4.pdf")</f>
        <v>Melting_Curves/meltCurve_P18085_ARF4.pdf</v>
      </c>
    </row>
    <row r="2059" spans="1:28" x14ac:dyDescent="0.25">
      <c r="A2059" t="s">
        <v>2063</v>
      </c>
      <c r="B2059">
        <v>0.995954080203443</v>
      </c>
      <c r="C2059">
        <v>0.68595765949813303</v>
      </c>
      <c r="D2059">
        <v>0.43917547240461302</v>
      </c>
      <c r="E2059">
        <v>0.44803559369184398</v>
      </c>
      <c r="F2059">
        <v>0.235734235720792</v>
      </c>
      <c r="G2059">
        <v>0.110273874931813</v>
      </c>
      <c r="H2059">
        <v>7.3738551075057002E-2</v>
      </c>
      <c r="I2059">
        <v>6.9771283481196295E-2</v>
      </c>
      <c r="J2059">
        <v>9.0056987446245296E-2</v>
      </c>
      <c r="K2059">
        <v>7.8710369145297901E-2</v>
      </c>
      <c r="L2059">
        <v>554.76272810363002</v>
      </c>
      <c r="M2059">
        <v>11.9835726716948</v>
      </c>
      <c r="N2059">
        <v>46.724596999987</v>
      </c>
      <c r="O2059">
        <v>45.060995921430703</v>
      </c>
      <c r="P2059">
        <v>-6.3021802296735902E-2</v>
      </c>
      <c r="Q2059">
        <v>5.2324154597415698E-2</v>
      </c>
      <c r="R2059">
        <v>0.95041614812285602</v>
      </c>
      <c r="S2059" t="s">
        <v>8865</v>
      </c>
      <c r="T2059" t="s">
        <v>13610</v>
      </c>
      <c r="U2059" t="s">
        <v>13610</v>
      </c>
      <c r="V2059" t="s">
        <v>13610</v>
      </c>
      <c r="W2059" t="s">
        <v>15621</v>
      </c>
      <c r="X2059">
        <v>6</v>
      </c>
      <c r="Y2059" t="s">
        <v>22300</v>
      </c>
      <c r="Z2059" t="s">
        <v>28914</v>
      </c>
      <c r="AA2059">
        <v>0.29330383129528181</v>
      </c>
      <c r="AB2059" t="str">
        <f>HYPERLINK("Melting_Curves/meltCurve_P18124_RPL7.pdf", "Melting_Curves/meltCurve_P18124_RPL7.pdf")</f>
        <v>Melting_Curves/meltCurve_P18124_RPL7.pdf</v>
      </c>
    </row>
    <row r="2060" spans="1:28" x14ac:dyDescent="0.25">
      <c r="A2060" t="s">
        <v>2064</v>
      </c>
      <c r="B2060">
        <v>0.995954080203443</v>
      </c>
      <c r="C2060">
        <v>1.02451562941742</v>
      </c>
      <c r="D2060">
        <v>1.00595379233858</v>
      </c>
      <c r="E2060">
        <v>0.94233264323413402</v>
      </c>
      <c r="F2060">
        <v>0.822348462757029</v>
      </c>
      <c r="G2060">
        <v>0.71045920700792597</v>
      </c>
      <c r="H2060">
        <v>0.56432277393397801</v>
      </c>
      <c r="I2060">
        <v>0.624028350397693</v>
      </c>
      <c r="J2060">
        <v>0.32159061791660198</v>
      </c>
      <c r="K2060">
        <v>0.10456390385618</v>
      </c>
      <c r="L2060">
        <v>694.37157758095202</v>
      </c>
      <c r="M2060">
        <v>11.067870124828699</v>
      </c>
      <c r="N2060">
        <v>62.737597198900701</v>
      </c>
      <c r="O2060">
        <v>60.793922660299202</v>
      </c>
      <c r="P2060">
        <v>-4.5528878690945698E-2</v>
      </c>
      <c r="Q2060">
        <v>0</v>
      </c>
      <c r="R2060">
        <v>0.93440273368434901</v>
      </c>
      <c r="S2060" t="s">
        <v>8866</v>
      </c>
      <c r="T2060" t="s">
        <v>13610</v>
      </c>
      <c r="U2060" t="s">
        <v>13610</v>
      </c>
      <c r="V2060" t="s">
        <v>13610</v>
      </c>
      <c r="W2060" t="s">
        <v>15622</v>
      </c>
      <c r="X2060">
        <v>106</v>
      </c>
      <c r="Y2060" t="s">
        <v>22301</v>
      </c>
      <c r="Z2060" t="s">
        <v>28915</v>
      </c>
      <c r="AA2060">
        <v>0.73591614908558001</v>
      </c>
      <c r="AB2060" t="str">
        <f>HYPERLINK("Melting_Curves/meltCurve_P18206_2_VCL.pdf", "Melting_Curves/meltCurve_P18206_2_VCL.pdf")</f>
        <v>Melting_Curves/meltCurve_P18206_2_VCL.pdf</v>
      </c>
    </row>
    <row r="2061" spans="1:28" x14ac:dyDescent="0.25">
      <c r="A2061" t="s">
        <v>2065</v>
      </c>
      <c r="B2061">
        <v>0.995954080203443</v>
      </c>
      <c r="C2061">
        <v>0.98720310242498599</v>
      </c>
      <c r="D2061">
        <v>0.99616549336214399</v>
      </c>
      <c r="E2061">
        <v>0.87275856732275303</v>
      </c>
      <c r="F2061">
        <v>0.81902027701596103</v>
      </c>
      <c r="G2061">
        <v>0.657692253468109</v>
      </c>
      <c r="H2061">
        <v>0.59678203054049395</v>
      </c>
      <c r="I2061">
        <v>0.70627313985295403</v>
      </c>
      <c r="J2061">
        <v>0.74320492157217899</v>
      </c>
      <c r="K2061">
        <v>0.82078626648646202</v>
      </c>
      <c r="L2061">
        <v>1525.4963906503301</v>
      </c>
      <c r="M2061">
        <v>29.954293603588798</v>
      </c>
      <c r="O2061">
        <v>50.702109479140297</v>
      </c>
      <c r="P2061">
        <v>-4.31788545956555E-2</v>
      </c>
      <c r="Q2061">
        <v>0.70765532479067605</v>
      </c>
      <c r="R2061">
        <v>0.82428863017186405</v>
      </c>
      <c r="S2061" t="s">
        <v>8867</v>
      </c>
      <c r="T2061" t="s">
        <v>13610</v>
      </c>
      <c r="U2061" t="s">
        <v>13610</v>
      </c>
      <c r="V2061" t="s">
        <v>13610</v>
      </c>
      <c r="W2061" t="s">
        <v>15623</v>
      </c>
      <c r="X2061">
        <v>30</v>
      </c>
      <c r="Y2061" t="s">
        <v>22302</v>
      </c>
      <c r="Z2061" t="s">
        <v>28916</v>
      </c>
      <c r="AA2061">
        <v>0.81598311245838961</v>
      </c>
      <c r="AB2061" t="str">
        <f>HYPERLINK("Melting_Curves/meltCurve_P18583_7_SON.pdf", "Melting_Curves/meltCurve_P18583_7_SON.pdf")</f>
        <v>Melting_Curves/meltCurve_P18583_7_SON.pdf</v>
      </c>
    </row>
    <row r="2062" spans="1:28" x14ac:dyDescent="0.25">
      <c r="A2062" t="s">
        <v>2066</v>
      </c>
      <c r="B2062">
        <v>0.995954080203443</v>
      </c>
      <c r="C2062">
        <v>1.00835886957923</v>
      </c>
      <c r="D2062">
        <v>1.0174041689514799</v>
      </c>
      <c r="E2062">
        <v>0.89301229089044698</v>
      </c>
      <c r="F2062">
        <v>0.84456875878993498</v>
      </c>
      <c r="G2062">
        <v>0.62375690529376904</v>
      </c>
      <c r="H2062">
        <v>0.58006868689660396</v>
      </c>
      <c r="I2062">
        <v>0.684484586757235</v>
      </c>
      <c r="J2062">
        <v>0.88709741925355701</v>
      </c>
      <c r="K2062">
        <v>0.84522315705268103</v>
      </c>
      <c r="L2062">
        <v>1797.92507275401</v>
      </c>
      <c r="M2062">
        <v>35.0634075652804</v>
      </c>
      <c r="O2062">
        <v>51.110487055232902</v>
      </c>
      <c r="P2062">
        <v>-4.6470487478107003E-2</v>
      </c>
      <c r="Q2062">
        <v>0.72904859724526605</v>
      </c>
      <c r="R2062">
        <v>0.65032534362953498</v>
      </c>
      <c r="S2062" t="s">
        <v>8868</v>
      </c>
      <c r="T2062" t="s">
        <v>13610</v>
      </c>
      <c r="U2062" t="s">
        <v>13610</v>
      </c>
      <c r="V2062" t="s">
        <v>13610</v>
      </c>
      <c r="W2062" t="s">
        <v>15624</v>
      </c>
      <c r="X2062">
        <v>22</v>
      </c>
      <c r="Y2062" t="s">
        <v>22303</v>
      </c>
      <c r="Z2062" t="s">
        <v>28917</v>
      </c>
      <c r="AA2062">
        <v>0.83214542284087434</v>
      </c>
      <c r="AB2062" t="str">
        <f>HYPERLINK("Melting_Curves/meltCurve_P18615_NELFE.pdf", "Melting_Curves/meltCurve_P18615_NELFE.pdf")</f>
        <v>Melting_Curves/meltCurve_P18615_NELFE.pdf</v>
      </c>
    </row>
    <row r="2063" spans="1:28" x14ac:dyDescent="0.25">
      <c r="A2063" t="s">
        <v>2067</v>
      </c>
      <c r="B2063">
        <v>0.995954080203443</v>
      </c>
      <c r="C2063">
        <v>0.91253817982253105</v>
      </c>
      <c r="D2063">
        <v>0.92229391577423303</v>
      </c>
      <c r="E2063">
        <v>0.81490387829058797</v>
      </c>
      <c r="F2063">
        <v>0.83760797393736197</v>
      </c>
      <c r="G2063">
        <v>0.65548452026333603</v>
      </c>
      <c r="H2063">
        <v>0.49759693861162801</v>
      </c>
      <c r="I2063">
        <v>0.207032187408348</v>
      </c>
      <c r="J2063">
        <v>9.5629016852953594E-2</v>
      </c>
      <c r="K2063">
        <v>9.0035961420754998E-2</v>
      </c>
      <c r="L2063">
        <v>809.15557998638099</v>
      </c>
      <c r="M2063">
        <v>13.678157626967501</v>
      </c>
      <c r="N2063">
        <v>59.156766883055198</v>
      </c>
      <c r="O2063">
        <v>57.935299069386303</v>
      </c>
      <c r="P2063">
        <v>-5.9031972008794897E-2</v>
      </c>
      <c r="Q2063">
        <v>0</v>
      </c>
      <c r="R2063">
        <v>0.96377336054734997</v>
      </c>
      <c r="S2063" t="s">
        <v>8869</v>
      </c>
      <c r="T2063" t="s">
        <v>13610</v>
      </c>
      <c r="U2063" t="s">
        <v>13610</v>
      </c>
      <c r="V2063" t="s">
        <v>13610</v>
      </c>
      <c r="W2063" t="s">
        <v>15625</v>
      </c>
      <c r="X2063">
        <v>19</v>
      </c>
      <c r="Y2063" t="s">
        <v>22304</v>
      </c>
      <c r="Z2063" t="s">
        <v>28918</v>
      </c>
      <c r="AA2063">
        <v>0.64771637574833707</v>
      </c>
      <c r="AB2063" t="str">
        <f>HYPERLINK("Melting_Curves/meltCurve_P18669_PGAM1.pdf", "Melting_Curves/meltCurve_P18669_PGAM1.pdf")</f>
        <v>Melting_Curves/meltCurve_P18669_PGAM1.pdf</v>
      </c>
    </row>
    <row r="2064" spans="1:28" x14ac:dyDescent="0.25">
      <c r="A2064" t="s">
        <v>2068</v>
      </c>
      <c r="B2064">
        <v>0.995954080203443</v>
      </c>
      <c r="C2064">
        <v>0.89864194613451598</v>
      </c>
      <c r="D2064">
        <v>0.32062279698295398</v>
      </c>
      <c r="E2064">
        <v>0.20241019791515999</v>
      </c>
      <c r="F2064">
        <v>0.113755415070393</v>
      </c>
      <c r="G2064">
        <v>7.2290058921910705E-2</v>
      </c>
      <c r="H2064">
        <v>5.42497013919424E-2</v>
      </c>
      <c r="I2064">
        <v>5.1274103732571297E-2</v>
      </c>
      <c r="J2064">
        <v>6.4720837127709596E-2</v>
      </c>
      <c r="K2064">
        <v>6.2556699737247798E-2</v>
      </c>
      <c r="L2064">
        <v>1830.0179072301801</v>
      </c>
      <c r="M2064">
        <v>40.743640987953199</v>
      </c>
      <c r="N2064">
        <v>45.120938713261097</v>
      </c>
      <c r="O2064">
        <v>44.807614007060998</v>
      </c>
      <c r="P2064">
        <v>-0.208074121555998</v>
      </c>
      <c r="Q2064">
        <v>8.4687574943290406E-2</v>
      </c>
      <c r="R2064">
        <v>0.98709972560409798</v>
      </c>
      <c r="S2064" t="s">
        <v>8870</v>
      </c>
      <c r="T2064" t="s">
        <v>13610</v>
      </c>
      <c r="U2064" t="s">
        <v>13610</v>
      </c>
      <c r="V2064" t="s">
        <v>13610</v>
      </c>
      <c r="W2064" t="s">
        <v>15626</v>
      </c>
      <c r="X2064">
        <v>16</v>
      </c>
      <c r="Y2064" t="s">
        <v>20598</v>
      </c>
      <c r="Z2064" t="s">
        <v>28919</v>
      </c>
      <c r="AA2064">
        <v>0.23756863315422519</v>
      </c>
      <c r="AB2064" t="str">
        <f>HYPERLINK("Melting_Curves/meltCurve_P18754_RCC1.pdf", "Melting_Curves/meltCurve_P18754_RCC1.pdf")</f>
        <v>Melting_Curves/meltCurve_P18754_RCC1.pdf</v>
      </c>
    </row>
    <row r="2065" spans="1:28" x14ac:dyDescent="0.25">
      <c r="A2065" t="s">
        <v>2069</v>
      </c>
      <c r="B2065">
        <v>0.995954080203443</v>
      </c>
      <c r="C2065">
        <v>1.0326692126414101</v>
      </c>
      <c r="D2065">
        <v>0.74188632875913996</v>
      </c>
      <c r="E2065">
        <v>0.82943276214472506</v>
      </c>
      <c r="F2065">
        <v>0.75033168342839596</v>
      </c>
      <c r="G2065">
        <v>0.478640624295884</v>
      </c>
      <c r="H2065">
        <v>0.34932976670475802</v>
      </c>
      <c r="I2065">
        <v>0.506782444564566</v>
      </c>
      <c r="J2065">
        <v>0.67349244055568602</v>
      </c>
      <c r="K2065">
        <v>0.59393764453062403</v>
      </c>
      <c r="L2065">
        <v>759.65435552748102</v>
      </c>
      <c r="M2065">
        <v>15.2618010030736</v>
      </c>
      <c r="O2065">
        <v>48.9437806320013</v>
      </c>
      <c r="P2065">
        <v>-3.7639459761104402E-2</v>
      </c>
      <c r="Q2065">
        <v>0.51721462950394703</v>
      </c>
      <c r="R2065">
        <v>0.73026286505539695</v>
      </c>
      <c r="S2065" t="s">
        <v>8871</v>
      </c>
      <c r="T2065" t="s">
        <v>13610</v>
      </c>
      <c r="U2065" t="s">
        <v>13610</v>
      </c>
      <c r="V2065" t="s">
        <v>13610</v>
      </c>
      <c r="W2065" t="s">
        <v>15627</v>
      </c>
      <c r="X2065">
        <v>2</v>
      </c>
      <c r="Y2065" t="s">
        <v>22305</v>
      </c>
      <c r="Z2065" t="s">
        <v>28920</v>
      </c>
      <c r="AA2065">
        <v>0.68576143866038541</v>
      </c>
      <c r="AB2065" t="str">
        <f>HYPERLINK("Melting_Curves/meltCurve_P18846_ATF1.pdf", "Melting_Curves/meltCurve_P18846_ATF1.pdf")</f>
        <v>Melting_Curves/meltCurve_P18846_ATF1.pdf</v>
      </c>
    </row>
    <row r="2066" spans="1:28" x14ac:dyDescent="0.25">
      <c r="A2066" t="s">
        <v>2070</v>
      </c>
      <c r="B2066">
        <v>0.995954080203443</v>
      </c>
      <c r="C2066">
        <v>0.94352417934723398</v>
      </c>
      <c r="D2066">
        <v>1.41086929987902</v>
      </c>
      <c r="E2066">
        <v>0.995955368767098</v>
      </c>
      <c r="F2066">
        <v>1.3101668387174701</v>
      </c>
      <c r="G2066">
        <v>1.18774200667414</v>
      </c>
      <c r="H2066">
        <v>0.89171022979165304</v>
      </c>
      <c r="I2066">
        <v>1.20040328384038</v>
      </c>
      <c r="J2066">
        <v>1.5964222733931499</v>
      </c>
      <c r="K2066">
        <v>1.24330246341537</v>
      </c>
      <c r="L2066">
        <v>231.148124683247</v>
      </c>
      <c r="M2066">
        <v>3.64086792031308</v>
      </c>
      <c r="O2066">
        <v>50.494775736017601</v>
      </c>
      <c r="P2066">
        <v>9.1689084138372404E-3</v>
      </c>
      <c r="Q2066">
        <v>1.5</v>
      </c>
      <c r="R2066">
        <v>0.158331109593215</v>
      </c>
      <c r="S2066" t="s">
        <v>8872</v>
      </c>
      <c r="T2066" t="s">
        <v>13610</v>
      </c>
      <c r="U2066" t="s">
        <v>13610</v>
      </c>
      <c r="V2066" t="s">
        <v>13610</v>
      </c>
      <c r="W2066" t="s">
        <v>15628</v>
      </c>
      <c r="X2066">
        <v>1</v>
      </c>
      <c r="Y2066" t="s">
        <v>22306</v>
      </c>
      <c r="Z2066" t="s">
        <v>28921</v>
      </c>
      <c r="AA2066">
        <v>1.1777272024698111</v>
      </c>
      <c r="AB2066" t="str">
        <f>HYPERLINK("Melting_Curves/meltCurve_P18847_4_ATF3.pdf", "Melting_Curves/meltCurve_P18847_4_ATF3.pdf")</f>
        <v>Melting_Curves/meltCurve_P18847_4_ATF3.pdf</v>
      </c>
    </row>
    <row r="2067" spans="1:28" x14ac:dyDescent="0.25">
      <c r="A2067" t="s">
        <v>2071</v>
      </c>
      <c r="B2067">
        <v>0.995954080203443</v>
      </c>
      <c r="C2067">
        <v>0.90623931671663704</v>
      </c>
      <c r="D2067">
        <v>0</v>
      </c>
      <c r="E2067">
        <v>0.80356400467034705</v>
      </c>
      <c r="F2067">
        <v>0.85334483639129699</v>
      </c>
      <c r="G2067">
        <v>0.606997076938812</v>
      </c>
      <c r="H2067">
        <v>0.60211061007746203</v>
      </c>
      <c r="I2067">
        <v>0.69387047746442498</v>
      </c>
      <c r="J2067">
        <v>0.78365859879366095</v>
      </c>
      <c r="K2067">
        <v>0.797728364244225</v>
      </c>
      <c r="L2067">
        <v>10769.3416912006</v>
      </c>
      <c r="M2067">
        <v>250</v>
      </c>
      <c r="O2067">
        <v>43.074610308872003</v>
      </c>
      <c r="P2067">
        <v>-0.51849096267569195</v>
      </c>
      <c r="Q2067">
        <v>0.64265926350450098</v>
      </c>
      <c r="R2067">
        <v>0.22673907984966499</v>
      </c>
      <c r="S2067" t="s">
        <v>8873</v>
      </c>
      <c r="T2067" t="s">
        <v>13610</v>
      </c>
      <c r="U2067" t="s">
        <v>13610</v>
      </c>
      <c r="V2067" t="s">
        <v>13610</v>
      </c>
      <c r="W2067" t="s">
        <v>15629</v>
      </c>
      <c r="X2067">
        <v>3</v>
      </c>
      <c r="Y2067" t="s">
        <v>22307</v>
      </c>
      <c r="Z2067" t="s">
        <v>28922</v>
      </c>
      <c r="AA2067">
        <v>0.67934189538402634</v>
      </c>
      <c r="AB2067" t="str">
        <f>HYPERLINK("Melting_Curves/meltCurve_P18850_ATF6.pdf", "Melting_Curves/meltCurve_P18850_ATF6.pdf")</f>
        <v>Melting_Curves/meltCurve_P18850_ATF6.pdf</v>
      </c>
    </row>
    <row r="2068" spans="1:28" x14ac:dyDescent="0.25">
      <c r="A2068" t="s">
        <v>2072</v>
      </c>
      <c r="B2068">
        <v>0.995954080203443</v>
      </c>
      <c r="C2068">
        <v>1.00434835959147</v>
      </c>
      <c r="D2068">
        <v>0.81024481361289202</v>
      </c>
      <c r="E2068">
        <v>0.88688665982569403</v>
      </c>
      <c r="F2068">
        <v>0.56968971433509397</v>
      </c>
      <c r="G2068">
        <v>0.34013947174409298</v>
      </c>
      <c r="H2068">
        <v>0.33175399584587201</v>
      </c>
      <c r="I2068">
        <v>0.45558224970361899</v>
      </c>
      <c r="J2068">
        <v>0.472288252424376</v>
      </c>
      <c r="K2068">
        <v>0.60795723515722999</v>
      </c>
      <c r="L2068">
        <v>2354.5325195374398</v>
      </c>
      <c r="M2068">
        <v>45.748798285582303</v>
      </c>
      <c r="N2068">
        <v>54.009536071550301</v>
      </c>
      <c r="O2068">
        <v>51.368494163906597</v>
      </c>
      <c r="P2068">
        <v>-0.124240551922096</v>
      </c>
      <c r="Q2068">
        <v>0.44199257122313601</v>
      </c>
      <c r="R2068">
        <v>0.85399273413947596</v>
      </c>
      <c r="S2068" t="s">
        <v>8874</v>
      </c>
      <c r="T2068" t="s">
        <v>13610</v>
      </c>
      <c r="U2068" t="s">
        <v>13610</v>
      </c>
      <c r="V2068" t="s">
        <v>13610</v>
      </c>
      <c r="W2068" t="s">
        <v>15630</v>
      </c>
      <c r="X2068">
        <v>1</v>
      </c>
      <c r="Y2068" t="s">
        <v>22308</v>
      </c>
      <c r="Z2068" t="s">
        <v>28923</v>
      </c>
      <c r="AA2068">
        <v>0.65678775027722103</v>
      </c>
      <c r="AB2068" t="str">
        <f>HYPERLINK("Melting_Curves/meltCurve_P18859_ATP5J.pdf", "Melting_Curves/meltCurve_P18859_ATP5J.pdf")</f>
        <v>Melting_Curves/meltCurve_P18859_ATP5J.pdf</v>
      </c>
    </row>
    <row r="2069" spans="1:28" x14ac:dyDescent="0.25">
      <c r="A2069" t="s">
        <v>2073</v>
      </c>
      <c r="B2069">
        <v>0.995954080203443</v>
      </c>
      <c r="C2069">
        <v>0.90578556480729899</v>
      </c>
      <c r="D2069">
        <v>1.03166841291667</v>
      </c>
      <c r="E2069">
        <v>0.718595342891446</v>
      </c>
      <c r="F2069">
        <v>0.53171209220105997</v>
      </c>
      <c r="G2069">
        <v>0.34617497611335801</v>
      </c>
      <c r="H2069">
        <v>0.29953810826911098</v>
      </c>
      <c r="I2069">
        <v>0.38689698958334601</v>
      </c>
      <c r="J2069">
        <v>0.40089257189651201</v>
      </c>
      <c r="K2069">
        <v>0.43786947114489799</v>
      </c>
      <c r="L2069">
        <v>1615.22028776909</v>
      </c>
      <c r="M2069">
        <v>31.933943251621201</v>
      </c>
      <c r="N2069">
        <v>52.875795717454999</v>
      </c>
      <c r="O2069">
        <v>50.382935823350898</v>
      </c>
      <c r="P2069">
        <v>-9.9031491461741894E-2</v>
      </c>
      <c r="Q2069">
        <v>0.37502589181811602</v>
      </c>
      <c r="R2069">
        <v>0.96283861858600195</v>
      </c>
      <c r="S2069" t="s">
        <v>8875</v>
      </c>
      <c r="T2069" t="s">
        <v>13610</v>
      </c>
      <c r="U2069" t="s">
        <v>13610</v>
      </c>
      <c r="V2069" t="s">
        <v>13610</v>
      </c>
      <c r="W2069" t="s">
        <v>15631</v>
      </c>
      <c r="X2069">
        <v>21</v>
      </c>
      <c r="Y2069" t="s">
        <v>22309</v>
      </c>
      <c r="Z2069" t="s">
        <v>28924</v>
      </c>
      <c r="AA2069">
        <v>0.59887559733042972</v>
      </c>
      <c r="AB2069" t="str">
        <f>HYPERLINK("Melting_Curves/meltCurve_P18887_XRCC1.pdf", "Melting_Curves/meltCurve_P18887_XRCC1.pdf")</f>
        <v>Melting_Curves/meltCurve_P18887_XRCC1.pdf</v>
      </c>
    </row>
    <row r="2070" spans="1:28" x14ac:dyDescent="0.25">
      <c r="A2070" t="s">
        <v>2074</v>
      </c>
      <c r="B2070">
        <v>0.995954080203443</v>
      </c>
      <c r="C2070">
        <v>0.78492124592767998</v>
      </c>
      <c r="D2070">
        <v>0.64518695731890396</v>
      </c>
      <c r="E2070">
        <v>0.73620537141569897</v>
      </c>
      <c r="F2070">
        <v>0.349388531116268</v>
      </c>
      <c r="G2070">
        <v>0.184936611683817</v>
      </c>
      <c r="H2070">
        <v>0.125283685501413</v>
      </c>
      <c r="I2070">
        <v>0.11917709930831399</v>
      </c>
      <c r="J2070">
        <v>0.122874470102873</v>
      </c>
      <c r="K2070">
        <v>0.127243121298209</v>
      </c>
      <c r="L2070">
        <v>518.95820198346996</v>
      </c>
      <c r="M2070">
        <v>10.292706966589</v>
      </c>
      <c r="N2070">
        <v>50.720082716709697</v>
      </c>
      <c r="O2070">
        <v>48.628007821005802</v>
      </c>
      <c r="P2070">
        <v>-5.1374751850375003E-2</v>
      </c>
      <c r="Q2070">
        <v>2.9540348748042702E-2</v>
      </c>
      <c r="R2070">
        <v>0.93194395467868596</v>
      </c>
      <c r="S2070" t="s">
        <v>8876</v>
      </c>
      <c r="T2070" t="s">
        <v>13610</v>
      </c>
      <c r="U2070" t="s">
        <v>13610</v>
      </c>
      <c r="V2070" t="s">
        <v>13610</v>
      </c>
      <c r="W2070" t="s">
        <v>15632</v>
      </c>
      <c r="X2070">
        <v>9</v>
      </c>
      <c r="Y2070" t="s">
        <v>22310</v>
      </c>
      <c r="Z2070" t="s">
        <v>28925</v>
      </c>
      <c r="AA2070">
        <v>0.40740888267409109</v>
      </c>
      <c r="AB2070" t="str">
        <f>HYPERLINK("Melting_Curves/meltCurve_P19105_MYL12A.pdf", "Melting_Curves/meltCurve_P19105_MYL12A.pdf")</f>
        <v>Melting_Curves/meltCurve_P19105_MYL12A.pdf</v>
      </c>
    </row>
    <row r="2071" spans="1:28" x14ac:dyDescent="0.25">
      <c r="A2071" t="s">
        <v>2075</v>
      </c>
      <c r="B2071">
        <v>0.995954080203443</v>
      </c>
      <c r="C2071">
        <v>0.90326930741574196</v>
      </c>
      <c r="D2071">
        <v>0.83310993332255101</v>
      </c>
      <c r="E2071">
        <v>0.333541388885019</v>
      </c>
      <c r="F2071">
        <v>0.16468435281195701</v>
      </c>
      <c r="G2071">
        <v>0.10318485997243899</v>
      </c>
      <c r="H2071">
        <v>7.6212769805966502E-2</v>
      </c>
      <c r="I2071">
        <v>7.5879667644850601E-2</v>
      </c>
      <c r="J2071">
        <v>8.9960115261264295E-2</v>
      </c>
      <c r="K2071">
        <v>7.8806081785360402E-2</v>
      </c>
      <c r="L2071">
        <v>1275.5901078238001</v>
      </c>
      <c r="M2071">
        <v>26.408104600316399</v>
      </c>
      <c r="N2071">
        <v>48.623653259785598</v>
      </c>
      <c r="O2071">
        <v>48.028559690057797</v>
      </c>
      <c r="P2071">
        <v>-0.12647601484316401</v>
      </c>
      <c r="Q2071">
        <v>7.9919798267443096E-2</v>
      </c>
      <c r="R2071">
        <v>0.99602569314994405</v>
      </c>
      <c r="S2071" t="s">
        <v>8877</v>
      </c>
      <c r="T2071" t="s">
        <v>13610</v>
      </c>
      <c r="U2071" t="s">
        <v>13610</v>
      </c>
      <c r="V2071" t="s">
        <v>13610</v>
      </c>
      <c r="W2071" t="s">
        <v>15633</v>
      </c>
      <c r="X2071">
        <v>28</v>
      </c>
      <c r="Y2071" t="s">
        <v>22311</v>
      </c>
      <c r="Z2071" t="s">
        <v>28926</v>
      </c>
      <c r="AA2071">
        <v>0.34181378206867791</v>
      </c>
      <c r="AB2071" t="str">
        <f>HYPERLINK("Melting_Curves/meltCurve_P19174_2_PLCG1.pdf", "Melting_Curves/meltCurve_P19174_2_PLCG1.pdf")</f>
        <v>Melting_Curves/meltCurve_P19174_2_PLCG1.pdf</v>
      </c>
    </row>
    <row r="2072" spans="1:28" x14ac:dyDescent="0.25">
      <c r="A2072" t="s">
        <v>2076</v>
      </c>
      <c r="B2072">
        <v>0.995954080203443</v>
      </c>
      <c r="C2072">
        <v>0.91829501704277505</v>
      </c>
      <c r="D2072">
        <v>0.87006533970986899</v>
      </c>
      <c r="E2072">
        <v>0.86385881609881299</v>
      </c>
      <c r="F2072">
        <v>0.67228363247704204</v>
      </c>
      <c r="G2072">
        <v>0.38596274170434502</v>
      </c>
      <c r="H2072">
        <v>0.26441247946725799</v>
      </c>
      <c r="I2072">
        <v>0.30376339588098999</v>
      </c>
      <c r="J2072">
        <v>0.45743131110638902</v>
      </c>
      <c r="K2072">
        <v>0.42092196619800398</v>
      </c>
      <c r="L2072">
        <v>1480.11688382685</v>
      </c>
      <c r="M2072">
        <v>28.178975264518201</v>
      </c>
      <c r="N2072">
        <v>54.927591749697001</v>
      </c>
      <c r="O2072">
        <v>52.263181127911501</v>
      </c>
      <c r="P2072">
        <v>-8.7052196071943103E-2</v>
      </c>
      <c r="Q2072">
        <v>0.35418706686582202</v>
      </c>
      <c r="R2072">
        <v>0.92721341213409403</v>
      </c>
      <c r="S2072" t="s">
        <v>8878</v>
      </c>
      <c r="T2072" t="s">
        <v>13610</v>
      </c>
      <c r="U2072" t="s">
        <v>13610</v>
      </c>
      <c r="V2072" t="s">
        <v>13610</v>
      </c>
      <c r="W2072" t="s">
        <v>15634</v>
      </c>
      <c r="X2072">
        <v>46</v>
      </c>
      <c r="Y2072" t="s">
        <v>21185</v>
      </c>
      <c r="Z2072" t="s">
        <v>28927</v>
      </c>
      <c r="AA2072">
        <v>0.6285295622806476</v>
      </c>
      <c r="AB2072" t="str">
        <f>HYPERLINK("Melting_Curves/meltCurve_P19338_NCL.pdf", "Melting_Curves/meltCurve_P19338_NCL.pdf")</f>
        <v>Melting_Curves/meltCurve_P19338_NCL.pdf</v>
      </c>
    </row>
    <row r="2073" spans="1:28" x14ac:dyDescent="0.25">
      <c r="A2073" t="s">
        <v>2077</v>
      </c>
      <c r="B2073">
        <v>0.995954080203443</v>
      </c>
      <c r="C2073">
        <v>1.01769355986489</v>
      </c>
      <c r="D2073">
        <v>0.95085959528845898</v>
      </c>
      <c r="E2073">
        <v>0.56510106196549503</v>
      </c>
      <c r="F2073">
        <v>0.15796232809042701</v>
      </c>
      <c r="G2073">
        <v>9.4041646682819904E-2</v>
      </c>
      <c r="H2073">
        <v>6.23989992782574E-2</v>
      </c>
      <c r="I2073">
        <v>5.4630664937457003E-2</v>
      </c>
      <c r="J2073">
        <v>6.3600293559853902E-2</v>
      </c>
      <c r="K2073">
        <v>5.6316564677307598E-2</v>
      </c>
      <c r="L2073">
        <v>1899.0427226101499</v>
      </c>
      <c r="M2073">
        <v>37.863776274641097</v>
      </c>
      <c r="N2073">
        <v>50.331002072935803</v>
      </c>
      <c r="O2073">
        <v>50.0153232387919</v>
      </c>
      <c r="P2073">
        <v>-0.1775011871145</v>
      </c>
      <c r="Q2073">
        <v>6.2137348757663698E-2</v>
      </c>
      <c r="R2073">
        <v>0.99907670072411303</v>
      </c>
      <c r="S2073" t="s">
        <v>8879</v>
      </c>
      <c r="T2073" t="s">
        <v>13610</v>
      </c>
      <c r="U2073" t="s">
        <v>13610</v>
      </c>
      <c r="V2073" t="s">
        <v>13610</v>
      </c>
      <c r="W2073" t="s">
        <v>15635</v>
      </c>
      <c r="X2073">
        <v>40</v>
      </c>
      <c r="Y2073" t="s">
        <v>22312</v>
      </c>
      <c r="Z2073" t="s">
        <v>28928</v>
      </c>
      <c r="AA2073">
        <v>0.38322472956050968</v>
      </c>
      <c r="AB2073" t="str">
        <f>HYPERLINK("Melting_Curves/meltCurve_P19367_2_HK1.pdf", "Melting_Curves/meltCurve_P19367_2_HK1.pdf")</f>
        <v>Melting_Curves/meltCurve_P19367_2_HK1.pdf</v>
      </c>
    </row>
    <row r="2074" spans="1:28" x14ac:dyDescent="0.25">
      <c r="A2074" t="s">
        <v>2078</v>
      </c>
      <c r="B2074">
        <v>0.995954080203443</v>
      </c>
      <c r="C2074">
        <v>0.84129139081834603</v>
      </c>
      <c r="D2074">
        <v>0.74893713624059599</v>
      </c>
      <c r="E2074">
        <v>0.60347785421792999</v>
      </c>
      <c r="F2074">
        <v>0.38788630630272802</v>
      </c>
      <c r="G2074">
        <v>0.258298153055246</v>
      </c>
      <c r="H2074">
        <v>0.17927725979377199</v>
      </c>
      <c r="I2074">
        <v>0.16870317090041601</v>
      </c>
      <c r="J2074">
        <v>0.18753389863548101</v>
      </c>
      <c r="K2074">
        <v>0.18123991868316</v>
      </c>
      <c r="L2074">
        <v>617.60301035970895</v>
      </c>
      <c r="M2074">
        <v>12.4467057679372</v>
      </c>
      <c r="N2074">
        <v>50.882911027559501</v>
      </c>
      <c r="O2074">
        <v>48.391165107863401</v>
      </c>
      <c r="P2074">
        <v>-5.5768373451002398E-2</v>
      </c>
      <c r="Q2074">
        <v>0.13290081918241201</v>
      </c>
      <c r="R2074">
        <v>0.98847080435468004</v>
      </c>
      <c r="S2074" t="s">
        <v>8880</v>
      </c>
      <c r="T2074" t="s">
        <v>13610</v>
      </c>
      <c r="U2074" t="s">
        <v>13610</v>
      </c>
      <c r="V2074" t="s">
        <v>13610</v>
      </c>
      <c r="W2074" t="s">
        <v>15636</v>
      </c>
      <c r="X2074">
        <v>40</v>
      </c>
      <c r="Y2074" t="s">
        <v>22312</v>
      </c>
      <c r="Z2074" t="s">
        <v>28929</v>
      </c>
      <c r="AA2074">
        <v>0.43987087513022521</v>
      </c>
      <c r="AB2074" t="str">
        <f>HYPERLINK("Melting_Curves/meltCurve_P19367_4_HK1.pdf", "Melting_Curves/meltCurve_P19367_4_HK1.pdf")</f>
        <v>Melting_Curves/meltCurve_P19367_4_HK1.pdf</v>
      </c>
    </row>
    <row r="2075" spans="1:28" x14ac:dyDescent="0.25">
      <c r="A2075" t="s">
        <v>2079</v>
      </c>
      <c r="B2075">
        <v>0.995954080203443</v>
      </c>
      <c r="C2075">
        <v>0.62730232751278003</v>
      </c>
      <c r="D2075">
        <v>0.34729484849294201</v>
      </c>
      <c r="E2075">
        <v>0.38860465299157998</v>
      </c>
      <c r="F2075">
        <v>0.193343778904498</v>
      </c>
      <c r="G2075">
        <v>0.10003567877898301</v>
      </c>
      <c r="H2075">
        <v>0.144839235276009</v>
      </c>
      <c r="I2075">
        <v>5.3540859116152202E-2</v>
      </c>
      <c r="J2075">
        <v>7.1301611075642896E-2</v>
      </c>
      <c r="K2075">
        <v>5.6307633936026898E-2</v>
      </c>
      <c r="L2075">
        <v>643.01667240956397</v>
      </c>
      <c r="M2075">
        <v>14.3498387917338</v>
      </c>
      <c r="N2075">
        <v>45.3751398169194</v>
      </c>
      <c r="O2075">
        <v>43.966750384071098</v>
      </c>
      <c r="P2075">
        <v>-7.4927051413213999E-2</v>
      </c>
      <c r="Q2075">
        <v>8.1828467904361199E-2</v>
      </c>
      <c r="R2075">
        <v>0.931783007912377</v>
      </c>
      <c r="S2075" t="s">
        <v>8881</v>
      </c>
      <c r="T2075" t="s">
        <v>13610</v>
      </c>
      <c r="U2075" t="s">
        <v>13610</v>
      </c>
      <c r="V2075" t="s">
        <v>13610</v>
      </c>
      <c r="W2075" t="s">
        <v>15637</v>
      </c>
      <c r="X2075">
        <v>4</v>
      </c>
      <c r="Y2075" t="s">
        <v>22313</v>
      </c>
      <c r="Z2075" t="s">
        <v>28930</v>
      </c>
      <c r="AA2075">
        <v>0.26205460814609238</v>
      </c>
      <c r="AB2075" t="str">
        <f>HYPERLINK("Melting_Curves/meltCurve_P19387_POLR2C.pdf", "Melting_Curves/meltCurve_P19387_POLR2C.pdf")</f>
        <v>Melting_Curves/meltCurve_P19387_POLR2C.pdf</v>
      </c>
    </row>
    <row r="2076" spans="1:28" x14ac:dyDescent="0.25">
      <c r="A2076" t="s">
        <v>2080</v>
      </c>
      <c r="B2076">
        <v>0.995954080203443</v>
      </c>
      <c r="C2076">
        <v>0.65738225006629802</v>
      </c>
      <c r="D2076">
        <v>0.399506302954382</v>
      </c>
      <c r="E2076">
        <v>0.37107193727712301</v>
      </c>
      <c r="F2076">
        <v>0.18318633251482899</v>
      </c>
      <c r="G2076">
        <v>0.105204346819779</v>
      </c>
      <c r="H2076">
        <v>6.8435239772303605E-2</v>
      </c>
      <c r="I2076">
        <v>6.8418969327536494E-2</v>
      </c>
      <c r="J2076">
        <v>7.6982902777470205E-2</v>
      </c>
      <c r="K2076">
        <v>6.7073653340456493E-2</v>
      </c>
      <c r="L2076">
        <v>640.81964018385304</v>
      </c>
      <c r="M2076">
        <v>14.1470916859565</v>
      </c>
      <c r="N2076">
        <v>45.760855839213598</v>
      </c>
      <c r="O2076">
        <v>44.420666241662801</v>
      </c>
      <c r="P2076">
        <v>-7.4310158753051997E-2</v>
      </c>
      <c r="Q2076">
        <v>6.6808387198744698E-2</v>
      </c>
      <c r="R2076">
        <v>0.95850730769216796</v>
      </c>
      <c r="S2076" t="s">
        <v>8882</v>
      </c>
      <c r="T2076" t="s">
        <v>13610</v>
      </c>
      <c r="U2076" t="s">
        <v>13610</v>
      </c>
      <c r="V2076" t="s">
        <v>13610</v>
      </c>
      <c r="W2076" t="s">
        <v>15638</v>
      </c>
      <c r="X2076">
        <v>8</v>
      </c>
      <c r="Y2076" t="s">
        <v>22314</v>
      </c>
      <c r="Z2076" t="s">
        <v>28931</v>
      </c>
      <c r="AA2076">
        <v>0.26439816485193618</v>
      </c>
      <c r="AB2076" t="str">
        <f>HYPERLINK("Melting_Curves/meltCurve_P19388_POLR2E.pdf", "Melting_Curves/meltCurve_P19388_POLR2E.pdf")</f>
        <v>Melting_Curves/meltCurve_P19388_POLR2E.pdf</v>
      </c>
    </row>
    <row r="2077" spans="1:28" x14ac:dyDescent="0.25">
      <c r="A2077" t="s">
        <v>2081</v>
      </c>
      <c r="B2077">
        <v>0.995954080203443</v>
      </c>
      <c r="C2077">
        <v>1.03150158570807</v>
      </c>
      <c r="D2077">
        <v>0.892856085439511</v>
      </c>
      <c r="E2077">
        <v>0.85056380926479602</v>
      </c>
      <c r="F2077">
        <v>0.70006214014238</v>
      </c>
      <c r="G2077">
        <v>0.48784187493967002</v>
      </c>
      <c r="H2077">
        <v>0.33766767120867602</v>
      </c>
      <c r="I2077">
        <v>0.25237152046353001</v>
      </c>
      <c r="J2077">
        <v>0.18003753905548001</v>
      </c>
      <c r="K2077">
        <v>0.139028082906624</v>
      </c>
      <c r="L2077">
        <v>669.48877843271498</v>
      </c>
      <c r="M2077">
        <v>11.866940265474801</v>
      </c>
      <c r="N2077">
        <v>57.0053919858304</v>
      </c>
      <c r="O2077">
        <v>54.885784828133602</v>
      </c>
      <c r="P2077">
        <v>-5.0946601409763398E-2</v>
      </c>
      <c r="Q2077">
        <v>5.7704687473537103E-2</v>
      </c>
      <c r="R2077">
        <v>0.99472759967481095</v>
      </c>
      <c r="S2077" t="s">
        <v>8883</v>
      </c>
      <c r="T2077" t="s">
        <v>13610</v>
      </c>
      <c r="U2077" t="s">
        <v>13610</v>
      </c>
      <c r="V2077" t="s">
        <v>13610</v>
      </c>
      <c r="W2077" t="s">
        <v>15639</v>
      </c>
      <c r="X2077">
        <v>5</v>
      </c>
      <c r="Y2077" t="s">
        <v>22315</v>
      </c>
      <c r="Z2077" t="s">
        <v>28932</v>
      </c>
      <c r="AA2077">
        <v>0.59125608423623466</v>
      </c>
      <c r="AB2077" t="str">
        <f>HYPERLINK("Melting_Curves/meltCurve_P19404_NDUFV2.pdf", "Melting_Curves/meltCurve_P19404_NDUFV2.pdf")</f>
        <v>Melting_Curves/meltCurve_P19404_NDUFV2.pdf</v>
      </c>
    </row>
    <row r="2078" spans="1:28" x14ac:dyDescent="0.25">
      <c r="A2078" t="s">
        <v>2082</v>
      </c>
      <c r="B2078">
        <v>0.995954080203443</v>
      </c>
      <c r="C2078">
        <v>0.796582644487425</v>
      </c>
      <c r="D2078">
        <v>0.49430310123548599</v>
      </c>
      <c r="E2078">
        <v>0.30766919602741999</v>
      </c>
      <c r="F2078">
        <v>0.16105443777734199</v>
      </c>
      <c r="G2078">
        <v>9.9205372310657597E-2</v>
      </c>
      <c r="H2078">
        <v>6.4590683224462805E-2</v>
      </c>
      <c r="I2078">
        <v>5.3729795683705103E-2</v>
      </c>
      <c r="J2078">
        <v>5.8243648174740398E-2</v>
      </c>
      <c r="K2078">
        <v>4.7346757831689998E-2</v>
      </c>
      <c r="L2078">
        <v>764.430443646507</v>
      </c>
      <c r="M2078">
        <v>16.539903611579899</v>
      </c>
      <c r="N2078">
        <v>46.536009612633499</v>
      </c>
      <c r="O2078">
        <v>45.557594891431201</v>
      </c>
      <c r="P2078">
        <v>-8.5910052075042501E-2</v>
      </c>
      <c r="Q2078">
        <v>5.3540817820789198E-2</v>
      </c>
      <c r="R2078">
        <v>0.99176844574887402</v>
      </c>
      <c r="S2078" t="s">
        <v>8884</v>
      </c>
      <c r="T2078" t="s">
        <v>13610</v>
      </c>
      <c r="U2078" t="s">
        <v>13610</v>
      </c>
      <c r="V2078" t="s">
        <v>13610</v>
      </c>
      <c r="W2078" t="s">
        <v>15640</v>
      </c>
      <c r="X2078">
        <v>15</v>
      </c>
      <c r="Y2078" t="s">
        <v>22316</v>
      </c>
      <c r="Z2078" t="s">
        <v>28933</v>
      </c>
      <c r="AA2078">
        <v>0.27172853706109068</v>
      </c>
      <c r="AB2078" t="str">
        <f>HYPERLINK("Melting_Curves/meltCurve_P19447_ERCC3.pdf", "Melting_Curves/meltCurve_P19447_ERCC3.pdf")</f>
        <v>Melting_Curves/meltCurve_P19447_ERCC3.pdf</v>
      </c>
    </row>
    <row r="2079" spans="1:28" x14ac:dyDescent="0.25">
      <c r="A2079" t="s">
        <v>2083</v>
      </c>
      <c r="B2079">
        <v>0.995954080203443</v>
      </c>
      <c r="C2079">
        <v>0.73077913627825297</v>
      </c>
      <c r="D2079">
        <v>0.583253819129817</v>
      </c>
      <c r="E2079">
        <v>0.50312169883316504</v>
      </c>
      <c r="F2079">
        <v>0.40718913279645202</v>
      </c>
      <c r="G2079">
        <v>0.265779902589941</v>
      </c>
      <c r="H2079">
        <v>0.20854011884639201</v>
      </c>
      <c r="I2079">
        <v>0.220680865451655</v>
      </c>
      <c r="J2079">
        <v>0.26892397204679902</v>
      </c>
      <c r="K2079">
        <v>0.25774623215246401</v>
      </c>
      <c r="L2079">
        <v>560.480603798782</v>
      </c>
      <c r="M2079">
        <v>12.078208038931299</v>
      </c>
      <c r="N2079">
        <v>48.745134985627999</v>
      </c>
      <c r="O2079">
        <v>45.187144778144301</v>
      </c>
      <c r="P2079">
        <v>-5.2130612776398598E-2</v>
      </c>
      <c r="Q2079">
        <v>0.22005619879056301</v>
      </c>
      <c r="R2079">
        <v>0.95906998626597595</v>
      </c>
      <c r="S2079" t="s">
        <v>8885</v>
      </c>
      <c r="T2079" t="s">
        <v>13610</v>
      </c>
      <c r="U2079" t="s">
        <v>13610</v>
      </c>
      <c r="V2079" t="s">
        <v>13610</v>
      </c>
      <c r="W2079" t="s">
        <v>15641</v>
      </c>
      <c r="X2079">
        <v>12</v>
      </c>
      <c r="Y2079" t="s">
        <v>22317</v>
      </c>
      <c r="Z2079" t="s">
        <v>28934</v>
      </c>
      <c r="AA2079">
        <v>0.42044869859594108</v>
      </c>
      <c r="AB2079" t="str">
        <f>HYPERLINK("Melting_Curves/meltCurve_P19525_EIF2AK2.pdf", "Melting_Curves/meltCurve_P19525_EIF2AK2.pdf")</f>
        <v>Melting_Curves/meltCurve_P19525_EIF2AK2.pdf</v>
      </c>
    </row>
    <row r="2080" spans="1:28" x14ac:dyDescent="0.25">
      <c r="A2080" t="s">
        <v>2084</v>
      </c>
      <c r="B2080">
        <v>0.995954080203443</v>
      </c>
      <c r="C2080">
        <v>1.00324168528186</v>
      </c>
      <c r="D2080">
        <v>0.97453636835464796</v>
      </c>
      <c r="E2080">
        <v>0.92520534942325405</v>
      </c>
      <c r="F2080">
        <v>0.74474257852118397</v>
      </c>
      <c r="G2080">
        <v>0.55277653794180304</v>
      </c>
      <c r="H2080">
        <v>0.48639235906370798</v>
      </c>
      <c r="I2080">
        <v>0.57214368530979098</v>
      </c>
      <c r="J2080">
        <v>0.66640425451335406</v>
      </c>
      <c r="K2080">
        <v>0.65899229856231401</v>
      </c>
      <c r="L2080">
        <v>2142.81786110032</v>
      </c>
      <c r="M2080">
        <v>41.074321955390303</v>
      </c>
      <c r="O2080">
        <v>52.046072268286103</v>
      </c>
      <c r="P2080">
        <v>-8.1573751502862099E-2</v>
      </c>
      <c r="Q2080">
        <v>0.58654597505796102</v>
      </c>
      <c r="R2080">
        <v>0.92985726955287495</v>
      </c>
      <c r="S2080" t="s">
        <v>8886</v>
      </c>
      <c r="T2080" t="s">
        <v>13610</v>
      </c>
      <c r="U2080" t="s">
        <v>13610</v>
      </c>
      <c r="V2080" t="s">
        <v>13610</v>
      </c>
      <c r="W2080" t="s">
        <v>15642</v>
      </c>
      <c r="X2080">
        <v>5</v>
      </c>
      <c r="Y2080" t="s">
        <v>22318</v>
      </c>
      <c r="Z2080" t="s">
        <v>28935</v>
      </c>
      <c r="AA2080">
        <v>0.75567339523319255</v>
      </c>
      <c r="AB2080" t="str">
        <f>HYPERLINK("Melting_Curves/meltCurve_P19532_TFE3.pdf", "Melting_Curves/meltCurve_P19532_TFE3.pdf")</f>
        <v>Melting_Curves/meltCurve_P19532_TFE3.pdf</v>
      </c>
    </row>
    <row r="2081" spans="1:28" x14ac:dyDescent="0.25">
      <c r="A2081" t="s">
        <v>2085</v>
      </c>
      <c r="B2081">
        <v>0.995954080203443</v>
      </c>
      <c r="C2081">
        <v>1.02806140755211</v>
      </c>
      <c r="D2081">
        <v>0.86789004922914104</v>
      </c>
      <c r="E2081">
        <v>0.84316892716880298</v>
      </c>
      <c r="F2081">
        <v>0.77059364153109799</v>
      </c>
      <c r="G2081">
        <v>0.422140643864301</v>
      </c>
      <c r="H2081">
        <v>0.43622631040034698</v>
      </c>
      <c r="I2081">
        <v>0.46250199449937401</v>
      </c>
      <c r="J2081">
        <v>0.61976112725190802</v>
      </c>
      <c r="K2081">
        <v>0.51019692113397197</v>
      </c>
      <c r="L2081">
        <v>1359.94761800826</v>
      </c>
      <c r="M2081">
        <v>26.101791409413998</v>
      </c>
      <c r="N2081">
        <v>60.624481974887502</v>
      </c>
      <c r="O2081">
        <v>51.798762356456102</v>
      </c>
      <c r="P2081">
        <v>-6.4594752874848907E-2</v>
      </c>
      <c r="Q2081">
        <v>0.48725506369501198</v>
      </c>
      <c r="R2081">
        <v>0.88356664258797202</v>
      </c>
      <c r="S2081" t="s">
        <v>8887</v>
      </c>
      <c r="T2081" t="s">
        <v>13610</v>
      </c>
      <c r="U2081" t="s">
        <v>13610</v>
      </c>
      <c r="V2081" t="s">
        <v>13610</v>
      </c>
      <c r="W2081" t="s">
        <v>15643</v>
      </c>
      <c r="X2081">
        <v>2</v>
      </c>
      <c r="Y2081" t="s">
        <v>22319</v>
      </c>
      <c r="Z2081" t="s">
        <v>28936</v>
      </c>
      <c r="AA2081">
        <v>0.6984025152513299</v>
      </c>
      <c r="AB2081" t="str">
        <f>HYPERLINK("Melting_Curves/meltCurve_P19544_2_WT1.pdf", "Melting_Curves/meltCurve_P19544_2_WT1.pdf")</f>
        <v>Melting_Curves/meltCurve_P19544_2_WT1.pdf</v>
      </c>
    </row>
    <row r="2082" spans="1:28" x14ac:dyDescent="0.25">
      <c r="A2082" t="s">
        <v>2086</v>
      </c>
      <c r="B2082">
        <v>0.995954080203443</v>
      </c>
      <c r="C2082">
        <v>1.0932281776222199</v>
      </c>
      <c r="D2082">
        <v>1.0238495228537099</v>
      </c>
      <c r="E2082">
        <v>0.89699685474632096</v>
      </c>
      <c r="F2082">
        <v>0.35274808582796402</v>
      </c>
      <c r="G2082">
        <v>0.141933160225999</v>
      </c>
      <c r="H2082">
        <v>8.7076406054939395E-2</v>
      </c>
      <c r="I2082">
        <v>7.74183451858068E-2</v>
      </c>
      <c r="J2082">
        <v>8.4237091438713899E-2</v>
      </c>
      <c r="K2082">
        <v>7.5321636971314304E-2</v>
      </c>
      <c r="L2082">
        <v>2541.8898165072801</v>
      </c>
      <c r="M2082">
        <v>48.832202569769997</v>
      </c>
      <c r="N2082">
        <v>52.2651835876961</v>
      </c>
      <c r="O2082">
        <v>51.966483471927397</v>
      </c>
      <c r="P2082">
        <v>-0.213848715335518</v>
      </c>
      <c r="Q2082">
        <v>8.9702722660495005E-2</v>
      </c>
      <c r="R2082">
        <v>0.99395955694773597</v>
      </c>
      <c r="S2082" t="s">
        <v>8888</v>
      </c>
      <c r="T2082" t="s">
        <v>13610</v>
      </c>
      <c r="U2082" t="s">
        <v>13610</v>
      </c>
      <c r="V2082" t="s">
        <v>13610</v>
      </c>
      <c r="W2082" t="s">
        <v>15644</v>
      </c>
      <c r="X2082">
        <v>19</v>
      </c>
      <c r="Y2082" t="s">
        <v>22320</v>
      </c>
      <c r="Z2082" t="s">
        <v>28937</v>
      </c>
      <c r="AA2082">
        <v>0.45763839471178419</v>
      </c>
      <c r="AB2082" t="str">
        <f>HYPERLINK("Melting_Curves/meltCurve_P19623_SRM.pdf", "Melting_Curves/meltCurve_P19623_SRM.pdf")</f>
        <v>Melting_Curves/meltCurve_P19623_SRM.pdf</v>
      </c>
    </row>
    <row r="2083" spans="1:28" x14ac:dyDescent="0.25">
      <c r="A2083" t="s">
        <v>2087</v>
      </c>
      <c r="B2083">
        <v>0.995954080203443</v>
      </c>
      <c r="C2083">
        <v>0.83476652475574098</v>
      </c>
      <c r="D2083">
        <v>0.67343769159573297</v>
      </c>
      <c r="E2083">
        <v>0.48717495449838699</v>
      </c>
      <c r="F2083">
        <v>0.202656035730572</v>
      </c>
      <c r="G2083">
        <v>0.115475379002432</v>
      </c>
      <c r="H2083">
        <v>7.3722685928027998E-2</v>
      </c>
      <c r="I2083">
        <v>6.6359519697847397E-2</v>
      </c>
      <c r="J2083">
        <v>8.3910051391178797E-2</v>
      </c>
      <c r="K2083">
        <v>6.6946667895568898E-2</v>
      </c>
      <c r="L2083">
        <v>706.548730449049</v>
      </c>
      <c r="M2083">
        <v>14.600126478016699</v>
      </c>
      <c r="N2083">
        <v>48.6909046117689</v>
      </c>
      <c r="O2083">
        <v>47.512647658000901</v>
      </c>
      <c r="P2083">
        <v>-7.3551793885908906E-2</v>
      </c>
      <c r="Q2083">
        <v>4.2680059368946199E-2</v>
      </c>
      <c r="R2083">
        <v>0.98865274904065004</v>
      </c>
      <c r="S2083" t="s">
        <v>8889</v>
      </c>
      <c r="T2083" t="s">
        <v>13610</v>
      </c>
      <c r="U2083" t="s">
        <v>13610</v>
      </c>
      <c r="V2083" t="s">
        <v>13610</v>
      </c>
      <c r="W2083" t="s">
        <v>14036</v>
      </c>
      <c r="X2083">
        <v>18</v>
      </c>
      <c r="Y2083" t="s">
        <v>22321</v>
      </c>
      <c r="Z2083" t="s">
        <v>28938</v>
      </c>
      <c r="AA2083">
        <v>0.33601822033669521</v>
      </c>
      <c r="AB2083" t="str">
        <f>HYPERLINK("Melting_Curves/meltCurve_P19784_CSNK2A2.pdf", "Melting_Curves/meltCurve_P19784_CSNK2A2.pdf")</f>
        <v>Melting_Curves/meltCurve_P19784_CSNK2A2.pdf</v>
      </c>
    </row>
    <row r="2084" spans="1:28" x14ac:dyDescent="0.25">
      <c r="A2084" t="s">
        <v>2088</v>
      </c>
      <c r="B2084">
        <v>0.995954080203443</v>
      </c>
      <c r="C2084">
        <v>0.89289061534551895</v>
      </c>
      <c r="D2084">
        <v>0.85580982797655303</v>
      </c>
      <c r="E2084">
        <v>0.48108717956340502</v>
      </c>
      <c r="F2084">
        <v>0.19115525112318901</v>
      </c>
      <c r="G2084">
        <v>9.7392710357019296E-2</v>
      </c>
      <c r="H2084">
        <v>6.9093263819651002E-2</v>
      </c>
      <c r="I2084">
        <v>6.0332808720795099E-2</v>
      </c>
      <c r="J2084">
        <v>7.2347528877516998E-2</v>
      </c>
      <c r="K2084">
        <v>6.3852904119530998E-2</v>
      </c>
      <c r="L2084">
        <v>1103.2314602105801</v>
      </c>
      <c r="M2084">
        <v>22.362276179045701</v>
      </c>
      <c r="N2084">
        <v>49.600956196182601</v>
      </c>
      <c r="O2084">
        <v>48.945028003914402</v>
      </c>
      <c r="P2084">
        <v>-0.107758707520606</v>
      </c>
      <c r="Q2084">
        <v>5.6599610808900899E-2</v>
      </c>
      <c r="R2084">
        <v>0.99460016837306597</v>
      </c>
      <c r="S2084" t="s">
        <v>8890</v>
      </c>
      <c r="T2084" t="s">
        <v>13610</v>
      </c>
      <c r="U2084" t="s">
        <v>13610</v>
      </c>
      <c r="V2084" t="s">
        <v>13610</v>
      </c>
      <c r="W2084" t="s">
        <v>15645</v>
      </c>
      <c r="X2084">
        <v>14</v>
      </c>
      <c r="Y2084" t="s">
        <v>22322</v>
      </c>
      <c r="Z2084" t="s">
        <v>28939</v>
      </c>
      <c r="AA2084">
        <v>0.3606569505301272</v>
      </c>
      <c r="AB2084" t="str">
        <f>HYPERLINK("Melting_Curves/meltCurve_P19838_NFKB1.pdf", "Melting_Curves/meltCurve_P19838_NFKB1.pdf")</f>
        <v>Melting_Curves/meltCurve_P19838_NFKB1.pdf</v>
      </c>
    </row>
    <row r="2085" spans="1:28" x14ac:dyDescent="0.25">
      <c r="A2085" t="s">
        <v>2089</v>
      </c>
      <c r="B2085">
        <v>0.995954080203443</v>
      </c>
      <c r="C2085">
        <v>0.94013320168754599</v>
      </c>
      <c r="D2085">
        <v>0.86257972697612795</v>
      </c>
      <c r="E2085">
        <v>0.76595476835217102</v>
      </c>
      <c r="F2085">
        <v>0.42611244251871699</v>
      </c>
      <c r="G2085">
        <v>0.22517516899005099</v>
      </c>
      <c r="H2085">
        <v>0.18310502294238801</v>
      </c>
      <c r="I2085">
        <v>0.19848820890298199</v>
      </c>
      <c r="J2085">
        <v>0.237831311111868</v>
      </c>
      <c r="K2085">
        <v>0.22926568877334</v>
      </c>
      <c r="L2085">
        <v>1298.3627745183001</v>
      </c>
      <c r="M2085">
        <v>25.3481906659682</v>
      </c>
      <c r="N2085">
        <v>52.273926450038601</v>
      </c>
      <c r="O2085">
        <v>50.905520856020701</v>
      </c>
      <c r="P2085">
        <v>-9.9601914226672097E-2</v>
      </c>
      <c r="Q2085">
        <v>0.199907743288956</v>
      </c>
      <c r="R2085">
        <v>0.98270122496287604</v>
      </c>
      <c r="S2085" t="s">
        <v>8891</v>
      </c>
      <c r="T2085" t="s">
        <v>13610</v>
      </c>
      <c r="U2085" t="s">
        <v>13610</v>
      </c>
      <c r="V2085" t="s">
        <v>13610</v>
      </c>
      <c r="W2085" t="s">
        <v>15646</v>
      </c>
      <c r="X2085">
        <v>24</v>
      </c>
      <c r="Y2085" t="s">
        <v>22323</v>
      </c>
      <c r="Z2085" t="s">
        <v>28940</v>
      </c>
      <c r="AA2085">
        <v>0.50622373267272891</v>
      </c>
      <c r="AB2085" t="str">
        <f>HYPERLINK("Melting_Curves/meltCurve_P20042_EIF2S2.pdf", "Melting_Curves/meltCurve_P20042_EIF2S2.pdf")</f>
        <v>Melting_Curves/meltCurve_P20042_EIF2S2.pdf</v>
      </c>
    </row>
    <row r="2086" spans="1:28" x14ac:dyDescent="0.25">
      <c r="A2086" t="s">
        <v>2090</v>
      </c>
      <c r="B2086">
        <v>0.995954080203443</v>
      </c>
      <c r="C2086">
        <v>0.81445572892901197</v>
      </c>
      <c r="D2086">
        <v>0.664214744829694</v>
      </c>
      <c r="E2086">
        <v>0.51807232140417403</v>
      </c>
      <c r="F2086">
        <v>0.44116904548948699</v>
      </c>
      <c r="G2086">
        <v>0.340473927055434</v>
      </c>
      <c r="H2086">
        <v>0.25277958515811599</v>
      </c>
      <c r="I2086">
        <v>0.265980160810454</v>
      </c>
      <c r="J2086">
        <v>0.26832191589585502</v>
      </c>
      <c r="K2086">
        <v>0.25742284835560098</v>
      </c>
      <c r="L2086">
        <v>571.22424781922905</v>
      </c>
      <c r="M2086">
        <v>12.0041522660601</v>
      </c>
      <c r="N2086">
        <v>50.283220627794897</v>
      </c>
      <c r="O2086">
        <v>46.322701742959197</v>
      </c>
      <c r="P2086">
        <v>-4.94166458589924E-2</v>
      </c>
      <c r="Q2086">
        <v>0.237410413202816</v>
      </c>
      <c r="R2086">
        <v>0.98633799973659597</v>
      </c>
      <c r="S2086" t="s">
        <v>8892</v>
      </c>
      <c r="T2086" t="s">
        <v>13610</v>
      </c>
      <c r="U2086" t="s">
        <v>13610</v>
      </c>
      <c r="V2086" t="s">
        <v>13610</v>
      </c>
      <c r="W2086" t="s">
        <v>15647</v>
      </c>
      <c r="X2086">
        <v>2</v>
      </c>
      <c r="Y2086" t="s">
        <v>22324</v>
      </c>
      <c r="Z2086" t="s">
        <v>28941</v>
      </c>
      <c r="AA2086">
        <v>0.46090517024813382</v>
      </c>
      <c r="AB2086" t="str">
        <f>HYPERLINK("Melting_Curves/meltCurve_P20138_3_CD33.pdf", "Melting_Curves/meltCurve_P20138_3_CD33.pdf")</f>
        <v>Melting_Curves/meltCurve_P20138_3_CD33.pdf</v>
      </c>
    </row>
    <row r="2087" spans="1:28" x14ac:dyDescent="0.25">
      <c r="A2087" t="s">
        <v>2091</v>
      </c>
      <c r="B2087">
        <v>0.995954080203443</v>
      </c>
      <c r="C2087">
        <v>0.93761368679581003</v>
      </c>
      <c r="D2087">
        <v>0.92339835183239805</v>
      </c>
      <c r="E2087">
        <v>0.78808539840214098</v>
      </c>
      <c r="F2087">
        <v>0.67390133288376297</v>
      </c>
      <c r="G2087">
        <v>0.46727030824428001</v>
      </c>
      <c r="H2087">
        <v>0.29822720087446197</v>
      </c>
      <c r="I2087">
        <v>0.239331493843429</v>
      </c>
      <c r="J2087">
        <v>0.23284016340299599</v>
      </c>
      <c r="K2087">
        <v>0.19111232402630601</v>
      </c>
      <c r="L2087">
        <v>679.24356746256296</v>
      </c>
      <c r="M2087">
        <v>12.4080809001451</v>
      </c>
      <c r="N2087">
        <v>56.123660501907104</v>
      </c>
      <c r="O2087">
        <v>53.378472112527596</v>
      </c>
      <c r="P2087">
        <v>-5.0476200343771198E-2</v>
      </c>
      <c r="Q2087">
        <v>0.13160732284186999</v>
      </c>
      <c r="R2087">
        <v>0.99684758469414503</v>
      </c>
      <c r="S2087" t="s">
        <v>8893</v>
      </c>
      <c r="T2087" t="s">
        <v>13610</v>
      </c>
      <c r="U2087" t="s">
        <v>13610</v>
      </c>
      <c r="V2087" t="s">
        <v>13610</v>
      </c>
      <c r="W2087" t="s">
        <v>15648</v>
      </c>
      <c r="X2087">
        <v>10</v>
      </c>
      <c r="Y2087" t="s">
        <v>22325</v>
      </c>
      <c r="Z2087" t="s">
        <v>28942</v>
      </c>
      <c r="AA2087">
        <v>0.57878719348852836</v>
      </c>
      <c r="AB2087" t="str">
        <f>HYPERLINK("Melting_Curves/meltCurve_P20248_CCNA2.pdf", "Melting_Curves/meltCurve_P20248_CCNA2.pdf")</f>
        <v>Melting_Curves/meltCurve_P20248_CCNA2.pdf</v>
      </c>
    </row>
    <row r="2088" spans="1:28" x14ac:dyDescent="0.25">
      <c r="A2088" t="s">
        <v>2092</v>
      </c>
      <c r="B2088">
        <v>0.995954080203443</v>
      </c>
      <c r="C2088">
        <v>0.91946715283936498</v>
      </c>
      <c r="D2088">
        <v>0.91460156183688301</v>
      </c>
      <c r="E2088">
        <v>0.78672653030082196</v>
      </c>
      <c r="F2088">
        <v>0.78517700831433701</v>
      </c>
      <c r="G2088">
        <v>0.595619609698532</v>
      </c>
      <c r="H2088">
        <v>0.55512931148454803</v>
      </c>
      <c r="I2088">
        <v>0.65571787504143997</v>
      </c>
      <c r="J2088">
        <v>0.79757570473302397</v>
      </c>
      <c r="K2088">
        <v>0.68693864839699204</v>
      </c>
      <c r="L2088">
        <v>839.21957679265904</v>
      </c>
      <c r="M2088">
        <v>17.329200953265499</v>
      </c>
      <c r="O2088">
        <v>47.796963613206898</v>
      </c>
      <c r="P2088">
        <v>-3.06885427376925E-2</v>
      </c>
      <c r="Q2088">
        <v>0.66144195282487706</v>
      </c>
      <c r="R2088">
        <v>0.76049890603871495</v>
      </c>
      <c r="S2088" t="s">
        <v>8894</v>
      </c>
      <c r="T2088" t="s">
        <v>13610</v>
      </c>
      <c r="U2088" t="s">
        <v>13610</v>
      </c>
      <c r="V2088" t="s">
        <v>13610</v>
      </c>
      <c r="W2088" t="s">
        <v>15649</v>
      </c>
      <c r="X2088">
        <v>9</v>
      </c>
      <c r="Y2088" t="s">
        <v>22326</v>
      </c>
      <c r="Z2088" t="s">
        <v>28943</v>
      </c>
      <c r="AA2088">
        <v>0.76296996553128593</v>
      </c>
      <c r="AB2088" t="str">
        <f>HYPERLINK("Melting_Curves/meltCurve_P20290_BTF3.pdf", "Melting_Curves/meltCurve_P20290_BTF3.pdf")</f>
        <v>Melting_Curves/meltCurve_P20290_BTF3.pdf</v>
      </c>
    </row>
    <row r="2089" spans="1:28" x14ac:dyDescent="0.25">
      <c r="A2089" t="s">
        <v>2093</v>
      </c>
      <c r="B2089">
        <v>0.995954080203443</v>
      </c>
      <c r="C2089">
        <v>0.93509822313028301</v>
      </c>
      <c r="D2089">
        <v>0.90489024997143996</v>
      </c>
      <c r="E2089">
        <v>0.77536552233419198</v>
      </c>
      <c r="F2089">
        <v>0.72333942690751096</v>
      </c>
      <c r="G2089">
        <v>0.53510191403199803</v>
      </c>
      <c r="H2089">
        <v>0.57866906866381496</v>
      </c>
      <c r="I2089">
        <v>0.69217820809965003</v>
      </c>
      <c r="J2089">
        <v>0.95415675553877199</v>
      </c>
      <c r="K2089">
        <v>0.77627893559767303</v>
      </c>
      <c r="L2089">
        <v>1213.6023903569801</v>
      </c>
      <c r="M2089">
        <v>25.851281158707199</v>
      </c>
      <c r="O2089">
        <v>46.667315328409202</v>
      </c>
      <c r="P2089">
        <v>-4.0212728614128598E-2</v>
      </c>
      <c r="Q2089">
        <v>0.70963167432820795</v>
      </c>
      <c r="R2089">
        <v>0.492538338922482</v>
      </c>
      <c r="S2089" t="s">
        <v>8895</v>
      </c>
      <c r="T2089" t="s">
        <v>13610</v>
      </c>
      <c r="U2089" t="s">
        <v>13610</v>
      </c>
      <c r="V2089" t="s">
        <v>13610</v>
      </c>
      <c r="W2089" t="s">
        <v>15650</v>
      </c>
      <c r="X2089">
        <v>2</v>
      </c>
      <c r="Y2089" t="s">
        <v>22327</v>
      </c>
      <c r="Z2089" t="s">
        <v>28944</v>
      </c>
      <c r="AA2089">
        <v>0.77926766349642118</v>
      </c>
      <c r="AB2089" t="str">
        <f>HYPERLINK("Melting_Curves/meltCurve_P20333_TNFRSF1B.pdf", "Melting_Curves/meltCurve_P20333_TNFRSF1B.pdf")</f>
        <v>Melting_Curves/meltCurve_P20333_TNFRSF1B.pdf</v>
      </c>
    </row>
    <row r="2090" spans="1:28" x14ac:dyDescent="0.25">
      <c r="A2090" t="s">
        <v>2094</v>
      </c>
      <c r="B2090">
        <v>0.995954080203443</v>
      </c>
      <c r="C2090">
        <v>0.94049730996256398</v>
      </c>
      <c r="D2090">
        <v>0.91416522585966098</v>
      </c>
      <c r="E2090">
        <v>0.63999185934532699</v>
      </c>
      <c r="F2090">
        <v>0.47033436639331999</v>
      </c>
      <c r="G2090">
        <v>0.23532368016518501</v>
      </c>
      <c r="H2090">
        <v>0.26152303353064099</v>
      </c>
      <c r="I2090">
        <v>0.25776176161338898</v>
      </c>
      <c r="J2090">
        <v>0.32558504851744802</v>
      </c>
      <c r="K2090">
        <v>0.31948258069520802</v>
      </c>
      <c r="L2090">
        <v>1167.3010188046301</v>
      </c>
      <c r="M2090">
        <v>23.3129561047956</v>
      </c>
      <c r="N2090">
        <v>51.843119809800399</v>
      </c>
      <c r="O2090">
        <v>49.706859753533898</v>
      </c>
      <c r="P2090">
        <v>-8.5051039740642306E-2</v>
      </c>
      <c r="Q2090">
        <v>0.27464451946167401</v>
      </c>
      <c r="R2090">
        <v>0.98239881225477699</v>
      </c>
      <c r="S2090" t="s">
        <v>8896</v>
      </c>
      <c r="T2090" t="s">
        <v>13610</v>
      </c>
      <c r="U2090" t="s">
        <v>13610</v>
      </c>
      <c r="V2090" t="s">
        <v>13610</v>
      </c>
      <c r="W2090" t="s">
        <v>15651</v>
      </c>
      <c r="X2090">
        <v>3</v>
      </c>
      <c r="Y2090" t="s">
        <v>22328</v>
      </c>
      <c r="Z2090" t="s">
        <v>28945</v>
      </c>
      <c r="AA2090">
        <v>0.52560572460167398</v>
      </c>
      <c r="AB2090" t="str">
        <f>HYPERLINK("Melting_Curves/meltCurve_P20337_RAB3B.pdf", "Melting_Curves/meltCurve_P20337_RAB3B.pdf")</f>
        <v>Melting_Curves/meltCurve_P20337_RAB3B.pdf</v>
      </c>
    </row>
    <row r="2091" spans="1:28" x14ac:dyDescent="0.25">
      <c r="A2091" t="s">
        <v>2095</v>
      </c>
      <c r="B2091">
        <v>0.995954080203443</v>
      </c>
      <c r="C2091">
        <v>1.0132009851891199</v>
      </c>
      <c r="D2091">
        <v>0.94566899796308401</v>
      </c>
      <c r="E2091">
        <v>0.90469655689293904</v>
      </c>
      <c r="F2091">
        <v>0.78667447731805595</v>
      </c>
      <c r="G2091">
        <v>0.49369490832602803</v>
      </c>
      <c r="H2091">
        <v>0.15781917745311799</v>
      </c>
      <c r="I2091">
        <v>0.13165393351509799</v>
      </c>
      <c r="J2091">
        <v>0.145593579139213</v>
      </c>
      <c r="K2091">
        <v>0.11726380493808</v>
      </c>
      <c r="L2091">
        <v>1220.6261129189199</v>
      </c>
      <c r="M2091">
        <v>21.834125052167199</v>
      </c>
      <c r="N2091">
        <v>56.429277192237997</v>
      </c>
      <c r="O2091">
        <v>55.441904170863602</v>
      </c>
      <c r="P2091">
        <v>-8.9410820965173998E-2</v>
      </c>
      <c r="Q2091">
        <v>9.1881757582008394E-2</v>
      </c>
      <c r="R2091">
        <v>0.99300807531094404</v>
      </c>
      <c r="S2091" t="s">
        <v>8897</v>
      </c>
      <c r="T2091" t="s">
        <v>13610</v>
      </c>
      <c r="U2091" t="s">
        <v>13610</v>
      </c>
      <c r="V2091" t="s">
        <v>13610</v>
      </c>
      <c r="W2091" t="s">
        <v>15652</v>
      </c>
      <c r="X2091">
        <v>10</v>
      </c>
      <c r="Y2091" t="s">
        <v>22329</v>
      </c>
      <c r="Z2091" t="s">
        <v>28946</v>
      </c>
      <c r="AA2091">
        <v>0.58367111248211934</v>
      </c>
      <c r="AB2091" t="str">
        <f>HYPERLINK("Melting_Curves/meltCurve_P20338_RAB4A.pdf", "Melting_Curves/meltCurve_P20338_RAB4A.pdf")</f>
        <v>Melting_Curves/meltCurve_P20338_RAB4A.pdf</v>
      </c>
    </row>
    <row r="2092" spans="1:28" x14ac:dyDescent="0.25">
      <c r="A2092" t="s">
        <v>2096</v>
      </c>
      <c r="B2092">
        <v>0.995954080203443</v>
      </c>
      <c r="C2092">
        <v>1.0216088294635099</v>
      </c>
      <c r="D2092">
        <v>0.96671223366553405</v>
      </c>
      <c r="E2092">
        <v>0.87661851759321796</v>
      </c>
      <c r="F2092">
        <v>0.62749082855947902</v>
      </c>
      <c r="G2092">
        <v>0.32742034840063999</v>
      </c>
      <c r="H2092">
        <v>0.125630927852037</v>
      </c>
      <c r="I2092">
        <v>0.10935024671028</v>
      </c>
      <c r="J2092">
        <v>0.113560635145869</v>
      </c>
      <c r="K2092">
        <v>0.101465446208476</v>
      </c>
      <c r="L2092">
        <v>1197.75512396974</v>
      </c>
      <c r="M2092">
        <v>22.175199293861699</v>
      </c>
      <c r="N2092">
        <v>54.490044430315301</v>
      </c>
      <c r="O2092">
        <v>53.579773939191803</v>
      </c>
      <c r="P2092">
        <v>-9.4346193513912699E-2</v>
      </c>
      <c r="Q2092">
        <v>8.81816478352003E-2</v>
      </c>
      <c r="R2092">
        <v>0.99825956283258699</v>
      </c>
      <c r="S2092" t="s">
        <v>8898</v>
      </c>
      <c r="T2092" t="s">
        <v>13610</v>
      </c>
      <c r="U2092" t="s">
        <v>13610</v>
      </c>
      <c r="V2092" t="s">
        <v>13610</v>
      </c>
      <c r="W2092" t="s">
        <v>15653</v>
      </c>
      <c r="X2092">
        <v>14</v>
      </c>
      <c r="Y2092" t="s">
        <v>22330</v>
      </c>
      <c r="Z2092" t="s">
        <v>28947</v>
      </c>
      <c r="AA2092">
        <v>0.52453437151973559</v>
      </c>
      <c r="AB2092" t="str">
        <f>HYPERLINK("Melting_Curves/meltCurve_P20340_2_RAB6A.pdf", "Melting_Curves/meltCurve_P20340_2_RAB6A.pdf")</f>
        <v>Melting_Curves/meltCurve_P20340_2_RAB6A.pdf</v>
      </c>
    </row>
    <row r="2093" spans="1:28" x14ac:dyDescent="0.25">
      <c r="A2093" t="s">
        <v>2097</v>
      </c>
      <c r="B2093">
        <v>0.995954080203443</v>
      </c>
      <c r="C2093">
        <v>0.87568024705812597</v>
      </c>
      <c r="D2093">
        <v>0.70840068211108598</v>
      </c>
      <c r="E2093">
        <v>0.601169811948146</v>
      </c>
      <c r="F2093">
        <v>0.15347572158379</v>
      </c>
      <c r="G2093">
        <v>9.5442577273518306E-2</v>
      </c>
      <c r="H2093">
        <v>6.5368497876041196E-2</v>
      </c>
      <c r="I2093">
        <v>6.1654497687243001E-2</v>
      </c>
      <c r="J2093">
        <v>6.6095860129985903E-2</v>
      </c>
      <c r="K2093">
        <v>5.7491687762833303E-2</v>
      </c>
      <c r="L2093">
        <v>796.80991112124298</v>
      </c>
      <c r="M2093">
        <v>16.179981042100099</v>
      </c>
      <c r="N2093">
        <v>49.432879315203898</v>
      </c>
      <c r="O2093">
        <v>48.512813964725403</v>
      </c>
      <c r="P2093">
        <v>-8.0920729444341297E-2</v>
      </c>
      <c r="Q2093">
        <v>2.9566804714739998E-2</v>
      </c>
      <c r="R2093">
        <v>0.96907820894118302</v>
      </c>
      <c r="S2093" t="s">
        <v>8899</v>
      </c>
      <c r="T2093" t="s">
        <v>13610</v>
      </c>
      <c r="U2093" t="s">
        <v>13610</v>
      </c>
      <c r="V2093" t="s">
        <v>13610</v>
      </c>
      <c r="W2093" t="s">
        <v>15654</v>
      </c>
      <c r="X2093">
        <v>28</v>
      </c>
      <c r="Y2093" t="s">
        <v>22331</v>
      </c>
      <c r="Z2093" t="s">
        <v>28948</v>
      </c>
      <c r="AA2093">
        <v>0.34925799734842028</v>
      </c>
      <c r="AB2093" t="str">
        <f>HYPERLINK("Melting_Curves/meltCurve_P20585_MSH3.pdf", "Melting_Curves/meltCurve_P20585_MSH3.pdf")</f>
        <v>Melting_Curves/meltCurve_P20585_MSH3.pdf</v>
      </c>
    </row>
    <row r="2094" spans="1:28" x14ac:dyDescent="0.25">
      <c r="A2094" t="s">
        <v>2098</v>
      </c>
      <c r="B2094">
        <v>0.995954080203443</v>
      </c>
      <c r="C2094">
        <v>0.71278933207994299</v>
      </c>
      <c r="D2094">
        <v>0.49752869662643001</v>
      </c>
      <c r="E2094">
        <v>0.80815324425891499</v>
      </c>
      <c r="F2094">
        <v>0.62872794133287102</v>
      </c>
      <c r="G2094">
        <v>0.53940536452653998</v>
      </c>
      <c r="H2094">
        <v>0.25830939622176702</v>
      </c>
      <c r="I2094">
        <v>0.26371248827289301</v>
      </c>
      <c r="J2094">
        <v>0.112367096005141</v>
      </c>
      <c r="K2094">
        <v>0.30806474959198199</v>
      </c>
      <c r="L2094">
        <v>307.23207371145998</v>
      </c>
      <c r="M2094">
        <v>5.64849866874623</v>
      </c>
      <c r="N2094">
        <v>54.391811270576397</v>
      </c>
      <c r="O2094">
        <v>48.724296484126498</v>
      </c>
      <c r="P2094">
        <v>-2.9098194844897101E-2</v>
      </c>
      <c r="Q2094">
        <v>0</v>
      </c>
      <c r="R2094">
        <v>0.75338536842209602</v>
      </c>
      <c r="S2094" t="s">
        <v>8900</v>
      </c>
      <c r="T2094" t="s">
        <v>13610</v>
      </c>
      <c r="U2094" t="s">
        <v>13610</v>
      </c>
      <c r="V2094" t="s">
        <v>13610</v>
      </c>
      <c r="W2094" t="s">
        <v>15655</v>
      </c>
      <c r="X2094">
        <v>14</v>
      </c>
      <c r="Y2094" t="s">
        <v>22332</v>
      </c>
      <c r="Z2094" t="s">
        <v>28949</v>
      </c>
      <c r="AA2094">
        <v>0.5125248204600551</v>
      </c>
      <c r="AB2094" t="str">
        <f>HYPERLINK("Melting_Curves/meltCurve_P20618_PSMB1.pdf", "Melting_Curves/meltCurve_P20618_PSMB1.pdf")</f>
        <v>Melting_Curves/meltCurve_P20618_PSMB1.pdf</v>
      </c>
    </row>
    <row r="2095" spans="1:28" x14ac:dyDescent="0.25">
      <c r="A2095" t="s">
        <v>2099</v>
      </c>
      <c r="B2095">
        <v>0.995954080203443</v>
      </c>
      <c r="C2095">
        <v>0.99160529922532803</v>
      </c>
      <c r="D2095">
        <v>0.98014230487099696</v>
      </c>
      <c r="E2095">
        <v>0.87117023164853102</v>
      </c>
      <c r="F2095">
        <v>0.75257794128396505</v>
      </c>
      <c r="G2095">
        <v>0.52636921266247505</v>
      </c>
      <c r="H2095">
        <v>0.45298942032889999</v>
      </c>
      <c r="I2095">
        <v>0.48939538392101301</v>
      </c>
      <c r="J2095">
        <v>0.610550408868066</v>
      </c>
      <c r="K2095">
        <v>0.52694419079515897</v>
      </c>
      <c r="L2095">
        <v>1493.20739124499</v>
      </c>
      <c r="M2095">
        <v>28.5058431371083</v>
      </c>
      <c r="O2095">
        <v>52.126741592079199</v>
      </c>
      <c r="P2095">
        <v>-6.6490177782904294E-2</v>
      </c>
      <c r="Q2095">
        <v>0.51365920208851401</v>
      </c>
      <c r="R2095">
        <v>0.95982475881104601</v>
      </c>
      <c r="S2095" t="s">
        <v>8901</v>
      </c>
      <c r="T2095" t="s">
        <v>13610</v>
      </c>
      <c r="U2095" t="s">
        <v>13610</v>
      </c>
      <c r="V2095" t="s">
        <v>13610</v>
      </c>
      <c r="W2095" t="s">
        <v>15656</v>
      </c>
      <c r="X2095">
        <v>7</v>
      </c>
      <c r="Y2095" t="s">
        <v>22333</v>
      </c>
      <c r="Z2095" t="s">
        <v>28950</v>
      </c>
      <c r="AA2095">
        <v>0.71785257325079543</v>
      </c>
      <c r="AB2095" t="str">
        <f>HYPERLINK("Melting_Curves/meltCurve_P20674_COX5A.pdf", "Melting_Curves/meltCurve_P20674_COX5A.pdf")</f>
        <v>Melting_Curves/meltCurve_P20674_COX5A.pdf</v>
      </c>
    </row>
    <row r="2096" spans="1:28" x14ac:dyDescent="0.25">
      <c r="A2096" t="s">
        <v>2100</v>
      </c>
      <c r="B2096">
        <v>0.995954080203443</v>
      </c>
      <c r="C2096">
        <v>1.0063351624995001</v>
      </c>
      <c r="D2096">
        <v>1.0788575395047699</v>
      </c>
      <c r="E2096">
        <v>0.88496046509814297</v>
      </c>
      <c r="F2096">
        <v>0.87969423162719695</v>
      </c>
      <c r="G2096">
        <v>0.63542116316097697</v>
      </c>
      <c r="H2096">
        <v>0.49884316981042398</v>
      </c>
      <c r="I2096">
        <v>0.49832594745291497</v>
      </c>
      <c r="J2096">
        <v>0.61042910461390398</v>
      </c>
      <c r="K2096">
        <v>0.55222819094542197</v>
      </c>
      <c r="L2096">
        <v>1560.0328108936301</v>
      </c>
      <c r="M2096">
        <v>28.7139133142154</v>
      </c>
      <c r="O2096">
        <v>54.068749074283403</v>
      </c>
      <c r="P2096">
        <v>-6.16659764254779E-2</v>
      </c>
      <c r="Q2096">
        <v>0.53553172353198797</v>
      </c>
      <c r="R2096">
        <v>0.94722761382155596</v>
      </c>
      <c r="S2096" t="s">
        <v>8902</v>
      </c>
      <c r="T2096" t="s">
        <v>13610</v>
      </c>
      <c r="U2096" t="s">
        <v>13610</v>
      </c>
      <c r="V2096" t="s">
        <v>13610</v>
      </c>
      <c r="W2096" t="s">
        <v>15657</v>
      </c>
      <c r="X2096">
        <v>47</v>
      </c>
      <c r="Y2096" t="s">
        <v>22334</v>
      </c>
      <c r="Z2096" t="s">
        <v>28951</v>
      </c>
      <c r="AA2096">
        <v>0.76072459798894365</v>
      </c>
      <c r="AB2096" t="str">
        <f>HYPERLINK("Melting_Curves/meltCurve_P20700_LMNB1.pdf", "Melting_Curves/meltCurve_P20700_LMNB1.pdf")</f>
        <v>Melting_Curves/meltCurve_P20700_LMNB1.pdf</v>
      </c>
    </row>
    <row r="2097" spans="1:28" x14ac:dyDescent="0.25">
      <c r="A2097" t="s">
        <v>2101</v>
      </c>
      <c r="B2097">
        <v>0.995954080203443</v>
      </c>
      <c r="C2097">
        <v>0.91349872906451401</v>
      </c>
      <c r="D2097">
        <v>0.61240606371606499</v>
      </c>
      <c r="E2097">
        <v>0.27025733526154799</v>
      </c>
      <c r="F2097">
        <v>0.13023005521174699</v>
      </c>
      <c r="G2097">
        <v>6.7785839098801398E-2</v>
      </c>
      <c r="H2097">
        <v>4.3446646559914301E-2</v>
      </c>
      <c r="I2097">
        <v>5.3946965957522998E-2</v>
      </c>
      <c r="J2097">
        <v>6.0135852567491002E-2</v>
      </c>
      <c r="K2097">
        <v>5.2194853366140402E-2</v>
      </c>
      <c r="L2097">
        <v>1014.13304195674</v>
      </c>
      <c r="M2097">
        <v>21.579457173746501</v>
      </c>
      <c r="N2097">
        <v>47.2302839095873</v>
      </c>
      <c r="O2097">
        <v>46.597307885678603</v>
      </c>
      <c r="P2097">
        <v>-0.109885848465532</v>
      </c>
      <c r="Q2097">
        <v>5.0900807314137403E-2</v>
      </c>
      <c r="R2097">
        <v>0.99864451267417997</v>
      </c>
      <c r="S2097" t="s">
        <v>8903</v>
      </c>
      <c r="T2097" t="s">
        <v>13610</v>
      </c>
      <c r="U2097" t="s">
        <v>13610</v>
      </c>
      <c r="V2097" t="s">
        <v>13610</v>
      </c>
      <c r="W2097" t="s">
        <v>15658</v>
      </c>
      <c r="X2097">
        <v>1</v>
      </c>
      <c r="Y2097" t="s">
        <v>22335</v>
      </c>
      <c r="Z2097" t="s">
        <v>28952</v>
      </c>
      <c r="AA2097">
        <v>0.28395069161838088</v>
      </c>
      <c r="AB2097" t="str">
        <f>HYPERLINK("Melting_Curves/meltCurve_P20749_BCL3.pdf", "Melting_Curves/meltCurve_P20749_BCL3.pdf")</f>
        <v>Melting_Curves/meltCurve_P20749_BCL3.pdf</v>
      </c>
    </row>
    <row r="2098" spans="1:28" x14ac:dyDescent="0.25">
      <c r="A2098" t="s">
        <v>2102</v>
      </c>
      <c r="B2098">
        <v>0.995954080203443</v>
      </c>
      <c r="C2098">
        <v>0.64452236728878898</v>
      </c>
      <c r="D2098">
        <v>0.46181236943496501</v>
      </c>
      <c r="E2098">
        <v>0.67838596751035796</v>
      </c>
      <c r="F2098">
        <v>0.37910864284158702</v>
      </c>
      <c r="G2098">
        <v>0.22257113826870301</v>
      </c>
      <c r="H2098">
        <v>0.14345361717115901</v>
      </c>
      <c r="I2098">
        <v>0.106394808011505</v>
      </c>
      <c r="J2098">
        <v>0.102606789371533</v>
      </c>
      <c r="K2098">
        <v>9.8058365410866197E-2</v>
      </c>
      <c r="L2098">
        <v>382.07435557587303</v>
      </c>
      <c r="M2098">
        <v>7.7810621490894096</v>
      </c>
      <c r="N2098">
        <v>49.103110832493698</v>
      </c>
      <c r="O2098">
        <v>46.176331013246198</v>
      </c>
      <c r="P2098">
        <v>-4.2179745832088E-2</v>
      </c>
      <c r="Q2098">
        <v>0</v>
      </c>
      <c r="R2098">
        <v>0.87244418668022805</v>
      </c>
      <c r="S2098" t="s">
        <v>8904</v>
      </c>
      <c r="T2098" t="s">
        <v>13610</v>
      </c>
      <c r="U2098" t="s">
        <v>13610</v>
      </c>
      <c r="V2098" t="s">
        <v>13610</v>
      </c>
      <c r="W2098" t="s">
        <v>15659</v>
      </c>
      <c r="X2098">
        <v>5</v>
      </c>
      <c r="Y2098" t="s">
        <v>22336</v>
      </c>
      <c r="Z2098" t="s">
        <v>28953</v>
      </c>
      <c r="AA2098">
        <v>0.37097169893089632</v>
      </c>
      <c r="AB2098" t="str">
        <f>HYPERLINK("Melting_Curves/meltCurve_P20839_2_IMPDH1.pdf", "Melting_Curves/meltCurve_P20839_2_IMPDH1.pdf")</f>
        <v>Melting_Curves/meltCurve_P20839_2_IMPDH1.pdf</v>
      </c>
    </row>
    <row r="2099" spans="1:28" x14ac:dyDescent="0.25">
      <c r="A2099" t="s">
        <v>2103</v>
      </c>
      <c r="B2099">
        <v>0.995954080203443</v>
      </c>
      <c r="C2099">
        <v>0.97161032745195097</v>
      </c>
      <c r="D2099">
        <v>0.93972801261112704</v>
      </c>
      <c r="E2099">
        <v>0.67638464696894196</v>
      </c>
      <c r="F2099">
        <v>0.67314681188758996</v>
      </c>
      <c r="G2099">
        <v>0.48795010357747898</v>
      </c>
      <c r="H2099">
        <v>0.44046638591004</v>
      </c>
      <c r="I2099">
        <v>0.422686227484732</v>
      </c>
      <c r="J2099">
        <v>0.31062644823115498</v>
      </c>
      <c r="K2099">
        <v>0.27388512171339802</v>
      </c>
      <c r="L2099">
        <v>561.18621529153802</v>
      </c>
      <c r="M2099">
        <v>10.4784829132075</v>
      </c>
      <c r="N2099">
        <v>57.358719694058898</v>
      </c>
      <c r="O2099">
        <v>51.7157537785682</v>
      </c>
      <c r="P2099">
        <v>-3.7986722598865499E-2</v>
      </c>
      <c r="Q2099">
        <v>0.25038269747926001</v>
      </c>
      <c r="R2099">
        <v>0.97423362668331004</v>
      </c>
      <c r="S2099" t="s">
        <v>8905</v>
      </c>
      <c r="T2099" t="s">
        <v>13610</v>
      </c>
      <c r="U2099" t="s">
        <v>13610</v>
      </c>
      <c r="V2099" t="s">
        <v>13610</v>
      </c>
      <c r="W2099" t="s">
        <v>15660</v>
      </c>
      <c r="X2099">
        <v>6</v>
      </c>
      <c r="Y2099" t="s">
        <v>22337</v>
      </c>
      <c r="Z2099" t="s">
        <v>28954</v>
      </c>
      <c r="AA2099">
        <v>0.61222296843201363</v>
      </c>
      <c r="AB2099" t="str">
        <f>HYPERLINK("Melting_Curves/meltCurve_P20933_AGA.pdf", "Melting_Curves/meltCurve_P20933_AGA.pdf")</f>
        <v>Melting_Curves/meltCurve_P20933_AGA.pdf</v>
      </c>
    </row>
    <row r="2100" spans="1:28" x14ac:dyDescent="0.25">
      <c r="A2100" t="s">
        <v>2104</v>
      </c>
      <c r="B2100">
        <v>0.995954080203443</v>
      </c>
      <c r="C2100">
        <v>1.02934526280849</v>
      </c>
      <c r="D2100">
        <v>0.94096696216872699</v>
      </c>
      <c r="E2100">
        <v>0.53495226160579501</v>
      </c>
      <c r="F2100">
        <v>0.17442608618325001</v>
      </c>
      <c r="G2100">
        <v>0.102137202137404</v>
      </c>
      <c r="H2100">
        <v>6.2487283937732903E-2</v>
      </c>
      <c r="I2100">
        <v>5.42145156854782E-2</v>
      </c>
      <c r="J2100">
        <v>6.1582851648453202E-2</v>
      </c>
      <c r="K2100">
        <v>5.6126194274005302E-2</v>
      </c>
      <c r="L2100">
        <v>1668.1747497145</v>
      </c>
      <c r="M2100">
        <v>33.3670020200557</v>
      </c>
      <c r="N2100">
        <v>50.194249572555698</v>
      </c>
      <c r="O2100">
        <v>49.816194340429703</v>
      </c>
      <c r="P2100">
        <v>-0.15705226465634101</v>
      </c>
      <c r="Q2100">
        <v>6.2101792034576699E-2</v>
      </c>
      <c r="R2100">
        <v>0.99875904821176997</v>
      </c>
      <c r="S2100" t="s">
        <v>8906</v>
      </c>
      <c r="T2100" t="s">
        <v>13610</v>
      </c>
      <c r="U2100" t="s">
        <v>13610</v>
      </c>
      <c r="V2100" t="s">
        <v>13610</v>
      </c>
      <c r="W2100" t="s">
        <v>15661</v>
      </c>
      <c r="X2100">
        <v>25</v>
      </c>
      <c r="Y2100" t="s">
        <v>22338</v>
      </c>
      <c r="Z2100" t="s">
        <v>28955</v>
      </c>
      <c r="AA2100">
        <v>0.3792473522141056</v>
      </c>
      <c r="AB2100" t="str">
        <f>HYPERLINK("Melting_Curves/meltCurve_P20936_2_RASA1.pdf", "Melting_Curves/meltCurve_P20936_2_RASA1.pdf")</f>
        <v>Melting_Curves/meltCurve_P20936_2_RASA1.pdf</v>
      </c>
    </row>
    <row r="2101" spans="1:28" x14ac:dyDescent="0.25">
      <c r="A2101" t="s">
        <v>2105</v>
      </c>
      <c r="B2101">
        <v>0.995954080203443</v>
      </c>
      <c r="C2101">
        <v>0.98514450613417903</v>
      </c>
      <c r="D2101">
        <v>1.0990209183431301</v>
      </c>
      <c r="E2101">
        <v>1.00573470636328</v>
      </c>
      <c r="F2101">
        <v>1.1736072717868899</v>
      </c>
      <c r="G2101">
        <v>1.14324095791026</v>
      </c>
      <c r="H2101">
        <v>1.44993223425142</v>
      </c>
      <c r="I2101">
        <v>1.92080072184589</v>
      </c>
      <c r="J2101">
        <v>2.1648883205502698</v>
      </c>
      <c r="K2101">
        <v>2.36627246200834</v>
      </c>
      <c r="L2101">
        <v>3698.5449942447199</v>
      </c>
      <c r="M2101">
        <v>63.993439459053803</v>
      </c>
      <c r="O2101">
        <v>57.739329167067098</v>
      </c>
      <c r="P2101">
        <v>0.138539581083649</v>
      </c>
      <c r="Q2101">
        <v>1.5</v>
      </c>
      <c r="R2101">
        <v>0.431313046704904</v>
      </c>
      <c r="S2101" t="s">
        <v>8907</v>
      </c>
      <c r="T2101" t="s">
        <v>13610</v>
      </c>
      <c r="U2101" t="s">
        <v>13610</v>
      </c>
      <c r="V2101" t="s">
        <v>13610</v>
      </c>
      <c r="W2101" t="s">
        <v>15662</v>
      </c>
      <c r="X2101">
        <v>6</v>
      </c>
      <c r="Y2101" t="s">
        <v>22339</v>
      </c>
      <c r="Z2101" t="s">
        <v>28956</v>
      </c>
      <c r="AA2101">
        <v>1.202629020851671</v>
      </c>
      <c r="AB2101" t="str">
        <f>HYPERLINK("Melting_Curves/meltCurve_P20962_PTMS.pdf", "Melting_Curves/meltCurve_P20962_PTMS.pdf")</f>
        <v>Melting_Curves/meltCurve_P20962_PTMS.pdf</v>
      </c>
    </row>
    <row r="2102" spans="1:28" x14ac:dyDescent="0.25">
      <c r="A2102" t="s">
        <v>2106</v>
      </c>
      <c r="B2102">
        <v>0.995954080203443</v>
      </c>
      <c r="C2102">
        <v>0.70210237676458198</v>
      </c>
      <c r="D2102">
        <v>0.484212994165648</v>
      </c>
      <c r="E2102">
        <v>0.363496491322361</v>
      </c>
      <c r="F2102">
        <v>0.25640648052723303</v>
      </c>
      <c r="G2102">
        <v>0.177789348508642</v>
      </c>
      <c r="H2102">
        <v>0.15030766336676499</v>
      </c>
      <c r="I2102">
        <v>0.15855797326073801</v>
      </c>
      <c r="J2102">
        <v>0.192484287736716</v>
      </c>
      <c r="K2102">
        <v>0.18417382614067901</v>
      </c>
      <c r="L2102">
        <v>747.61276916139195</v>
      </c>
      <c r="M2102">
        <v>16.6054568735351</v>
      </c>
      <c r="N2102">
        <v>46.2014463541</v>
      </c>
      <c r="O2102">
        <v>44.384370254174002</v>
      </c>
      <c r="P2102">
        <v>-7.7380145381649099E-2</v>
      </c>
      <c r="Q2102">
        <v>0.17274513457899901</v>
      </c>
      <c r="R2102">
        <v>0.97709546952233906</v>
      </c>
      <c r="S2102" t="s">
        <v>8908</v>
      </c>
      <c r="T2102" t="s">
        <v>13610</v>
      </c>
      <c r="U2102" t="s">
        <v>13610</v>
      </c>
      <c r="V2102" t="s">
        <v>13610</v>
      </c>
      <c r="W2102" t="s">
        <v>15663</v>
      </c>
      <c r="X2102">
        <v>32</v>
      </c>
      <c r="Y2102" t="s">
        <v>22340</v>
      </c>
      <c r="Z2102" t="s">
        <v>28957</v>
      </c>
      <c r="AA2102">
        <v>0.33253509236557188</v>
      </c>
      <c r="AB2102" t="str">
        <f>HYPERLINK("Melting_Curves/meltCurve_P21127_CDK11B.pdf", "Melting_Curves/meltCurve_P21127_CDK11B.pdf")</f>
        <v>Melting_Curves/meltCurve_P21127_CDK11B.pdf</v>
      </c>
    </row>
    <row r="2103" spans="1:28" x14ac:dyDescent="0.25">
      <c r="A2103" t="s">
        <v>2107</v>
      </c>
      <c r="B2103">
        <v>0.995954080203443</v>
      </c>
      <c r="C2103">
        <v>0.91885030261430001</v>
      </c>
      <c r="D2103">
        <v>0.50654758525379595</v>
      </c>
      <c r="E2103">
        <v>0.28611972137528302</v>
      </c>
      <c r="F2103">
        <v>0.13262628649820599</v>
      </c>
      <c r="G2103">
        <v>7.5464048603328795E-2</v>
      </c>
      <c r="H2103">
        <v>4.8492234556344903E-2</v>
      </c>
      <c r="I2103">
        <v>4.0636690003209998E-2</v>
      </c>
      <c r="J2103">
        <v>5.23404688488147E-2</v>
      </c>
      <c r="K2103">
        <v>4.3778130056419798E-2</v>
      </c>
      <c r="L2103">
        <v>954.43855725232197</v>
      </c>
      <c r="M2103">
        <v>20.524789257546701</v>
      </c>
      <c r="N2103">
        <v>46.748560756662201</v>
      </c>
      <c r="O2103">
        <v>46.067063268092397</v>
      </c>
      <c r="P2103">
        <v>-0.105668947487638</v>
      </c>
      <c r="Q2103">
        <v>5.1348985548503902E-2</v>
      </c>
      <c r="R2103">
        <v>0.98943514825478196</v>
      </c>
      <c r="S2103" t="s">
        <v>8909</v>
      </c>
      <c r="T2103" t="s">
        <v>13610</v>
      </c>
      <c r="U2103" t="s">
        <v>13610</v>
      </c>
      <c r="V2103" t="s">
        <v>13610</v>
      </c>
      <c r="W2103" t="s">
        <v>15664</v>
      </c>
      <c r="X2103">
        <v>9</v>
      </c>
      <c r="Y2103" t="s">
        <v>22341</v>
      </c>
      <c r="Z2103" t="s">
        <v>28958</v>
      </c>
      <c r="AA2103">
        <v>0.27035422675398701</v>
      </c>
      <c r="AB2103" t="str">
        <f>HYPERLINK("Melting_Curves/meltCurve_P21266_GSTM3.pdf", "Melting_Curves/meltCurve_P21266_GSTM3.pdf")</f>
        <v>Melting_Curves/meltCurve_P21266_GSTM3.pdf</v>
      </c>
    </row>
    <row r="2104" spans="1:28" x14ac:dyDescent="0.25">
      <c r="A2104" t="s">
        <v>2108</v>
      </c>
      <c r="B2104">
        <v>0.995954080203443</v>
      </c>
      <c r="C2104">
        <v>0.87367969882742802</v>
      </c>
      <c r="D2104">
        <v>0.75287090889582997</v>
      </c>
      <c r="E2104">
        <v>0.79264728537033502</v>
      </c>
      <c r="F2104">
        <v>0.49725302837541802</v>
      </c>
      <c r="G2104">
        <v>0.30212892477550601</v>
      </c>
      <c r="H2104">
        <v>0.15581794326834</v>
      </c>
      <c r="I2104">
        <v>7.9822848383057102E-2</v>
      </c>
      <c r="J2104">
        <v>7.1389108347247099E-2</v>
      </c>
      <c r="K2104">
        <v>6.8014930484370198E-2</v>
      </c>
      <c r="L2104">
        <v>624.887716928999</v>
      </c>
      <c r="M2104">
        <v>11.774412051507699</v>
      </c>
      <c r="N2104">
        <v>53.071668371758598</v>
      </c>
      <c r="O2104">
        <v>51.610191516304802</v>
      </c>
      <c r="P2104">
        <v>-5.7050083616289299E-2</v>
      </c>
      <c r="Q2104">
        <v>0</v>
      </c>
      <c r="R2104">
        <v>0.97315240765680799</v>
      </c>
      <c r="S2104" t="s">
        <v>8910</v>
      </c>
      <c r="T2104" t="s">
        <v>13610</v>
      </c>
      <c r="U2104" t="s">
        <v>13610</v>
      </c>
      <c r="V2104" t="s">
        <v>13610</v>
      </c>
      <c r="W2104" t="s">
        <v>15665</v>
      </c>
      <c r="X2104">
        <v>28</v>
      </c>
      <c r="Y2104" t="s">
        <v>22342</v>
      </c>
      <c r="Z2104" t="s">
        <v>28959</v>
      </c>
      <c r="AA2104">
        <v>0.46462602169821138</v>
      </c>
      <c r="AB2104" t="str">
        <f>HYPERLINK("Melting_Curves/meltCurve_P21281_ATP6V1B2.pdf", "Melting_Curves/meltCurve_P21281_ATP6V1B2.pdf")</f>
        <v>Melting_Curves/meltCurve_P21281_ATP6V1B2.pdf</v>
      </c>
    </row>
    <row r="2105" spans="1:28" x14ac:dyDescent="0.25">
      <c r="A2105" t="s">
        <v>2109</v>
      </c>
      <c r="B2105">
        <v>0.995954080203443</v>
      </c>
      <c r="C2105">
        <v>1.00631494769244</v>
      </c>
      <c r="D2105">
        <v>0.907748073051171</v>
      </c>
      <c r="E2105">
        <v>0.63354617974333005</v>
      </c>
      <c r="F2105">
        <v>0.28027485669750701</v>
      </c>
      <c r="G2105">
        <v>0.11133041938897301</v>
      </c>
      <c r="H2105">
        <v>6.9617156726261897E-2</v>
      </c>
      <c r="I2105">
        <v>6.7595153181740905E-2</v>
      </c>
      <c r="J2105">
        <v>7.5122989598737006E-2</v>
      </c>
      <c r="K2105">
        <v>7.4100071758852401E-2</v>
      </c>
      <c r="L2105">
        <v>1328.9254851680901</v>
      </c>
      <c r="M2105">
        <v>26.216491343893399</v>
      </c>
      <c r="N2105">
        <v>50.964320305989403</v>
      </c>
      <c r="O2105">
        <v>50.398259706689899</v>
      </c>
      <c r="P2105">
        <v>-0.121503144295806</v>
      </c>
      <c r="Q2105">
        <v>6.5705812833061705E-2</v>
      </c>
      <c r="R2105">
        <v>0.99882153421904296</v>
      </c>
      <c r="S2105" t="s">
        <v>8911</v>
      </c>
      <c r="T2105" t="s">
        <v>13610</v>
      </c>
      <c r="U2105" t="s">
        <v>13610</v>
      </c>
      <c r="V2105" t="s">
        <v>13610</v>
      </c>
      <c r="W2105" t="s">
        <v>15666</v>
      </c>
      <c r="X2105">
        <v>21</v>
      </c>
      <c r="Y2105" t="s">
        <v>22343</v>
      </c>
      <c r="Z2105" t="s">
        <v>28960</v>
      </c>
      <c r="AA2105">
        <v>0.40629412802200898</v>
      </c>
      <c r="AB2105" t="str">
        <f>HYPERLINK("Melting_Curves/meltCurve_P21283_ATP6V1C1.pdf", "Melting_Curves/meltCurve_P21283_ATP6V1C1.pdf")</f>
        <v>Melting_Curves/meltCurve_P21283_ATP6V1C1.pdf</v>
      </c>
    </row>
    <row r="2106" spans="1:28" x14ac:dyDescent="0.25">
      <c r="A2106" t="s">
        <v>2110</v>
      </c>
      <c r="B2106">
        <v>0.995954080203443</v>
      </c>
      <c r="C2106">
        <v>1.0226661332876801</v>
      </c>
      <c r="D2106">
        <v>1.0061120194118001</v>
      </c>
      <c r="E2106">
        <v>0.96098729576290098</v>
      </c>
      <c r="F2106">
        <v>0.86257998955603399</v>
      </c>
      <c r="G2106">
        <v>0.59622543158389396</v>
      </c>
      <c r="H2106">
        <v>0.57490978763400802</v>
      </c>
      <c r="I2106">
        <v>0.61787753929852096</v>
      </c>
      <c r="J2106">
        <v>0.66350032763337596</v>
      </c>
      <c r="K2106">
        <v>0.53079156240324898</v>
      </c>
      <c r="L2106">
        <v>2912.3609528410698</v>
      </c>
      <c r="M2106">
        <v>54.331326585284899</v>
      </c>
      <c r="O2106">
        <v>53.531244003316097</v>
      </c>
      <c r="P2106">
        <v>-0.103072854969713</v>
      </c>
      <c r="Q2106">
        <v>0.59378023985119899</v>
      </c>
      <c r="R2106">
        <v>0.96922860176074199</v>
      </c>
      <c r="S2106" t="s">
        <v>8912</v>
      </c>
      <c r="T2106" t="s">
        <v>13610</v>
      </c>
      <c r="U2106" t="s">
        <v>13610</v>
      </c>
      <c r="V2106" t="s">
        <v>13610</v>
      </c>
      <c r="W2106" t="s">
        <v>15667</v>
      </c>
      <c r="X2106">
        <v>8</v>
      </c>
      <c r="Y2106" t="s">
        <v>22344</v>
      </c>
      <c r="Z2106" t="s">
        <v>28961</v>
      </c>
      <c r="AA2106">
        <v>0.77879619226969876</v>
      </c>
      <c r="AB2106" t="str">
        <f>HYPERLINK("Melting_Curves/meltCurve_P21291_CSRP1.pdf", "Melting_Curves/meltCurve_P21291_CSRP1.pdf")</f>
        <v>Melting_Curves/meltCurve_P21291_CSRP1.pdf</v>
      </c>
    </row>
    <row r="2107" spans="1:28" x14ac:dyDescent="0.25">
      <c r="A2107" t="s">
        <v>2111</v>
      </c>
      <c r="B2107">
        <v>0.995954080203443</v>
      </c>
      <c r="C2107">
        <v>0.95145360034585102</v>
      </c>
      <c r="D2107">
        <v>1.00230572545983</v>
      </c>
      <c r="E2107">
        <v>0.83673403933886703</v>
      </c>
      <c r="F2107">
        <v>0.34071373866281701</v>
      </c>
      <c r="G2107">
        <v>0.219974741989196</v>
      </c>
      <c r="H2107">
        <v>0.14942835433023299</v>
      </c>
      <c r="I2107">
        <v>0.13905015943697199</v>
      </c>
      <c r="J2107">
        <v>0.121890127155596</v>
      </c>
      <c r="K2107">
        <v>0.10959747224864599</v>
      </c>
      <c r="L2107">
        <v>2226.7486556910599</v>
      </c>
      <c r="M2107">
        <v>43.142139387095</v>
      </c>
      <c r="N2107">
        <v>52.020883009830698</v>
      </c>
      <c r="O2107">
        <v>51.503709815986802</v>
      </c>
      <c r="P2107">
        <v>-0.179439532338355</v>
      </c>
      <c r="Q2107">
        <v>0.14313128196963901</v>
      </c>
      <c r="R2107">
        <v>0.99445099432944395</v>
      </c>
      <c r="S2107" t="s">
        <v>8913</v>
      </c>
      <c r="T2107" t="s">
        <v>13610</v>
      </c>
      <c r="U2107" t="s">
        <v>13610</v>
      </c>
      <c r="V2107" t="s">
        <v>13610</v>
      </c>
      <c r="W2107" t="s">
        <v>15668</v>
      </c>
      <c r="X2107">
        <v>137</v>
      </c>
      <c r="Y2107" t="s">
        <v>22345</v>
      </c>
      <c r="Z2107" t="s">
        <v>28962</v>
      </c>
      <c r="AA2107">
        <v>0.47748525156850058</v>
      </c>
      <c r="AB2107" t="str">
        <f>HYPERLINK("Melting_Curves/meltCurve_P21333_2_FLNA.pdf", "Melting_Curves/meltCurve_P21333_2_FLNA.pdf")</f>
        <v>Melting_Curves/meltCurve_P21333_2_FLNA.pdf</v>
      </c>
    </row>
    <row r="2108" spans="1:28" x14ac:dyDescent="0.25">
      <c r="A2108" t="s">
        <v>2112</v>
      </c>
      <c r="B2108">
        <v>0.995954080203443</v>
      </c>
      <c r="C2108">
        <v>0.68889468554034505</v>
      </c>
      <c r="D2108">
        <v>0.43971719460070402</v>
      </c>
      <c r="E2108">
        <v>0.48321373665536699</v>
      </c>
      <c r="F2108">
        <v>0.18657080626434</v>
      </c>
      <c r="G2108">
        <v>0.114080456052812</v>
      </c>
      <c r="H2108">
        <v>6.9471951800997703E-2</v>
      </c>
      <c r="I2108">
        <v>5.95744596720999E-2</v>
      </c>
      <c r="J2108">
        <v>4.4755430557224703E-2</v>
      </c>
      <c r="K2108">
        <v>6.19856102626049E-2</v>
      </c>
      <c r="L2108">
        <v>537.27707338155005</v>
      </c>
      <c r="M2108">
        <v>11.514118692675799</v>
      </c>
      <c r="N2108">
        <v>46.861484600019502</v>
      </c>
      <c r="O2108">
        <v>45.3215098947557</v>
      </c>
      <c r="P2108">
        <v>-6.2015569535394603E-2</v>
      </c>
      <c r="Q2108">
        <v>2.3861229688091502E-2</v>
      </c>
      <c r="R2108">
        <v>0.94362543406754895</v>
      </c>
      <c r="S2108" t="s">
        <v>8914</v>
      </c>
      <c r="T2108" t="s">
        <v>13610</v>
      </c>
      <c r="U2108" t="s">
        <v>13610</v>
      </c>
      <c r="V2108" t="s">
        <v>13610</v>
      </c>
      <c r="W2108" t="s">
        <v>15669</v>
      </c>
      <c r="X2108">
        <v>25</v>
      </c>
      <c r="Y2108" t="s">
        <v>22346</v>
      </c>
      <c r="Z2108" t="s">
        <v>28963</v>
      </c>
      <c r="AA2108">
        <v>0.28598548108116267</v>
      </c>
      <c r="AB2108" t="str">
        <f>HYPERLINK("Melting_Curves/meltCurve_P21359_2_NF1.pdf", "Melting_Curves/meltCurve_P21359_2_NF1.pdf")</f>
        <v>Melting_Curves/meltCurve_P21359_2_NF1.pdf</v>
      </c>
    </row>
    <row r="2109" spans="1:28" x14ac:dyDescent="0.25">
      <c r="A2109" t="s">
        <v>2113</v>
      </c>
      <c r="B2109">
        <v>0.995954080203443</v>
      </c>
      <c r="C2109">
        <v>0.92070323958328504</v>
      </c>
      <c r="D2109">
        <v>0.58606137243949497</v>
      </c>
      <c r="E2109">
        <v>0.210664580962311</v>
      </c>
      <c r="F2109">
        <v>0.110967428498983</v>
      </c>
      <c r="G2109">
        <v>6.5775035778302196E-2</v>
      </c>
      <c r="H2109">
        <v>4.4958857769968899E-2</v>
      </c>
      <c r="I2109">
        <v>4.2864418183534002E-2</v>
      </c>
      <c r="J2109">
        <v>4.5879334494079702E-2</v>
      </c>
      <c r="K2109">
        <v>4.16842852133378E-2</v>
      </c>
      <c r="L2109">
        <v>1137.30639716317</v>
      </c>
      <c r="M2109">
        <v>24.3879154563189</v>
      </c>
      <c r="N2109">
        <v>46.8284873991784</v>
      </c>
      <c r="O2109">
        <v>46.3238605598752</v>
      </c>
      <c r="P2109">
        <v>-0.125279616728419</v>
      </c>
      <c r="Q2109">
        <v>4.8159885937323503E-2</v>
      </c>
      <c r="R2109">
        <v>0.99892621700858697</v>
      </c>
      <c r="S2109" t="s">
        <v>8915</v>
      </c>
      <c r="T2109" t="s">
        <v>13610</v>
      </c>
      <c r="U2109" t="s">
        <v>13610</v>
      </c>
      <c r="V2109" t="s">
        <v>13610</v>
      </c>
      <c r="W2109" t="s">
        <v>15670</v>
      </c>
      <c r="X2109">
        <v>32</v>
      </c>
      <c r="Y2109" t="s">
        <v>22347</v>
      </c>
      <c r="Z2109" t="s">
        <v>28964</v>
      </c>
      <c r="AA2109">
        <v>0.26770869492575422</v>
      </c>
      <c r="AB2109" t="str">
        <f>HYPERLINK("Melting_Curves/meltCurve_P21399_ACO1.pdf", "Melting_Curves/meltCurve_P21399_ACO1.pdf")</f>
        <v>Melting_Curves/meltCurve_P21399_ACO1.pdf</v>
      </c>
    </row>
    <row r="2110" spans="1:28" x14ac:dyDescent="0.25">
      <c r="A2110" t="s">
        <v>2114</v>
      </c>
      <c r="B2110">
        <v>0.995954080203443</v>
      </c>
      <c r="C2110">
        <v>1.00379763140686</v>
      </c>
      <c r="D2110">
        <v>0.86619354187264397</v>
      </c>
      <c r="E2110">
        <v>0.73280056053263298</v>
      </c>
      <c r="F2110">
        <v>0.46991054738708699</v>
      </c>
      <c r="G2110">
        <v>0.24176079786856899</v>
      </c>
      <c r="H2110">
        <v>0.150270189698297</v>
      </c>
      <c r="I2110">
        <v>0.16377497140347999</v>
      </c>
      <c r="J2110">
        <v>0.19273885349671799</v>
      </c>
      <c r="K2110">
        <v>0.176228605559726</v>
      </c>
      <c r="L2110">
        <v>1038.47402966503</v>
      </c>
      <c r="M2110">
        <v>20.143874974811101</v>
      </c>
      <c r="N2110">
        <v>52.505503934479997</v>
      </c>
      <c r="O2110">
        <v>51.052846568112997</v>
      </c>
      <c r="P2110">
        <v>-8.3545545812850897E-2</v>
      </c>
      <c r="Q2110">
        <v>0.153071982507726</v>
      </c>
      <c r="R2110">
        <v>0.99270182390342498</v>
      </c>
      <c r="S2110" t="s">
        <v>8916</v>
      </c>
      <c r="T2110" t="s">
        <v>13610</v>
      </c>
      <c r="U2110" t="s">
        <v>13610</v>
      </c>
      <c r="V2110" t="s">
        <v>13610</v>
      </c>
      <c r="W2110" t="s">
        <v>15671</v>
      </c>
      <c r="X2110">
        <v>6</v>
      </c>
      <c r="Y2110" t="s">
        <v>22348</v>
      </c>
      <c r="Z2110" t="s">
        <v>28965</v>
      </c>
      <c r="AA2110">
        <v>0.49080570716485222</v>
      </c>
      <c r="AB2110" t="str">
        <f>HYPERLINK("Melting_Curves/meltCurve_P21580_TNFAIP3.pdf", "Melting_Curves/meltCurve_P21580_TNFAIP3.pdf")</f>
        <v>Melting_Curves/meltCurve_P21580_TNFAIP3.pdf</v>
      </c>
    </row>
    <row r="2111" spans="1:28" x14ac:dyDescent="0.25">
      <c r="A2111" t="s">
        <v>2115</v>
      </c>
      <c r="B2111">
        <v>0.995954080203443</v>
      </c>
      <c r="C2111">
        <v>0.92582139000475505</v>
      </c>
      <c r="D2111">
        <v>0.83744518857610195</v>
      </c>
      <c r="E2111">
        <v>0.50668626937363004</v>
      </c>
      <c r="F2111">
        <v>0.35638820040674202</v>
      </c>
      <c r="G2111">
        <v>0.235306365526772</v>
      </c>
      <c r="H2111">
        <v>0.16667683131887001</v>
      </c>
      <c r="I2111">
        <v>0.19167225545728001</v>
      </c>
      <c r="J2111">
        <v>0.21455532219141599</v>
      </c>
      <c r="K2111">
        <v>0.20543072148243399</v>
      </c>
      <c r="L2111">
        <v>951.73306946071398</v>
      </c>
      <c r="M2111">
        <v>19.4150853700834</v>
      </c>
      <c r="N2111">
        <v>50.238984371890901</v>
      </c>
      <c r="O2111">
        <v>48.509120650174403</v>
      </c>
      <c r="P2111">
        <v>-8.1270691274887896E-2</v>
      </c>
      <c r="Q2111">
        <v>0.18780158043410999</v>
      </c>
      <c r="R2111">
        <v>0.99642025137433099</v>
      </c>
      <c r="S2111" t="s">
        <v>8917</v>
      </c>
      <c r="T2111" t="s">
        <v>13610</v>
      </c>
      <c r="U2111" t="s">
        <v>13610</v>
      </c>
      <c r="V2111" t="s">
        <v>13610</v>
      </c>
      <c r="W2111" t="s">
        <v>15672</v>
      </c>
      <c r="X2111">
        <v>14</v>
      </c>
      <c r="Y2111" t="s">
        <v>22349</v>
      </c>
      <c r="Z2111" t="s">
        <v>28966</v>
      </c>
      <c r="AA2111">
        <v>0.44409054417205351</v>
      </c>
      <c r="AB2111" t="str">
        <f>HYPERLINK("Melting_Curves/meltCurve_P21675_TAF1.pdf", "Melting_Curves/meltCurve_P21675_TAF1.pdf")</f>
        <v>Melting_Curves/meltCurve_P21675_TAF1.pdf</v>
      </c>
    </row>
    <row r="2112" spans="1:28" x14ac:dyDescent="0.25">
      <c r="A2112" t="s">
        <v>2116</v>
      </c>
      <c r="B2112">
        <v>0.995954080203443</v>
      </c>
      <c r="C2112">
        <v>0.86914912596611604</v>
      </c>
      <c r="D2112">
        <v>0.799670924332188</v>
      </c>
      <c r="E2112">
        <v>0.69416836961060202</v>
      </c>
      <c r="F2112">
        <v>0.29299571737734598</v>
      </c>
      <c r="G2112">
        <v>0.213813565370428</v>
      </c>
      <c r="H2112">
        <v>0.184306293508328</v>
      </c>
      <c r="I2112">
        <v>0.20556929735191401</v>
      </c>
      <c r="J2112">
        <v>0.22273047700033199</v>
      </c>
      <c r="K2112">
        <v>0.23758295894814099</v>
      </c>
      <c r="L2112">
        <v>912.22061420765999</v>
      </c>
      <c r="M2112">
        <v>18.368340692531401</v>
      </c>
      <c r="N2112">
        <v>50.9612177592359</v>
      </c>
      <c r="O2112">
        <v>49.085256780514101</v>
      </c>
      <c r="P2112">
        <v>-7.6072902267659101E-2</v>
      </c>
      <c r="Q2112">
        <v>0.18688619376582299</v>
      </c>
      <c r="R2112">
        <v>0.95884288299626896</v>
      </c>
      <c r="S2112" t="s">
        <v>8918</v>
      </c>
      <c r="T2112" t="s">
        <v>13610</v>
      </c>
      <c r="U2112" t="s">
        <v>13610</v>
      </c>
      <c r="V2112" t="s">
        <v>13610</v>
      </c>
      <c r="W2112" t="s">
        <v>15673</v>
      </c>
      <c r="X2112">
        <v>2</v>
      </c>
      <c r="Y2112" t="s">
        <v>22350</v>
      </c>
      <c r="Z2112" t="s">
        <v>28967</v>
      </c>
      <c r="AA2112">
        <v>0.46217594088535729</v>
      </c>
      <c r="AB2112" t="str">
        <f>HYPERLINK("Melting_Curves/meltCurve_P21695_2_GPD1.pdf", "Melting_Curves/meltCurve_P21695_2_GPD1.pdf")</f>
        <v>Melting_Curves/meltCurve_P21695_2_GPD1.pdf</v>
      </c>
    </row>
    <row r="2113" spans="1:28" x14ac:dyDescent="0.25">
      <c r="A2113" t="s">
        <v>2117</v>
      </c>
      <c r="B2113">
        <v>0.995954080203443</v>
      </c>
      <c r="C2113">
        <v>0.96601077751214504</v>
      </c>
      <c r="D2113">
        <v>0.77098111640085298</v>
      </c>
      <c r="E2113">
        <v>0.94582505266772998</v>
      </c>
      <c r="F2113">
        <v>0.25892955731275902</v>
      </c>
      <c r="G2113">
        <v>8.0658007098752496E-2</v>
      </c>
      <c r="H2113">
        <v>4.6096671922205297E-2</v>
      </c>
      <c r="I2113">
        <v>3.7642032665820398E-2</v>
      </c>
      <c r="J2113">
        <v>4.6122252784810802E-2</v>
      </c>
      <c r="K2113">
        <v>3.6437524082984001E-2</v>
      </c>
      <c r="L2113">
        <v>3534.9917905621601</v>
      </c>
      <c r="M2113">
        <v>67.950234222737095</v>
      </c>
      <c r="N2113">
        <v>52.101819897236098</v>
      </c>
      <c r="O2113">
        <v>51.978244981834003</v>
      </c>
      <c r="P2113">
        <v>-0.310904816786712</v>
      </c>
      <c r="Q2113">
        <v>4.8698965936629299E-2</v>
      </c>
      <c r="R2113">
        <v>0.96861185429694796</v>
      </c>
      <c r="S2113" t="s">
        <v>8919</v>
      </c>
      <c r="T2113" t="s">
        <v>13610</v>
      </c>
      <c r="U2113" t="s">
        <v>13610</v>
      </c>
      <c r="V2113" t="s">
        <v>13610</v>
      </c>
      <c r="W2113" t="s">
        <v>15674</v>
      </c>
      <c r="X2113">
        <v>9</v>
      </c>
      <c r="Y2113" t="s">
        <v>22351</v>
      </c>
      <c r="Z2113" t="s">
        <v>28968</v>
      </c>
      <c r="AA2113">
        <v>0.43113548370282478</v>
      </c>
      <c r="AB2113" t="str">
        <f>HYPERLINK("Melting_Curves/meltCurve_P21796_VDAC1.pdf", "Melting_Curves/meltCurve_P21796_VDAC1.pdf")</f>
        <v>Melting_Curves/meltCurve_P21796_VDAC1.pdf</v>
      </c>
    </row>
    <row r="2114" spans="1:28" x14ac:dyDescent="0.25">
      <c r="A2114" t="s">
        <v>2118</v>
      </c>
      <c r="B2114">
        <v>0.995954080203443</v>
      </c>
      <c r="C2114">
        <v>0.81194059045774503</v>
      </c>
      <c r="D2114">
        <v>0.61958161858973304</v>
      </c>
      <c r="E2114">
        <v>0.685494095672737</v>
      </c>
      <c r="F2114">
        <v>0.41240462658914301</v>
      </c>
      <c r="G2114">
        <v>0.24001982775885</v>
      </c>
      <c r="H2114">
        <v>0.14161862316457399</v>
      </c>
      <c r="I2114">
        <v>0.11026909169940199</v>
      </c>
      <c r="J2114">
        <v>0.119798566130368</v>
      </c>
      <c r="K2114">
        <v>0.10725910569472701</v>
      </c>
      <c r="L2114">
        <v>468.66637818944298</v>
      </c>
      <c r="M2114">
        <v>9.1877959644710501</v>
      </c>
      <c r="N2114">
        <v>51.009647774254503</v>
      </c>
      <c r="O2114">
        <v>48.7676450900872</v>
      </c>
      <c r="P2114">
        <v>-4.7131485257085798E-2</v>
      </c>
      <c r="Q2114">
        <v>0</v>
      </c>
      <c r="R2114">
        <v>0.95655773976305702</v>
      </c>
      <c r="S2114" t="s">
        <v>8920</v>
      </c>
      <c r="T2114" t="s">
        <v>13610</v>
      </c>
      <c r="U2114" t="s">
        <v>13610</v>
      </c>
      <c r="V2114" t="s">
        <v>13610</v>
      </c>
      <c r="W2114" t="s">
        <v>15675</v>
      </c>
      <c r="X2114">
        <v>4</v>
      </c>
      <c r="Y2114" t="s">
        <v>22352</v>
      </c>
      <c r="Z2114" t="s">
        <v>28969</v>
      </c>
      <c r="AA2114">
        <v>0.41295026114466238</v>
      </c>
      <c r="AB2114" t="str">
        <f>HYPERLINK("Melting_Curves/meltCurve_P21912_SDHB.pdf", "Melting_Curves/meltCurve_P21912_SDHB.pdf")</f>
        <v>Melting_Curves/meltCurve_P21912_SDHB.pdf</v>
      </c>
    </row>
    <row r="2115" spans="1:28" x14ac:dyDescent="0.25">
      <c r="A2115" t="s">
        <v>2119</v>
      </c>
      <c r="B2115">
        <v>0.995954080203443</v>
      </c>
      <c r="C2115">
        <v>0.75791480361493802</v>
      </c>
      <c r="D2115">
        <v>0.89312903754904505</v>
      </c>
      <c r="E2115">
        <v>0.43917316429935599</v>
      </c>
      <c r="F2115">
        <v>0.19186788610144301</v>
      </c>
      <c r="G2115">
        <v>9.9031942498511397E-2</v>
      </c>
      <c r="H2115">
        <v>6.47134778767854E-2</v>
      </c>
      <c r="I2115">
        <v>5.4349500569213803E-2</v>
      </c>
      <c r="J2115">
        <v>6.2548246306373095E-2</v>
      </c>
      <c r="K2115">
        <v>5.2498491381442802E-2</v>
      </c>
      <c r="L2115">
        <v>973.05367583001896</v>
      </c>
      <c r="M2115">
        <v>19.809655104416901</v>
      </c>
      <c r="N2115">
        <v>49.3493092348264</v>
      </c>
      <c r="O2115">
        <v>48.627833657815799</v>
      </c>
      <c r="P2115">
        <v>-9.7371706815220699E-2</v>
      </c>
      <c r="Q2115">
        <v>4.3938000823957699E-2</v>
      </c>
      <c r="R2115">
        <v>0.96487900074677702</v>
      </c>
      <c r="S2115" t="s">
        <v>8921</v>
      </c>
      <c r="T2115" t="s">
        <v>13610</v>
      </c>
      <c r="U2115" t="s">
        <v>13610</v>
      </c>
      <c r="V2115" t="s">
        <v>13610</v>
      </c>
      <c r="W2115" t="s">
        <v>15676</v>
      </c>
      <c r="X2115">
        <v>18</v>
      </c>
      <c r="Y2115" t="s">
        <v>22353</v>
      </c>
      <c r="Z2115" t="s">
        <v>28970</v>
      </c>
      <c r="AA2115">
        <v>0.34822542486821689</v>
      </c>
      <c r="AB2115" t="str">
        <f>HYPERLINK("Melting_Curves/meltCurve_P21964_2_COMT.pdf", "Melting_Curves/meltCurve_P21964_2_COMT.pdf")</f>
        <v>Melting_Curves/meltCurve_P21964_2_COMT.pdf</v>
      </c>
    </row>
    <row r="2116" spans="1:28" x14ac:dyDescent="0.25">
      <c r="A2116" t="s">
        <v>2120</v>
      </c>
      <c r="B2116">
        <v>0.995954080203443</v>
      </c>
      <c r="C2116">
        <v>1.0533472476863299</v>
      </c>
      <c r="D2116">
        <v>0.957146446873398</v>
      </c>
      <c r="E2116">
        <v>0.71587847787483605</v>
      </c>
      <c r="F2116">
        <v>0.29888085941631298</v>
      </c>
      <c r="G2116">
        <v>0.132047129449574</v>
      </c>
      <c r="H2116">
        <v>8.1345348758389197E-2</v>
      </c>
      <c r="I2116">
        <v>6.5382380180348795E-2</v>
      </c>
      <c r="J2116">
        <v>7.3428153307792607E-2</v>
      </c>
      <c r="K2116">
        <v>6.5810593286125804E-2</v>
      </c>
      <c r="L2116">
        <v>1628.47286784332</v>
      </c>
      <c r="M2116">
        <v>31.7937104066785</v>
      </c>
      <c r="N2116">
        <v>51.477196863553303</v>
      </c>
      <c r="O2116">
        <v>51.018613877611799</v>
      </c>
      <c r="P2116">
        <v>-0.14435280257271699</v>
      </c>
      <c r="Q2116">
        <v>7.3446715496399098E-2</v>
      </c>
      <c r="R2116">
        <v>0.99744821057178901</v>
      </c>
      <c r="S2116" t="s">
        <v>8922</v>
      </c>
      <c r="T2116" t="s">
        <v>13610</v>
      </c>
      <c r="U2116" t="s">
        <v>13610</v>
      </c>
      <c r="V2116" t="s">
        <v>13610</v>
      </c>
      <c r="W2116" t="s">
        <v>15677</v>
      </c>
      <c r="X2116">
        <v>31</v>
      </c>
      <c r="Y2116" t="s">
        <v>22354</v>
      </c>
      <c r="Z2116" t="s">
        <v>28971</v>
      </c>
      <c r="AA2116">
        <v>0.42518162247018759</v>
      </c>
      <c r="AB2116" t="str">
        <f>HYPERLINK("Melting_Curves/meltCurve_P21980_TGM2.pdf", "Melting_Curves/meltCurve_P21980_TGM2.pdf")</f>
        <v>Melting_Curves/meltCurve_P21980_TGM2.pdf</v>
      </c>
    </row>
    <row r="2117" spans="1:28" x14ac:dyDescent="0.25">
      <c r="A2117" t="s">
        <v>2121</v>
      </c>
      <c r="B2117">
        <v>0.995954080203443</v>
      </c>
      <c r="C2117">
        <v>0.98572185919622501</v>
      </c>
      <c r="D2117">
        <v>0.94441725276181898</v>
      </c>
      <c r="E2117">
        <v>0.778581283491528</v>
      </c>
      <c r="F2117">
        <v>0.34365311794519199</v>
      </c>
      <c r="G2117">
        <v>0.163867693714917</v>
      </c>
      <c r="H2117">
        <v>0.10201638316631199</v>
      </c>
      <c r="I2117">
        <v>8.1323571936176703E-2</v>
      </c>
      <c r="J2117">
        <v>0.102078073322939</v>
      </c>
      <c r="K2117">
        <v>8.4867126733959894E-2</v>
      </c>
      <c r="L2117">
        <v>1682.52373690491</v>
      </c>
      <c r="M2117">
        <v>32.621099961048103</v>
      </c>
      <c r="N2117">
        <v>51.914692461544298</v>
      </c>
      <c r="O2117">
        <v>51.3851100150112</v>
      </c>
      <c r="P2117">
        <v>-0.143568987449814</v>
      </c>
      <c r="Q2117">
        <v>9.5398635237868706E-2</v>
      </c>
      <c r="R2117">
        <v>0.99769968394173403</v>
      </c>
      <c r="S2117" t="s">
        <v>8923</v>
      </c>
      <c r="T2117" t="s">
        <v>13610</v>
      </c>
      <c r="U2117" t="s">
        <v>13610</v>
      </c>
      <c r="V2117" t="s">
        <v>13610</v>
      </c>
      <c r="W2117" t="s">
        <v>15678</v>
      </c>
      <c r="X2117">
        <v>20</v>
      </c>
      <c r="Y2117" t="s">
        <v>22355</v>
      </c>
      <c r="Z2117" t="s">
        <v>28972</v>
      </c>
      <c r="AA2117">
        <v>0.44936438832234582</v>
      </c>
      <c r="AB2117" t="str">
        <f>HYPERLINK("Melting_Curves/meltCurve_P22033_MUT.pdf", "Melting_Curves/meltCurve_P22033_MUT.pdf")</f>
        <v>Melting_Curves/meltCurve_P22033_MUT.pdf</v>
      </c>
    </row>
    <row r="2118" spans="1:28" x14ac:dyDescent="0.25">
      <c r="A2118" t="s">
        <v>2122</v>
      </c>
      <c r="B2118">
        <v>0.995954080203443</v>
      </c>
      <c r="C2118">
        <v>0.894306198618259</v>
      </c>
      <c r="D2118">
        <v>0.870918910344334</v>
      </c>
      <c r="E2118">
        <v>0.79774329364186003</v>
      </c>
      <c r="F2118">
        <v>0.55830008072489201</v>
      </c>
      <c r="G2118">
        <v>0.29381433148389402</v>
      </c>
      <c r="H2118">
        <v>0.102745593298694</v>
      </c>
      <c r="I2118">
        <v>7.8995081484378601E-2</v>
      </c>
      <c r="J2118">
        <v>8.3037744180968501E-2</v>
      </c>
      <c r="K2118">
        <v>7.7281252538659501E-2</v>
      </c>
      <c r="L2118">
        <v>839.90939925796397</v>
      </c>
      <c r="M2118">
        <v>15.701746500807101</v>
      </c>
      <c r="N2118">
        <v>53.6698540219394</v>
      </c>
      <c r="O2118">
        <v>52.646365454289104</v>
      </c>
      <c r="P2118">
        <v>-7.2672749917404703E-2</v>
      </c>
      <c r="Q2118">
        <v>2.54248244119165E-2</v>
      </c>
      <c r="R2118">
        <v>0.98805759100957702</v>
      </c>
      <c r="S2118" t="s">
        <v>8924</v>
      </c>
      <c r="T2118" t="s">
        <v>13610</v>
      </c>
      <c r="U2118" t="s">
        <v>13610</v>
      </c>
      <c r="V2118" t="s">
        <v>13610</v>
      </c>
      <c r="W2118" t="s">
        <v>15679</v>
      </c>
      <c r="X2118">
        <v>35</v>
      </c>
      <c r="Y2118" t="s">
        <v>22356</v>
      </c>
      <c r="Z2118" t="s">
        <v>28973</v>
      </c>
      <c r="AA2118">
        <v>0.48299541432872389</v>
      </c>
      <c r="AB2118" t="str">
        <f>HYPERLINK("Melting_Curves/meltCurve_P22059_OSBP.pdf", "Melting_Curves/meltCurve_P22059_OSBP.pdf")</f>
        <v>Melting_Curves/meltCurve_P22059_OSBP.pdf</v>
      </c>
    </row>
    <row r="2119" spans="1:28" x14ac:dyDescent="0.25">
      <c r="A2119" t="s">
        <v>2123</v>
      </c>
      <c r="B2119">
        <v>0.995954080203443</v>
      </c>
      <c r="C2119">
        <v>1.06240148757566</v>
      </c>
      <c r="D2119">
        <v>1.1025085722139301</v>
      </c>
      <c r="E2119">
        <v>0.914716755426212</v>
      </c>
      <c r="F2119">
        <v>0.50225634899748095</v>
      </c>
      <c r="G2119">
        <v>0.10816525179332299</v>
      </c>
      <c r="H2119">
        <v>6.8976235141046699E-2</v>
      </c>
      <c r="I2119">
        <v>5.8118352677261099E-2</v>
      </c>
      <c r="J2119">
        <v>6.46644733966278E-2</v>
      </c>
      <c r="K2119">
        <v>6.5444401334109004E-2</v>
      </c>
      <c r="L2119">
        <v>2209.8450164317101</v>
      </c>
      <c r="M2119">
        <v>41.823934989681497</v>
      </c>
      <c r="N2119">
        <v>53.009772267915103</v>
      </c>
      <c r="O2119">
        <v>52.716463124134798</v>
      </c>
      <c r="P2119">
        <v>-0.185695606451238</v>
      </c>
      <c r="Q2119">
        <v>6.3770248871705196E-2</v>
      </c>
      <c r="R2119">
        <v>0.99259035720920996</v>
      </c>
      <c r="S2119" t="s">
        <v>8925</v>
      </c>
      <c r="T2119" t="s">
        <v>13610</v>
      </c>
      <c r="U2119" t="s">
        <v>13610</v>
      </c>
      <c r="V2119" t="s">
        <v>13610</v>
      </c>
      <c r="W2119" t="s">
        <v>15680</v>
      </c>
      <c r="X2119">
        <v>16</v>
      </c>
      <c r="Y2119" t="s">
        <v>22357</v>
      </c>
      <c r="Z2119" t="s">
        <v>28974</v>
      </c>
      <c r="AA2119">
        <v>0.46750185945350192</v>
      </c>
      <c r="AB2119" t="str">
        <f>HYPERLINK("Melting_Curves/meltCurve_P22061_2_PCMT1.pdf", "Melting_Curves/meltCurve_P22061_2_PCMT1.pdf")</f>
        <v>Melting_Curves/meltCurve_P22061_2_PCMT1.pdf</v>
      </c>
    </row>
    <row r="2120" spans="1:28" x14ac:dyDescent="0.25">
      <c r="A2120" t="s">
        <v>2124</v>
      </c>
      <c r="B2120">
        <v>0.995954080203443</v>
      </c>
      <c r="C2120">
        <v>0.92494833060178006</v>
      </c>
      <c r="D2120">
        <v>0.83233160622789903</v>
      </c>
      <c r="E2120">
        <v>0.39492478853563501</v>
      </c>
      <c r="F2120">
        <v>0.14695494518084601</v>
      </c>
      <c r="G2120">
        <v>8.3518550089761695E-2</v>
      </c>
      <c r="H2120">
        <v>5.6255140996625597E-2</v>
      </c>
      <c r="I2120">
        <v>4.8297486938125703E-2</v>
      </c>
      <c r="J2120">
        <v>5.1439784551543098E-2</v>
      </c>
      <c r="K2120">
        <v>4.7918056332791198E-2</v>
      </c>
      <c r="L2120">
        <v>1185.3232728708699</v>
      </c>
      <c r="M2120">
        <v>24.296502341294602</v>
      </c>
      <c r="N2120">
        <v>48.9846076163129</v>
      </c>
      <c r="O2120">
        <v>48.458891946942799</v>
      </c>
      <c r="P2120">
        <v>-0.119461416398531</v>
      </c>
      <c r="Q2120">
        <v>4.6961057087773303E-2</v>
      </c>
      <c r="R2120">
        <v>0.99829790464170298</v>
      </c>
      <c r="S2120" t="s">
        <v>8926</v>
      </c>
      <c r="T2120" t="s">
        <v>13610</v>
      </c>
      <c r="U2120" t="s">
        <v>13610</v>
      </c>
      <c r="V2120" t="s">
        <v>13610</v>
      </c>
      <c r="W2120" t="s">
        <v>15681</v>
      </c>
      <c r="X2120">
        <v>50</v>
      </c>
      <c r="Y2120" t="s">
        <v>22358</v>
      </c>
      <c r="Z2120" t="s">
        <v>28975</v>
      </c>
      <c r="AA2120">
        <v>0.33501576277682121</v>
      </c>
      <c r="AB2120" t="str">
        <f>HYPERLINK("Melting_Curves/meltCurve_P22102_GART.pdf", "Melting_Curves/meltCurve_P22102_GART.pdf")</f>
        <v>Melting_Curves/meltCurve_P22102_GART.pdf</v>
      </c>
    </row>
    <row r="2121" spans="1:28" x14ac:dyDescent="0.25">
      <c r="A2121" t="s">
        <v>2125</v>
      </c>
      <c r="B2121">
        <v>0.995954080203443</v>
      </c>
      <c r="C2121">
        <v>0.814458871343688</v>
      </c>
      <c r="D2121">
        <v>0.65216961834403098</v>
      </c>
      <c r="E2121">
        <v>0.87439190940818201</v>
      </c>
      <c r="F2121">
        <v>0.65483374704959296</v>
      </c>
      <c r="G2121">
        <v>0.555815154018519</v>
      </c>
      <c r="H2121">
        <v>0.302968312131557</v>
      </c>
      <c r="I2121">
        <v>0.26507679501028802</v>
      </c>
      <c r="J2121">
        <v>0.14707004202172699</v>
      </c>
      <c r="K2121">
        <v>0.20071532781211099</v>
      </c>
      <c r="L2121">
        <v>427.999327108101</v>
      </c>
      <c r="M2121">
        <v>7.6050830638502003</v>
      </c>
      <c r="N2121">
        <v>56.278060805064698</v>
      </c>
      <c r="O2121">
        <v>52.782343680074597</v>
      </c>
      <c r="P2121">
        <v>-3.6070158106604203E-2</v>
      </c>
      <c r="Q2121">
        <v>0</v>
      </c>
      <c r="R2121">
        <v>0.89014931185523105</v>
      </c>
      <c r="S2121" t="s">
        <v>8927</v>
      </c>
      <c r="T2121" t="s">
        <v>13610</v>
      </c>
      <c r="U2121" t="s">
        <v>13610</v>
      </c>
      <c r="V2121" t="s">
        <v>13610</v>
      </c>
      <c r="W2121" t="s">
        <v>15682</v>
      </c>
      <c r="X2121">
        <v>28</v>
      </c>
      <c r="Y2121" t="s">
        <v>22359</v>
      </c>
      <c r="Z2121" t="s">
        <v>28976</v>
      </c>
      <c r="AA2121">
        <v>0.55949654746070321</v>
      </c>
      <c r="AB2121" t="str">
        <f>HYPERLINK("Melting_Curves/meltCurve_P22234_PAICS.pdf", "Melting_Curves/meltCurve_P22234_PAICS.pdf")</f>
        <v>Melting_Curves/meltCurve_P22234_PAICS.pdf</v>
      </c>
    </row>
    <row r="2122" spans="1:28" x14ac:dyDescent="0.25">
      <c r="A2122" t="s">
        <v>2126</v>
      </c>
      <c r="B2122">
        <v>0.995954080203443</v>
      </c>
      <c r="C2122">
        <v>1.0169387761809301</v>
      </c>
      <c r="D2122">
        <v>0.89766605293081203</v>
      </c>
      <c r="E2122">
        <v>0.85509255206373902</v>
      </c>
      <c r="F2122">
        <v>0.70975247843443701</v>
      </c>
      <c r="G2122">
        <v>0.505653237947297</v>
      </c>
      <c r="H2122">
        <v>0.35804363130796202</v>
      </c>
      <c r="I2122">
        <v>0.34999722731188199</v>
      </c>
      <c r="J2122">
        <v>0.330696074073483</v>
      </c>
      <c r="K2122">
        <v>0.29070503923199098</v>
      </c>
      <c r="L2122">
        <v>821.99265245203901</v>
      </c>
      <c r="M2122">
        <v>15.1728813388718</v>
      </c>
      <c r="N2122">
        <v>57.181653459855397</v>
      </c>
      <c r="O2122">
        <v>53.260186231229902</v>
      </c>
      <c r="P2122">
        <v>-5.1651704208608103E-2</v>
      </c>
      <c r="Q2122">
        <v>0.27483388952677101</v>
      </c>
      <c r="R2122">
        <v>0.99261610959700197</v>
      </c>
      <c r="S2122" t="s">
        <v>8928</v>
      </c>
      <c r="T2122" t="s">
        <v>13610</v>
      </c>
      <c r="U2122" t="s">
        <v>13610</v>
      </c>
      <c r="V2122" t="s">
        <v>13610</v>
      </c>
      <c r="W2122" t="s">
        <v>15683</v>
      </c>
      <c r="X2122">
        <v>6</v>
      </c>
      <c r="Y2122" t="s">
        <v>22360</v>
      </c>
      <c r="Z2122" t="s">
        <v>28977</v>
      </c>
      <c r="AA2122">
        <v>0.63200883969275645</v>
      </c>
      <c r="AB2122" t="str">
        <f>HYPERLINK("Melting_Curves/meltCurve_P22307_6_SCP2.pdf", "Melting_Curves/meltCurve_P22307_6_SCP2.pdf")</f>
        <v>Melting_Curves/meltCurve_P22307_6_SCP2.pdf</v>
      </c>
    </row>
    <row r="2123" spans="1:28" x14ac:dyDescent="0.25">
      <c r="A2123" t="s">
        <v>2127</v>
      </c>
      <c r="B2123">
        <v>0.995954080203443</v>
      </c>
      <c r="C2123">
        <v>1.02617259236775</v>
      </c>
      <c r="D2123">
        <v>0.75759045076415599</v>
      </c>
      <c r="E2123">
        <v>0.33267449789540798</v>
      </c>
      <c r="F2123">
        <v>0.13936542829493501</v>
      </c>
      <c r="G2123">
        <v>7.0886190907755095E-2</v>
      </c>
      <c r="H2123">
        <v>4.8863631308991497E-2</v>
      </c>
      <c r="I2123">
        <v>4.3226902827740103E-2</v>
      </c>
      <c r="J2123">
        <v>4.6253595419820603E-2</v>
      </c>
      <c r="K2123">
        <v>4.06025072549802E-2</v>
      </c>
      <c r="L2123">
        <v>1215.7663008336999</v>
      </c>
      <c r="M2123">
        <v>25.1986747175131</v>
      </c>
      <c r="N2123">
        <v>48.430843444961504</v>
      </c>
      <c r="O2123">
        <v>47.946452367887403</v>
      </c>
      <c r="P2123">
        <v>-0.12540571245829399</v>
      </c>
      <c r="Q2123">
        <v>4.5556048339970401E-2</v>
      </c>
      <c r="R2123">
        <v>0.99661764398119301</v>
      </c>
      <c r="S2123" t="s">
        <v>8929</v>
      </c>
      <c r="T2123" t="s">
        <v>13610</v>
      </c>
      <c r="U2123" t="s">
        <v>13610</v>
      </c>
      <c r="V2123" t="s">
        <v>13610</v>
      </c>
      <c r="W2123" t="s">
        <v>15684</v>
      </c>
      <c r="X2123">
        <v>46</v>
      </c>
      <c r="Y2123" t="s">
        <v>22361</v>
      </c>
      <c r="Z2123" t="s">
        <v>28978</v>
      </c>
      <c r="AA2123">
        <v>0.31623471994087388</v>
      </c>
      <c r="AB2123" t="str">
        <f>HYPERLINK("Melting_Curves/meltCurve_P22314_UBA1.pdf", "Melting_Curves/meltCurve_P22314_UBA1.pdf")</f>
        <v>Melting_Curves/meltCurve_P22314_UBA1.pdf</v>
      </c>
    </row>
    <row r="2124" spans="1:28" x14ac:dyDescent="0.25">
      <c r="A2124" t="s">
        <v>2128</v>
      </c>
      <c r="B2124">
        <v>0.995954080203443</v>
      </c>
      <c r="C2124">
        <v>0.989717552611587</v>
      </c>
      <c r="D2124">
        <v>0.99525234495775605</v>
      </c>
      <c r="E2124">
        <v>0.90846097142984195</v>
      </c>
      <c r="F2124">
        <v>0.83461241619877602</v>
      </c>
      <c r="G2124">
        <v>0.67803361465143797</v>
      </c>
      <c r="H2124">
        <v>0.41472854047417301</v>
      </c>
      <c r="I2124">
        <v>0.17094528441718701</v>
      </c>
      <c r="J2124">
        <v>7.1430727830157303E-2</v>
      </c>
      <c r="K2124">
        <v>6.1795029060677797E-2</v>
      </c>
      <c r="L2124">
        <v>1017.85540926353</v>
      </c>
      <c r="M2124">
        <v>17.2343446813057</v>
      </c>
      <c r="N2124">
        <v>59.059711121389199</v>
      </c>
      <c r="O2124">
        <v>58.281756832420797</v>
      </c>
      <c r="P2124">
        <v>-7.3931169959412693E-2</v>
      </c>
      <c r="Q2124">
        <v>0</v>
      </c>
      <c r="R2124">
        <v>0.99231462470465504</v>
      </c>
      <c r="S2124" t="s">
        <v>8930</v>
      </c>
      <c r="T2124" t="s">
        <v>13610</v>
      </c>
      <c r="U2124" t="s">
        <v>13610</v>
      </c>
      <c r="V2124" t="s">
        <v>13610</v>
      </c>
      <c r="W2124" t="s">
        <v>15685</v>
      </c>
      <c r="X2124">
        <v>21</v>
      </c>
      <c r="Y2124" t="s">
        <v>20964</v>
      </c>
      <c r="Z2124" t="s">
        <v>28979</v>
      </c>
      <c r="AA2124">
        <v>0.64587776651864415</v>
      </c>
      <c r="AB2124" t="str">
        <f>HYPERLINK("Melting_Curves/meltCurve_P22392_2_NME2.pdf", "Melting_Curves/meltCurve_P22392_2_NME2.pdf")</f>
        <v>Melting_Curves/meltCurve_P22392_2_NME2.pdf</v>
      </c>
    </row>
    <row r="2125" spans="1:28" x14ac:dyDescent="0.25">
      <c r="A2125" t="s">
        <v>2129</v>
      </c>
      <c r="B2125">
        <v>0.995954080203443</v>
      </c>
      <c r="C2125">
        <v>0.98163846841409397</v>
      </c>
      <c r="D2125">
        <v>1.1199999956444799</v>
      </c>
      <c r="E2125">
        <v>0.96104215664719805</v>
      </c>
      <c r="F2125">
        <v>1.1148137731362899</v>
      </c>
      <c r="G2125">
        <v>0.84388146236407002</v>
      </c>
      <c r="H2125">
        <v>0.82862746559746203</v>
      </c>
      <c r="I2125">
        <v>0.97208764018189497</v>
      </c>
      <c r="J2125">
        <v>1.2688682608091699</v>
      </c>
      <c r="K2125">
        <v>1.16326183624701</v>
      </c>
      <c r="L2125">
        <v>15000</v>
      </c>
      <c r="M2125">
        <v>229.428856452042</v>
      </c>
      <c r="O2125">
        <v>65.374780506870707</v>
      </c>
      <c r="P2125">
        <v>0.189752602859419</v>
      </c>
      <c r="Q2125">
        <v>1.2162767878745</v>
      </c>
      <c r="R2125">
        <v>0.49209154635651398</v>
      </c>
      <c r="S2125" t="s">
        <v>8931</v>
      </c>
      <c r="T2125" t="s">
        <v>13610</v>
      </c>
      <c r="U2125" t="s">
        <v>13610</v>
      </c>
      <c r="V2125" t="s">
        <v>13610</v>
      </c>
      <c r="W2125" t="s">
        <v>15686</v>
      </c>
      <c r="X2125">
        <v>5</v>
      </c>
      <c r="Y2125" t="s">
        <v>22362</v>
      </c>
      <c r="Z2125" t="s">
        <v>28980</v>
      </c>
      <c r="AA2125">
        <v>1.033279001929992</v>
      </c>
      <c r="AB2125" t="str">
        <f>HYPERLINK("Melting_Curves/meltCurve_P22532_SPRR2D.pdf", "Melting_Curves/meltCurve_P22532_SPRR2D.pdf")</f>
        <v>Melting_Curves/meltCurve_P22532_SPRR2D.pdf</v>
      </c>
    </row>
    <row r="2126" spans="1:28" x14ac:dyDescent="0.25">
      <c r="A2126" t="s">
        <v>2130</v>
      </c>
      <c r="B2126">
        <v>0.995954080203443</v>
      </c>
      <c r="C2126">
        <v>0.87422643627866103</v>
      </c>
      <c r="D2126">
        <v>0.43407246423095203</v>
      </c>
      <c r="E2126">
        <v>0.23332287616005201</v>
      </c>
      <c r="F2126">
        <v>0.124982186353967</v>
      </c>
      <c r="G2126">
        <v>7.6470944752067893E-2</v>
      </c>
      <c r="H2126">
        <v>5.1664317690598198E-2</v>
      </c>
      <c r="I2126">
        <v>5.1922000073319499E-2</v>
      </c>
      <c r="J2126">
        <v>5.5151427947588497E-2</v>
      </c>
      <c r="K2126">
        <v>5.2516385338341298E-2</v>
      </c>
      <c r="L2126">
        <v>1079.05712280426</v>
      </c>
      <c r="M2126">
        <v>23.637609908362599</v>
      </c>
      <c r="N2126">
        <v>45.925874992132798</v>
      </c>
      <c r="O2126">
        <v>45.3270429437557</v>
      </c>
      <c r="P2126">
        <v>-0.121746148703808</v>
      </c>
      <c r="Q2126">
        <v>6.6182950347467795E-2</v>
      </c>
      <c r="R2126">
        <v>0.99046540109133496</v>
      </c>
      <c r="S2126" t="s">
        <v>8932</v>
      </c>
      <c r="T2126" t="s">
        <v>13610</v>
      </c>
      <c r="U2126" t="s">
        <v>13610</v>
      </c>
      <c r="V2126" t="s">
        <v>13610</v>
      </c>
      <c r="W2126" t="s">
        <v>14583</v>
      </c>
      <c r="X2126">
        <v>22</v>
      </c>
      <c r="Y2126" t="s">
        <v>21297</v>
      </c>
      <c r="Z2126" t="s">
        <v>28981</v>
      </c>
      <c r="AA2126">
        <v>0.25209501722298949</v>
      </c>
      <c r="AB2126" t="str">
        <f>HYPERLINK("Melting_Curves/meltCurve_P22570_FDXR.pdf", "Melting_Curves/meltCurve_P22570_FDXR.pdf")</f>
        <v>Melting_Curves/meltCurve_P22570_FDXR.pdf</v>
      </c>
    </row>
    <row r="2127" spans="1:28" x14ac:dyDescent="0.25">
      <c r="A2127" t="s">
        <v>2131</v>
      </c>
      <c r="B2127">
        <v>0.995954080203443</v>
      </c>
      <c r="C2127">
        <v>0.97834438416640002</v>
      </c>
      <c r="D2127">
        <v>0.94354408290467795</v>
      </c>
      <c r="E2127">
        <v>0.80851938012328795</v>
      </c>
      <c r="F2127">
        <v>0.50246641306712203</v>
      </c>
      <c r="G2127">
        <v>0.233878318753479</v>
      </c>
      <c r="H2127">
        <v>0.13647893157346799</v>
      </c>
      <c r="I2127">
        <v>0.13973452312065801</v>
      </c>
      <c r="J2127">
        <v>0.153706304833824</v>
      </c>
      <c r="K2127">
        <v>0.17516600298933299</v>
      </c>
      <c r="L2127">
        <v>1364.04329536362</v>
      </c>
      <c r="M2127">
        <v>26.0757096948666</v>
      </c>
      <c r="N2127">
        <v>53.001415680450201</v>
      </c>
      <c r="O2127">
        <v>52.0061263119823</v>
      </c>
      <c r="P2127">
        <v>-0.10729775248120101</v>
      </c>
      <c r="Q2127">
        <v>0.14401916800467601</v>
      </c>
      <c r="R2127">
        <v>0.99745682830133597</v>
      </c>
      <c r="S2127" t="s">
        <v>8933</v>
      </c>
      <c r="T2127" t="s">
        <v>13610</v>
      </c>
      <c r="U2127" t="s">
        <v>13610</v>
      </c>
      <c r="V2127" t="s">
        <v>13610</v>
      </c>
      <c r="W2127" t="s">
        <v>15687</v>
      </c>
      <c r="X2127">
        <v>25</v>
      </c>
      <c r="Y2127" t="s">
        <v>22363</v>
      </c>
      <c r="Z2127" t="s">
        <v>28982</v>
      </c>
      <c r="AA2127">
        <v>0.50250980193257377</v>
      </c>
      <c r="AB2127" t="str">
        <f>HYPERLINK("Melting_Curves/meltCurve_P22626_HNRNPA2B1.pdf", "Melting_Curves/meltCurve_P22626_HNRNPA2B1.pdf")</f>
        <v>Melting_Curves/meltCurve_P22626_HNRNPA2B1.pdf</v>
      </c>
    </row>
    <row r="2128" spans="1:28" x14ac:dyDescent="0.25">
      <c r="A2128" t="s">
        <v>2132</v>
      </c>
      <c r="B2128">
        <v>0.995954080203443</v>
      </c>
      <c r="C2128">
        <v>0.975775698221514</v>
      </c>
      <c r="D2128">
        <v>0.87708498289006398</v>
      </c>
      <c r="E2128">
        <v>0.80752471199424503</v>
      </c>
      <c r="F2128">
        <v>0.57826639046924599</v>
      </c>
      <c r="G2128">
        <v>0.321453490870863</v>
      </c>
      <c r="H2128">
        <v>0.14516275701600501</v>
      </c>
      <c r="I2128">
        <v>8.7195610236774496E-2</v>
      </c>
      <c r="J2128">
        <v>9.3360266271324002E-2</v>
      </c>
      <c r="K2128">
        <v>8.7538637778327794E-2</v>
      </c>
      <c r="L2128">
        <v>862.90924140175696</v>
      </c>
      <c r="M2128">
        <v>16.0551308273884</v>
      </c>
      <c r="N2128">
        <v>54.049063855023903</v>
      </c>
      <c r="O2128">
        <v>52.933548251005099</v>
      </c>
      <c r="P2128">
        <v>-7.2575055778890896E-2</v>
      </c>
      <c r="Q2128">
        <v>4.2958163273634303E-2</v>
      </c>
      <c r="R2128">
        <v>0.99527664242194103</v>
      </c>
      <c r="S2128" t="s">
        <v>8934</v>
      </c>
      <c r="T2128" t="s">
        <v>13610</v>
      </c>
      <c r="U2128" t="s">
        <v>13610</v>
      </c>
      <c r="V2128" t="s">
        <v>13610</v>
      </c>
      <c r="W2128" t="s">
        <v>15688</v>
      </c>
      <c r="X2128">
        <v>9</v>
      </c>
      <c r="Y2128" t="s">
        <v>22364</v>
      </c>
      <c r="Z2128" t="s">
        <v>28983</v>
      </c>
      <c r="AA2128">
        <v>0.49967782987870479</v>
      </c>
      <c r="AB2128" t="str">
        <f>HYPERLINK("Melting_Curves/meltCurve_P22670_RFX1.pdf", "Melting_Curves/meltCurve_P22670_RFX1.pdf")</f>
        <v>Melting_Curves/meltCurve_P22670_RFX1.pdf</v>
      </c>
    </row>
    <row r="2129" spans="1:28" x14ac:dyDescent="0.25">
      <c r="A2129" t="s">
        <v>2133</v>
      </c>
      <c r="B2129">
        <v>0.995954080203443</v>
      </c>
      <c r="C2129">
        <v>0.98171423693042204</v>
      </c>
      <c r="D2129">
        <v>0.97700087501450805</v>
      </c>
      <c r="E2129">
        <v>0.87438879013485904</v>
      </c>
      <c r="F2129">
        <v>0.77008442859925297</v>
      </c>
      <c r="G2129">
        <v>0.483498312314323</v>
      </c>
      <c r="H2129">
        <v>0.27796022501877998</v>
      </c>
      <c r="I2129">
        <v>0.26972121476497501</v>
      </c>
      <c r="J2129">
        <v>0.30985701839713697</v>
      </c>
      <c r="K2129">
        <v>0.29072723386972499</v>
      </c>
      <c r="L2129">
        <v>1217.66160327639</v>
      </c>
      <c r="M2129">
        <v>22.330677333602001</v>
      </c>
      <c r="N2129">
        <v>56.441888820767701</v>
      </c>
      <c r="O2129">
        <v>54.097003810975004</v>
      </c>
      <c r="P2129">
        <v>-7.5804842294584299E-2</v>
      </c>
      <c r="Q2129">
        <v>0.26545380782359401</v>
      </c>
      <c r="R2129">
        <v>0.99232693010974304</v>
      </c>
      <c r="S2129" t="s">
        <v>8935</v>
      </c>
      <c r="T2129" t="s">
        <v>13610</v>
      </c>
      <c r="U2129" t="s">
        <v>13610</v>
      </c>
      <c r="V2129" t="s">
        <v>13610</v>
      </c>
      <c r="W2129" t="s">
        <v>15689</v>
      </c>
      <c r="X2129">
        <v>27</v>
      </c>
      <c r="Y2129" t="s">
        <v>22365</v>
      </c>
      <c r="Z2129" t="s">
        <v>28984</v>
      </c>
      <c r="AA2129">
        <v>0.62945927368040511</v>
      </c>
      <c r="AB2129" t="str">
        <f>HYPERLINK("Melting_Curves/meltCurve_P22681_CBL.pdf", "Melting_Curves/meltCurve_P22681_CBL.pdf")</f>
        <v>Melting_Curves/meltCurve_P22681_CBL.pdf</v>
      </c>
    </row>
    <row r="2130" spans="1:28" x14ac:dyDescent="0.25">
      <c r="A2130" t="s">
        <v>2134</v>
      </c>
      <c r="B2130">
        <v>0.995954080203443</v>
      </c>
      <c r="C2130">
        <v>0.97039217852453197</v>
      </c>
      <c r="D2130">
        <v>0.86580963214807805</v>
      </c>
      <c r="E2130">
        <v>0.54834555909274896</v>
      </c>
      <c r="F2130">
        <v>0.23844696941514301</v>
      </c>
      <c r="G2130">
        <v>0.10001729004566901</v>
      </c>
      <c r="H2130">
        <v>6.8626809015033902E-2</v>
      </c>
      <c r="I2130">
        <v>5.9713119907576398E-2</v>
      </c>
      <c r="J2130">
        <v>7.8540396762426107E-2</v>
      </c>
      <c r="K2130">
        <v>6.7225519774369205E-2</v>
      </c>
      <c r="L2130">
        <v>1157.6681104142899</v>
      </c>
      <c r="M2130">
        <v>23.173477933488801</v>
      </c>
      <c r="N2130">
        <v>50.229449397270201</v>
      </c>
      <c r="O2130">
        <v>49.589043143990303</v>
      </c>
      <c r="P2130">
        <v>-0.10992042658902899</v>
      </c>
      <c r="Q2130">
        <v>5.9139984588725797E-2</v>
      </c>
      <c r="R2130">
        <v>0.998730206116901</v>
      </c>
      <c r="S2130" t="s">
        <v>8936</v>
      </c>
      <c r="T2130" t="s">
        <v>13610</v>
      </c>
      <c r="U2130" t="s">
        <v>13610</v>
      </c>
      <c r="V2130" t="s">
        <v>13610</v>
      </c>
      <c r="W2130" t="s">
        <v>15690</v>
      </c>
      <c r="X2130">
        <v>14</v>
      </c>
      <c r="Y2130" t="s">
        <v>22366</v>
      </c>
      <c r="Z2130" t="s">
        <v>28985</v>
      </c>
      <c r="AA2130">
        <v>0.38118652698974148</v>
      </c>
      <c r="AB2130" t="str">
        <f>HYPERLINK("Melting_Curves/meltCurve_P22694_4_PRKACB.pdf", "Melting_Curves/meltCurve_P22694_4_PRKACB.pdf")</f>
        <v>Melting_Curves/meltCurve_P22694_4_PRKACB.pdf</v>
      </c>
    </row>
    <row r="2131" spans="1:28" x14ac:dyDescent="0.25">
      <c r="A2131" t="s">
        <v>2135</v>
      </c>
      <c r="B2131">
        <v>0.995954080203443</v>
      </c>
      <c r="C2131">
        <v>0.92681407029652496</v>
      </c>
      <c r="D2131">
        <v>0.759066590325565</v>
      </c>
      <c r="E2131">
        <v>0.53193023253180605</v>
      </c>
      <c r="F2131">
        <v>0.20719261514587101</v>
      </c>
      <c r="G2131">
        <v>8.5942139736038106E-2</v>
      </c>
      <c r="H2131">
        <v>5.13908657078486E-2</v>
      </c>
      <c r="I2131">
        <v>4.51704785791745E-2</v>
      </c>
      <c r="J2131">
        <v>4.8131691734785702E-2</v>
      </c>
      <c r="K2131">
        <v>4.7373345263104799E-2</v>
      </c>
      <c r="L2131">
        <v>882.83541561685297</v>
      </c>
      <c r="M2131">
        <v>17.854186416761902</v>
      </c>
      <c r="N2131">
        <v>49.592629090833498</v>
      </c>
      <c r="O2131">
        <v>48.8391841680317</v>
      </c>
      <c r="P2131">
        <v>-8.9062730363679204E-2</v>
      </c>
      <c r="Q2131">
        <v>2.5544286517593998E-2</v>
      </c>
      <c r="R2131">
        <v>0.993376578285037</v>
      </c>
      <c r="S2131" t="s">
        <v>8937</v>
      </c>
      <c r="T2131" t="s">
        <v>13610</v>
      </c>
      <c r="U2131" t="s">
        <v>13610</v>
      </c>
      <c r="V2131" t="s">
        <v>13610</v>
      </c>
      <c r="W2131" t="s">
        <v>15691</v>
      </c>
      <c r="X2131">
        <v>12</v>
      </c>
      <c r="Y2131" t="s">
        <v>22367</v>
      </c>
      <c r="Z2131" t="s">
        <v>28986</v>
      </c>
      <c r="AA2131">
        <v>0.34941643787603588</v>
      </c>
      <c r="AB2131" t="str">
        <f>HYPERLINK("Melting_Curves/meltCurve_P22830_FECH.pdf", "Melting_Curves/meltCurve_P22830_FECH.pdf")</f>
        <v>Melting_Curves/meltCurve_P22830_FECH.pdf</v>
      </c>
    </row>
    <row r="2132" spans="1:28" x14ac:dyDescent="0.25">
      <c r="A2132" t="s">
        <v>2136</v>
      </c>
      <c r="B2132">
        <v>0.995954080203443</v>
      </c>
      <c r="C2132">
        <v>0.96219616122829599</v>
      </c>
      <c r="D2132">
        <v>0.90841006295609505</v>
      </c>
      <c r="E2132">
        <v>0.73829664928576999</v>
      </c>
      <c r="F2132">
        <v>0.55467559457092197</v>
      </c>
      <c r="G2132">
        <v>0.36095363533220698</v>
      </c>
      <c r="H2132">
        <v>0.33477301588736602</v>
      </c>
      <c r="I2132">
        <v>0.39791897881548999</v>
      </c>
      <c r="J2132">
        <v>0.51797014696516097</v>
      </c>
      <c r="K2132">
        <v>0.46557501863794498</v>
      </c>
      <c r="L2132">
        <v>1284.50701501396</v>
      </c>
      <c r="M2132">
        <v>25.5910254749529</v>
      </c>
      <c r="N2132">
        <v>53.881299918177099</v>
      </c>
      <c r="O2132">
        <v>49.890162243065198</v>
      </c>
      <c r="P2132">
        <v>-7.5245240139820702E-2</v>
      </c>
      <c r="Q2132">
        <v>0.41323940542167698</v>
      </c>
      <c r="R2132">
        <v>0.94865123752956104</v>
      </c>
      <c r="S2132" t="s">
        <v>8938</v>
      </c>
      <c r="T2132" t="s">
        <v>13610</v>
      </c>
      <c r="U2132" t="s">
        <v>13610</v>
      </c>
      <c r="V2132" t="s">
        <v>13610</v>
      </c>
      <c r="W2132" t="s">
        <v>15692</v>
      </c>
      <c r="X2132">
        <v>6</v>
      </c>
      <c r="Y2132" t="s">
        <v>22368</v>
      </c>
      <c r="Z2132" t="s">
        <v>28987</v>
      </c>
      <c r="AA2132">
        <v>0.61762824354998358</v>
      </c>
      <c r="AB2132" t="str">
        <f>HYPERLINK("Melting_Curves/meltCurve_P23025_XPA.pdf", "Melting_Curves/meltCurve_P23025_XPA.pdf")</f>
        <v>Melting_Curves/meltCurve_P23025_XPA.pdf</v>
      </c>
    </row>
    <row r="2133" spans="1:28" x14ac:dyDescent="0.25">
      <c r="A2133" t="s">
        <v>2137</v>
      </c>
      <c r="B2133">
        <v>0.995954080203443</v>
      </c>
      <c r="C2133">
        <v>0.86706547860773597</v>
      </c>
      <c r="D2133">
        <v>0.82218775592126703</v>
      </c>
      <c r="E2133">
        <v>0.66792159936760798</v>
      </c>
      <c r="F2133">
        <v>0.61786444521751305</v>
      </c>
      <c r="G2133">
        <v>0.54741929876025697</v>
      </c>
      <c r="H2133">
        <v>0.39227282201163</v>
      </c>
      <c r="I2133">
        <v>0.52551879012592395</v>
      </c>
      <c r="J2133">
        <v>0.54035835378331198</v>
      </c>
      <c r="K2133">
        <v>0.54276783095273995</v>
      </c>
      <c r="L2133">
        <v>664.92464410990999</v>
      </c>
      <c r="M2133">
        <v>13.9712451181591</v>
      </c>
      <c r="O2133">
        <v>46.649148353704298</v>
      </c>
      <c r="P2133">
        <v>-3.7789781098788201E-2</v>
      </c>
      <c r="Q2133">
        <v>0.49535611756957598</v>
      </c>
      <c r="R2133">
        <v>0.92783690747361502</v>
      </c>
      <c r="S2133" t="s">
        <v>8939</v>
      </c>
      <c r="T2133" t="s">
        <v>13610</v>
      </c>
      <c r="U2133" t="s">
        <v>13610</v>
      </c>
      <c r="V2133" t="s">
        <v>13610</v>
      </c>
      <c r="W2133" t="s">
        <v>15693</v>
      </c>
      <c r="X2133">
        <v>4</v>
      </c>
      <c r="Y2133" t="s">
        <v>22369</v>
      </c>
      <c r="Z2133" t="s">
        <v>28988</v>
      </c>
      <c r="AA2133">
        <v>0.63833014729880644</v>
      </c>
      <c r="AB2133" t="str">
        <f>HYPERLINK("Melting_Curves/meltCurve_P23142_3_FBLN1.pdf", "Melting_Curves/meltCurve_P23142_3_FBLN1.pdf")</f>
        <v>Melting_Curves/meltCurve_P23142_3_FBLN1.pdf</v>
      </c>
    </row>
    <row r="2134" spans="1:28" x14ac:dyDescent="0.25">
      <c r="A2134" t="s">
        <v>2138</v>
      </c>
      <c r="B2134">
        <v>0.995954080203443</v>
      </c>
      <c r="C2134">
        <v>1.0382105885825399</v>
      </c>
      <c r="D2134">
        <v>1.1155000390285399</v>
      </c>
      <c r="E2134">
        <v>0.94792952409980502</v>
      </c>
      <c r="F2134">
        <v>0.79100273307180602</v>
      </c>
      <c r="G2134">
        <v>0.47138711847551401</v>
      </c>
      <c r="H2134">
        <v>0.33661832946922898</v>
      </c>
      <c r="I2134">
        <v>0.34652629354000097</v>
      </c>
      <c r="J2134">
        <v>0.40409728587907401</v>
      </c>
      <c r="K2134">
        <v>0.34866870788398602</v>
      </c>
      <c r="L2134">
        <v>1801.3895111602801</v>
      </c>
      <c r="M2134">
        <v>33.248584820838303</v>
      </c>
      <c r="N2134">
        <v>56.288505757606003</v>
      </c>
      <c r="O2134">
        <v>53.984569119341202</v>
      </c>
      <c r="P2134">
        <v>-9.9136762520426705E-2</v>
      </c>
      <c r="Q2134">
        <v>0.356143181415145</v>
      </c>
      <c r="R2134">
        <v>0.97999845606325897</v>
      </c>
      <c r="S2134" t="s">
        <v>8940</v>
      </c>
      <c r="T2134" t="s">
        <v>13610</v>
      </c>
      <c r="U2134" t="s">
        <v>13610</v>
      </c>
      <c r="V2134" t="s">
        <v>13610</v>
      </c>
      <c r="W2134" t="s">
        <v>15694</v>
      </c>
      <c r="X2134">
        <v>29</v>
      </c>
      <c r="Y2134" t="s">
        <v>22370</v>
      </c>
      <c r="Z2134" t="s">
        <v>28989</v>
      </c>
      <c r="AA2134">
        <v>0.6639312071712008</v>
      </c>
      <c r="AB2134" t="str">
        <f>HYPERLINK("Melting_Curves/meltCurve_P23193_TCEA1.pdf", "Melting_Curves/meltCurve_P23193_TCEA1.pdf")</f>
        <v>Melting_Curves/meltCurve_P23193_TCEA1.pdf</v>
      </c>
    </row>
    <row r="2135" spans="1:28" x14ac:dyDescent="0.25">
      <c r="A2135" t="s">
        <v>2139</v>
      </c>
      <c r="B2135">
        <v>0.995954080203443</v>
      </c>
      <c r="C2135">
        <v>0.93517323219390303</v>
      </c>
      <c r="D2135">
        <v>0.84472040762901601</v>
      </c>
      <c r="E2135">
        <v>0.56768742834485297</v>
      </c>
      <c r="F2135">
        <v>0.34201794173676497</v>
      </c>
      <c r="G2135">
        <v>0.19770793772958101</v>
      </c>
      <c r="H2135">
        <v>0.16254162323242299</v>
      </c>
      <c r="I2135">
        <v>0.19200778379319999</v>
      </c>
      <c r="J2135">
        <v>0.22488544430378399</v>
      </c>
      <c r="K2135">
        <v>0.21515268601167301</v>
      </c>
      <c r="L2135">
        <v>1026.9463411880299</v>
      </c>
      <c r="M2135">
        <v>20.7821060648022</v>
      </c>
      <c r="N2135">
        <v>50.540511111068</v>
      </c>
      <c r="O2135">
        <v>48.964214698420598</v>
      </c>
      <c r="P2135">
        <v>-8.6454552219679903E-2</v>
      </c>
      <c r="Q2135">
        <v>0.18524888934672601</v>
      </c>
      <c r="R2135">
        <v>0.993615509842108</v>
      </c>
      <c r="S2135" t="s">
        <v>8941</v>
      </c>
      <c r="T2135" t="s">
        <v>13610</v>
      </c>
      <c r="U2135" t="s">
        <v>13610</v>
      </c>
      <c r="V2135" t="s">
        <v>13610</v>
      </c>
      <c r="W2135" t="s">
        <v>15695</v>
      </c>
      <c r="X2135">
        <v>43</v>
      </c>
      <c r="Y2135" t="s">
        <v>22371</v>
      </c>
      <c r="Z2135" t="s">
        <v>28990</v>
      </c>
      <c r="AA2135">
        <v>0.45147708195145109</v>
      </c>
      <c r="AB2135" t="str">
        <f>HYPERLINK("Melting_Curves/meltCurve_P23246_SFPQ.pdf", "Melting_Curves/meltCurve_P23246_SFPQ.pdf")</f>
        <v>Melting_Curves/meltCurve_P23246_SFPQ.pdf</v>
      </c>
    </row>
    <row r="2136" spans="1:28" x14ac:dyDescent="0.25">
      <c r="A2136" t="s">
        <v>2140</v>
      </c>
      <c r="B2136">
        <v>0.995954080203443</v>
      </c>
      <c r="C2136">
        <v>0.79049103648154695</v>
      </c>
      <c r="D2136">
        <v>0.58860760695301295</v>
      </c>
      <c r="E2136">
        <v>0.55732970118027003</v>
      </c>
      <c r="F2136">
        <v>0.30048617216919099</v>
      </c>
      <c r="G2136">
        <v>0.134306433469317</v>
      </c>
      <c r="H2136">
        <v>8.7112051608010097E-2</v>
      </c>
      <c r="I2136">
        <v>6.61428751576561E-2</v>
      </c>
      <c r="J2136">
        <v>8.3969001017518904E-2</v>
      </c>
      <c r="K2136">
        <v>6.0765461748970503E-2</v>
      </c>
      <c r="L2136">
        <v>533.91111137295002</v>
      </c>
      <c r="M2136">
        <v>10.906664120660899</v>
      </c>
      <c r="N2136">
        <v>49.017149159533098</v>
      </c>
      <c r="O2136">
        <v>47.393333407602398</v>
      </c>
      <c r="P2136">
        <v>-5.7143249428529601E-2</v>
      </c>
      <c r="Q2136">
        <v>7.1152131726065103E-3</v>
      </c>
      <c r="R2136">
        <v>0.97191659610890302</v>
      </c>
      <c r="S2136" t="s">
        <v>8942</v>
      </c>
      <c r="T2136" t="s">
        <v>13610</v>
      </c>
      <c r="U2136" t="s">
        <v>13610</v>
      </c>
      <c r="V2136" t="s">
        <v>13610</v>
      </c>
      <c r="W2136" t="s">
        <v>15696</v>
      </c>
      <c r="X2136">
        <v>13</v>
      </c>
      <c r="Y2136" t="s">
        <v>22372</v>
      </c>
      <c r="Z2136" t="s">
        <v>28991</v>
      </c>
      <c r="AA2136">
        <v>0.34614998002799491</v>
      </c>
      <c r="AB2136" t="str">
        <f>HYPERLINK("Melting_Curves/meltCurve_P23258_TUBG1.pdf", "Melting_Curves/meltCurve_P23258_TUBG1.pdf")</f>
        <v>Melting_Curves/meltCurve_P23258_TUBG1.pdf</v>
      </c>
    </row>
    <row r="2137" spans="1:28" x14ac:dyDescent="0.25">
      <c r="A2137" t="s">
        <v>2141</v>
      </c>
      <c r="B2137">
        <v>0.995954080203443</v>
      </c>
      <c r="C2137">
        <v>0.98455670724631295</v>
      </c>
      <c r="D2137">
        <v>0.98682997570664599</v>
      </c>
      <c r="E2137">
        <v>0.76308908889189897</v>
      </c>
      <c r="F2137">
        <v>0.181761464583761</v>
      </c>
      <c r="G2137">
        <v>9.1688688843744495E-2</v>
      </c>
      <c r="H2137">
        <v>5.3890160184671701E-2</v>
      </c>
      <c r="I2137">
        <v>4.5441557721581399E-2</v>
      </c>
      <c r="J2137">
        <v>5.2019014484727899E-2</v>
      </c>
      <c r="K2137">
        <v>4.77810850572725E-2</v>
      </c>
      <c r="L2137">
        <v>2590.2169046990698</v>
      </c>
      <c r="M2137">
        <v>50.719804817131497</v>
      </c>
      <c r="N2137">
        <v>51.190432423188099</v>
      </c>
      <c r="O2137">
        <v>50.989939476720899</v>
      </c>
      <c r="P2137">
        <v>-0.234596594261093</v>
      </c>
      <c r="Q2137">
        <v>5.6616522709054103E-2</v>
      </c>
      <c r="R2137">
        <v>0.99916235174756196</v>
      </c>
      <c r="S2137" t="s">
        <v>8943</v>
      </c>
      <c r="T2137" t="s">
        <v>13610</v>
      </c>
      <c r="U2137" t="s">
        <v>13610</v>
      </c>
      <c r="V2137" t="s">
        <v>13610</v>
      </c>
      <c r="W2137" t="s">
        <v>15697</v>
      </c>
      <c r="X2137">
        <v>17</v>
      </c>
      <c r="Y2137" t="s">
        <v>22373</v>
      </c>
      <c r="Z2137" t="s">
        <v>28992</v>
      </c>
      <c r="AA2137">
        <v>0.40676290904994378</v>
      </c>
      <c r="AB2137" t="str">
        <f>HYPERLINK("Melting_Curves/meltCurve_P23284_PPIB.pdf", "Melting_Curves/meltCurve_P23284_PPIB.pdf")</f>
        <v>Melting_Curves/meltCurve_P23284_PPIB.pdf</v>
      </c>
    </row>
    <row r="2138" spans="1:28" x14ac:dyDescent="0.25">
      <c r="A2138" t="s">
        <v>2142</v>
      </c>
      <c r="B2138">
        <v>0.995954080203443</v>
      </c>
      <c r="C2138">
        <v>1.1238323073541201</v>
      </c>
      <c r="D2138">
        <v>1.0998965161124099</v>
      </c>
      <c r="E2138">
        <v>1.0234258456087699</v>
      </c>
      <c r="F2138">
        <v>0.91901851002173296</v>
      </c>
      <c r="G2138">
        <v>0.51780102163191</v>
      </c>
      <c r="H2138">
        <v>0.29525014244414799</v>
      </c>
      <c r="I2138">
        <v>0.221596040106631</v>
      </c>
      <c r="J2138">
        <v>0.190209890061207</v>
      </c>
      <c r="K2138">
        <v>0.18944269184515899</v>
      </c>
      <c r="L2138">
        <v>1833.7295090682101</v>
      </c>
      <c r="M2138">
        <v>32.510833425564897</v>
      </c>
      <c r="N2138">
        <v>57.304818825627201</v>
      </c>
      <c r="O2138">
        <v>56.191524832496498</v>
      </c>
      <c r="P2138">
        <v>-0.11569578906589401</v>
      </c>
      <c r="Q2138">
        <v>0.200132224561789</v>
      </c>
      <c r="R2138">
        <v>0.981191957327053</v>
      </c>
      <c r="S2138" t="s">
        <v>8944</v>
      </c>
      <c r="T2138" t="s">
        <v>13610</v>
      </c>
      <c r="U2138" t="s">
        <v>13610</v>
      </c>
      <c r="V2138" t="s">
        <v>13610</v>
      </c>
      <c r="W2138" t="s">
        <v>15698</v>
      </c>
      <c r="X2138">
        <v>3</v>
      </c>
      <c r="Y2138" t="s">
        <v>22374</v>
      </c>
      <c r="Z2138" t="s">
        <v>28993</v>
      </c>
      <c r="AA2138">
        <v>0.64209448732653507</v>
      </c>
      <c r="AB2138" t="str">
        <f>HYPERLINK("Melting_Curves/meltCurve_P23297_S100A1.pdf", "Melting_Curves/meltCurve_P23297_S100A1.pdf")</f>
        <v>Melting_Curves/meltCurve_P23297_S100A1.pdf</v>
      </c>
    </row>
    <row r="2139" spans="1:28" x14ac:dyDescent="0.25">
      <c r="A2139" t="s">
        <v>2143</v>
      </c>
      <c r="B2139">
        <v>0.995954080203443</v>
      </c>
      <c r="C2139">
        <v>0.93626446993555501</v>
      </c>
      <c r="D2139">
        <v>0.91589375749829705</v>
      </c>
      <c r="E2139">
        <v>0.80656584393751096</v>
      </c>
      <c r="F2139">
        <v>0.48901362205695498</v>
      </c>
      <c r="G2139">
        <v>0.154043537284488</v>
      </c>
      <c r="H2139">
        <v>8.6604277852175907E-2</v>
      </c>
      <c r="I2139">
        <v>8.0787806402850396E-2</v>
      </c>
      <c r="J2139">
        <v>9.1232347507294406E-2</v>
      </c>
      <c r="K2139">
        <v>8.3418180742647993E-2</v>
      </c>
      <c r="L2139">
        <v>1356.9703259830101</v>
      </c>
      <c r="M2139">
        <v>25.858952980618199</v>
      </c>
      <c r="N2139">
        <v>52.795438750593902</v>
      </c>
      <c r="O2139">
        <v>52.165031904855297</v>
      </c>
      <c r="P2139">
        <v>-0.114951301322614</v>
      </c>
      <c r="Q2139">
        <v>7.2450035346323702E-2</v>
      </c>
      <c r="R2139">
        <v>0.99427147961736695</v>
      </c>
      <c r="S2139" t="s">
        <v>8945</v>
      </c>
      <c r="T2139" t="s">
        <v>13610</v>
      </c>
      <c r="U2139" t="s">
        <v>13610</v>
      </c>
      <c r="V2139" t="s">
        <v>13610</v>
      </c>
      <c r="W2139" t="s">
        <v>15699</v>
      </c>
      <c r="X2139">
        <v>21</v>
      </c>
      <c r="Y2139" t="s">
        <v>22375</v>
      </c>
      <c r="Z2139" t="s">
        <v>28994</v>
      </c>
      <c r="AA2139">
        <v>0.46615536158192128</v>
      </c>
      <c r="AB2139" t="str">
        <f>HYPERLINK("Melting_Curves/meltCurve_P23368_ME2.pdf", "Melting_Curves/meltCurve_P23368_ME2.pdf")</f>
        <v>Melting_Curves/meltCurve_P23368_ME2.pdf</v>
      </c>
    </row>
    <row r="2140" spans="1:28" x14ac:dyDescent="0.25">
      <c r="A2140" t="s">
        <v>2144</v>
      </c>
      <c r="B2140">
        <v>0.995954080203443</v>
      </c>
      <c r="C2140">
        <v>0.98418740431822305</v>
      </c>
      <c r="D2140">
        <v>0.98846159059177696</v>
      </c>
      <c r="E2140">
        <v>0.94891286842938305</v>
      </c>
      <c r="F2140">
        <v>0.86004692063395205</v>
      </c>
      <c r="G2140">
        <v>0.71954247740725097</v>
      </c>
      <c r="H2140">
        <v>0.59669819563706505</v>
      </c>
      <c r="I2140">
        <v>0.66348139726023103</v>
      </c>
      <c r="J2140">
        <v>0.85989360274793603</v>
      </c>
      <c r="K2140">
        <v>0.68518131798094195</v>
      </c>
      <c r="L2140">
        <v>1935.14057469103</v>
      </c>
      <c r="M2140">
        <v>36.541552985172302</v>
      </c>
      <c r="O2140">
        <v>52.799409446427397</v>
      </c>
      <c r="P2140">
        <v>-5.1710249342380901E-2</v>
      </c>
      <c r="Q2140">
        <v>0.70113339005268605</v>
      </c>
      <c r="R2140">
        <v>0.81120734007099204</v>
      </c>
      <c r="S2140" t="s">
        <v>8946</v>
      </c>
      <c r="T2140" t="s">
        <v>13610</v>
      </c>
      <c r="U2140" t="s">
        <v>13610</v>
      </c>
      <c r="V2140" t="s">
        <v>13610</v>
      </c>
      <c r="W2140" t="s">
        <v>15700</v>
      </c>
      <c r="X2140">
        <v>37</v>
      </c>
      <c r="Y2140" t="s">
        <v>21032</v>
      </c>
      <c r="Z2140" t="s">
        <v>28995</v>
      </c>
      <c r="AA2140">
        <v>0.83152641545095507</v>
      </c>
      <c r="AB2140" t="str">
        <f>HYPERLINK("Melting_Curves/meltCurve_P23381_WARS.pdf", "Melting_Curves/meltCurve_P23381_WARS.pdf")</f>
        <v>Melting_Curves/meltCurve_P23381_WARS.pdf</v>
      </c>
    </row>
    <row r="2141" spans="1:28" x14ac:dyDescent="0.25">
      <c r="A2141" t="s">
        <v>2145</v>
      </c>
      <c r="B2141">
        <v>0.995954080203443</v>
      </c>
      <c r="C2141">
        <v>0.61402016899420897</v>
      </c>
      <c r="D2141">
        <v>0.37385685707666999</v>
      </c>
      <c r="E2141">
        <v>0.33286124277340201</v>
      </c>
      <c r="F2141">
        <v>0.18222197980706101</v>
      </c>
      <c r="G2141">
        <v>9.0864668425322107E-2</v>
      </c>
      <c r="H2141">
        <v>5.8234069306875899E-2</v>
      </c>
      <c r="I2141">
        <v>5.1442485997784698E-2</v>
      </c>
      <c r="J2141">
        <v>5.43854701926164E-2</v>
      </c>
      <c r="K2141">
        <v>5.0615865075124097E-2</v>
      </c>
      <c r="L2141">
        <v>651.386438259633</v>
      </c>
      <c r="M2141">
        <v>14.504110342776601</v>
      </c>
      <c r="N2141">
        <v>45.286218018535898</v>
      </c>
      <c r="O2141">
        <v>44.082636752729201</v>
      </c>
      <c r="P2141">
        <v>-7.7600965885634393E-2</v>
      </c>
      <c r="Q2141">
        <v>5.66917463327321E-2</v>
      </c>
      <c r="R2141">
        <v>0.95506466473061902</v>
      </c>
      <c r="S2141" t="s">
        <v>8947</v>
      </c>
      <c r="T2141" t="s">
        <v>13610</v>
      </c>
      <c r="U2141" t="s">
        <v>13610</v>
      </c>
      <c r="V2141" t="s">
        <v>13610</v>
      </c>
      <c r="W2141" t="s">
        <v>15701</v>
      </c>
      <c r="X2141">
        <v>18</v>
      </c>
      <c r="Y2141" t="s">
        <v>22376</v>
      </c>
      <c r="Z2141" t="s">
        <v>28996</v>
      </c>
      <c r="AA2141">
        <v>0.24390878693109699</v>
      </c>
      <c r="AB2141" t="str">
        <f>HYPERLINK("Melting_Curves/meltCurve_P23396_RPS3.pdf", "Melting_Curves/meltCurve_P23396_RPS3.pdf")</f>
        <v>Melting_Curves/meltCurve_P23396_RPS3.pdf</v>
      </c>
    </row>
    <row r="2142" spans="1:28" x14ac:dyDescent="0.25">
      <c r="A2142" t="s">
        <v>2146</v>
      </c>
      <c r="B2142">
        <v>0.995954080203443</v>
      </c>
      <c r="C2142">
        <v>1.04670530699677</v>
      </c>
      <c r="D2142">
        <v>1.25406132519233</v>
      </c>
      <c r="E2142">
        <v>0.88541388087350803</v>
      </c>
      <c r="F2142">
        <v>0.80449407483505897</v>
      </c>
      <c r="G2142">
        <v>0.27400293199675002</v>
      </c>
      <c r="H2142">
        <v>4.3128823176022797E-2</v>
      </c>
      <c r="I2142">
        <v>9.7402424992576505E-3</v>
      </c>
      <c r="J2142">
        <v>0</v>
      </c>
      <c r="K2142">
        <v>1.3736217575973099E-2</v>
      </c>
      <c r="L2142">
        <v>1709.7059956267201</v>
      </c>
      <c r="M2142">
        <v>30.9583756209183</v>
      </c>
      <c r="N2142">
        <v>55.225968746057198</v>
      </c>
      <c r="O2142">
        <v>54.997062701608101</v>
      </c>
      <c r="P2142">
        <v>-0.14072821387633899</v>
      </c>
      <c r="Q2142">
        <v>0</v>
      </c>
      <c r="R2142">
        <v>0.96813380995859599</v>
      </c>
      <c r="S2142" t="s">
        <v>8948</v>
      </c>
      <c r="T2142" t="s">
        <v>13610</v>
      </c>
      <c r="U2142" t="s">
        <v>13610</v>
      </c>
      <c r="V2142" t="s">
        <v>13610</v>
      </c>
      <c r="W2142" t="s">
        <v>15702</v>
      </c>
      <c r="X2142">
        <v>1</v>
      </c>
      <c r="Y2142" t="s">
        <v>22377</v>
      </c>
      <c r="Z2142" t="s">
        <v>28997</v>
      </c>
      <c r="AA2142">
        <v>0.51379363148295087</v>
      </c>
      <c r="AB2142" t="str">
        <f>HYPERLINK("Melting_Curves/meltCurve_P23409_MYF6.pdf", "Melting_Curves/meltCurve_P23409_MYF6.pdf")</f>
        <v>Melting_Curves/meltCurve_P23409_MYF6.pdf</v>
      </c>
    </row>
    <row r="2143" spans="1:28" x14ac:dyDescent="0.25">
      <c r="A2143" t="s">
        <v>2147</v>
      </c>
      <c r="B2143">
        <v>0.995954080203443</v>
      </c>
      <c r="C2143">
        <v>1.0383504374983199</v>
      </c>
      <c r="D2143">
        <v>1.0171032014218799</v>
      </c>
      <c r="E2143">
        <v>0.99059058320381499</v>
      </c>
      <c r="F2143">
        <v>0.92678129034340995</v>
      </c>
      <c r="G2143">
        <v>0.70313389021863804</v>
      </c>
      <c r="H2143">
        <v>0.68189027896583698</v>
      </c>
      <c r="I2143">
        <v>0.82040700108401998</v>
      </c>
      <c r="J2143">
        <v>1.0525117932230501</v>
      </c>
      <c r="K2143">
        <v>0.94714985153418596</v>
      </c>
      <c r="L2143">
        <v>13258.381042040701</v>
      </c>
      <c r="M2143">
        <v>250</v>
      </c>
      <c r="O2143">
        <v>53.030117945523301</v>
      </c>
      <c r="P2143">
        <v>-0.18737158748184901</v>
      </c>
      <c r="Q2143">
        <v>0.84101856464778202</v>
      </c>
      <c r="R2143">
        <v>0.38220779345689898</v>
      </c>
      <c r="S2143" t="s">
        <v>8949</v>
      </c>
      <c r="T2143" t="s">
        <v>13610</v>
      </c>
      <c r="U2143" t="s">
        <v>13610</v>
      </c>
      <c r="V2143" t="s">
        <v>13610</v>
      </c>
      <c r="W2143" t="s">
        <v>15703</v>
      </c>
      <c r="X2143">
        <v>1</v>
      </c>
      <c r="Y2143" t="s">
        <v>22378</v>
      </c>
      <c r="Z2143" t="s">
        <v>28998</v>
      </c>
      <c r="AA2143">
        <v>0.91010297419350794</v>
      </c>
      <c r="AB2143" t="str">
        <f>HYPERLINK("Melting_Curves/meltCurve_P23434_GCSH.pdf", "Melting_Curves/meltCurve_P23434_GCSH.pdf")</f>
        <v>Melting_Curves/meltCurve_P23434_GCSH.pdf</v>
      </c>
    </row>
    <row r="2144" spans="1:28" x14ac:dyDescent="0.25">
      <c r="A2144" t="s">
        <v>2148</v>
      </c>
      <c r="B2144">
        <v>0.995954080203443</v>
      </c>
      <c r="C2144">
        <v>0.96322963281688501</v>
      </c>
      <c r="D2144">
        <v>0.84388251640893897</v>
      </c>
      <c r="E2144">
        <v>0.89332407894560295</v>
      </c>
      <c r="F2144">
        <v>0.59778406951389396</v>
      </c>
      <c r="G2144">
        <v>0.48250548775726598</v>
      </c>
      <c r="H2144">
        <v>0.31121584267199898</v>
      </c>
      <c r="I2144">
        <v>0.20390781672678901</v>
      </c>
      <c r="J2144">
        <v>0.180642826219021</v>
      </c>
      <c r="K2144">
        <v>0.139206261077613</v>
      </c>
      <c r="L2144">
        <v>625.98418382644604</v>
      </c>
      <c r="M2144">
        <v>11.2281317625438</v>
      </c>
      <c r="N2144">
        <v>56.227999536387301</v>
      </c>
      <c r="O2144">
        <v>54.070709150631799</v>
      </c>
      <c r="P2144">
        <v>-4.9573143544452199E-2</v>
      </c>
      <c r="Q2144">
        <v>4.5390702065537303E-2</v>
      </c>
      <c r="R2144">
        <v>0.98097332528649706</v>
      </c>
      <c r="S2144" t="s">
        <v>8950</v>
      </c>
      <c r="T2144" t="s">
        <v>13610</v>
      </c>
      <c r="U2144" t="s">
        <v>13610</v>
      </c>
      <c r="V2144" t="s">
        <v>13610</v>
      </c>
      <c r="W2144" t="s">
        <v>15704</v>
      </c>
      <c r="X2144">
        <v>3</v>
      </c>
      <c r="Y2144" t="s">
        <v>22379</v>
      </c>
      <c r="Z2144" t="s">
        <v>28999</v>
      </c>
      <c r="AA2144">
        <v>0.56738556104591598</v>
      </c>
      <c r="AB2144" t="str">
        <f>HYPERLINK("Melting_Curves/meltCurve_P23470_2_PTPRG.pdf", "Melting_Curves/meltCurve_P23470_2_PTPRG.pdf")</f>
        <v>Melting_Curves/meltCurve_P23470_2_PTPRG.pdf</v>
      </c>
    </row>
    <row r="2145" spans="1:28" x14ac:dyDescent="0.25">
      <c r="A2145" t="s">
        <v>2149</v>
      </c>
      <c r="B2145">
        <v>0.995954080203443</v>
      </c>
      <c r="C2145">
        <v>1.04191541967441</v>
      </c>
      <c r="D2145">
        <v>0.98140481482242203</v>
      </c>
      <c r="E2145">
        <v>0.86259961250081896</v>
      </c>
      <c r="F2145">
        <v>0.70821029467670704</v>
      </c>
      <c r="G2145">
        <v>0.45761150053896399</v>
      </c>
      <c r="H2145">
        <v>0.362052089389094</v>
      </c>
      <c r="I2145">
        <v>0.38014079618337199</v>
      </c>
      <c r="J2145">
        <v>0.47514659668707099</v>
      </c>
      <c r="K2145">
        <v>0.42669327596865497</v>
      </c>
      <c r="L2145">
        <v>1455.2943053778899</v>
      </c>
      <c r="M2145">
        <v>27.6117302087684</v>
      </c>
      <c r="N2145">
        <v>56.092245410309502</v>
      </c>
      <c r="O2145">
        <v>52.431525751205697</v>
      </c>
      <c r="P2145">
        <v>-7.8257098183653104E-2</v>
      </c>
      <c r="Q2145">
        <v>0.40560017589985697</v>
      </c>
      <c r="R2145">
        <v>0.98157225859237796</v>
      </c>
      <c r="S2145" t="s">
        <v>8951</v>
      </c>
      <c r="T2145" t="s">
        <v>13610</v>
      </c>
      <c r="U2145" t="s">
        <v>13610</v>
      </c>
      <c r="V2145" t="s">
        <v>13610</v>
      </c>
      <c r="W2145" t="s">
        <v>15705</v>
      </c>
      <c r="X2145">
        <v>19</v>
      </c>
      <c r="Y2145" t="s">
        <v>22380</v>
      </c>
      <c r="Z2145" t="s">
        <v>29000</v>
      </c>
      <c r="AA2145">
        <v>0.66185519909524426</v>
      </c>
      <c r="AB2145" t="str">
        <f>HYPERLINK("Melting_Curves/meltCurve_P23497_SP100.pdf", "Melting_Curves/meltCurve_P23497_SP100.pdf")</f>
        <v>Melting_Curves/meltCurve_P23497_SP100.pdf</v>
      </c>
    </row>
    <row r="2146" spans="1:28" x14ac:dyDescent="0.25">
      <c r="A2146" t="s">
        <v>2150</v>
      </c>
      <c r="B2146">
        <v>0.995954080203443</v>
      </c>
      <c r="C2146">
        <v>0.967121121435491</v>
      </c>
      <c r="D2146">
        <v>0.88272940229377495</v>
      </c>
      <c r="E2146">
        <v>0.80071749882012599</v>
      </c>
      <c r="F2146">
        <v>0.73469011386954197</v>
      </c>
      <c r="G2146">
        <v>0.51584171826207004</v>
      </c>
      <c r="H2146">
        <v>0.45829014785205802</v>
      </c>
      <c r="I2146">
        <v>0.48764442696692001</v>
      </c>
      <c r="J2146">
        <v>0.62251921908726204</v>
      </c>
      <c r="K2146">
        <v>0.55287819495211699</v>
      </c>
      <c r="L2146">
        <v>879.82745610817005</v>
      </c>
      <c r="M2146">
        <v>17.341738395265399</v>
      </c>
      <c r="O2146">
        <v>50.074456032357297</v>
      </c>
      <c r="P2146">
        <v>-4.1947236313745299E-2</v>
      </c>
      <c r="Q2146">
        <v>0.51553531229491001</v>
      </c>
      <c r="R2146">
        <v>0.91883886166675399</v>
      </c>
      <c r="S2146" t="s">
        <v>8952</v>
      </c>
      <c r="T2146" t="s">
        <v>13610</v>
      </c>
      <c r="U2146" t="s">
        <v>13610</v>
      </c>
      <c r="V2146" t="s">
        <v>13610</v>
      </c>
      <c r="W2146" t="s">
        <v>15706</v>
      </c>
      <c r="X2146">
        <v>2</v>
      </c>
      <c r="Y2146" t="s">
        <v>22381</v>
      </c>
      <c r="Z2146" t="s">
        <v>29001</v>
      </c>
      <c r="AA2146">
        <v>0.69764904578607723</v>
      </c>
      <c r="AB2146" t="str">
        <f>HYPERLINK("Melting_Curves/meltCurve_P23511_2_NFYA.pdf", "Melting_Curves/meltCurve_P23511_2_NFYA.pdf")</f>
        <v>Melting_Curves/meltCurve_P23511_2_NFYA.pdf</v>
      </c>
    </row>
    <row r="2147" spans="1:28" x14ac:dyDescent="0.25">
      <c r="A2147" t="s">
        <v>2151</v>
      </c>
      <c r="B2147">
        <v>0.995954080203443</v>
      </c>
      <c r="C2147">
        <v>0.93061969400862299</v>
      </c>
      <c r="D2147">
        <v>0.88587306132922095</v>
      </c>
      <c r="E2147">
        <v>0.89521676189416699</v>
      </c>
      <c r="F2147">
        <v>0.72032649383632996</v>
      </c>
      <c r="G2147">
        <v>0.55860003648730305</v>
      </c>
      <c r="H2147">
        <v>0.320029707532201</v>
      </c>
      <c r="I2147">
        <v>0.16141802302633301</v>
      </c>
      <c r="J2147">
        <v>8.0222115423772999E-2</v>
      </c>
      <c r="K2147">
        <v>6.9849636869953102E-2</v>
      </c>
      <c r="L2147">
        <v>779.31677921959101</v>
      </c>
      <c r="M2147">
        <v>13.6215394189532</v>
      </c>
      <c r="N2147">
        <v>57.212100132738499</v>
      </c>
      <c r="O2147">
        <v>56.021275926731299</v>
      </c>
      <c r="P2147">
        <v>-6.0796301812825998E-2</v>
      </c>
      <c r="Q2147">
        <v>0</v>
      </c>
      <c r="R2147">
        <v>0.98744687358285299</v>
      </c>
      <c r="S2147" t="s">
        <v>8953</v>
      </c>
      <c r="T2147" t="s">
        <v>13610</v>
      </c>
      <c r="U2147" t="s">
        <v>13610</v>
      </c>
      <c r="V2147" t="s">
        <v>13610</v>
      </c>
      <c r="W2147" t="s">
        <v>15707</v>
      </c>
      <c r="X2147">
        <v>29</v>
      </c>
      <c r="Y2147" t="s">
        <v>22382</v>
      </c>
      <c r="Z2147" t="s">
        <v>29002</v>
      </c>
      <c r="AA2147">
        <v>0.58964962606699867</v>
      </c>
      <c r="AB2147" t="str">
        <f>HYPERLINK("Melting_Curves/meltCurve_P23526_AHCY.pdf", "Melting_Curves/meltCurve_P23526_AHCY.pdf")</f>
        <v>Melting_Curves/meltCurve_P23526_AHCY.pdf</v>
      </c>
    </row>
    <row r="2148" spans="1:28" x14ac:dyDescent="0.25">
      <c r="A2148" t="s">
        <v>2152</v>
      </c>
      <c r="B2148">
        <v>0.995954080203443</v>
      </c>
      <c r="C2148">
        <v>0.87860287743545795</v>
      </c>
      <c r="D2148">
        <v>0.93084156025370401</v>
      </c>
      <c r="E2148">
        <v>0.83536457051391999</v>
      </c>
      <c r="F2148">
        <v>0.821925665485021</v>
      </c>
      <c r="G2148">
        <v>0.45666421388700801</v>
      </c>
      <c r="H2148">
        <v>0.22976211989400799</v>
      </c>
      <c r="I2148">
        <v>0.187005830310989</v>
      </c>
      <c r="J2148">
        <v>0.179290850139423</v>
      </c>
      <c r="K2148">
        <v>0.171074777191425</v>
      </c>
      <c r="L2148">
        <v>1057.8335280183701</v>
      </c>
      <c r="M2148">
        <v>19.046946644477099</v>
      </c>
      <c r="N2148">
        <v>56.457442179582301</v>
      </c>
      <c r="O2148">
        <v>54.936888492740302</v>
      </c>
      <c r="P2148">
        <v>-7.5123893188774604E-2</v>
      </c>
      <c r="Q2148">
        <v>0.133318299426335</v>
      </c>
      <c r="R2148">
        <v>0.97437764454806297</v>
      </c>
      <c r="S2148" t="s">
        <v>8954</v>
      </c>
      <c r="T2148" t="s">
        <v>13610</v>
      </c>
      <c r="U2148" t="s">
        <v>13610</v>
      </c>
      <c r="V2148" t="s">
        <v>13610</v>
      </c>
      <c r="W2148" t="s">
        <v>15708</v>
      </c>
      <c r="X2148">
        <v>18</v>
      </c>
      <c r="Y2148" t="s">
        <v>22383</v>
      </c>
      <c r="Z2148" t="s">
        <v>29003</v>
      </c>
      <c r="AA2148">
        <v>0.59436264638209824</v>
      </c>
      <c r="AB2148" t="str">
        <f>HYPERLINK("Melting_Curves/meltCurve_P23528_CFL1.pdf", "Melting_Curves/meltCurve_P23528_CFL1.pdf")</f>
        <v>Melting_Curves/meltCurve_P23528_CFL1.pdf</v>
      </c>
    </row>
    <row r="2149" spans="1:28" x14ac:dyDescent="0.25">
      <c r="A2149" t="s">
        <v>2153</v>
      </c>
      <c r="B2149">
        <v>0.995954080203443</v>
      </c>
      <c r="C2149">
        <v>0.91463734193865798</v>
      </c>
      <c r="D2149">
        <v>1.2058203011336199</v>
      </c>
      <c r="E2149">
        <v>0.94207900984319703</v>
      </c>
      <c r="F2149">
        <v>1.20442242605557</v>
      </c>
      <c r="G2149">
        <v>1.1088853688995099</v>
      </c>
      <c r="H2149">
        <v>1.2286583465379901</v>
      </c>
      <c r="I2149">
        <v>1.5919866165671701</v>
      </c>
      <c r="J2149">
        <v>1.91477993348134</v>
      </c>
      <c r="K2149">
        <v>1.93078245492843</v>
      </c>
      <c r="L2149">
        <v>15000</v>
      </c>
      <c r="M2149">
        <v>245.730524617599</v>
      </c>
      <c r="O2149">
        <v>61.038433386793997</v>
      </c>
      <c r="P2149">
        <v>0.50322908866964</v>
      </c>
      <c r="Q2149">
        <v>1.5</v>
      </c>
      <c r="R2149">
        <v>0.63342669985739397</v>
      </c>
      <c r="S2149" t="s">
        <v>8955</v>
      </c>
      <c r="T2149" t="s">
        <v>13610</v>
      </c>
      <c r="U2149" t="s">
        <v>13610</v>
      </c>
      <c r="V2149" t="s">
        <v>13610</v>
      </c>
      <c r="W2149" t="s">
        <v>15709</v>
      </c>
      <c r="X2149">
        <v>53</v>
      </c>
      <c r="Y2149" t="s">
        <v>20968</v>
      </c>
      <c r="Z2149" t="s">
        <v>29004</v>
      </c>
      <c r="AA2149">
        <v>1.149236600807592</v>
      </c>
      <c r="AB2149" t="str">
        <f>HYPERLINK("Melting_Curves/meltCurve_P23588_EIF4B.pdf", "Melting_Curves/meltCurve_P23588_EIF4B.pdf")</f>
        <v>Melting_Curves/meltCurve_P23588_EIF4B.pdf</v>
      </c>
    </row>
    <row r="2150" spans="1:28" x14ac:dyDescent="0.25">
      <c r="A2150" t="s">
        <v>2154</v>
      </c>
      <c r="B2150">
        <v>0.995954080203443</v>
      </c>
      <c r="C2150">
        <v>0.79210272003480198</v>
      </c>
      <c r="D2150">
        <v>0.57681453511288105</v>
      </c>
      <c r="E2150">
        <v>0.43708266365734399</v>
      </c>
      <c r="F2150">
        <v>0.145509850962105</v>
      </c>
      <c r="G2150">
        <v>8.6087730790493394E-2</v>
      </c>
      <c r="H2150">
        <v>5.34153236168333E-2</v>
      </c>
      <c r="I2150">
        <v>4.2879502306405998E-2</v>
      </c>
      <c r="J2150">
        <v>6.1523192061380703E-2</v>
      </c>
      <c r="K2150">
        <v>2.4466101342636101E-2</v>
      </c>
      <c r="L2150">
        <v>665.28579603430705</v>
      </c>
      <c r="M2150">
        <v>14.003626523917401</v>
      </c>
      <c r="N2150">
        <v>47.625577767920298</v>
      </c>
      <c r="O2150">
        <v>46.5707689969013</v>
      </c>
      <c r="P2150">
        <v>-7.3907646186362197E-2</v>
      </c>
      <c r="Q2150">
        <v>1.6974514287606698E-2</v>
      </c>
      <c r="R2150">
        <v>0.98273837703135203</v>
      </c>
      <c r="S2150" t="s">
        <v>8956</v>
      </c>
      <c r="T2150" t="s">
        <v>13610</v>
      </c>
      <c r="U2150" t="s">
        <v>13610</v>
      </c>
      <c r="V2150" t="s">
        <v>13610</v>
      </c>
      <c r="W2150" t="s">
        <v>15710</v>
      </c>
      <c r="X2150">
        <v>5</v>
      </c>
      <c r="Y2150" t="s">
        <v>22384</v>
      </c>
      <c r="Z2150" t="s">
        <v>29005</v>
      </c>
      <c r="AA2150">
        <v>0.29273358686877449</v>
      </c>
      <c r="AB2150" t="str">
        <f>HYPERLINK("Melting_Curves/meltCurve_P23610_F8A1.pdf", "Melting_Curves/meltCurve_P23610_F8A1.pdf")</f>
        <v>Melting_Curves/meltCurve_P23610_F8A1.pdf</v>
      </c>
    </row>
    <row r="2151" spans="1:28" x14ac:dyDescent="0.25">
      <c r="A2151" t="s">
        <v>2155</v>
      </c>
      <c r="B2151">
        <v>0.995954080203443</v>
      </c>
      <c r="C2151">
        <v>1.0222052004444</v>
      </c>
      <c r="D2151">
        <v>0.90368933098024595</v>
      </c>
      <c r="E2151">
        <v>0.83297821245963599</v>
      </c>
      <c r="F2151">
        <v>0.73653395669037602</v>
      </c>
      <c r="G2151">
        <v>0.57883790168620297</v>
      </c>
      <c r="H2151">
        <v>0.573228394973893</v>
      </c>
      <c r="I2151">
        <v>0.560475750781113</v>
      </c>
      <c r="J2151">
        <v>0.73601512424871096</v>
      </c>
      <c r="K2151">
        <v>0.72762681761949399</v>
      </c>
      <c r="L2151">
        <v>1161.35791149343</v>
      </c>
      <c r="M2151">
        <v>23.293960161521898</v>
      </c>
      <c r="O2151">
        <v>49.493531703315398</v>
      </c>
      <c r="P2151">
        <v>-4.2808719511473699E-2</v>
      </c>
      <c r="Q2151">
        <v>0.63617745428123396</v>
      </c>
      <c r="R2151">
        <v>0.84884343250031702</v>
      </c>
      <c r="S2151" t="s">
        <v>8957</v>
      </c>
      <c r="T2151" t="s">
        <v>13610</v>
      </c>
      <c r="U2151" t="s">
        <v>13610</v>
      </c>
      <c r="V2151" t="s">
        <v>13610</v>
      </c>
      <c r="W2151" t="s">
        <v>15711</v>
      </c>
      <c r="X2151">
        <v>1</v>
      </c>
      <c r="Y2151" t="s">
        <v>22385</v>
      </c>
      <c r="Z2151" t="s">
        <v>29006</v>
      </c>
      <c r="AA2151">
        <v>0.75945611712299244</v>
      </c>
      <c r="AB2151" t="str">
        <f>HYPERLINK("Melting_Curves/meltCurve_P23634_7_ATP2B4.pdf", "Melting_Curves/meltCurve_P23634_7_ATP2B4.pdf")</f>
        <v>Melting_Curves/meltCurve_P23634_7_ATP2B4.pdf</v>
      </c>
    </row>
    <row r="2152" spans="1:28" x14ac:dyDescent="0.25">
      <c r="A2152" t="s">
        <v>2156</v>
      </c>
      <c r="B2152">
        <v>0.995954080203443</v>
      </c>
      <c r="C2152">
        <v>0.84303412389525201</v>
      </c>
      <c r="D2152">
        <v>0.795428084607678</v>
      </c>
      <c r="E2152">
        <v>0.57558359889368704</v>
      </c>
      <c r="F2152">
        <v>0.52639074749699399</v>
      </c>
      <c r="G2152">
        <v>0.36000521751597597</v>
      </c>
      <c r="H2152">
        <v>0.27633453987707202</v>
      </c>
      <c r="I2152">
        <v>0.34982737406062903</v>
      </c>
      <c r="J2152">
        <v>0.360039793188351</v>
      </c>
      <c r="K2152">
        <v>0.38441627341874701</v>
      </c>
      <c r="L2152">
        <v>669.33030065267701</v>
      </c>
      <c r="M2152">
        <v>13.8637798576757</v>
      </c>
      <c r="N2152">
        <v>52.211798997022399</v>
      </c>
      <c r="O2152">
        <v>47.3078402706955</v>
      </c>
      <c r="P2152">
        <v>-4.9531370149339199E-2</v>
      </c>
      <c r="Q2152">
        <v>0.324022825746068</v>
      </c>
      <c r="R2152">
        <v>0.96683215189851501</v>
      </c>
      <c r="S2152" t="s">
        <v>8958</v>
      </c>
      <c r="T2152" t="s">
        <v>13610</v>
      </c>
      <c r="U2152" t="s">
        <v>13610</v>
      </c>
      <c r="V2152" t="s">
        <v>13610</v>
      </c>
      <c r="W2152" t="s">
        <v>15712</v>
      </c>
      <c r="X2152">
        <v>3</v>
      </c>
      <c r="Y2152" t="s">
        <v>22386</v>
      </c>
      <c r="Z2152" t="s">
        <v>29007</v>
      </c>
      <c r="AA2152">
        <v>0.53055335528068182</v>
      </c>
      <c r="AB2152" t="str">
        <f>HYPERLINK("Melting_Curves/meltCurve_P23677_ITPKA.pdf", "Melting_Curves/meltCurve_P23677_ITPKA.pdf")</f>
        <v>Melting_Curves/meltCurve_P23677_ITPKA.pdf</v>
      </c>
    </row>
    <row r="2153" spans="1:28" x14ac:dyDescent="0.25">
      <c r="A2153" t="s">
        <v>2157</v>
      </c>
      <c r="B2153">
        <v>0.995954080203443</v>
      </c>
      <c r="C2153">
        <v>1.0460321271469399</v>
      </c>
      <c r="D2153">
        <v>1.0052458017736201</v>
      </c>
      <c r="E2153">
        <v>0.94495509950384504</v>
      </c>
      <c r="F2153">
        <v>0.87372728303041702</v>
      </c>
      <c r="G2153">
        <v>0.62765456991567903</v>
      </c>
      <c r="H2153">
        <v>0.58147589742547601</v>
      </c>
      <c r="I2153">
        <v>0.72024567836826503</v>
      </c>
      <c r="J2153">
        <v>0.76904501035202799</v>
      </c>
      <c r="K2153">
        <v>0.82416069728116703</v>
      </c>
      <c r="L2153">
        <v>5607.01799288454</v>
      </c>
      <c r="M2153">
        <v>105.507524730585</v>
      </c>
      <c r="O2153">
        <v>53.124216029463803</v>
      </c>
      <c r="P2153">
        <v>-0.146712952174991</v>
      </c>
      <c r="Q2153">
        <v>0.70451358410564902</v>
      </c>
      <c r="R2153">
        <v>0.81091111417349304</v>
      </c>
      <c r="S2153" t="s">
        <v>8959</v>
      </c>
      <c r="T2153" t="s">
        <v>13610</v>
      </c>
      <c r="U2153" t="s">
        <v>13610</v>
      </c>
      <c r="V2153" t="s">
        <v>13610</v>
      </c>
      <c r="W2153" t="s">
        <v>15713</v>
      </c>
      <c r="X2153">
        <v>3</v>
      </c>
      <c r="Y2153" t="s">
        <v>22387</v>
      </c>
      <c r="Z2153" t="s">
        <v>29008</v>
      </c>
      <c r="AA2153">
        <v>0.83412402106875616</v>
      </c>
      <c r="AB2153" t="str">
        <f>HYPERLINK("Melting_Curves/meltCurve_P23769_2_GATA2.pdf", "Melting_Curves/meltCurve_P23769_2_GATA2.pdf")</f>
        <v>Melting_Curves/meltCurve_P23769_2_GATA2.pdf</v>
      </c>
    </row>
    <row r="2154" spans="1:28" x14ac:dyDescent="0.25">
      <c r="A2154" t="s">
        <v>2158</v>
      </c>
      <c r="B2154">
        <v>0.995954080203443</v>
      </c>
      <c r="C2154">
        <v>0.49559562612637298</v>
      </c>
      <c r="D2154">
        <v>0.33279345269106603</v>
      </c>
      <c r="E2154">
        <v>0.34983232603568798</v>
      </c>
      <c r="F2154">
        <v>0.22556811264902801</v>
      </c>
      <c r="G2154">
        <v>0.15725196267227301</v>
      </c>
      <c r="H2154">
        <v>0.14649312055643501</v>
      </c>
      <c r="I2154">
        <v>0.181458499420909</v>
      </c>
      <c r="J2154">
        <v>0.196762385784474</v>
      </c>
      <c r="K2154">
        <v>0.20759236644805801</v>
      </c>
      <c r="L2154">
        <v>1822.8636299457301</v>
      </c>
      <c r="M2154">
        <v>42.949299513149199</v>
      </c>
      <c r="N2154">
        <v>43.020023577802903</v>
      </c>
      <c r="O2154">
        <v>42.350519431737801</v>
      </c>
      <c r="P2154">
        <v>-0.19796823560610999</v>
      </c>
      <c r="Q2154">
        <v>0.21916824275472599</v>
      </c>
      <c r="R2154">
        <v>0.935867608688977</v>
      </c>
      <c r="S2154" t="s">
        <v>8960</v>
      </c>
      <c r="T2154" t="s">
        <v>13610</v>
      </c>
      <c r="U2154" t="s">
        <v>13610</v>
      </c>
      <c r="V2154" t="s">
        <v>13610</v>
      </c>
      <c r="W2154" t="s">
        <v>15714</v>
      </c>
      <c r="X2154">
        <v>5</v>
      </c>
      <c r="Y2154" t="s">
        <v>22388</v>
      </c>
      <c r="Z2154" t="s">
        <v>29009</v>
      </c>
      <c r="AA2154">
        <v>0.28625359454056681</v>
      </c>
      <c r="AB2154" t="str">
        <f>HYPERLINK("Melting_Curves/meltCurve_P23786_CPT2.pdf", "Melting_Curves/meltCurve_P23786_CPT2.pdf")</f>
        <v>Melting_Curves/meltCurve_P23786_CPT2.pdf</v>
      </c>
    </row>
    <row r="2155" spans="1:28" x14ac:dyDescent="0.25">
      <c r="A2155" t="s">
        <v>2159</v>
      </c>
      <c r="B2155">
        <v>0.995954080203443</v>
      </c>
      <c r="C2155">
        <v>0.885122853742352</v>
      </c>
      <c r="D2155">
        <v>0.61976114878870003</v>
      </c>
      <c r="E2155">
        <v>0.242762082356305</v>
      </c>
      <c r="F2155">
        <v>0.111734099561291</v>
      </c>
      <c r="G2155">
        <v>6.6439485063836207E-2</v>
      </c>
      <c r="H2155">
        <v>4.3715627092061803E-2</v>
      </c>
      <c r="I2155">
        <v>3.8659560665163697E-2</v>
      </c>
      <c r="J2155">
        <v>4.1216552006051302E-2</v>
      </c>
      <c r="K2155">
        <v>3.7381193831732398E-2</v>
      </c>
      <c r="L2155">
        <v>1013.45188618183</v>
      </c>
      <c r="M2155">
        <v>21.5977450405952</v>
      </c>
      <c r="N2155">
        <v>47.100595624663299</v>
      </c>
      <c r="O2155">
        <v>46.527243664853401</v>
      </c>
      <c r="P2155">
        <v>-0.111537356976286</v>
      </c>
      <c r="Q2155">
        <v>3.88994466078533E-2</v>
      </c>
      <c r="R2155">
        <v>0.999671127147993</v>
      </c>
      <c r="S2155" t="s">
        <v>8961</v>
      </c>
      <c r="T2155" t="s">
        <v>13610</v>
      </c>
      <c r="U2155" t="s">
        <v>13610</v>
      </c>
      <c r="V2155" t="s">
        <v>13610</v>
      </c>
      <c r="W2155" t="s">
        <v>15715</v>
      </c>
      <c r="X2155">
        <v>17</v>
      </c>
      <c r="Y2155" t="s">
        <v>22389</v>
      </c>
      <c r="Z2155" t="s">
        <v>29010</v>
      </c>
      <c r="AA2155">
        <v>0.27261780330575031</v>
      </c>
      <c r="AB2155" t="str">
        <f>HYPERLINK("Melting_Curves/meltCurve_P23919_DTYMK.pdf", "Melting_Curves/meltCurve_P23919_DTYMK.pdf")</f>
        <v>Melting_Curves/meltCurve_P23919_DTYMK.pdf</v>
      </c>
    </row>
    <row r="2156" spans="1:28" x14ac:dyDescent="0.25">
      <c r="A2156" t="s">
        <v>2160</v>
      </c>
      <c r="B2156">
        <v>0.995954080203443</v>
      </c>
      <c r="C2156">
        <v>0.83454977355933802</v>
      </c>
      <c r="D2156">
        <v>0.62417209780658101</v>
      </c>
      <c r="E2156">
        <v>0.36322562965414301</v>
      </c>
      <c r="F2156">
        <v>0.203301852644697</v>
      </c>
      <c r="G2156">
        <v>0.12762131198639701</v>
      </c>
      <c r="H2156">
        <v>8.4178655123225601E-2</v>
      </c>
      <c r="I2156">
        <v>8.0397970038879593E-2</v>
      </c>
      <c r="J2156">
        <v>8.6054452359836803E-2</v>
      </c>
      <c r="K2156">
        <v>7.6798704942515006E-2</v>
      </c>
      <c r="L2156">
        <v>759.73452425073697</v>
      </c>
      <c r="M2156">
        <v>16.068336780935098</v>
      </c>
      <c r="N2156">
        <v>47.729965521685699</v>
      </c>
      <c r="O2156">
        <v>46.5673077318677</v>
      </c>
      <c r="P2156">
        <v>-8.0225603580812294E-2</v>
      </c>
      <c r="Q2156">
        <v>7.0070720973301595E-2</v>
      </c>
      <c r="R2156">
        <v>0.99736828111957898</v>
      </c>
      <c r="S2156" t="s">
        <v>8962</v>
      </c>
      <c r="T2156" t="s">
        <v>13610</v>
      </c>
      <c r="U2156" t="s">
        <v>13610</v>
      </c>
      <c r="V2156" t="s">
        <v>13610</v>
      </c>
      <c r="W2156" t="s">
        <v>15716</v>
      </c>
      <c r="X2156">
        <v>25</v>
      </c>
      <c r="Y2156" t="s">
        <v>22390</v>
      </c>
      <c r="Z2156" t="s">
        <v>29011</v>
      </c>
      <c r="AA2156">
        <v>0.31733215406696208</v>
      </c>
      <c r="AB2156" t="str">
        <f>HYPERLINK("Melting_Curves/meltCurve_P23921_RRM1.pdf", "Melting_Curves/meltCurve_P23921_RRM1.pdf")</f>
        <v>Melting_Curves/meltCurve_P23921_RRM1.pdf</v>
      </c>
    </row>
    <row r="2157" spans="1:28" x14ac:dyDescent="0.25">
      <c r="A2157" t="s">
        <v>2161</v>
      </c>
      <c r="B2157">
        <v>0.995954080203443</v>
      </c>
      <c r="C2157">
        <v>0.90692052931224298</v>
      </c>
      <c r="D2157">
        <v>0.77156955557565299</v>
      </c>
      <c r="E2157">
        <v>0.81530514075351002</v>
      </c>
      <c r="F2157">
        <v>0.34087112763233102</v>
      </c>
      <c r="G2157">
        <v>0.28029250518768001</v>
      </c>
      <c r="H2157">
        <v>0.32538492393417701</v>
      </c>
      <c r="I2157">
        <v>0.471265580722383</v>
      </c>
      <c r="J2157">
        <v>0.59456588939159605</v>
      </c>
      <c r="K2157">
        <v>0.640726273569033</v>
      </c>
      <c r="L2157">
        <v>1019.04124822095</v>
      </c>
      <c r="M2157">
        <v>21.265884431348699</v>
      </c>
      <c r="N2157">
        <v>53.823717219053997</v>
      </c>
      <c r="O2157">
        <v>47.501384493276397</v>
      </c>
      <c r="P2157">
        <v>-6.1391597540389399E-2</v>
      </c>
      <c r="Q2157">
        <v>0.45149512088861798</v>
      </c>
      <c r="R2157">
        <v>0.68006902982361495</v>
      </c>
      <c r="S2157" t="s">
        <v>8963</v>
      </c>
      <c r="T2157" t="s">
        <v>13610</v>
      </c>
      <c r="U2157" t="s">
        <v>13610</v>
      </c>
      <c r="V2157" t="s">
        <v>13610</v>
      </c>
      <c r="W2157" t="s">
        <v>15717</v>
      </c>
      <c r="X2157">
        <v>13</v>
      </c>
      <c r="Y2157" t="s">
        <v>22391</v>
      </c>
      <c r="Z2157" t="s">
        <v>29012</v>
      </c>
      <c r="AA2157">
        <v>0.60313380712854481</v>
      </c>
      <c r="AB2157" t="str">
        <f>HYPERLINK("Melting_Curves/meltCurve_P24534_EEF1B2.pdf", "Melting_Curves/meltCurve_P24534_EEF1B2.pdf")</f>
        <v>Melting_Curves/meltCurve_P24534_EEF1B2.pdf</v>
      </c>
    </row>
    <row r="2158" spans="1:28" x14ac:dyDescent="0.25">
      <c r="A2158" t="s">
        <v>2162</v>
      </c>
      <c r="B2158">
        <v>0.995954080203443</v>
      </c>
      <c r="C2158">
        <v>1.02607321507955</v>
      </c>
      <c r="D2158">
        <v>0.97919142207562104</v>
      </c>
      <c r="E2158">
        <v>0.61244413227649197</v>
      </c>
      <c r="F2158">
        <v>0.20080420975293001</v>
      </c>
      <c r="G2158">
        <v>0.115384251751267</v>
      </c>
      <c r="H2158">
        <v>7.0842907303901997E-2</v>
      </c>
      <c r="I2158">
        <v>5.6293171557680599E-2</v>
      </c>
      <c r="J2158">
        <v>6.5829192868898406E-2</v>
      </c>
      <c r="K2158">
        <v>5.8771862909057802E-2</v>
      </c>
      <c r="L2158">
        <v>1851.59226438832</v>
      </c>
      <c r="M2158">
        <v>36.694728339798502</v>
      </c>
      <c r="N2158">
        <v>50.6654316381128</v>
      </c>
      <c r="O2158">
        <v>50.3101970123735</v>
      </c>
      <c r="P2158">
        <v>-0.169702502052413</v>
      </c>
      <c r="Q2158">
        <v>6.9322355023593199E-2</v>
      </c>
      <c r="R2158">
        <v>0.99871494751311995</v>
      </c>
      <c r="S2158" t="s">
        <v>8964</v>
      </c>
      <c r="T2158" t="s">
        <v>13610</v>
      </c>
      <c r="U2158" t="s">
        <v>13610</v>
      </c>
      <c r="V2158" t="s">
        <v>13610</v>
      </c>
      <c r="W2158" t="s">
        <v>15718</v>
      </c>
      <c r="X2158">
        <v>10</v>
      </c>
      <c r="Y2158" t="s">
        <v>22392</v>
      </c>
      <c r="Z2158" t="s">
        <v>29013</v>
      </c>
      <c r="AA2158">
        <v>0.39766198615309012</v>
      </c>
      <c r="AB2158" t="str">
        <f>HYPERLINK("Melting_Curves/meltCurve_P24666_ACP1.pdf", "Melting_Curves/meltCurve_P24666_ACP1.pdf")</f>
        <v>Melting_Curves/meltCurve_P24666_ACP1.pdf</v>
      </c>
    </row>
    <row r="2159" spans="1:28" x14ac:dyDescent="0.25">
      <c r="A2159" t="s">
        <v>2163</v>
      </c>
      <c r="B2159">
        <v>0.995954080203443</v>
      </c>
      <c r="C2159">
        <v>0.95323626735331801</v>
      </c>
      <c r="D2159">
        <v>0.87566704775162496</v>
      </c>
      <c r="E2159">
        <v>0.782630942592071</v>
      </c>
      <c r="F2159">
        <v>0.597379048704752</v>
      </c>
      <c r="G2159">
        <v>0.23796426717597399</v>
      </c>
      <c r="H2159">
        <v>0.110796091710423</v>
      </c>
      <c r="I2159">
        <v>0.11373964100390201</v>
      </c>
      <c r="J2159">
        <v>0.117769123342561</v>
      </c>
      <c r="K2159">
        <v>0.10985709116695901</v>
      </c>
      <c r="L2159">
        <v>1009.9080834342</v>
      </c>
      <c r="M2159">
        <v>19.020247010385301</v>
      </c>
      <c r="N2159">
        <v>53.574234340882199</v>
      </c>
      <c r="O2159">
        <v>52.519993549689097</v>
      </c>
      <c r="P2159">
        <v>-8.3478616454717103E-2</v>
      </c>
      <c r="Q2159">
        <v>7.8009347706049295E-2</v>
      </c>
      <c r="R2159">
        <v>0.98969320163701902</v>
      </c>
      <c r="S2159" t="s">
        <v>8965</v>
      </c>
      <c r="T2159" t="s">
        <v>13610</v>
      </c>
      <c r="U2159" t="s">
        <v>13610</v>
      </c>
      <c r="V2159" t="s">
        <v>13610</v>
      </c>
      <c r="W2159" t="s">
        <v>15719</v>
      </c>
      <c r="X2159">
        <v>7</v>
      </c>
      <c r="Y2159" t="s">
        <v>22392</v>
      </c>
      <c r="Z2159" t="s">
        <v>29014</v>
      </c>
      <c r="AA2159">
        <v>0.49428472209843233</v>
      </c>
      <c r="AB2159" t="str">
        <f>HYPERLINK("Melting_Curves/meltCurve_P24666_2_ACP1.pdf", "Melting_Curves/meltCurve_P24666_2_ACP1.pdf")</f>
        <v>Melting_Curves/meltCurve_P24666_2_ACP1.pdf</v>
      </c>
    </row>
    <row r="2160" spans="1:28" x14ac:dyDescent="0.25">
      <c r="A2160" t="s">
        <v>2164</v>
      </c>
      <c r="B2160">
        <v>0.995954080203443</v>
      </c>
      <c r="C2160">
        <v>0.94327161855549402</v>
      </c>
      <c r="D2160">
        <v>0.92735624746660505</v>
      </c>
      <c r="E2160">
        <v>0.73901379777764897</v>
      </c>
      <c r="F2160">
        <v>0.178885554623511</v>
      </c>
      <c r="G2160">
        <v>0.102454670150418</v>
      </c>
      <c r="H2160">
        <v>7.1801244913661494E-2</v>
      </c>
      <c r="I2160">
        <v>6.7367014425712302E-2</v>
      </c>
      <c r="J2160">
        <v>8.1672327544810103E-2</v>
      </c>
      <c r="K2160">
        <v>7.3085040036374296E-2</v>
      </c>
      <c r="L2160">
        <v>2586.6166015540798</v>
      </c>
      <c r="M2160">
        <v>50.825363844021403</v>
      </c>
      <c r="N2160">
        <v>51.061342565596497</v>
      </c>
      <c r="O2160">
        <v>50.813638629844398</v>
      </c>
      <c r="P2160">
        <v>-0.23068856740638499</v>
      </c>
      <c r="Q2160">
        <v>7.7459350535164104E-2</v>
      </c>
      <c r="R2160">
        <v>0.99463961977845305</v>
      </c>
      <c r="S2160" t="s">
        <v>8966</v>
      </c>
      <c r="T2160" t="s">
        <v>13610</v>
      </c>
      <c r="U2160" t="s">
        <v>13610</v>
      </c>
      <c r="V2160" t="s">
        <v>13610</v>
      </c>
      <c r="W2160" t="s">
        <v>15720</v>
      </c>
      <c r="X2160">
        <v>21</v>
      </c>
      <c r="Y2160" t="s">
        <v>22393</v>
      </c>
      <c r="Z2160" t="s">
        <v>29015</v>
      </c>
      <c r="AA2160">
        <v>0.4144143533328995</v>
      </c>
      <c r="AB2160" t="str">
        <f>HYPERLINK("Melting_Curves/meltCurve_P24752_ACAT1.pdf", "Melting_Curves/meltCurve_P24752_ACAT1.pdf")</f>
        <v>Melting_Curves/meltCurve_P24752_ACAT1.pdf</v>
      </c>
    </row>
    <row r="2161" spans="1:28" x14ac:dyDescent="0.25">
      <c r="A2161" t="s">
        <v>2165</v>
      </c>
      <c r="B2161">
        <v>0.995954080203443</v>
      </c>
      <c r="C2161">
        <v>0.712762611248698</v>
      </c>
      <c r="D2161">
        <v>0.51690233839805</v>
      </c>
      <c r="E2161">
        <v>0.51316572323925203</v>
      </c>
      <c r="F2161">
        <v>0.41934768020024898</v>
      </c>
      <c r="G2161">
        <v>0.28927265949775399</v>
      </c>
      <c r="H2161">
        <v>0.27849787331479098</v>
      </c>
      <c r="I2161">
        <v>0.39112335749327698</v>
      </c>
      <c r="J2161">
        <v>0.43714137441189799</v>
      </c>
      <c r="K2161">
        <v>0.42081374282835499</v>
      </c>
      <c r="L2161">
        <v>989.79750817304898</v>
      </c>
      <c r="M2161">
        <v>22.684062578776199</v>
      </c>
      <c r="N2161">
        <v>46.612954703489898</v>
      </c>
      <c r="O2161">
        <v>43.299190263553299</v>
      </c>
      <c r="P2161">
        <v>-8.0854042932492903E-2</v>
      </c>
      <c r="Q2161">
        <v>0.38267755470702702</v>
      </c>
      <c r="R2161">
        <v>0.90103147182696597</v>
      </c>
      <c r="S2161" t="s">
        <v>8967</v>
      </c>
      <c r="T2161" t="s">
        <v>13610</v>
      </c>
      <c r="U2161" t="s">
        <v>13610</v>
      </c>
      <c r="V2161" t="s">
        <v>13610</v>
      </c>
      <c r="W2161" t="s">
        <v>15721</v>
      </c>
      <c r="X2161">
        <v>24</v>
      </c>
      <c r="Y2161" t="s">
        <v>22394</v>
      </c>
      <c r="Z2161" t="s">
        <v>29016</v>
      </c>
      <c r="AA2161">
        <v>0.46702901812759168</v>
      </c>
      <c r="AB2161" t="str">
        <f>HYPERLINK("Melting_Curves/meltCurve_P24928_POLR2A.pdf", "Melting_Curves/meltCurve_P24928_POLR2A.pdf")</f>
        <v>Melting_Curves/meltCurve_P24928_POLR2A.pdf</v>
      </c>
    </row>
    <row r="2162" spans="1:28" x14ac:dyDescent="0.25">
      <c r="A2162" t="s">
        <v>2166</v>
      </c>
      <c r="B2162">
        <v>0.995954080203443</v>
      </c>
      <c r="C2162">
        <v>1.03200647076929</v>
      </c>
      <c r="D2162">
        <v>0.991511493289431</v>
      </c>
      <c r="E2162">
        <v>0.802087034879432</v>
      </c>
      <c r="F2162">
        <v>0.52056555114953496</v>
      </c>
      <c r="G2162">
        <v>0.33399447962098699</v>
      </c>
      <c r="H2162">
        <v>0.21834213993218399</v>
      </c>
      <c r="I2162">
        <v>0.193583673395093</v>
      </c>
      <c r="J2162">
        <v>0.18324459918876701</v>
      </c>
      <c r="K2162">
        <v>0.172886582566911</v>
      </c>
      <c r="L2162">
        <v>1169.67182227543</v>
      </c>
      <c r="M2162">
        <v>22.286815568918499</v>
      </c>
      <c r="N2162">
        <v>53.565992531010899</v>
      </c>
      <c r="O2162">
        <v>52.065617917134702</v>
      </c>
      <c r="P2162">
        <v>-8.7600946459457096E-2</v>
      </c>
      <c r="Q2162">
        <v>0.18141725218378099</v>
      </c>
      <c r="R2162">
        <v>0.99677961870504905</v>
      </c>
      <c r="S2162" t="s">
        <v>8968</v>
      </c>
      <c r="T2162" t="s">
        <v>13610</v>
      </c>
      <c r="U2162" t="s">
        <v>13610</v>
      </c>
      <c r="V2162" t="s">
        <v>13610</v>
      </c>
      <c r="W2162" t="s">
        <v>15722</v>
      </c>
      <c r="X2162">
        <v>17</v>
      </c>
      <c r="Y2162" t="s">
        <v>22395</v>
      </c>
      <c r="Z2162" t="s">
        <v>29017</v>
      </c>
      <c r="AA2162">
        <v>0.53132611435914856</v>
      </c>
      <c r="AB2162" t="str">
        <f>HYPERLINK("Melting_Curves/meltCurve_P24941_CDK2.pdf", "Melting_Curves/meltCurve_P24941_CDK2.pdf")</f>
        <v>Melting_Curves/meltCurve_P24941_CDK2.pdf</v>
      </c>
    </row>
    <row r="2163" spans="1:28" x14ac:dyDescent="0.25">
      <c r="A2163" t="s">
        <v>2167</v>
      </c>
      <c r="B2163">
        <v>0.995954080203443</v>
      </c>
      <c r="C2163">
        <v>0.932410244597358</v>
      </c>
      <c r="D2163">
        <v>0.99536978736158499</v>
      </c>
      <c r="E2163">
        <v>0.83180297959721905</v>
      </c>
      <c r="F2163">
        <v>0.87565466098667699</v>
      </c>
      <c r="G2163">
        <v>0.66525099466956705</v>
      </c>
      <c r="H2163">
        <v>0.655720189754325</v>
      </c>
      <c r="I2163">
        <v>0.79581172573027603</v>
      </c>
      <c r="J2163">
        <v>1.0354400966731501</v>
      </c>
      <c r="K2163">
        <v>0.92464452480987702</v>
      </c>
      <c r="L2163">
        <v>3672.9550945485798</v>
      </c>
      <c r="M2163">
        <v>76.474479401365599</v>
      </c>
      <c r="O2163">
        <v>47.995700721860103</v>
      </c>
      <c r="P2163">
        <v>-6.9647892566851693E-2</v>
      </c>
      <c r="Q2163">
        <v>0.82515482052868605</v>
      </c>
      <c r="R2163">
        <v>0.27561628393065701</v>
      </c>
      <c r="S2163" t="s">
        <v>8969</v>
      </c>
      <c r="T2163" t="s">
        <v>13610</v>
      </c>
      <c r="U2163" t="s">
        <v>13610</v>
      </c>
      <c r="V2163" t="s">
        <v>13610</v>
      </c>
      <c r="W2163" t="s">
        <v>15723</v>
      </c>
      <c r="X2163">
        <v>19</v>
      </c>
      <c r="Y2163" t="s">
        <v>22396</v>
      </c>
      <c r="Z2163" t="s">
        <v>29018</v>
      </c>
      <c r="AA2163">
        <v>0.87210418435571002</v>
      </c>
      <c r="AB2163" t="str">
        <f>HYPERLINK("Melting_Curves/meltCurve_P25054_2_APC.pdf", "Melting_Curves/meltCurve_P25054_2_APC.pdf")</f>
        <v>Melting_Curves/meltCurve_P25054_2_APC.pdf</v>
      </c>
    </row>
    <row r="2164" spans="1:28" x14ac:dyDescent="0.25">
      <c r="A2164" t="s">
        <v>2168</v>
      </c>
      <c r="B2164">
        <v>0.995954080203443</v>
      </c>
      <c r="C2164">
        <v>0.94529658169851505</v>
      </c>
      <c r="D2164">
        <v>0.81507808142224802</v>
      </c>
      <c r="E2164">
        <v>0.51374074241074796</v>
      </c>
      <c r="F2164">
        <v>0.184748943228257</v>
      </c>
      <c r="G2164">
        <v>0.116959198577979</v>
      </c>
      <c r="H2164">
        <v>8.5029231390153295E-2</v>
      </c>
      <c r="I2164">
        <v>8.61353472334625E-2</v>
      </c>
      <c r="J2164">
        <v>9.8248838514912007E-2</v>
      </c>
      <c r="K2164">
        <v>8.95078264466172E-2</v>
      </c>
      <c r="L2164">
        <v>1092.2763873193601</v>
      </c>
      <c r="M2164">
        <v>22.175813826953402</v>
      </c>
      <c r="N2164">
        <v>49.636101240118599</v>
      </c>
      <c r="O2164">
        <v>48.860008150761601</v>
      </c>
      <c r="P2164">
        <v>-0.104592811869826</v>
      </c>
      <c r="Q2164">
        <v>7.8221837280689904E-2</v>
      </c>
      <c r="R2164">
        <v>0.99489728100479902</v>
      </c>
      <c r="S2164" t="s">
        <v>8970</v>
      </c>
      <c r="T2164" t="s">
        <v>13610</v>
      </c>
      <c r="U2164" t="s">
        <v>13610</v>
      </c>
      <c r="V2164" t="s">
        <v>13610</v>
      </c>
      <c r="W2164" t="s">
        <v>15724</v>
      </c>
      <c r="X2164">
        <v>27</v>
      </c>
      <c r="Y2164" t="s">
        <v>22397</v>
      </c>
      <c r="Z2164" t="s">
        <v>29019</v>
      </c>
      <c r="AA2164">
        <v>0.37305294995949873</v>
      </c>
      <c r="AB2164" t="str">
        <f>HYPERLINK("Melting_Curves/meltCurve_P25098_ADRBK1.pdf", "Melting_Curves/meltCurve_P25098_ADRBK1.pdf")</f>
        <v>Melting_Curves/meltCurve_P25098_ADRBK1.pdf</v>
      </c>
    </row>
    <row r="2165" spans="1:28" x14ac:dyDescent="0.25">
      <c r="A2165" t="s">
        <v>2169</v>
      </c>
      <c r="B2165">
        <v>0.995954080203443</v>
      </c>
      <c r="C2165">
        <v>0.74335738903360804</v>
      </c>
      <c r="D2165">
        <v>0.49034509636134599</v>
      </c>
      <c r="E2165">
        <v>0.469675734648692</v>
      </c>
      <c r="F2165">
        <v>0.23330462146634801</v>
      </c>
      <c r="G2165">
        <v>0.117731610249088</v>
      </c>
      <c r="H2165">
        <v>7.27707986829121E-2</v>
      </c>
      <c r="I2165">
        <v>6.5083879113783799E-2</v>
      </c>
      <c r="J2165">
        <v>7.1387561137004701E-2</v>
      </c>
      <c r="K2165">
        <v>6.6227474211131607E-2</v>
      </c>
      <c r="L2165">
        <v>557.92444091508105</v>
      </c>
      <c r="M2165">
        <v>11.828582020859301</v>
      </c>
      <c r="N2165">
        <v>47.440084894506803</v>
      </c>
      <c r="O2165">
        <v>45.879955848965302</v>
      </c>
      <c r="P2165">
        <v>-6.2352302265956699E-2</v>
      </c>
      <c r="Q2165">
        <v>3.2854075647183102E-2</v>
      </c>
      <c r="R2165">
        <v>0.96559123673015501</v>
      </c>
      <c r="S2165" t="s">
        <v>8971</v>
      </c>
      <c r="T2165" t="s">
        <v>13610</v>
      </c>
      <c r="U2165" t="s">
        <v>13610</v>
      </c>
      <c r="V2165" t="s">
        <v>13610</v>
      </c>
      <c r="W2165" t="s">
        <v>15725</v>
      </c>
      <c r="X2165">
        <v>50</v>
      </c>
      <c r="Y2165" t="s">
        <v>22398</v>
      </c>
      <c r="Z2165" t="s">
        <v>29020</v>
      </c>
      <c r="AA2165">
        <v>0.3050828040685768</v>
      </c>
      <c r="AB2165" t="str">
        <f>HYPERLINK("Melting_Curves/meltCurve_P25205_MCM3.pdf", "Melting_Curves/meltCurve_P25205_MCM3.pdf")</f>
        <v>Melting_Curves/meltCurve_P25205_MCM3.pdf</v>
      </c>
    </row>
    <row r="2166" spans="1:28" x14ac:dyDescent="0.25">
      <c r="A2166" t="s">
        <v>2170</v>
      </c>
      <c r="B2166">
        <v>0.995954080203443</v>
      </c>
      <c r="C2166">
        <v>0.99203129085306396</v>
      </c>
      <c r="D2166">
        <v>0.92413723002720005</v>
      </c>
      <c r="E2166">
        <v>0.641420112921258</v>
      </c>
      <c r="F2166">
        <v>0.317930442790823</v>
      </c>
      <c r="G2166">
        <v>0.183246186897948</v>
      </c>
      <c r="H2166">
        <v>0.12876404486054299</v>
      </c>
      <c r="I2166">
        <v>0.12004106234221799</v>
      </c>
      <c r="J2166">
        <v>0.13762281574680299</v>
      </c>
      <c r="K2166">
        <v>0.13094209690251801</v>
      </c>
      <c r="L2166">
        <v>1315.70000919888</v>
      </c>
      <c r="M2166">
        <v>26.008643977467099</v>
      </c>
      <c r="N2166">
        <v>51.161749488625503</v>
      </c>
      <c r="O2166">
        <v>50.290810724445898</v>
      </c>
      <c r="P2166">
        <v>-0.112913904360502</v>
      </c>
      <c r="Q2166">
        <v>0.12668010871559701</v>
      </c>
      <c r="R2166">
        <v>0.99927360931543996</v>
      </c>
      <c r="S2166" t="s">
        <v>8972</v>
      </c>
      <c r="T2166" t="s">
        <v>13610</v>
      </c>
      <c r="U2166" t="s">
        <v>13610</v>
      </c>
      <c r="V2166" t="s">
        <v>13610</v>
      </c>
      <c r="W2166" t="s">
        <v>15726</v>
      </c>
      <c r="X2166">
        <v>8</v>
      </c>
      <c r="Y2166" t="s">
        <v>22399</v>
      </c>
      <c r="Z2166" t="s">
        <v>29021</v>
      </c>
      <c r="AA2166">
        <v>0.44213530757162622</v>
      </c>
      <c r="AB2166" t="str">
        <f>HYPERLINK("Melting_Curves/meltCurve_P25398_RPS12.pdf", "Melting_Curves/meltCurve_P25398_RPS12.pdf")</f>
        <v>Melting_Curves/meltCurve_P25398_RPS12.pdf</v>
      </c>
    </row>
    <row r="2167" spans="1:28" x14ac:dyDescent="0.25">
      <c r="A2167" t="s">
        <v>2171</v>
      </c>
      <c r="B2167">
        <v>0.995954080203443</v>
      </c>
      <c r="C2167">
        <v>0.932659654979209</v>
      </c>
      <c r="D2167">
        <v>0.95196319476001101</v>
      </c>
      <c r="E2167">
        <v>0.74229278200045901</v>
      </c>
      <c r="F2167">
        <v>0.70132162994580105</v>
      </c>
      <c r="G2167">
        <v>0.54321055738063395</v>
      </c>
      <c r="H2167">
        <v>0.51899709986676901</v>
      </c>
      <c r="I2167">
        <v>0.62870042975614904</v>
      </c>
      <c r="J2167">
        <v>0.81557260808492205</v>
      </c>
      <c r="K2167">
        <v>0.78350954777297299</v>
      </c>
      <c r="L2167">
        <v>1571.58134808817</v>
      </c>
      <c r="M2167">
        <v>32.564246121537302</v>
      </c>
      <c r="O2167">
        <v>48.080016895301704</v>
      </c>
      <c r="P2167">
        <v>-5.7290130186038998E-2</v>
      </c>
      <c r="Q2167">
        <v>0.66165360642413695</v>
      </c>
      <c r="R2167">
        <v>0.68639161267882698</v>
      </c>
      <c r="S2167" t="s">
        <v>8973</v>
      </c>
      <c r="T2167" t="s">
        <v>13610</v>
      </c>
      <c r="U2167" t="s">
        <v>13610</v>
      </c>
      <c r="V2167" t="s">
        <v>13610</v>
      </c>
      <c r="W2167" t="s">
        <v>15727</v>
      </c>
      <c r="X2167">
        <v>15</v>
      </c>
      <c r="Y2167" t="s">
        <v>22400</v>
      </c>
      <c r="Z2167" t="s">
        <v>29022</v>
      </c>
      <c r="AA2167">
        <v>0.75654518161742235</v>
      </c>
      <c r="AB2167" t="str">
        <f>HYPERLINK("Melting_Curves/meltCurve_P25440_BRD2.pdf", "Melting_Curves/meltCurve_P25440_BRD2.pdf")</f>
        <v>Melting_Curves/meltCurve_P25440_BRD2.pdf</v>
      </c>
    </row>
    <row r="2168" spans="1:28" x14ac:dyDescent="0.25">
      <c r="A2168" t="s">
        <v>2172</v>
      </c>
      <c r="B2168">
        <v>0.995954080203443</v>
      </c>
      <c r="C2168">
        <v>0.95420994240296297</v>
      </c>
      <c r="D2168">
        <v>0.79172846725815205</v>
      </c>
      <c r="E2168">
        <v>0.50065859635029897</v>
      </c>
      <c r="F2168">
        <v>0.33133794369951602</v>
      </c>
      <c r="G2168">
        <v>0.23924161987849199</v>
      </c>
      <c r="H2168">
        <v>0.21028671843702601</v>
      </c>
      <c r="I2168">
        <v>0.27526572083838402</v>
      </c>
      <c r="J2168">
        <v>0.225465844739934</v>
      </c>
      <c r="K2168">
        <v>0.283936774713684</v>
      </c>
      <c r="L2168">
        <v>1043.0849152089199</v>
      </c>
      <c r="M2168">
        <v>21.616634536635001</v>
      </c>
      <c r="N2168">
        <v>49.757875153735498</v>
      </c>
      <c r="O2168">
        <v>47.846543492949699</v>
      </c>
      <c r="P2168">
        <v>-8.5857152228034098E-2</v>
      </c>
      <c r="Q2168">
        <v>0.239868795632843</v>
      </c>
      <c r="R2168">
        <v>0.99344029395858902</v>
      </c>
      <c r="S2168" t="s">
        <v>8974</v>
      </c>
      <c r="T2168" t="s">
        <v>13610</v>
      </c>
      <c r="U2168" t="s">
        <v>13610</v>
      </c>
      <c r="V2168" t="s">
        <v>13610</v>
      </c>
      <c r="W2168" t="s">
        <v>15728</v>
      </c>
      <c r="X2168">
        <v>25</v>
      </c>
      <c r="Y2168" t="s">
        <v>22401</v>
      </c>
      <c r="Z2168" t="s">
        <v>29023</v>
      </c>
      <c r="AA2168">
        <v>0.45813006517977323</v>
      </c>
      <c r="AB2168" t="str">
        <f>HYPERLINK("Melting_Curves/meltCurve_P25685_DNAJB1.pdf", "Melting_Curves/meltCurve_P25685_DNAJB1.pdf")</f>
        <v>Melting_Curves/meltCurve_P25685_DNAJB1.pdf</v>
      </c>
    </row>
    <row r="2169" spans="1:28" x14ac:dyDescent="0.25">
      <c r="A2169" t="s">
        <v>2173</v>
      </c>
      <c r="B2169">
        <v>0.995954080203443</v>
      </c>
      <c r="C2169">
        <v>0.779943839712117</v>
      </c>
      <c r="D2169">
        <v>0.538494158577837</v>
      </c>
      <c r="E2169">
        <v>0.568863346843827</v>
      </c>
      <c r="F2169">
        <v>0.35220734336022702</v>
      </c>
      <c r="G2169">
        <v>0.21187683260681101</v>
      </c>
      <c r="H2169">
        <v>0.18094360437054899</v>
      </c>
      <c r="I2169">
        <v>0.19274215564291899</v>
      </c>
      <c r="J2169">
        <v>0.218181534940981</v>
      </c>
      <c r="K2169">
        <v>0.21338172061456601</v>
      </c>
      <c r="L2169">
        <v>557.13335149805403</v>
      </c>
      <c r="M2169">
        <v>11.8272652988105</v>
      </c>
      <c r="N2169">
        <v>48.812981156226897</v>
      </c>
      <c r="O2169">
        <v>45.819733891819901</v>
      </c>
      <c r="P2169">
        <v>-5.3614925277489997E-2</v>
      </c>
      <c r="Q2169">
        <v>0.16937874163050401</v>
      </c>
      <c r="R2169">
        <v>0.94641857210130098</v>
      </c>
      <c r="S2169" t="s">
        <v>8975</v>
      </c>
      <c r="T2169" t="s">
        <v>13610</v>
      </c>
      <c r="U2169" t="s">
        <v>13610</v>
      </c>
      <c r="V2169" t="s">
        <v>13610</v>
      </c>
      <c r="W2169" t="s">
        <v>15729</v>
      </c>
      <c r="X2169">
        <v>16</v>
      </c>
      <c r="Y2169" t="s">
        <v>22402</v>
      </c>
      <c r="Z2169" t="s">
        <v>29024</v>
      </c>
      <c r="AA2169">
        <v>0.40164193246818147</v>
      </c>
      <c r="AB2169" t="str">
        <f>HYPERLINK("Melting_Curves/meltCurve_P25705_ATP5A1.pdf", "Melting_Curves/meltCurve_P25705_ATP5A1.pdf")</f>
        <v>Melting_Curves/meltCurve_P25705_ATP5A1.pdf</v>
      </c>
    </row>
    <row r="2170" spans="1:28" x14ac:dyDescent="0.25">
      <c r="A2170" t="s">
        <v>2174</v>
      </c>
      <c r="B2170">
        <v>0.995954080203443</v>
      </c>
      <c r="C2170">
        <v>0.89463161879798503</v>
      </c>
      <c r="D2170">
        <v>0.88066471203302299</v>
      </c>
      <c r="E2170">
        <v>0.78028620283532402</v>
      </c>
      <c r="F2170">
        <v>0.72890311185451695</v>
      </c>
      <c r="G2170">
        <v>0.50165252799570303</v>
      </c>
      <c r="H2170">
        <v>0.44500114917359201</v>
      </c>
      <c r="I2170">
        <v>0.48972444939027698</v>
      </c>
      <c r="J2170">
        <v>0.59957396015146303</v>
      </c>
      <c r="K2170">
        <v>0.43621199147985401</v>
      </c>
      <c r="L2170">
        <v>645.04817828701403</v>
      </c>
      <c r="M2170">
        <v>12.649646596398</v>
      </c>
      <c r="N2170">
        <v>63.0248020847608</v>
      </c>
      <c r="O2170">
        <v>49.769329599879697</v>
      </c>
      <c r="P2170">
        <v>-3.4617279007739699E-2</v>
      </c>
      <c r="Q2170">
        <v>0.45530795415844999</v>
      </c>
      <c r="R2170">
        <v>0.91371803205136803</v>
      </c>
      <c r="S2170" t="s">
        <v>8976</v>
      </c>
      <c r="T2170" t="s">
        <v>13610</v>
      </c>
      <c r="U2170" t="s">
        <v>13610</v>
      </c>
      <c r="V2170" t="s">
        <v>13610</v>
      </c>
      <c r="W2170" t="s">
        <v>15730</v>
      </c>
      <c r="X2170">
        <v>5</v>
      </c>
      <c r="Y2170" t="s">
        <v>22403</v>
      </c>
      <c r="Z2170" t="s">
        <v>29025</v>
      </c>
      <c r="AA2170">
        <v>0.67136394945248989</v>
      </c>
      <c r="AB2170" t="str">
        <f>HYPERLINK("Melting_Curves/meltCurve_P25774_2_CTSS.pdf", "Melting_Curves/meltCurve_P25774_2_CTSS.pdf")</f>
        <v>Melting_Curves/meltCurve_P25774_2_CTSS.pdf</v>
      </c>
    </row>
    <row r="2171" spans="1:28" x14ac:dyDescent="0.25">
      <c r="A2171" t="s">
        <v>2175</v>
      </c>
      <c r="B2171">
        <v>0.995954080203443</v>
      </c>
      <c r="C2171">
        <v>0.72140818522560002</v>
      </c>
      <c r="D2171">
        <v>0.51642562157009098</v>
      </c>
      <c r="E2171">
        <v>0.84496372600678205</v>
      </c>
      <c r="F2171">
        <v>0.63091329332198798</v>
      </c>
      <c r="G2171">
        <v>0.55579219513042299</v>
      </c>
      <c r="H2171">
        <v>0.26799663752028302</v>
      </c>
      <c r="I2171">
        <v>0.27728994425987002</v>
      </c>
      <c r="J2171">
        <v>0.11192865285751299</v>
      </c>
      <c r="K2171">
        <v>0.33846971375840201</v>
      </c>
      <c r="L2171">
        <v>310.47188265257398</v>
      </c>
      <c r="M2171">
        <v>5.6372862814450597</v>
      </c>
      <c r="N2171">
        <v>55.074705643401501</v>
      </c>
      <c r="O2171">
        <v>49.316983964941997</v>
      </c>
      <c r="P2171">
        <v>-2.8692247998810799E-2</v>
      </c>
      <c r="Q2171">
        <v>0</v>
      </c>
      <c r="R2171">
        <v>0.73977085553369004</v>
      </c>
      <c r="S2171" t="s">
        <v>8977</v>
      </c>
      <c r="T2171" t="s">
        <v>13610</v>
      </c>
      <c r="U2171" t="s">
        <v>13610</v>
      </c>
      <c r="V2171" t="s">
        <v>13610</v>
      </c>
      <c r="W2171" t="s">
        <v>15731</v>
      </c>
      <c r="X2171">
        <v>23</v>
      </c>
      <c r="Y2171" t="s">
        <v>22404</v>
      </c>
      <c r="Z2171" t="s">
        <v>29026</v>
      </c>
      <c r="AA2171">
        <v>0.52720395474004511</v>
      </c>
      <c r="AB2171" t="str">
        <f>HYPERLINK("Melting_Curves/meltCurve_P25786_PSMA1.pdf", "Melting_Curves/meltCurve_P25786_PSMA1.pdf")</f>
        <v>Melting_Curves/meltCurve_P25786_PSMA1.pdf</v>
      </c>
    </row>
    <row r="2172" spans="1:28" x14ac:dyDescent="0.25">
      <c r="A2172" t="s">
        <v>2176</v>
      </c>
      <c r="B2172">
        <v>0.995954080203443</v>
      </c>
      <c r="C2172">
        <v>0.69850600207777602</v>
      </c>
      <c r="D2172">
        <v>0.55255411401841004</v>
      </c>
      <c r="E2172">
        <v>0.84676933149901501</v>
      </c>
      <c r="F2172">
        <v>0.70113143503708497</v>
      </c>
      <c r="G2172">
        <v>0.61120095250500694</v>
      </c>
      <c r="H2172">
        <v>0.29648348654523099</v>
      </c>
      <c r="I2172">
        <v>0.30992574009227802</v>
      </c>
      <c r="J2172">
        <v>0.13263922275276799</v>
      </c>
      <c r="K2172">
        <v>0.35254840559524597</v>
      </c>
      <c r="L2172">
        <v>305.225509245078</v>
      </c>
      <c r="M2172">
        <v>5.41040708445904</v>
      </c>
      <c r="N2172">
        <v>56.414518254746397</v>
      </c>
      <c r="O2172">
        <v>50.1008651576701</v>
      </c>
      <c r="P2172">
        <v>-2.7123529636605699E-2</v>
      </c>
      <c r="Q2172">
        <v>0</v>
      </c>
      <c r="R2172">
        <v>0.71901660338095996</v>
      </c>
      <c r="S2172" t="s">
        <v>8978</v>
      </c>
      <c r="T2172" t="s">
        <v>13610</v>
      </c>
      <c r="U2172" t="s">
        <v>13610</v>
      </c>
      <c r="V2172" t="s">
        <v>13610</v>
      </c>
      <c r="W2172" t="s">
        <v>15732</v>
      </c>
      <c r="X2172">
        <v>15</v>
      </c>
      <c r="Y2172" t="s">
        <v>22405</v>
      </c>
      <c r="Z2172" t="s">
        <v>29027</v>
      </c>
      <c r="AA2172">
        <v>0.55440024807100508</v>
      </c>
      <c r="AB2172" t="str">
        <f>HYPERLINK("Melting_Curves/meltCurve_P25787_PSMA2.pdf", "Melting_Curves/meltCurve_P25787_PSMA2.pdf")</f>
        <v>Melting_Curves/meltCurve_P25787_PSMA2.pdf</v>
      </c>
    </row>
    <row r="2173" spans="1:28" x14ac:dyDescent="0.25">
      <c r="A2173" t="s">
        <v>2177</v>
      </c>
      <c r="B2173">
        <v>0.995954080203443</v>
      </c>
      <c r="C2173">
        <v>0.70318592121894297</v>
      </c>
      <c r="D2173">
        <v>0.51751999000474702</v>
      </c>
      <c r="E2173">
        <v>0.86939361764635004</v>
      </c>
      <c r="F2173">
        <v>0.638336364482884</v>
      </c>
      <c r="G2173">
        <v>0.53921386285770101</v>
      </c>
      <c r="H2173">
        <v>0.25206666866093902</v>
      </c>
      <c r="I2173">
        <v>0.25390818394976999</v>
      </c>
      <c r="J2173">
        <v>0.113456336296321</v>
      </c>
      <c r="K2173">
        <v>0.319370544780606</v>
      </c>
      <c r="L2173">
        <v>321.29954762780801</v>
      </c>
      <c r="M2173">
        <v>5.8561798027052703</v>
      </c>
      <c r="N2173">
        <v>54.865041433754499</v>
      </c>
      <c r="O2173">
        <v>49.484688169566603</v>
      </c>
      <c r="P2173">
        <v>-2.9690277459738498E-2</v>
      </c>
      <c r="Q2173">
        <v>0</v>
      </c>
      <c r="R2173">
        <v>0.73475140986208198</v>
      </c>
      <c r="S2173" t="s">
        <v>8979</v>
      </c>
      <c r="T2173" t="s">
        <v>13610</v>
      </c>
      <c r="U2173" t="s">
        <v>13610</v>
      </c>
      <c r="V2173" t="s">
        <v>13610</v>
      </c>
      <c r="W2173" t="s">
        <v>15733</v>
      </c>
      <c r="X2173">
        <v>14</v>
      </c>
      <c r="Y2173" t="s">
        <v>22406</v>
      </c>
      <c r="Z2173" t="s">
        <v>29028</v>
      </c>
      <c r="AA2173">
        <v>0.52297862837120435</v>
      </c>
      <c r="AB2173" t="str">
        <f>HYPERLINK("Melting_Curves/meltCurve_P25788_2_PSMA3.pdf", "Melting_Curves/meltCurve_P25788_2_PSMA3.pdf")</f>
        <v>Melting_Curves/meltCurve_P25788_2_PSMA3.pdf</v>
      </c>
    </row>
    <row r="2174" spans="1:28" x14ac:dyDescent="0.25">
      <c r="A2174" t="s">
        <v>2178</v>
      </c>
      <c r="B2174">
        <v>0.995954080203443</v>
      </c>
      <c r="C2174">
        <v>0.71373132783173099</v>
      </c>
      <c r="D2174">
        <v>0.48641310807389199</v>
      </c>
      <c r="E2174">
        <v>0.86262501694854798</v>
      </c>
      <c r="F2174">
        <v>0.67017963394663405</v>
      </c>
      <c r="G2174">
        <v>0.626699144588311</v>
      </c>
      <c r="H2174">
        <v>0.29251020258802501</v>
      </c>
      <c r="I2174">
        <v>0.29448884664126002</v>
      </c>
      <c r="J2174">
        <v>9.5868188812069793E-2</v>
      </c>
      <c r="K2174">
        <v>0.36734969130735301</v>
      </c>
      <c r="L2174">
        <v>297.76673347673699</v>
      </c>
      <c r="M2174">
        <v>5.3249587858248999</v>
      </c>
      <c r="N2174">
        <v>55.9190681899506</v>
      </c>
      <c r="O2174">
        <v>49.494983976799801</v>
      </c>
      <c r="P2174">
        <v>-2.70290889494475E-2</v>
      </c>
      <c r="Q2174">
        <v>0</v>
      </c>
      <c r="R2174">
        <v>0.66676501302709701</v>
      </c>
      <c r="S2174" t="s">
        <v>8980</v>
      </c>
      <c r="T2174" t="s">
        <v>13610</v>
      </c>
      <c r="U2174" t="s">
        <v>13610</v>
      </c>
      <c r="V2174" t="s">
        <v>13610</v>
      </c>
      <c r="W2174" t="s">
        <v>15734</v>
      </c>
      <c r="X2174">
        <v>17</v>
      </c>
      <c r="Y2174" t="s">
        <v>22407</v>
      </c>
      <c r="Z2174" t="s">
        <v>29029</v>
      </c>
      <c r="AA2174">
        <v>0.54387047961529256</v>
      </c>
      <c r="AB2174" t="str">
        <f>HYPERLINK("Melting_Curves/meltCurve_P25789_PSMA4.pdf", "Melting_Curves/meltCurve_P25789_PSMA4.pdf")</f>
        <v>Melting_Curves/meltCurve_P25789_PSMA4.pdf</v>
      </c>
    </row>
    <row r="2175" spans="1:28" x14ac:dyDescent="0.25">
      <c r="A2175" t="s">
        <v>2179</v>
      </c>
      <c r="B2175">
        <v>0.995954080203443</v>
      </c>
      <c r="C2175">
        <v>0.98218342258774405</v>
      </c>
      <c r="D2175">
        <v>1.0537908557270601</v>
      </c>
      <c r="E2175">
        <v>0.88577425491390405</v>
      </c>
      <c r="F2175">
        <v>0.914502174807174</v>
      </c>
      <c r="G2175">
        <v>0.63103065855103102</v>
      </c>
      <c r="H2175">
        <v>0.45394210926063899</v>
      </c>
      <c r="I2175">
        <v>0.33274142153618502</v>
      </c>
      <c r="J2175">
        <v>0.27838416998611498</v>
      </c>
      <c r="K2175">
        <v>0.18877798411667299</v>
      </c>
      <c r="L2175">
        <v>905.81463412236099</v>
      </c>
      <c r="M2175">
        <v>15.4617418958304</v>
      </c>
      <c r="N2175">
        <v>59.942944628760799</v>
      </c>
      <c r="O2175">
        <v>57.6305019208556</v>
      </c>
      <c r="P2175">
        <v>-5.7163249956413698E-2</v>
      </c>
      <c r="Q2175">
        <v>0.14781857391888401</v>
      </c>
      <c r="R2175">
        <v>0.98692268876417599</v>
      </c>
      <c r="S2175" t="s">
        <v>8981</v>
      </c>
      <c r="T2175" t="s">
        <v>13610</v>
      </c>
      <c r="U2175" t="s">
        <v>13610</v>
      </c>
      <c r="V2175" t="s">
        <v>13610</v>
      </c>
      <c r="W2175" t="s">
        <v>15735</v>
      </c>
      <c r="X2175">
        <v>5</v>
      </c>
      <c r="Y2175" t="s">
        <v>22408</v>
      </c>
      <c r="Z2175" t="s">
        <v>29030</v>
      </c>
      <c r="AA2175">
        <v>0.68579314626217047</v>
      </c>
      <c r="AB2175" t="str">
        <f>HYPERLINK("Melting_Curves/meltCurve_P25815_S100P.pdf", "Melting_Curves/meltCurve_P25815_S100P.pdf")</f>
        <v>Melting_Curves/meltCurve_P25815_S100P.pdf</v>
      </c>
    </row>
    <row r="2176" spans="1:28" x14ac:dyDescent="0.25">
      <c r="A2176" t="s">
        <v>2180</v>
      </c>
      <c r="B2176">
        <v>0.995954080203443</v>
      </c>
      <c r="C2176">
        <v>1.10228760491843</v>
      </c>
      <c r="D2176">
        <v>0.93701007236164102</v>
      </c>
      <c r="E2176">
        <v>0.96786713337233499</v>
      </c>
      <c r="F2176">
        <v>0.68334599502996496</v>
      </c>
      <c r="G2176">
        <v>0.11694516993587099</v>
      </c>
      <c r="H2176">
        <v>8.1151485567070997E-2</v>
      </c>
      <c r="I2176">
        <v>5.9535532274508002E-2</v>
      </c>
      <c r="J2176">
        <v>6.9458430161515594E-2</v>
      </c>
      <c r="K2176">
        <v>6.2492250990427503E-2</v>
      </c>
      <c r="L2176">
        <v>2585.4481908828002</v>
      </c>
      <c r="M2176">
        <v>48.123930793973301</v>
      </c>
      <c r="N2176">
        <v>53.884073638483301</v>
      </c>
      <c r="O2176">
        <v>53.632266199021501</v>
      </c>
      <c r="P2176">
        <v>-0.20945247146962601</v>
      </c>
      <c r="Q2176">
        <v>6.6294095688479299E-2</v>
      </c>
      <c r="R2176">
        <v>0.99243991397666598</v>
      </c>
      <c r="S2176" t="s">
        <v>8982</v>
      </c>
      <c r="T2176" t="s">
        <v>13610</v>
      </c>
      <c r="U2176" t="s">
        <v>13610</v>
      </c>
      <c r="V2176" t="s">
        <v>13610</v>
      </c>
      <c r="W2176" t="s">
        <v>15736</v>
      </c>
      <c r="X2176">
        <v>65</v>
      </c>
      <c r="Y2176" t="s">
        <v>22409</v>
      </c>
      <c r="Z2176" t="s">
        <v>29031</v>
      </c>
      <c r="AA2176">
        <v>0.49584689842075191</v>
      </c>
      <c r="AB2176" t="str">
        <f>HYPERLINK("Melting_Curves/meltCurve_P26038_MSN.pdf", "Melting_Curves/meltCurve_P26038_MSN.pdf")</f>
        <v>Melting_Curves/meltCurve_P26038_MSN.pdf</v>
      </c>
    </row>
    <row r="2177" spans="1:28" x14ac:dyDescent="0.25">
      <c r="A2177" t="s">
        <v>2181</v>
      </c>
      <c r="B2177">
        <v>0.995954080203443</v>
      </c>
      <c r="C2177">
        <v>0.980376310021849</v>
      </c>
      <c r="D2177">
        <v>0.89138880680843802</v>
      </c>
      <c r="E2177">
        <v>0.68036004048800702</v>
      </c>
      <c r="F2177">
        <v>0.223892935276159</v>
      </c>
      <c r="G2177">
        <v>0.12390557824973</v>
      </c>
      <c r="H2177">
        <v>9.3837936397409102E-2</v>
      </c>
      <c r="I2177">
        <v>0.10082202593356999</v>
      </c>
      <c r="J2177">
        <v>0.126104375443885</v>
      </c>
      <c r="K2177">
        <v>0.110326728371804</v>
      </c>
      <c r="L2177">
        <v>1903.4011657654601</v>
      </c>
      <c r="M2177">
        <v>37.581916286373101</v>
      </c>
      <c r="N2177">
        <v>50.967141618313001</v>
      </c>
      <c r="O2177">
        <v>50.503978817270401</v>
      </c>
      <c r="P2177">
        <v>-0.16646056159454101</v>
      </c>
      <c r="Q2177">
        <v>0.105218943101338</v>
      </c>
      <c r="R2177">
        <v>0.99315022594395697</v>
      </c>
      <c r="S2177" t="s">
        <v>8983</v>
      </c>
      <c r="T2177" t="s">
        <v>13610</v>
      </c>
      <c r="U2177" t="s">
        <v>13610</v>
      </c>
      <c r="V2177" t="s">
        <v>13610</v>
      </c>
      <c r="W2177" t="s">
        <v>15737</v>
      </c>
      <c r="X2177">
        <v>27</v>
      </c>
      <c r="Y2177" t="s">
        <v>22410</v>
      </c>
      <c r="Z2177" t="s">
        <v>29032</v>
      </c>
      <c r="AA2177">
        <v>0.42632101768226238</v>
      </c>
      <c r="AB2177" t="str">
        <f>HYPERLINK("Melting_Curves/meltCurve_P26196_DDX6.pdf", "Melting_Curves/meltCurve_P26196_DDX6.pdf")</f>
        <v>Melting_Curves/meltCurve_P26196_DDX6.pdf</v>
      </c>
    </row>
    <row r="2178" spans="1:28" x14ac:dyDescent="0.25">
      <c r="A2178" t="s">
        <v>2182</v>
      </c>
      <c r="B2178">
        <v>0.995954080203443</v>
      </c>
      <c r="C2178">
        <v>0.94654912931698598</v>
      </c>
      <c r="D2178">
        <v>0.84955820645269697</v>
      </c>
      <c r="E2178">
        <v>0.79605452518826103</v>
      </c>
      <c r="F2178">
        <v>0.66315201985223005</v>
      </c>
      <c r="G2178">
        <v>0.417061181915859</v>
      </c>
      <c r="H2178">
        <v>0.38493305943809603</v>
      </c>
      <c r="I2178">
        <v>0.478070067840072</v>
      </c>
      <c r="J2178">
        <v>0.63453566621895496</v>
      </c>
      <c r="K2178">
        <v>0.49842324438334601</v>
      </c>
      <c r="L2178">
        <v>930.88741913785202</v>
      </c>
      <c r="M2178">
        <v>18.5823844239961</v>
      </c>
      <c r="N2178">
        <v>60.210247984822402</v>
      </c>
      <c r="O2178">
        <v>49.525824010086197</v>
      </c>
      <c r="P2178">
        <v>-4.8970231632340398E-2</v>
      </c>
      <c r="Q2178">
        <v>0.47796041464650402</v>
      </c>
      <c r="R2178">
        <v>0.86832537507112295</v>
      </c>
      <c r="S2178" t="s">
        <v>8984</v>
      </c>
      <c r="T2178" t="s">
        <v>13610</v>
      </c>
      <c r="U2178" t="s">
        <v>13610</v>
      </c>
      <c r="V2178" t="s">
        <v>13610</v>
      </c>
      <c r="W2178" t="s">
        <v>15738</v>
      </c>
      <c r="X2178">
        <v>12</v>
      </c>
      <c r="Y2178" t="s">
        <v>22411</v>
      </c>
      <c r="Z2178" t="s">
        <v>29033</v>
      </c>
      <c r="AA2178">
        <v>0.66199942900137843</v>
      </c>
      <c r="AB2178" t="str">
        <f>HYPERLINK("Melting_Curves/meltCurve_P26232_2_CTNNA2.pdf", "Melting_Curves/meltCurve_P26232_2_CTNNA2.pdf")</f>
        <v>Melting_Curves/meltCurve_P26232_2_CTNNA2.pdf</v>
      </c>
    </row>
    <row r="2179" spans="1:28" x14ac:dyDescent="0.25">
      <c r="A2179" t="s">
        <v>2183</v>
      </c>
      <c r="B2179">
        <v>0.995954080203443</v>
      </c>
      <c r="C2179">
        <v>0.873856017854024</v>
      </c>
      <c r="D2179">
        <v>0.85292297450964205</v>
      </c>
      <c r="E2179">
        <v>0.80830491305835095</v>
      </c>
      <c r="F2179">
        <v>0.51803694477198603</v>
      </c>
      <c r="G2179">
        <v>0.20900223181008401</v>
      </c>
      <c r="H2179">
        <v>0.166659647154937</v>
      </c>
      <c r="I2179">
        <v>0.186016993939773</v>
      </c>
      <c r="J2179">
        <v>0.22271976044858399</v>
      </c>
      <c r="K2179">
        <v>0.20967278626576399</v>
      </c>
      <c r="L2179">
        <v>1271.67384130799</v>
      </c>
      <c r="M2179">
        <v>24.4476695210858</v>
      </c>
      <c r="N2179">
        <v>52.975966849574597</v>
      </c>
      <c r="O2179">
        <v>51.671876180923</v>
      </c>
      <c r="P2179">
        <v>-9.7120614643439102E-2</v>
      </c>
      <c r="Q2179">
        <v>0.17892695004695799</v>
      </c>
      <c r="R2179">
        <v>0.965857012486806</v>
      </c>
      <c r="S2179" t="s">
        <v>8985</v>
      </c>
      <c r="T2179" t="s">
        <v>13610</v>
      </c>
      <c r="U2179" t="s">
        <v>13610</v>
      </c>
      <c r="V2179" t="s">
        <v>13610</v>
      </c>
      <c r="W2179" t="s">
        <v>15739</v>
      </c>
      <c r="X2179">
        <v>69</v>
      </c>
      <c r="Y2179" t="s">
        <v>20884</v>
      </c>
      <c r="Z2179" t="s">
        <v>29034</v>
      </c>
      <c r="AA2179">
        <v>0.51562356341507798</v>
      </c>
      <c r="AB2179" t="str">
        <f>HYPERLINK("Melting_Curves/meltCurve_P26358_DNMT1.pdf", "Melting_Curves/meltCurve_P26358_DNMT1.pdf")</f>
        <v>Melting_Curves/meltCurve_P26358_DNMT1.pdf</v>
      </c>
    </row>
    <row r="2180" spans="1:28" x14ac:dyDescent="0.25">
      <c r="A2180" t="s">
        <v>2184</v>
      </c>
      <c r="B2180">
        <v>0.995954080203443</v>
      </c>
      <c r="C2180">
        <v>1.00714925711119</v>
      </c>
      <c r="D2180">
        <v>1.17144457570643</v>
      </c>
      <c r="E2180">
        <v>1.01957802116703</v>
      </c>
      <c r="F2180">
        <v>1.2728550599584501</v>
      </c>
      <c r="G2180">
        <v>0.97133782826682902</v>
      </c>
      <c r="H2180">
        <v>0.87774590740911396</v>
      </c>
      <c r="I2180">
        <v>0.97646090920290296</v>
      </c>
      <c r="J2180">
        <v>1.11881833783342</v>
      </c>
      <c r="K2180">
        <v>1.17017163931907</v>
      </c>
      <c r="L2180">
        <v>10819.794318161899</v>
      </c>
      <c r="M2180">
        <v>250</v>
      </c>
      <c r="O2180">
        <v>43.276410742035701</v>
      </c>
      <c r="P2180">
        <v>0.104418222175127</v>
      </c>
      <c r="Q2180">
        <v>1.07230152877464</v>
      </c>
      <c r="R2180">
        <v>6.2022067756677401E-2</v>
      </c>
      <c r="S2180" t="s">
        <v>8986</v>
      </c>
      <c r="T2180" t="s">
        <v>13610</v>
      </c>
      <c r="U2180" t="s">
        <v>13610</v>
      </c>
      <c r="V2180" t="s">
        <v>13610</v>
      </c>
      <c r="W2180" t="s">
        <v>15740</v>
      </c>
      <c r="X2180">
        <v>68</v>
      </c>
      <c r="Y2180" t="s">
        <v>20884</v>
      </c>
      <c r="Z2180" t="s">
        <v>29035</v>
      </c>
      <c r="AA2180">
        <v>1.064393052832268</v>
      </c>
      <c r="AB2180" t="str">
        <f>HYPERLINK("Melting_Curves/meltCurve_P26358_2_DNMT1.pdf", "Melting_Curves/meltCurve_P26358_2_DNMT1.pdf")</f>
        <v>Melting_Curves/meltCurve_P26358_2_DNMT1.pdf</v>
      </c>
    </row>
    <row r="2181" spans="1:28" x14ac:dyDescent="0.25">
      <c r="A2181" t="s">
        <v>2185</v>
      </c>
      <c r="B2181">
        <v>0.995954080203443</v>
      </c>
      <c r="C2181">
        <v>1.0640016650113899</v>
      </c>
      <c r="D2181">
        <v>1.05271845204855</v>
      </c>
      <c r="E2181">
        <v>1.00652234751202</v>
      </c>
      <c r="F2181">
        <v>0.780398891176183</v>
      </c>
      <c r="G2181">
        <v>0.33629990073999</v>
      </c>
      <c r="H2181">
        <v>0.152408695320567</v>
      </c>
      <c r="I2181">
        <v>0.121425407045737</v>
      </c>
      <c r="J2181">
        <v>0.108810038211872</v>
      </c>
      <c r="K2181">
        <v>0.107720956900897</v>
      </c>
      <c r="L2181">
        <v>1765.5391832559701</v>
      </c>
      <c r="M2181">
        <v>32.091399096511203</v>
      </c>
      <c r="N2181">
        <v>55.448192301382797</v>
      </c>
      <c r="O2181">
        <v>54.803651213590499</v>
      </c>
      <c r="P2181">
        <v>-0.13019314669728399</v>
      </c>
      <c r="Q2181">
        <v>0.11066211768126</v>
      </c>
      <c r="R2181">
        <v>0.99478108202719695</v>
      </c>
      <c r="S2181" t="s">
        <v>8987</v>
      </c>
      <c r="T2181" t="s">
        <v>13610</v>
      </c>
      <c r="U2181" t="s">
        <v>13610</v>
      </c>
      <c r="V2181" t="s">
        <v>13610</v>
      </c>
      <c r="W2181" t="s">
        <v>15741</v>
      </c>
      <c r="X2181">
        <v>14</v>
      </c>
      <c r="Y2181" t="s">
        <v>22412</v>
      </c>
      <c r="Z2181" t="s">
        <v>29036</v>
      </c>
      <c r="AA2181">
        <v>0.56099331753270687</v>
      </c>
      <c r="AB2181" t="str">
        <f>HYPERLINK("Melting_Curves/meltCurve_P26368_2_U2AF2.pdf", "Melting_Curves/meltCurve_P26368_2_U2AF2.pdf")</f>
        <v>Melting_Curves/meltCurve_P26368_2_U2AF2.pdf</v>
      </c>
    </row>
    <row r="2182" spans="1:28" x14ac:dyDescent="0.25">
      <c r="A2182" t="s">
        <v>2186</v>
      </c>
      <c r="B2182">
        <v>0.995954080203443</v>
      </c>
      <c r="C2182">
        <v>0.90395500616898705</v>
      </c>
      <c r="D2182">
        <v>0.86109404077287699</v>
      </c>
      <c r="E2182">
        <v>0.74132308853461104</v>
      </c>
      <c r="F2182">
        <v>0.60425624722705096</v>
      </c>
      <c r="G2182">
        <v>0.45251941220034603</v>
      </c>
      <c r="H2182">
        <v>0.45249936164263499</v>
      </c>
      <c r="I2182">
        <v>0.64270177942082096</v>
      </c>
      <c r="J2182">
        <v>0.65930843126604899</v>
      </c>
      <c r="K2182">
        <v>0.65016507779786104</v>
      </c>
      <c r="L2182">
        <v>965.55327117003105</v>
      </c>
      <c r="M2182">
        <v>20.294059411806199</v>
      </c>
      <c r="O2182">
        <v>47.123391045545603</v>
      </c>
      <c r="P2182">
        <v>-4.60892920137475E-2</v>
      </c>
      <c r="Q2182">
        <v>0.57193064860234499</v>
      </c>
      <c r="R2182">
        <v>0.80573872848705497</v>
      </c>
      <c r="S2182" t="s">
        <v>8988</v>
      </c>
      <c r="T2182" t="s">
        <v>13610</v>
      </c>
      <c r="U2182" t="s">
        <v>13610</v>
      </c>
      <c r="V2182" t="s">
        <v>13610</v>
      </c>
      <c r="W2182" t="s">
        <v>15742</v>
      </c>
      <c r="X2182">
        <v>9</v>
      </c>
      <c r="Y2182" t="s">
        <v>22413</v>
      </c>
      <c r="Z2182" t="s">
        <v>29037</v>
      </c>
      <c r="AA2182">
        <v>0.68601763034826102</v>
      </c>
      <c r="AB2182" t="str">
        <f>HYPERLINK("Melting_Curves/meltCurve_P26373_RPL13.pdf", "Melting_Curves/meltCurve_P26373_RPL13.pdf")</f>
        <v>Melting_Curves/meltCurve_P26373_RPL13.pdf</v>
      </c>
    </row>
    <row r="2183" spans="1:28" x14ac:dyDescent="0.25">
      <c r="A2183" t="s">
        <v>2187</v>
      </c>
      <c r="B2183">
        <v>0.995954080203443</v>
      </c>
      <c r="C2183">
        <v>1.0211251754869699</v>
      </c>
      <c r="D2183">
        <v>1.0396314063177201</v>
      </c>
      <c r="E2183">
        <v>0.90382322862194198</v>
      </c>
      <c r="F2183">
        <v>0.72446107356964695</v>
      </c>
      <c r="G2183">
        <v>0.25086841125119602</v>
      </c>
      <c r="H2183">
        <v>0.104549607056101</v>
      </c>
      <c r="I2183">
        <v>7.9895269992030005E-2</v>
      </c>
      <c r="J2183">
        <v>8.87928058543003E-2</v>
      </c>
      <c r="K2183">
        <v>8.3634247372921494E-2</v>
      </c>
      <c r="L2183">
        <v>1653.3994033582501</v>
      </c>
      <c r="M2183">
        <v>30.4197053362677</v>
      </c>
      <c r="N2183">
        <v>54.653876100226903</v>
      </c>
      <c r="O2183">
        <v>54.119638186948698</v>
      </c>
      <c r="P2183">
        <v>-0.129684670354137</v>
      </c>
      <c r="Q2183">
        <v>7.7118740346829195E-2</v>
      </c>
      <c r="R2183">
        <v>0.99769249333281695</v>
      </c>
      <c r="S2183" t="s">
        <v>8989</v>
      </c>
      <c r="T2183" t="s">
        <v>13610</v>
      </c>
      <c r="U2183" t="s">
        <v>13610</v>
      </c>
      <c r="V2183" t="s">
        <v>13610</v>
      </c>
      <c r="W2183" t="s">
        <v>15743</v>
      </c>
      <c r="X2183">
        <v>20</v>
      </c>
      <c r="Y2183" t="s">
        <v>22414</v>
      </c>
      <c r="Z2183" t="s">
        <v>29038</v>
      </c>
      <c r="AA2183">
        <v>0.52457856866537234</v>
      </c>
      <c r="AB2183" t="str">
        <f>HYPERLINK("Melting_Curves/meltCurve_P26374_CHML.pdf", "Melting_Curves/meltCurve_P26374_CHML.pdf")</f>
        <v>Melting_Curves/meltCurve_P26374_CHML.pdf</v>
      </c>
    </row>
    <row r="2184" spans="1:28" x14ac:dyDescent="0.25">
      <c r="A2184" t="s">
        <v>2188</v>
      </c>
      <c r="B2184">
        <v>0.995954080203443</v>
      </c>
      <c r="C2184">
        <v>1.0815131887051801</v>
      </c>
      <c r="D2184">
        <v>1.06516578329119</v>
      </c>
      <c r="E2184">
        <v>0.97050450220723605</v>
      </c>
      <c r="F2184">
        <v>0.80655398891791097</v>
      </c>
      <c r="G2184">
        <v>0.45450618404507298</v>
      </c>
      <c r="H2184">
        <v>0.231600292402521</v>
      </c>
      <c r="I2184">
        <v>0.17998528685760901</v>
      </c>
      <c r="J2184">
        <v>0.15421882062091699</v>
      </c>
      <c r="K2184">
        <v>0.161880401263471</v>
      </c>
      <c r="L2184">
        <v>1454.8268164168201</v>
      </c>
      <c r="M2184">
        <v>26.142797515580501</v>
      </c>
      <c r="N2184">
        <v>56.435595720841199</v>
      </c>
      <c r="O2184">
        <v>55.3266637116418</v>
      </c>
      <c r="P2184">
        <v>-0.100098110309694</v>
      </c>
      <c r="Q2184">
        <v>0.152648580464498</v>
      </c>
      <c r="R2184">
        <v>0.99211653999673699</v>
      </c>
      <c r="S2184" t="s">
        <v>8990</v>
      </c>
      <c r="T2184" t="s">
        <v>13610</v>
      </c>
      <c r="U2184" t="s">
        <v>13610</v>
      </c>
      <c r="V2184" t="s">
        <v>13610</v>
      </c>
      <c r="W2184" t="s">
        <v>15744</v>
      </c>
      <c r="X2184">
        <v>1</v>
      </c>
      <c r="Y2184" t="s">
        <v>22415</v>
      </c>
      <c r="Z2184" t="s">
        <v>29039</v>
      </c>
      <c r="AA2184">
        <v>0.60189278591754181</v>
      </c>
      <c r="AB2184" t="str">
        <f>HYPERLINK("Melting_Curves/meltCurve_P26447_S100A4.pdf", "Melting_Curves/meltCurve_P26447_S100A4.pdf")</f>
        <v>Melting_Curves/meltCurve_P26447_S100A4.pdf</v>
      </c>
    </row>
    <row r="2185" spans="1:28" x14ac:dyDescent="0.25">
      <c r="A2185" t="s">
        <v>2189</v>
      </c>
      <c r="B2185">
        <v>0.995954080203443</v>
      </c>
      <c r="C2185">
        <v>0.93131005467391104</v>
      </c>
      <c r="D2185">
        <v>1.02020843509452</v>
      </c>
      <c r="E2185">
        <v>0.835782006134416</v>
      </c>
      <c r="F2185">
        <v>0.81601932790591702</v>
      </c>
      <c r="G2185">
        <v>0.56603555291219798</v>
      </c>
      <c r="H2185">
        <v>0.53666213563434095</v>
      </c>
      <c r="I2185">
        <v>0.65140491464783401</v>
      </c>
      <c r="J2185">
        <v>0.87716892341642605</v>
      </c>
      <c r="K2185">
        <v>0.87696339706908799</v>
      </c>
      <c r="L2185">
        <v>1715.0870515024001</v>
      </c>
      <c r="M2185">
        <v>34.2241349434425</v>
      </c>
      <c r="O2185">
        <v>49.943211010239601</v>
      </c>
      <c r="P2185">
        <v>-4.9597514572721699E-2</v>
      </c>
      <c r="Q2185">
        <v>0.71049092222052701</v>
      </c>
      <c r="R2185">
        <v>0.53377187722937003</v>
      </c>
      <c r="S2185" t="s">
        <v>8991</v>
      </c>
      <c r="T2185" t="s">
        <v>13610</v>
      </c>
      <c r="U2185" t="s">
        <v>13610</v>
      </c>
      <c r="V2185" t="s">
        <v>13610</v>
      </c>
      <c r="W2185" t="s">
        <v>15745</v>
      </c>
      <c r="X2185">
        <v>19</v>
      </c>
      <c r="Y2185" t="s">
        <v>22416</v>
      </c>
      <c r="Z2185" t="s">
        <v>29040</v>
      </c>
      <c r="AA2185">
        <v>0.80946260102187095</v>
      </c>
      <c r="AB2185" t="str">
        <f>HYPERLINK("Melting_Curves/meltCurve_P26583_HMGB2.pdf", "Melting_Curves/meltCurve_P26583_HMGB2.pdf")</f>
        <v>Melting_Curves/meltCurve_P26583_HMGB2.pdf</v>
      </c>
    </row>
    <row r="2186" spans="1:28" x14ac:dyDescent="0.25">
      <c r="A2186" t="s">
        <v>2190</v>
      </c>
      <c r="B2186">
        <v>0.995954080203443</v>
      </c>
      <c r="C2186">
        <v>0.93020759081525695</v>
      </c>
      <c r="D2186">
        <v>0.87271859041134503</v>
      </c>
      <c r="E2186">
        <v>0.55948225295847198</v>
      </c>
      <c r="F2186">
        <v>0.43056114884463498</v>
      </c>
      <c r="G2186">
        <v>0.28915866253181599</v>
      </c>
      <c r="H2186">
        <v>0.20132352259851199</v>
      </c>
      <c r="I2186">
        <v>0.19766218972655999</v>
      </c>
      <c r="J2186">
        <v>0.215315487401152</v>
      </c>
      <c r="K2186">
        <v>0.179043395962453</v>
      </c>
      <c r="L2186">
        <v>829.98983571312101</v>
      </c>
      <c r="M2186">
        <v>16.602224549154698</v>
      </c>
      <c r="N2186">
        <v>51.396540774677597</v>
      </c>
      <c r="O2186">
        <v>49.284266554597401</v>
      </c>
      <c r="P2186">
        <v>-6.8869481215394296E-2</v>
      </c>
      <c r="Q2186">
        <v>0.182289905389563</v>
      </c>
      <c r="R2186">
        <v>0.99612463596580603</v>
      </c>
      <c r="S2186" t="s">
        <v>8992</v>
      </c>
      <c r="T2186" t="s">
        <v>13610</v>
      </c>
      <c r="U2186" t="s">
        <v>13610</v>
      </c>
      <c r="V2186" t="s">
        <v>13610</v>
      </c>
      <c r="W2186" t="s">
        <v>15746</v>
      </c>
      <c r="X2186">
        <v>21</v>
      </c>
      <c r="Y2186" t="s">
        <v>21333</v>
      </c>
      <c r="Z2186" t="s">
        <v>29041</v>
      </c>
      <c r="AA2186">
        <v>0.47088911145207712</v>
      </c>
      <c r="AB2186" t="str">
        <f>HYPERLINK("Melting_Curves/meltCurve_P26599_PTBP1.pdf", "Melting_Curves/meltCurve_P26599_PTBP1.pdf")</f>
        <v>Melting_Curves/meltCurve_P26599_PTBP1.pdf</v>
      </c>
    </row>
    <row r="2187" spans="1:28" x14ac:dyDescent="0.25">
      <c r="A2187" t="s">
        <v>2191</v>
      </c>
      <c r="B2187">
        <v>0.995954080203443</v>
      </c>
      <c r="C2187">
        <v>0.85534407216249597</v>
      </c>
      <c r="D2187">
        <v>0.78652627398243302</v>
      </c>
      <c r="E2187">
        <v>0.63433239142240105</v>
      </c>
      <c r="F2187">
        <v>0.24016917653709099</v>
      </c>
      <c r="G2187">
        <v>0.10662925159955999</v>
      </c>
      <c r="H2187">
        <v>6.0854273901233602E-2</v>
      </c>
      <c r="I2187">
        <v>4.7455845654997997E-2</v>
      </c>
      <c r="J2187">
        <v>5.0858606186547903E-2</v>
      </c>
      <c r="K2187">
        <v>4.5671394698360603E-2</v>
      </c>
      <c r="L2187">
        <v>816.26173867986097</v>
      </c>
      <c r="M2187">
        <v>16.255557745800701</v>
      </c>
      <c r="N2187">
        <v>50.310936428203703</v>
      </c>
      <c r="O2187">
        <v>49.472831611198501</v>
      </c>
      <c r="P2187">
        <v>-8.0887172680399896E-2</v>
      </c>
      <c r="Q2187">
        <v>1.5371205008675001E-2</v>
      </c>
      <c r="R2187">
        <v>0.979899874174187</v>
      </c>
      <c r="S2187" t="s">
        <v>8993</v>
      </c>
      <c r="T2187" t="s">
        <v>13610</v>
      </c>
      <c r="U2187" t="s">
        <v>13610</v>
      </c>
      <c r="V2187" t="s">
        <v>13610</v>
      </c>
      <c r="W2187" t="s">
        <v>15747</v>
      </c>
      <c r="X2187">
        <v>50</v>
      </c>
      <c r="Y2187" t="s">
        <v>22417</v>
      </c>
      <c r="Z2187" t="s">
        <v>29042</v>
      </c>
      <c r="AA2187">
        <v>0.37082671263695671</v>
      </c>
      <c r="AB2187" t="str">
        <f>HYPERLINK("Melting_Curves/meltCurve_P26639_TARS.pdf", "Melting_Curves/meltCurve_P26639_TARS.pdf")</f>
        <v>Melting_Curves/meltCurve_P26639_TARS.pdf</v>
      </c>
    </row>
    <row r="2188" spans="1:28" x14ac:dyDescent="0.25">
      <c r="A2188" t="s">
        <v>2192</v>
      </c>
      <c r="B2188">
        <v>0.995954080203443</v>
      </c>
      <c r="C2188">
        <v>0.867136074226461</v>
      </c>
      <c r="D2188">
        <v>0.69850681140613502</v>
      </c>
      <c r="E2188">
        <v>0.42609961491411302</v>
      </c>
      <c r="F2188">
        <v>0.17834713667074101</v>
      </c>
      <c r="G2188">
        <v>9.5760496326000893E-2</v>
      </c>
      <c r="H2188">
        <v>6.4125704548205001E-2</v>
      </c>
      <c r="I2188">
        <v>5.9066226007697599E-2</v>
      </c>
      <c r="J2188">
        <v>6.5411159380441106E-2</v>
      </c>
      <c r="K2188">
        <v>6.0347833242814002E-2</v>
      </c>
      <c r="L2188">
        <v>811.849640217814</v>
      </c>
      <c r="M2188">
        <v>16.8352613989126</v>
      </c>
      <c r="N2188">
        <v>48.483937531173403</v>
      </c>
      <c r="O2188">
        <v>47.558179798172098</v>
      </c>
      <c r="P2188">
        <v>-8.4673329313804099E-2</v>
      </c>
      <c r="Q2188">
        <v>4.32816554456509E-2</v>
      </c>
      <c r="R2188">
        <v>0.99573962078067102</v>
      </c>
      <c r="S2188" t="s">
        <v>8994</v>
      </c>
      <c r="T2188" t="s">
        <v>13610</v>
      </c>
      <c r="U2188" t="s">
        <v>13610</v>
      </c>
      <c r="V2188" t="s">
        <v>13610</v>
      </c>
      <c r="W2188" t="s">
        <v>15748</v>
      </c>
      <c r="X2188">
        <v>65</v>
      </c>
      <c r="Y2188" t="s">
        <v>22418</v>
      </c>
      <c r="Z2188" t="s">
        <v>29043</v>
      </c>
      <c r="AA2188">
        <v>0.32487146530679928</v>
      </c>
      <c r="AB2188" t="str">
        <f>HYPERLINK("Melting_Curves/meltCurve_P26640_VARS.pdf", "Melting_Curves/meltCurve_P26640_VARS.pdf")</f>
        <v>Melting_Curves/meltCurve_P26640_VARS.pdf</v>
      </c>
    </row>
    <row r="2189" spans="1:28" x14ac:dyDescent="0.25">
      <c r="A2189" t="s">
        <v>2193</v>
      </c>
      <c r="B2189">
        <v>0.995954080203443</v>
      </c>
      <c r="C2189">
        <v>0.85303572165137898</v>
      </c>
      <c r="D2189">
        <v>0.72063284136592998</v>
      </c>
      <c r="E2189">
        <v>0.65968683372122305</v>
      </c>
      <c r="F2189">
        <v>0.15563416447828601</v>
      </c>
      <c r="G2189">
        <v>8.5379942349243898E-2</v>
      </c>
      <c r="H2189">
        <v>4.8354717803553E-2</v>
      </c>
      <c r="I2189">
        <v>4.0082527806725103E-2</v>
      </c>
      <c r="J2189">
        <v>4.7780977416331097E-2</v>
      </c>
      <c r="K2189">
        <v>4.2293333155148001E-2</v>
      </c>
      <c r="L2189">
        <v>789.07976553670699</v>
      </c>
      <c r="M2189">
        <v>15.856600982092599</v>
      </c>
      <c r="N2189">
        <v>49.797708934893798</v>
      </c>
      <c r="O2189">
        <v>48.992166204311197</v>
      </c>
      <c r="P2189">
        <v>-8.0481985842089807E-2</v>
      </c>
      <c r="Q2189">
        <v>5.4193139221873302E-3</v>
      </c>
      <c r="R2189">
        <v>0.95726932466594605</v>
      </c>
      <c r="S2189" t="s">
        <v>8995</v>
      </c>
      <c r="T2189" t="s">
        <v>13610</v>
      </c>
      <c r="U2189" t="s">
        <v>13610</v>
      </c>
      <c r="V2189" t="s">
        <v>13610</v>
      </c>
      <c r="W2189" t="s">
        <v>15749</v>
      </c>
      <c r="X2189">
        <v>25</v>
      </c>
      <c r="Y2189" t="s">
        <v>22419</v>
      </c>
      <c r="Z2189" t="s">
        <v>29044</v>
      </c>
      <c r="AA2189">
        <v>0.35070870180805952</v>
      </c>
      <c r="AB2189" t="str">
        <f>HYPERLINK("Melting_Curves/meltCurve_P26641_EEF1G.pdf", "Melting_Curves/meltCurve_P26641_EEF1G.pdf")</f>
        <v>Melting_Curves/meltCurve_P26641_EEF1G.pdf</v>
      </c>
    </row>
    <row r="2190" spans="1:28" x14ac:dyDescent="0.25">
      <c r="A2190" t="s">
        <v>2194</v>
      </c>
      <c r="B2190">
        <v>0.995954080203443</v>
      </c>
      <c r="C2190">
        <v>0.99595806868543302</v>
      </c>
      <c r="D2190">
        <v>0.90703123092592497</v>
      </c>
      <c r="E2190">
        <v>0.74795567540630403</v>
      </c>
      <c r="F2190">
        <v>0.52334010390641705</v>
      </c>
      <c r="G2190">
        <v>0.32629515285203498</v>
      </c>
      <c r="H2190">
        <v>0.18554997011968</v>
      </c>
      <c r="I2190">
        <v>0.129910389905525</v>
      </c>
      <c r="J2190">
        <v>0.12683104819208599</v>
      </c>
      <c r="K2190">
        <v>0.114472676199774</v>
      </c>
      <c r="L2190">
        <v>832.15237528991702</v>
      </c>
      <c r="M2190">
        <v>15.7372685195011</v>
      </c>
      <c r="N2190">
        <v>53.551129546693303</v>
      </c>
      <c r="O2190">
        <v>52.046086936290102</v>
      </c>
      <c r="P2190">
        <v>-6.8813380850901898E-2</v>
      </c>
      <c r="Q2190">
        <v>8.9761467163678096E-2</v>
      </c>
      <c r="R2190">
        <v>0.99891516154408</v>
      </c>
      <c r="S2190" t="s">
        <v>8996</v>
      </c>
      <c r="T2190" t="s">
        <v>13610</v>
      </c>
      <c r="U2190" t="s">
        <v>13610</v>
      </c>
      <c r="V2190" t="s">
        <v>13610</v>
      </c>
      <c r="W2190" t="s">
        <v>15750</v>
      </c>
      <c r="X2190">
        <v>7</v>
      </c>
      <c r="Y2190" t="s">
        <v>22420</v>
      </c>
      <c r="Z2190" t="s">
        <v>29045</v>
      </c>
      <c r="AA2190">
        <v>0.498865807769106</v>
      </c>
      <c r="AB2190" t="str">
        <f>HYPERLINK("Melting_Curves/meltCurve_P26885_FKBP2.pdf", "Melting_Curves/meltCurve_P26885_FKBP2.pdf")</f>
        <v>Melting_Curves/meltCurve_P26885_FKBP2.pdf</v>
      </c>
    </row>
    <row r="2191" spans="1:28" x14ac:dyDescent="0.25">
      <c r="A2191" t="s">
        <v>2195</v>
      </c>
      <c r="B2191">
        <v>0.995954080203443</v>
      </c>
      <c r="C2191">
        <v>0.99859438353544905</v>
      </c>
      <c r="D2191">
        <v>1.0090321310422401</v>
      </c>
      <c r="E2191">
        <v>0.69504245484117899</v>
      </c>
      <c r="F2191">
        <v>0.34437330710404701</v>
      </c>
      <c r="G2191">
        <v>0.15395115597623199</v>
      </c>
      <c r="H2191">
        <v>0.121553425012132</v>
      </c>
      <c r="I2191">
        <v>0.11964093993321701</v>
      </c>
      <c r="J2191">
        <v>0.13482893001259599</v>
      </c>
      <c r="K2191">
        <v>0.124444139533761</v>
      </c>
      <c r="L2191">
        <v>1622.4711009341099</v>
      </c>
      <c r="M2191">
        <v>31.762388746224602</v>
      </c>
      <c r="N2191">
        <v>51.544548473091197</v>
      </c>
      <c r="O2191">
        <v>50.880315522762203</v>
      </c>
      <c r="P2191">
        <v>-0.13669487264817301</v>
      </c>
      <c r="Q2191">
        <v>0.124115999751407</v>
      </c>
      <c r="R2191">
        <v>0.99890175440128803</v>
      </c>
      <c r="S2191" t="s">
        <v>8997</v>
      </c>
      <c r="T2191" t="s">
        <v>13610</v>
      </c>
      <c r="U2191" t="s">
        <v>13610</v>
      </c>
      <c r="V2191" t="s">
        <v>13610</v>
      </c>
      <c r="W2191" t="s">
        <v>15751</v>
      </c>
      <c r="X2191">
        <v>12</v>
      </c>
      <c r="Y2191" t="s">
        <v>22421</v>
      </c>
      <c r="Z2191" t="s">
        <v>29046</v>
      </c>
      <c r="AA2191">
        <v>0.452571758535456</v>
      </c>
      <c r="AB2191" t="str">
        <f>HYPERLINK("Melting_Curves/meltCurve_P27144_AK4.pdf", "Melting_Curves/meltCurve_P27144_AK4.pdf")</f>
        <v>Melting_Curves/meltCurve_P27144_AK4.pdf</v>
      </c>
    </row>
    <row r="2192" spans="1:28" x14ac:dyDescent="0.25">
      <c r="A2192" t="s">
        <v>2196</v>
      </c>
      <c r="B2192">
        <v>0.995954080203443</v>
      </c>
      <c r="C2192">
        <v>0.89832741843220998</v>
      </c>
      <c r="D2192">
        <v>1.2256762231679901</v>
      </c>
      <c r="E2192">
        <v>0.94110446324020502</v>
      </c>
      <c r="F2192">
        <v>0.70196664619773497</v>
      </c>
      <c r="G2192">
        <v>0.19558944332849801</v>
      </c>
      <c r="H2192">
        <v>8.4744460028833804E-2</v>
      </c>
      <c r="I2192">
        <v>6.0002060016611E-2</v>
      </c>
      <c r="J2192">
        <v>6.3891210916992097E-2</v>
      </c>
      <c r="K2192">
        <v>5.8921227620072403E-2</v>
      </c>
      <c r="L2192">
        <v>1941.8721037375501</v>
      </c>
      <c r="M2192">
        <v>35.873475808540498</v>
      </c>
      <c r="N2192">
        <v>54.330907676064299</v>
      </c>
      <c r="O2192">
        <v>53.963755977501897</v>
      </c>
      <c r="P2192">
        <v>-0.155924316961048</v>
      </c>
      <c r="Q2192">
        <v>6.1787652009788398E-2</v>
      </c>
      <c r="R2192">
        <v>0.96894227590719995</v>
      </c>
      <c r="S2192" t="s">
        <v>8998</v>
      </c>
      <c r="T2192" t="s">
        <v>13610</v>
      </c>
      <c r="U2192" t="s">
        <v>13610</v>
      </c>
      <c r="V2192" t="s">
        <v>13610</v>
      </c>
      <c r="W2192" t="s">
        <v>15752</v>
      </c>
      <c r="X2192">
        <v>24</v>
      </c>
      <c r="Y2192" t="s">
        <v>22422</v>
      </c>
      <c r="Z2192" t="s">
        <v>29047</v>
      </c>
      <c r="AA2192">
        <v>0.50807165677873789</v>
      </c>
      <c r="AB2192" t="str">
        <f>HYPERLINK("Melting_Curves/meltCurve_P27348_YWHAQ.pdf", "Melting_Curves/meltCurve_P27348_YWHAQ.pdf")</f>
        <v>Melting_Curves/meltCurve_P27348_YWHAQ.pdf</v>
      </c>
    </row>
    <row r="2193" spans="1:28" x14ac:dyDescent="0.25">
      <c r="A2193" t="s">
        <v>2197</v>
      </c>
      <c r="B2193">
        <v>0.995954080203443</v>
      </c>
      <c r="C2193">
        <v>0.95824088834094001</v>
      </c>
      <c r="D2193">
        <v>0.78562202578492901</v>
      </c>
      <c r="E2193">
        <v>0.30295656576055602</v>
      </c>
      <c r="F2193">
        <v>0.10499855492628</v>
      </c>
      <c r="G2193">
        <v>9.8022994921375395E-2</v>
      </c>
      <c r="H2193">
        <v>6.6863806670684603E-2</v>
      </c>
      <c r="I2193">
        <v>6.0845801206743898E-2</v>
      </c>
      <c r="J2193">
        <v>7.11634234503222E-2</v>
      </c>
      <c r="K2193">
        <v>6.9446748695558405E-2</v>
      </c>
      <c r="L2193">
        <v>1346.90387071891</v>
      </c>
      <c r="M2193">
        <v>28.070330142242799</v>
      </c>
      <c r="N2193">
        <v>48.231078292005598</v>
      </c>
      <c r="O2193">
        <v>47.741657486800101</v>
      </c>
      <c r="P2193">
        <v>-0.13711883161417299</v>
      </c>
      <c r="Q2193">
        <v>6.71684566234204E-2</v>
      </c>
      <c r="R2193">
        <v>0.99917141627837402</v>
      </c>
      <c r="S2193" t="s">
        <v>8999</v>
      </c>
      <c r="T2193" t="s">
        <v>13610</v>
      </c>
      <c r="U2193" t="s">
        <v>13610</v>
      </c>
      <c r="V2193" t="s">
        <v>13610</v>
      </c>
      <c r="W2193" t="s">
        <v>15753</v>
      </c>
      <c r="X2193">
        <v>17</v>
      </c>
      <c r="Y2193" t="s">
        <v>22423</v>
      </c>
      <c r="Z2193" t="s">
        <v>29048</v>
      </c>
      <c r="AA2193">
        <v>0.32185411034285483</v>
      </c>
      <c r="AB2193" t="str">
        <f>HYPERLINK("Melting_Curves/meltCurve_P27361_MAPK3.pdf", "Melting_Curves/meltCurve_P27361_MAPK3.pdf")</f>
        <v>Melting_Curves/meltCurve_P27361_MAPK3.pdf</v>
      </c>
    </row>
    <row r="2194" spans="1:28" x14ac:dyDescent="0.25">
      <c r="A2194" t="s">
        <v>2198</v>
      </c>
      <c r="B2194">
        <v>0.995954080203443</v>
      </c>
      <c r="C2194">
        <v>0.84250419130049603</v>
      </c>
      <c r="D2194">
        <v>0.69208863076254101</v>
      </c>
      <c r="E2194">
        <v>0.56704919439732904</v>
      </c>
      <c r="F2194">
        <v>0.53532722999309501</v>
      </c>
      <c r="G2194">
        <v>0.429922738904774</v>
      </c>
      <c r="H2194">
        <v>0.40654130792134102</v>
      </c>
      <c r="I2194">
        <v>0.532383204050626</v>
      </c>
      <c r="J2194">
        <v>0.47706072114457698</v>
      </c>
      <c r="K2194">
        <v>0.59542331917568103</v>
      </c>
      <c r="L2194">
        <v>926.55796192364301</v>
      </c>
      <c r="M2194">
        <v>20.599324670029699</v>
      </c>
      <c r="N2194">
        <v>56.7414059151183</v>
      </c>
      <c r="O2194">
        <v>44.562557084174102</v>
      </c>
      <c r="P2194">
        <v>-5.8591772109946497E-2</v>
      </c>
      <c r="Q2194">
        <v>0.49300798602089402</v>
      </c>
      <c r="R2194">
        <v>0.91397235956131195</v>
      </c>
      <c r="S2194" t="s">
        <v>9000</v>
      </c>
      <c r="T2194" t="s">
        <v>13610</v>
      </c>
      <c r="U2194" t="s">
        <v>13610</v>
      </c>
      <c r="V2194" t="s">
        <v>13610</v>
      </c>
      <c r="W2194" t="s">
        <v>15754</v>
      </c>
      <c r="X2194">
        <v>14</v>
      </c>
      <c r="Y2194" t="s">
        <v>22424</v>
      </c>
      <c r="Z2194" t="s">
        <v>29049</v>
      </c>
      <c r="AA2194">
        <v>0.58519710814884407</v>
      </c>
      <c r="AB2194" t="str">
        <f>HYPERLINK("Melting_Curves/meltCurve_P27448_8_MARK3.pdf", "Melting_Curves/meltCurve_P27448_8_MARK3.pdf")</f>
        <v>Melting_Curves/meltCurve_P27448_8_MARK3.pdf</v>
      </c>
    </row>
    <row r="2195" spans="1:28" x14ac:dyDescent="0.25">
      <c r="A2195" t="s">
        <v>2199</v>
      </c>
      <c r="B2195">
        <v>0.995954080203443</v>
      </c>
      <c r="C2195">
        <v>1.00533539980322</v>
      </c>
      <c r="D2195">
        <v>0.97450449952645202</v>
      </c>
      <c r="E2195">
        <v>0.83882767348339504</v>
      </c>
      <c r="F2195">
        <v>0.712368195996399</v>
      </c>
      <c r="G2195">
        <v>0.42369491917755597</v>
      </c>
      <c r="H2195">
        <v>0.246554847829282</v>
      </c>
      <c r="I2195">
        <v>0.19382135650385601</v>
      </c>
      <c r="J2195">
        <v>0.19709026830760301</v>
      </c>
      <c r="K2195">
        <v>0.19553455602120501</v>
      </c>
      <c r="L2195">
        <v>1022.0667465008401</v>
      </c>
      <c r="M2195">
        <v>18.756918327497999</v>
      </c>
      <c r="N2195">
        <v>55.673044137748199</v>
      </c>
      <c r="O2195">
        <v>53.8820890708649</v>
      </c>
      <c r="P2195">
        <v>-7.2727619597715107E-2</v>
      </c>
      <c r="Q2195">
        <v>0.16435061231661499</v>
      </c>
      <c r="R2195">
        <v>0.99775184081679202</v>
      </c>
      <c r="S2195" t="s">
        <v>9001</v>
      </c>
      <c r="T2195" t="s">
        <v>13610</v>
      </c>
      <c r="U2195" t="s">
        <v>13610</v>
      </c>
      <c r="V2195" t="s">
        <v>13610</v>
      </c>
      <c r="W2195" t="s">
        <v>15755</v>
      </c>
      <c r="X2195">
        <v>15</v>
      </c>
      <c r="Y2195" t="s">
        <v>22425</v>
      </c>
      <c r="Z2195" t="s">
        <v>29050</v>
      </c>
      <c r="AA2195">
        <v>0.58038195696692862</v>
      </c>
      <c r="AB2195" t="str">
        <f>HYPERLINK("Melting_Curves/meltCurve_P27540_2_ARNT.pdf", "Melting_Curves/meltCurve_P27540_2_ARNT.pdf")</f>
        <v>Melting_Curves/meltCurve_P27540_2_ARNT.pdf</v>
      </c>
    </row>
    <row r="2196" spans="1:28" x14ac:dyDescent="0.25">
      <c r="A2196" t="s">
        <v>2200</v>
      </c>
      <c r="B2196">
        <v>0.995954080203443</v>
      </c>
      <c r="C2196">
        <v>0.95486002854204999</v>
      </c>
      <c r="D2196">
        <v>0.91915944811063</v>
      </c>
      <c r="E2196">
        <v>0.71307314435276803</v>
      </c>
      <c r="F2196">
        <v>0.34472249125989102</v>
      </c>
      <c r="G2196">
        <v>0.15699978837172501</v>
      </c>
      <c r="H2196">
        <v>8.0695774139028995E-2</v>
      </c>
      <c r="I2196">
        <v>5.71477002076443E-2</v>
      </c>
      <c r="J2196">
        <v>5.8405997567231402E-2</v>
      </c>
      <c r="K2196">
        <v>4.87264771455862E-2</v>
      </c>
      <c r="L2196">
        <v>1204.48816261655</v>
      </c>
      <c r="M2196">
        <v>23.399018944750701</v>
      </c>
      <c r="N2196">
        <v>51.720185683550497</v>
      </c>
      <c r="O2196">
        <v>51.104469841043901</v>
      </c>
      <c r="P2196">
        <v>-0.108482881728119</v>
      </c>
      <c r="Q2196">
        <v>5.2291589817832697E-2</v>
      </c>
      <c r="R2196">
        <v>0.99742852104708801</v>
      </c>
      <c r="S2196" t="s">
        <v>9002</v>
      </c>
      <c r="T2196" t="s">
        <v>13610</v>
      </c>
      <c r="U2196" t="s">
        <v>13610</v>
      </c>
      <c r="V2196" t="s">
        <v>13610</v>
      </c>
      <c r="W2196" t="s">
        <v>15756</v>
      </c>
      <c r="X2196">
        <v>31</v>
      </c>
      <c r="Y2196" t="s">
        <v>22426</v>
      </c>
      <c r="Z2196" t="s">
        <v>29051</v>
      </c>
      <c r="AA2196">
        <v>0.42460303592865878</v>
      </c>
      <c r="AB2196" t="str">
        <f>HYPERLINK("Melting_Curves/meltCurve_P27694_RPA1.pdf", "Melting_Curves/meltCurve_P27694_RPA1.pdf")</f>
        <v>Melting_Curves/meltCurve_P27694_RPA1.pdf</v>
      </c>
    </row>
    <row r="2197" spans="1:28" x14ac:dyDescent="0.25">
      <c r="A2197" t="s">
        <v>2201</v>
      </c>
      <c r="B2197">
        <v>0.995954080203443</v>
      </c>
      <c r="C2197">
        <v>1.0703717163294399</v>
      </c>
      <c r="D2197">
        <v>0.83463832264351501</v>
      </c>
      <c r="E2197">
        <v>0.34968858487356302</v>
      </c>
      <c r="F2197">
        <v>0.13739180245843799</v>
      </c>
      <c r="G2197">
        <v>9.0346819980930998E-2</v>
      </c>
      <c r="H2197">
        <v>6.8010523750351506E-2</v>
      </c>
      <c r="I2197">
        <v>6.5843389989741402E-2</v>
      </c>
      <c r="J2197">
        <v>7.5698086872215395E-2</v>
      </c>
      <c r="K2197">
        <v>7.3186533895591696E-2</v>
      </c>
      <c r="L2197">
        <v>1483.39556165058</v>
      </c>
      <c r="M2197">
        <v>30.553537089726401</v>
      </c>
      <c r="N2197">
        <v>48.800534483627899</v>
      </c>
      <c r="O2197">
        <v>48.3441266880669</v>
      </c>
      <c r="P2197">
        <v>-0.14656186452006401</v>
      </c>
      <c r="Q2197">
        <v>7.2400138849452497E-2</v>
      </c>
      <c r="R2197">
        <v>0.99485145211958703</v>
      </c>
      <c r="S2197" t="s">
        <v>9003</v>
      </c>
      <c r="T2197" t="s">
        <v>13610</v>
      </c>
      <c r="U2197" t="s">
        <v>13610</v>
      </c>
      <c r="V2197" t="s">
        <v>13610</v>
      </c>
      <c r="W2197" t="s">
        <v>15757</v>
      </c>
      <c r="X2197">
        <v>22</v>
      </c>
      <c r="Y2197" t="s">
        <v>22427</v>
      </c>
      <c r="Z2197" t="s">
        <v>29052</v>
      </c>
      <c r="AA2197">
        <v>0.34219559603397759</v>
      </c>
      <c r="AB2197" t="str">
        <f>HYPERLINK("Melting_Curves/meltCurve_P27695_APEX1.pdf", "Melting_Curves/meltCurve_P27695_APEX1.pdf")</f>
        <v>Melting_Curves/meltCurve_P27695_APEX1.pdf</v>
      </c>
    </row>
    <row r="2198" spans="1:28" x14ac:dyDescent="0.25">
      <c r="A2198" t="s">
        <v>2202</v>
      </c>
      <c r="B2198">
        <v>0.995954080203443</v>
      </c>
      <c r="C2198">
        <v>0.98267320051771501</v>
      </c>
      <c r="D2198">
        <v>1.0668885308749501</v>
      </c>
      <c r="E2198">
        <v>0.79738331921300398</v>
      </c>
      <c r="F2198">
        <v>0.38985593649067801</v>
      </c>
      <c r="G2198">
        <v>0.13851674940044501</v>
      </c>
      <c r="H2198">
        <v>6.7145147536608898E-2</v>
      </c>
      <c r="I2198">
        <v>5.4999165886818698E-2</v>
      </c>
      <c r="J2198">
        <v>6.4387624921801903E-2</v>
      </c>
      <c r="K2198">
        <v>5.4953762173588702E-2</v>
      </c>
      <c r="L2198">
        <v>1710.3452999081301</v>
      </c>
      <c r="M2198">
        <v>32.872836405295203</v>
      </c>
      <c r="N2198">
        <v>52.242872261652103</v>
      </c>
      <c r="O2198">
        <v>51.837727199731297</v>
      </c>
      <c r="P2198">
        <v>-0.14856308524588399</v>
      </c>
      <c r="Q2198">
        <v>6.29177576096034E-2</v>
      </c>
      <c r="R2198">
        <v>0.99583005468990105</v>
      </c>
      <c r="S2198" t="s">
        <v>9004</v>
      </c>
      <c r="T2198" t="s">
        <v>13610</v>
      </c>
      <c r="U2198" t="s">
        <v>13610</v>
      </c>
      <c r="V2198" t="s">
        <v>13610</v>
      </c>
      <c r="W2198" t="s">
        <v>15758</v>
      </c>
      <c r="X2198">
        <v>12</v>
      </c>
      <c r="Y2198" t="s">
        <v>22428</v>
      </c>
      <c r="Z2198" t="s">
        <v>29053</v>
      </c>
      <c r="AA2198">
        <v>0.44365397110380239</v>
      </c>
      <c r="AB2198" t="str">
        <f>HYPERLINK("Melting_Curves/meltCurve_P27707_DCK.pdf", "Melting_Curves/meltCurve_P27707_DCK.pdf")</f>
        <v>Melting_Curves/meltCurve_P27707_DCK.pdf</v>
      </c>
    </row>
    <row r="2199" spans="1:28" x14ac:dyDescent="0.25">
      <c r="A2199" t="s">
        <v>2203</v>
      </c>
      <c r="B2199">
        <v>0.995954080203443</v>
      </c>
      <c r="C2199">
        <v>0.85292233740925005</v>
      </c>
      <c r="D2199">
        <v>0.63267119825884</v>
      </c>
      <c r="E2199">
        <v>0.389049116885124</v>
      </c>
      <c r="F2199">
        <v>0.218193910431391</v>
      </c>
      <c r="G2199">
        <v>0.14460041620075201</v>
      </c>
      <c r="H2199">
        <v>9.71387474893433E-2</v>
      </c>
      <c r="I2199">
        <v>8.3767677356416007E-2</v>
      </c>
      <c r="J2199">
        <v>0.106291370838903</v>
      </c>
      <c r="K2199">
        <v>0.110063918187009</v>
      </c>
      <c r="L2199">
        <v>769.42887133210195</v>
      </c>
      <c r="M2199">
        <v>16.234351157880699</v>
      </c>
      <c r="N2199">
        <v>47.968744135297598</v>
      </c>
      <c r="O2199">
        <v>46.693494210256802</v>
      </c>
      <c r="P2199">
        <v>-7.9256760569848303E-2</v>
      </c>
      <c r="Q2199">
        <v>8.8229897786348696E-2</v>
      </c>
      <c r="R2199">
        <v>0.99644456683066895</v>
      </c>
      <c r="S2199" t="s">
        <v>9005</v>
      </c>
      <c r="T2199" t="s">
        <v>13610</v>
      </c>
      <c r="U2199" t="s">
        <v>13610</v>
      </c>
      <c r="V2199" t="s">
        <v>13610</v>
      </c>
      <c r="W2199" t="s">
        <v>15759</v>
      </c>
      <c r="X2199">
        <v>20</v>
      </c>
      <c r="Y2199" t="s">
        <v>22429</v>
      </c>
      <c r="Z2199" t="s">
        <v>29054</v>
      </c>
      <c r="AA2199">
        <v>0.33354870829259708</v>
      </c>
      <c r="AB2199" t="str">
        <f>HYPERLINK("Melting_Curves/meltCurve_P27797_CALR.pdf", "Melting_Curves/meltCurve_P27797_CALR.pdf")</f>
        <v>Melting_Curves/meltCurve_P27797_CALR.pdf</v>
      </c>
    </row>
    <row r="2200" spans="1:28" x14ac:dyDescent="0.25">
      <c r="A2200" t="s">
        <v>2204</v>
      </c>
      <c r="B2200">
        <v>0.995954080203443</v>
      </c>
      <c r="C2200">
        <v>0.97345832532927501</v>
      </c>
      <c r="D2200">
        <v>0.85006069731193401</v>
      </c>
      <c r="E2200">
        <v>0.71429406302566201</v>
      </c>
      <c r="F2200">
        <v>0.38738247061169301</v>
      </c>
      <c r="G2200">
        <v>0.21755500718909601</v>
      </c>
      <c r="H2200">
        <v>0.16504075761359999</v>
      </c>
      <c r="I2200">
        <v>0.16955111969968201</v>
      </c>
      <c r="J2200">
        <v>0.18441836796382199</v>
      </c>
      <c r="K2200">
        <v>0.19898515353667801</v>
      </c>
      <c r="L2200">
        <v>1096.7209097417101</v>
      </c>
      <c r="M2200">
        <v>21.564608730425899</v>
      </c>
      <c r="N2200">
        <v>51.817369181749498</v>
      </c>
      <c r="O2200">
        <v>50.426162117810698</v>
      </c>
      <c r="P2200">
        <v>-8.9309002443039298E-2</v>
      </c>
      <c r="Q2200">
        <v>0.16466809919758499</v>
      </c>
      <c r="R2200">
        <v>0.99014707446602501</v>
      </c>
      <c r="S2200" t="s">
        <v>9006</v>
      </c>
      <c r="T2200" t="s">
        <v>13610</v>
      </c>
      <c r="U2200" t="s">
        <v>13610</v>
      </c>
      <c r="V2200" t="s">
        <v>13610</v>
      </c>
      <c r="W2200" t="s">
        <v>15760</v>
      </c>
      <c r="X2200">
        <v>3</v>
      </c>
      <c r="Y2200" t="s">
        <v>22430</v>
      </c>
      <c r="Z2200" t="s">
        <v>29055</v>
      </c>
      <c r="AA2200">
        <v>0.47703820559118099</v>
      </c>
      <c r="AB2200" t="str">
        <f>HYPERLINK("Melting_Curves/meltCurve_P27815_6_PDE4A.pdf", "Melting_Curves/meltCurve_P27815_6_PDE4A.pdf")</f>
        <v>Melting_Curves/meltCurve_P27815_6_PDE4A.pdf</v>
      </c>
    </row>
    <row r="2201" spans="1:28" x14ac:dyDescent="0.25">
      <c r="A2201" t="s">
        <v>2205</v>
      </c>
      <c r="B2201">
        <v>0.995954080203443</v>
      </c>
      <c r="C2201">
        <v>0.95013141633187703</v>
      </c>
      <c r="D2201">
        <v>1.19427053642845</v>
      </c>
      <c r="E2201">
        <v>1.03786117318138</v>
      </c>
      <c r="F2201">
        <v>0.87256159491721696</v>
      </c>
      <c r="G2201">
        <v>0.73292986207150301</v>
      </c>
      <c r="H2201">
        <v>0.73014161780014997</v>
      </c>
      <c r="I2201">
        <v>0.81331678212689296</v>
      </c>
      <c r="J2201">
        <v>0.78750580181139196</v>
      </c>
      <c r="K2201">
        <v>1.0534838094836401</v>
      </c>
      <c r="L2201">
        <v>13199.435143565601</v>
      </c>
      <c r="M2201">
        <v>250</v>
      </c>
      <c r="O2201">
        <v>52.794361885098503</v>
      </c>
      <c r="P2201">
        <v>-0.208976437908728</v>
      </c>
      <c r="Q2201">
        <v>0.82347555724592503</v>
      </c>
      <c r="R2201">
        <v>0.47673145796856398</v>
      </c>
      <c r="S2201" t="s">
        <v>9007</v>
      </c>
      <c r="T2201" t="s">
        <v>13610</v>
      </c>
      <c r="U2201" t="s">
        <v>13610</v>
      </c>
      <c r="V2201" t="s">
        <v>13610</v>
      </c>
      <c r="W2201" t="s">
        <v>15761</v>
      </c>
      <c r="X2201">
        <v>69</v>
      </c>
      <c r="Y2201" t="s">
        <v>20767</v>
      </c>
      <c r="Z2201" t="s">
        <v>29056</v>
      </c>
      <c r="AA2201">
        <v>0.89879571464129349</v>
      </c>
      <c r="AB2201" t="str">
        <f>HYPERLINK("Melting_Curves/meltCurve_P27816_MAP4.pdf", "Melting_Curves/meltCurve_P27816_MAP4.pdf")</f>
        <v>Melting_Curves/meltCurve_P27816_MAP4.pdf</v>
      </c>
    </row>
    <row r="2202" spans="1:28" x14ac:dyDescent="0.25">
      <c r="A2202" t="s">
        <v>2206</v>
      </c>
      <c r="B2202">
        <v>0.995954080203443</v>
      </c>
      <c r="C2202">
        <v>1.1020202777644901</v>
      </c>
      <c r="D2202">
        <v>1.1935084145294399</v>
      </c>
      <c r="E2202">
        <v>0.95426218661202999</v>
      </c>
      <c r="F2202">
        <v>0.73240227709824501</v>
      </c>
      <c r="G2202">
        <v>0.58291819869500905</v>
      </c>
      <c r="H2202">
        <v>0.37248177390401499</v>
      </c>
      <c r="I2202">
        <v>0.339225602596742</v>
      </c>
      <c r="J2202">
        <v>0.35740993458402898</v>
      </c>
      <c r="K2202">
        <v>0.357696158296543</v>
      </c>
      <c r="L2202">
        <v>1289.32271881717</v>
      </c>
      <c r="M2202">
        <v>23.5538279265756</v>
      </c>
      <c r="N2202">
        <v>57.549908898258998</v>
      </c>
      <c r="O2202">
        <v>54.349418603263501</v>
      </c>
      <c r="P2202">
        <v>-7.13216277542255E-2</v>
      </c>
      <c r="Q2202">
        <v>0.34172517922288098</v>
      </c>
      <c r="R2202">
        <v>0.94325197678269901</v>
      </c>
      <c r="S2202" t="s">
        <v>9008</v>
      </c>
      <c r="T2202" t="s">
        <v>13610</v>
      </c>
      <c r="U2202" t="s">
        <v>13610</v>
      </c>
      <c r="V2202" t="s">
        <v>13610</v>
      </c>
      <c r="W2202" t="s">
        <v>15762</v>
      </c>
      <c r="X2202">
        <v>40</v>
      </c>
      <c r="Y2202" t="s">
        <v>20767</v>
      </c>
      <c r="Z2202" t="s">
        <v>29057</v>
      </c>
      <c r="AA2202">
        <v>0.67190619083761571</v>
      </c>
      <c r="AB2202" t="str">
        <f>HYPERLINK("Melting_Curves/meltCurve_P27816_5_MAP4.pdf", "Melting_Curves/meltCurve_P27816_5_MAP4.pdf")</f>
        <v>Melting_Curves/meltCurve_P27816_5_MAP4.pdf</v>
      </c>
    </row>
    <row r="2203" spans="1:28" x14ac:dyDescent="0.25">
      <c r="A2203" t="s">
        <v>2207</v>
      </c>
      <c r="B2203">
        <v>0.995954080203443</v>
      </c>
      <c r="C2203">
        <v>0.87366182415517402</v>
      </c>
      <c r="D2203">
        <v>0.72805290544508205</v>
      </c>
      <c r="E2203">
        <v>0.82964375599266005</v>
      </c>
      <c r="F2203">
        <v>0.344528283509967</v>
      </c>
      <c r="G2203">
        <v>0.139682898361352</v>
      </c>
      <c r="H2203">
        <v>0.106914457676706</v>
      </c>
      <c r="I2203">
        <v>0.107777659836079</v>
      </c>
      <c r="J2203">
        <v>0.13987285285937301</v>
      </c>
      <c r="K2203">
        <v>0.122719376258488</v>
      </c>
      <c r="L2203">
        <v>914.24382078844303</v>
      </c>
      <c r="M2203">
        <v>17.830790808294399</v>
      </c>
      <c r="N2203">
        <v>51.788766476149398</v>
      </c>
      <c r="O2203">
        <v>50.641428306161302</v>
      </c>
      <c r="P2203">
        <v>-8.0871991954461597E-2</v>
      </c>
      <c r="Q2203">
        <v>8.1304834101102202E-2</v>
      </c>
      <c r="R2203">
        <v>0.930998635206706</v>
      </c>
      <c r="S2203" t="s">
        <v>9009</v>
      </c>
      <c r="T2203" t="s">
        <v>13610</v>
      </c>
      <c r="U2203" t="s">
        <v>13610</v>
      </c>
      <c r="V2203" t="s">
        <v>13610</v>
      </c>
      <c r="W2203" t="s">
        <v>15763</v>
      </c>
      <c r="X2203">
        <v>19</v>
      </c>
      <c r="Y2203" t="s">
        <v>22431</v>
      </c>
      <c r="Z2203" t="s">
        <v>29058</v>
      </c>
      <c r="AA2203">
        <v>0.44221999934514677</v>
      </c>
      <c r="AB2203" t="str">
        <f>HYPERLINK("Melting_Curves/meltCurve_P27824_CANX.pdf", "Melting_Curves/meltCurve_P27824_CANX.pdf")</f>
        <v>Melting_Curves/meltCurve_P27824_CANX.pdf</v>
      </c>
    </row>
    <row r="2204" spans="1:28" x14ac:dyDescent="0.25">
      <c r="A2204" t="s">
        <v>2208</v>
      </c>
      <c r="B2204">
        <v>0.995954080203443</v>
      </c>
      <c r="C2204">
        <v>0.91233589371849999</v>
      </c>
      <c r="D2204">
        <v>0.849607821503373</v>
      </c>
      <c r="E2204">
        <v>0.61413611940416502</v>
      </c>
      <c r="F2204">
        <v>0.23249714017988701</v>
      </c>
      <c r="G2204">
        <v>0.13614067640222399</v>
      </c>
      <c r="H2204">
        <v>9.5703738029125907E-2</v>
      </c>
      <c r="I2204">
        <v>9.8044112963622698E-2</v>
      </c>
      <c r="J2204">
        <v>0.116343784166514</v>
      </c>
      <c r="K2204">
        <v>9.6530678280861204E-2</v>
      </c>
      <c r="L2204">
        <v>1126.10374949417</v>
      </c>
      <c r="M2204">
        <v>22.500455119854301</v>
      </c>
      <c r="N2204">
        <v>50.484082630904602</v>
      </c>
      <c r="O2204">
        <v>49.657747102752403</v>
      </c>
      <c r="P2204">
        <v>-0.103276159724733</v>
      </c>
      <c r="Q2204">
        <v>8.8310582845198701E-2</v>
      </c>
      <c r="R2204">
        <v>0.98901787552021603</v>
      </c>
      <c r="S2204" t="s">
        <v>9010</v>
      </c>
      <c r="T2204" t="s">
        <v>13610</v>
      </c>
      <c r="U2204" t="s">
        <v>13610</v>
      </c>
      <c r="V2204" t="s">
        <v>13610</v>
      </c>
      <c r="W2204" t="s">
        <v>15764</v>
      </c>
      <c r="X2204">
        <v>24</v>
      </c>
      <c r="Y2204" t="s">
        <v>22432</v>
      </c>
      <c r="Z2204" t="s">
        <v>29059</v>
      </c>
      <c r="AA2204">
        <v>0.40373024163747417</v>
      </c>
      <c r="AB2204" t="str">
        <f>HYPERLINK("Melting_Curves/meltCurve_P27986_PIK3R1.pdf", "Melting_Curves/meltCurve_P27986_PIK3R1.pdf")</f>
        <v>Melting_Curves/meltCurve_P27986_PIK3R1.pdf</v>
      </c>
    </row>
    <row r="2205" spans="1:28" x14ac:dyDescent="0.25">
      <c r="A2205" t="s">
        <v>2209</v>
      </c>
      <c r="B2205">
        <v>0.995954080203443</v>
      </c>
      <c r="C2205">
        <v>0.63169838983201798</v>
      </c>
      <c r="D2205">
        <v>0.42399177996551402</v>
      </c>
      <c r="E2205">
        <v>0.80299253295210005</v>
      </c>
      <c r="F2205">
        <v>0.61607704418040499</v>
      </c>
      <c r="G2205">
        <v>0.47933082714571801</v>
      </c>
      <c r="H2205">
        <v>0.235429155503942</v>
      </c>
      <c r="I2205">
        <v>0.27661751441231502</v>
      </c>
      <c r="J2205">
        <v>0.14766092034775899</v>
      </c>
      <c r="K2205">
        <v>0.31072645349510503</v>
      </c>
      <c r="L2205">
        <v>266.77541137788302</v>
      </c>
      <c r="M2205">
        <v>5.0151425170637101</v>
      </c>
      <c r="N2205">
        <v>53.193984062882897</v>
      </c>
      <c r="O2205">
        <v>46.4590434761597</v>
      </c>
      <c r="P2205">
        <v>-2.71505569474353E-2</v>
      </c>
      <c r="Q2205">
        <v>0</v>
      </c>
      <c r="R2205">
        <v>0.67779725878691499</v>
      </c>
      <c r="S2205" t="s">
        <v>9011</v>
      </c>
      <c r="T2205" t="s">
        <v>13610</v>
      </c>
      <c r="U2205" t="s">
        <v>13610</v>
      </c>
      <c r="V2205" t="s">
        <v>13610</v>
      </c>
      <c r="W2205" t="s">
        <v>15765</v>
      </c>
      <c r="X2205">
        <v>2</v>
      </c>
      <c r="Y2205" t="s">
        <v>22433</v>
      </c>
      <c r="Z2205" t="s">
        <v>29060</v>
      </c>
      <c r="AA2205">
        <v>0.48833900857748558</v>
      </c>
      <c r="AB2205" t="str">
        <f>HYPERLINK("Melting_Curves/meltCurve_P28062_2_PSMB8.pdf", "Melting_Curves/meltCurve_P28062_2_PSMB8.pdf")</f>
        <v>Melting_Curves/meltCurve_P28062_2_PSMB8.pdf</v>
      </c>
    </row>
    <row r="2206" spans="1:28" x14ac:dyDescent="0.25">
      <c r="A2206" t="s">
        <v>2210</v>
      </c>
      <c r="B2206">
        <v>0.995954080203443</v>
      </c>
      <c r="C2206">
        <v>0.79493040130674297</v>
      </c>
      <c r="D2206">
        <v>0.56185626795629395</v>
      </c>
      <c r="E2206">
        <v>0.75358151766710602</v>
      </c>
      <c r="F2206">
        <v>0.48782531166037402</v>
      </c>
      <c r="G2206">
        <v>0.39772562790055899</v>
      </c>
      <c r="H2206">
        <v>0.19280542570026499</v>
      </c>
      <c r="I2206">
        <v>0.19103119173727601</v>
      </c>
      <c r="J2206">
        <v>8.27791482135488E-2</v>
      </c>
      <c r="K2206">
        <v>0.23861860126221199</v>
      </c>
      <c r="L2206">
        <v>381.78264752249999</v>
      </c>
      <c r="M2206">
        <v>7.2758076919272998</v>
      </c>
      <c r="N2206">
        <v>52.4728880028091</v>
      </c>
      <c r="O2206">
        <v>48.944546536445003</v>
      </c>
      <c r="P2206">
        <v>-3.7223300678123399E-2</v>
      </c>
      <c r="Q2206">
        <v>0</v>
      </c>
      <c r="R2206">
        <v>0.88986714991402105</v>
      </c>
      <c r="S2206" t="s">
        <v>9012</v>
      </c>
      <c r="T2206" t="s">
        <v>13610</v>
      </c>
      <c r="U2206" t="s">
        <v>13610</v>
      </c>
      <c r="V2206" t="s">
        <v>13610</v>
      </c>
      <c r="W2206" t="s">
        <v>15766</v>
      </c>
      <c r="X2206">
        <v>14</v>
      </c>
      <c r="Y2206" t="s">
        <v>22434</v>
      </c>
      <c r="Z2206" t="s">
        <v>29061</v>
      </c>
      <c r="AA2206">
        <v>0.46304406742666587</v>
      </c>
      <c r="AB2206" t="str">
        <f>HYPERLINK("Melting_Curves/meltCurve_P28066_PSMA5.pdf", "Melting_Curves/meltCurve_P28066_PSMA5.pdf")</f>
        <v>Melting_Curves/meltCurve_P28066_PSMA5.pdf</v>
      </c>
    </row>
    <row r="2207" spans="1:28" x14ac:dyDescent="0.25">
      <c r="A2207" t="s">
        <v>2211</v>
      </c>
      <c r="B2207">
        <v>0.995954080203443</v>
      </c>
      <c r="C2207">
        <v>0.65976761907602</v>
      </c>
      <c r="D2207">
        <v>0.47799770793604801</v>
      </c>
      <c r="E2207">
        <v>0.85904978703167301</v>
      </c>
      <c r="F2207">
        <v>0.76048981809731497</v>
      </c>
      <c r="G2207">
        <v>0.60995483811014695</v>
      </c>
      <c r="H2207">
        <v>0.30067961289561501</v>
      </c>
      <c r="I2207">
        <v>0.29594579835468499</v>
      </c>
      <c r="J2207">
        <v>0.14364292165328099</v>
      </c>
      <c r="K2207">
        <v>0.35746478187324998</v>
      </c>
      <c r="L2207">
        <v>281.31309019794401</v>
      </c>
      <c r="M2207">
        <v>4.9926086558240899</v>
      </c>
      <c r="N2207">
        <v>56.345912443483002</v>
      </c>
      <c r="O2207">
        <v>49.160252796469699</v>
      </c>
      <c r="P2207">
        <v>-2.5545836155862901E-2</v>
      </c>
      <c r="Q2207">
        <v>0</v>
      </c>
      <c r="R2207">
        <v>0.62599800509393999</v>
      </c>
      <c r="S2207" t="s">
        <v>9013</v>
      </c>
      <c r="T2207" t="s">
        <v>13610</v>
      </c>
      <c r="U2207" t="s">
        <v>13610</v>
      </c>
      <c r="V2207" t="s">
        <v>13610</v>
      </c>
      <c r="W2207" t="s">
        <v>15767</v>
      </c>
      <c r="X2207">
        <v>8</v>
      </c>
      <c r="Y2207" t="s">
        <v>22435</v>
      </c>
      <c r="Z2207" t="s">
        <v>29062</v>
      </c>
      <c r="AA2207">
        <v>0.55061744909293897</v>
      </c>
      <c r="AB2207" t="str">
        <f>HYPERLINK("Melting_Curves/meltCurve_P28070_PSMB4.pdf", "Melting_Curves/meltCurve_P28070_PSMB4.pdf")</f>
        <v>Melting_Curves/meltCurve_P28070_PSMB4.pdf</v>
      </c>
    </row>
    <row r="2208" spans="1:28" x14ac:dyDescent="0.25">
      <c r="A2208" t="s">
        <v>2212</v>
      </c>
      <c r="B2208">
        <v>0.995954080203443</v>
      </c>
      <c r="C2208">
        <v>0.70389184909059299</v>
      </c>
      <c r="D2208">
        <v>0.49639516801245298</v>
      </c>
      <c r="E2208">
        <v>0.83997981377874398</v>
      </c>
      <c r="F2208">
        <v>0.65325197674694702</v>
      </c>
      <c r="G2208">
        <v>0.57917482985356705</v>
      </c>
      <c r="H2208">
        <v>0.27929702833230502</v>
      </c>
      <c r="I2208">
        <v>0.29566454537169801</v>
      </c>
      <c r="J2208">
        <v>0.106203326358854</v>
      </c>
      <c r="K2208">
        <v>0.34742644504509401</v>
      </c>
      <c r="L2208">
        <v>296.14295932829901</v>
      </c>
      <c r="M2208">
        <v>5.35584925296041</v>
      </c>
      <c r="N2208">
        <v>55.293370909550703</v>
      </c>
      <c r="O2208">
        <v>49.001152751209197</v>
      </c>
      <c r="P2208">
        <v>-2.7457178110206901E-2</v>
      </c>
      <c r="Q2208">
        <v>0</v>
      </c>
      <c r="R2208">
        <v>0.70364028214353003</v>
      </c>
      <c r="S2208" t="s">
        <v>9014</v>
      </c>
      <c r="T2208" t="s">
        <v>13610</v>
      </c>
      <c r="U2208" t="s">
        <v>13610</v>
      </c>
      <c r="V2208" t="s">
        <v>13610</v>
      </c>
      <c r="W2208" t="s">
        <v>15768</v>
      </c>
      <c r="X2208">
        <v>12</v>
      </c>
      <c r="Y2208" t="s">
        <v>22436</v>
      </c>
      <c r="Z2208" t="s">
        <v>29063</v>
      </c>
      <c r="AA2208">
        <v>0.53115645992155425</v>
      </c>
      <c r="AB2208" t="str">
        <f>HYPERLINK("Melting_Curves/meltCurve_P28072_PSMB6.pdf", "Melting_Curves/meltCurve_P28072_PSMB6.pdf")</f>
        <v>Melting_Curves/meltCurve_P28072_PSMB6.pdf</v>
      </c>
    </row>
    <row r="2209" spans="1:28" x14ac:dyDescent="0.25">
      <c r="A2209" t="s">
        <v>2213</v>
      </c>
      <c r="B2209">
        <v>0.995954080203443</v>
      </c>
      <c r="C2209">
        <v>0.76604083338189899</v>
      </c>
      <c r="D2209">
        <v>0.59168853985976</v>
      </c>
      <c r="E2209">
        <v>1.0075229742916101</v>
      </c>
      <c r="F2209">
        <v>0.78557227973046395</v>
      </c>
      <c r="G2209">
        <v>0.72668364598427804</v>
      </c>
      <c r="H2209">
        <v>0.37373075405150602</v>
      </c>
      <c r="I2209">
        <v>0.37722800522697297</v>
      </c>
      <c r="J2209">
        <v>0.18954559400340301</v>
      </c>
      <c r="K2209">
        <v>0.42566846014541199</v>
      </c>
      <c r="L2209">
        <v>366.93178597014202</v>
      </c>
      <c r="M2209">
        <v>6.0743992040661796</v>
      </c>
      <c r="N2209">
        <v>60.406269768054898</v>
      </c>
      <c r="O2209">
        <v>54.839297911415898</v>
      </c>
      <c r="P2209">
        <v>-2.77776329743952E-2</v>
      </c>
      <c r="Q2209">
        <v>0</v>
      </c>
      <c r="R2209">
        <v>0.65789958951674099</v>
      </c>
      <c r="S2209" t="s">
        <v>9015</v>
      </c>
      <c r="T2209" t="s">
        <v>13610</v>
      </c>
      <c r="U2209" t="s">
        <v>13610</v>
      </c>
      <c r="V2209" t="s">
        <v>13610</v>
      </c>
      <c r="W2209" t="s">
        <v>15769</v>
      </c>
      <c r="X2209">
        <v>15</v>
      </c>
      <c r="Y2209" t="s">
        <v>22437</v>
      </c>
      <c r="Z2209" t="s">
        <v>29064</v>
      </c>
      <c r="AA2209">
        <v>0.64181136661575622</v>
      </c>
      <c r="AB2209" t="str">
        <f>HYPERLINK("Melting_Curves/meltCurve_P28074_PSMB5.pdf", "Melting_Curves/meltCurve_P28074_PSMB5.pdf")</f>
        <v>Melting_Curves/meltCurve_P28074_PSMB5.pdf</v>
      </c>
    </row>
    <row r="2210" spans="1:28" x14ac:dyDescent="0.25">
      <c r="A2210" t="s">
        <v>2214</v>
      </c>
      <c r="B2210">
        <v>0.995954080203443</v>
      </c>
      <c r="C2210">
        <v>0.82115301993803202</v>
      </c>
      <c r="D2210">
        <v>0.60937787455101999</v>
      </c>
      <c r="E2210">
        <v>0.42897907012880698</v>
      </c>
      <c r="F2210">
        <v>0.20317959686022899</v>
      </c>
      <c r="G2210">
        <v>9.2316631965989299E-2</v>
      </c>
      <c r="H2210">
        <v>5.6898644019078598E-2</v>
      </c>
      <c r="I2210">
        <v>5.3246224722024102E-2</v>
      </c>
      <c r="J2210">
        <v>5.3389287511072601E-2</v>
      </c>
      <c r="K2210">
        <v>4.7955630474148497E-2</v>
      </c>
      <c r="L2210">
        <v>674.583244517754</v>
      </c>
      <c r="M2210">
        <v>14.097736431768601</v>
      </c>
      <c r="N2210">
        <v>48.024427820259902</v>
      </c>
      <c r="O2210">
        <v>46.918523528552697</v>
      </c>
      <c r="P2210">
        <v>-7.3257758588418598E-2</v>
      </c>
      <c r="Q2210">
        <v>2.4892174480112099E-2</v>
      </c>
      <c r="R2210">
        <v>0.99162969093366904</v>
      </c>
      <c r="S2210" t="s">
        <v>9016</v>
      </c>
      <c r="T2210" t="s">
        <v>13610</v>
      </c>
      <c r="U2210" t="s">
        <v>13610</v>
      </c>
      <c r="V2210" t="s">
        <v>13610</v>
      </c>
      <c r="W2210" t="s">
        <v>15770</v>
      </c>
      <c r="X2210">
        <v>5</v>
      </c>
      <c r="Y2210" t="s">
        <v>22438</v>
      </c>
      <c r="Z2210" t="s">
        <v>29065</v>
      </c>
      <c r="AA2210">
        <v>0.30861442575803821</v>
      </c>
      <c r="AB2210" t="str">
        <f>HYPERLINK("Melting_Curves/meltCurve_P28161_2_GSTM2.pdf", "Melting_Curves/meltCurve_P28161_2_GSTM2.pdf")</f>
        <v>Melting_Curves/meltCurve_P28161_2_GSTM2.pdf</v>
      </c>
    </row>
    <row r="2211" spans="1:28" x14ac:dyDescent="0.25">
      <c r="A2211" t="s">
        <v>2215</v>
      </c>
      <c r="B2211">
        <v>0.995954080203443</v>
      </c>
      <c r="C2211">
        <v>0.83646321963442605</v>
      </c>
      <c r="D2211">
        <v>0.59692741845490804</v>
      </c>
      <c r="E2211">
        <v>0.30307121361551798</v>
      </c>
      <c r="F2211">
        <v>0.16518970299982499</v>
      </c>
      <c r="G2211">
        <v>0.11065397674050099</v>
      </c>
      <c r="H2211">
        <v>8.8122532088310501E-2</v>
      </c>
      <c r="I2211">
        <v>9.9414103535109696E-2</v>
      </c>
      <c r="J2211">
        <v>0.102407187273668</v>
      </c>
      <c r="K2211">
        <v>0.113452394719861</v>
      </c>
      <c r="L2211">
        <v>891.44041739506804</v>
      </c>
      <c r="M2211">
        <v>19.143582654955001</v>
      </c>
      <c r="N2211">
        <v>47.079660946546703</v>
      </c>
      <c r="O2211">
        <v>46.066804806199301</v>
      </c>
      <c r="P2211">
        <v>-9.4102820967946699E-2</v>
      </c>
      <c r="Q2211">
        <v>9.4244814604073607E-2</v>
      </c>
      <c r="R2211">
        <v>0.99766741037405304</v>
      </c>
      <c r="S2211" t="s">
        <v>9017</v>
      </c>
      <c r="T2211" t="s">
        <v>13610</v>
      </c>
      <c r="U2211" t="s">
        <v>13610</v>
      </c>
      <c r="V2211" t="s">
        <v>13610</v>
      </c>
      <c r="W2211" t="s">
        <v>15771</v>
      </c>
      <c r="X2211">
        <v>11</v>
      </c>
      <c r="Y2211" t="s">
        <v>22439</v>
      </c>
      <c r="Z2211" t="s">
        <v>29066</v>
      </c>
      <c r="AA2211">
        <v>0.30740601656444722</v>
      </c>
      <c r="AB2211" t="str">
        <f>HYPERLINK("Melting_Curves/meltCurve_P28289_TMOD1.pdf", "Melting_Curves/meltCurve_P28289_TMOD1.pdf")</f>
        <v>Melting_Curves/meltCurve_P28289_TMOD1.pdf</v>
      </c>
    </row>
    <row r="2212" spans="1:28" x14ac:dyDescent="0.25">
      <c r="A2212" t="s">
        <v>2216</v>
      </c>
      <c r="B2212">
        <v>0.995954080203443</v>
      </c>
      <c r="C2212">
        <v>0.81957949932948204</v>
      </c>
      <c r="D2212">
        <v>0.57954315785328203</v>
      </c>
      <c r="E2212">
        <v>0.48904828916377702</v>
      </c>
      <c r="F2212">
        <v>0.23393795091651901</v>
      </c>
      <c r="G2212">
        <v>0.12279235894729899</v>
      </c>
      <c r="H2212">
        <v>9.4037752027754301E-2</v>
      </c>
      <c r="I2212">
        <v>8.0117643804496305E-2</v>
      </c>
      <c r="J2212">
        <v>7.9691214432596594E-2</v>
      </c>
      <c r="K2212">
        <v>7.1594810997855599E-2</v>
      </c>
      <c r="L2212">
        <v>621.19067121783598</v>
      </c>
      <c r="M2212">
        <v>12.9578230192266</v>
      </c>
      <c r="N2212">
        <v>48.294219830574697</v>
      </c>
      <c r="O2212">
        <v>46.840739894336998</v>
      </c>
      <c r="P2212">
        <v>-6.6030919854568396E-2</v>
      </c>
      <c r="Q2212">
        <v>4.5400184200353702E-2</v>
      </c>
      <c r="R2212">
        <v>0.98189296745769905</v>
      </c>
      <c r="S2212" t="s">
        <v>9018</v>
      </c>
      <c r="T2212" t="s">
        <v>13610</v>
      </c>
      <c r="U2212" t="s">
        <v>13610</v>
      </c>
      <c r="V2212" t="s">
        <v>13610</v>
      </c>
      <c r="W2212" t="s">
        <v>15772</v>
      </c>
      <c r="X2212">
        <v>7</v>
      </c>
      <c r="Y2212" t="s">
        <v>22440</v>
      </c>
      <c r="Z2212" t="s">
        <v>29067</v>
      </c>
      <c r="AA2212">
        <v>0.33066747760165888</v>
      </c>
      <c r="AB2212" t="str">
        <f>HYPERLINK("Melting_Curves/meltCurve_P28331_4_NDUFS1.pdf", "Melting_Curves/meltCurve_P28331_4_NDUFS1.pdf")</f>
        <v>Melting_Curves/meltCurve_P28331_4_NDUFS1.pdf</v>
      </c>
    </row>
    <row r="2213" spans="1:28" x14ac:dyDescent="0.25">
      <c r="A2213" t="s">
        <v>2217</v>
      </c>
      <c r="B2213">
        <v>0.995954080203443</v>
      </c>
      <c r="C2213">
        <v>0.67539399539948297</v>
      </c>
      <c r="D2213">
        <v>0.467114377687946</v>
      </c>
      <c r="E2213">
        <v>0.416720816704372</v>
      </c>
      <c r="F2213">
        <v>0.273207696292951</v>
      </c>
      <c r="G2213">
        <v>0.17654286682765699</v>
      </c>
      <c r="H2213">
        <v>0.100746261767098</v>
      </c>
      <c r="I2213">
        <v>8.7035847957752904E-2</v>
      </c>
      <c r="J2213">
        <v>9.1114654381470206E-2</v>
      </c>
      <c r="K2213">
        <v>8.0537946325261206E-2</v>
      </c>
      <c r="L2213">
        <v>530.26557453210501</v>
      </c>
      <c r="M2213">
        <v>11.441740304344499</v>
      </c>
      <c r="N2213">
        <v>46.923025836927003</v>
      </c>
      <c r="O2213">
        <v>44.996942642396299</v>
      </c>
      <c r="P2213">
        <v>-5.9407129175416303E-2</v>
      </c>
      <c r="Q2213">
        <v>6.5749372809634193E-2</v>
      </c>
      <c r="R2213">
        <v>0.96076194289398698</v>
      </c>
      <c r="S2213" t="s">
        <v>9019</v>
      </c>
      <c r="T2213" t="s">
        <v>13610</v>
      </c>
      <c r="U2213" t="s">
        <v>13610</v>
      </c>
      <c r="V2213" t="s">
        <v>13610</v>
      </c>
      <c r="W2213" t="s">
        <v>15773</v>
      </c>
      <c r="X2213">
        <v>41</v>
      </c>
      <c r="Y2213" t="s">
        <v>22441</v>
      </c>
      <c r="Z2213" t="s">
        <v>29068</v>
      </c>
      <c r="AA2213">
        <v>0.30838255101720419</v>
      </c>
      <c r="AB2213" t="str">
        <f>HYPERLINK("Melting_Curves/meltCurve_P28340_POLD1.pdf", "Melting_Curves/meltCurve_P28340_POLD1.pdf")</f>
        <v>Melting_Curves/meltCurve_P28340_POLD1.pdf</v>
      </c>
    </row>
    <row r="2214" spans="1:28" x14ac:dyDescent="0.25">
      <c r="A2214" t="s">
        <v>2218</v>
      </c>
      <c r="B2214">
        <v>0.995954080203443</v>
      </c>
      <c r="C2214">
        <v>0.91739048589679595</v>
      </c>
      <c r="D2214">
        <v>0.89601153290339397</v>
      </c>
      <c r="E2214">
        <v>0.75050268247207796</v>
      </c>
      <c r="F2214">
        <v>0.59149299171262004</v>
      </c>
      <c r="G2214">
        <v>0.231368876995419</v>
      </c>
      <c r="H2214">
        <v>7.8849955721893294E-2</v>
      </c>
      <c r="I2214">
        <v>6.6057922625127302E-2</v>
      </c>
      <c r="J2214">
        <v>7.6095696273533103E-2</v>
      </c>
      <c r="K2214">
        <v>6.3742753778418704E-2</v>
      </c>
      <c r="L2214">
        <v>919.37156638319902</v>
      </c>
      <c r="M2214">
        <v>17.257991825947201</v>
      </c>
      <c r="N2214">
        <v>53.420498984389702</v>
      </c>
      <c r="O2214">
        <v>52.572382316991003</v>
      </c>
      <c r="P2214">
        <v>-8.0153244636196705E-2</v>
      </c>
      <c r="Q2214">
        <v>2.3385415994718502E-2</v>
      </c>
      <c r="R2214">
        <v>0.99019454904007498</v>
      </c>
      <c r="S2214" t="s">
        <v>9020</v>
      </c>
      <c r="T2214" t="s">
        <v>13610</v>
      </c>
      <c r="U2214" t="s">
        <v>13610</v>
      </c>
      <c r="V2214" t="s">
        <v>13610</v>
      </c>
      <c r="W2214" t="s">
        <v>15774</v>
      </c>
      <c r="X2214">
        <v>24</v>
      </c>
      <c r="Y2214" t="s">
        <v>22442</v>
      </c>
      <c r="Z2214" t="s">
        <v>29069</v>
      </c>
      <c r="AA2214">
        <v>0.47242089991847702</v>
      </c>
      <c r="AB2214" t="str">
        <f>HYPERLINK("Melting_Curves/meltCurve_P28482_MAPK1.pdf", "Melting_Curves/meltCurve_P28482_MAPK1.pdf")</f>
        <v>Melting_Curves/meltCurve_P28482_MAPK1.pdf</v>
      </c>
    </row>
    <row r="2215" spans="1:28" x14ac:dyDescent="0.25">
      <c r="A2215" t="s">
        <v>2219</v>
      </c>
      <c r="B2215">
        <v>0.995954080203443</v>
      </c>
      <c r="C2215">
        <v>0.93537072900154605</v>
      </c>
      <c r="D2215">
        <v>0.875798413156885</v>
      </c>
      <c r="E2215">
        <v>0.78027125423499999</v>
      </c>
      <c r="F2215">
        <v>0.71557987065775297</v>
      </c>
      <c r="G2215">
        <v>0.47690177347041202</v>
      </c>
      <c r="H2215">
        <v>0.45893077724414499</v>
      </c>
      <c r="I2215">
        <v>0.53757038207251395</v>
      </c>
      <c r="J2215">
        <v>0.72153715060877599</v>
      </c>
      <c r="K2215">
        <v>0.63618503688950701</v>
      </c>
      <c r="L2215">
        <v>910.40185392831199</v>
      </c>
      <c r="M2215">
        <v>18.5518881471884</v>
      </c>
      <c r="O2215">
        <v>48.513745583497801</v>
      </c>
      <c r="P2215">
        <v>-4.1151486939566502E-2</v>
      </c>
      <c r="Q2215">
        <v>0.56956935021606603</v>
      </c>
      <c r="R2215">
        <v>0.79713966502062605</v>
      </c>
      <c r="S2215" t="s">
        <v>9021</v>
      </c>
      <c r="T2215" t="s">
        <v>13610</v>
      </c>
      <c r="U2215" t="s">
        <v>13610</v>
      </c>
      <c r="V2215" t="s">
        <v>13610</v>
      </c>
      <c r="W2215" t="s">
        <v>15775</v>
      </c>
      <c r="X2215">
        <v>23</v>
      </c>
      <c r="Y2215" t="s">
        <v>22443</v>
      </c>
      <c r="Z2215" t="s">
        <v>29070</v>
      </c>
      <c r="AA2215">
        <v>0.70676004963647188</v>
      </c>
      <c r="AB2215" t="str">
        <f>HYPERLINK("Melting_Curves/meltCurve_P28715_ERCC5.pdf", "Melting_Curves/meltCurve_P28715_ERCC5.pdf")</f>
        <v>Melting_Curves/meltCurve_P28715_ERCC5.pdf</v>
      </c>
    </row>
    <row r="2216" spans="1:28" x14ac:dyDescent="0.25">
      <c r="A2216" t="s">
        <v>2220</v>
      </c>
      <c r="B2216">
        <v>0.995954080203443</v>
      </c>
      <c r="C2216">
        <v>0.92028202386062197</v>
      </c>
      <c r="D2216">
        <v>0.80372724739270196</v>
      </c>
      <c r="E2216">
        <v>0.55228005073620501</v>
      </c>
      <c r="F2216">
        <v>0.33712556780147002</v>
      </c>
      <c r="G2216">
        <v>0.21365077161938201</v>
      </c>
      <c r="H2216">
        <v>0.184037893285909</v>
      </c>
      <c r="I2216">
        <v>0.217536041015188</v>
      </c>
      <c r="J2216">
        <v>0.25594086741486699</v>
      </c>
      <c r="K2216">
        <v>0.25483868890234002</v>
      </c>
      <c r="L2216">
        <v>955.11858705203201</v>
      </c>
      <c r="M2216">
        <v>19.572600566436801</v>
      </c>
      <c r="N2216">
        <v>50.219293402027901</v>
      </c>
      <c r="O2216">
        <v>48.297939062039298</v>
      </c>
      <c r="P2216">
        <v>-7.9778355046845606E-2</v>
      </c>
      <c r="Q2216">
        <v>0.21257436156802201</v>
      </c>
      <c r="R2216">
        <v>0.98953132420900702</v>
      </c>
      <c r="S2216" t="s">
        <v>9022</v>
      </c>
      <c r="T2216" t="s">
        <v>13610</v>
      </c>
      <c r="U2216" t="s">
        <v>13610</v>
      </c>
      <c r="V2216" t="s">
        <v>13610</v>
      </c>
      <c r="W2216" t="s">
        <v>15776</v>
      </c>
      <c r="X2216">
        <v>9</v>
      </c>
      <c r="Y2216" t="s">
        <v>22444</v>
      </c>
      <c r="Z2216" t="s">
        <v>29071</v>
      </c>
      <c r="AA2216">
        <v>0.45507234778468869</v>
      </c>
      <c r="AB2216" t="str">
        <f>HYPERLINK("Melting_Curves/meltCurve_P28749_RBL1.pdf", "Melting_Curves/meltCurve_P28749_RBL1.pdf")</f>
        <v>Melting_Curves/meltCurve_P28749_RBL1.pdf</v>
      </c>
    </row>
    <row r="2217" spans="1:28" x14ac:dyDescent="0.25">
      <c r="A2217" t="s">
        <v>2221</v>
      </c>
      <c r="B2217">
        <v>0.995954080203443</v>
      </c>
      <c r="C2217">
        <v>1.00632799215298</v>
      </c>
      <c r="D2217">
        <v>1.0350598468203001</v>
      </c>
      <c r="E2217">
        <v>0.964792438032819</v>
      </c>
      <c r="F2217">
        <v>0.99393628531954603</v>
      </c>
      <c r="G2217">
        <v>0.74941099686519697</v>
      </c>
      <c r="H2217">
        <v>0.87523951410573497</v>
      </c>
      <c r="I2217">
        <v>1.09342610018536</v>
      </c>
      <c r="J2217">
        <v>1.59511628708971</v>
      </c>
      <c r="K2217">
        <v>1.7064346769641201</v>
      </c>
      <c r="L2217">
        <v>15000</v>
      </c>
      <c r="M2217">
        <v>232.90537223765699</v>
      </c>
      <c r="O2217">
        <v>64.399090124644999</v>
      </c>
      <c r="P2217">
        <v>0.452074269323748</v>
      </c>
      <c r="Q2217">
        <v>1.5</v>
      </c>
      <c r="R2217">
        <v>0.84209100271591497</v>
      </c>
      <c r="S2217" t="s">
        <v>9023</v>
      </c>
      <c r="T2217" t="s">
        <v>13610</v>
      </c>
      <c r="U2217" t="s">
        <v>13610</v>
      </c>
      <c r="V2217" t="s">
        <v>13610</v>
      </c>
      <c r="W2217" t="s">
        <v>15777</v>
      </c>
      <c r="X2217">
        <v>7</v>
      </c>
      <c r="Y2217" t="s">
        <v>22445</v>
      </c>
      <c r="Z2217" t="s">
        <v>29072</v>
      </c>
      <c r="AA2217">
        <v>1.0932042404616089</v>
      </c>
      <c r="AB2217" t="str">
        <f>HYPERLINK("Melting_Curves/meltCurve_P28799_GRN.pdf", "Melting_Curves/meltCurve_P28799_GRN.pdf")</f>
        <v>Melting_Curves/meltCurve_P28799_GRN.pdf</v>
      </c>
    </row>
    <row r="2218" spans="1:28" x14ac:dyDescent="0.25">
      <c r="A2218" t="s">
        <v>2222</v>
      </c>
      <c r="B2218">
        <v>0.995954080203443</v>
      </c>
      <c r="C2218">
        <v>0.83092080146101099</v>
      </c>
      <c r="D2218">
        <v>0.66348940055720695</v>
      </c>
      <c r="E2218">
        <v>0.83674518281721399</v>
      </c>
      <c r="F2218">
        <v>0.599001518758563</v>
      </c>
      <c r="G2218">
        <v>0.44677258372516798</v>
      </c>
      <c r="H2218">
        <v>0.26736419593848598</v>
      </c>
      <c r="I2218">
        <v>0.30934393942427602</v>
      </c>
      <c r="J2218">
        <v>0.195368653378336</v>
      </c>
      <c r="K2218">
        <v>0.36358815431241398</v>
      </c>
      <c r="L2218">
        <v>417.75427554358703</v>
      </c>
      <c r="M2218">
        <v>7.8525828654807901</v>
      </c>
      <c r="N2218">
        <v>55.3280724039058</v>
      </c>
      <c r="O2218">
        <v>50.080697443796304</v>
      </c>
      <c r="P2218">
        <v>-3.4130753246998699E-2</v>
      </c>
      <c r="Q2218">
        <v>0.13036413551905601</v>
      </c>
      <c r="R2218">
        <v>0.87854072747232403</v>
      </c>
      <c r="S2218" t="s">
        <v>9024</v>
      </c>
      <c r="T2218" t="s">
        <v>13610</v>
      </c>
      <c r="U2218" t="s">
        <v>13610</v>
      </c>
      <c r="V2218" t="s">
        <v>13610</v>
      </c>
      <c r="W2218" t="s">
        <v>15778</v>
      </c>
      <c r="X2218">
        <v>29</v>
      </c>
      <c r="Y2218" t="s">
        <v>22446</v>
      </c>
      <c r="Z2218" t="s">
        <v>29073</v>
      </c>
      <c r="AA2218">
        <v>0.54766943436637161</v>
      </c>
      <c r="AB2218" t="str">
        <f>HYPERLINK("Melting_Curves/meltCurve_P28838_2_LAP3.pdf", "Melting_Curves/meltCurve_P28838_2_LAP3.pdf")</f>
        <v>Melting_Curves/meltCurve_P28838_2_LAP3.pdf</v>
      </c>
    </row>
    <row r="2219" spans="1:28" x14ac:dyDescent="0.25">
      <c r="A2219" t="s">
        <v>2223</v>
      </c>
      <c r="B2219">
        <v>0.995954080203443</v>
      </c>
      <c r="C2219">
        <v>1.0402036803314401</v>
      </c>
      <c r="D2219">
        <v>1.1042524312231099</v>
      </c>
      <c r="E2219">
        <v>0.98526621416308902</v>
      </c>
      <c r="F2219">
        <v>0.96749347768076899</v>
      </c>
      <c r="G2219">
        <v>0.72149865673379898</v>
      </c>
      <c r="H2219">
        <v>0.72366201443059197</v>
      </c>
      <c r="I2219">
        <v>0.81455735524600004</v>
      </c>
      <c r="J2219">
        <v>1.1138234993096101</v>
      </c>
      <c r="K2219">
        <v>1.00438354868621</v>
      </c>
      <c r="L2219">
        <v>13305.0855515243</v>
      </c>
      <c r="M2219">
        <v>250</v>
      </c>
      <c r="O2219">
        <v>53.216956823358998</v>
      </c>
      <c r="P2219">
        <v>-0.14611770020915099</v>
      </c>
      <c r="Q2219">
        <v>0.87558501798452804</v>
      </c>
      <c r="R2219">
        <v>0.26980537698851498</v>
      </c>
      <c r="S2219" t="s">
        <v>9025</v>
      </c>
      <c r="T2219" t="s">
        <v>13610</v>
      </c>
      <c r="U2219" t="s">
        <v>13610</v>
      </c>
      <c r="V2219" t="s">
        <v>13610</v>
      </c>
      <c r="W2219" t="s">
        <v>15779</v>
      </c>
      <c r="X2219">
        <v>5</v>
      </c>
      <c r="Y2219" t="s">
        <v>22447</v>
      </c>
      <c r="Z2219" t="s">
        <v>29074</v>
      </c>
      <c r="AA2219">
        <v>0.93042359304603872</v>
      </c>
      <c r="AB2219" t="str">
        <f>HYPERLINK("Melting_Curves/meltCurve_P28908_TNFRSF8.pdf", "Melting_Curves/meltCurve_P28908_TNFRSF8.pdf")</f>
        <v>Melting_Curves/meltCurve_P28908_TNFRSF8.pdf</v>
      </c>
    </row>
    <row r="2220" spans="1:28" x14ac:dyDescent="0.25">
      <c r="A2220" t="s">
        <v>2224</v>
      </c>
      <c r="B2220">
        <v>0.995954080203443</v>
      </c>
      <c r="C2220">
        <v>1.10791249886778</v>
      </c>
      <c r="D2220">
        <v>0.63414067029955301</v>
      </c>
      <c r="E2220">
        <v>0.66241085659172105</v>
      </c>
      <c r="F2220">
        <v>0.45723087702262</v>
      </c>
      <c r="G2220">
        <v>0.31084832048926903</v>
      </c>
      <c r="H2220">
        <v>0.25719499513209898</v>
      </c>
      <c r="I2220">
        <v>0.32619353855072603</v>
      </c>
      <c r="J2220">
        <v>0.334082585066513</v>
      </c>
      <c r="K2220">
        <v>0.365415585551503</v>
      </c>
      <c r="L2220">
        <v>834.99003119629504</v>
      </c>
      <c r="M2220">
        <v>17.206774102999699</v>
      </c>
      <c r="N2220">
        <v>51.415429296744499</v>
      </c>
      <c r="O2220">
        <v>47.885603848101901</v>
      </c>
      <c r="P2220">
        <v>-6.2003195709969698E-2</v>
      </c>
      <c r="Q2220">
        <v>0.30983332615470199</v>
      </c>
      <c r="R2220">
        <v>0.90185456436397904</v>
      </c>
      <c r="S2220" t="s">
        <v>9026</v>
      </c>
      <c r="T2220" t="s">
        <v>13610</v>
      </c>
      <c r="U2220" t="s">
        <v>13610</v>
      </c>
      <c r="V2220" t="s">
        <v>13610</v>
      </c>
      <c r="W2220" t="s">
        <v>15780</v>
      </c>
      <c r="X2220">
        <v>15</v>
      </c>
      <c r="Y2220" t="s">
        <v>22448</v>
      </c>
      <c r="Z2220" t="s">
        <v>29075</v>
      </c>
      <c r="AA2220">
        <v>0.51922742138249267</v>
      </c>
      <c r="AB2220" t="str">
        <f>HYPERLINK("Melting_Curves/meltCurve_P29083_GTF2E1.pdf", "Melting_Curves/meltCurve_P29083_GTF2E1.pdf")</f>
        <v>Melting_Curves/meltCurve_P29083_GTF2E1.pdf</v>
      </c>
    </row>
    <row r="2221" spans="1:28" x14ac:dyDescent="0.25">
      <c r="A2221" t="s">
        <v>2225</v>
      </c>
      <c r="B2221">
        <v>0.995954080203443</v>
      </c>
      <c r="C2221">
        <v>0.93568059408225102</v>
      </c>
      <c r="D2221">
        <v>0.842835470741363</v>
      </c>
      <c r="E2221">
        <v>0.51381614546537302</v>
      </c>
      <c r="F2221">
        <v>0.267513985997057</v>
      </c>
      <c r="G2221">
        <v>0.114393683423237</v>
      </c>
      <c r="H2221">
        <v>6.13361999447012E-2</v>
      </c>
      <c r="I2221">
        <v>5.6633602635542402E-2</v>
      </c>
      <c r="J2221">
        <v>6.7612781568612695E-2</v>
      </c>
      <c r="K2221">
        <v>5.7700684576882398E-2</v>
      </c>
      <c r="L2221">
        <v>972.459359836977</v>
      </c>
      <c r="M2221">
        <v>19.528557327496301</v>
      </c>
      <c r="N2221">
        <v>50.0524814676766</v>
      </c>
      <c r="O2221">
        <v>49.283429870218697</v>
      </c>
      <c r="P2221">
        <v>-9.4362955838492801E-2</v>
      </c>
      <c r="Q2221">
        <v>4.7474104275156297E-2</v>
      </c>
      <c r="R2221">
        <v>0.99916992491212797</v>
      </c>
      <c r="S2221" t="s">
        <v>9027</v>
      </c>
      <c r="T2221" t="s">
        <v>13610</v>
      </c>
      <c r="U2221" t="s">
        <v>13610</v>
      </c>
      <c r="V2221" t="s">
        <v>13610</v>
      </c>
      <c r="W2221" t="s">
        <v>15781</v>
      </c>
      <c r="X2221">
        <v>11</v>
      </c>
      <c r="Y2221" t="s">
        <v>22449</v>
      </c>
      <c r="Z2221" t="s">
        <v>29076</v>
      </c>
      <c r="AA2221">
        <v>0.37243820020453461</v>
      </c>
      <c r="AB2221" t="str">
        <f>HYPERLINK("Melting_Curves/meltCurve_P29084_GTF2E2.pdf", "Melting_Curves/meltCurve_P29084_GTF2E2.pdf")</f>
        <v>Melting_Curves/meltCurve_P29084_GTF2E2.pdf</v>
      </c>
    </row>
    <row r="2222" spans="1:28" x14ac:dyDescent="0.25">
      <c r="A2222" t="s">
        <v>2226</v>
      </c>
      <c r="B2222">
        <v>0.995954080203443</v>
      </c>
      <c r="C2222">
        <v>0.85387142082103495</v>
      </c>
      <c r="D2222">
        <v>0.61501891406618903</v>
      </c>
      <c r="E2222">
        <v>0.412729120829322</v>
      </c>
      <c r="F2222">
        <v>0.153030127829695</v>
      </c>
      <c r="G2222">
        <v>8.9356363822542501E-2</v>
      </c>
      <c r="H2222">
        <v>6.3684913189647196E-2</v>
      </c>
      <c r="I2222">
        <v>6.1175211013216602E-2</v>
      </c>
      <c r="J2222">
        <v>7.5116780601923699E-2</v>
      </c>
      <c r="K2222">
        <v>6.69523731640497E-2</v>
      </c>
      <c r="L2222">
        <v>774.16700627989496</v>
      </c>
      <c r="M2222">
        <v>16.282561980494901</v>
      </c>
      <c r="N2222">
        <v>47.8441869923955</v>
      </c>
      <c r="O2222">
        <v>46.845979686722302</v>
      </c>
      <c r="P2222">
        <v>-8.2704491795276502E-2</v>
      </c>
      <c r="Q2222">
        <v>4.8285430274999999E-2</v>
      </c>
      <c r="R2222">
        <v>0.990923115771013</v>
      </c>
      <c r="S2222" t="s">
        <v>9028</v>
      </c>
      <c r="T2222" t="s">
        <v>13610</v>
      </c>
      <c r="U2222" t="s">
        <v>13610</v>
      </c>
      <c r="V2222" t="s">
        <v>13610</v>
      </c>
      <c r="W2222" t="s">
        <v>15782</v>
      </c>
      <c r="X2222">
        <v>48</v>
      </c>
      <c r="Y2222" t="s">
        <v>22450</v>
      </c>
      <c r="Z2222" t="s">
        <v>29077</v>
      </c>
      <c r="AA2222">
        <v>0.30884528668317163</v>
      </c>
      <c r="AB2222" t="str">
        <f>HYPERLINK("Melting_Curves/meltCurve_P29144_TPP2.pdf", "Melting_Curves/meltCurve_P29144_TPP2.pdf")</f>
        <v>Melting_Curves/meltCurve_P29144_TPP2.pdf</v>
      </c>
    </row>
    <row r="2223" spans="1:28" x14ac:dyDescent="0.25">
      <c r="A2223" t="s">
        <v>2227</v>
      </c>
      <c r="B2223">
        <v>0.995954080203443</v>
      </c>
      <c r="C2223">
        <v>1.03412541203844</v>
      </c>
      <c r="D2223">
        <v>0.97153441126596396</v>
      </c>
      <c r="E2223">
        <v>0.93892832188269104</v>
      </c>
      <c r="F2223">
        <v>0.86890093543065905</v>
      </c>
      <c r="G2223">
        <v>0.64470147425873503</v>
      </c>
      <c r="H2223">
        <v>0.55004715145080996</v>
      </c>
      <c r="I2223">
        <v>0.60084465853731694</v>
      </c>
      <c r="J2223">
        <v>0.76346780828657301</v>
      </c>
      <c r="K2223">
        <v>0.59384540289536802</v>
      </c>
      <c r="L2223">
        <v>2171.86304676396</v>
      </c>
      <c r="M2223">
        <v>40.522045036655697</v>
      </c>
      <c r="O2223">
        <v>53.467038055095699</v>
      </c>
      <c r="P2223">
        <v>-7.1101292543916894E-2</v>
      </c>
      <c r="Q2223">
        <v>0.62474074416451797</v>
      </c>
      <c r="R2223">
        <v>0.90274499433516198</v>
      </c>
      <c r="S2223" t="s">
        <v>9029</v>
      </c>
      <c r="T2223" t="s">
        <v>13610</v>
      </c>
      <c r="U2223" t="s">
        <v>13610</v>
      </c>
      <c r="V2223" t="s">
        <v>13610</v>
      </c>
      <c r="W2223" t="s">
        <v>15783</v>
      </c>
      <c r="X2223">
        <v>16</v>
      </c>
      <c r="Y2223" t="s">
        <v>22451</v>
      </c>
      <c r="Z2223" t="s">
        <v>29078</v>
      </c>
      <c r="AA2223">
        <v>0.79617415380339129</v>
      </c>
      <c r="AB2223" t="str">
        <f>HYPERLINK("Melting_Curves/meltCurve_P29218_IMPA1.pdf", "Melting_Curves/meltCurve_P29218_IMPA1.pdf")</f>
        <v>Melting_Curves/meltCurve_P29218_IMPA1.pdf</v>
      </c>
    </row>
    <row r="2224" spans="1:28" x14ac:dyDescent="0.25">
      <c r="A2224" t="s">
        <v>2228</v>
      </c>
      <c r="B2224">
        <v>0.995954080203443</v>
      </c>
      <c r="C2224">
        <v>1.0383222345415799</v>
      </c>
      <c r="D2224">
        <v>0.93836543780799397</v>
      </c>
      <c r="E2224">
        <v>0.30325700533262401</v>
      </c>
      <c r="F2224">
        <v>0.162230848253961</v>
      </c>
      <c r="G2224">
        <v>8.8939945412605095E-2</v>
      </c>
      <c r="H2224">
        <v>7.0599058775657697E-2</v>
      </c>
      <c r="I2224">
        <v>7.8871304010699694E-2</v>
      </c>
      <c r="J2224">
        <v>9.9499947338580502E-2</v>
      </c>
      <c r="K2224">
        <v>8.3667962986758396E-2</v>
      </c>
      <c r="L2224">
        <v>2077.8266445767499</v>
      </c>
      <c r="M2224">
        <v>42.681002657255902</v>
      </c>
      <c r="N2224">
        <v>48.9129168805596</v>
      </c>
      <c r="O2224">
        <v>48.576208931894897</v>
      </c>
      <c r="P2224">
        <v>-0.19967188944944</v>
      </c>
      <c r="Q2224">
        <v>9.0997402754565401E-2</v>
      </c>
      <c r="R2224">
        <v>0.99719194133225297</v>
      </c>
      <c r="S2224" t="s">
        <v>9030</v>
      </c>
      <c r="T2224" t="s">
        <v>13610</v>
      </c>
      <c r="U2224" t="s">
        <v>13610</v>
      </c>
      <c r="V2224" t="s">
        <v>13610</v>
      </c>
      <c r="W2224" t="s">
        <v>15784</v>
      </c>
      <c r="X2224">
        <v>6</v>
      </c>
      <c r="Y2224" t="s">
        <v>22452</v>
      </c>
      <c r="Z2224" t="s">
        <v>29079</v>
      </c>
      <c r="AA2224">
        <v>0.35677058386248361</v>
      </c>
      <c r="AB2224" t="str">
        <f>HYPERLINK("Melting_Curves/meltCurve_P29350_PTPN6.pdf", "Melting_Curves/meltCurve_P29350_PTPN6.pdf")</f>
        <v>Melting_Curves/meltCurve_P29350_PTPN6.pdf</v>
      </c>
    </row>
    <row r="2225" spans="1:28" x14ac:dyDescent="0.25">
      <c r="A2225" t="s">
        <v>2229</v>
      </c>
      <c r="B2225">
        <v>0.995954080203443</v>
      </c>
      <c r="C2225">
        <v>1.00030608960274</v>
      </c>
      <c r="D2225">
        <v>1.09130020622678</v>
      </c>
      <c r="E2225">
        <v>0.80601512206456005</v>
      </c>
      <c r="F2225">
        <v>0.76889713456124698</v>
      </c>
      <c r="G2225">
        <v>0.53266501002520705</v>
      </c>
      <c r="H2225">
        <v>0.491271135871793</v>
      </c>
      <c r="I2225">
        <v>0.57667915302381301</v>
      </c>
      <c r="J2225">
        <v>0.75956502419070804</v>
      </c>
      <c r="K2225">
        <v>0.67964229090381401</v>
      </c>
      <c r="L2225">
        <v>1651.9013010635199</v>
      </c>
      <c r="M2225">
        <v>32.490223902939398</v>
      </c>
      <c r="O2225">
        <v>50.651579758080899</v>
      </c>
      <c r="P2225">
        <v>-6.1854344944160498E-2</v>
      </c>
      <c r="Q2225">
        <v>0.61428333233448595</v>
      </c>
      <c r="R2225">
        <v>0.82010713993365203</v>
      </c>
      <c r="S2225" t="s">
        <v>9031</v>
      </c>
      <c r="T2225" t="s">
        <v>13610</v>
      </c>
      <c r="U2225" t="s">
        <v>13610</v>
      </c>
      <c r="V2225" t="s">
        <v>13610</v>
      </c>
      <c r="W2225" t="s">
        <v>15785</v>
      </c>
      <c r="X2225">
        <v>21</v>
      </c>
      <c r="Y2225" t="s">
        <v>22453</v>
      </c>
      <c r="Z2225" t="s">
        <v>29080</v>
      </c>
      <c r="AA2225">
        <v>0.75575533556582986</v>
      </c>
      <c r="AB2225" t="str">
        <f>HYPERLINK("Melting_Curves/meltCurve_P29353_2_SHC1.pdf", "Melting_Curves/meltCurve_P29353_2_SHC1.pdf")</f>
        <v>Melting_Curves/meltCurve_P29353_2_SHC1.pdf</v>
      </c>
    </row>
    <row r="2226" spans="1:28" x14ac:dyDescent="0.25">
      <c r="A2226" t="s">
        <v>2230</v>
      </c>
      <c r="B2226">
        <v>0.995954080203443</v>
      </c>
      <c r="C2226">
        <v>1.0113149797658301</v>
      </c>
      <c r="D2226">
        <v>1.0264524916086399</v>
      </c>
      <c r="E2226">
        <v>0.89961504754667099</v>
      </c>
      <c r="F2226">
        <v>0.85965390845398404</v>
      </c>
      <c r="G2226">
        <v>0.59856011082461202</v>
      </c>
      <c r="H2226">
        <v>0.43719023842571902</v>
      </c>
      <c r="I2226">
        <v>0.41563341921878999</v>
      </c>
      <c r="J2226">
        <v>0.47699078030742298</v>
      </c>
      <c r="K2226">
        <v>0.46003329037996599</v>
      </c>
      <c r="L2226">
        <v>1432.6538921318399</v>
      </c>
      <c r="M2226">
        <v>26.1260357149499</v>
      </c>
      <c r="N2226">
        <v>59.525448162396899</v>
      </c>
      <c r="O2226">
        <v>54.518007400408997</v>
      </c>
      <c r="P2226">
        <v>-6.7552308103602896E-2</v>
      </c>
      <c r="Q2226">
        <v>0.436152426039008</v>
      </c>
      <c r="R2226">
        <v>0.98497742854737702</v>
      </c>
      <c r="S2226" t="s">
        <v>9032</v>
      </c>
      <c r="T2226" t="s">
        <v>13610</v>
      </c>
      <c r="U2226" t="s">
        <v>13610</v>
      </c>
      <c r="V2226" t="s">
        <v>13610</v>
      </c>
      <c r="W2226" t="s">
        <v>15786</v>
      </c>
      <c r="X2226">
        <v>21</v>
      </c>
      <c r="Y2226" t="s">
        <v>22453</v>
      </c>
      <c r="Z2226" t="s">
        <v>29081</v>
      </c>
      <c r="AA2226">
        <v>0.71982344616836058</v>
      </c>
      <c r="AB2226" t="str">
        <f>HYPERLINK("Melting_Curves/meltCurve_P29353_7_SHC1.pdf", "Melting_Curves/meltCurve_P29353_7_SHC1.pdf")</f>
        <v>Melting_Curves/meltCurve_P29353_7_SHC1.pdf</v>
      </c>
    </row>
    <row r="2227" spans="1:28" x14ac:dyDescent="0.25">
      <c r="A2227" t="s">
        <v>2231</v>
      </c>
      <c r="B2227">
        <v>0.995954080203443</v>
      </c>
      <c r="C2227">
        <v>0.96661278683396301</v>
      </c>
      <c r="D2227">
        <v>0.81551250550378396</v>
      </c>
      <c r="E2227">
        <v>0.62789919640077696</v>
      </c>
      <c r="F2227">
        <v>0.33209477399898502</v>
      </c>
      <c r="G2227">
        <v>0.20148832254524801</v>
      </c>
      <c r="H2227">
        <v>0.152398483380004</v>
      </c>
      <c r="I2227">
        <v>0.13182431665620001</v>
      </c>
      <c r="J2227">
        <v>0.16242301320887101</v>
      </c>
      <c r="K2227">
        <v>0.139954194854576</v>
      </c>
      <c r="L2227">
        <v>924.86130097420903</v>
      </c>
      <c r="M2227">
        <v>18.4464608617868</v>
      </c>
      <c r="N2227">
        <v>50.954379742186099</v>
      </c>
      <c r="O2227">
        <v>49.559520533113897</v>
      </c>
      <c r="P2227">
        <v>-8.1145985221478104E-2</v>
      </c>
      <c r="Q2227">
        <v>0.12798985896441201</v>
      </c>
      <c r="R2227">
        <v>0.99413499689572904</v>
      </c>
      <c r="S2227" t="s">
        <v>9033</v>
      </c>
      <c r="T2227" t="s">
        <v>13610</v>
      </c>
      <c r="U2227" t="s">
        <v>13610</v>
      </c>
      <c r="V2227" t="s">
        <v>13610</v>
      </c>
      <c r="W2227" t="s">
        <v>15787</v>
      </c>
      <c r="X2227">
        <v>10</v>
      </c>
      <c r="Y2227" t="s">
        <v>22454</v>
      </c>
      <c r="Z2227" t="s">
        <v>29082</v>
      </c>
      <c r="AA2227">
        <v>0.43683145001096713</v>
      </c>
      <c r="AB2227" t="str">
        <f>HYPERLINK("Melting_Curves/meltCurve_P29372_5_MPG.pdf", "Melting_Curves/meltCurve_P29372_5_MPG.pdf")</f>
        <v>Melting_Curves/meltCurve_P29372_5_MPG.pdf</v>
      </c>
    </row>
    <row r="2228" spans="1:28" x14ac:dyDescent="0.25">
      <c r="A2228" t="s">
        <v>2232</v>
      </c>
      <c r="B2228">
        <v>0.995954080203443</v>
      </c>
      <c r="C2228">
        <v>1.0044392395372099</v>
      </c>
      <c r="D2228">
        <v>0.96145359235725703</v>
      </c>
      <c r="E2228">
        <v>0.79232541523792699</v>
      </c>
      <c r="F2228">
        <v>0.61593836389187295</v>
      </c>
      <c r="G2228">
        <v>0.21577361977107301</v>
      </c>
      <c r="H2228">
        <v>0.17745162324118499</v>
      </c>
      <c r="I2228">
        <v>0.215509366069074</v>
      </c>
      <c r="J2228">
        <v>0.27815152804846599</v>
      </c>
      <c r="K2228">
        <v>0.227847779842828</v>
      </c>
      <c r="L2228">
        <v>1460.1416969571201</v>
      </c>
      <c r="M2228">
        <v>27.8153923676959</v>
      </c>
      <c r="N2228">
        <v>53.536380361728902</v>
      </c>
      <c r="O2228">
        <v>52.224920900520999</v>
      </c>
      <c r="P2228">
        <v>-0.10531298283603301</v>
      </c>
      <c r="Q2228">
        <v>0.20908312914543001</v>
      </c>
      <c r="R2228">
        <v>0.98350098178907497</v>
      </c>
      <c r="S2228" t="s">
        <v>9034</v>
      </c>
      <c r="T2228" t="s">
        <v>13610</v>
      </c>
      <c r="U2228" t="s">
        <v>13610</v>
      </c>
      <c r="V2228" t="s">
        <v>13610</v>
      </c>
      <c r="W2228" t="s">
        <v>15788</v>
      </c>
      <c r="X2228">
        <v>1</v>
      </c>
      <c r="Y2228" t="s">
        <v>22455</v>
      </c>
      <c r="Z2228" t="s">
        <v>29083</v>
      </c>
      <c r="AA2228">
        <v>0.54437937414100712</v>
      </c>
      <c r="AB2228" t="str">
        <f>HYPERLINK("Melting_Curves/meltCurve_P29373_CRABP2.pdf", "Melting_Curves/meltCurve_P29373_CRABP2.pdf")</f>
        <v>Melting_Curves/meltCurve_P29373_CRABP2.pdf</v>
      </c>
    </row>
    <row r="2229" spans="1:28" x14ac:dyDescent="0.25">
      <c r="A2229" t="s">
        <v>2233</v>
      </c>
      <c r="B2229">
        <v>0.995954080203443</v>
      </c>
      <c r="C2229">
        <v>1.0124180631126001</v>
      </c>
      <c r="D2229">
        <v>0.91595674825214701</v>
      </c>
      <c r="E2229">
        <v>0.80827268139130803</v>
      </c>
      <c r="F2229">
        <v>0.73807274473497597</v>
      </c>
      <c r="G2229">
        <v>0.54916725304467495</v>
      </c>
      <c r="H2229">
        <v>0.52877205970798802</v>
      </c>
      <c r="I2229">
        <v>0.60369243112648296</v>
      </c>
      <c r="J2229">
        <v>0.71687430986461798</v>
      </c>
      <c r="K2229">
        <v>0.71700583526345796</v>
      </c>
      <c r="L2229">
        <v>1194.1884201161899</v>
      </c>
      <c r="M2229">
        <v>24.029575126128201</v>
      </c>
      <c r="O2229">
        <v>49.356266978136802</v>
      </c>
      <c r="P2229">
        <v>-4.5452982003348998E-2</v>
      </c>
      <c r="Q2229">
        <v>0.62656781608699597</v>
      </c>
      <c r="R2229">
        <v>0.85436813608695195</v>
      </c>
      <c r="S2229" t="s">
        <v>9035</v>
      </c>
      <c r="T2229" t="s">
        <v>13610</v>
      </c>
      <c r="U2229" t="s">
        <v>13610</v>
      </c>
      <c r="V2229" t="s">
        <v>13610</v>
      </c>
      <c r="W2229" t="s">
        <v>15789</v>
      </c>
      <c r="X2229">
        <v>10</v>
      </c>
      <c r="Y2229" t="s">
        <v>22456</v>
      </c>
      <c r="Z2229" t="s">
        <v>29084</v>
      </c>
      <c r="AA2229">
        <v>0.75087390133061116</v>
      </c>
      <c r="AB2229" t="str">
        <f>HYPERLINK("Melting_Curves/meltCurve_P29374_3_ARID4A.pdf", "Melting_Curves/meltCurve_P29374_3_ARID4A.pdf")</f>
        <v>Melting_Curves/meltCurve_P29374_3_ARID4A.pdf</v>
      </c>
    </row>
    <row r="2230" spans="1:28" x14ac:dyDescent="0.25">
      <c r="A2230" t="s">
        <v>2234</v>
      </c>
      <c r="B2230">
        <v>0.995954080203443</v>
      </c>
      <c r="C2230">
        <v>0.93024956969109096</v>
      </c>
      <c r="D2230">
        <v>0.91637093801641401</v>
      </c>
      <c r="E2230">
        <v>0.71229382355465398</v>
      </c>
      <c r="F2230">
        <v>0.55045012996323395</v>
      </c>
      <c r="G2230">
        <v>0.31836807627639602</v>
      </c>
      <c r="H2230">
        <v>0.289485932154387</v>
      </c>
      <c r="I2230">
        <v>0.34011755671090699</v>
      </c>
      <c r="J2230">
        <v>0.44056397218062798</v>
      </c>
      <c r="K2230">
        <v>0.41002251525177202</v>
      </c>
      <c r="L2230">
        <v>1175.04742765533</v>
      </c>
      <c r="M2230">
        <v>23.314259920063201</v>
      </c>
      <c r="N2230">
        <v>53.225120320446202</v>
      </c>
      <c r="O2230">
        <v>50.033966613773998</v>
      </c>
      <c r="P2230">
        <v>-7.5148033277114501E-2</v>
      </c>
      <c r="Q2230">
        <v>0.35492056425817198</v>
      </c>
      <c r="R2230">
        <v>0.95965305484607</v>
      </c>
      <c r="S2230" t="s">
        <v>9036</v>
      </c>
      <c r="T2230" t="s">
        <v>13610</v>
      </c>
      <c r="U2230" t="s">
        <v>13610</v>
      </c>
      <c r="V2230" t="s">
        <v>13610</v>
      </c>
      <c r="W2230" t="s">
        <v>15790</v>
      </c>
      <c r="X2230">
        <v>6</v>
      </c>
      <c r="Y2230" t="s">
        <v>22457</v>
      </c>
      <c r="Z2230" t="s">
        <v>29085</v>
      </c>
      <c r="AA2230">
        <v>0.58520655443473379</v>
      </c>
      <c r="AB2230" t="str">
        <f>HYPERLINK("Melting_Curves/meltCurve_P29375_KDM5A.pdf", "Melting_Curves/meltCurve_P29375_KDM5A.pdf")</f>
        <v>Melting_Curves/meltCurve_P29375_KDM5A.pdf</v>
      </c>
    </row>
    <row r="2231" spans="1:28" x14ac:dyDescent="0.25">
      <c r="A2231" t="s">
        <v>2235</v>
      </c>
      <c r="B2231">
        <v>0.995954080203443</v>
      </c>
      <c r="C2231">
        <v>0.95880839419260599</v>
      </c>
      <c r="D2231">
        <v>0.96260370119486804</v>
      </c>
      <c r="E2231">
        <v>0.90279633490301003</v>
      </c>
      <c r="F2231">
        <v>0.79054416118665005</v>
      </c>
      <c r="G2231">
        <v>0.66473636440887895</v>
      </c>
      <c r="H2231">
        <v>0.55768194735933196</v>
      </c>
      <c r="I2231">
        <v>0.63776289822507004</v>
      </c>
      <c r="J2231">
        <v>0.61847143693187001</v>
      </c>
      <c r="K2231">
        <v>0.26538705564154103</v>
      </c>
      <c r="L2231">
        <v>405.821304560442</v>
      </c>
      <c r="M2231">
        <v>6.1663155166269998</v>
      </c>
      <c r="N2231">
        <v>65.81260777352</v>
      </c>
      <c r="O2231">
        <v>59.901209327774303</v>
      </c>
      <c r="P2231">
        <v>-2.58109301543595E-2</v>
      </c>
      <c r="Q2231">
        <v>0</v>
      </c>
      <c r="R2231">
        <v>0.87493257249565703</v>
      </c>
      <c r="S2231" t="s">
        <v>9037</v>
      </c>
      <c r="T2231" t="s">
        <v>13610</v>
      </c>
      <c r="U2231" t="s">
        <v>13610</v>
      </c>
      <c r="V2231" t="s">
        <v>13610</v>
      </c>
      <c r="W2231" t="s">
        <v>15791</v>
      </c>
      <c r="X2231">
        <v>41</v>
      </c>
      <c r="Y2231" t="s">
        <v>22458</v>
      </c>
      <c r="Z2231" t="s">
        <v>29086</v>
      </c>
      <c r="AA2231">
        <v>0.74292978788641462</v>
      </c>
      <c r="AB2231" t="str">
        <f>HYPERLINK("Melting_Curves/meltCurve_P29401_TKT.pdf", "Melting_Curves/meltCurve_P29401_TKT.pdf")</f>
        <v>Melting_Curves/meltCurve_P29401_TKT.pdf</v>
      </c>
    </row>
    <row r="2232" spans="1:28" x14ac:dyDescent="0.25">
      <c r="A2232" t="s">
        <v>2236</v>
      </c>
      <c r="B2232">
        <v>0.995954080203443</v>
      </c>
      <c r="C2232">
        <v>0.92407750590661297</v>
      </c>
      <c r="D2232">
        <v>0.81508830330855198</v>
      </c>
      <c r="E2232">
        <v>0.66221392978264404</v>
      </c>
      <c r="F2232">
        <v>0.45626066771520801</v>
      </c>
      <c r="G2232">
        <v>0.27548554358816202</v>
      </c>
      <c r="H2232">
        <v>0.22932525876944701</v>
      </c>
      <c r="I2232">
        <v>0.25543839378181299</v>
      </c>
      <c r="J2232">
        <v>0.28608968837429699</v>
      </c>
      <c r="K2232">
        <v>0.30611310087592303</v>
      </c>
      <c r="L2232">
        <v>838.05453919866102</v>
      </c>
      <c r="M2232">
        <v>16.817867952353801</v>
      </c>
      <c r="N2232">
        <v>51.932779009165799</v>
      </c>
      <c r="O2232">
        <v>49.1426632279938</v>
      </c>
      <c r="P2232">
        <v>-6.4442073870096497E-2</v>
      </c>
      <c r="Q2232">
        <v>0.24683676623687201</v>
      </c>
      <c r="R2232">
        <v>0.98305681179561899</v>
      </c>
      <c r="S2232" t="s">
        <v>9038</v>
      </c>
      <c r="T2232" t="s">
        <v>13610</v>
      </c>
      <c r="U2232" t="s">
        <v>13610</v>
      </c>
      <c r="V2232" t="s">
        <v>13610</v>
      </c>
      <c r="W2232" t="s">
        <v>15792</v>
      </c>
      <c r="X2232">
        <v>24</v>
      </c>
      <c r="Y2232" t="s">
        <v>22459</v>
      </c>
      <c r="Z2232" t="s">
        <v>29087</v>
      </c>
      <c r="AA2232">
        <v>0.50829510417306234</v>
      </c>
      <c r="AB2232" t="str">
        <f>HYPERLINK("Melting_Curves/meltCurve_P29590_PML.pdf", "Melting_Curves/meltCurve_P29590_PML.pdf")</f>
        <v>Melting_Curves/meltCurve_P29590_PML.pdf</v>
      </c>
    </row>
    <row r="2233" spans="1:28" x14ac:dyDescent="0.25">
      <c r="A2233" t="s">
        <v>2237</v>
      </c>
      <c r="B2233">
        <v>0.995954080203443</v>
      </c>
      <c r="C2233">
        <v>1.0108321758405501</v>
      </c>
      <c r="D2233">
        <v>1.16974490521605</v>
      </c>
      <c r="E2233">
        <v>0.92548002884854497</v>
      </c>
      <c r="F2233">
        <v>0.98749687727243296</v>
      </c>
      <c r="G2233">
        <v>0.74491373281067097</v>
      </c>
      <c r="H2233">
        <v>0.60628203378034495</v>
      </c>
      <c r="I2233">
        <v>0.71234227695671204</v>
      </c>
      <c r="J2233">
        <v>0.80139351989354002</v>
      </c>
      <c r="K2233">
        <v>0.81668520593170502</v>
      </c>
      <c r="L2233">
        <v>4710.9235116488599</v>
      </c>
      <c r="M2233">
        <v>85.903777232807798</v>
      </c>
      <c r="O2233">
        <v>54.809840335324701</v>
      </c>
      <c r="P2233">
        <v>-0.104092334769952</v>
      </c>
      <c r="Q2233">
        <v>0.73434073161996605</v>
      </c>
      <c r="R2233">
        <v>0.75854630114850996</v>
      </c>
      <c r="S2233" t="s">
        <v>9039</v>
      </c>
      <c r="T2233" t="s">
        <v>13610</v>
      </c>
      <c r="U2233" t="s">
        <v>13610</v>
      </c>
      <c r="V2233" t="s">
        <v>13610</v>
      </c>
      <c r="W2233" t="s">
        <v>15793</v>
      </c>
      <c r="X2233">
        <v>24</v>
      </c>
      <c r="Y2233" t="s">
        <v>22459</v>
      </c>
      <c r="Z2233" t="s">
        <v>29088</v>
      </c>
      <c r="AA2233">
        <v>0.86596633479396801</v>
      </c>
      <c r="AB2233" t="str">
        <f>HYPERLINK("Melting_Curves/meltCurve_P29590_8_PML.pdf", "Melting_Curves/meltCurve_P29590_8_PML.pdf")</f>
        <v>Melting_Curves/meltCurve_P29590_8_PML.pdf</v>
      </c>
    </row>
    <row r="2234" spans="1:28" x14ac:dyDescent="0.25">
      <c r="A2234" t="s">
        <v>2238</v>
      </c>
      <c r="B2234">
        <v>0.995954080203443</v>
      </c>
      <c r="C2234">
        <v>1.1133714929418399</v>
      </c>
      <c r="D2234">
        <v>0.87851552596382998</v>
      </c>
      <c r="E2234">
        <v>1.1841311129630301</v>
      </c>
      <c r="F2234">
        <v>0.32764500741281299</v>
      </c>
      <c r="G2234">
        <v>0.44104305877074002</v>
      </c>
      <c r="H2234">
        <v>0.44671789609009999</v>
      </c>
      <c r="I2234">
        <v>0.48799722883619501</v>
      </c>
      <c r="J2234">
        <v>0.72823021232952101</v>
      </c>
      <c r="K2234">
        <v>0.69137770470549498</v>
      </c>
      <c r="L2234">
        <v>4978.9706325346697</v>
      </c>
      <c r="M2234">
        <v>96.780387534930099</v>
      </c>
      <c r="O2234">
        <v>51.4241151797914</v>
      </c>
      <c r="P2234">
        <v>-0.22703934302034101</v>
      </c>
      <c r="Q2234">
        <v>0.517451953828167</v>
      </c>
      <c r="R2234">
        <v>0.75259850287252805</v>
      </c>
      <c r="S2234" t="s">
        <v>9040</v>
      </c>
      <c r="T2234" t="s">
        <v>13610</v>
      </c>
      <c r="U2234" t="s">
        <v>13610</v>
      </c>
      <c r="V2234" t="s">
        <v>13610</v>
      </c>
      <c r="W2234" t="s">
        <v>15794</v>
      </c>
      <c r="X2234">
        <v>18</v>
      </c>
      <c r="Y2234" t="s">
        <v>22460</v>
      </c>
      <c r="Z2234" t="s">
        <v>29089</v>
      </c>
      <c r="AA2234">
        <v>0.70185233463575891</v>
      </c>
      <c r="AB2234" t="str">
        <f>HYPERLINK("Melting_Curves/meltCurve_P29692_EEF1D.pdf", "Melting_Curves/meltCurve_P29692_EEF1D.pdf")</f>
        <v>Melting_Curves/meltCurve_P29692_EEF1D.pdf</v>
      </c>
    </row>
    <row r="2235" spans="1:28" x14ac:dyDescent="0.25">
      <c r="A2235" t="s">
        <v>2239</v>
      </c>
      <c r="B2235">
        <v>0.995954080203443</v>
      </c>
      <c r="C2235">
        <v>0.84659368580092698</v>
      </c>
      <c r="D2235">
        <v>0.72350920195547097</v>
      </c>
      <c r="E2235">
        <v>0.75652862292737</v>
      </c>
      <c r="F2235">
        <v>0.42175084122802597</v>
      </c>
      <c r="G2235">
        <v>0.332397595240293</v>
      </c>
      <c r="H2235">
        <v>0.245087411245933</v>
      </c>
      <c r="I2235">
        <v>0.24212940207895001</v>
      </c>
      <c r="J2235">
        <v>0.29364084948435998</v>
      </c>
      <c r="K2235">
        <v>0.27174620062055999</v>
      </c>
      <c r="L2235">
        <v>584.31894235888603</v>
      </c>
      <c r="M2235">
        <v>11.6857503098575</v>
      </c>
      <c r="N2235">
        <v>52.445720954121697</v>
      </c>
      <c r="O2235">
        <v>48.605751047924201</v>
      </c>
      <c r="P2235">
        <v>-4.7502154568821203E-2</v>
      </c>
      <c r="Q2235">
        <v>0.209888915897193</v>
      </c>
      <c r="R2235">
        <v>0.94313931346789304</v>
      </c>
      <c r="S2235" t="s">
        <v>9041</v>
      </c>
      <c r="T2235" t="s">
        <v>13610</v>
      </c>
      <c r="U2235" t="s">
        <v>13610</v>
      </c>
      <c r="V2235" t="s">
        <v>13610</v>
      </c>
      <c r="W2235" t="s">
        <v>15795</v>
      </c>
      <c r="X2235">
        <v>20</v>
      </c>
      <c r="Y2235" t="s">
        <v>22460</v>
      </c>
      <c r="Z2235" t="s">
        <v>29090</v>
      </c>
      <c r="AA2235">
        <v>0.50182251087117424</v>
      </c>
      <c r="AB2235" t="str">
        <f>HYPERLINK("Melting_Curves/meltCurve_P29692_2_EEF1D.pdf", "Melting_Curves/meltCurve_P29692_2_EEF1D.pdf")</f>
        <v>Melting_Curves/meltCurve_P29692_2_EEF1D.pdf</v>
      </c>
    </row>
    <row r="2236" spans="1:28" x14ac:dyDescent="0.25">
      <c r="A2236" t="s">
        <v>2240</v>
      </c>
      <c r="B2236">
        <v>0.995954080203443</v>
      </c>
      <c r="C2236">
        <v>0.52113100499049703</v>
      </c>
      <c r="D2236">
        <v>0.435001512738453</v>
      </c>
      <c r="E2236">
        <v>0.39067146296608002</v>
      </c>
      <c r="F2236">
        <v>0.33007013320831802</v>
      </c>
      <c r="G2236">
        <v>0.25667846243605902</v>
      </c>
      <c r="H2236">
        <v>0.25224307751250902</v>
      </c>
      <c r="I2236">
        <v>0.29828894705763898</v>
      </c>
      <c r="J2236">
        <v>0.367333986870649</v>
      </c>
      <c r="K2236">
        <v>0.36528646216121802</v>
      </c>
      <c r="L2236">
        <v>2439.60173417331</v>
      </c>
      <c r="M2236">
        <v>57.757709802418297</v>
      </c>
      <c r="N2236">
        <v>43.067544445723698</v>
      </c>
      <c r="O2236">
        <v>42.188001560345597</v>
      </c>
      <c r="P2236">
        <v>-0.22742981058137501</v>
      </c>
      <c r="Q2236">
        <v>0.33551350143261399</v>
      </c>
      <c r="R2236">
        <v>0.93253942270094003</v>
      </c>
      <c r="S2236" t="s">
        <v>9042</v>
      </c>
      <c r="T2236" t="s">
        <v>13610</v>
      </c>
      <c r="U2236" t="s">
        <v>13610</v>
      </c>
      <c r="V2236" t="s">
        <v>13610</v>
      </c>
      <c r="W2236" t="s">
        <v>15796</v>
      </c>
      <c r="X2236">
        <v>17</v>
      </c>
      <c r="Y2236" t="s">
        <v>22460</v>
      </c>
      <c r="Z2236" t="s">
        <v>29091</v>
      </c>
      <c r="AA2236">
        <v>0.38656732839875202</v>
      </c>
      <c r="AB2236" t="str">
        <f>HYPERLINK("Melting_Curves/meltCurve_P29692_3_EEF1D.pdf", "Melting_Curves/meltCurve_P29692_3_EEF1D.pdf")</f>
        <v>Melting_Curves/meltCurve_P29692_3_EEF1D.pdf</v>
      </c>
    </row>
    <row r="2237" spans="1:28" x14ac:dyDescent="0.25">
      <c r="A2237" t="s">
        <v>2241</v>
      </c>
      <c r="B2237">
        <v>0.995954080203443</v>
      </c>
      <c r="C2237">
        <v>1.0262776355251899</v>
      </c>
      <c r="D2237">
        <v>1.1961251897779099</v>
      </c>
      <c r="E2237">
        <v>1.04844326106234</v>
      </c>
      <c r="F2237">
        <v>0.99036734923175396</v>
      </c>
      <c r="G2237">
        <v>0.82124594848190402</v>
      </c>
      <c r="H2237">
        <v>0.84236119859208702</v>
      </c>
      <c r="I2237">
        <v>1.1817446341078901</v>
      </c>
      <c r="J2237">
        <v>1.31739881489667</v>
      </c>
      <c r="K2237">
        <v>1.4519502083862601</v>
      </c>
      <c r="L2237">
        <v>10452.5049028467</v>
      </c>
      <c r="M2237">
        <v>163.20496292167701</v>
      </c>
      <c r="O2237">
        <v>64.035647218651903</v>
      </c>
      <c r="P2237">
        <v>0.24525184644353801</v>
      </c>
      <c r="Q2237">
        <v>1.38491135525978</v>
      </c>
      <c r="R2237">
        <v>0.70184822896441301</v>
      </c>
      <c r="S2237" t="s">
        <v>9043</v>
      </c>
      <c r="T2237" t="s">
        <v>13610</v>
      </c>
      <c r="U2237" t="s">
        <v>13610</v>
      </c>
      <c r="V2237" t="s">
        <v>13610</v>
      </c>
      <c r="W2237" t="s">
        <v>15797</v>
      </c>
      <c r="X2237">
        <v>8</v>
      </c>
      <c r="Y2237" t="s">
        <v>22461</v>
      </c>
      <c r="Z2237" t="s">
        <v>29092</v>
      </c>
      <c r="AA2237">
        <v>1.076299978917467</v>
      </c>
      <c r="AB2237" t="str">
        <f>HYPERLINK("Melting_Curves/meltCurve_P29966_MARCKS.pdf", "Melting_Curves/meltCurve_P29966_MARCKS.pdf")</f>
        <v>Melting_Curves/meltCurve_P29966_MARCKS.pdf</v>
      </c>
    </row>
    <row r="2238" spans="1:28" x14ac:dyDescent="0.25">
      <c r="A2238" t="s">
        <v>2242</v>
      </c>
      <c r="B2238">
        <v>0.995954080203443</v>
      </c>
      <c r="C2238">
        <v>0.66953761221034003</v>
      </c>
      <c r="D2238">
        <v>0.23121508318438</v>
      </c>
      <c r="E2238">
        <v>0.210922336481904</v>
      </c>
      <c r="F2238">
        <v>0.138180321958216</v>
      </c>
      <c r="G2238">
        <v>8.2276068167335806E-2</v>
      </c>
      <c r="H2238">
        <v>5.4531163331034402E-2</v>
      </c>
      <c r="I2238">
        <v>4.8950981503561503E-2</v>
      </c>
      <c r="J2238">
        <v>5.3934876114193703E-2</v>
      </c>
      <c r="K2238">
        <v>5.2353414994236701E-2</v>
      </c>
      <c r="L2238">
        <v>1355.3006020443399</v>
      </c>
      <c r="M2238">
        <v>30.985296593257299</v>
      </c>
      <c r="N2238">
        <v>44.00712141692</v>
      </c>
      <c r="O2238">
        <v>43.559142884911502</v>
      </c>
      <c r="P2238">
        <v>-0.162596829754343</v>
      </c>
      <c r="Q2238">
        <v>8.5690491232466207E-2</v>
      </c>
      <c r="R2238">
        <v>0.97796091178445099</v>
      </c>
      <c r="S2238" t="s">
        <v>9044</v>
      </c>
      <c r="T2238" t="s">
        <v>13610</v>
      </c>
      <c r="U2238" t="s">
        <v>13610</v>
      </c>
      <c r="V2238" t="s">
        <v>13610</v>
      </c>
      <c r="W2238" t="s">
        <v>15798</v>
      </c>
      <c r="X2238">
        <v>8</v>
      </c>
      <c r="Y2238" t="s">
        <v>22462</v>
      </c>
      <c r="Z2238" t="s">
        <v>29093</v>
      </c>
      <c r="AA2238">
        <v>0.20613894169245769</v>
      </c>
      <c r="AB2238" t="str">
        <f>HYPERLINK("Melting_Curves/meltCurve_P30038_ALDH4A1.pdf", "Melting_Curves/meltCurve_P30038_ALDH4A1.pdf")</f>
        <v>Melting_Curves/meltCurve_P30038_ALDH4A1.pdf</v>
      </c>
    </row>
    <row r="2239" spans="1:28" x14ac:dyDescent="0.25">
      <c r="A2239" t="s">
        <v>2243</v>
      </c>
      <c r="B2239">
        <v>0.995954080203443</v>
      </c>
      <c r="C2239">
        <v>0.97298194112069603</v>
      </c>
      <c r="D2239">
        <v>0.93658166117138897</v>
      </c>
      <c r="E2239">
        <v>0.83597483201161005</v>
      </c>
      <c r="F2239">
        <v>0.45347375331816198</v>
      </c>
      <c r="G2239">
        <v>0.240149551074853</v>
      </c>
      <c r="H2239">
        <v>0.15782545741039</v>
      </c>
      <c r="I2239">
        <v>0.148702280047561</v>
      </c>
      <c r="J2239">
        <v>0.22003531496464901</v>
      </c>
      <c r="K2239">
        <v>0.16734222753200401</v>
      </c>
      <c r="L2239">
        <v>1666.1903508381299</v>
      </c>
      <c r="M2239">
        <v>32.045810928890802</v>
      </c>
      <c r="N2239">
        <v>52.698830078484498</v>
      </c>
      <c r="O2239">
        <v>51.792797843087499</v>
      </c>
      <c r="P2239">
        <v>-0.12772431191872999</v>
      </c>
      <c r="Q2239">
        <v>0.17428629349616101</v>
      </c>
      <c r="R2239">
        <v>0.99412961228133201</v>
      </c>
      <c r="S2239" t="s">
        <v>9045</v>
      </c>
      <c r="T2239" t="s">
        <v>13610</v>
      </c>
      <c r="U2239" t="s">
        <v>13610</v>
      </c>
      <c r="V2239" t="s">
        <v>13610</v>
      </c>
      <c r="W2239" t="s">
        <v>15799</v>
      </c>
      <c r="X2239">
        <v>11</v>
      </c>
      <c r="Y2239" t="s">
        <v>22463</v>
      </c>
      <c r="Z2239" t="s">
        <v>29094</v>
      </c>
      <c r="AA2239">
        <v>0.50903359999800168</v>
      </c>
      <c r="AB2239" t="str">
        <f>HYPERLINK("Melting_Curves/meltCurve_P30040_ERP29.pdf", "Melting_Curves/meltCurve_P30040_ERP29.pdf")</f>
        <v>Melting_Curves/meltCurve_P30040_ERP29.pdf</v>
      </c>
    </row>
    <row r="2240" spans="1:28" x14ac:dyDescent="0.25">
      <c r="A2240" t="s">
        <v>2244</v>
      </c>
      <c r="B2240">
        <v>0.995954080203443</v>
      </c>
      <c r="C2240">
        <v>1.11686327705465</v>
      </c>
      <c r="D2240">
        <v>1.15592676543035</v>
      </c>
      <c r="E2240">
        <v>1.0277118109202299</v>
      </c>
      <c r="F2240">
        <v>0.86951169022352803</v>
      </c>
      <c r="G2240">
        <v>0.170865390917954</v>
      </c>
      <c r="H2240">
        <v>7.1410656209185894E-2</v>
      </c>
      <c r="I2240">
        <v>5.0291784638596702E-2</v>
      </c>
      <c r="J2240">
        <v>5.0469662840122997E-2</v>
      </c>
      <c r="K2240">
        <v>4.4302260357622497E-2</v>
      </c>
      <c r="L2240">
        <v>2880.0227853389301</v>
      </c>
      <c r="M2240">
        <v>52.4808697124612</v>
      </c>
      <c r="N2240">
        <v>54.994527340012901</v>
      </c>
      <c r="O2240">
        <v>54.7980612940284</v>
      </c>
      <c r="P2240">
        <v>-0.226786387864364</v>
      </c>
      <c r="Q2240">
        <v>5.2801753276480803E-2</v>
      </c>
      <c r="R2240">
        <v>0.98320146192119495</v>
      </c>
      <c r="S2240" t="s">
        <v>9046</v>
      </c>
      <c r="T2240" t="s">
        <v>13610</v>
      </c>
      <c r="U2240" t="s">
        <v>13610</v>
      </c>
      <c r="V2240" t="s">
        <v>13610</v>
      </c>
      <c r="W2240" t="s">
        <v>15800</v>
      </c>
      <c r="X2240">
        <v>23</v>
      </c>
      <c r="Y2240" t="s">
        <v>22464</v>
      </c>
      <c r="Z2240" t="s">
        <v>29095</v>
      </c>
      <c r="AA2240">
        <v>0.52461492244259411</v>
      </c>
      <c r="AB2240" t="str">
        <f>HYPERLINK("Melting_Curves/meltCurve_P30041_PRDX6.pdf", "Melting_Curves/meltCurve_P30041_PRDX6.pdf")</f>
        <v>Melting_Curves/meltCurve_P30041_PRDX6.pdf</v>
      </c>
    </row>
    <row r="2241" spans="1:28" x14ac:dyDescent="0.25">
      <c r="A2241" t="s">
        <v>2245</v>
      </c>
      <c r="B2241">
        <v>0.995954080203443</v>
      </c>
      <c r="C2241">
        <v>0.98692670544646299</v>
      </c>
      <c r="D2241">
        <v>0.94572763647287705</v>
      </c>
      <c r="E2241">
        <v>0.84644076886054798</v>
      </c>
      <c r="F2241">
        <v>0.78537549287386099</v>
      </c>
      <c r="G2241">
        <v>0.57123130529045296</v>
      </c>
      <c r="H2241">
        <v>0.50176506337859805</v>
      </c>
      <c r="I2241">
        <v>0.52210991497673598</v>
      </c>
      <c r="J2241">
        <v>0.75247604631181397</v>
      </c>
      <c r="K2241">
        <v>0.49772028351009001</v>
      </c>
      <c r="L2241">
        <v>1153.3297402237599</v>
      </c>
      <c r="M2241">
        <v>22.208539216248798</v>
      </c>
      <c r="O2241">
        <v>51.516257377373201</v>
      </c>
      <c r="P2241">
        <v>-4.7488228245753099E-2</v>
      </c>
      <c r="Q2241">
        <v>0.55938335389973504</v>
      </c>
      <c r="R2241">
        <v>0.85650967694539704</v>
      </c>
      <c r="S2241" t="s">
        <v>9047</v>
      </c>
      <c r="T2241" t="s">
        <v>13610</v>
      </c>
      <c r="U2241" t="s">
        <v>13610</v>
      </c>
      <c r="V2241" t="s">
        <v>13610</v>
      </c>
      <c r="W2241" t="s">
        <v>15801</v>
      </c>
      <c r="X2241">
        <v>14</v>
      </c>
      <c r="Y2241" t="s">
        <v>22465</v>
      </c>
      <c r="Z2241" t="s">
        <v>29096</v>
      </c>
      <c r="AA2241">
        <v>0.73966189174066865</v>
      </c>
      <c r="AB2241" t="str">
        <f>HYPERLINK("Melting_Curves/meltCurve_P30042_C21orf33.pdf", "Melting_Curves/meltCurve_P30042_C21orf33.pdf")</f>
        <v>Melting_Curves/meltCurve_P30042_C21orf33.pdf</v>
      </c>
    </row>
    <row r="2242" spans="1:28" x14ac:dyDescent="0.25">
      <c r="A2242" t="s">
        <v>2246</v>
      </c>
      <c r="B2242">
        <v>0.995954080203443</v>
      </c>
      <c r="C2242">
        <v>1.0521590469815501</v>
      </c>
      <c r="D2242">
        <v>1.10512422731403</v>
      </c>
      <c r="E2242">
        <v>0.62595767460054197</v>
      </c>
      <c r="F2242">
        <v>0.28200387883334999</v>
      </c>
      <c r="G2242">
        <v>0.17351274796615601</v>
      </c>
      <c r="H2242">
        <v>0.12828443316848001</v>
      </c>
      <c r="I2242">
        <v>0.12994242903585801</v>
      </c>
      <c r="J2242">
        <v>0.14264350860630201</v>
      </c>
      <c r="K2242">
        <v>0.139486932048517</v>
      </c>
      <c r="L2242">
        <v>2044.0469961661099</v>
      </c>
      <c r="M2242">
        <v>40.512952457596697</v>
      </c>
      <c r="N2242">
        <v>50.883415700737302</v>
      </c>
      <c r="O2242">
        <v>50.331695970357501</v>
      </c>
      <c r="P2242">
        <v>-0.172104296812958</v>
      </c>
      <c r="Q2242">
        <v>0.144739294332731</v>
      </c>
      <c r="R2242">
        <v>0.98754399807142501</v>
      </c>
      <c r="S2242" t="s">
        <v>9048</v>
      </c>
      <c r="T2242" t="s">
        <v>13610</v>
      </c>
      <c r="U2242" t="s">
        <v>13610</v>
      </c>
      <c r="V2242" t="s">
        <v>13610</v>
      </c>
      <c r="W2242" t="s">
        <v>15802</v>
      </c>
      <c r="X2242">
        <v>11</v>
      </c>
      <c r="Y2242" t="s">
        <v>22466</v>
      </c>
      <c r="Z2242" t="s">
        <v>29097</v>
      </c>
      <c r="AA2242">
        <v>0.44568123835078161</v>
      </c>
      <c r="AB2242" t="str">
        <f>HYPERLINK("Melting_Curves/meltCurve_P30043_BLVRB.pdf", "Melting_Curves/meltCurve_P30043_BLVRB.pdf")</f>
        <v>Melting_Curves/meltCurve_P30043_BLVRB.pdf</v>
      </c>
    </row>
    <row r="2243" spans="1:28" x14ac:dyDescent="0.25">
      <c r="A2243" t="s">
        <v>2247</v>
      </c>
      <c r="B2243">
        <v>0.995954080203443</v>
      </c>
      <c r="C2243">
        <v>1.0933999117547399</v>
      </c>
      <c r="D2243">
        <v>1.0642725708929699</v>
      </c>
      <c r="E2243">
        <v>1.0014622720869399</v>
      </c>
      <c r="F2243">
        <v>0.928769226971627</v>
      </c>
      <c r="G2243">
        <v>0.61803509137416501</v>
      </c>
      <c r="H2243">
        <v>0.21817939489271801</v>
      </c>
      <c r="I2243">
        <v>0.12692157080258901</v>
      </c>
      <c r="J2243">
        <v>0.102479742039363</v>
      </c>
      <c r="K2243">
        <v>9.2925393268144404E-2</v>
      </c>
      <c r="L2243">
        <v>1788.6745936262901</v>
      </c>
      <c r="M2243">
        <v>31.0768318850374</v>
      </c>
      <c r="N2243">
        <v>57.9209357994635</v>
      </c>
      <c r="O2243">
        <v>57.319776144752602</v>
      </c>
      <c r="P2243">
        <v>-0.123507092029863</v>
      </c>
      <c r="Q2243">
        <v>8.8792732740876401E-2</v>
      </c>
      <c r="R2243">
        <v>0.99245875679937401</v>
      </c>
      <c r="S2243" t="s">
        <v>9049</v>
      </c>
      <c r="T2243" t="s">
        <v>13610</v>
      </c>
      <c r="U2243" t="s">
        <v>13610</v>
      </c>
      <c r="V2243" t="s">
        <v>13610</v>
      </c>
      <c r="W2243" t="s">
        <v>15803</v>
      </c>
      <c r="X2243">
        <v>10</v>
      </c>
      <c r="Y2243" t="s">
        <v>22467</v>
      </c>
      <c r="Z2243" t="s">
        <v>29098</v>
      </c>
      <c r="AA2243">
        <v>0.62772985385991353</v>
      </c>
      <c r="AB2243" t="str">
        <f>HYPERLINK("Melting_Curves/meltCurve_P30044_2_PRDX5.pdf", "Melting_Curves/meltCurve_P30044_2_PRDX5.pdf")</f>
        <v>Melting_Curves/meltCurve_P30044_2_PRDX5.pdf</v>
      </c>
    </row>
    <row r="2244" spans="1:28" x14ac:dyDescent="0.25">
      <c r="A2244" t="s">
        <v>2248</v>
      </c>
      <c r="B2244">
        <v>0.995954080203443</v>
      </c>
      <c r="C2244">
        <v>1.06187674742633</v>
      </c>
      <c r="D2244">
        <v>1.0631313973381</v>
      </c>
      <c r="E2244">
        <v>0.94942159488442102</v>
      </c>
      <c r="F2244">
        <v>0.84981656875990796</v>
      </c>
      <c r="G2244">
        <v>0.65168141316786499</v>
      </c>
      <c r="H2244">
        <v>0.52273440304622398</v>
      </c>
      <c r="I2244">
        <v>0.53153465976852898</v>
      </c>
      <c r="J2244">
        <v>0.40470676598914701</v>
      </c>
      <c r="K2244">
        <v>0.34307581570703399</v>
      </c>
      <c r="L2244">
        <v>893.45850707768398</v>
      </c>
      <c r="M2244">
        <v>15.6105186572587</v>
      </c>
      <c r="N2244">
        <v>62.013849646672803</v>
      </c>
      <c r="O2244">
        <v>56.319838262787201</v>
      </c>
      <c r="P2244">
        <v>-4.5053934923935099E-2</v>
      </c>
      <c r="Q2244">
        <v>0.34987140863426602</v>
      </c>
      <c r="R2244">
        <v>0.97230893499867699</v>
      </c>
      <c r="S2244" t="s">
        <v>9050</v>
      </c>
      <c r="T2244" t="s">
        <v>13610</v>
      </c>
      <c r="U2244" t="s">
        <v>13610</v>
      </c>
      <c r="V2244" t="s">
        <v>13610</v>
      </c>
      <c r="W2244" t="s">
        <v>15804</v>
      </c>
      <c r="X2244">
        <v>9</v>
      </c>
      <c r="Y2244" t="s">
        <v>22468</v>
      </c>
      <c r="Z2244" t="s">
        <v>29099</v>
      </c>
      <c r="AA2244">
        <v>0.73309448210187933</v>
      </c>
      <c r="AB2244" t="str">
        <f>HYPERLINK("Melting_Curves/meltCurve_P30046_DDT.pdf", "Melting_Curves/meltCurve_P30046_DDT.pdf")</f>
        <v>Melting_Curves/meltCurve_P30046_DDT.pdf</v>
      </c>
    </row>
    <row r="2245" spans="1:28" x14ac:dyDescent="0.25">
      <c r="A2245" t="s">
        <v>2249</v>
      </c>
      <c r="B2245">
        <v>0.995954080203443</v>
      </c>
      <c r="C2245">
        <v>1.08847843415365</v>
      </c>
      <c r="D2245">
        <v>1.0463785238547401</v>
      </c>
      <c r="E2245">
        <v>0.93663348368229904</v>
      </c>
      <c r="F2245">
        <v>0.91499007843981595</v>
      </c>
      <c r="G2245">
        <v>0.67756640226430398</v>
      </c>
      <c r="H2245">
        <v>0.63863767751123202</v>
      </c>
      <c r="I2245">
        <v>0.74158287391641797</v>
      </c>
      <c r="J2245">
        <v>0.83880140739005105</v>
      </c>
      <c r="K2245">
        <v>0.87391710767947195</v>
      </c>
      <c r="L2245">
        <v>8439.1861437515199</v>
      </c>
      <c r="M2245">
        <v>158.59233092139701</v>
      </c>
      <c r="O2245">
        <v>53.204625261227697</v>
      </c>
      <c r="P2245">
        <v>-0.18324389212632899</v>
      </c>
      <c r="Q2245">
        <v>0.75410106855237102</v>
      </c>
      <c r="R2245">
        <v>0.73729398340378605</v>
      </c>
      <c r="S2245" t="s">
        <v>9051</v>
      </c>
      <c r="T2245" t="s">
        <v>13610</v>
      </c>
      <c r="U2245" t="s">
        <v>13610</v>
      </c>
      <c r="V2245" t="s">
        <v>13610</v>
      </c>
      <c r="W2245" t="s">
        <v>15805</v>
      </c>
      <c r="X2245">
        <v>3</v>
      </c>
      <c r="Y2245" t="s">
        <v>22469</v>
      </c>
      <c r="Z2245" t="s">
        <v>29100</v>
      </c>
      <c r="AA2245">
        <v>0.86246088044683367</v>
      </c>
      <c r="AB2245" t="str">
        <f>HYPERLINK("Melting_Curves/meltCurve_P30047_GCHFR.pdf", "Melting_Curves/meltCurve_P30047_GCHFR.pdf")</f>
        <v>Melting_Curves/meltCurve_P30047_GCHFR.pdf</v>
      </c>
    </row>
    <row r="2246" spans="1:28" x14ac:dyDescent="0.25">
      <c r="A2246" t="s">
        <v>2250</v>
      </c>
      <c r="B2246">
        <v>0.995954080203443</v>
      </c>
      <c r="C2246">
        <v>0.99321358739302301</v>
      </c>
      <c r="D2246">
        <v>0.96888950601485402</v>
      </c>
      <c r="E2246">
        <v>0.78451083193339</v>
      </c>
      <c r="F2246">
        <v>0.55168953726057901</v>
      </c>
      <c r="G2246">
        <v>0.34088658182200698</v>
      </c>
      <c r="H2246">
        <v>0.29620890088229201</v>
      </c>
      <c r="I2246">
        <v>0.38366757107945099</v>
      </c>
      <c r="J2246">
        <v>0.47921789830152201</v>
      </c>
      <c r="K2246">
        <v>0.51229983446470295</v>
      </c>
      <c r="L2246">
        <v>1760.27708176702</v>
      </c>
      <c r="M2246">
        <v>34.576135190654597</v>
      </c>
      <c r="N2246">
        <v>53.4471521086137</v>
      </c>
      <c r="O2246">
        <v>50.740786345350301</v>
      </c>
      <c r="P2246">
        <v>-0.101681408826401</v>
      </c>
      <c r="Q2246">
        <v>0.40312878682532599</v>
      </c>
      <c r="R2246">
        <v>0.94746438364433005</v>
      </c>
      <c r="S2246" t="s">
        <v>9052</v>
      </c>
      <c r="T2246" t="s">
        <v>13610</v>
      </c>
      <c r="U2246" t="s">
        <v>13610</v>
      </c>
      <c r="V2246" t="s">
        <v>13610</v>
      </c>
      <c r="W2246" t="s">
        <v>15806</v>
      </c>
      <c r="X2246">
        <v>3</v>
      </c>
      <c r="Y2246" t="s">
        <v>22470</v>
      </c>
      <c r="Z2246" t="s">
        <v>29101</v>
      </c>
      <c r="AA2246">
        <v>0.6230113992254187</v>
      </c>
      <c r="AB2246" t="str">
        <f>HYPERLINK("Melting_Curves/meltCurve_P30049_ATP5D.pdf", "Melting_Curves/meltCurve_P30049_ATP5D.pdf")</f>
        <v>Melting_Curves/meltCurve_P30049_ATP5D.pdf</v>
      </c>
    </row>
    <row r="2247" spans="1:28" x14ac:dyDescent="0.25">
      <c r="A2247" t="s">
        <v>2251</v>
      </c>
      <c r="B2247">
        <v>0.995954080203443</v>
      </c>
      <c r="C2247">
        <v>0.97987332446903497</v>
      </c>
      <c r="D2247">
        <v>0.82040942605714096</v>
      </c>
      <c r="E2247">
        <v>0.58442239663414297</v>
      </c>
      <c r="F2247">
        <v>0.30736463481433202</v>
      </c>
      <c r="G2247">
        <v>0.168845075812809</v>
      </c>
      <c r="H2247">
        <v>0.1014628961153</v>
      </c>
      <c r="I2247">
        <v>8.2669918213396698E-2</v>
      </c>
      <c r="J2247">
        <v>7.2313408982526903E-2</v>
      </c>
      <c r="K2247">
        <v>7.6289274408561203E-2</v>
      </c>
      <c r="L2247">
        <v>904.38581576046397</v>
      </c>
      <c r="M2247">
        <v>17.9911668625606</v>
      </c>
      <c r="N2247">
        <v>50.6566351262978</v>
      </c>
      <c r="O2247">
        <v>49.659635583818599</v>
      </c>
      <c r="P2247">
        <v>-8.4742631394404105E-2</v>
      </c>
      <c r="Q2247">
        <v>6.4412305179882695E-2</v>
      </c>
      <c r="R2247">
        <v>0.99789402877180999</v>
      </c>
      <c r="S2247" t="s">
        <v>9053</v>
      </c>
      <c r="T2247" t="s">
        <v>13610</v>
      </c>
      <c r="U2247" t="s">
        <v>13610</v>
      </c>
      <c r="V2247" t="s">
        <v>13610</v>
      </c>
      <c r="W2247" t="s">
        <v>15807</v>
      </c>
      <c r="X2247">
        <v>5</v>
      </c>
      <c r="Y2247" t="s">
        <v>22471</v>
      </c>
      <c r="Z2247" t="s">
        <v>29102</v>
      </c>
      <c r="AA2247">
        <v>0.400558500829232</v>
      </c>
      <c r="AB2247" t="str">
        <f>HYPERLINK("Melting_Curves/meltCurve_P30050_RPL12.pdf", "Melting_Curves/meltCurve_P30050_RPL12.pdf")</f>
        <v>Melting_Curves/meltCurve_P30050_RPL12.pdf</v>
      </c>
    </row>
    <row r="2248" spans="1:28" x14ac:dyDescent="0.25">
      <c r="A2248" t="s">
        <v>2252</v>
      </c>
      <c r="B2248">
        <v>0.995954080203443</v>
      </c>
      <c r="C2248">
        <v>0.86516318909426404</v>
      </c>
      <c r="D2248">
        <v>0.748866945879891</v>
      </c>
      <c r="E2248">
        <v>0.77080693592902305</v>
      </c>
      <c r="F2248">
        <v>0.15882711083074</v>
      </c>
      <c r="G2248">
        <v>7.48616763174315E-2</v>
      </c>
      <c r="H2248">
        <v>3.8998884968235698E-2</v>
      </c>
      <c r="I2248">
        <v>2.8532119789003899E-2</v>
      </c>
      <c r="J2248">
        <v>3.0305621022113101E-2</v>
      </c>
      <c r="K2248">
        <v>2.7879472979868099E-2</v>
      </c>
      <c r="L2248">
        <v>2529.2705721729899</v>
      </c>
      <c r="M2248">
        <v>49.505865578831198</v>
      </c>
      <c r="N2248">
        <v>51.1689591707568</v>
      </c>
      <c r="O2248">
        <v>51.007162796981802</v>
      </c>
      <c r="P2248">
        <v>-0.23375400941449101</v>
      </c>
      <c r="Q2248">
        <v>3.6629851845672398E-2</v>
      </c>
      <c r="R2248">
        <v>0.94710919059071397</v>
      </c>
      <c r="S2248" t="s">
        <v>9054</v>
      </c>
      <c r="T2248" t="s">
        <v>13610</v>
      </c>
      <c r="U2248" t="s">
        <v>13610</v>
      </c>
      <c r="V2248" t="s">
        <v>13610</v>
      </c>
      <c r="W2248" t="s">
        <v>15808</v>
      </c>
      <c r="X2248">
        <v>16</v>
      </c>
      <c r="Y2248" t="s">
        <v>22472</v>
      </c>
      <c r="Z2248" t="s">
        <v>29103</v>
      </c>
      <c r="AA2248">
        <v>0.39498079009949888</v>
      </c>
      <c r="AB2248" t="str">
        <f>HYPERLINK("Melting_Curves/meltCurve_P30084_ECHS1.pdf", "Melting_Curves/meltCurve_P30084_ECHS1.pdf")</f>
        <v>Melting_Curves/meltCurve_P30084_ECHS1.pdf</v>
      </c>
    </row>
    <row r="2249" spans="1:28" x14ac:dyDescent="0.25">
      <c r="A2249" t="s">
        <v>2253</v>
      </c>
      <c r="B2249">
        <v>0.995954080203443</v>
      </c>
      <c r="C2249">
        <v>1.19195307497981</v>
      </c>
      <c r="D2249">
        <v>0.61306808289275605</v>
      </c>
      <c r="E2249">
        <v>0.57812687529992901</v>
      </c>
      <c r="F2249">
        <v>0.20640986936862099</v>
      </c>
      <c r="G2249">
        <v>9.81247723381201E-2</v>
      </c>
      <c r="H2249">
        <v>6.3028235464011803E-2</v>
      </c>
      <c r="I2249">
        <v>5.4424610484659998E-2</v>
      </c>
      <c r="J2249">
        <v>6.2161343916305199E-2</v>
      </c>
      <c r="K2249">
        <v>5.80359665569712E-2</v>
      </c>
      <c r="L2249">
        <v>927.21842304624295</v>
      </c>
      <c r="M2249">
        <v>18.7732743830936</v>
      </c>
      <c r="N2249">
        <v>49.629459007849903</v>
      </c>
      <c r="O2249">
        <v>48.840151616291898</v>
      </c>
      <c r="P2249">
        <v>-9.1944119801365007E-2</v>
      </c>
      <c r="Q2249">
        <v>4.3240376199947299E-2</v>
      </c>
      <c r="R2249">
        <v>0.93155804487997995</v>
      </c>
      <c r="S2249" t="s">
        <v>9055</v>
      </c>
      <c r="T2249" t="s">
        <v>13610</v>
      </c>
      <c r="U2249" t="s">
        <v>13610</v>
      </c>
      <c r="V2249" t="s">
        <v>13610</v>
      </c>
      <c r="W2249" t="s">
        <v>15809</v>
      </c>
      <c r="X2249">
        <v>12</v>
      </c>
      <c r="Y2249" t="s">
        <v>22473</v>
      </c>
      <c r="Z2249" t="s">
        <v>29104</v>
      </c>
      <c r="AA2249">
        <v>0.35787007444735441</v>
      </c>
      <c r="AB2249" t="str">
        <f>HYPERLINK("Melting_Curves/meltCurve_P30085_CMPK1.pdf", "Melting_Curves/meltCurve_P30085_CMPK1.pdf")</f>
        <v>Melting_Curves/meltCurve_P30085_CMPK1.pdf</v>
      </c>
    </row>
    <row r="2250" spans="1:28" x14ac:dyDescent="0.25">
      <c r="A2250" t="s">
        <v>2254</v>
      </c>
      <c r="B2250">
        <v>0.995954080203443</v>
      </c>
      <c r="C2250">
        <v>1.0042209577493599</v>
      </c>
      <c r="D2250">
        <v>1.0428542675930399</v>
      </c>
      <c r="E2250">
        <v>0.91840382216479699</v>
      </c>
      <c r="F2250">
        <v>0.95253642293046903</v>
      </c>
      <c r="G2250">
        <v>0.67968265783800497</v>
      </c>
      <c r="H2250">
        <v>0.52840706147926197</v>
      </c>
      <c r="I2250">
        <v>0.293645741493261</v>
      </c>
      <c r="J2250">
        <v>0.20121618570712799</v>
      </c>
      <c r="K2250">
        <v>0.149379646108836</v>
      </c>
      <c r="L2250">
        <v>949.40072444269094</v>
      </c>
      <c r="M2250">
        <v>15.735177726990001</v>
      </c>
      <c r="N2250">
        <v>60.680568877120997</v>
      </c>
      <c r="O2250">
        <v>59.386900453982797</v>
      </c>
      <c r="P2250">
        <v>-6.3415998402544305E-2</v>
      </c>
      <c r="Q2250">
        <v>4.2714575978038703E-2</v>
      </c>
      <c r="R2250">
        <v>0.98913603244065496</v>
      </c>
      <c r="S2250" t="s">
        <v>9056</v>
      </c>
      <c r="T2250" t="s">
        <v>13610</v>
      </c>
      <c r="U2250" t="s">
        <v>13610</v>
      </c>
      <c r="V2250" t="s">
        <v>13610</v>
      </c>
      <c r="W2250" t="s">
        <v>15810</v>
      </c>
      <c r="X2250">
        <v>13</v>
      </c>
      <c r="Y2250" t="s">
        <v>22474</v>
      </c>
      <c r="Z2250" t="s">
        <v>29105</v>
      </c>
      <c r="AA2250">
        <v>0.69753026382192251</v>
      </c>
      <c r="AB2250" t="str">
        <f>HYPERLINK("Melting_Curves/meltCurve_P30086_PEBP1.pdf", "Melting_Curves/meltCurve_P30086_PEBP1.pdf")</f>
        <v>Melting_Curves/meltCurve_P30086_PEBP1.pdf</v>
      </c>
    </row>
    <row r="2251" spans="1:28" x14ac:dyDescent="0.25">
      <c r="A2251" t="s">
        <v>2255</v>
      </c>
      <c r="B2251">
        <v>0.995954080203443</v>
      </c>
      <c r="C2251">
        <v>0.83181808642148802</v>
      </c>
      <c r="D2251">
        <v>0.87796451759907201</v>
      </c>
      <c r="E2251">
        <v>0.79444370230794903</v>
      </c>
      <c r="F2251">
        <v>0.52571419252622997</v>
      </c>
      <c r="G2251">
        <v>0.122254804288598</v>
      </c>
      <c r="H2251">
        <v>7.0616019035598304E-2</v>
      </c>
      <c r="I2251">
        <v>6.1666109975016897E-2</v>
      </c>
      <c r="J2251">
        <v>6.8317972685205106E-2</v>
      </c>
      <c r="K2251">
        <v>6.4785805384635603E-2</v>
      </c>
      <c r="L2251">
        <v>1218.4854965652401</v>
      </c>
      <c r="M2251">
        <v>23.1347852614003</v>
      </c>
      <c r="N2251">
        <v>52.870280370395001</v>
      </c>
      <c r="O2251">
        <v>52.280205118848698</v>
      </c>
      <c r="P2251">
        <v>-0.10596669555107401</v>
      </c>
      <c r="Q2251">
        <v>4.2159739251097401E-2</v>
      </c>
      <c r="R2251">
        <v>0.97171074062670504</v>
      </c>
      <c r="S2251" t="s">
        <v>9057</v>
      </c>
      <c r="T2251" t="s">
        <v>13610</v>
      </c>
      <c r="U2251" t="s">
        <v>13610</v>
      </c>
      <c r="V2251" t="s">
        <v>13610</v>
      </c>
      <c r="W2251" t="s">
        <v>15811</v>
      </c>
      <c r="X2251">
        <v>32</v>
      </c>
      <c r="Y2251" t="s">
        <v>22475</v>
      </c>
      <c r="Z2251" t="s">
        <v>29106</v>
      </c>
      <c r="AA2251">
        <v>0.45682569454795641</v>
      </c>
      <c r="AB2251" t="str">
        <f>HYPERLINK("Melting_Curves/meltCurve_P30153_PPP2R1A.pdf", "Melting_Curves/meltCurve_P30153_PPP2R1A.pdf")</f>
        <v>Melting_Curves/meltCurve_P30153_PPP2R1A.pdf</v>
      </c>
    </row>
    <row r="2252" spans="1:28" x14ac:dyDescent="0.25">
      <c r="A2252" t="s">
        <v>2256</v>
      </c>
      <c r="B2252">
        <v>0.995954080203443</v>
      </c>
      <c r="C2252">
        <v>0.76243675289748802</v>
      </c>
      <c r="D2252">
        <v>0.45147901316254202</v>
      </c>
      <c r="E2252">
        <v>0.26762031686837401</v>
      </c>
      <c r="F2252">
        <v>0.13414641702410801</v>
      </c>
      <c r="G2252">
        <v>7.8976065139464799E-2</v>
      </c>
      <c r="H2252">
        <v>5.5967226748216699E-2</v>
      </c>
      <c r="I2252">
        <v>5.6925919872336597E-2</v>
      </c>
      <c r="J2252">
        <v>5.8477233481919397E-2</v>
      </c>
      <c r="K2252">
        <v>5.8978106951930301E-2</v>
      </c>
      <c r="L2252">
        <v>825.68486392950194</v>
      </c>
      <c r="M2252">
        <v>18.110383589976198</v>
      </c>
      <c r="N2252">
        <v>45.909096182003701</v>
      </c>
      <c r="O2252">
        <v>45.046815573243201</v>
      </c>
      <c r="P2252">
        <v>-9.4600553169816207E-2</v>
      </c>
      <c r="Q2252">
        <v>5.8827572018435102E-2</v>
      </c>
      <c r="R2252">
        <v>0.99152560466788597</v>
      </c>
      <c r="S2252" t="s">
        <v>9058</v>
      </c>
      <c r="T2252" t="s">
        <v>13610</v>
      </c>
      <c r="U2252" t="s">
        <v>13610</v>
      </c>
      <c r="V2252" t="s">
        <v>13610</v>
      </c>
      <c r="W2252" t="s">
        <v>15812</v>
      </c>
      <c r="X2252">
        <v>17</v>
      </c>
      <c r="Y2252" t="s">
        <v>22476</v>
      </c>
      <c r="Z2252" t="s">
        <v>29107</v>
      </c>
      <c r="AA2252">
        <v>0.25311043144854001</v>
      </c>
      <c r="AB2252" t="str">
        <f>HYPERLINK("Melting_Curves/meltCurve_P30154_PPP2R1B.pdf", "Melting_Curves/meltCurve_P30154_PPP2R1B.pdf")</f>
        <v>Melting_Curves/meltCurve_P30154_PPP2R1B.pdf</v>
      </c>
    </row>
    <row r="2253" spans="1:28" x14ac:dyDescent="0.25">
      <c r="A2253" t="s">
        <v>2257</v>
      </c>
      <c r="B2253">
        <v>0.995954080203443</v>
      </c>
      <c r="C2253">
        <v>0.64771835977595504</v>
      </c>
      <c r="D2253">
        <v>0.40167502924472598</v>
      </c>
      <c r="E2253">
        <v>0.88539748576232202</v>
      </c>
      <c r="F2253">
        <v>0.45004601037408698</v>
      </c>
      <c r="G2253">
        <v>0.17066233940254</v>
      </c>
      <c r="H2253">
        <v>7.2623301132426599E-2</v>
      </c>
      <c r="I2253">
        <v>5.3957787616215301E-2</v>
      </c>
      <c r="J2253">
        <v>5.0812628044850101E-2</v>
      </c>
      <c r="K2253">
        <v>5.4394907268226801E-2</v>
      </c>
      <c r="L2253">
        <v>429.097887859899</v>
      </c>
      <c r="M2253">
        <v>8.6187203008578006</v>
      </c>
      <c r="N2253">
        <v>49.786728555889297</v>
      </c>
      <c r="O2253">
        <v>47.323982071647599</v>
      </c>
      <c r="P2253">
        <v>-4.5569343135496099E-2</v>
      </c>
      <c r="Q2253">
        <v>0</v>
      </c>
      <c r="R2253">
        <v>0.75043740606309794</v>
      </c>
      <c r="S2253" t="s">
        <v>9059</v>
      </c>
      <c r="T2253" t="s">
        <v>13610</v>
      </c>
      <c r="U2253" t="s">
        <v>13610</v>
      </c>
      <c r="V2253" t="s">
        <v>13610</v>
      </c>
      <c r="W2253" t="s">
        <v>15813</v>
      </c>
      <c r="X2253">
        <v>12</v>
      </c>
      <c r="Y2253" t="s">
        <v>22477</v>
      </c>
      <c r="Z2253" t="s">
        <v>29108</v>
      </c>
      <c r="AA2253">
        <v>0.38206691825121269</v>
      </c>
      <c r="AB2253" t="str">
        <f>HYPERLINK("Melting_Curves/meltCurve_P30260_CDC27.pdf", "Melting_Curves/meltCurve_P30260_CDC27.pdf")</f>
        <v>Melting_Curves/meltCurve_P30260_CDC27.pdf</v>
      </c>
    </row>
    <row r="2254" spans="1:28" x14ac:dyDescent="0.25">
      <c r="A2254" t="s">
        <v>2258</v>
      </c>
      <c r="B2254">
        <v>0.995954080203443</v>
      </c>
      <c r="C2254">
        <v>0.98063635817735395</v>
      </c>
      <c r="D2254">
        <v>0.91819444759387003</v>
      </c>
      <c r="E2254">
        <v>0.66072102601074401</v>
      </c>
      <c r="F2254">
        <v>0.40699977673342802</v>
      </c>
      <c r="G2254">
        <v>0.21709892146153301</v>
      </c>
      <c r="H2254">
        <v>0.12621519540296</v>
      </c>
      <c r="I2254">
        <v>9.9155806188764295E-2</v>
      </c>
      <c r="J2254">
        <v>9.5225040043912704E-2</v>
      </c>
      <c r="K2254">
        <v>0.10082520134341599</v>
      </c>
      <c r="L2254">
        <v>993.67639440057701</v>
      </c>
      <c r="M2254">
        <v>19.345290776218199</v>
      </c>
      <c r="N2254">
        <v>51.8859263427223</v>
      </c>
      <c r="O2254">
        <v>50.825859755917797</v>
      </c>
      <c r="P2254">
        <v>-8.6763754922738495E-2</v>
      </c>
      <c r="Q2254">
        <v>8.8216583182095895E-2</v>
      </c>
      <c r="R2254">
        <v>0.99976235742824104</v>
      </c>
      <c r="S2254" t="s">
        <v>9060</v>
      </c>
      <c r="T2254" t="s">
        <v>13610</v>
      </c>
      <c r="U2254" t="s">
        <v>13610</v>
      </c>
      <c r="V2254" t="s">
        <v>13610</v>
      </c>
      <c r="W2254" t="s">
        <v>15814</v>
      </c>
      <c r="X2254">
        <v>7</v>
      </c>
      <c r="Y2254" t="s">
        <v>22478</v>
      </c>
      <c r="Z2254" t="s">
        <v>29109</v>
      </c>
      <c r="AA2254">
        <v>0.44707936623076577</v>
      </c>
      <c r="AB2254" t="str">
        <f>HYPERLINK("Melting_Curves/meltCurve_P30279_CCND2.pdf", "Melting_Curves/meltCurve_P30279_CCND2.pdf")</f>
        <v>Melting_Curves/meltCurve_P30279_CCND2.pdf</v>
      </c>
    </row>
    <row r="2255" spans="1:28" x14ac:dyDescent="0.25">
      <c r="A2255" t="s">
        <v>2259</v>
      </c>
      <c r="B2255">
        <v>0.995954080203443</v>
      </c>
      <c r="C2255">
        <v>0.88019038633560898</v>
      </c>
      <c r="D2255">
        <v>0.78676069180760599</v>
      </c>
      <c r="E2255">
        <v>0.57748043648421798</v>
      </c>
      <c r="F2255">
        <v>0.38489425939601102</v>
      </c>
      <c r="G2255">
        <v>0.21711279285114199</v>
      </c>
      <c r="H2255">
        <v>0.14270292311138899</v>
      </c>
      <c r="I2255">
        <v>0.13161801118583999</v>
      </c>
      <c r="J2255">
        <v>0.14570802864677801</v>
      </c>
      <c r="K2255">
        <v>0.126089063800537</v>
      </c>
      <c r="L2255">
        <v>690.79980053998804</v>
      </c>
      <c r="M2255">
        <v>13.8044636252171</v>
      </c>
      <c r="N2255">
        <v>50.828849124006297</v>
      </c>
      <c r="O2255">
        <v>49.026700437085303</v>
      </c>
      <c r="P2255">
        <v>-6.3627662990676001E-2</v>
      </c>
      <c r="Q2255">
        <v>9.62290425115742E-2</v>
      </c>
      <c r="R2255">
        <v>0.99586950210742398</v>
      </c>
      <c r="S2255" t="s">
        <v>9061</v>
      </c>
      <c r="T2255" t="s">
        <v>13610</v>
      </c>
      <c r="U2255" t="s">
        <v>13610</v>
      </c>
      <c r="V2255" t="s">
        <v>13610</v>
      </c>
      <c r="W2255" t="s">
        <v>15815</v>
      </c>
      <c r="X2255">
        <v>7</v>
      </c>
      <c r="Y2255" t="s">
        <v>22479</v>
      </c>
      <c r="Z2255" t="s">
        <v>29110</v>
      </c>
      <c r="AA2255">
        <v>0.42359447462694549</v>
      </c>
      <c r="AB2255" t="str">
        <f>HYPERLINK("Melting_Curves/meltCurve_P30281_CCND3.pdf", "Melting_Curves/meltCurve_P30281_CCND3.pdf")</f>
        <v>Melting_Curves/meltCurve_P30281_CCND3.pdf</v>
      </c>
    </row>
    <row r="2256" spans="1:28" x14ac:dyDescent="0.25">
      <c r="A2256" t="s">
        <v>2260</v>
      </c>
      <c r="B2256">
        <v>0.995954080203443</v>
      </c>
      <c r="C2256">
        <v>0.56285738265942298</v>
      </c>
      <c r="D2256">
        <v>0.37794954793131103</v>
      </c>
      <c r="E2256">
        <v>0.33914334528677198</v>
      </c>
      <c r="F2256">
        <v>0.14981821539729001</v>
      </c>
      <c r="G2256">
        <v>6.7101250268488496E-2</v>
      </c>
      <c r="H2256">
        <v>2.84452822165417E-2</v>
      </c>
      <c r="I2256">
        <v>3.05628171080304E-2</v>
      </c>
      <c r="J2256">
        <v>2.96526583297285E-2</v>
      </c>
      <c r="K2256">
        <v>2.7215923583818299E-2</v>
      </c>
      <c r="L2256">
        <v>605.35220570546005</v>
      </c>
      <c r="M2256">
        <v>13.457965242070699</v>
      </c>
      <c r="N2256">
        <v>45.147218179546996</v>
      </c>
      <c r="O2256">
        <v>44.022625915451897</v>
      </c>
      <c r="P2256">
        <v>-7.4590253514862301E-2</v>
      </c>
      <c r="Q2256">
        <v>2.4175719771852702E-2</v>
      </c>
      <c r="R2256">
        <v>0.94438324997633505</v>
      </c>
      <c r="S2256" t="s">
        <v>9062</v>
      </c>
      <c r="T2256" t="s">
        <v>13610</v>
      </c>
      <c r="U2256" t="s">
        <v>13610</v>
      </c>
      <c r="V2256" t="s">
        <v>13610</v>
      </c>
      <c r="W2256" t="s">
        <v>15816</v>
      </c>
      <c r="X2256">
        <v>3</v>
      </c>
      <c r="Y2256" t="s">
        <v>22480</v>
      </c>
      <c r="Z2256" t="s">
        <v>29111</v>
      </c>
      <c r="AA2256">
        <v>0.22539261191573279</v>
      </c>
      <c r="AB2256" t="str">
        <f>HYPERLINK("Melting_Curves/meltCurve_P30291_WEE1.pdf", "Melting_Curves/meltCurve_P30291_WEE1.pdf")</f>
        <v>Melting_Curves/meltCurve_P30291_WEE1.pdf</v>
      </c>
    </row>
    <row r="2257" spans="1:28" x14ac:dyDescent="0.25">
      <c r="A2257" t="s">
        <v>2261</v>
      </c>
      <c r="B2257">
        <v>0.995954080203443</v>
      </c>
      <c r="C2257">
        <v>0.92480309789619997</v>
      </c>
      <c r="D2257">
        <v>0.86640092505126898</v>
      </c>
      <c r="E2257">
        <v>0.79273194173613004</v>
      </c>
      <c r="F2257">
        <v>0.76550169409777802</v>
      </c>
      <c r="G2257">
        <v>0.50309646896501603</v>
      </c>
      <c r="H2257">
        <v>0.49096406966551898</v>
      </c>
      <c r="I2257">
        <v>0.59322613395157997</v>
      </c>
      <c r="J2257">
        <v>0.76916212488521396</v>
      </c>
      <c r="K2257">
        <v>0.73761741364907696</v>
      </c>
      <c r="L2257">
        <v>832.97136235149799</v>
      </c>
      <c r="M2257">
        <v>17.300129510943499</v>
      </c>
      <c r="O2257">
        <v>47.518759137531397</v>
      </c>
      <c r="P2257">
        <v>-3.3868952294982997E-2</v>
      </c>
      <c r="Q2257">
        <v>0.62790620099308903</v>
      </c>
      <c r="R2257">
        <v>0.67475477023383601</v>
      </c>
      <c r="S2257" t="s">
        <v>9063</v>
      </c>
      <c r="T2257" t="s">
        <v>13610</v>
      </c>
      <c r="U2257" t="s">
        <v>13610</v>
      </c>
      <c r="V2257" t="s">
        <v>13610</v>
      </c>
      <c r="W2257" t="s">
        <v>15817</v>
      </c>
      <c r="X2257">
        <v>6</v>
      </c>
      <c r="Y2257" t="s">
        <v>22481</v>
      </c>
      <c r="Z2257" t="s">
        <v>29112</v>
      </c>
      <c r="AA2257">
        <v>0.73610478114497624</v>
      </c>
      <c r="AB2257" t="str">
        <f>HYPERLINK("Melting_Curves/meltCurve_P30307_CDC25C.pdf", "Melting_Curves/meltCurve_P30307_CDC25C.pdf")</f>
        <v>Melting_Curves/meltCurve_P30307_CDC25C.pdf</v>
      </c>
    </row>
    <row r="2258" spans="1:28" x14ac:dyDescent="0.25">
      <c r="A2258" t="s">
        <v>2262</v>
      </c>
      <c r="B2258">
        <v>0.995954080203443</v>
      </c>
      <c r="C2258">
        <v>0.94000969774094201</v>
      </c>
      <c r="D2258">
        <v>1.22290370078127</v>
      </c>
      <c r="E2258">
        <v>0.79104288958885205</v>
      </c>
      <c r="F2258">
        <v>0.61486193490402496</v>
      </c>
      <c r="G2258">
        <v>0.20788898761650301</v>
      </c>
      <c r="H2258">
        <v>0.13811588765795399</v>
      </c>
      <c r="I2258">
        <v>0.12600629851183701</v>
      </c>
      <c r="J2258">
        <v>0.134079837523261</v>
      </c>
      <c r="K2258">
        <v>0.14125198880486001</v>
      </c>
      <c r="L2258">
        <v>1521.0869832910801</v>
      </c>
      <c r="M2258">
        <v>28.648212917714702</v>
      </c>
      <c r="N2258">
        <v>53.631953599299102</v>
      </c>
      <c r="O2258">
        <v>52.838661519246799</v>
      </c>
      <c r="P2258">
        <v>-0.118657002929362</v>
      </c>
      <c r="Q2258">
        <v>0.12460464686608</v>
      </c>
      <c r="R2258">
        <v>0.95965301709068296</v>
      </c>
      <c r="S2258" t="s">
        <v>9064</v>
      </c>
      <c r="T2258" t="s">
        <v>13610</v>
      </c>
      <c r="U2258" t="s">
        <v>13610</v>
      </c>
      <c r="V2258" t="s">
        <v>13610</v>
      </c>
      <c r="W2258" t="s">
        <v>15818</v>
      </c>
      <c r="X2258">
        <v>11</v>
      </c>
      <c r="Y2258" t="s">
        <v>22482</v>
      </c>
      <c r="Z2258" t="s">
        <v>29113</v>
      </c>
      <c r="AA2258">
        <v>0.51294379810720769</v>
      </c>
      <c r="AB2258" t="str">
        <f>HYPERLINK("Melting_Curves/meltCurve_P30405_PPIF.pdf", "Melting_Curves/meltCurve_P30405_PPIF.pdf")</f>
        <v>Melting_Curves/meltCurve_P30405_PPIF.pdf</v>
      </c>
    </row>
    <row r="2259" spans="1:28" x14ac:dyDescent="0.25">
      <c r="A2259" t="s">
        <v>2263</v>
      </c>
      <c r="B2259">
        <v>0.995954080203443</v>
      </c>
      <c r="C2259">
        <v>1.00692959055716</v>
      </c>
      <c r="D2259">
        <v>0.90789511618711005</v>
      </c>
      <c r="E2259">
        <v>0.75771074446604803</v>
      </c>
      <c r="F2259">
        <v>0.59351861905329895</v>
      </c>
      <c r="G2259">
        <v>0.43814656284104198</v>
      </c>
      <c r="H2259">
        <v>0.40527289848155801</v>
      </c>
      <c r="I2259">
        <v>0.485444650909783</v>
      </c>
      <c r="J2259">
        <v>0.56496005886417799</v>
      </c>
      <c r="K2259">
        <v>0.63881038796495004</v>
      </c>
      <c r="L2259">
        <v>1370.6056157021701</v>
      </c>
      <c r="M2259">
        <v>27.550021360563001</v>
      </c>
      <c r="O2259">
        <v>49.489807123563601</v>
      </c>
      <c r="P2259">
        <v>-6.8683316040224998E-2</v>
      </c>
      <c r="Q2259">
        <v>0.50648415977114902</v>
      </c>
      <c r="R2259">
        <v>0.90892210335640999</v>
      </c>
      <c r="S2259" t="s">
        <v>9065</v>
      </c>
      <c r="T2259" t="s">
        <v>13610</v>
      </c>
      <c r="U2259" t="s">
        <v>13610</v>
      </c>
      <c r="V2259" t="s">
        <v>13610</v>
      </c>
      <c r="W2259" t="s">
        <v>15819</v>
      </c>
      <c r="X2259">
        <v>18</v>
      </c>
      <c r="Y2259" t="s">
        <v>22483</v>
      </c>
      <c r="Z2259" t="s">
        <v>29114</v>
      </c>
      <c r="AA2259">
        <v>0.67048608806210086</v>
      </c>
      <c r="AB2259" t="str">
        <f>HYPERLINK("Melting_Curves/meltCurve_P30414_NKTR.pdf", "Melting_Curves/meltCurve_P30414_NKTR.pdf")</f>
        <v>Melting_Curves/meltCurve_P30414_NKTR.pdf</v>
      </c>
    </row>
    <row r="2260" spans="1:28" x14ac:dyDescent="0.25">
      <c r="A2260" t="s">
        <v>2264</v>
      </c>
      <c r="B2260">
        <v>0.995954080203443</v>
      </c>
      <c r="C2260">
        <v>0.95870864015767898</v>
      </c>
      <c r="D2260">
        <v>0.943188431801539</v>
      </c>
      <c r="E2260">
        <v>0.65134070843524605</v>
      </c>
      <c r="F2260">
        <v>0.33416204575797798</v>
      </c>
      <c r="G2260">
        <v>0.21955241765140901</v>
      </c>
      <c r="H2260">
        <v>0.185678681954213</v>
      </c>
      <c r="I2260">
        <v>0.219432021560341</v>
      </c>
      <c r="J2260">
        <v>0.213954133064751</v>
      </c>
      <c r="K2260">
        <v>0.24451610118909201</v>
      </c>
      <c r="L2260">
        <v>1599.2361656236601</v>
      </c>
      <c r="M2260">
        <v>31.800464057742101</v>
      </c>
      <c r="N2260">
        <v>51.1755941261993</v>
      </c>
      <c r="O2260">
        <v>50.0920803837245</v>
      </c>
      <c r="P2260">
        <v>-0.12511786766056801</v>
      </c>
      <c r="Q2260">
        <v>0.21166133477738</v>
      </c>
      <c r="R2260">
        <v>0.99638926843948705</v>
      </c>
      <c r="S2260" t="s">
        <v>9066</v>
      </c>
      <c r="T2260" t="s">
        <v>13610</v>
      </c>
      <c r="U2260" t="s">
        <v>13610</v>
      </c>
      <c r="V2260" t="s">
        <v>13610</v>
      </c>
      <c r="W2260" t="s">
        <v>15820</v>
      </c>
      <c r="X2260">
        <v>18</v>
      </c>
      <c r="Y2260" t="s">
        <v>22484</v>
      </c>
      <c r="Z2260" t="s">
        <v>29115</v>
      </c>
      <c r="AA2260">
        <v>0.48640929250269532</v>
      </c>
      <c r="AB2260" t="str">
        <f>HYPERLINK("Melting_Curves/meltCurve_P30419_NMT1.pdf", "Melting_Curves/meltCurve_P30419_NMT1.pdf")</f>
        <v>Melting_Curves/meltCurve_P30419_NMT1.pdf</v>
      </c>
    </row>
    <row r="2261" spans="1:28" x14ac:dyDescent="0.25">
      <c r="A2261" t="s">
        <v>2265</v>
      </c>
      <c r="B2261">
        <v>0.995954080203443</v>
      </c>
      <c r="C2261">
        <v>0.972265751895245</v>
      </c>
      <c r="D2261">
        <v>0.98574546527817397</v>
      </c>
      <c r="E2261">
        <v>0.84220846926770598</v>
      </c>
      <c r="F2261">
        <v>0.73143951576681698</v>
      </c>
      <c r="G2261">
        <v>0.38642247040818101</v>
      </c>
      <c r="H2261">
        <v>0.140754441924128</v>
      </c>
      <c r="I2261">
        <v>8.6793550355596896E-2</v>
      </c>
      <c r="J2261">
        <v>7.5268103330446104E-2</v>
      </c>
      <c r="K2261">
        <v>6.8284133842381897E-2</v>
      </c>
      <c r="L2261">
        <v>1066.6713614625301</v>
      </c>
      <c r="M2261">
        <v>19.312973501156598</v>
      </c>
      <c r="N2261">
        <v>55.438199955591898</v>
      </c>
      <c r="O2261">
        <v>54.648881749100397</v>
      </c>
      <c r="P2261">
        <v>-8.5274421945389603E-2</v>
      </c>
      <c r="Q2261">
        <v>3.4850133302738701E-2</v>
      </c>
      <c r="R2261">
        <v>0.99689693242653099</v>
      </c>
      <c r="S2261" t="s">
        <v>9067</v>
      </c>
      <c r="T2261" t="s">
        <v>13610</v>
      </c>
      <c r="U2261" t="s">
        <v>13610</v>
      </c>
      <c r="V2261" t="s">
        <v>13610</v>
      </c>
      <c r="W2261" t="s">
        <v>15821</v>
      </c>
      <c r="X2261">
        <v>26</v>
      </c>
      <c r="Y2261" t="s">
        <v>22485</v>
      </c>
      <c r="Z2261" t="s">
        <v>29116</v>
      </c>
      <c r="AA2261">
        <v>0.53828074333992848</v>
      </c>
      <c r="AB2261" t="str">
        <f>HYPERLINK("Melting_Curves/meltCurve_P30520_ADSS.pdf", "Melting_Curves/meltCurve_P30520_ADSS.pdf")</f>
        <v>Melting_Curves/meltCurve_P30520_ADSS.pdf</v>
      </c>
    </row>
    <row r="2262" spans="1:28" x14ac:dyDescent="0.25">
      <c r="A2262" t="s">
        <v>2266</v>
      </c>
      <c r="B2262">
        <v>0.995954080203443</v>
      </c>
      <c r="C2262">
        <v>0.98570120245447701</v>
      </c>
      <c r="D2262">
        <v>1.01087246823371</v>
      </c>
      <c r="E2262">
        <v>0.83703945938436897</v>
      </c>
      <c r="F2262">
        <v>0.79386650040082896</v>
      </c>
      <c r="G2262">
        <v>0.60354356071493598</v>
      </c>
      <c r="H2262">
        <v>0.534686205038853</v>
      </c>
      <c r="I2262">
        <v>0.59955723489190604</v>
      </c>
      <c r="J2262">
        <v>0.77090707741934505</v>
      </c>
      <c r="K2262">
        <v>0.70547609510769704</v>
      </c>
      <c r="L2262">
        <v>1436.8267851620401</v>
      </c>
      <c r="M2262">
        <v>28.162532420096099</v>
      </c>
      <c r="O2262">
        <v>50.763927796837798</v>
      </c>
      <c r="P2262">
        <v>-4.92093688555926E-2</v>
      </c>
      <c r="Q2262">
        <v>0.64519669851767303</v>
      </c>
      <c r="R2262">
        <v>0.84239293967676598</v>
      </c>
      <c r="S2262" t="s">
        <v>9068</v>
      </c>
      <c r="T2262" t="s">
        <v>13610</v>
      </c>
      <c r="U2262" t="s">
        <v>13610</v>
      </c>
      <c r="V2262" t="s">
        <v>13610</v>
      </c>
      <c r="W2262" t="s">
        <v>15822</v>
      </c>
      <c r="X2262">
        <v>18</v>
      </c>
      <c r="Y2262" t="s">
        <v>22486</v>
      </c>
      <c r="Z2262" t="s">
        <v>29117</v>
      </c>
      <c r="AA2262">
        <v>0.77804895655244932</v>
      </c>
      <c r="AB2262" t="str">
        <f>HYPERLINK("Melting_Curves/meltCurve_P30533_LRPAP1.pdf", "Melting_Curves/meltCurve_P30533_LRPAP1.pdf")</f>
        <v>Melting_Curves/meltCurve_P30533_LRPAP1.pdf</v>
      </c>
    </row>
    <row r="2263" spans="1:28" x14ac:dyDescent="0.25">
      <c r="A2263" t="s">
        <v>2267</v>
      </c>
      <c r="B2263">
        <v>0.995954080203443</v>
      </c>
      <c r="C2263">
        <v>0.90690018333647604</v>
      </c>
      <c r="D2263">
        <v>0.79351570432980301</v>
      </c>
      <c r="E2263">
        <v>0.82716245760089802</v>
      </c>
      <c r="F2263">
        <v>0.64591744690655095</v>
      </c>
      <c r="G2263">
        <v>0.50029544428713701</v>
      </c>
      <c r="H2263">
        <v>0.29418867455162401</v>
      </c>
      <c r="I2263">
        <v>8.9810867841422795E-2</v>
      </c>
      <c r="J2263">
        <v>8.8517813847908897E-2</v>
      </c>
      <c r="K2263">
        <v>8.1512810703621097E-2</v>
      </c>
      <c r="L2263">
        <v>642.57542533726496</v>
      </c>
      <c r="M2263">
        <v>11.5410930196156</v>
      </c>
      <c r="N2263">
        <v>55.677153147745997</v>
      </c>
      <c r="O2263">
        <v>54.084286590471201</v>
      </c>
      <c r="P2263">
        <v>-5.3362672477415302E-2</v>
      </c>
      <c r="Q2263">
        <v>0</v>
      </c>
      <c r="R2263">
        <v>0.969180055180766</v>
      </c>
      <c r="S2263" t="s">
        <v>9069</v>
      </c>
      <c r="T2263" t="s">
        <v>13610</v>
      </c>
      <c r="U2263" t="s">
        <v>13610</v>
      </c>
      <c r="V2263" t="s">
        <v>13610</v>
      </c>
      <c r="W2263" t="s">
        <v>15823</v>
      </c>
      <c r="X2263">
        <v>24</v>
      </c>
      <c r="Y2263" t="s">
        <v>22487</v>
      </c>
      <c r="Z2263" t="s">
        <v>29118</v>
      </c>
      <c r="AA2263">
        <v>0.54438185994643951</v>
      </c>
      <c r="AB2263" t="str">
        <f>HYPERLINK("Melting_Curves/meltCurve_P30566_ADSL.pdf", "Melting_Curves/meltCurve_P30566_ADSL.pdf")</f>
        <v>Melting_Curves/meltCurve_P30566_ADSL.pdf</v>
      </c>
    </row>
    <row r="2264" spans="1:28" x14ac:dyDescent="0.25">
      <c r="A2264" t="s">
        <v>2268</v>
      </c>
      <c r="B2264">
        <v>0.995954080203443</v>
      </c>
      <c r="C2264">
        <v>0.975799098562115</v>
      </c>
      <c r="D2264">
        <v>0.85312300883028802</v>
      </c>
      <c r="E2264">
        <v>0.925453340017934</v>
      </c>
      <c r="F2264">
        <v>0.72173305484471395</v>
      </c>
      <c r="G2264">
        <v>0.53614195963465705</v>
      </c>
      <c r="H2264">
        <v>0.19965662252672101</v>
      </c>
      <c r="I2264">
        <v>6.3717878389497995E-2</v>
      </c>
      <c r="J2264">
        <v>4.2555156090733001E-2</v>
      </c>
      <c r="K2264">
        <v>4.4746215090630599E-2</v>
      </c>
      <c r="L2264">
        <v>984.32909675316705</v>
      </c>
      <c r="M2264">
        <v>17.408094080892699</v>
      </c>
      <c r="N2264">
        <v>56.544334583930798</v>
      </c>
      <c r="O2264">
        <v>55.813971080076797</v>
      </c>
      <c r="P2264">
        <v>-7.7978090492947696E-2</v>
      </c>
      <c r="Q2264">
        <v>0</v>
      </c>
      <c r="R2264">
        <v>0.98174662087840403</v>
      </c>
      <c r="S2264" t="s">
        <v>9070</v>
      </c>
      <c r="T2264" t="s">
        <v>13610</v>
      </c>
      <c r="U2264" t="s">
        <v>13610</v>
      </c>
      <c r="V2264" t="s">
        <v>13610</v>
      </c>
      <c r="W2264" t="s">
        <v>15824</v>
      </c>
      <c r="X2264">
        <v>27</v>
      </c>
      <c r="Y2264" t="s">
        <v>22488</v>
      </c>
      <c r="Z2264" t="s">
        <v>29119</v>
      </c>
      <c r="AA2264">
        <v>0.56620453493112932</v>
      </c>
      <c r="AB2264" t="str">
        <f>HYPERLINK("Melting_Curves/meltCurve_P30613_PKLR.pdf", "Melting_Curves/meltCurve_P30613_PKLR.pdf")</f>
        <v>Melting_Curves/meltCurve_P30613_PKLR.pdf</v>
      </c>
    </row>
    <row r="2265" spans="1:28" x14ac:dyDescent="0.25">
      <c r="A2265" t="s">
        <v>2269</v>
      </c>
      <c r="B2265">
        <v>0.995954080203443</v>
      </c>
      <c r="C2265">
        <v>1.0192512390083399</v>
      </c>
      <c r="D2265">
        <v>1.0209855515761199</v>
      </c>
      <c r="E2265">
        <v>0.92991409123643798</v>
      </c>
      <c r="F2265">
        <v>0.85275769277423397</v>
      </c>
      <c r="G2265">
        <v>0.66803534393800501</v>
      </c>
      <c r="H2265">
        <v>0.59725744070057096</v>
      </c>
      <c r="I2265">
        <v>0.67099982768568001</v>
      </c>
      <c r="J2265">
        <v>0.88701677406598201</v>
      </c>
      <c r="K2265">
        <v>0.79447082806034197</v>
      </c>
      <c r="L2265">
        <v>2087.82642766556</v>
      </c>
      <c r="M2265">
        <v>39.9429750697049</v>
      </c>
      <c r="O2265">
        <v>52.139662025854399</v>
      </c>
      <c r="P2265">
        <v>-5.2751875989567397E-2</v>
      </c>
      <c r="Q2265">
        <v>0.72456133718017401</v>
      </c>
      <c r="R2265">
        <v>0.73661270644768695</v>
      </c>
      <c r="S2265" t="s">
        <v>9071</v>
      </c>
      <c r="T2265" t="s">
        <v>13610</v>
      </c>
      <c r="U2265" t="s">
        <v>13610</v>
      </c>
      <c r="V2265" t="s">
        <v>13610</v>
      </c>
      <c r="W2265" t="s">
        <v>15825</v>
      </c>
      <c r="X2265">
        <v>93</v>
      </c>
      <c r="Y2265" t="s">
        <v>22489</v>
      </c>
      <c r="Z2265" t="s">
        <v>29120</v>
      </c>
      <c r="AA2265">
        <v>0.83821481834070377</v>
      </c>
      <c r="AB2265" t="str">
        <f>HYPERLINK("Melting_Curves/meltCurve_P30622_2_CLIP1.pdf", "Melting_Curves/meltCurve_P30622_2_CLIP1.pdf")</f>
        <v>Melting_Curves/meltCurve_P30622_2_CLIP1.pdf</v>
      </c>
    </row>
    <row r="2266" spans="1:28" x14ac:dyDescent="0.25">
      <c r="A2266" t="s">
        <v>2270</v>
      </c>
      <c r="B2266">
        <v>0.995954080203443</v>
      </c>
      <c r="C2266">
        <v>1.01232380141804</v>
      </c>
      <c r="D2266">
        <v>1.0229645846054201</v>
      </c>
      <c r="E2266">
        <v>0.88476990051301196</v>
      </c>
      <c r="F2266">
        <v>0.76479436653022004</v>
      </c>
      <c r="G2266">
        <v>0.57749401347238105</v>
      </c>
      <c r="H2266">
        <v>0.41780468013616301</v>
      </c>
      <c r="I2266">
        <v>0.45826179048231402</v>
      </c>
      <c r="J2266">
        <v>0.42318707411032702</v>
      </c>
      <c r="K2266">
        <v>0.28479264198627002</v>
      </c>
      <c r="L2266">
        <v>907.35871465280297</v>
      </c>
      <c r="M2266">
        <v>16.493658584928099</v>
      </c>
      <c r="N2266">
        <v>59.108216011554099</v>
      </c>
      <c r="O2266">
        <v>54.222974243180801</v>
      </c>
      <c r="P2266">
        <v>-5.0152014760709497E-2</v>
      </c>
      <c r="Q2266">
        <v>0.34054605907125601</v>
      </c>
      <c r="R2266">
        <v>0.97904281893900502</v>
      </c>
      <c r="S2266" t="s">
        <v>9072</v>
      </c>
      <c r="T2266" t="s">
        <v>13610</v>
      </c>
      <c r="U2266" t="s">
        <v>13610</v>
      </c>
      <c r="V2266" t="s">
        <v>13610</v>
      </c>
      <c r="W2266" t="s">
        <v>15826</v>
      </c>
      <c r="X2266">
        <v>5</v>
      </c>
      <c r="Y2266" t="s">
        <v>22490</v>
      </c>
      <c r="Z2266" t="s">
        <v>29121</v>
      </c>
      <c r="AA2266">
        <v>0.68195382823002126</v>
      </c>
      <c r="AB2266" t="str">
        <f>HYPERLINK("Melting_Curves/meltCurve_P30711_GSTT1.pdf", "Melting_Curves/meltCurve_P30711_GSTT1.pdf")</f>
        <v>Melting_Curves/meltCurve_P30711_GSTT1.pdf</v>
      </c>
    </row>
    <row r="2267" spans="1:28" x14ac:dyDescent="0.25">
      <c r="A2267" t="s">
        <v>2271</v>
      </c>
      <c r="B2267">
        <v>0.995954080203443</v>
      </c>
      <c r="C2267">
        <v>1.05636670576658</v>
      </c>
      <c r="D2267">
        <v>1.0859644927633501</v>
      </c>
      <c r="E2267">
        <v>0.91109285841745102</v>
      </c>
      <c r="F2267">
        <v>0.61222041228964696</v>
      </c>
      <c r="G2267">
        <v>0.14790686136959599</v>
      </c>
      <c r="H2267">
        <v>0.105190765478768</v>
      </c>
      <c r="I2267">
        <v>9.8786962455194596E-2</v>
      </c>
      <c r="J2267">
        <v>0.106253138887765</v>
      </c>
      <c r="K2267">
        <v>9.4403990247121095E-2</v>
      </c>
      <c r="L2267">
        <v>2080.31629538674</v>
      </c>
      <c r="M2267">
        <v>39.0125187400198</v>
      </c>
      <c r="N2267">
        <v>53.617831137680497</v>
      </c>
      <c r="O2267">
        <v>53.184792581648502</v>
      </c>
      <c r="P2267">
        <v>-0.165750615217053</v>
      </c>
      <c r="Q2267">
        <v>9.6147369558195805E-2</v>
      </c>
      <c r="R2267">
        <v>0.99343732032736898</v>
      </c>
      <c r="S2267" t="s">
        <v>9073</v>
      </c>
      <c r="T2267" t="s">
        <v>13610</v>
      </c>
      <c r="U2267" t="s">
        <v>13610</v>
      </c>
      <c r="V2267" t="s">
        <v>13610</v>
      </c>
      <c r="W2267" t="s">
        <v>15827</v>
      </c>
      <c r="X2267">
        <v>19</v>
      </c>
      <c r="Y2267" t="s">
        <v>22491</v>
      </c>
      <c r="Z2267" t="s">
        <v>29122</v>
      </c>
      <c r="AA2267">
        <v>0.50108626586458238</v>
      </c>
      <c r="AB2267" t="str">
        <f>HYPERLINK("Melting_Curves/meltCurve_P30740_SERPINB1.pdf", "Melting_Curves/meltCurve_P30740_SERPINB1.pdf")</f>
        <v>Melting_Curves/meltCurve_P30740_SERPINB1.pdf</v>
      </c>
    </row>
    <row r="2268" spans="1:28" x14ac:dyDescent="0.25">
      <c r="A2268" t="s">
        <v>2272</v>
      </c>
      <c r="B2268">
        <v>0.995954080203443</v>
      </c>
      <c r="C2268">
        <v>0.729960562828466</v>
      </c>
      <c r="D2268">
        <v>0.52373286679859599</v>
      </c>
      <c r="E2268">
        <v>0.32035280466281002</v>
      </c>
      <c r="F2268">
        <v>0.14708305435591301</v>
      </c>
      <c r="G2268">
        <v>7.4727889426556393E-2</v>
      </c>
      <c r="H2268">
        <v>4.6454952934254702E-2</v>
      </c>
      <c r="I2268">
        <v>4.0500742441724101E-2</v>
      </c>
      <c r="J2268">
        <v>4.2108207194747602E-2</v>
      </c>
      <c r="K2268">
        <v>3.7392950394466599E-2</v>
      </c>
      <c r="L2268">
        <v>687.65810558065095</v>
      </c>
      <c r="M2268">
        <v>14.828256516887199</v>
      </c>
      <c r="N2268">
        <v>46.5502276543167</v>
      </c>
      <c r="O2268">
        <v>45.5559137775995</v>
      </c>
      <c r="P2268">
        <v>-7.91715836715145E-2</v>
      </c>
      <c r="Q2268">
        <v>2.7167442786608698E-2</v>
      </c>
      <c r="R2268">
        <v>0.98946619794027502</v>
      </c>
      <c r="S2268" t="s">
        <v>9074</v>
      </c>
      <c r="T2268" t="s">
        <v>13610</v>
      </c>
      <c r="U2268" t="s">
        <v>13610</v>
      </c>
      <c r="V2268" t="s">
        <v>13610</v>
      </c>
      <c r="W2268" t="s">
        <v>15828</v>
      </c>
      <c r="X2268">
        <v>18</v>
      </c>
      <c r="Y2268" t="s">
        <v>22492</v>
      </c>
      <c r="Z2268" t="s">
        <v>29123</v>
      </c>
      <c r="AA2268">
        <v>0.26214528497385547</v>
      </c>
      <c r="AB2268" t="str">
        <f>HYPERLINK("Melting_Curves/meltCurve_P30837_ALDH1B1.pdf", "Melting_Curves/meltCurve_P30837_ALDH1B1.pdf")</f>
        <v>Melting_Curves/meltCurve_P30837_ALDH1B1.pdf</v>
      </c>
    </row>
    <row r="2269" spans="1:28" x14ac:dyDescent="0.25">
      <c r="A2269" t="s">
        <v>2273</v>
      </c>
      <c r="B2269">
        <v>0.995954080203443</v>
      </c>
      <c r="C2269">
        <v>0.93305225876083597</v>
      </c>
      <c r="D2269">
        <v>0.952253999398184</v>
      </c>
      <c r="E2269">
        <v>0.83111356609063503</v>
      </c>
      <c r="F2269">
        <v>0.71411042620378296</v>
      </c>
      <c r="G2269">
        <v>0.51397803643977003</v>
      </c>
      <c r="H2269">
        <v>0.28065617031545997</v>
      </c>
      <c r="I2269">
        <v>0.16046397265787299</v>
      </c>
      <c r="J2269">
        <v>7.2733754415443705E-2</v>
      </c>
      <c r="K2269">
        <v>7.0425584055095802E-2</v>
      </c>
      <c r="L2269">
        <v>762.11356695812594</v>
      </c>
      <c r="M2269">
        <v>13.4594032026578</v>
      </c>
      <c r="N2269">
        <v>56.623127684041499</v>
      </c>
      <c r="O2269">
        <v>55.417011268349697</v>
      </c>
      <c r="P2269">
        <v>-6.0728104380801402E-2</v>
      </c>
      <c r="Q2269">
        <v>0</v>
      </c>
      <c r="R2269">
        <v>0.99498543069483802</v>
      </c>
      <c r="S2269" t="s">
        <v>9075</v>
      </c>
      <c r="T2269" t="s">
        <v>13610</v>
      </c>
      <c r="U2269" t="s">
        <v>13610</v>
      </c>
      <c r="V2269" t="s">
        <v>13610</v>
      </c>
      <c r="W2269" t="s">
        <v>15829</v>
      </c>
      <c r="X2269">
        <v>16</v>
      </c>
      <c r="Y2269" t="s">
        <v>22493</v>
      </c>
      <c r="Z2269" t="s">
        <v>29124</v>
      </c>
      <c r="AA2269">
        <v>0.57173826626805069</v>
      </c>
      <c r="AB2269" t="str">
        <f>HYPERLINK("Melting_Curves/meltCurve_P31040_SDHA.pdf", "Melting_Curves/meltCurve_P31040_SDHA.pdf")</f>
        <v>Melting_Curves/meltCurve_P31040_SDHA.pdf</v>
      </c>
    </row>
    <row r="2270" spans="1:28" x14ac:dyDescent="0.25">
      <c r="A2270" t="s">
        <v>2274</v>
      </c>
      <c r="B2270">
        <v>0.995954080203443</v>
      </c>
      <c r="C2270">
        <v>0.98398677163220405</v>
      </c>
      <c r="D2270">
        <v>1.16215786174937</v>
      </c>
      <c r="E2270">
        <v>0.68674283661795199</v>
      </c>
      <c r="F2270">
        <v>0.23429929192476201</v>
      </c>
      <c r="G2270">
        <v>0.147681118006871</v>
      </c>
      <c r="H2270">
        <v>0.107260014656613</v>
      </c>
      <c r="I2270">
        <v>0.110283564926248</v>
      </c>
      <c r="J2270">
        <v>0.139410230987524</v>
      </c>
      <c r="K2270">
        <v>0.122802207426603</v>
      </c>
      <c r="L2270">
        <v>2486.6719130736501</v>
      </c>
      <c r="M2270">
        <v>49.090032287191697</v>
      </c>
      <c r="N2270">
        <v>50.960192103132897</v>
      </c>
      <c r="O2270">
        <v>50.571483278821297</v>
      </c>
      <c r="P2270">
        <v>-0.21179861257434099</v>
      </c>
      <c r="Q2270">
        <v>0.127239505758384</v>
      </c>
      <c r="R2270">
        <v>0.98242687304084897</v>
      </c>
      <c r="S2270" t="s">
        <v>9076</v>
      </c>
      <c r="T2270" t="s">
        <v>13610</v>
      </c>
      <c r="U2270" t="s">
        <v>13610</v>
      </c>
      <c r="V2270" t="s">
        <v>13610</v>
      </c>
      <c r="W2270" t="s">
        <v>15830</v>
      </c>
      <c r="X2270">
        <v>17</v>
      </c>
      <c r="Y2270" t="s">
        <v>22494</v>
      </c>
      <c r="Z2270" t="s">
        <v>29125</v>
      </c>
      <c r="AA2270">
        <v>0.43924809380564112</v>
      </c>
      <c r="AB2270" t="str">
        <f>HYPERLINK("Melting_Curves/meltCurve_P31146_CORO1A.pdf", "Melting_Curves/meltCurve_P31146_CORO1A.pdf")</f>
        <v>Melting_Curves/meltCurve_P31146_CORO1A.pdf</v>
      </c>
    </row>
    <row r="2271" spans="1:28" x14ac:dyDescent="0.25">
      <c r="A2271" t="s">
        <v>2275</v>
      </c>
      <c r="B2271">
        <v>0.995954080203443</v>
      </c>
      <c r="C2271">
        <v>0.99841319145900298</v>
      </c>
      <c r="D2271">
        <v>0.97814428089357297</v>
      </c>
      <c r="E2271">
        <v>0.90677503798770598</v>
      </c>
      <c r="F2271">
        <v>0.70862523290033597</v>
      </c>
      <c r="G2271">
        <v>0.18397348060398</v>
      </c>
      <c r="H2271">
        <v>7.6432507551918299E-2</v>
      </c>
      <c r="I2271">
        <v>6.21316758349022E-2</v>
      </c>
      <c r="J2271">
        <v>7.5015951134928899E-2</v>
      </c>
      <c r="K2271">
        <v>6.19188624202337E-2</v>
      </c>
      <c r="L2271">
        <v>1862.5713384128201</v>
      </c>
      <c r="M2271">
        <v>34.4338736705919</v>
      </c>
      <c r="N2271">
        <v>54.294581175866597</v>
      </c>
      <c r="O2271">
        <v>53.909794811679802</v>
      </c>
      <c r="P2271">
        <v>-0.150023764425637</v>
      </c>
      <c r="Q2271">
        <v>6.0492642647783597E-2</v>
      </c>
      <c r="R2271">
        <v>0.99843480576201804</v>
      </c>
      <c r="S2271" t="s">
        <v>9077</v>
      </c>
      <c r="T2271" t="s">
        <v>13610</v>
      </c>
      <c r="U2271" t="s">
        <v>13610</v>
      </c>
      <c r="V2271" t="s">
        <v>13610</v>
      </c>
      <c r="W2271" t="s">
        <v>15831</v>
      </c>
      <c r="X2271">
        <v>27</v>
      </c>
      <c r="Y2271" t="s">
        <v>22495</v>
      </c>
      <c r="Z2271" t="s">
        <v>29126</v>
      </c>
      <c r="AA2271">
        <v>0.50650803323844917</v>
      </c>
      <c r="AB2271" t="str">
        <f>HYPERLINK("Melting_Curves/meltCurve_P31150_GDI1.pdf", "Melting_Curves/meltCurve_P31150_GDI1.pdf")</f>
        <v>Melting_Curves/meltCurve_P31150_GDI1.pdf</v>
      </c>
    </row>
    <row r="2272" spans="1:28" x14ac:dyDescent="0.25">
      <c r="A2272" t="s">
        <v>2276</v>
      </c>
      <c r="B2272">
        <v>0.995954080203443</v>
      </c>
      <c r="C2272">
        <v>0.87772307872458699</v>
      </c>
      <c r="D2272">
        <v>0.77676253322371602</v>
      </c>
      <c r="E2272">
        <v>0.756909993894329</v>
      </c>
      <c r="F2272">
        <v>0.55229057943605298</v>
      </c>
      <c r="G2272">
        <v>0.31100030560991898</v>
      </c>
      <c r="H2272">
        <v>0.13479582580997801</v>
      </c>
      <c r="I2272">
        <v>0.13271699069867399</v>
      </c>
      <c r="J2272">
        <v>0.15220698240689401</v>
      </c>
      <c r="K2272">
        <v>0.14626783988695899</v>
      </c>
      <c r="L2272">
        <v>616.51140863269598</v>
      </c>
      <c r="M2272">
        <v>11.668009852885399</v>
      </c>
      <c r="N2272">
        <v>53.298565044016101</v>
      </c>
      <c r="O2272">
        <v>51.357303556896802</v>
      </c>
      <c r="P2272">
        <v>-5.40875138556959E-2</v>
      </c>
      <c r="Q2272">
        <v>4.7980756034473701E-2</v>
      </c>
      <c r="R2272">
        <v>0.97328179128501502</v>
      </c>
      <c r="S2272" t="s">
        <v>9078</v>
      </c>
      <c r="T2272" t="s">
        <v>13610</v>
      </c>
      <c r="U2272" t="s">
        <v>13610</v>
      </c>
      <c r="V2272" t="s">
        <v>13610</v>
      </c>
      <c r="W2272" t="s">
        <v>15832</v>
      </c>
      <c r="X2272">
        <v>23</v>
      </c>
      <c r="Y2272" t="s">
        <v>22496</v>
      </c>
      <c r="Z2272" t="s">
        <v>29127</v>
      </c>
      <c r="AA2272">
        <v>0.48370270450039271</v>
      </c>
      <c r="AB2272" t="str">
        <f>HYPERLINK("Melting_Curves/meltCurve_P31153_MAT2A.pdf", "Melting_Curves/meltCurve_P31153_MAT2A.pdf")</f>
        <v>Melting_Curves/meltCurve_P31153_MAT2A.pdf</v>
      </c>
    </row>
    <row r="2273" spans="1:28" x14ac:dyDescent="0.25">
      <c r="A2273" t="s">
        <v>2277</v>
      </c>
      <c r="B2273">
        <v>0.995954080203443</v>
      </c>
      <c r="C2273">
        <v>0.92111313717365495</v>
      </c>
      <c r="D2273">
        <v>0.66716640541999195</v>
      </c>
      <c r="E2273">
        <v>0.494529996347635</v>
      </c>
      <c r="F2273">
        <v>0.32280681212637502</v>
      </c>
      <c r="G2273">
        <v>0.181279351378202</v>
      </c>
      <c r="H2273">
        <v>9.8926726331990206E-2</v>
      </c>
      <c r="I2273">
        <v>9.4699998997066007E-2</v>
      </c>
      <c r="J2273">
        <v>3.8649597979798597E-2</v>
      </c>
      <c r="K2273">
        <v>8.7365715021746407E-2</v>
      </c>
      <c r="L2273">
        <v>654.10506934399302</v>
      </c>
      <c r="M2273">
        <v>13.2858158272022</v>
      </c>
      <c r="N2273">
        <v>49.5752544934656</v>
      </c>
      <c r="O2273">
        <v>48.158025505601699</v>
      </c>
      <c r="P2273">
        <v>-6.5961143793249202E-2</v>
      </c>
      <c r="Q2273">
        <v>4.3779118210455097E-2</v>
      </c>
      <c r="R2273">
        <v>0.99188392950415005</v>
      </c>
      <c r="S2273" t="s">
        <v>9079</v>
      </c>
      <c r="T2273" t="s">
        <v>13610</v>
      </c>
      <c r="U2273" t="s">
        <v>13610</v>
      </c>
      <c r="V2273" t="s">
        <v>13610</v>
      </c>
      <c r="W2273" t="s">
        <v>15833</v>
      </c>
      <c r="X2273">
        <v>8</v>
      </c>
      <c r="Y2273" t="s">
        <v>22497</v>
      </c>
      <c r="Z2273" t="s">
        <v>29128</v>
      </c>
      <c r="AA2273">
        <v>0.36721420551459982</v>
      </c>
      <c r="AB2273" t="str">
        <f>HYPERLINK("Melting_Curves/meltCurve_P31321_PRKAR1B.pdf", "Melting_Curves/meltCurve_P31321_PRKAR1B.pdf")</f>
        <v>Melting_Curves/meltCurve_P31321_PRKAR1B.pdf</v>
      </c>
    </row>
    <row r="2274" spans="1:28" x14ac:dyDescent="0.25">
      <c r="A2274" t="s">
        <v>2278</v>
      </c>
      <c r="B2274">
        <v>0.995954080203443</v>
      </c>
      <c r="C2274">
        <v>0.92922745885023295</v>
      </c>
      <c r="D2274">
        <v>0.85332767246748398</v>
      </c>
      <c r="E2274">
        <v>0.59429472374577497</v>
      </c>
      <c r="F2274">
        <v>0.237075244330474</v>
      </c>
      <c r="G2274">
        <v>0.13246225920276999</v>
      </c>
      <c r="H2274">
        <v>9.6071380693535005E-2</v>
      </c>
      <c r="I2274">
        <v>0.10267554914176499</v>
      </c>
      <c r="J2274">
        <v>0.123878379972489</v>
      </c>
      <c r="K2274">
        <v>0.105646200045665</v>
      </c>
      <c r="L2274">
        <v>1149.6802861953099</v>
      </c>
      <c r="M2274">
        <v>23.022858265385299</v>
      </c>
      <c r="N2274">
        <v>50.3960780869158</v>
      </c>
      <c r="O2274">
        <v>49.564318954303403</v>
      </c>
      <c r="P2274">
        <v>-0.105131803860886</v>
      </c>
      <c r="Q2274">
        <v>9.4693261124758593E-2</v>
      </c>
      <c r="R2274">
        <v>0.992410044344472</v>
      </c>
      <c r="S2274" t="s">
        <v>9080</v>
      </c>
      <c r="T2274" t="s">
        <v>13610</v>
      </c>
      <c r="U2274" t="s">
        <v>13610</v>
      </c>
      <c r="V2274" t="s">
        <v>13610</v>
      </c>
      <c r="W2274" t="s">
        <v>15834</v>
      </c>
      <c r="X2274">
        <v>19</v>
      </c>
      <c r="Y2274" t="s">
        <v>22498</v>
      </c>
      <c r="Z2274" t="s">
        <v>29129</v>
      </c>
      <c r="AA2274">
        <v>0.40408538373489172</v>
      </c>
      <c r="AB2274" t="str">
        <f>HYPERLINK("Melting_Curves/meltCurve_P31323_PRKAR2B.pdf", "Melting_Curves/meltCurve_P31323_PRKAR2B.pdf")</f>
        <v>Melting_Curves/meltCurve_P31323_PRKAR2B.pdf</v>
      </c>
    </row>
    <row r="2275" spans="1:28" x14ac:dyDescent="0.25">
      <c r="A2275" t="s">
        <v>2279</v>
      </c>
      <c r="B2275">
        <v>0.995954080203443</v>
      </c>
      <c r="C2275">
        <v>1.02533004242251</v>
      </c>
      <c r="D2275">
        <v>0.77439950120984402</v>
      </c>
      <c r="E2275">
        <v>0.69526919923762398</v>
      </c>
      <c r="F2275">
        <v>0.39209554284039499</v>
      </c>
      <c r="G2275">
        <v>0.13194790316584501</v>
      </c>
      <c r="H2275">
        <v>0.14187391745781899</v>
      </c>
      <c r="I2275">
        <v>9.1225076102191494E-2</v>
      </c>
      <c r="J2275">
        <v>0.19475365088169599</v>
      </c>
      <c r="K2275">
        <v>0.13238468553589</v>
      </c>
      <c r="L2275">
        <v>973.60529686179302</v>
      </c>
      <c r="M2275">
        <v>19.170978403071398</v>
      </c>
      <c r="N2275">
        <v>51.466968207517297</v>
      </c>
      <c r="O2275">
        <v>50.242451186938197</v>
      </c>
      <c r="P2275">
        <v>-8.4701110459894993E-2</v>
      </c>
      <c r="Q2275">
        <v>0.112110184678226</v>
      </c>
      <c r="R2275">
        <v>0.97254254128005702</v>
      </c>
      <c r="S2275" t="s">
        <v>9081</v>
      </c>
      <c r="T2275" t="s">
        <v>13610</v>
      </c>
      <c r="U2275" t="s">
        <v>13610</v>
      </c>
      <c r="V2275" t="s">
        <v>13610</v>
      </c>
      <c r="W2275" t="s">
        <v>15835</v>
      </c>
      <c r="X2275">
        <v>2</v>
      </c>
      <c r="Y2275" t="s">
        <v>22499</v>
      </c>
      <c r="Z2275" t="s">
        <v>29130</v>
      </c>
      <c r="AA2275">
        <v>0.44466919557680229</v>
      </c>
      <c r="AB2275" t="str">
        <f>HYPERLINK("Melting_Curves/meltCurve_P31327_CPS1.pdf", "Melting_Curves/meltCurve_P31327_CPS1.pdf")</f>
        <v>Melting_Curves/meltCurve_P31327_CPS1.pdf</v>
      </c>
    </row>
    <row r="2276" spans="1:28" x14ac:dyDescent="0.25">
      <c r="A2276" t="s">
        <v>2280</v>
      </c>
      <c r="B2276">
        <v>0.995954080203443</v>
      </c>
      <c r="C2276">
        <v>1.00522065919763</v>
      </c>
      <c r="D2276">
        <v>0.92725743493576596</v>
      </c>
      <c r="E2276">
        <v>0.83967074724603996</v>
      </c>
      <c r="F2276">
        <v>0.70001153192233201</v>
      </c>
      <c r="G2276">
        <v>0.53369982896345802</v>
      </c>
      <c r="H2276">
        <v>0.35658168954414099</v>
      </c>
      <c r="I2276">
        <v>0.352701745039675</v>
      </c>
      <c r="J2276">
        <v>0.30281343031822</v>
      </c>
      <c r="K2276">
        <v>0.197536737889041</v>
      </c>
      <c r="L2276">
        <v>663.05406869437104</v>
      </c>
      <c r="M2276">
        <v>11.897735956037399</v>
      </c>
      <c r="N2276">
        <v>57.746106361392997</v>
      </c>
      <c r="O2276">
        <v>54.2250274159016</v>
      </c>
      <c r="P2276">
        <v>-4.5539934548703302E-2</v>
      </c>
      <c r="Q2276">
        <v>0.1699970489231</v>
      </c>
      <c r="R2276">
        <v>0.992903927904074</v>
      </c>
      <c r="S2276" t="s">
        <v>9082</v>
      </c>
      <c r="T2276" t="s">
        <v>13610</v>
      </c>
      <c r="U2276" t="s">
        <v>13610</v>
      </c>
      <c r="V2276" t="s">
        <v>13610</v>
      </c>
      <c r="W2276" t="s">
        <v>15836</v>
      </c>
      <c r="X2276">
        <v>22</v>
      </c>
      <c r="Y2276" t="s">
        <v>22500</v>
      </c>
      <c r="Z2276" t="s">
        <v>29131</v>
      </c>
      <c r="AA2276">
        <v>0.62289563291810546</v>
      </c>
      <c r="AB2276" t="str">
        <f>HYPERLINK("Melting_Curves/meltCurve_P31350_RRM2.pdf", "Melting_Curves/meltCurve_P31350_RRM2.pdf")</f>
        <v>Melting_Curves/meltCurve_P31350_RRM2.pdf</v>
      </c>
    </row>
    <row r="2277" spans="1:28" x14ac:dyDescent="0.25">
      <c r="A2277" t="s">
        <v>2281</v>
      </c>
      <c r="B2277">
        <v>0.995954080203443</v>
      </c>
      <c r="C2277">
        <v>0.643246844966464</v>
      </c>
      <c r="D2277">
        <v>0.52094762800597905</v>
      </c>
      <c r="E2277">
        <v>0.64451509239446403</v>
      </c>
      <c r="F2277">
        <v>0.30540613727198301</v>
      </c>
      <c r="G2277">
        <v>0.13968518178105299</v>
      </c>
      <c r="H2277">
        <v>7.2775489145796901E-2</v>
      </c>
      <c r="I2277">
        <v>6.2649684952009996E-2</v>
      </c>
      <c r="J2277">
        <v>7.0418833249320606E-2</v>
      </c>
      <c r="K2277">
        <v>6.6257892809532398E-2</v>
      </c>
      <c r="L2277">
        <v>453.14770016913599</v>
      </c>
      <c r="M2277">
        <v>9.3473979141300703</v>
      </c>
      <c r="N2277">
        <v>48.478486405339197</v>
      </c>
      <c r="O2277">
        <v>46.414839402931399</v>
      </c>
      <c r="P2277">
        <v>-5.0378687661721502E-2</v>
      </c>
      <c r="Q2277">
        <v>0</v>
      </c>
      <c r="R2277">
        <v>0.90389062557080502</v>
      </c>
      <c r="S2277" t="s">
        <v>9083</v>
      </c>
      <c r="T2277" t="s">
        <v>13610</v>
      </c>
      <c r="U2277" t="s">
        <v>13610</v>
      </c>
      <c r="V2277" t="s">
        <v>13610</v>
      </c>
      <c r="W2277" t="s">
        <v>15837</v>
      </c>
      <c r="X2277">
        <v>13</v>
      </c>
      <c r="Y2277" t="s">
        <v>22501</v>
      </c>
      <c r="Z2277" t="s">
        <v>29132</v>
      </c>
      <c r="AA2277">
        <v>0.33895502021684948</v>
      </c>
      <c r="AB2277" t="str">
        <f>HYPERLINK("Melting_Curves/meltCurve_P31689_DNAJA1.pdf", "Melting_Curves/meltCurve_P31689_DNAJA1.pdf")</f>
        <v>Melting_Curves/meltCurve_P31689_DNAJA1.pdf</v>
      </c>
    </row>
    <row r="2278" spans="1:28" x14ac:dyDescent="0.25">
      <c r="A2278" t="s">
        <v>2282</v>
      </c>
      <c r="B2278">
        <v>0.995954080203443</v>
      </c>
      <c r="C2278">
        <v>0.97897797592825697</v>
      </c>
      <c r="D2278">
        <v>0.90186983972143497</v>
      </c>
      <c r="E2278">
        <v>0.60842140639197895</v>
      </c>
      <c r="F2278">
        <v>0.27980059120513201</v>
      </c>
      <c r="G2278">
        <v>0.13824774364612399</v>
      </c>
      <c r="H2278">
        <v>9.18545749903599E-2</v>
      </c>
      <c r="I2278">
        <v>8.8614006235289394E-2</v>
      </c>
      <c r="J2278">
        <v>0.118753444145886</v>
      </c>
      <c r="K2278">
        <v>9.7855909980033906E-2</v>
      </c>
      <c r="L2278">
        <v>1275.1767535163699</v>
      </c>
      <c r="M2278">
        <v>25.313604748009201</v>
      </c>
      <c r="N2278">
        <v>50.790447275820597</v>
      </c>
      <c r="O2278">
        <v>50.063928381628401</v>
      </c>
      <c r="P2278">
        <v>-0.114591309026254</v>
      </c>
      <c r="Q2278">
        <v>9.3480775964041099E-2</v>
      </c>
      <c r="R2278">
        <v>0.99856851064970198</v>
      </c>
      <c r="S2278" t="s">
        <v>9084</v>
      </c>
      <c r="T2278" t="s">
        <v>13610</v>
      </c>
      <c r="U2278" t="s">
        <v>13610</v>
      </c>
      <c r="V2278" t="s">
        <v>13610</v>
      </c>
      <c r="W2278" t="s">
        <v>15838</v>
      </c>
      <c r="X2278">
        <v>20</v>
      </c>
      <c r="Y2278" t="s">
        <v>22502</v>
      </c>
      <c r="Z2278" t="s">
        <v>29133</v>
      </c>
      <c r="AA2278">
        <v>0.41492421311767069</v>
      </c>
      <c r="AB2278" t="str">
        <f>HYPERLINK("Melting_Curves/meltCurve_P31749_AKT1.pdf", "Melting_Curves/meltCurve_P31749_AKT1.pdf")</f>
        <v>Melting_Curves/meltCurve_P31749_AKT1.pdf</v>
      </c>
    </row>
    <row r="2279" spans="1:28" x14ac:dyDescent="0.25">
      <c r="A2279" t="s">
        <v>2283</v>
      </c>
      <c r="B2279">
        <v>0.995954080203443</v>
      </c>
      <c r="C2279">
        <v>0.94326354436325499</v>
      </c>
      <c r="D2279">
        <v>0.850994935058627</v>
      </c>
      <c r="E2279">
        <v>0.651239690451061</v>
      </c>
      <c r="F2279">
        <v>0.32468679775917803</v>
      </c>
      <c r="G2279">
        <v>0.101522656345282</v>
      </c>
      <c r="H2279">
        <v>6.7590406611250098E-2</v>
      </c>
      <c r="I2279">
        <v>6.0210751108966801E-2</v>
      </c>
      <c r="J2279">
        <v>6.5635760309407806E-2</v>
      </c>
      <c r="K2279">
        <v>6.7134598680682306E-2</v>
      </c>
      <c r="L2279">
        <v>1040.2752251638101</v>
      </c>
      <c r="M2279">
        <v>20.453071105794098</v>
      </c>
      <c r="N2279">
        <v>51.092564467979599</v>
      </c>
      <c r="O2279">
        <v>50.3828483959905</v>
      </c>
      <c r="P2279">
        <v>-9.7009175376201601E-2</v>
      </c>
      <c r="Q2279">
        <v>4.41625872505155E-2</v>
      </c>
      <c r="R2279">
        <v>0.99444931153556304</v>
      </c>
      <c r="S2279" t="s">
        <v>9085</v>
      </c>
      <c r="T2279" t="s">
        <v>13610</v>
      </c>
      <c r="U2279" t="s">
        <v>13610</v>
      </c>
      <c r="V2279" t="s">
        <v>13610</v>
      </c>
      <c r="W2279" t="s">
        <v>15839</v>
      </c>
      <c r="X2279">
        <v>16</v>
      </c>
      <c r="Y2279" t="s">
        <v>22503</v>
      </c>
      <c r="Z2279" t="s">
        <v>29134</v>
      </c>
      <c r="AA2279">
        <v>0.40294876772116373</v>
      </c>
      <c r="AB2279" t="str">
        <f>HYPERLINK("Melting_Curves/meltCurve_P31751_AKT2.pdf", "Melting_Curves/meltCurve_P31751_AKT2.pdf")</f>
        <v>Melting_Curves/meltCurve_P31751_AKT2.pdf</v>
      </c>
    </row>
    <row r="2280" spans="1:28" x14ac:dyDescent="0.25">
      <c r="A2280" t="s">
        <v>2284</v>
      </c>
      <c r="B2280">
        <v>0.995954080203443</v>
      </c>
      <c r="C2280">
        <v>0.68929661852405599</v>
      </c>
      <c r="D2280">
        <v>0.90628129347919895</v>
      </c>
      <c r="E2280">
        <v>0.60397473038113103</v>
      </c>
      <c r="F2280">
        <v>0.57210138416877998</v>
      </c>
      <c r="G2280">
        <v>0.326857021983463</v>
      </c>
      <c r="H2280">
        <v>0.246082089602017</v>
      </c>
      <c r="I2280">
        <v>0.32686745450367999</v>
      </c>
      <c r="J2280">
        <v>0.30142473468967101</v>
      </c>
      <c r="K2280">
        <v>0.24940573028431401</v>
      </c>
      <c r="L2280">
        <v>490.77804888349402</v>
      </c>
      <c r="M2280">
        <v>9.7025635264665002</v>
      </c>
      <c r="N2280">
        <v>53.276541388955998</v>
      </c>
      <c r="O2280">
        <v>48.573842879291099</v>
      </c>
      <c r="P2280">
        <v>-4.02768148510197E-2</v>
      </c>
      <c r="Q2280">
        <v>0.193890398203169</v>
      </c>
      <c r="R2280">
        <v>0.89258023742299197</v>
      </c>
      <c r="S2280" t="s">
        <v>9086</v>
      </c>
      <c r="T2280" t="s">
        <v>13610</v>
      </c>
      <c r="U2280" t="s">
        <v>13610</v>
      </c>
      <c r="V2280" t="s">
        <v>13610</v>
      </c>
      <c r="W2280" t="s">
        <v>15840</v>
      </c>
      <c r="X2280">
        <v>5</v>
      </c>
      <c r="Y2280" t="s">
        <v>22504</v>
      </c>
      <c r="Z2280" t="s">
        <v>29135</v>
      </c>
      <c r="AA2280">
        <v>0.51434429562929351</v>
      </c>
      <c r="AB2280" t="str">
        <f>HYPERLINK("Melting_Curves/meltCurve_P31930_UQCRC1.pdf", "Melting_Curves/meltCurve_P31930_UQCRC1.pdf")</f>
        <v>Melting_Curves/meltCurve_P31930_UQCRC1.pdf</v>
      </c>
    </row>
    <row r="2281" spans="1:28" x14ac:dyDescent="0.25">
      <c r="A2281" t="s">
        <v>2285</v>
      </c>
      <c r="B2281">
        <v>0.995954080203443</v>
      </c>
      <c r="C2281">
        <v>0.99261310008408399</v>
      </c>
      <c r="D2281">
        <v>0.90286773264973996</v>
      </c>
      <c r="E2281">
        <v>0.89146178317886904</v>
      </c>
      <c r="F2281">
        <v>0.74157303833630295</v>
      </c>
      <c r="G2281">
        <v>0.60491276801153004</v>
      </c>
      <c r="H2281">
        <v>0.38669526683969502</v>
      </c>
      <c r="I2281">
        <v>0.106204730798462</v>
      </c>
      <c r="J2281">
        <v>6.2598117466797998E-2</v>
      </c>
      <c r="K2281">
        <v>6.2808097010117803E-2</v>
      </c>
      <c r="L2281">
        <v>857.99009421643302</v>
      </c>
      <c r="M2281">
        <v>14.8555812420958</v>
      </c>
      <c r="N2281">
        <v>57.755403991567199</v>
      </c>
      <c r="O2281">
        <v>56.739154749530599</v>
      </c>
      <c r="P2281">
        <v>-6.5462480403628495E-2</v>
      </c>
      <c r="Q2281">
        <v>0</v>
      </c>
      <c r="R2281">
        <v>0.98036803084985102</v>
      </c>
      <c r="S2281" t="s">
        <v>9087</v>
      </c>
      <c r="T2281" t="s">
        <v>13610</v>
      </c>
      <c r="U2281" t="s">
        <v>13610</v>
      </c>
      <c r="V2281" t="s">
        <v>13610</v>
      </c>
      <c r="W2281" t="s">
        <v>15841</v>
      </c>
      <c r="X2281">
        <v>10</v>
      </c>
      <c r="Y2281" t="s">
        <v>22505</v>
      </c>
      <c r="Z2281" t="s">
        <v>29136</v>
      </c>
      <c r="AA2281">
        <v>0.60594754708161502</v>
      </c>
      <c r="AB2281" t="str">
        <f>HYPERLINK("Melting_Curves/meltCurve_P31937_HIBADH.pdf", "Melting_Curves/meltCurve_P31937_HIBADH.pdf")</f>
        <v>Melting_Curves/meltCurve_P31937_HIBADH.pdf</v>
      </c>
    </row>
    <row r="2282" spans="1:28" x14ac:dyDescent="0.25">
      <c r="A2282" t="s">
        <v>2286</v>
      </c>
      <c r="B2282">
        <v>0.995954080203443</v>
      </c>
      <c r="C2282">
        <v>1.02999454627</v>
      </c>
      <c r="D2282">
        <v>0.99557470546128801</v>
      </c>
      <c r="E2282">
        <v>0.70491152760957698</v>
      </c>
      <c r="F2282">
        <v>0.234605626806141</v>
      </c>
      <c r="G2282">
        <v>0.103785320646558</v>
      </c>
      <c r="H2282">
        <v>6.2667877897345098E-2</v>
      </c>
      <c r="I2282">
        <v>5.3428899830802401E-2</v>
      </c>
      <c r="J2282">
        <v>5.9630504223718898E-2</v>
      </c>
      <c r="K2282">
        <v>5.3116440286446798E-2</v>
      </c>
      <c r="L2282">
        <v>1977.3617500171999</v>
      </c>
      <c r="M2282">
        <v>38.770427577330103</v>
      </c>
      <c r="N2282">
        <v>51.177395789183201</v>
      </c>
      <c r="O2282">
        <v>50.866683448441798</v>
      </c>
      <c r="P2282">
        <v>-0.178682695997121</v>
      </c>
      <c r="Q2282">
        <v>6.2277590061354603E-2</v>
      </c>
      <c r="R2282">
        <v>0.99892730152831899</v>
      </c>
      <c r="S2282" t="s">
        <v>9088</v>
      </c>
      <c r="T2282" t="s">
        <v>13610</v>
      </c>
      <c r="U2282" t="s">
        <v>13610</v>
      </c>
      <c r="V2282" t="s">
        <v>13610</v>
      </c>
      <c r="W2282" t="s">
        <v>15842</v>
      </c>
      <c r="X2282">
        <v>43</v>
      </c>
      <c r="Y2282" t="s">
        <v>22506</v>
      </c>
      <c r="Z2282" t="s">
        <v>29137</v>
      </c>
      <c r="AA2282">
        <v>0.40968573316047391</v>
      </c>
      <c r="AB2282" t="str">
        <f>HYPERLINK("Melting_Curves/meltCurve_P31939_ATIC.pdf", "Melting_Curves/meltCurve_P31939_ATIC.pdf")</f>
        <v>Melting_Curves/meltCurve_P31939_ATIC.pdf</v>
      </c>
    </row>
    <row r="2283" spans="1:28" x14ac:dyDescent="0.25">
      <c r="A2283" t="s">
        <v>2287</v>
      </c>
      <c r="B2283">
        <v>0.995954080203443</v>
      </c>
      <c r="C2283">
        <v>0.96359362469861098</v>
      </c>
      <c r="D2283">
        <v>1.0528176184732401</v>
      </c>
      <c r="E2283">
        <v>0.73081244527154499</v>
      </c>
      <c r="F2283">
        <v>0.42842145519792202</v>
      </c>
      <c r="G2283">
        <v>0.20806486627095799</v>
      </c>
      <c r="H2283">
        <v>0.160187323684928</v>
      </c>
      <c r="I2283">
        <v>0.173312729478517</v>
      </c>
      <c r="J2283">
        <v>0.211031154422617</v>
      </c>
      <c r="K2283">
        <v>0.19336478451424599</v>
      </c>
      <c r="L2283">
        <v>1606.4044578888099</v>
      </c>
      <c r="M2283">
        <v>31.274566077763399</v>
      </c>
      <c r="N2283">
        <v>52.120842526166903</v>
      </c>
      <c r="O2283">
        <v>51.155925939927101</v>
      </c>
      <c r="P2283">
        <v>-0.12496281713534101</v>
      </c>
      <c r="Q2283">
        <v>0.182395904148827</v>
      </c>
      <c r="R2283">
        <v>0.99267843221899499</v>
      </c>
      <c r="S2283" t="s">
        <v>9089</v>
      </c>
      <c r="T2283" t="s">
        <v>13610</v>
      </c>
      <c r="U2283" t="s">
        <v>13610</v>
      </c>
      <c r="V2283" t="s">
        <v>13610</v>
      </c>
      <c r="W2283" t="s">
        <v>15843</v>
      </c>
      <c r="X2283">
        <v>9</v>
      </c>
      <c r="Y2283" t="s">
        <v>22507</v>
      </c>
      <c r="Z2283" t="s">
        <v>29138</v>
      </c>
      <c r="AA2283">
        <v>0.49687839210215029</v>
      </c>
      <c r="AB2283" t="str">
        <f>HYPERLINK("Melting_Curves/meltCurve_P31942_2_HNRNPH3.pdf", "Melting_Curves/meltCurve_P31942_2_HNRNPH3.pdf")</f>
        <v>Melting_Curves/meltCurve_P31942_2_HNRNPH3.pdf</v>
      </c>
    </row>
    <row r="2284" spans="1:28" x14ac:dyDescent="0.25">
      <c r="A2284" t="s">
        <v>2288</v>
      </c>
      <c r="B2284">
        <v>0.995954080203443</v>
      </c>
      <c r="C2284">
        <v>0.95472592802673395</v>
      </c>
      <c r="D2284">
        <v>0.89514344516515598</v>
      </c>
      <c r="E2284">
        <v>0.72759596073403199</v>
      </c>
      <c r="F2284">
        <v>0.50457939110350103</v>
      </c>
      <c r="G2284">
        <v>0.224798643199797</v>
      </c>
      <c r="H2284">
        <v>0.149723931902359</v>
      </c>
      <c r="I2284">
        <v>0.15452629838579399</v>
      </c>
      <c r="J2284">
        <v>0.17635913789570101</v>
      </c>
      <c r="K2284">
        <v>0.16541329892640799</v>
      </c>
      <c r="L2284">
        <v>1027.3038365697801</v>
      </c>
      <c r="M2284">
        <v>19.8251778081381</v>
      </c>
      <c r="N2284">
        <v>52.686546419151</v>
      </c>
      <c r="O2284">
        <v>51.299553136829502</v>
      </c>
      <c r="P2284">
        <v>-8.3151913762942703E-2</v>
      </c>
      <c r="Q2284">
        <v>0.13937472607951201</v>
      </c>
      <c r="R2284">
        <v>0.99413946200564596</v>
      </c>
      <c r="S2284" t="s">
        <v>9090</v>
      </c>
      <c r="T2284" t="s">
        <v>13610</v>
      </c>
      <c r="U2284" t="s">
        <v>13610</v>
      </c>
      <c r="V2284" t="s">
        <v>13610</v>
      </c>
      <c r="W2284" t="s">
        <v>15844</v>
      </c>
      <c r="X2284">
        <v>14</v>
      </c>
      <c r="Y2284" t="s">
        <v>22508</v>
      </c>
      <c r="Z2284" t="s">
        <v>29139</v>
      </c>
      <c r="AA2284">
        <v>0.49051641776120802</v>
      </c>
      <c r="AB2284" t="str">
        <f>HYPERLINK("Melting_Curves/meltCurve_P31943_HNRNPH1.pdf", "Melting_Curves/meltCurve_P31943_HNRNPH1.pdf")</f>
        <v>Melting_Curves/meltCurve_P31943_HNRNPH1.pdf</v>
      </c>
    </row>
    <row r="2285" spans="1:28" x14ac:dyDescent="0.25">
      <c r="A2285" t="s">
        <v>2289</v>
      </c>
      <c r="B2285">
        <v>0.995954080203443</v>
      </c>
      <c r="C2285">
        <v>1.01383723578035</v>
      </c>
      <c r="D2285">
        <v>1.05553776417843</v>
      </c>
      <c r="E2285">
        <v>1.0351008855622199</v>
      </c>
      <c r="F2285">
        <v>0.92345593769951495</v>
      </c>
      <c r="G2285">
        <v>0.40593575914692098</v>
      </c>
      <c r="H2285">
        <v>0.120488971610341</v>
      </c>
      <c r="I2285">
        <v>9.4628983153208099E-2</v>
      </c>
      <c r="J2285">
        <v>0.10709816520776599</v>
      </c>
      <c r="K2285">
        <v>9.4634185344326396E-2</v>
      </c>
      <c r="L2285">
        <v>2387.7429715788599</v>
      </c>
      <c r="M2285">
        <v>42.551021301690099</v>
      </c>
      <c r="N2285">
        <v>56.396777000526498</v>
      </c>
      <c r="O2285">
        <v>55.991312989864497</v>
      </c>
      <c r="P2285">
        <v>-0.17178681470103499</v>
      </c>
      <c r="Q2285">
        <v>9.5809949323293203E-2</v>
      </c>
      <c r="R2285">
        <v>0.99722104196486405</v>
      </c>
      <c r="S2285" t="s">
        <v>9091</v>
      </c>
      <c r="T2285" t="s">
        <v>13610</v>
      </c>
      <c r="U2285" t="s">
        <v>13610</v>
      </c>
      <c r="V2285" t="s">
        <v>13610</v>
      </c>
      <c r="W2285" t="s">
        <v>15845</v>
      </c>
      <c r="X2285">
        <v>16</v>
      </c>
      <c r="Y2285" t="s">
        <v>22509</v>
      </c>
      <c r="Z2285" t="s">
        <v>29140</v>
      </c>
      <c r="AA2285">
        <v>0.58458806755686865</v>
      </c>
      <c r="AB2285" t="str">
        <f>HYPERLINK("Melting_Curves/meltCurve_P31946_2_YWHAB.pdf", "Melting_Curves/meltCurve_P31946_2_YWHAB.pdf")</f>
        <v>Melting_Curves/meltCurve_P31946_2_YWHAB.pdf</v>
      </c>
    </row>
    <row r="2286" spans="1:28" x14ac:dyDescent="0.25">
      <c r="A2286" t="s">
        <v>2290</v>
      </c>
      <c r="B2286">
        <v>0.995954080203443</v>
      </c>
      <c r="C2286">
        <v>0.86831699654700301</v>
      </c>
      <c r="D2286">
        <v>1.20088910169536</v>
      </c>
      <c r="E2286">
        <v>0.70687974003239196</v>
      </c>
      <c r="F2286">
        <v>0.95968521981628196</v>
      </c>
      <c r="G2286">
        <v>0.64733782647923199</v>
      </c>
      <c r="H2286">
        <v>0.27318940729485203</v>
      </c>
      <c r="I2286">
        <v>0.15663718243198299</v>
      </c>
      <c r="J2286">
        <v>0.105947540394163</v>
      </c>
      <c r="K2286">
        <v>9.0726901718447606E-2</v>
      </c>
      <c r="L2286">
        <v>1215.65218115267</v>
      </c>
      <c r="M2286">
        <v>20.920251760702602</v>
      </c>
      <c r="N2286">
        <v>58.381157002248798</v>
      </c>
      <c r="O2286">
        <v>57.585729439049402</v>
      </c>
      <c r="P2286">
        <v>-8.6603230716753493E-2</v>
      </c>
      <c r="Q2286">
        <v>4.6479094754898698E-2</v>
      </c>
      <c r="R2286">
        <v>0.91218621219034202</v>
      </c>
      <c r="S2286" t="s">
        <v>9092</v>
      </c>
      <c r="T2286" t="s">
        <v>13610</v>
      </c>
      <c r="U2286" t="s">
        <v>13610</v>
      </c>
      <c r="V2286" t="s">
        <v>13610</v>
      </c>
      <c r="W2286" t="s">
        <v>15846</v>
      </c>
      <c r="X2286">
        <v>12</v>
      </c>
      <c r="Y2286" t="s">
        <v>22510</v>
      </c>
      <c r="Z2286" t="s">
        <v>29141</v>
      </c>
      <c r="AA2286">
        <v>0.6322821075748648</v>
      </c>
      <c r="AB2286" t="str">
        <f>HYPERLINK("Melting_Curves/meltCurve_P31947_2_SFN.pdf", "Melting_Curves/meltCurve_P31947_2_SFN.pdf")</f>
        <v>Melting_Curves/meltCurve_P31947_2_SFN.pdf</v>
      </c>
    </row>
    <row r="2287" spans="1:28" x14ac:dyDescent="0.25">
      <c r="A2287" t="s">
        <v>2291</v>
      </c>
      <c r="B2287">
        <v>0.995954080203443</v>
      </c>
      <c r="C2287">
        <v>0.93368765694693301</v>
      </c>
      <c r="D2287">
        <v>0.95292070751844105</v>
      </c>
      <c r="E2287">
        <v>0.89907609874990901</v>
      </c>
      <c r="F2287">
        <v>0.64656819603341997</v>
      </c>
      <c r="G2287">
        <v>0.450576769608593</v>
      </c>
      <c r="H2287">
        <v>0.32302059250638998</v>
      </c>
      <c r="I2287">
        <v>0.32546004548500601</v>
      </c>
      <c r="J2287">
        <v>0.409028749871855</v>
      </c>
      <c r="K2287">
        <v>0.36312668049292901</v>
      </c>
      <c r="L2287">
        <v>1453.0634662249299</v>
      </c>
      <c r="M2287">
        <v>27.539537519428499</v>
      </c>
      <c r="N2287">
        <v>55.229641858277098</v>
      </c>
      <c r="O2287">
        <v>52.486963107826497</v>
      </c>
      <c r="P2287">
        <v>-8.4756881167064396E-2</v>
      </c>
      <c r="Q2287">
        <v>0.35386130141583699</v>
      </c>
      <c r="R2287">
        <v>0.98305695049730402</v>
      </c>
      <c r="S2287" t="s">
        <v>9093</v>
      </c>
      <c r="T2287" t="s">
        <v>13610</v>
      </c>
      <c r="U2287" t="s">
        <v>13610</v>
      </c>
      <c r="V2287" t="s">
        <v>13610</v>
      </c>
      <c r="W2287" t="s">
        <v>15847</v>
      </c>
      <c r="X2287">
        <v>67</v>
      </c>
      <c r="Y2287" t="s">
        <v>22511</v>
      </c>
      <c r="Z2287" t="s">
        <v>29142</v>
      </c>
      <c r="AA2287">
        <v>0.63368116912439221</v>
      </c>
      <c r="AB2287" t="str">
        <f>HYPERLINK("Melting_Curves/meltCurve_P31948_STIP1.pdf", "Melting_Curves/meltCurve_P31948_STIP1.pdf")</f>
        <v>Melting_Curves/meltCurve_P31948_STIP1.pdf</v>
      </c>
    </row>
    <row r="2288" spans="1:28" x14ac:dyDescent="0.25">
      <c r="A2288" t="s">
        <v>2292</v>
      </c>
      <c r="B2288">
        <v>0.995954080203443</v>
      </c>
      <c r="C2288">
        <v>0.93933895642097198</v>
      </c>
      <c r="D2288">
        <v>1.08270699743962</v>
      </c>
      <c r="E2288">
        <v>0.882241772804089</v>
      </c>
      <c r="F2288">
        <v>1.09920515675511</v>
      </c>
      <c r="G2288">
        <v>0.82969004278438596</v>
      </c>
      <c r="H2288">
        <v>0.81353078565534298</v>
      </c>
      <c r="I2288">
        <v>0.68693194021995896</v>
      </c>
      <c r="J2288">
        <v>0.76982592730715405</v>
      </c>
      <c r="K2288">
        <v>0.43119356026741501</v>
      </c>
      <c r="L2288">
        <v>704.26403514955098</v>
      </c>
      <c r="M2288">
        <v>10.003765387680399</v>
      </c>
      <c r="O2288">
        <v>67.7601673935213</v>
      </c>
      <c r="P2288">
        <v>-3.6926648019117998E-2</v>
      </c>
      <c r="Q2288">
        <v>0</v>
      </c>
      <c r="R2288">
        <v>0.78458521489680999</v>
      </c>
      <c r="S2288" t="s">
        <v>9094</v>
      </c>
      <c r="T2288" t="s">
        <v>13610</v>
      </c>
      <c r="U2288" t="s">
        <v>13610</v>
      </c>
      <c r="V2288" t="s">
        <v>13610</v>
      </c>
      <c r="W2288" t="s">
        <v>15848</v>
      </c>
      <c r="X2288">
        <v>6</v>
      </c>
      <c r="Y2288" t="s">
        <v>22512</v>
      </c>
      <c r="Z2288" t="s">
        <v>29143</v>
      </c>
      <c r="AA2288">
        <v>0.87348952754555964</v>
      </c>
      <c r="AB2288" t="str">
        <f>HYPERLINK("Melting_Curves/meltCurve_P31949_S100A11.pdf", "Melting_Curves/meltCurve_P31949_S100A11.pdf")</f>
        <v>Melting_Curves/meltCurve_P31949_S100A11.pdf</v>
      </c>
    </row>
    <row r="2289" spans="1:28" x14ac:dyDescent="0.25">
      <c r="A2289" t="s">
        <v>2293</v>
      </c>
      <c r="B2289">
        <v>0.995954080203443</v>
      </c>
      <c r="C2289">
        <v>0.98213113568337596</v>
      </c>
      <c r="D2289">
        <v>0.88111507150700297</v>
      </c>
      <c r="E2289">
        <v>0.41010000528801399</v>
      </c>
      <c r="F2289">
        <v>0.156739722907347</v>
      </c>
      <c r="G2289">
        <v>9.2534718338593294E-2</v>
      </c>
      <c r="H2289">
        <v>6.9080088148182395E-2</v>
      </c>
      <c r="I2289">
        <v>6.7665981696531E-2</v>
      </c>
      <c r="J2289">
        <v>8.5348803577924098E-2</v>
      </c>
      <c r="K2289">
        <v>7.4707744218741795E-2</v>
      </c>
      <c r="L2289">
        <v>1447.17261242325</v>
      </c>
      <c r="M2289">
        <v>29.522326032233099</v>
      </c>
      <c r="N2289">
        <v>49.283813091627202</v>
      </c>
      <c r="O2289">
        <v>48.796308751861197</v>
      </c>
      <c r="P2289">
        <v>-0.14018369355344501</v>
      </c>
      <c r="Q2289">
        <v>7.3189181553285895E-2</v>
      </c>
      <c r="R2289">
        <v>0.99976197297712099</v>
      </c>
      <c r="S2289" t="s">
        <v>9095</v>
      </c>
      <c r="T2289" t="s">
        <v>13610</v>
      </c>
      <c r="U2289" t="s">
        <v>13610</v>
      </c>
      <c r="V2289" t="s">
        <v>13610</v>
      </c>
      <c r="W2289" t="s">
        <v>15849</v>
      </c>
      <c r="X2289">
        <v>24</v>
      </c>
      <c r="Y2289" t="s">
        <v>22513</v>
      </c>
      <c r="Z2289" t="s">
        <v>29144</v>
      </c>
      <c r="AA2289">
        <v>0.35767325442612358</v>
      </c>
      <c r="AB2289" t="str">
        <f>HYPERLINK("Melting_Curves/meltCurve_P32019_2_INPP5B.pdf", "Melting_Curves/meltCurve_P32019_2_INPP5B.pdf")</f>
        <v>Melting_Curves/meltCurve_P32019_2_INPP5B.pdf</v>
      </c>
    </row>
    <row r="2290" spans="1:28" x14ac:dyDescent="0.25">
      <c r="A2290" t="s">
        <v>2294</v>
      </c>
      <c r="B2290">
        <v>0.995954080203443</v>
      </c>
      <c r="C2290">
        <v>0.91870646375082798</v>
      </c>
      <c r="D2290">
        <v>1.0149053832674999</v>
      </c>
      <c r="E2290">
        <v>0.92069048107682006</v>
      </c>
      <c r="F2290">
        <v>0.63716679693054301</v>
      </c>
      <c r="G2290">
        <v>0.25839963703351798</v>
      </c>
      <c r="H2290">
        <v>0.13266523206547901</v>
      </c>
      <c r="I2290">
        <v>9.1022256187697007E-2</v>
      </c>
      <c r="J2290">
        <v>8.4498182986292594E-2</v>
      </c>
      <c r="K2290">
        <v>6.6821319610089899E-2</v>
      </c>
      <c r="L2290">
        <v>1462.03524837906</v>
      </c>
      <c r="M2290">
        <v>27.098099072128001</v>
      </c>
      <c r="N2290">
        <v>54.299089313943398</v>
      </c>
      <c r="O2290">
        <v>53.6621660355014</v>
      </c>
      <c r="P2290">
        <v>-0.116243686592163</v>
      </c>
      <c r="Q2290">
        <v>7.9222955109451404E-2</v>
      </c>
      <c r="R2290">
        <v>0.995048130277711</v>
      </c>
      <c r="S2290" t="s">
        <v>9096</v>
      </c>
      <c r="T2290" t="s">
        <v>13610</v>
      </c>
      <c r="U2290" t="s">
        <v>13610</v>
      </c>
      <c r="V2290" t="s">
        <v>13610</v>
      </c>
      <c r="W2290" t="s">
        <v>15850</v>
      </c>
      <c r="X2290">
        <v>17</v>
      </c>
      <c r="Y2290" t="s">
        <v>22514</v>
      </c>
      <c r="Z2290" t="s">
        <v>29145</v>
      </c>
      <c r="AA2290">
        <v>0.51482769720729704</v>
      </c>
      <c r="AB2290" t="str">
        <f>HYPERLINK("Melting_Curves/meltCurve_P32119_PRDX2.pdf", "Melting_Curves/meltCurve_P32119_PRDX2.pdf")</f>
        <v>Melting_Curves/meltCurve_P32119_PRDX2.pdf</v>
      </c>
    </row>
    <row r="2291" spans="1:28" x14ac:dyDescent="0.25">
      <c r="A2291" t="s">
        <v>2295</v>
      </c>
      <c r="B2291">
        <v>0.995954080203443</v>
      </c>
      <c r="C2291">
        <v>0.984259202497487</v>
      </c>
      <c r="D2291">
        <v>0.86723416984664903</v>
      </c>
      <c r="E2291">
        <v>0.59224431877248696</v>
      </c>
      <c r="F2291">
        <v>0.19992022870943699</v>
      </c>
      <c r="G2291">
        <v>0.109222890413502</v>
      </c>
      <c r="H2291">
        <v>6.8964812783939705E-2</v>
      </c>
      <c r="I2291">
        <v>5.5044537697077997E-2</v>
      </c>
      <c r="J2291">
        <v>5.8069909354711298E-2</v>
      </c>
      <c r="K2291">
        <v>6.1787324677330099E-2</v>
      </c>
      <c r="L2291">
        <v>1288.7525070301199</v>
      </c>
      <c r="M2291">
        <v>25.686499102272101</v>
      </c>
      <c r="N2291">
        <v>50.400843323234902</v>
      </c>
      <c r="O2291">
        <v>49.871236173334601</v>
      </c>
      <c r="P2291">
        <v>-0.12168943625463401</v>
      </c>
      <c r="Q2291">
        <v>5.4954195151241898E-2</v>
      </c>
      <c r="R2291">
        <v>0.99561881179128797</v>
      </c>
      <c r="S2291" t="s">
        <v>9097</v>
      </c>
      <c r="T2291" t="s">
        <v>13610</v>
      </c>
      <c r="U2291" t="s">
        <v>13610</v>
      </c>
      <c r="V2291" t="s">
        <v>13610</v>
      </c>
      <c r="W2291" t="s">
        <v>15851</v>
      </c>
      <c r="X2291">
        <v>9</v>
      </c>
      <c r="Y2291" t="s">
        <v>22515</v>
      </c>
      <c r="Z2291" t="s">
        <v>29146</v>
      </c>
      <c r="AA2291">
        <v>0.38341353586457622</v>
      </c>
      <c r="AB2291" t="str">
        <f>HYPERLINK("Melting_Curves/meltCurve_P32121_5_ARRB2.pdf", "Melting_Curves/meltCurve_P32121_5_ARRB2.pdf")</f>
        <v>Melting_Curves/meltCurve_P32121_5_ARRB2.pdf</v>
      </c>
    </row>
    <row r="2292" spans="1:28" x14ac:dyDescent="0.25">
      <c r="A2292" t="s">
        <v>2296</v>
      </c>
      <c r="B2292">
        <v>0.995954080203443</v>
      </c>
      <c r="C2292">
        <v>0.68920950153731897</v>
      </c>
      <c r="D2292">
        <v>0.77134774594811994</v>
      </c>
      <c r="E2292">
        <v>0.64553023651498098</v>
      </c>
      <c r="F2292">
        <v>0.60644262628172096</v>
      </c>
      <c r="G2292">
        <v>0.49157293529912199</v>
      </c>
      <c r="H2292">
        <v>0.41115324451989799</v>
      </c>
      <c r="I2292">
        <v>0.58015001710828196</v>
      </c>
      <c r="J2292">
        <v>0.58433119064088102</v>
      </c>
      <c r="K2292">
        <v>0.55001431612015705</v>
      </c>
      <c r="L2292">
        <v>572.59922342019695</v>
      </c>
      <c r="M2292">
        <v>12.8689773811153</v>
      </c>
      <c r="O2292">
        <v>43.461218376480502</v>
      </c>
      <c r="P2292">
        <v>-3.5316800756619901E-2</v>
      </c>
      <c r="Q2292">
        <v>0.52299896017415703</v>
      </c>
      <c r="R2292">
        <v>0.76966567886838899</v>
      </c>
      <c r="S2292" t="s">
        <v>9098</v>
      </c>
      <c r="T2292" t="s">
        <v>13610</v>
      </c>
      <c r="U2292" t="s">
        <v>13610</v>
      </c>
      <c r="V2292" t="s">
        <v>13610</v>
      </c>
      <c r="W2292" t="s">
        <v>15852</v>
      </c>
      <c r="X2292">
        <v>2</v>
      </c>
      <c r="Y2292" t="s">
        <v>22516</v>
      </c>
      <c r="Z2292" t="s">
        <v>29147</v>
      </c>
      <c r="AA2292">
        <v>0.61649691663468487</v>
      </c>
      <c r="AB2292" t="str">
        <f>HYPERLINK("Melting_Curves/meltCurve_P32314_2_FOXN2.pdf", "Melting_Curves/meltCurve_P32314_2_FOXN2.pdf")</f>
        <v>Melting_Curves/meltCurve_P32314_2_FOXN2.pdf</v>
      </c>
    </row>
    <row r="2293" spans="1:28" x14ac:dyDescent="0.25">
      <c r="A2293" t="s">
        <v>2297</v>
      </c>
      <c r="B2293">
        <v>0.995954080203443</v>
      </c>
      <c r="C2293">
        <v>1.0235248489761399</v>
      </c>
      <c r="D2293">
        <v>0.96099699033068398</v>
      </c>
      <c r="E2293">
        <v>0.93492138252576595</v>
      </c>
      <c r="F2293">
        <v>0.79086531591693898</v>
      </c>
      <c r="G2293">
        <v>0.56277825707360896</v>
      </c>
      <c r="H2293">
        <v>0.33360760256077598</v>
      </c>
      <c r="I2293">
        <v>0.177276418819413</v>
      </c>
      <c r="J2293">
        <v>0.113684738752652</v>
      </c>
      <c r="K2293">
        <v>9.2815249909313002E-2</v>
      </c>
      <c r="L2293">
        <v>897.93915114232402</v>
      </c>
      <c r="M2293">
        <v>15.548042461711301</v>
      </c>
      <c r="N2293">
        <v>57.900026669095602</v>
      </c>
      <c r="O2293">
        <v>56.822488521979402</v>
      </c>
      <c r="P2293">
        <v>-6.7084069494838097E-2</v>
      </c>
      <c r="Q2293">
        <v>1.9413723872831801E-2</v>
      </c>
      <c r="R2293">
        <v>0.99814856676288399</v>
      </c>
      <c r="S2293" t="s">
        <v>9099</v>
      </c>
      <c r="T2293" t="s">
        <v>13610</v>
      </c>
      <c r="U2293" t="s">
        <v>13610</v>
      </c>
      <c r="V2293" t="s">
        <v>13610</v>
      </c>
      <c r="W2293" t="s">
        <v>15853</v>
      </c>
      <c r="X2293">
        <v>14</v>
      </c>
      <c r="Y2293" t="s">
        <v>22517</v>
      </c>
      <c r="Z2293" t="s">
        <v>29148</v>
      </c>
      <c r="AA2293">
        <v>0.61330622917058575</v>
      </c>
      <c r="AB2293" t="str">
        <f>HYPERLINK("Melting_Curves/meltCurve_P32321_DCTD.pdf", "Melting_Curves/meltCurve_P32321_DCTD.pdf")</f>
        <v>Melting_Curves/meltCurve_P32321_DCTD.pdf</v>
      </c>
    </row>
    <row r="2294" spans="1:28" x14ac:dyDescent="0.25">
      <c r="A2294" t="s">
        <v>2298</v>
      </c>
      <c r="B2294">
        <v>0.995954080203443</v>
      </c>
      <c r="C2294">
        <v>0.80749658733632601</v>
      </c>
      <c r="D2294">
        <v>0.64399421435582205</v>
      </c>
      <c r="E2294">
        <v>0.76916353359643197</v>
      </c>
      <c r="F2294">
        <v>0.54003632476579699</v>
      </c>
      <c r="G2294">
        <v>0.39934011097786598</v>
      </c>
      <c r="H2294">
        <v>0.20144217049991001</v>
      </c>
      <c r="I2294">
        <v>0.14112882963866</v>
      </c>
      <c r="J2294">
        <v>0.11384138613013101</v>
      </c>
      <c r="K2294">
        <v>0.108605483143686</v>
      </c>
      <c r="L2294">
        <v>454.98705523197901</v>
      </c>
      <c r="M2294">
        <v>8.5623588810217299</v>
      </c>
      <c r="N2294">
        <v>53.138049396292303</v>
      </c>
      <c r="O2294">
        <v>50.477636481725803</v>
      </c>
      <c r="P2294">
        <v>-4.2443870776527198E-2</v>
      </c>
      <c r="Q2294">
        <v>0</v>
      </c>
      <c r="R2294">
        <v>0.93966577978073096</v>
      </c>
      <c r="S2294" t="s">
        <v>9100</v>
      </c>
      <c r="T2294" t="s">
        <v>13610</v>
      </c>
      <c r="U2294" t="s">
        <v>13610</v>
      </c>
      <c r="V2294" t="s">
        <v>13610</v>
      </c>
      <c r="W2294" t="s">
        <v>15854</v>
      </c>
      <c r="X2294">
        <v>15</v>
      </c>
      <c r="Y2294" t="s">
        <v>22518</v>
      </c>
      <c r="Z2294" t="s">
        <v>29149</v>
      </c>
      <c r="AA2294">
        <v>0.47598295746554009</v>
      </c>
      <c r="AB2294" t="str">
        <f>HYPERLINK("Melting_Curves/meltCurve_P32322_PYCR1.pdf", "Melting_Curves/meltCurve_P32322_PYCR1.pdf")</f>
        <v>Melting_Curves/meltCurve_P32322_PYCR1.pdf</v>
      </c>
    </row>
    <row r="2295" spans="1:28" x14ac:dyDescent="0.25">
      <c r="A2295" t="s">
        <v>2299</v>
      </c>
      <c r="B2295">
        <v>0.995954080203443</v>
      </c>
      <c r="C2295">
        <v>0.89925404920556196</v>
      </c>
      <c r="D2295">
        <v>1.0550232315195101</v>
      </c>
      <c r="E2295">
        <v>0.46609755760906202</v>
      </c>
      <c r="F2295">
        <v>0.28262061956742701</v>
      </c>
      <c r="G2295">
        <v>0.16647952939043301</v>
      </c>
      <c r="H2295">
        <v>0.12160557499282799</v>
      </c>
      <c r="I2295">
        <v>0.126832646027326</v>
      </c>
      <c r="J2295">
        <v>0.13007205725174101</v>
      </c>
      <c r="K2295">
        <v>0.132490505018594</v>
      </c>
      <c r="L2295">
        <v>1978.31711075362</v>
      </c>
      <c r="M2295">
        <v>39.900713344196497</v>
      </c>
      <c r="N2295">
        <v>50.0112077372738</v>
      </c>
      <c r="O2295">
        <v>49.456951378667299</v>
      </c>
      <c r="P2295">
        <v>-0.17239537981901701</v>
      </c>
      <c r="Q2295">
        <v>0.14526530693982201</v>
      </c>
      <c r="R2295">
        <v>0.98055769977226903</v>
      </c>
      <c r="S2295" t="s">
        <v>9101</v>
      </c>
      <c r="T2295" t="s">
        <v>13610</v>
      </c>
      <c r="U2295" t="s">
        <v>13610</v>
      </c>
      <c r="V2295" t="s">
        <v>13610</v>
      </c>
      <c r="W2295" t="s">
        <v>15855</v>
      </c>
      <c r="X2295">
        <v>8</v>
      </c>
      <c r="Y2295" t="s">
        <v>22519</v>
      </c>
      <c r="Z2295" t="s">
        <v>29150</v>
      </c>
      <c r="AA2295">
        <v>0.42118476564090251</v>
      </c>
      <c r="AB2295" t="str">
        <f>HYPERLINK("Melting_Curves/meltCurve_P32456_GBP2.pdf", "Melting_Curves/meltCurve_P32456_GBP2.pdf")</f>
        <v>Melting_Curves/meltCurve_P32456_GBP2.pdf</v>
      </c>
    </row>
    <row r="2296" spans="1:28" x14ac:dyDescent="0.25">
      <c r="A2296" t="s">
        <v>2300</v>
      </c>
      <c r="B2296">
        <v>0.995954080203443</v>
      </c>
      <c r="C2296">
        <v>0.95075563595202595</v>
      </c>
      <c r="D2296">
        <v>1.0959732177277799</v>
      </c>
      <c r="E2296">
        <v>0.81703106708260897</v>
      </c>
      <c r="F2296">
        <v>0.90382876337412799</v>
      </c>
      <c r="G2296">
        <v>0.74325781468934604</v>
      </c>
      <c r="H2296">
        <v>0.70037812186702098</v>
      </c>
      <c r="I2296">
        <v>0.88571461308689603</v>
      </c>
      <c r="J2296">
        <v>0.98217404658076002</v>
      </c>
      <c r="K2296">
        <v>1.0348208821046501</v>
      </c>
      <c r="L2296">
        <v>11996.3896399354</v>
      </c>
      <c r="M2296">
        <v>250</v>
      </c>
      <c r="O2296">
        <v>47.982487854959601</v>
      </c>
      <c r="P2296">
        <v>-0.17357457286921299</v>
      </c>
      <c r="Q2296">
        <v>0.86674336294847898</v>
      </c>
      <c r="R2296">
        <v>0.30990741231813002</v>
      </c>
      <c r="S2296" t="s">
        <v>9102</v>
      </c>
      <c r="T2296" t="s">
        <v>13610</v>
      </c>
      <c r="U2296" t="s">
        <v>13610</v>
      </c>
      <c r="V2296" t="s">
        <v>13610</v>
      </c>
      <c r="W2296" t="s">
        <v>15856</v>
      </c>
      <c r="X2296">
        <v>15</v>
      </c>
      <c r="Y2296" t="s">
        <v>22520</v>
      </c>
      <c r="Z2296" t="s">
        <v>29151</v>
      </c>
      <c r="AA2296">
        <v>0.9022255409656843</v>
      </c>
      <c r="AB2296" t="str">
        <f>HYPERLINK("Melting_Curves/meltCurve_P32519_2_ELF1.pdf", "Melting_Curves/meltCurve_P32519_2_ELF1.pdf")</f>
        <v>Melting_Curves/meltCurve_P32519_2_ELF1.pdf</v>
      </c>
    </row>
    <row r="2297" spans="1:28" x14ac:dyDescent="0.25">
      <c r="A2297" t="s">
        <v>2301</v>
      </c>
      <c r="B2297">
        <v>0.995954080203443</v>
      </c>
      <c r="C2297">
        <v>0.895133367138643</v>
      </c>
      <c r="D2297">
        <v>0.678740822473475</v>
      </c>
      <c r="E2297">
        <v>0.37935397342064497</v>
      </c>
      <c r="F2297">
        <v>0.23064638418752301</v>
      </c>
      <c r="G2297">
        <v>0.138536556600769</v>
      </c>
      <c r="H2297">
        <v>0.10850981582191099</v>
      </c>
      <c r="I2297">
        <v>0.13762198290923</v>
      </c>
      <c r="J2297">
        <v>0.139415323705469</v>
      </c>
      <c r="K2297">
        <v>0.14707709921504999</v>
      </c>
      <c r="L2297">
        <v>905.86714067874095</v>
      </c>
      <c r="M2297">
        <v>19.093991882754899</v>
      </c>
      <c r="N2297">
        <v>48.165999147498198</v>
      </c>
      <c r="O2297">
        <v>46.931315008052799</v>
      </c>
      <c r="P2297">
        <v>-8.9035773040648206E-2</v>
      </c>
      <c r="Q2297">
        <v>0.124666277982788</v>
      </c>
      <c r="R2297">
        <v>0.997544127946002</v>
      </c>
      <c r="S2297" t="s">
        <v>9103</v>
      </c>
      <c r="T2297" t="s">
        <v>13610</v>
      </c>
      <c r="U2297" t="s">
        <v>13610</v>
      </c>
      <c r="V2297" t="s">
        <v>13610</v>
      </c>
      <c r="W2297" t="s">
        <v>15857</v>
      </c>
      <c r="X2297">
        <v>16</v>
      </c>
      <c r="Y2297" t="s">
        <v>22521</v>
      </c>
      <c r="Z2297" t="s">
        <v>29152</v>
      </c>
      <c r="AA2297">
        <v>0.35577160695153448</v>
      </c>
      <c r="AB2297" t="str">
        <f>HYPERLINK("Melting_Curves/meltCurve_P32780_GTF2H1.pdf", "Melting_Curves/meltCurve_P32780_GTF2H1.pdf")</f>
        <v>Melting_Curves/meltCurve_P32780_GTF2H1.pdf</v>
      </c>
    </row>
    <row r="2298" spans="1:28" x14ac:dyDescent="0.25">
      <c r="A2298" t="s">
        <v>2302</v>
      </c>
      <c r="B2298">
        <v>0.995954080203443</v>
      </c>
      <c r="C2298">
        <v>0.941888416522079</v>
      </c>
      <c r="D2298">
        <v>0.82346557599224601</v>
      </c>
      <c r="E2298">
        <v>0.82961497590664701</v>
      </c>
      <c r="F2298">
        <v>0.64072847058314597</v>
      </c>
      <c r="G2298">
        <v>0.501871180029271</v>
      </c>
      <c r="H2298">
        <v>0.383742323803062</v>
      </c>
      <c r="I2298">
        <v>0.43120907736236103</v>
      </c>
      <c r="J2298">
        <v>0.43658815888800401</v>
      </c>
      <c r="K2298">
        <v>0.46811742249864302</v>
      </c>
      <c r="L2298">
        <v>708.51345868421402</v>
      </c>
      <c r="M2298">
        <v>13.808773292439801</v>
      </c>
      <c r="N2298">
        <v>58.053982017241701</v>
      </c>
      <c r="O2298">
        <v>50.268768594230302</v>
      </c>
      <c r="P2298">
        <v>-4.1245372972350799E-2</v>
      </c>
      <c r="Q2298">
        <v>0.39949321684538203</v>
      </c>
      <c r="R2298">
        <v>0.95637342021350202</v>
      </c>
      <c r="S2298" t="s">
        <v>9104</v>
      </c>
      <c r="T2298" t="s">
        <v>13610</v>
      </c>
      <c r="U2298" t="s">
        <v>13610</v>
      </c>
      <c r="V2298" t="s">
        <v>13610</v>
      </c>
      <c r="W2298" t="s">
        <v>15858</v>
      </c>
      <c r="X2298">
        <v>22</v>
      </c>
      <c r="Y2298" t="s">
        <v>22522</v>
      </c>
      <c r="Z2298" t="s">
        <v>29153</v>
      </c>
      <c r="AA2298">
        <v>0.64151458063479416</v>
      </c>
      <c r="AB2298" t="str">
        <f>HYPERLINK("Melting_Curves/meltCurve_P32929_CTH.pdf", "Melting_Curves/meltCurve_P32929_CTH.pdf")</f>
        <v>Melting_Curves/meltCurve_P32929_CTH.pdf</v>
      </c>
    </row>
    <row r="2299" spans="1:28" x14ac:dyDescent="0.25">
      <c r="A2299" t="s">
        <v>2303</v>
      </c>
      <c r="B2299">
        <v>0.995954080203443</v>
      </c>
      <c r="C2299">
        <v>0.75741231457259095</v>
      </c>
      <c r="D2299">
        <v>0.52458529498576301</v>
      </c>
      <c r="E2299">
        <v>0.419097926942957</v>
      </c>
      <c r="F2299">
        <v>0.225382267606176</v>
      </c>
      <c r="G2299">
        <v>0.115054977357477</v>
      </c>
      <c r="H2299">
        <v>8.0429584913115207E-2</v>
      </c>
      <c r="I2299">
        <v>6.2843027055456205E-2</v>
      </c>
      <c r="J2299">
        <v>0.106326240201501</v>
      </c>
      <c r="K2299">
        <v>8.0136231279937797E-2</v>
      </c>
      <c r="L2299">
        <v>621.80685597769798</v>
      </c>
      <c r="M2299">
        <v>13.2748049569822</v>
      </c>
      <c r="N2299">
        <v>47.2939207558628</v>
      </c>
      <c r="O2299">
        <v>45.816461142785201</v>
      </c>
      <c r="P2299">
        <v>-6.8123346512930394E-2</v>
      </c>
      <c r="Q2299">
        <v>5.9674036665918702E-2</v>
      </c>
      <c r="R2299">
        <v>0.97952896421532298</v>
      </c>
      <c r="S2299" t="s">
        <v>9105</v>
      </c>
      <c r="T2299" t="s">
        <v>13610</v>
      </c>
      <c r="U2299" t="s">
        <v>13610</v>
      </c>
      <c r="V2299" t="s">
        <v>13610</v>
      </c>
      <c r="W2299" t="s">
        <v>15859</v>
      </c>
      <c r="X2299">
        <v>10</v>
      </c>
      <c r="Y2299" t="s">
        <v>22523</v>
      </c>
      <c r="Z2299" t="s">
        <v>29154</v>
      </c>
      <c r="AA2299">
        <v>0.30710095398357329</v>
      </c>
      <c r="AB2299" t="str">
        <f>HYPERLINK("Melting_Curves/meltCurve_P33121_2_ACSL1.pdf", "Melting_Curves/meltCurve_P33121_2_ACSL1.pdf")</f>
        <v>Melting_Curves/meltCurve_P33121_2_ACSL1.pdf</v>
      </c>
    </row>
    <row r="2300" spans="1:28" x14ac:dyDescent="0.25">
      <c r="A2300" t="s">
        <v>2304</v>
      </c>
      <c r="B2300">
        <v>0.995954080203443</v>
      </c>
      <c r="C2300">
        <v>0.86827189822520201</v>
      </c>
      <c r="D2300">
        <v>0.75511596844339501</v>
      </c>
      <c r="E2300">
        <v>0.60136199984382699</v>
      </c>
      <c r="F2300">
        <v>0.160170201525421</v>
      </c>
      <c r="G2300">
        <v>9.6263331713848405E-2</v>
      </c>
      <c r="H2300">
        <v>5.8312783167781601E-2</v>
      </c>
      <c r="I2300">
        <v>5.2750031257162801E-2</v>
      </c>
      <c r="J2300">
        <v>5.8018850823009699E-2</v>
      </c>
      <c r="K2300">
        <v>5.3649406086672798E-2</v>
      </c>
      <c r="L2300">
        <v>855.46247144716494</v>
      </c>
      <c r="M2300">
        <v>17.270220984707901</v>
      </c>
      <c r="N2300">
        <v>49.691799456661201</v>
      </c>
      <c r="O2300">
        <v>48.884158085061003</v>
      </c>
      <c r="P2300">
        <v>-8.5969963843503805E-2</v>
      </c>
      <c r="Q2300">
        <v>2.6689201384701999E-2</v>
      </c>
      <c r="R2300">
        <v>0.97421367874658105</v>
      </c>
      <c r="S2300" t="s">
        <v>9106</v>
      </c>
      <c r="T2300" t="s">
        <v>13610</v>
      </c>
      <c r="U2300" t="s">
        <v>13610</v>
      </c>
      <c r="V2300" t="s">
        <v>13610</v>
      </c>
      <c r="W2300" t="s">
        <v>15860</v>
      </c>
      <c r="X2300">
        <v>59</v>
      </c>
      <c r="Y2300" t="s">
        <v>22524</v>
      </c>
      <c r="Z2300" t="s">
        <v>29155</v>
      </c>
      <c r="AA2300">
        <v>0.35410424235285132</v>
      </c>
      <c r="AB2300" t="str">
        <f>HYPERLINK("Melting_Curves/meltCurve_P33176_KIF5B.pdf", "Melting_Curves/meltCurve_P33176_KIF5B.pdf")</f>
        <v>Melting_Curves/meltCurve_P33176_KIF5B.pdf</v>
      </c>
    </row>
    <row r="2301" spans="1:28" x14ac:dyDescent="0.25">
      <c r="A2301" t="s">
        <v>2305</v>
      </c>
      <c r="B2301">
        <v>0.995954080203443</v>
      </c>
      <c r="C2301">
        <v>0.92478100291770005</v>
      </c>
      <c r="D2301">
        <v>0.88597263329441001</v>
      </c>
      <c r="E2301">
        <v>0.81939519441656705</v>
      </c>
      <c r="F2301">
        <v>0.80673125606998397</v>
      </c>
      <c r="G2301">
        <v>0.60710487713229699</v>
      </c>
      <c r="H2301">
        <v>0.569564717477265</v>
      </c>
      <c r="I2301">
        <v>0.645977060367947</v>
      </c>
      <c r="J2301">
        <v>0.85832400531736297</v>
      </c>
      <c r="K2301">
        <v>0.70683876506995502</v>
      </c>
      <c r="L2301">
        <v>752.73783879286202</v>
      </c>
      <c r="M2301">
        <v>15.6603971559899</v>
      </c>
      <c r="O2301">
        <v>47.303009741877403</v>
      </c>
      <c r="P2301">
        <v>-2.6296526372409201E-2</v>
      </c>
      <c r="Q2301">
        <v>0.68230707532370904</v>
      </c>
      <c r="R2301">
        <v>0.65653799147820902</v>
      </c>
      <c r="S2301" t="s">
        <v>9107</v>
      </c>
      <c r="T2301" t="s">
        <v>13610</v>
      </c>
      <c r="U2301" t="s">
        <v>13610</v>
      </c>
      <c r="V2301" t="s">
        <v>13610</v>
      </c>
      <c r="W2301" t="s">
        <v>15861</v>
      </c>
      <c r="X2301">
        <v>25</v>
      </c>
      <c r="Y2301" t="s">
        <v>22525</v>
      </c>
      <c r="Z2301" t="s">
        <v>29156</v>
      </c>
      <c r="AA2301">
        <v>0.77520822013880486</v>
      </c>
      <c r="AB2301" t="str">
        <f>HYPERLINK("Melting_Curves/meltCurve_P33240_2_CSTF2.pdf", "Melting_Curves/meltCurve_P33240_2_CSTF2.pdf")</f>
        <v>Melting_Curves/meltCurve_P33240_2_CSTF2.pdf</v>
      </c>
    </row>
    <row r="2302" spans="1:28" x14ac:dyDescent="0.25">
      <c r="A2302" t="s">
        <v>2306</v>
      </c>
      <c r="B2302">
        <v>0.995954080203443</v>
      </c>
      <c r="C2302">
        <v>0.97221109620022295</v>
      </c>
      <c r="D2302">
        <v>1.02730773035364</v>
      </c>
      <c r="E2302">
        <v>0.78044627440570002</v>
      </c>
      <c r="F2302">
        <v>0.52813494337503497</v>
      </c>
      <c r="G2302">
        <v>0.22017137567085801</v>
      </c>
      <c r="H2302">
        <v>0.167693539423971</v>
      </c>
      <c r="I2302">
        <v>0.18513549226523801</v>
      </c>
      <c r="J2302">
        <v>0.265084087177687</v>
      </c>
      <c r="K2302">
        <v>0.25808556960818302</v>
      </c>
      <c r="L2302">
        <v>1566.65705525095</v>
      </c>
      <c r="M2302">
        <v>30.152978844316099</v>
      </c>
      <c r="N2302">
        <v>52.915131946301599</v>
      </c>
      <c r="O2302">
        <v>51.730041057656301</v>
      </c>
      <c r="P2302">
        <v>-0.11506815805687901</v>
      </c>
      <c r="Q2302">
        <v>0.210367619538919</v>
      </c>
      <c r="R2302">
        <v>0.98732353356138602</v>
      </c>
      <c r="S2302" t="s">
        <v>9108</v>
      </c>
      <c r="T2302" t="s">
        <v>13610</v>
      </c>
      <c r="U2302" t="s">
        <v>13610</v>
      </c>
      <c r="V2302" t="s">
        <v>13610</v>
      </c>
      <c r="W2302" t="s">
        <v>15862</v>
      </c>
      <c r="X2302">
        <v>12</v>
      </c>
      <c r="Y2302" t="s">
        <v>22526</v>
      </c>
      <c r="Z2302" t="s">
        <v>29157</v>
      </c>
      <c r="AA2302">
        <v>0.53007886137274685</v>
      </c>
      <c r="AB2302" t="str">
        <f>HYPERLINK("Melting_Curves/meltCurve_P33316_DUT.pdf", "Melting_Curves/meltCurve_P33316_DUT.pdf")</f>
        <v>Melting_Curves/meltCurve_P33316_DUT.pdf</v>
      </c>
    </row>
    <row r="2303" spans="1:28" x14ac:dyDescent="0.25">
      <c r="A2303" t="s">
        <v>2307</v>
      </c>
      <c r="B2303">
        <v>0.995954080203443</v>
      </c>
      <c r="C2303">
        <v>1.10528972172912</v>
      </c>
      <c r="D2303">
        <v>1.1406268038646501</v>
      </c>
      <c r="E2303">
        <v>0.84440180385617503</v>
      </c>
      <c r="F2303">
        <v>0.53872739352559795</v>
      </c>
      <c r="G2303">
        <v>0.29221831644632901</v>
      </c>
      <c r="H2303">
        <v>0.20144367239824601</v>
      </c>
      <c r="I2303">
        <v>0.203276289973777</v>
      </c>
      <c r="J2303">
        <v>0.27509222822184198</v>
      </c>
      <c r="K2303">
        <v>0.27110449645163398</v>
      </c>
      <c r="L2303">
        <v>1810.18963709944</v>
      </c>
      <c r="M2303">
        <v>34.6319855662477</v>
      </c>
      <c r="N2303">
        <v>53.271826674811898</v>
      </c>
      <c r="O2303">
        <v>52.095940881006698</v>
      </c>
      <c r="P2303">
        <v>-0.12640217649212901</v>
      </c>
      <c r="Q2303">
        <v>0.239429565621542</v>
      </c>
      <c r="R2303">
        <v>0.97178188368385199</v>
      </c>
      <c r="S2303" t="s">
        <v>9109</v>
      </c>
      <c r="T2303" t="s">
        <v>13610</v>
      </c>
      <c r="U2303" t="s">
        <v>13610</v>
      </c>
      <c r="V2303" t="s">
        <v>13610</v>
      </c>
      <c r="W2303" t="s">
        <v>15863</v>
      </c>
      <c r="X2303">
        <v>12</v>
      </c>
      <c r="Y2303" t="s">
        <v>22526</v>
      </c>
      <c r="Z2303" t="s">
        <v>29158</v>
      </c>
      <c r="AA2303">
        <v>0.55415196194335758</v>
      </c>
      <c r="AB2303" t="str">
        <f>HYPERLINK("Melting_Curves/meltCurve_P33316_2_DUT.pdf", "Melting_Curves/meltCurve_P33316_2_DUT.pdf")</f>
        <v>Melting_Curves/meltCurve_P33316_2_DUT.pdf</v>
      </c>
    </row>
    <row r="2304" spans="1:28" x14ac:dyDescent="0.25">
      <c r="A2304" t="s">
        <v>2308</v>
      </c>
      <c r="B2304">
        <v>0.995954080203443</v>
      </c>
      <c r="C2304">
        <v>0.88430676987914103</v>
      </c>
      <c r="D2304">
        <v>0.91720720865979799</v>
      </c>
      <c r="E2304">
        <v>0.62519362110851495</v>
      </c>
      <c r="F2304">
        <v>0.391585794560595</v>
      </c>
      <c r="G2304">
        <v>0.24317502975671099</v>
      </c>
      <c r="H2304">
        <v>0.19054879323590099</v>
      </c>
      <c r="I2304">
        <v>0.209973465629994</v>
      </c>
      <c r="J2304">
        <v>0.27682186470140302</v>
      </c>
      <c r="K2304">
        <v>0.237130783329669</v>
      </c>
      <c r="L2304">
        <v>1129.0804021031199</v>
      </c>
      <c r="M2304">
        <v>22.5601545632381</v>
      </c>
      <c r="N2304">
        <v>51.358557217720197</v>
      </c>
      <c r="O2304">
        <v>49.659291370525999</v>
      </c>
      <c r="P2304">
        <v>-8.8715413354874303E-2</v>
      </c>
      <c r="Q2304">
        <v>0.21889621248847799</v>
      </c>
      <c r="R2304">
        <v>0.98367733038806404</v>
      </c>
      <c r="S2304" t="s">
        <v>9110</v>
      </c>
      <c r="T2304" t="s">
        <v>13610</v>
      </c>
      <c r="U2304" t="s">
        <v>13610</v>
      </c>
      <c r="V2304" t="s">
        <v>13610</v>
      </c>
      <c r="W2304" t="s">
        <v>15864</v>
      </c>
      <c r="X2304">
        <v>3</v>
      </c>
      <c r="Y2304" t="s">
        <v>22527</v>
      </c>
      <c r="Z2304" t="s">
        <v>29159</v>
      </c>
      <c r="AA2304">
        <v>0.48907858916278563</v>
      </c>
      <c r="AB2304" t="str">
        <f>HYPERLINK("Melting_Curves/meltCurve_P33552_CKS2.pdf", "Melting_Curves/meltCurve_P33552_CKS2.pdf")</f>
        <v>Melting_Curves/meltCurve_P33552_CKS2.pdf</v>
      </c>
    </row>
    <row r="2305" spans="1:28" x14ac:dyDescent="0.25">
      <c r="A2305" t="s">
        <v>2309</v>
      </c>
      <c r="B2305">
        <v>0.995954080203443</v>
      </c>
      <c r="C2305">
        <v>0.98427282230705204</v>
      </c>
      <c r="D2305">
        <v>0.89280293129134103</v>
      </c>
      <c r="E2305">
        <v>0.65326872646608902</v>
      </c>
      <c r="F2305">
        <v>0.40944248127598099</v>
      </c>
      <c r="G2305">
        <v>0.26110155654884998</v>
      </c>
      <c r="H2305">
        <v>0.22915084129382399</v>
      </c>
      <c r="I2305">
        <v>0.228378229882857</v>
      </c>
      <c r="J2305">
        <v>0.24217704836625201</v>
      </c>
      <c r="K2305">
        <v>0.269787419930966</v>
      </c>
      <c r="L2305">
        <v>1150.08569857723</v>
      </c>
      <c r="M2305">
        <v>22.895784781763101</v>
      </c>
      <c r="N2305">
        <v>51.648192828712197</v>
      </c>
      <c r="O2305">
        <v>49.852845810123</v>
      </c>
      <c r="P2305">
        <v>-8.8043527078805597E-2</v>
      </c>
      <c r="Q2305">
        <v>0.23319740520184301</v>
      </c>
      <c r="R2305">
        <v>0.99702857631348396</v>
      </c>
      <c r="S2305" t="s">
        <v>9111</v>
      </c>
      <c r="T2305" t="s">
        <v>13610</v>
      </c>
      <c r="U2305" t="s">
        <v>13610</v>
      </c>
      <c r="V2305" t="s">
        <v>13610</v>
      </c>
      <c r="W2305" t="s">
        <v>15865</v>
      </c>
      <c r="X2305">
        <v>11</v>
      </c>
      <c r="Y2305" t="s">
        <v>22528</v>
      </c>
      <c r="Z2305" t="s">
        <v>29160</v>
      </c>
      <c r="AA2305">
        <v>0.50289553037270474</v>
      </c>
      <c r="AB2305" t="str">
        <f>HYPERLINK("Melting_Curves/meltCurve_P33981_2_TTK.pdf", "Melting_Curves/meltCurve_P33981_2_TTK.pdf")</f>
        <v>Melting_Curves/meltCurve_P33981_2_TTK.pdf</v>
      </c>
    </row>
    <row r="2306" spans="1:28" x14ac:dyDescent="0.25">
      <c r="A2306" t="s">
        <v>2310</v>
      </c>
      <c r="B2306">
        <v>0.995954080203443</v>
      </c>
      <c r="C2306">
        <v>0.71044740907217196</v>
      </c>
      <c r="D2306">
        <v>0.49295739277730599</v>
      </c>
      <c r="E2306">
        <v>0.27062538360337701</v>
      </c>
      <c r="F2306">
        <v>0.134716929427007</v>
      </c>
      <c r="G2306">
        <v>8.4140886561005407E-2</v>
      </c>
      <c r="H2306">
        <v>5.8839286739319901E-2</v>
      </c>
      <c r="I2306">
        <v>5.3652866263559397E-2</v>
      </c>
      <c r="J2306">
        <v>5.7448109234890597E-2</v>
      </c>
      <c r="K2306">
        <v>5.37480443337294E-2</v>
      </c>
      <c r="L2306">
        <v>749.21350836788702</v>
      </c>
      <c r="M2306">
        <v>16.391408518792499</v>
      </c>
      <c r="N2306">
        <v>46.006524726214103</v>
      </c>
      <c r="O2306">
        <v>45.043650342587803</v>
      </c>
      <c r="P2306">
        <v>-8.6387248734240404E-2</v>
      </c>
      <c r="Q2306">
        <v>5.0498265760718801E-2</v>
      </c>
      <c r="R2306">
        <v>0.99015598345023603</v>
      </c>
      <c r="S2306" t="s">
        <v>9112</v>
      </c>
      <c r="T2306" t="s">
        <v>13610</v>
      </c>
      <c r="U2306" t="s">
        <v>13610</v>
      </c>
      <c r="V2306" t="s">
        <v>13610</v>
      </c>
      <c r="W2306" t="s">
        <v>15866</v>
      </c>
      <c r="X2306">
        <v>47</v>
      </c>
      <c r="Y2306" t="s">
        <v>22529</v>
      </c>
      <c r="Z2306" t="s">
        <v>29161</v>
      </c>
      <c r="AA2306">
        <v>0.25465135517881199</v>
      </c>
      <c r="AB2306" t="str">
        <f>HYPERLINK("Melting_Curves/meltCurve_P33991_MCM4.pdf", "Melting_Curves/meltCurve_P33991_MCM4.pdf")</f>
        <v>Melting_Curves/meltCurve_P33991_MCM4.pdf</v>
      </c>
    </row>
    <row r="2307" spans="1:28" x14ac:dyDescent="0.25">
      <c r="A2307" t="s">
        <v>2311</v>
      </c>
      <c r="B2307">
        <v>0.995954080203443</v>
      </c>
      <c r="C2307">
        <v>0.78320071571698302</v>
      </c>
      <c r="D2307">
        <v>0.57436429815565404</v>
      </c>
      <c r="E2307">
        <v>0.428639679314333</v>
      </c>
      <c r="F2307">
        <v>0.185620894531108</v>
      </c>
      <c r="G2307">
        <v>0.100590146641406</v>
      </c>
      <c r="H2307">
        <v>6.3088023593954101E-2</v>
      </c>
      <c r="I2307">
        <v>5.36069890160824E-2</v>
      </c>
      <c r="J2307">
        <v>6.1332418736902303E-2</v>
      </c>
      <c r="K2307">
        <v>5.4307380278190202E-2</v>
      </c>
      <c r="L2307">
        <v>645.32857436173094</v>
      </c>
      <c r="M2307">
        <v>13.605546515608999</v>
      </c>
      <c r="N2307">
        <v>47.649113154476503</v>
      </c>
      <c r="O2307">
        <v>46.441809294854799</v>
      </c>
      <c r="P2307">
        <v>-7.1042134440305299E-2</v>
      </c>
      <c r="Q2307">
        <v>3.01493866460638E-2</v>
      </c>
      <c r="R2307">
        <v>0.98622227014777997</v>
      </c>
      <c r="S2307" t="s">
        <v>9113</v>
      </c>
      <c r="T2307" t="s">
        <v>13610</v>
      </c>
      <c r="U2307" t="s">
        <v>13610</v>
      </c>
      <c r="V2307" t="s">
        <v>13610</v>
      </c>
      <c r="W2307" t="s">
        <v>15867</v>
      </c>
      <c r="X2307">
        <v>43</v>
      </c>
      <c r="Y2307" t="s">
        <v>22530</v>
      </c>
      <c r="Z2307" t="s">
        <v>29162</v>
      </c>
      <c r="AA2307">
        <v>0.30157226674763371</v>
      </c>
      <c r="AB2307" t="str">
        <f>HYPERLINK("Melting_Curves/meltCurve_P33992_MCM5.pdf", "Melting_Curves/meltCurve_P33992_MCM5.pdf")</f>
        <v>Melting_Curves/meltCurve_P33992_MCM5.pdf</v>
      </c>
    </row>
    <row r="2308" spans="1:28" x14ac:dyDescent="0.25">
      <c r="A2308" t="s">
        <v>2312</v>
      </c>
      <c r="B2308">
        <v>0.995954080203443</v>
      </c>
      <c r="C2308">
        <v>0.63496953573007497</v>
      </c>
      <c r="D2308">
        <v>0.33012802016022402</v>
      </c>
      <c r="E2308">
        <v>0.20773417763667601</v>
      </c>
      <c r="F2308">
        <v>0.111814319525964</v>
      </c>
      <c r="G2308">
        <v>6.1469710901815799E-2</v>
      </c>
      <c r="H2308">
        <v>4.1802807717956303E-2</v>
      </c>
      <c r="I2308">
        <v>3.6451175372293802E-2</v>
      </c>
      <c r="J2308">
        <v>3.99854420270703E-2</v>
      </c>
      <c r="K2308">
        <v>3.7626480173409999E-2</v>
      </c>
      <c r="L2308">
        <v>911.49742146133099</v>
      </c>
      <c r="M2308">
        <v>20.5885175148941</v>
      </c>
      <c r="N2308">
        <v>44.521054867559002</v>
      </c>
      <c r="O2308">
        <v>43.860810036436497</v>
      </c>
      <c r="P2308">
        <v>-0.11097454469651701</v>
      </c>
      <c r="Q2308">
        <v>5.4367718875438398E-2</v>
      </c>
      <c r="R2308">
        <v>0.98148201532368196</v>
      </c>
      <c r="S2308" t="s">
        <v>9114</v>
      </c>
      <c r="T2308" t="s">
        <v>13610</v>
      </c>
      <c r="U2308" t="s">
        <v>13610</v>
      </c>
      <c r="V2308" t="s">
        <v>13610</v>
      </c>
      <c r="W2308" t="s">
        <v>15868</v>
      </c>
      <c r="X2308">
        <v>35</v>
      </c>
      <c r="Y2308" t="s">
        <v>22531</v>
      </c>
      <c r="Z2308" t="s">
        <v>29163</v>
      </c>
      <c r="AA2308">
        <v>0.205493912022603</v>
      </c>
      <c r="AB2308" t="str">
        <f>HYPERLINK("Melting_Curves/meltCurve_P33993_MCM7.pdf", "Melting_Curves/meltCurve_P33993_MCM7.pdf")</f>
        <v>Melting_Curves/meltCurve_P33993_MCM7.pdf</v>
      </c>
    </row>
    <row r="2309" spans="1:28" x14ac:dyDescent="0.25">
      <c r="A2309" t="s">
        <v>2313</v>
      </c>
      <c r="B2309">
        <v>0.995954080203443</v>
      </c>
      <c r="C2309">
        <v>0.90120214492183304</v>
      </c>
      <c r="D2309">
        <v>0.95395072687370497</v>
      </c>
      <c r="E2309">
        <v>0.81624334473231097</v>
      </c>
      <c r="F2309">
        <v>0.797490871827781</v>
      </c>
      <c r="G2309">
        <v>0.64688435731960003</v>
      </c>
      <c r="H2309">
        <v>0.53173984362705995</v>
      </c>
      <c r="I2309">
        <v>0.63071946225533404</v>
      </c>
      <c r="J2309">
        <v>0.571140513681343</v>
      </c>
      <c r="K2309">
        <v>0.615582471539729</v>
      </c>
      <c r="L2309">
        <v>696.81789857158105</v>
      </c>
      <c r="M2309">
        <v>13.472364986094499</v>
      </c>
      <c r="O2309">
        <v>50.622338728900203</v>
      </c>
      <c r="P2309">
        <v>-2.9030695729886501E-2</v>
      </c>
      <c r="Q2309">
        <v>0.56373633535489698</v>
      </c>
      <c r="R2309">
        <v>0.92682674948027599</v>
      </c>
      <c r="S2309" t="s">
        <v>9115</v>
      </c>
      <c r="T2309" t="s">
        <v>13610</v>
      </c>
      <c r="U2309" t="s">
        <v>13610</v>
      </c>
      <c r="V2309" t="s">
        <v>13610</v>
      </c>
      <c r="W2309" t="s">
        <v>15869</v>
      </c>
      <c r="X2309">
        <v>13</v>
      </c>
      <c r="Y2309" t="s">
        <v>22532</v>
      </c>
      <c r="Z2309" t="s">
        <v>29164</v>
      </c>
      <c r="AA2309">
        <v>0.74577784366944688</v>
      </c>
      <c r="AB2309" t="str">
        <f>HYPERLINK("Melting_Curves/meltCurve_P34059_GALNS.pdf", "Melting_Curves/meltCurve_P34059_GALNS.pdf")</f>
        <v>Melting_Curves/meltCurve_P34059_GALNS.pdf</v>
      </c>
    </row>
    <row r="2310" spans="1:28" x14ac:dyDescent="0.25">
      <c r="A2310" t="s">
        <v>2314</v>
      </c>
      <c r="B2310">
        <v>0.995954080203443</v>
      </c>
      <c r="C2310">
        <v>0.91772700079802505</v>
      </c>
      <c r="D2310">
        <v>0.81943854172777297</v>
      </c>
      <c r="E2310">
        <v>0.86644108579063905</v>
      </c>
      <c r="F2310">
        <v>0.65166337037967503</v>
      </c>
      <c r="G2310">
        <v>0.45735254378671802</v>
      </c>
      <c r="H2310">
        <v>0.246096637353303</v>
      </c>
      <c r="I2310">
        <v>0.147013870747496</v>
      </c>
      <c r="J2310">
        <v>0.113668869125631</v>
      </c>
      <c r="K2310">
        <v>9.9009697677526598E-2</v>
      </c>
      <c r="L2310">
        <v>661.91766757921403</v>
      </c>
      <c r="M2310">
        <v>11.868353813619301</v>
      </c>
      <c r="N2310">
        <v>55.7716638368586</v>
      </c>
      <c r="O2310">
        <v>54.258969973307003</v>
      </c>
      <c r="P2310">
        <v>-5.4697586890319103E-2</v>
      </c>
      <c r="Q2310">
        <v>0</v>
      </c>
      <c r="R2310">
        <v>0.98189484523135095</v>
      </c>
      <c r="S2310" t="s">
        <v>9116</v>
      </c>
      <c r="T2310" t="s">
        <v>13610</v>
      </c>
      <c r="U2310" t="s">
        <v>13610</v>
      </c>
      <c r="V2310" t="s">
        <v>13610</v>
      </c>
      <c r="W2310" t="s">
        <v>15870</v>
      </c>
      <c r="X2310">
        <v>19</v>
      </c>
      <c r="Y2310" t="s">
        <v>22533</v>
      </c>
      <c r="Z2310" t="s">
        <v>29165</v>
      </c>
      <c r="AA2310">
        <v>0.5469525008307452</v>
      </c>
      <c r="AB2310" t="str">
        <f>HYPERLINK("Melting_Curves/meltCurve_P34896_2_SHMT1.pdf", "Melting_Curves/meltCurve_P34896_2_SHMT1.pdf")</f>
        <v>Melting_Curves/meltCurve_P34896_2_SHMT1.pdf</v>
      </c>
    </row>
    <row r="2311" spans="1:28" x14ac:dyDescent="0.25">
      <c r="A2311" t="s">
        <v>2315</v>
      </c>
      <c r="B2311">
        <v>0.995954080203443</v>
      </c>
      <c r="C2311">
        <v>0.83034814013124503</v>
      </c>
      <c r="D2311">
        <v>0.52825193180048902</v>
      </c>
      <c r="E2311">
        <v>0.36521719001606401</v>
      </c>
      <c r="F2311">
        <v>0.215435259356796</v>
      </c>
      <c r="G2311">
        <v>0.12924670594423701</v>
      </c>
      <c r="H2311">
        <v>6.5671990333179095E-2</v>
      </c>
      <c r="I2311">
        <v>4.8710659446253697E-2</v>
      </c>
      <c r="J2311">
        <v>5.0877405840245103E-2</v>
      </c>
      <c r="K2311">
        <v>4.8071006505891301E-2</v>
      </c>
      <c r="L2311">
        <v>679.72615044527197</v>
      </c>
      <c r="M2311">
        <v>14.443887511707601</v>
      </c>
      <c r="N2311">
        <v>47.349275040889303</v>
      </c>
      <c r="O2311">
        <v>46.185310052122396</v>
      </c>
      <c r="P2311">
        <v>-7.4888978363126302E-2</v>
      </c>
      <c r="Q2311">
        <v>4.2261845582559E-2</v>
      </c>
      <c r="R2311">
        <v>0.989108443251697</v>
      </c>
      <c r="S2311" t="s">
        <v>9117</v>
      </c>
      <c r="T2311" t="s">
        <v>13610</v>
      </c>
      <c r="U2311" t="s">
        <v>13610</v>
      </c>
      <c r="V2311" t="s">
        <v>13610</v>
      </c>
      <c r="W2311" t="s">
        <v>15871</v>
      </c>
      <c r="X2311">
        <v>31</v>
      </c>
      <c r="Y2311" t="s">
        <v>22534</v>
      </c>
      <c r="Z2311" t="s">
        <v>29166</v>
      </c>
      <c r="AA2311">
        <v>0.29564225293883961</v>
      </c>
      <c r="AB2311" t="str">
        <f>HYPERLINK("Melting_Curves/meltCurve_P34897_3_SHMT2.pdf", "Melting_Curves/meltCurve_P34897_3_SHMT2.pdf")</f>
        <v>Melting_Curves/meltCurve_P34897_3_SHMT2.pdf</v>
      </c>
    </row>
    <row r="2312" spans="1:28" x14ac:dyDescent="0.25">
      <c r="A2312" t="s">
        <v>2316</v>
      </c>
      <c r="B2312">
        <v>0.995954080203443</v>
      </c>
      <c r="C2312">
        <v>0.98125675487007402</v>
      </c>
      <c r="D2312">
        <v>0.91794929150272397</v>
      </c>
      <c r="E2312">
        <v>0.840622286022085</v>
      </c>
      <c r="F2312">
        <v>0.69214441782771596</v>
      </c>
      <c r="G2312">
        <v>0.44296352079809198</v>
      </c>
      <c r="H2312">
        <v>0.24004253080514701</v>
      </c>
      <c r="I2312">
        <v>0.102314496085278</v>
      </c>
      <c r="J2312">
        <v>8.3828604955840505E-2</v>
      </c>
      <c r="K2312">
        <v>7.7227027230025294E-2</v>
      </c>
      <c r="L2312">
        <v>791.69324354254297</v>
      </c>
      <c r="M2312">
        <v>14.1656423969697</v>
      </c>
      <c r="N2312">
        <v>55.888269751531503</v>
      </c>
      <c r="O2312">
        <v>54.809861912526401</v>
      </c>
      <c r="P2312">
        <v>-6.4620819119531395E-2</v>
      </c>
      <c r="Q2312">
        <v>0</v>
      </c>
      <c r="R2312">
        <v>0.99726711057365403</v>
      </c>
      <c r="S2312" t="s">
        <v>9118</v>
      </c>
      <c r="T2312" t="s">
        <v>13610</v>
      </c>
      <c r="U2312" t="s">
        <v>13610</v>
      </c>
      <c r="V2312" t="s">
        <v>13610</v>
      </c>
      <c r="W2312" t="s">
        <v>15872</v>
      </c>
      <c r="X2312">
        <v>25</v>
      </c>
      <c r="Y2312" t="s">
        <v>22535</v>
      </c>
      <c r="Z2312" t="s">
        <v>29167</v>
      </c>
      <c r="AA2312">
        <v>0.54840162359883338</v>
      </c>
      <c r="AB2312" t="str">
        <f>HYPERLINK("Melting_Curves/meltCurve_P34913_EPHX2.pdf", "Melting_Curves/meltCurve_P34913_EPHX2.pdf")</f>
        <v>Melting_Curves/meltCurve_P34913_EPHX2.pdf</v>
      </c>
    </row>
    <row r="2313" spans="1:28" x14ac:dyDescent="0.25">
      <c r="A2313" t="s">
        <v>2317</v>
      </c>
      <c r="B2313">
        <v>0.995954080203443</v>
      </c>
      <c r="C2313">
        <v>1.0511092294856501</v>
      </c>
      <c r="D2313">
        <v>0.97427890641178805</v>
      </c>
      <c r="E2313">
        <v>0.83662510604868201</v>
      </c>
      <c r="F2313">
        <v>0.19595541612258899</v>
      </c>
      <c r="G2313">
        <v>0.121269056337105</v>
      </c>
      <c r="H2313">
        <v>8.4154563449939698E-2</v>
      </c>
      <c r="I2313">
        <v>8.4112063120420105E-2</v>
      </c>
      <c r="J2313">
        <v>0.10228539667325599</v>
      </c>
      <c r="K2313">
        <v>9.1478439215062102E-2</v>
      </c>
      <c r="L2313">
        <v>3159.8685151362602</v>
      </c>
      <c r="M2313">
        <v>61.691416578642098</v>
      </c>
      <c r="N2313">
        <v>51.398351776611001</v>
      </c>
      <c r="O2313">
        <v>51.166813951000499</v>
      </c>
      <c r="P2313">
        <v>-0.27246069181416599</v>
      </c>
      <c r="Q2313">
        <v>9.6085568951340294E-2</v>
      </c>
      <c r="R2313">
        <v>0.99766108315237301</v>
      </c>
      <c r="S2313" t="s">
        <v>9119</v>
      </c>
      <c r="T2313" t="s">
        <v>13610</v>
      </c>
      <c r="U2313" t="s">
        <v>13610</v>
      </c>
      <c r="V2313" t="s">
        <v>13610</v>
      </c>
      <c r="W2313" t="s">
        <v>15873</v>
      </c>
      <c r="X2313">
        <v>68</v>
      </c>
      <c r="Y2313" t="s">
        <v>22536</v>
      </c>
      <c r="Z2313" t="s">
        <v>29168</v>
      </c>
      <c r="AA2313">
        <v>0.43550520244997071</v>
      </c>
      <c r="AB2313" t="str">
        <f>HYPERLINK("Melting_Curves/meltCurve_P34932_HSPA4.pdf", "Melting_Curves/meltCurve_P34932_HSPA4.pdf")</f>
        <v>Melting_Curves/meltCurve_P34932_HSPA4.pdf</v>
      </c>
    </row>
    <row r="2314" spans="1:28" x14ac:dyDescent="0.25">
      <c r="A2314" t="s">
        <v>2318</v>
      </c>
      <c r="B2314">
        <v>0.995954080203443</v>
      </c>
      <c r="C2314">
        <v>1.0100408293851499</v>
      </c>
      <c r="D2314">
        <v>0.96037110459539998</v>
      </c>
      <c r="E2314">
        <v>0.82574094783838903</v>
      </c>
      <c r="F2314">
        <v>0.476985866332991</v>
      </c>
      <c r="G2314">
        <v>0.197705169032249</v>
      </c>
      <c r="H2314">
        <v>0.111228132416476</v>
      </c>
      <c r="I2314">
        <v>8.8873503040572704E-2</v>
      </c>
      <c r="J2314">
        <v>0.100214235356204</v>
      </c>
      <c r="K2314">
        <v>9.2848625840025997E-2</v>
      </c>
      <c r="L2314">
        <v>1427.7305043721899</v>
      </c>
      <c r="M2314">
        <v>27.199993675587599</v>
      </c>
      <c r="N2314">
        <v>52.886795267676199</v>
      </c>
      <c r="O2314">
        <v>52.208829095788403</v>
      </c>
      <c r="P2314">
        <v>-0.11822861900742999</v>
      </c>
      <c r="Q2314">
        <v>9.2276246024711295E-2</v>
      </c>
      <c r="R2314">
        <v>0.99930849470462002</v>
      </c>
      <c r="S2314" t="s">
        <v>9120</v>
      </c>
      <c r="T2314" t="s">
        <v>13610</v>
      </c>
      <c r="U2314" t="s">
        <v>13610</v>
      </c>
      <c r="V2314" t="s">
        <v>13610</v>
      </c>
      <c r="W2314" t="s">
        <v>15874</v>
      </c>
      <c r="X2314">
        <v>12</v>
      </c>
      <c r="Y2314" t="s">
        <v>22537</v>
      </c>
      <c r="Z2314" t="s">
        <v>29169</v>
      </c>
      <c r="AA2314">
        <v>0.47727342199638928</v>
      </c>
      <c r="AB2314" t="str">
        <f>HYPERLINK("Melting_Curves/meltCurve_P35219_CA8.pdf", "Melting_Curves/meltCurve_P35219_CA8.pdf")</f>
        <v>Melting_Curves/meltCurve_P35219_CA8.pdf</v>
      </c>
    </row>
    <row r="2315" spans="1:28" x14ac:dyDescent="0.25">
      <c r="A2315" t="s">
        <v>2319</v>
      </c>
      <c r="B2315">
        <v>0.995954080203443</v>
      </c>
      <c r="C2315">
        <v>1.0405100138724399</v>
      </c>
      <c r="D2315">
        <v>1.0292685415615801</v>
      </c>
      <c r="E2315">
        <v>0.91399232466330704</v>
      </c>
      <c r="F2315">
        <v>0.68388304044996695</v>
      </c>
      <c r="G2315">
        <v>0.29212388756536301</v>
      </c>
      <c r="H2315">
        <v>0.10816638846700199</v>
      </c>
      <c r="I2315">
        <v>8.2952806276204494E-2</v>
      </c>
      <c r="J2315">
        <v>8.9379804137228694E-2</v>
      </c>
      <c r="K2315">
        <v>8.4517864521907807E-2</v>
      </c>
      <c r="L2315">
        <v>1456.3366600812701</v>
      </c>
      <c r="M2315">
        <v>26.7992506538817</v>
      </c>
      <c r="N2315">
        <v>54.675646931229203</v>
      </c>
      <c r="O2315">
        <v>54.042562435714402</v>
      </c>
      <c r="P2315">
        <v>-0.114633830462384</v>
      </c>
      <c r="Q2315">
        <v>7.5340941371427106E-2</v>
      </c>
      <c r="R2315">
        <v>0.99792306670567998</v>
      </c>
      <c r="S2315" t="s">
        <v>9121</v>
      </c>
      <c r="T2315" t="s">
        <v>13610</v>
      </c>
      <c r="U2315" t="s">
        <v>13610</v>
      </c>
      <c r="V2315" t="s">
        <v>13610</v>
      </c>
      <c r="W2315" t="s">
        <v>15875</v>
      </c>
      <c r="X2315">
        <v>40</v>
      </c>
      <c r="Y2315" t="s">
        <v>22538</v>
      </c>
      <c r="Z2315" t="s">
        <v>29170</v>
      </c>
      <c r="AA2315">
        <v>0.5249448466954395</v>
      </c>
      <c r="AB2315" t="str">
        <f>HYPERLINK("Melting_Curves/meltCurve_P35221_CTNNA1.pdf", "Melting_Curves/meltCurve_P35221_CTNNA1.pdf")</f>
        <v>Melting_Curves/meltCurve_P35221_CTNNA1.pdf</v>
      </c>
    </row>
    <row r="2316" spans="1:28" x14ac:dyDescent="0.25">
      <c r="A2316" t="s">
        <v>2320</v>
      </c>
      <c r="B2316">
        <v>0.995954080203443</v>
      </c>
      <c r="C2316">
        <v>0.95432182573916402</v>
      </c>
      <c r="D2316">
        <v>0.76965650957865595</v>
      </c>
      <c r="E2316">
        <v>0.61270285425195403</v>
      </c>
      <c r="F2316">
        <v>0.47509437306829599</v>
      </c>
      <c r="G2316">
        <v>0.27339707929617102</v>
      </c>
      <c r="H2316">
        <v>0.18646031943003699</v>
      </c>
      <c r="I2316">
        <v>0.12572571387770701</v>
      </c>
      <c r="J2316">
        <v>0.15834507512353699</v>
      </c>
      <c r="K2316">
        <v>0.13705236027279299</v>
      </c>
      <c r="L2316">
        <v>643.11008154668298</v>
      </c>
      <c r="M2316">
        <v>12.5948807849833</v>
      </c>
      <c r="N2316">
        <v>51.913482590163902</v>
      </c>
      <c r="O2316">
        <v>49.825295724734602</v>
      </c>
      <c r="P2316">
        <v>-5.7304488640412501E-2</v>
      </c>
      <c r="Q2316">
        <v>9.3395786953596099E-2</v>
      </c>
      <c r="R2316">
        <v>0.99354474410829796</v>
      </c>
      <c r="S2316" t="s">
        <v>9122</v>
      </c>
      <c r="T2316" t="s">
        <v>13610</v>
      </c>
      <c r="U2316" t="s">
        <v>13610</v>
      </c>
      <c r="V2316" t="s">
        <v>13610</v>
      </c>
      <c r="W2316" t="s">
        <v>15876</v>
      </c>
      <c r="X2316">
        <v>5</v>
      </c>
      <c r="Y2316" t="s">
        <v>22539</v>
      </c>
      <c r="Z2316" t="s">
        <v>29171</v>
      </c>
      <c r="AA2316">
        <v>0.45513289500481602</v>
      </c>
      <c r="AB2316" t="str">
        <f>HYPERLINK("Melting_Curves/meltCurve_P35227_PCGF2.pdf", "Melting_Curves/meltCurve_P35227_PCGF2.pdf")</f>
        <v>Melting_Curves/meltCurve_P35227_PCGF2.pdf</v>
      </c>
    </row>
    <row r="2317" spans="1:28" x14ac:dyDescent="0.25">
      <c r="A2317" t="s">
        <v>2321</v>
      </c>
      <c r="B2317">
        <v>0.995954080203443</v>
      </c>
      <c r="C2317">
        <v>0.81229989337100805</v>
      </c>
      <c r="D2317">
        <v>0.63638640829933502</v>
      </c>
      <c r="E2317">
        <v>0.77917102639104197</v>
      </c>
      <c r="F2317">
        <v>0.34743338361750298</v>
      </c>
      <c r="G2317">
        <v>0.114222008128454</v>
      </c>
      <c r="H2317">
        <v>7.1354434363497601E-2</v>
      </c>
      <c r="I2317">
        <v>6.4567416780246703E-2</v>
      </c>
      <c r="J2317">
        <v>6.5542276093074905E-2</v>
      </c>
      <c r="K2317">
        <v>6.20118658600428E-2</v>
      </c>
      <c r="L2317">
        <v>606.00624534633698</v>
      </c>
      <c r="M2317">
        <v>11.940977953301299</v>
      </c>
      <c r="N2317">
        <v>50.750135034007698</v>
      </c>
      <c r="O2317">
        <v>49.3896164186216</v>
      </c>
      <c r="P2317">
        <v>-6.0457610723109803E-2</v>
      </c>
      <c r="Q2317">
        <v>0</v>
      </c>
      <c r="R2317">
        <v>0.92316610804809196</v>
      </c>
      <c r="S2317" t="s">
        <v>9123</v>
      </c>
      <c r="T2317" t="s">
        <v>13610</v>
      </c>
      <c r="U2317" t="s">
        <v>13610</v>
      </c>
      <c r="V2317" t="s">
        <v>13610</v>
      </c>
      <c r="W2317" t="s">
        <v>15877</v>
      </c>
      <c r="X2317">
        <v>5</v>
      </c>
      <c r="Y2317" t="s">
        <v>22540</v>
      </c>
      <c r="Z2317" t="s">
        <v>29172</v>
      </c>
      <c r="AA2317">
        <v>0.39168837168100851</v>
      </c>
      <c r="AB2317" t="str">
        <f>HYPERLINK("Melting_Curves/meltCurve_P35232_PHB.pdf", "Melting_Curves/meltCurve_P35232_PHB.pdf")</f>
        <v>Melting_Curves/meltCurve_P35232_PHB.pdf</v>
      </c>
    </row>
    <row r="2318" spans="1:28" x14ac:dyDescent="0.25">
      <c r="A2318" t="s">
        <v>2322</v>
      </c>
      <c r="B2318">
        <v>0.995954080203443</v>
      </c>
      <c r="C2318">
        <v>0.93171485327731696</v>
      </c>
      <c r="D2318">
        <v>0.88863594223868303</v>
      </c>
      <c r="E2318">
        <v>0.37088929465856102</v>
      </c>
      <c r="F2318">
        <v>0.19734074478373601</v>
      </c>
      <c r="G2318">
        <v>0.124192209754586</v>
      </c>
      <c r="H2318">
        <v>8.3082200409082596E-2</v>
      </c>
      <c r="I2318">
        <v>7.9821516766026002E-2</v>
      </c>
      <c r="J2318">
        <v>9.7359302784916807E-2</v>
      </c>
      <c r="K2318">
        <v>8.9728061237572806E-2</v>
      </c>
      <c r="L2318">
        <v>1405.6224225911899</v>
      </c>
      <c r="M2318">
        <v>28.829804688806799</v>
      </c>
      <c r="N2318">
        <v>49.107073537106302</v>
      </c>
      <c r="O2318">
        <v>48.523102697301702</v>
      </c>
      <c r="P2318">
        <v>-0.13470028221830699</v>
      </c>
      <c r="Q2318">
        <v>9.3157149180916998E-2</v>
      </c>
      <c r="R2318">
        <v>0.99651438994031005</v>
      </c>
      <c r="S2318" t="s">
        <v>9124</v>
      </c>
      <c r="T2318" t="s">
        <v>13610</v>
      </c>
      <c r="U2318" t="s">
        <v>13610</v>
      </c>
      <c r="V2318" t="s">
        <v>13610</v>
      </c>
      <c r="W2318" t="s">
        <v>15878</v>
      </c>
      <c r="X2318">
        <v>17</v>
      </c>
      <c r="Y2318" t="s">
        <v>22541</v>
      </c>
      <c r="Z2318" t="s">
        <v>29173</v>
      </c>
      <c r="AA2318">
        <v>0.36380557736794789</v>
      </c>
      <c r="AB2318" t="str">
        <f>HYPERLINK("Melting_Curves/meltCurve_P35236_PTPN7.pdf", "Melting_Curves/meltCurve_P35236_PTPN7.pdf")</f>
        <v>Melting_Curves/meltCurve_P35236_PTPN7.pdf</v>
      </c>
    </row>
    <row r="2319" spans="1:28" x14ac:dyDescent="0.25">
      <c r="A2319" t="s">
        <v>2323</v>
      </c>
      <c r="B2319">
        <v>0.995954080203443</v>
      </c>
      <c r="C2319">
        <v>1.0360677003343199</v>
      </c>
      <c r="D2319">
        <v>0.97269261021096098</v>
      </c>
      <c r="E2319">
        <v>0.90594983050119604</v>
      </c>
      <c r="F2319">
        <v>0.82052379189917102</v>
      </c>
      <c r="G2319">
        <v>0.53319663090784997</v>
      </c>
      <c r="H2319">
        <v>0.139280922406194</v>
      </c>
      <c r="I2319">
        <v>7.6698635459721096E-2</v>
      </c>
      <c r="J2319">
        <v>7.3643043894755594E-2</v>
      </c>
      <c r="K2319">
        <v>6.7295660967481394E-2</v>
      </c>
      <c r="L2319">
        <v>1292.8870928670499</v>
      </c>
      <c r="M2319">
        <v>22.804992053106101</v>
      </c>
      <c r="N2319">
        <v>56.844051519253902</v>
      </c>
      <c r="O2319">
        <v>56.262624801726702</v>
      </c>
      <c r="P2319">
        <v>-9.8358571574405099E-2</v>
      </c>
      <c r="Q2319">
        <v>2.9369659544547299E-2</v>
      </c>
      <c r="R2319">
        <v>0.99344624723364405</v>
      </c>
      <c r="S2319" t="s">
        <v>9125</v>
      </c>
      <c r="T2319" t="s">
        <v>13610</v>
      </c>
      <c r="U2319" t="s">
        <v>13610</v>
      </c>
      <c r="V2319" t="s">
        <v>13610</v>
      </c>
      <c r="W2319" t="s">
        <v>15879</v>
      </c>
      <c r="X2319">
        <v>20</v>
      </c>
      <c r="Y2319" t="s">
        <v>22542</v>
      </c>
      <c r="Z2319" t="s">
        <v>29174</v>
      </c>
      <c r="AA2319">
        <v>0.57959519755662248</v>
      </c>
      <c r="AB2319" t="str">
        <f>HYPERLINK("Melting_Curves/meltCurve_P35237_SERPINB6.pdf", "Melting_Curves/meltCurve_P35237_SERPINB6.pdf")</f>
        <v>Melting_Curves/meltCurve_P35237_SERPINB6.pdf</v>
      </c>
    </row>
    <row r="2320" spans="1:28" x14ac:dyDescent="0.25">
      <c r="A2320" t="s">
        <v>2324</v>
      </c>
      <c r="B2320">
        <v>0.995954080203443</v>
      </c>
      <c r="C2320">
        <v>1.3089712500074</v>
      </c>
      <c r="D2320">
        <v>0.72317355875175904</v>
      </c>
      <c r="E2320">
        <v>1.13308584854688</v>
      </c>
      <c r="F2320">
        <v>0.58286086126579895</v>
      </c>
      <c r="G2320">
        <v>0.60716450298647395</v>
      </c>
      <c r="H2320">
        <v>0.31071942592371499</v>
      </c>
      <c r="I2320">
        <v>0.102965457879668</v>
      </c>
      <c r="J2320">
        <v>0.118909375495689</v>
      </c>
      <c r="K2320">
        <v>9.96149139261992E-2</v>
      </c>
      <c r="L2320">
        <v>882.704756222475</v>
      </c>
      <c r="M2320">
        <v>15.4381790943693</v>
      </c>
      <c r="N2320">
        <v>57.322260033672102</v>
      </c>
      <c r="O2320">
        <v>56.243151621527197</v>
      </c>
      <c r="P2320">
        <v>-6.7309849936022306E-2</v>
      </c>
      <c r="Q2320">
        <v>1.9216841658452301E-2</v>
      </c>
      <c r="R2320">
        <v>0.84885261888719199</v>
      </c>
      <c r="S2320" t="s">
        <v>9126</v>
      </c>
      <c r="T2320" t="s">
        <v>13610</v>
      </c>
      <c r="U2320" t="s">
        <v>13610</v>
      </c>
      <c r="V2320" t="s">
        <v>13610</v>
      </c>
      <c r="W2320" t="s">
        <v>15880</v>
      </c>
      <c r="X2320">
        <v>48</v>
      </c>
      <c r="Y2320" t="s">
        <v>22543</v>
      </c>
      <c r="Z2320" t="s">
        <v>29175</v>
      </c>
      <c r="AA2320">
        <v>0.59567286352784177</v>
      </c>
      <c r="AB2320" t="str">
        <f>HYPERLINK("Melting_Curves/meltCurve_P35241_RDX.pdf", "Melting_Curves/meltCurve_P35241_RDX.pdf")</f>
        <v>Melting_Curves/meltCurve_P35241_RDX.pdf</v>
      </c>
    </row>
    <row r="2321" spans="1:28" x14ac:dyDescent="0.25">
      <c r="A2321" t="s">
        <v>2325</v>
      </c>
      <c r="B2321">
        <v>0.995954080203443</v>
      </c>
      <c r="C2321">
        <v>1.05158645890517</v>
      </c>
      <c r="D2321">
        <v>0.92785692683016796</v>
      </c>
      <c r="E2321">
        <v>0.80200847973789602</v>
      </c>
      <c r="F2321">
        <v>0.53668953201148095</v>
      </c>
      <c r="G2321">
        <v>0.26015556698295</v>
      </c>
      <c r="H2321">
        <v>0.101581935352963</v>
      </c>
      <c r="I2321">
        <v>8.1427952799165801E-2</v>
      </c>
      <c r="J2321">
        <v>8.5172527364959699E-2</v>
      </c>
      <c r="K2321">
        <v>7.6579379787780899E-2</v>
      </c>
      <c r="L2321">
        <v>1087.9637576697701</v>
      </c>
      <c r="M2321">
        <v>20.484873730419601</v>
      </c>
      <c r="N2321">
        <v>53.452122230750902</v>
      </c>
      <c r="O2321">
        <v>52.612230131803003</v>
      </c>
      <c r="P2321">
        <v>-9.1370914115558893E-2</v>
      </c>
      <c r="Q2321">
        <v>6.1339567198200502E-2</v>
      </c>
      <c r="R2321">
        <v>0.99644670509968403</v>
      </c>
      <c r="S2321" t="s">
        <v>9127</v>
      </c>
      <c r="T2321" t="s">
        <v>13610</v>
      </c>
      <c r="U2321" t="s">
        <v>13610</v>
      </c>
      <c r="V2321" t="s">
        <v>13610</v>
      </c>
      <c r="W2321" t="s">
        <v>15881</v>
      </c>
      <c r="X2321">
        <v>6</v>
      </c>
      <c r="Y2321" t="s">
        <v>22544</v>
      </c>
      <c r="Z2321" t="s">
        <v>29176</v>
      </c>
      <c r="AA2321">
        <v>0.48393314895649198</v>
      </c>
      <c r="AB2321" t="str">
        <f>HYPERLINK("Melting_Curves/meltCurve_P35244_RPA3.pdf", "Melting_Curves/meltCurve_P35244_RPA3.pdf")</f>
        <v>Melting_Curves/meltCurve_P35244_RPA3.pdf</v>
      </c>
    </row>
    <row r="2322" spans="1:28" x14ac:dyDescent="0.25">
      <c r="A2322" t="s">
        <v>2326</v>
      </c>
      <c r="B2322">
        <v>0.995954080203443</v>
      </c>
      <c r="C2322">
        <v>0.71735067093260596</v>
      </c>
      <c r="D2322">
        <v>0.40925459443134599</v>
      </c>
      <c r="E2322">
        <v>0.26518591231074101</v>
      </c>
      <c r="F2322">
        <v>0.12791647428969199</v>
      </c>
      <c r="G2322">
        <v>7.6189034005559098E-2</v>
      </c>
      <c r="H2322">
        <v>4.8462356804921003E-2</v>
      </c>
      <c r="I2322">
        <v>4.3543373420876698E-2</v>
      </c>
      <c r="J2322">
        <v>4.6936789979674501E-2</v>
      </c>
      <c r="K2322">
        <v>4.3823534850274598E-2</v>
      </c>
      <c r="L2322">
        <v>796.08496300266495</v>
      </c>
      <c r="M2322">
        <v>17.594403523805902</v>
      </c>
      <c r="N2322">
        <v>45.521823939419299</v>
      </c>
      <c r="O2322">
        <v>44.674124548651399</v>
      </c>
      <c r="P2322">
        <v>-9.3494856279953797E-2</v>
      </c>
      <c r="Q2322">
        <v>5.0476384761779201E-2</v>
      </c>
      <c r="R2322">
        <v>0.98595610614907703</v>
      </c>
      <c r="S2322" t="s">
        <v>9128</v>
      </c>
      <c r="T2322" t="s">
        <v>13610</v>
      </c>
      <c r="U2322" t="s">
        <v>13610</v>
      </c>
      <c r="V2322" t="s">
        <v>13610</v>
      </c>
      <c r="W2322" t="s">
        <v>15882</v>
      </c>
      <c r="X2322">
        <v>15</v>
      </c>
      <c r="Y2322" t="s">
        <v>22545</v>
      </c>
      <c r="Z2322" t="s">
        <v>29177</v>
      </c>
      <c r="AA2322">
        <v>0.23752475771538339</v>
      </c>
      <c r="AB2322" t="str">
        <f>HYPERLINK("Melting_Curves/meltCurve_P35249_RFC4.pdf", "Melting_Curves/meltCurve_P35249_RFC4.pdf")</f>
        <v>Melting_Curves/meltCurve_P35249_RFC4.pdf</v>
      </c>
    </row>
    <row r="2323" spans="1:28" x14ac:dyDescent="0.25">
      <c r="A2323" t="s">
        <v>2327</v>
      </c>
      <c r="B2323">
        <v>0.995954080203443</v>
      </c>
      <c r="C2323">
        <v>0.71746530157985899</v>
      </c>
      <c r="D2323">
        <v>0.38639534671525999</v>
      </c>
      <c r="E2323">
        <v>0.264487203231625</v>
      </c>
      <c r="F2323">
        <v>0.12773990064108301</v>
      </c>
      <c r="G2323">
        <v>7.7737444802897904E-2</v>
      </c>
      <c r="H2323">
        <v>5.4194477180974601E-2</v>
      </c>
      <c r="I2323">
        <v>4.99776508853403E-2</v>
      </c>
      <c r="J2323">
        <v>5.7666615892522199E-2</v>
      </c>
      <c r="K2323">
        <v>4.7853515479736798E-2</v>
      </c>
      <c r="L2323">
        <v>834.09176126852401</v>
      </c>
      <c r="M2323">
        <v>18.5233273838485</v>
      </c>
      <c r="N2323">
        <v>45.3448657950917</v>
      </c>
      <c r="O2323">
        <v>44.514290105819804</v>
      </c>
      <c r="P2323">
        <v>-9.7742673443940595E-2</v>
      </c>
      <c r="Q2323">
        <v>6.0481111342272201E-2</v>
      </c>
      <c r="R2323">
        <v>0.98399154879855499</v>
      </c>
      <c r="S2323" t="s">
        <v>9129</v>
      </c>
      <c r="T2323" t="s">
        <v>13610</v>
      </c>
      <c r="U2323" t="s">
        <v>13610</v>
      </c>
      <c r="V2323" t="s">
        <v>13610</v>
      </c>
      <c r="W2323" t="s">
        <v>15883</v>
      </c>
      <c r="X2323">
        <v>16</v>
      </c>
      <c r="Y2323" t="s">
        <v>22546</v>
      </c>
      <c r="Z2323" t="s">
        <v>29178</v>
      </c>
      <c r="AA2323">
        <v>0.23690660443234529</v>
      </c>
      <c r="AB2323" t="str">
        <f>HYPERLINK("Melting_Curves/meltCurve_P35250_RFC2.pdf", "Melting_Curves/meltCurve_P35250_RFC2.pdf")</f>
        <v>Melting_Curves/meltCurve_P35250_RFC2.pdf</v>
      </c>
    </row>
    <row r="2324" spans="1:28" x14ac:dyDescent="0.25">
      <c r="A2324" t="s">
        <v>2328</v>
      </c>
      <c r="B2324">
        <v>0.995954080203443</v>
      </c>
      <c r="C2324">
        <v>0.93734272057378298</v>
      </c>
      <c r="D2324">
        <v>0.98042431129780705</v>
      </c>
      <c r="E2324">
        <v>0.85503034674730505</v>
      </c>
      <c r="F2324">
        <v>0.89994795485684698</v>
      </c>
      <c r="G2324">
        <v>0.66740972176146995</v>
      </c>
      <c r="H2324">
        <v>0.66859094281978904</v>
      </c>
      <c r="I2324">
        <v>0.81349507930350096</v>
      </c>
      <c r="J2324">
        <v>1.0197984294578999</v>
      </c>
      <c r="K2324">
        <v>0.95207091418287104</v>
      </c>
      <c r="L2324">
        <v>1517.27149432497</v>
      </c>
      <c r="M2324">
        <v>31.636343475040398</v>
      </c>
      <c r="O2324">
        <v>47.769336465071902</v>
      </c>
      <c r="P2324">
        <v>-2.7567309294563899E-2</v>
      </c>
      <c r="Q2324">
        <v>0.83349964348426797</v>
      </c>
      <c r="R2324">
        <v>0.239538748953814</v>
      </c>
      <c r="S2324" t="s">
        <v>9130</v>
      </c>
      <c r="T2324" t="s">
        <v>13610</v>
      </c>
      <c r="U2324" t="s">
        <v>13610</v>
      </c>
      <c r="V2324" t="s">
        <v>13610</v>
      </c>
      <c r="W2324" t="s">
        <v>15884</v>
      </c>
      <c r="X2324">
        <v>18</v>
      </c>
      <c r="Y2324" t="s">
        <v>22547</v>
      </c>
      <c r="Z2324" t="s">
        <v>29179</v>
      </c>
      <c r="AA2324">
        <v>0.87857315264818958</v>
      </c>
      <c r="AB2324" t="str">
        <f>HYPERLINK("Melting_Curves/meltCurve_P35251_2_RFC1.pdf", "Melting_Curves/meltCurve_P35251_2_RFC1.pdf")</f>
        <v>Melting_Curves/meltCurve_P35251_2_RFC1.pdf</v>
      </c>
    </row>
    <row r="2325" spans="1:28" x14ac:dyDescent="0.25">
      <c r="A2325" t="s">
        <v>2329</v>
      </c>
      <c r="B2325">
        <v>0.995954080203443</v>
      </c>
      <c r="C2325">
        <v>0.96485083399303195</v>
      </c>
      <c r="D2325">
        <v>0.90185207531520395</v>
      </c>
      <c r="E2325">
        <v>0.81664127157182598</v>
      </c>
      <c r="F2325">
        <v>0.63193669423202703</v>
      </c>
      <c r="G2325">
        <v>0.39494837978605302</v>
      </c>
      <c r="H2325">
        <v>0.21634286495650301</v>
      </c>
      <c r="I2325">
        <v>0.16316497732986501</v>
      </c>
      <c r="J2325">
        <v>0.19787515288822</v>
      </c>
      <c r="K2325">
        <v>0.13274742971475201</v>
      </c>
      <c r="L2325">
        <v>826.37922735684003</v>
      </c>
      <c r="M2325">
        <v>15.2853596652542</v>
      </c>
      <c r="N2325">
        <v>54.964362290146198</v>
      </c>
      <c r="O2325">
        <v>53.163442278500298</v>
      </c>
      <c r="P2325">
        <v>-6.3920155903334899E-2</v>
      </c>
      <c r="Q2325">
        <v>0.11081016226017699</v>
      </c>
      <c r="R2325">
        <v>0.99517640092264004</v>
      </c>
      <c r="S2325" t="s">
        <v>9131</v>
      </c>
      <c r="T2325" t="s">
        <v>13610</v>
      </c>
      <c r="U2325" t="s">
        <v>13610</v>
      </c>
      <c r="V2325" t="s">
        <v>13610</v>
      </c>
      <c r="W2325" t="s">
        <v>15885</v>
      </c>
      <c r="X2325">
        <v>7</v>
      </c>
      <c r="Y2325" t="s">
        <v>22548</v>
      </c>
      <c r="Z2325" t="s">
        <v>29180</v>
      </c>
      <c r="AA2325">
        <v>0.54540633467604649</v>
      </c>
      <c r="AB2325" t="str">
        <f>HYPERLINK("Melting_Curves/meltCurve_P35268_RPL22.pdf", "Melting_Curves/meltCurve_P35268_RPL22.pdf")</f>
        <v>Melting_Curves/meltCurve_P35268_RPL22.pdf</v>
      </c>
    </row>
    <row r="2326" spans="1:28" x14ac:dyDescent="0.25">
      <c r="A2326" t="s">
        <v>2330</v>
      </c>
      <c r="B2326">
        <v>0.995954080203443</v>
      </c>
      <c r="C2326">
        <v>1.02745051330197</v>
      </c>
      <c r="D2326">
        <v>1.0222978081112799</v>
      </c>
      <c r="E2326">
        <v>0.93296435673052402</v>
      </c>
      <c r="F2326">
        <v>0.84653247194196402</v>
      </c>
      <c r="G2326">
        <v>0.58328595514096104</v>
      </c>
      <c r="H2326">
        <v>0.54100433015877702</v>
      </c>
      <c r="I2326">
        <v>0.67193786972209502</v>
      </c>
      <c r="J2326">
        <v>0.77899603719111499</v>
      </c>
      <c r="K2326">
        <v>0.79833430672954497</v>
      </c>
      <c r="L2326">
        <v>3571.2490095551302</v>
      </c>
      <c r="M2326">
        <v>67.362345815042303</v>
      </c>
      <c r="O2326">
        <v>52.968843484854098</v>
      </c>
      <c r="P2326">
        <v>-0.103382815389668</v>
      </c>
      <c r="Q2326">
        <v>0.674829213390575</v>
      </c>
      <c r="R2326">
        <v>0.797206541014013</v>
      </c>
      <c r="S2326" t="s">
        <v>9132</v>
      </c>
      <c r="T2326" t="s">
        <v>13610</v>
      </c>
      <c r="U2326" t="s">
        <v>13610</v>
      </c>
      <c r="V2326" t="s">
        <v>13610</v>
      </c>
      <c r="W2326" t="s">
        <v>15886</v>
      </c>
      <c r="X2326">
        <v>24</v>
      </c>
      <c r="Y2326" t="s">
        <v>22549</v>
      </c>
      <c r="Z2326" t="s">
        <v>29181</v>
      </c>
      <c r="AA2326">
        <v>0.81632254357921663</v>
      </c>
      <c r="AB2326" t="str">
        <f>HYPERLINK("Melting_Curves/meltCurve_P35269_GTF2F1.pdf", "Melting_Curves/meltCurve_P35269_GTF2F1.pdf")</f>
        <v>Melting_Curves/meltCurve_P35269_GTF2F1.pdf</v>
      </c>
    </row>
    <row r="2327" spans="1:28" x14ac:dyDescent="0.25">
      <c r="A2327" t="s">
        <v>2331</v>
      </c>
      <c r="B2327">
        <v>0.995954080203443</v>
      </c>
      <c r="C2327">
        <v>1.0284380007892899</v>
      </c>
      <c r="D2327">
        <v>0.973270901671488</v>
      </c>
      <c r="E2327">
        <v>0.62389531331372305</v>
      </c>
      <c r="F2327">
        <v>0.15840020151905701</v>
      </c>
      <c r="G2327">
        <v>0.105240963750381</v>
      </c>
      <c r="H2327">
        <v>6.2963200914019704E-2</v>
      </c>
      <c r="I2327">
        <v>5.1088721333682002E-2</v>
      </c>
      <c r="J2327">
        <v>5.4146460731230799E-2</v>
      </c>
      <c r="K2327">
        <v>4.0963388322574297E-2</v>
      </c>
      <c r="L2327">
        <v>2161.25454925644</v>
      </c>
      <c r="M2327">
        <v>42.833667701330498</v>
      </c>
      <c r="N2327">
        <v>50.608070363571798</v>
      </c>
      <c r="O2327">
        <v>50.347308820620199</v>
      </c>
      <c r="P2327">
        <v>-0.19991983138216499</v>
      </c>
      <c r="Q2327">
        <v>6.0046988021082999E-2</v>
      </c>
      <c r="R2327">
        <v>0.99827053380029995</v>
      </c>
      <c r="S2327" t="s">
        <v>9133</v>
      </c>
      <c r="T2327" t="s">
        <v>13610</v>
      </c>
      <c r="U2327" t="s">
        <v>13610</v>
      </c>
      <c r="V2327" t="s">
        <v>13610</v>
      </c>
      <c r="W2327" t="s">
        <v>15887</v>
      </c>
      <c r="X2327">
        <v>12</v>
      </c>
      <c r="Y2327" t="s">
        <v>22550</v>
      </c>
      <c r="Z2327" t="s">
        <v>29182</v>
      </c>
      <c r="AA2327">
        <v>0.39053676520240432</v>
      </c>
      <c r="AB2327" t="str">
        <f>HYPERLINK("Melting_Curves/meltCurve_P35270_SPR.pdf", "Melting_Curves/meltCurve_P35270_SPR.pdf")</f>
        <v>Melting_Curves/meltCurve_P35270_SPR.pdf</v>
      </c>
    </row>
    <row r="2328" spans="1:28" x14ac:dyDescent="0.25">
      <c r="A2328" t="s">
        <v>2332</v>
      </c>
      <c r="B2328">
        <v>0.995954080203443</v>
      </c>
      <c r="C2328">
        <v>0.99634283681428404</v>
      </c>
      <c r="D2328">
        <v>0.99108711761768797</v>
      </c>
      <c r="E2328">
        <v>0.85061989592571996</v>
      </c>
      <c r="F2328">
        <v>0.47453411164863801</v>
      </c>
      <c r="G2328">
        <v>0.17168623410327799</v>
      </c>
      <c r="H2328">
        <v>9.8538623289186E-2</v>
      </c>
      <c r="I2328">
        <v>8.11071575544898E-2</v>
      </c>
      <c r="J2328">
        <v>8.23681112215425E-2</v>
      </c>
      <c r="K2328">
        <v>7.9558519296560104E-2</v>
      </c>
      <c r="L2328">
        <v>1620.09968505396</v>
      </c>
      <c r="M2328">
        <v>30.8244645605368</v>
      </c>
      <c r="N2328">
        <v>52.869903616614103</v>
      </c>
      <c r="O2328">
        <v>52.339166327469599</v>
      </c>
      <c r="P2328">
        <v>-0.13502650185075299</v>
      </c>
      <c r="Q2328">
        <v>8.2918952780520194E-2</v>
      </c>
      <c r="R2328">
        <v>0.99977434089304396</v>
      </c>
      <c r="S2328" t="s">
        <v>9134</v>
      </c>
      <c r="T2328" t="s">
        <v>13610</v>
      </c>
      <c r="U2328" t="s">
        <v>13610</v>
      </c>
      <c r="V2328" t="s">
        <v>13610</v>
      </c>
      <c r="W2328" t="s">
        <v>15888</v>
      </c>
      <c r="X2328">
        <v>30</v>
      </c>
      <c r="Y2328" t="s">
        <v>22551</v>
      </c>
      <c r="Z2328" t="s">
        <v>29183</v>
      </c>
      <c r="AA2328">
        <v>0.47243803858750028</v>
      </c>
      <c r="AB2328" t="str">
        <f>HYPERLINK("Melting_Curves/meltCurve_P35520_CBS.pdf", "Melting_Curves/meltCurve_P35520_CBS.pdf")</f>
        <v>Melting_Curves/meltCurve_P35520_CBS.pdf</v>
      </c>
    </row>
    <row r="2329" spans="1:28" x14ac:dyDescent="0.25">
      <c r="A2329" t="s">
        <v>2333</v>
      </c>
      <c r="B2329">
        <v>0.995954080203443</v>
      </c>
      <c r="C2329">
        <v>1.61615494193571</v>
      </c>
      <c r="D2329">
        <v>1.0738404195589899</v>
      </c>
      <c r="E2329">
        <v>0.84270113527167001</v>
      </c>
      <c r="F2329">
        <v>1.17818330552404</v>
      </c>
      <c r="G2329">
        <v>0.34673423006972898</v>
      </c>
      <c r="H2329">
        <v>0.63416495065748402</v>
      </c>
      <c r="I2329">
        <v>0.517429556219555</v>
      </c>
      <c r="J2329">
        <v>0.65232120007159999</v>
      </c>
      <c r="K2329">
        <v>0.33682397538270398</v>
      </c>
      <c r="L2329">
        <v>4840.5549834641297</v>
      </c>
      <c r="M2329">
        <v>88.053866857093894</v>
      </c>
      <c r="N2329">
        <v>58.185557225906898</v>
      </c>
      <c r="O2329">
        <v>54.944337171753602</v>
      </c>
      <c r="P2329">
        <v>-0.20187449572353899</v>
      </c>
      <c r="Q2329">
        <v>0.49613315346761599</v>
      </c>
      <c r="R2329">
        <v>0.62797762366036802</v>
      </c>
      <c r="S2329" t="s">
        <v>9135</v>
      </c>
      <c r="T2329" t="s">
        <v>13610</v>
      </c>
      <c r="U2329" t="s">
        <v>13610</v>
      </c>
      <c r="V2329" t="s">
        <v>13610</v>
      </c>
      <c r="W2329" t="s">
        <v>15889</v>
      </c>
      <c r="X2329">
        <v>27</v>
      </c>
      <c r="Y2329" t="s">
        <v>22552</v>
      </c>
      <c r="Z2329" t="s">
        <v>29184</v>
      </c>
      <c r="AA2329">
        <v>0.74799979207318057</v>
      </c>
      <c r="AB2329" t="str">
        <f>HYPERLINK("Melting_Curves/meltCurve_P35527_KRT9.pdf", "Melting_Curves/meltCurve_P35527_KRT9.pdf")</f>
        <v>Melting_Curves/meltCurve_P35527_KRT9.pdf</v>
      </c>
    </row>
    <row r="2330" spans="1:28" x14ac:dyDescent="0.25">
      <c r="A2330" t="s">
        <v>2334</v>
      </c>
      <c r="B2330">
        <v>0.995954080203443</v>
      </c>
      <c r="C2330">
        <v>0.950971780069235</v>
      </c>
      <c r="D2330">
        <v>1.08715528209349</v>
      </c>
      <c r="E2330">
        <v>0.91723525226135205</v>
      </c>
      <c r="F2330">
        <v>0.85931242842310296</v>
      </c>
      <c r="G2330">
        <v>0.66753723857812797</v>
      </c>
      <c r="H2330">
        <v>0.67371967884151696</v>
      </c>
      <c r="I2330">
        <v>0.72020700797701698</v>
      </c>
      <c r="J2330">
        <v>0.90868946620021296</v>
      </c>
      <c r="K2330">
        <v>0.88633607305987205</v>
      </c>
      <c r="L2330">
        <v>2064.3123559576002</v>
      </c>
      <c r="M2330">
        <v>40.234971383157102</v>
      </c>
      <c r="O2330">
        <v>51.180168372348497</v>
      </c>
      <c r="P2330">
        <v>-4.4166683133950002E-2</v>
      </c>
      <c r="Q2330">
        <v>0.77527473251329004</v>
      </c>
      <c r="R2330">
        <v>0.61102725330434804</v>
      </c>
      <c r="S2330" t="s">
        <v>9136</v>
      </c>
      <c r="T2330" t="s">
        <v>13610</v>
      </c>
      <c r="U2330" t="s">
        <v>13610</v>
      </c>
      <c r="V2330" t="s">
        <v>13610</v>
      </c>
      <c r="W2330" t="s">
        <v>15890</v>
      </c>
      <c r="X2330">
        <v>14</v>
      </c>
      <c r="Y2330" t="s">
        <v>22553</v>
      </c>
      <c r="Z2330" t="s">
        <v>29185</v>
      </c>
      <c r="AA2330">
        <v>0.86075683609606524</v>
      </c>
      <c r="AB2330" t="str">
        <f>HYPERLINK("Melting_Curves/meltCurve_P35568_IRS1.pdf", "Melting_Curves/meltCurve_P35568_IRS1.pdf")</f>
        <v>Melting_Curves/meltCurve_P35568_IRS1.pdf</v>
      </c>
    </row>
    <row r="2331" spans="1:28" x14ac:dyDescent="0.25">
      <c r="A2331" t="s">
        <v>2335</v>
      </c>
      <c r="B2331">
        <v>0.995954080203443</v>
      </c>
      <c r="C2331">
        <v>0.74587034064284297</v>
      </c>
      <c r="D2331">
        <v>0.62392413879804298</v>
      </c>
      <c r="E2331">
        <v>0.74924952198878703</v>
      </c>
      <c r="F2331">
        <v>0.207829211826078</v>
      </c>
      <c r="G2331">
        <v>9.3547661704314902E-2</v>
      </c>
      <c r="H2331">
        <v>6.3782719077959293E-2</v>
      </c>
      <c r="I2331">
        <v>5.68901432875355E-2</v>
      </c>
      <c r="J2331">
        <v>7.2535684867744699E-2</v>
      </c>
      <c r="K2331">
        <v>6.1898946459638497E-2</v>
      </c>
      <c r="L2331">
        <v>578.88004506742197</v>
      </c>
      <c r="M2331">
        <v>11.6746163998029</v>
      </c>
      <c r="N2331">
        <v>49.584502409692902</v>
      </c>
      <c r="O2331">
        <v>48.1967058120985</v>
      </c>
      <c r="P2331">
        <v>-6.05733687437107E-2</v>
      </c>
      <c r="Q2331">
        <v>0</v>
      </c>
      <c r="R2331">
        <v>0.90005260881474403</v>
      </c>
      <c r="S2331" t="s">
        <v>9137</v>
      </c>
      <c r="T2331" t="s">
        <v>13610</v>
      </c>
      <c r="U2331" t="s">
        <v>13610</v>
      </c>
      <c r="V2331" t="s">
        <v>13610</v>
      </c>
      <c r="W2331" t="s">
        <v>15891</v>
      </c>
      <c r="X2331">
        <v>168</v>
      </c>
      <c r="Y2331" t="s">
        <v>22554</v>
      </c>
      <c r="Z2331" t="s">
        <v>29186</v>
      </c>
      <c r="AA2331">
        <v>0.35654952610820179</v>
      </c>
      <c r="AB2331" t="str">
        <f>HYPERLINK("Melting_Curves/meltCurve_P35579_MYH9.pdf", "Melting_Curves/meltCurve_P35579_MYH9.pdf")</f>
        <v>Melting_Curves/meltCurve_P35579_MYH9.pdf</v>
      </c>
    </row>
    <row r="2332" spans="1:28" x14ac:dyDescent="0.25">
      <c r="A2332" t="s">
        <v>2336</v>
      </c>
      <c r="B2332">
        <v>0.995954080203443</v>
      </c>
      <c r="C2332">
        <v>1.36951662176825</v>
      </c>
      <c r="D2332">
        <v>1.4664280169596899</v>
      </c>
      <c r="E2332">
        <v>1.3912829233730999</v>
      </c>
      <c r="F2332">
        <v>1.33463395833919</v>
      </c>
      <c r="G2332">
        <v>1.27167740406535</v>
      </c>
      <c r="H2332">
        <v>1.10574447754427</v>
      </c>
      <c r="I2332">
        <v>1.3876929922450101</v>
      </c>
      <c r="J2332">
        <v>1.11302741107258</v>
      </c>
      <c r="K2332">
        <v>1.70804956522448</v>
      </c>
      <c r="L2332">
        <v>10319.029312084</v>
      </c>
      <c r="M2332">
        <v>250</v>
      </c>
      <c r="O2332">
        <v>41.273475836503998</v>
      </c>
      <c r="P2332">
        <v>0.52967794312441596</v>
      </c>
      <c r="Q2332">
        <v>1.3497863962963501</v>
      </c>
      <c r="R2332">
        <v>0.29637048303846603</v>
      </c>
      <c r="S2332" t="s">
        <v>9138</v>
      </c>
      <c r="T2332" t="s">
        <v>13610</v>
      </c>
      <c r="U2332" t="s">
        <v>13610</v>
      </c>
      <c r="V2332" t="s">
        <v>13610</v>
      </c>
      <c r="W2332" t="s">
        <v>15892</v>
      </c>
      <c r="X2332">
        <v>2</v>
      </c>
      <c r="Y2332" t="s">
        <v>22554</v>
      </c>
      <c r="Z2332" t="s">
        <v>29187</v>
      </c>
      <c r="AA2332">
        <v>1.3348814931922861</v>
      </c>
      <c r="AB2332" t="str">
        <f>HYPERLINK("Melting_Curves/meltCurve_P35579_2_MYH9.pdf", "Melting_Curves/meltCurve_P35579_2_MYH9.pdf")</f>
        <v>Melting_Curves/meltCurve_P35579_2_MYH9.pdf</v>
      </c>
    </row>
    <row r="2333" spans="1:28" x14ac:dyDescent="0.25">
      <c r="A2333" t="s">
        <v>2337</v>
      </c>
      <c r="B2333">
        <v>0.995954080203443</v>
      </c>
      <c r="C2333">
        <v>0.56189950385753196</v>
      </c>
      <c r="D2333">
        <v>0.48004590592382301</v>
      </c>
      <c r="E2333">
        <v>0.303189016147281</v>
      </c>
      <c r="F2333">
        <v>0.27244227274778399</v>
      </c>
      <c r="G2333">
        <v>9.9945630698317897E-2</v>
      </c>
      <c r="H2333">
        <v>7.0186130675621003E-2</v>
      </c>
      <c r="I2333">
        <v>5.6555160965218503E-2</v>
      </c>
      <c r="J2333">
        <v>6.7707935523627694E-2</v>
      </c>
      <c r="K2333">
        <v>6.01270040571096E-2</v>
      </c>
      <c r="L2333">
        <v>552.150658250069</v>
      </c>
      <c r="M2333">
        <v>12.1453604259197</v>
      </c>
      <c r="N2333">
        <v>45.843478994205498</v>
      </c>
      <c r="O2333">
        <v>44.282026735317302</v>
      </c>
      <c r="P2333">
        <v>-6.5286455352013301E-2</v>
      </c>
      <c r="Q2333">
        <v>4.8080073974365603E-2</v>
      </c>
      <c r="R2333">
        <v>0.94533549610128798</v>
      </c>
      <c r="S2333" t="s">
        <v>9139</v>
      </c>
      <c r="T2333" t="s">
        <v>13610</v>
      </c>
      <c r="U2333" t="s">
        <v>13610</v>
      </c>
      <c r="V2333" t="s">
        <v>13610</v>
      </c>
      <c r="W2333" t="s">
        <v>15893</v>
      </c>
      <c r="X2333">
        <v>134</v>
      </c>
      <c r="Y2333" t="s">
        <v>22555</v>
      </c>
      <c r="Z2333" t="s">
        <v>29188</v>
      </c>
      <c r="AA2333">
        <v>0.26584358585966872</v>
      </c>
      <c r="AB2333" t="str">
        <f>HYPERLINK("Melting_Curves/meltCurve_P35580_MYH10.pdf", "Melting_Curves/meltCurve_P35580_MYH10.pdf")</f>
        <v>Melting_Curves/meltCurve_P35580_MYH10.pdf</v>
      </c>
    </row>
    <row r="2334" spans="1:28" x14ac:dyDescent="0.25">
      <c r="A2334" t="s">
        <v>2338</v>
      </c>
      <c r="B2334">
        <v>0.995954080203443</v>
      </c>
      <c r="C2334">
        <v>0.74272691927411805</v>
      </c>
      <c r="D2334">
        <v>0.60280128418845602</v>
      </c>
      <c r="E2334">
        <v>0.69682896386356996</v>
      </c>
      <c r="F2334">
        <v>0.31071457059973601</v>
      </c>
      <c r="G2334">
        <v>0.14312633942183101</v>
      </c>
      <c r="H2334">
        <v>7.7789729511377498E-2</v>
      </c>
      <c r="I2334">
        <v>6.0617153738939299E-2</v>
      </c>
      <c r="J2334">
        <v>6.8597450357044107E-2</v>
      </c>
      <c r="K2334">
        <v>6.0823481485034601E-2</v>
      </c>
      <c r="L2334">
        <v>522.36251919384199</v>
      </c>
      <c r="M2334">
        <v>10.5078136466283</v>
      </c>
      <c r="N2334">
        <v>49.711833812280503</v>
      </c>
      <c r="O2334">
        <v>48.012593069626298</v>
      </c>
      <c r="P2334">
        <v>-5.4735854984982402E-2</v>
      </c>
      <c r="Q2334">
        <v>0</v>
      </c>
      <c r="R2334">
        <v>0.93076887584374202</v>
      </c>
      <c r="S2334" t="s">
        <v>9140</v>
      </c>
      <c r="T2334" t="s">
        <v>13610</v>
      </c>
      <c r="U2334" t="s">
        <v>13610</v>
      </c>
      <c r="V2334" t="s">
        <v>13610</v>
      </c>
      <c r="W2334" t="s">
        <v>15894</v>
      </c>
      <c r="X2334">
        <v>42</v>
      </c>
      <c r="Y2334" t="s">
        <v>22556</v>
      </c>
      <c r="Z2334" t="s">
        <v>29189</v>
      </c>
      <c r="AA2334">
        <v>0.36683857782777829</v>
      </c>
      <c r="AB2334" t="str">
        <f>HYPERLINK("Melting_Curves/meltCurve_P35606_COPB2.pdf", "Melting_Curves/meltCurve_P35606_COPB2.pdf")</f>
        <v>Melting_Curves/meltCurve_P35606_COPB2.pdf</v>
      </c>
    </row>
    <row r="2335" spans="1:28" x14ac:dyDescent="0.25">
      <c r="A2335" t="s">
        <v>2339</v>
      </c>
      <c r="B2335">
        <v>0.995954080203443</v>
      </c>
      <c r="C2335">
        <v>0.95407831535137999</v>
      </c>
      <c r="D2335">
        <v>0.91618958127250205</v>
      </c>
      <c r="E2335">
        <v>0.84601580096203799</v>
      </c>
      <c r="F2335">
        <v>0.68078866514131797</v>
      </c>
      <c r="G2335">
        <v>0.51758293688218504</v>
      </c>
      <c r="H2335">
        <v>0.38824548505913897</v>
      </c>
      <c r="I2335">
        <v>0.38327956946193797</v>
      </c>
      <c r="J2335">
        <v>0.36905317795044901</v>
      </c>
      <c r="K2335">
        <v>0.27791399474287898</v>
      </c>
      <c r="L2335">
        <v>702.668939271976</v>
      </c>
      <c r="M2335">
        <v>12.978309471380699</v>
      </c>
      <c r="N2335">
        <v>57.704710403345501</v>
      </c>
      <c r="O2335">
        <v>52.904714426341599</v>
      </c>
      <c r="P2335">
        <v>-4.4432280383792898E-2</v>
      </c>
      <c r="Q2335">
        <v>0.27563464696603401</v>
      </c>
      <c r="R2335">
        <v>0.99210958192208998</v>
      </c>
      <c r="S2335" t="s">
        <v>9141</v>
      </c>
      <c r="T2335" t="s">
        <v>13610</v>
      </c>
      <c r="U2335" t="s">
        <v>13610</v>
      </c>
      <c r="V2335" t="s">
        <v>13610</v>
      </c>
      <c r="W2335" t="s">
        <v>15895</v>
      </c>
      <c r="X2335">
        <v>32</v>
      </c>
      <c r="Y2335" t="s">
        <v>22557</v>
      </c>
      <c r="Z2335" t="s">
        <v>29190</v>
      </c>
      <c r="AA2335">
        <v>0.63441712757354529</v>
      </c>
      <c r="AB2335" t="str">
        <f>HYPERLINK("Melting_Curves/meltCurve_P35611_ADD1.pdf", "Melting_Curves/meltCurve_P35611_ADD1.pdf")</f>
        <v>Melting_Curves/meltCurve_P35611_ADD1.pdf</v>
      </c>
    </row>
    <row r="2336" spans="1:28" x14ac:dyDescent="0.25">
      <c r="A2336" t="s">
        <v>2340</v>
      </c>
      <c r="B2336">
        <v>0.995954080203443</v>
      </c>
      <c r="C2336">
        <v>0.93759889098693505</v>
      </c>
      <c r="D2336">
        <v>0.99909686650083296</v>
      </c>
      <c r="E2336">
        <v>0.74229051261647006</v>
      </c>
      <c r="F2336">
        <v>0.62199019226484398</v>
      </c>
      <c r="G2336">
        <v>0.478976887790387</v>
      </c>
      <c r="H2336">
        <v>0.41853114125614199</v>
      </c>
      <c r="I2336">
        <v>0.46018349389053498</v>
      </c>
      <c r="J2336">
        <v>0.61048366383155195</v>
      </c>
      <c r="K2336">
        <v>0.54139092535754996</v>
      </c>
      <c r="L2336">
        <v>1504.23846045396</v>
      </c>
      <c r="M2336">
        <v>29.9970373185132</v>
      </c>
      <c r="O2336">
        <v>49.924948353692699</v>
      </c>
      <c r="P2336">
        <v>-7.4610387392921904E-2</v>
      </c>
      <c r="Q2336">
        <v>0.50329814682678697</v>
      </c>
      <c r="R2336">
        <v>0.93433263103491404</v>
      </c>
      <c r="S2336" t="s">
        <v>9142</v>
      </c>
      <c r="T2336" t="s">
        <v>13610</v>
      </c>
      <c r="U2336" t="s">
        <v>13610</v>
      </c>
      <c r="V2336" t="s">
        <v>13610</v>
      </c>
      <c r="W2336" t="s">
        <v>15896</v>
      </c>
      <c r="X2336">
        <v>32</v>
      </c>
      <c r="Y2336" t="s">
        <v>22557</v>
      </c>
      <c r="Z2336" t="s">
        <v>29191</v>
      </c>
      <c r="AA2336">
        <v>0.67436669286825768</v>
      </c>
      <c r="AB2336" t="str">
        <f>HYPERLINK("Melting_Curves/meltCurve_P35611_2_ADD1.pdf", "Melting_Curves/meltCurve_P35611_2_ADD1.pdf")</f>
        <v>Melting_Curves/meltCurve_P35611_2_ADD1.pdf</v>
      </c>
    </row>
    <row r="2337" spans="1:28" x14ac:dyDescent="0.25">
      <c r="A2337" t="s">
        <v>2341</v>
      </c>
      <c r="B2337">
        <v>0.995954080203443</v>
      </c>
      <c r="C2337">
        <v>0.96431688225721801</v>
      </c>
      <c r="D2337">
        <v>0.91023322734502399</v>
      </c>
      <c r="E2337">
        <v>0.84390531597184704</v>
      </c>
      <c r="F2337">
        <v>0.69127912176119599</v>
      </c>
      <c r="G2337">
        <v>0.48112159674303601</v>
      </c>
      <c r="H2337">
        <v>0.35063234552773798</v>
      </c>
      <c r="I2337">
        <v>0.36220677215714298</v>
      </c>
      <c r="J2337">
        <v>0.38163778677273003</v>
      </c>
      <c r="K2337">
        <v>0.334565506610428</v>
      </c>
      <c r="L2337">
        <v>915.69094855721596</v>
      </c>
      <c r="M2337">
        <v>17.221662677753599</v>
      </c>
      <c r="N2337">
        <v>56.651597044158599</v>
      </c>
      <c r="O2337">
        <v>52.469486353358903</v>
      </c>
      <c r="P2337">
        <v>-5.5272234537252302E-2</v>
      </c>
      <c r="Q2337">
        <v>0.32644472827104798</v>
      </c>
      <c r="R2337">
        <v>0.99063270793275804</v>
      </c>
      <c r="S2337" t="s">
        <v>9143</v>
      </c>
      <c r="T2337" t="s">
        <v>13610</v>
      </c>
      <c r="U2337" t="s">
        <v>13610</v>
      </c>
      <c r="V2337" t="s">
        <v>13610</v>
      </c>
      <c r="W2337" t="s">
        <v>15897</v>
      </c>
      <c r="X2337">
        <v>22</v>
      </c>
      <c r="Y2337" t="s">
        <v>22558</v>
      </c>
      <c r="Z2337" t="s">
        <v>29192</v>
      </c>
      <c r="AA2337">
        <v>0.63393032777279512</v>
      </c>
      <c r="AB2337" t="str">
        <f>HYPERLINK("Melting_Curves/meltCurve_P35612_ADD2.pdf", "Melting_Curves/meltCurve_P35612_ADD2.pdf")</f>
        <v>Melting_Curves/meltCurve_P35612_ADD2.pdf</v>
      </c>
    </row>
    <row r="2338" spans="1:28" x14ac:dyDescent="0.25">
      <c r="A2338" t="s">
        <v>2342</v>
      </c>
      <c r="B2338">
        <v>0.995954080203443</v>
      </c>
      <c r="C2338">
        <v>0.93991109374186599</v>
      </c>
      <c r="D2338">
        <v>0.79356016359600101</v>
      </c>
      <c r="E2338">
        <v>0.88287549902769802</v>
      </c>
      <c r="F2338">
        <v>0.37470906466152998</v>
      </c>
      <c r="G2338">
        <v>0.173209613432766</v>
      </c>
      <c r="H2338">
        <v>0.119324841679564</v>
      </c>
      <c r="I2338">
        <v>9.72083778509924E-2</v>
      </c>
      <c r="J2338">
        <v>0.13813246175222599</v>
      </c>
      <c r="K2338">
        <v>0.108121967605359</v>
      </c>
      <c r="L2338">
        <v>2215.58496796891</v>
      </c>
      <c r="M2338">
        <v>42.6363678808599</v>
      </c>
      <c r="N2338">
        <v>52.3058749800255</v>
      </c>
      <c r="O2338">
        <v>51.850749231138799</v>
      </c>
      <c r="P2338">
        <v>-0.180615425981521</v>
      </c>
      <c r="Q2338">
        <v>0.12140450983803699</v>
      </c>
      <c r="R2338">
        <v>0.96536723183284201</v>
      </c>
      <c r="S2338" t="s">
        <v>9144</v>
      </c>
      <c r="T2338" t="s">
        <v>13610</v>
      </c>
      <c r="U2338" t="s">
        <v>13610</v>
      </c>
      <c r="V2338" t="s">
        <v>13610</v>
      </c>
      <c r="W2338" t="s">
        <v>15898</v>
      </c>
      <c r="X2338">
        <v>6</v>
      </c>
      <c r="Y2338" t="s">
        <v>22559</v>
      </c>
      <c r="Z2338" t="s">
        <v>29193</v>
      </c>
      <c r="AA2338">
        <v>0.47458251833574178</v>
      </c>
      <c r="AB2338" t="str">
        <f>HYPERLINK("Melting_Curves/meltCurve_P35613_2_BSG.pdf", "Melting_Curves/meltCurve_P35613_2_BSG.pdf")</f>
        <v>Melting_Curves/meltCurve_P35613_2_BSG.pdf</v>
      </c>
    </row>
    <row r="2339" spans="1:28" x14ac:dyDescent="0.25">
      <c r="A2339" t="s">
        <v>2343</v>
      </c>
      <c r="B2339">
        <v>0.995954080203443</v>
      </c>
      <c r="C2339">
        <v>1.00504959332539</v>
      </c>
      <c r="D2339">
        <v>0.963148699902179</v>
      </c>
      <c r="E2339">
        <v>0.93830437774015496</v>
      </c>
      <c r="F2339">
        <v>0.85174317338882399</v>
      </c>
      <c r="G2339">
        <v>0.60464010106911903</v>
      </c>
      <c r="H2339">
        <v>0.560985186291035</v>
      </c>
      <c r="I2339">
        <v>0.61673008105548299</v>
      </c>
      <c r="J2339">
        <v>1.02850836051558</v>
      </c>
      <c r="K2339">
        <v>0.82396158319879398</v>
      </c>
      <c r="L2339">
        <v>2582.7275837950601</v>
      </c>
      <c r="M2339">
        <v>49.284836258200599</v>
      </c>
      <c r="O2339">
        <v>52.318040828096002</v>
      </c>
      <c r="P2339">
        <v>-6.3870634645934302E-2</v>
      </c>
      <c r="Q2339">
        <v>0.72879419364286802</v>
      </c>
      <c r="R2339">
        <v>0.45899631177125599</v>
      </c>
      <c r="S2339" t="s">
        <v>9145</v>
      </c>
      <c r="T2339" t="s">
        <v>13610</v>
      </c>
      <c r="U2339" t="s">
        <v>13610</v>
      </c>
      <c r="V2339" t="s">
        <v>13610</v>
      </c>
      <c r="W2339" t="s">
        <v>15899</v>
      </c>
      <c r="X2339">
        <v>17</v>
      </c>
      <c r="Y2339" t="s">
        <v>22560</v>
      </c>
      <c r="Z2339" t="s">
        <v>29194</v>
      </c>
      <c r="AA2339">
        <v>0.84157494475225125</v>
      </c>
      <c r="AB2339" t="str">
        <f>HYPERLINK("Melting_Curves/meltCurve_P35637_2_FUS.pdf", "Melting_Curves/meltCurve_P35637_2_FUS.pdf")</f>
        <v>Melting_Curves/meltCurve_P35637_2_FUS.pdf</v>
      </c>
    </row>
    <row r="2340" spans="1:28" x14ac:dyDescent="0.25">
      <c r="A2340" t="s">
        <v>2344</v>
      </c>
      <c r="B2340">
        <v>0.995954080203443</v>
      </c>
      <c r="C2340">
        <v>0.91412916209999695</v>
      </c>
      <c r="D2340">
        <v>1.1004104189653601</v>
      </c>
      <c r="E2340">
        <v>0.65577190704926702</v>
      </c>
      <c r="F2340">
        <v>0.70408171317950496</v>
      </c>
      <c r="G2340">
        <v>0.55695888995821097</v>
      </c>
      <c r="H2340">
        <v>0.51898806390507701</v>
      </c>
      <c r="I2340">
        <v>0.59796791418791995</v>
      </c>
      <c r="J2340">
        <v>0.82698434751110905</v>
      </c>
      <c r="K2340">
        <v>0.69887322010906605</v>
      </c>
      <c r="L2340">
        <v>12289.6892426124</v>
      </c>
      <c r="M2340">
        <v>250</v>
      </c>
      <c r="O2340">
        <v>49.155610722508399</v>
      </c>
      <c r="P2340">
        <v>-0.44419864468536202</v>
      </c>
      <c r="Q2340">
        <v>0.65064230688394797</v>
      </c>
      <c r="R2340">
        <v>0.75908226796026201</v>
      </c>
      <c r="S2340" t="s">
        <v>9146</v>
      </c>
      <c r="T2340" t="s">
        <v>13610</v>
      </c>
      <c r="U2340" t="s">
        <v>13610</v>
      </c>
      <c r="V2340" t="s">
        <v>13610</v>
      </c>
      <c r="W2340" t="s">
        <v>15900</v>
      </c>
      <c r="X2340">
        <v>2</v>
      </c>
      <c r="Y2340" t="s">
        <v>22561</v>
      </c>
      <c r="Z2340" t="s">
        <v>29195</v>
      </c>
      <c r="AA2340">
        <v>0.75732852053588617</v>
      </c>
      <c r="AB2340" t="str">
        <f>HYPERLINK("Melting_Curves/meltCurve_P35638_DDIT3.pdf", "Melting_Curves/meltCurve_P35638_DDIT3.pdf")</f>
        <v>Melting_Curves/meltCurve_P35638_DDIT3.pdf</v>
      </c>
    </row>
    <row r="2341" spans="1:28" x14ac:dyDescent="0.25">
      <c r="A2341" t="s">
        <v>2345</v>
      </c>
      <c r="B2341">
        <v>0.995954080203443</v>
      </c>
      <c r="C2341">
        <v>1.12569444812919</v>
      </c>
      <c r="D2341">
        <v>1.2510810797538701</v>
      </c>
      <c r="E2341">
        <v>0.87756840200028896</v>
      </c>
      <c r="F2341">
        <v>1.1421153436032001</v>
      </c>
      <c r="G2341">
        <v>0.82436427048781302</v>
      </c>
      <c r="H2341">
        <v>0.66762142380095602</v>
      </c>
      <c r="I2341">
        <v>0.68316664908546398</v>
      </c>
      <c r="J2341">
        <v>0.91209748728871898</v>
      </c>
      <c r="K2341">
        <v>0.77425797954935704</v>
      </c>
      <c r="L2341">
        <v>14193.409277843501</v>
      </c>
      <c r="M2341">
        <v>250</v>
      </c>
      <c r="O2341">
        <v>56.770006090951803</v>
      </c>
      <c r="P2341">
        <v>-0.26501023777131</v>
      </c>
      <c r="Q2341">
        <v>0.75928588424916998</v>
      </c>
      <c r="R2341">
        <v>0.57684824787899502</v>
      </c>
      <c r="S2341" t="s">
        <v>9147</v>
      </c>
      <c r="T2341" t="s">
        <v>13610</v>
      </c>
      <c r="U2341" t="s">
        <v>13610</v>
      </c>
      <c r="V2341" t="s">
        <v>13610</v>
      </c>
      <c r="W2341" t="s">
        <v>15901</v>
      </c>
      <c r="X2341">
        <v>49</v>
      </c>
      <c r="Y2341" t="s">
        <v>22562</v>
      </c>
      <c r="Z2341" t="s">
        <v>29196</v>
      </c>
      <c r="AA2341">
        <v>0.89389824241829252</v>
      </c>
      <c r="AB2341" t="str">
        <f>HYPERLINK("Melting_Curves/meltCurve_P35658_2_NUP214.pdf", "Melting_Curves/meltCurve_P35658_2_NUP214.pdf")</f>
        <v>Melting_Curves/meltCurve_P35658_2_NUP214.pdf</v>
      </c>
    </row>
    <row r="2342" spans="1:28" x14ac:dyDescent="0.25">
      <c r="A2342" t="s">
        <v>2346</v>
      </c>
      <c r="B2342">
        <v>0.995954080203443</v>
      </c>
      <c r="C2342">
        <v>0.95432389152433905</v>
      </c>
      <c r="D2342">
        <v>1.04666349701182</v>
      </c>
      <c r="E2342">
        <v>0.77715710769156499</v>
      </c>
      <c r="F2342">
        <v>0.46550901156577501</v>
      </c>
      <c r="G2342">
        <v>0.33500567497879302</v>
      </c>
      <c r="H2342">
        <v>0.29835969071758101</v>
      </c>
      <c r="I2342">
        <v>0.35273139448042501</v>
      </c>
      <c r="J2342">
        <v>0.41109583569580999</v>
      </c>
      <c r="K2342">
        <v>0.41372731712893501</v>
      </c>
      <c r="L2342">
        <v>2201.77033340254</v>
      </c>
      <c r="M2342">
        <v>43.357937086376502</v>
      </c>
      <c r="N2342">
        <v>52.343214169986098</v>
      </c>
      <c r="O2342">
        <v>50.673596757151401</v>
      </c>
      <c r="P2342">
        <v>-0.13628282062012001</v>
      </c>
      <c r="Q2342">
        <v>0.36289141350614201</v>
      </c>
      <c r="R2342">
        <v>0.98111470385705901</v>
      </c>
      <c r="S2342" t="s">
        <v>9148</v>
      </c>
      <c r="T2342" t="s">
        <v>13610</v>
      </c>
      <c r="U2342" t="s">
        <v>13610</v>
      </c>
      <c r="V2342" t="s">
        <v>13610</v>
      </c>
      <c r="W2342" t="s">
        <v>15902</v>
      </c>
      <c r="X2342">
        <v>49</v>
      </c>
      <c r="Y2342" t="s">
        <v>22562</v>
      </c>
      <c r="Z2342" t="s">
        <v>29197</v>
      </c>
      <c r="AA2342">
        <v>0.59375353095990147</v>
      </c>
      <c r="AB2342" t="str">
        <f>HYPERLINK("Melting_Curves/meltCurve_P35658_4_NUP214.pdf", "Melting_Curves/meltCurve_P35658_4_NUP214.pdf")</f>
        <v>Melting_Curves/meltCurve_P35658_4_NUP214.pdf</v>
      </c>
    </row>
    <row r="2343" spans="1:28" x14ac:dyDescent="0.25">
      <c r="A2343" t="s">
        <v>2347</v>
      </c>
      <c r="B2343">
        <v>0.995954080203443</v>
      </c>
      <c r="C2343">
        <v>1.01283131290355</v>
      </c>
      <c r="D2343">
        <v>1.02189112324265</v>
      </c>
      <c r="E2343">
        <v>0.87222731519511298</v>
      </c>
      <c r="F2343">
        <v>0.83710404514928705</v>
      </c>
      <c r="G2343">
        <v>0.58653705773857601</v>
      </c>
      <c r="H2343">
        <v>0.541433079179652</v>
      </c>
      <c r="I2343">
        <v>0.61715320163644305</v>
      </c>
      <c r="J2343">
        <v>0.72598010245258204</v>
      </c>
      <c r="K2343">
        <v>0.75767110956740102</v>
      </c>
      <c r="L2343">
        <v>1642.9744135733399</v>
      </c>
      <c r="M2343">
        <v>31.553928630331399</v>
      </c>
      <c r="O2343">
        <v>51.8609801479178</v>
      </c>
      <c r="P2343">
        <v>-5.3649542895534801E-2</v>
      </c>
      <c r="Q2343">
        <v>0.64729551338287805</v>
      </c>
      <c r="R2343">
        <v>0.844691418729694</v>
      </c>
      <c r="S2343" t="s">
        <v>9149</v>
      </c>
      <c r="T2343" t="s">
        <v>13610</v>
      </c>
      <c r="U2343" t="s">
        <v>13610</v>
      </c>
      <c r="V2343" t="s">
        <v>13610</v>
      </c>
      <c r="W2343" t="s">
        <v>15903</v>
      </c>
      <c r="X2343">
        <v>11</v>
      </c>
      <c r="Y2343" t="s">
        <v>22563</v>
      </c>
      <c r="Z2343" t="s">
        <v>29198</v>
      </c>
      <c r="AA2343">
        <v>0.79122653429406165</v>
      </c>
      <c r="AB2343" t="str">
        <f>HYPERLINK("Melting_Curves/meltCurve_P35712_SOX6.pdf", "Melting_Curves/meltCurve_P35712_SOX6.pdf")</f>
        <v>Melting_Curves/meltCurve_P35712_SOX6.pdf</v>
      </c>
    </row>
    <row r="2344" spans="1:28" x14ac:dyDescent="0.25">
      <c r="A2344" t="s">
        <v>2348</v>
      </c>
      <c r="B2344">
        <v>0.995954080203443</v>
      </c>
      <c r="C2344">
        <v>0.76619814123260099</v>
      </c>
      <c r="D2344">
        <v>1.6337758031610801</v>
      </c>
      <c r="E2344">
        <v>1.1291041902875301</v>
      </c>
      <c r="F2344">
        <v>2.02388874816396</v>
      </c>
      <c r="G2344">
        <v>1.86023360029162</v>
      </c>
      <c r="H2344">
        <v>2.15350984613469</v>
      </c>
      <c r="I2344">
        <v>2.66051469312707</v>
      </c>
      <c r="J2344">
        <v>3.6781135873255901</v>
      </c>
      <c r="K2344">
        <v>3.3603401034413301</v>
      </c>
      <c r="L2344">
        <v>11112.912644842199</v>
      </c>
      <c r="M2344">
        <v>250</v>
      </c>
      <c r="O2344">
        <v>44.448805942140403</v>
      </c>
      <c r="P2344">
        <v>0.70305600692004899</v>
      </c>
      <c r="Q2344">
        <v>1.5</v>
      </c>
      <c r="R2344">
        <v>-0.23715641694186099</v>
      </c>
      <c r="S2344" t="s">
        <v>9150</v>
      </c>
      <c r="T2344" t="s">
        <v>13610</v>
      </c>
      <c r="U2344" t="s">
        <v>13610</v>
      </c>
      <c r="V2344" t="s">
        <v>13610</v>
      </c>
      <c r="W2344" t="s">
        <v>15904</v>
      </c>
      <c r="X2344">
        <v>29</v>
      </c>
      <c r="Y2344" t="s">
        <v>22564</v>
      </c>
      <c r="Z2344" t="s">
        <v>29199</v>
      </c>
      <c r="AA2344">
        <v>1.425766817699712</v>
      </c>
      <c r="AB2344" t="str">
        <f>HYPERLINK("Melting_Curves/meltCurve_P35749_4_MYH11.pdf", "Melting_Curves/meltCurve_P35749_4_MYH11.pdf")</f>
        <v>Melting_Curves/meltCurve_P35749_4_MYH11.pdf</v>
      </c>
    </row>
    <row r="2345" spans="1:28" x14ac:dyDescent="0.25">
      <c r="A2345" t="s">
        <v>2349</v>
      </c>
      <c r="B2345">
        <v>0.995954080203443</v>
      </c>
      <c r="C2345">
        <v>0.92697019483660403</v>
      </c>
      <c r="D2345">
        <v>0.88410506612044903</v>
      </c>
      <c r="E2345">
        <v>0.86281069500622398</v>
      </c>
      <c r="F2345">
        <v>0.79640429576212501</v>
      </c>
      <c r="G2345">
        <v>0.53066925452933</v>
      </c>
      <c r="H2345">
        <v>0.49199741190479601</v>
      </c>
      <c r="I2345">
        <v>0.53980921515781799</v>
      </c>
      <c r="J2345">
        <v>0.75281834000009495</v>
      </c>
      <c r="K2345">
        <v>0.51916107225452801</v>
      </c>
      <c r="L2345">
        <v>999.66230540611105</v>
      </c>
      <c r="M2345">
        <v>19.3684793911047</v>
      </c>
      <c r="O2345">
        <v>51.072093275451003</v>
      </c>
      <c r="P2345">
        <v>-4.1865684215781303E-2</v>
      </c>
      <c r="Q2345">
        <v>0.55843944186102301</v>
      </c>
      <c r="R2345">
        <v>0.79057089357153398</v>
      </c>
      <c r="S2345" t="s">
        <v>9151</v>
      </c>
      <c r="T2345" t="s">
        <v>13610</v>
      </c>
      <c r="U2345" t="s">
        <v>13610</v>
      </c>
      <c r="V2345" t="s">
        <v>13610</v>
      </c>
      <c r="W2345" t="s">
        <v>15905</v>
      </c>
      <c r="X2345">
        <v>5</v>
      </c>
      <c r="Y2345" t="s">
        <v>22565</v>
      </c>
      <c r="Z2345" t="s">
        <v>29200</v>
      </c>
      <c r="AA2345">
        <v>0.73585087225700818</v>
      </c>
      <c r="AB2345" t="str">
        <f>HYPERLINK("Melting_Curves/meltCurve_P35754_GLRX.pdf", "Melting_Curves/meltCurve_P35754_GLRX.pdf")</f>
        <v>Melting_Curves/meltCurve_P35754_GLRX.pdf</v>
      </c>
    </row>
    <row r="2346" spans="1:28" x14ac:dyDescent="0.25">
      <c r="A2346" t="s">
        <v>2350</v>
      </c>
      <c r="B2346">
        <v>0.995954080203443</v>
      </c>
      <c r="C2346">
        <v>0.95745370736476598</v>
      </c>
      <c r="D2346">
        <v>0.882478610953639</v>
      </c>
      <c r="E2346">
        <v>0.70977163198858395</v>
      </c>
      <c r="F2346">
        <v>0.45594280203649801</v>
      </c>
      <c r="G2346">
        <v>0.23636650981478299</v>
      </c>
      <c r="H2346">
        <v>0.11537736193820999</v>
      </c>
      <c r="I2346">
        <v>8.3871452973034E-2</v>
      </c>
      <c r="J2346">
        <v>6.8459665783356896E-2</v>
      </c>
      <c r="K2346">
        <v>5.4826955294178498E-2</v>
      </c>
      <c r="L2346">
        <v>838.17754820546702</v>
      </c>
      <c r="M2346">
        <v>16.0334919645369</v>
      </c>
      <c r="N2346">
        <v>52.516816413559603</v>
      </c>
      <c r="O2346">
        <v>51.483726448925097</v>
      </c>
      <c r="P2346">
        <v>-7.5110885198220595E-2</v>
      </c>
      <c r="Q2346">
        <v>3.5347167425027297E-2</v>
      </c>
      <c r="R2346">
        <v>0.99902270051157005</v>
      </c>
      <c r="S2346" t="s">
        <v>9152</v>
      </c>
      <c r="T2346" t="s">
        <v>13610</v>
      </c>
      <c r="U2346" t="s">
        <v>13610</v>
      </c>
      <c r="V2346" t="s">
        <v>13610</v>
      </c>
      <c r="W2346" t="s">
        <v>15906</v>
      </c>
      <c r="X2346">
        <v>4</v>
      </c>
      <c r="Y2346" t="s">
        <v>22566</v>
      </c>
      <c r="Z2346" t="s">
        <v>29201</v>
      </c>
      <c r="AA2346">
        <v>0.44939264171584381</v>
      </c>
      <c r="AB2346" t="str">
        <f>HYPERLINK("Melting_Curves/meltCurve_P35790_2_CHKA.pdf", "Melting_Curves/meltCurve_P35790_2_CHKA.pdf")</f>
        <v>Melting_Curves/meltCurve_P35790_2_CHKA.pdf</v>
      </c>
    </row>
    <row r="2347" spans="1:28" x14ac:dyDescent="0.25">
      <c r="A2347" t="s">
        <v>2351</v>
      </c>
      <c r="B2347">
        <v>0.995954080203443</v>
      </c>
      <c r="C2347">
        <v>1.02146287242379</v>
      </c>
      <c r="D2347">
        <v>1.0013637089121601</v>
      </c>
      <c r="E2347">
        <v>0.71162861693272095</v>
      </c>
      <c r="F2347">
        <v>0.21088978886113199</v>
      </c>
      <c r="G2347">
        <v>0.109280040121378</v>
      </c>
      <c r="H2347">
        <v>6.7937156882113894E-2</v>
      </c>
      <c r="I2347">
        <v>5.7559118928567E-2</v>
      </c>
      <c r="J2347">
        <v>6.6098865386362504E-2</v>
      </c>
      <c r="K2347">
        <v>6.5160168548168501E-2</v>
      </c>
      <c r="L2347">
        <v>2206.14353830246</v>
      </c>
      <c r="M2347">
        <v>43.325215933158397</v>
      </c>
      <c r="N2347">
        <v>51.100174932950402</v>
      </c>
      <c r="O2347">
        <v>50.8124153841501</v>
      </c>
      <c r="P2347">
        <v>-0.198106174808653</v>
      </c>
      <c r="Q2347">
        <v>7.0634673735203199E-2</v>
      </c>
      <c r="R2347">
        <v>0.99902461832696499</v>
      </c>
      <c r="S2347" t="s">
        <v>9153</v>
      </c>
      <c r="T2347" t="s">
        <v>13610</v>
      </c>
      <c r="U2347" t="s">
        <v>13610</v>
      </c>
      <c r="V2347" t="s">
        <v>13610</v>
      </c>
      <c r="W2347" t="s">
        <v>15907</v>
      </c>
      <c r="X2347">
        <v>17</v>
      </c>
      <c r="Y2347" t="s">
        <v>22567</v>
      </c>
      <c r="Z2347" t="s">
        <v>29202</v>
      </c>
      <c r="AA2347">
        <v>0.41172554396825789</v>
      </c>
      <c r="AB2347" t="str">
        <f>HYPERLINK("Melting_Curves/meltCurve_P35813_PPM1A.pdf", "Melting_Curves/meltCurve_P35813_PPM1A.pdf")</f>
        <v>Melting_Curves/meltCurve_P35813_PPM1A.pdf</v>
      </c>
    </row>
    <row r="2348" spans="1:28" x14ac:dyDescent="0.25">
      <c r="A2348" t="s">
        <v>2352</v>
      </c>
      <c r="B2348">
        <v>0.995954080203443</v>
      </c>
      <c r="C2348">
        <v>0.75797524270194505</v>
      </c>
      <c r="D2348">
        <v>0.61259404876152002</v>
      </c>
      <c r="E2348">
        <v>0.61591972002318496</v>
      </c>
      <c r="F2348">
        <v>0.51328351558071605</v>
      </c>
      <c r="G2348">
        <v>0.34949770126826601</v>
      </c>
      <c r="H2348">
        <v>0.30190540641784802</v>
      </c>
      <c r="I2348">
        <v>0.335171013466384</v>
      </c>
      <c r="J2348">
        <v>0.41638157739522502</v>
      </c>
      <c r="K2348">
        <v>0.358690204095651</v>
      </c>
      <c r="L2348">
        <v>529.24777419704105</v>
      </c>
      <c r="M2348">
        <v>11.4126794192189</v>
      </c>
      <c r="N2348">
        <v>51.277547598649299</v>
      </c>
      <c r="O2348">
        <v>45.018386989358497</v>
      </c>
      <c r="P2348">
        <v>-4.2340318727177501E-2</v>
      </c>
      <c r="Q2348">
        <v>0.33213436570265198</v>
      </c>
      <c r="R2348">
        <v>0.91627351100217602</v>
      </c>
      <c r="S2348" t="s">
        <v>9154</v>
      </c>
      <c r="T2348" t="s">
        <v>13610</v>
      </c>
      <c r="U2348" t="s">
        <v>13610</v>
      </c>
      <c r="V2348" t="s">
        <v>13610</v>
      </c>
      <c r="W2348" t="s">
        <v>15908</v>
      </c>
      <c r="X2348">
        <v>2</v>
      </c>
      <c r="Y2348" t="s">
        <v>22568</v>
      </c>
      <c r="Z2348" t="s">
        <v>29203</v>
      </c>
      <c r="AA2348">
        <v>0.50629654642141686</v>
      </c>
      <c r="AB2348" t="str">
        <f>HYPERLINK("Melting_Curves/meltCurve_P35869_AHR.pdf", "Melting_Curves/meltCurve_P35869_AHR.pdf")</f>
        <v>Melting_Curves/meltCurve_P35869_AHR.pdf</v>
      </c>
    </row>
    <row r="2349" spans="1:28" x14ac:dyDescent="0.25">
      <c r="A2349" t="s">
        <v>2353</v>
      </c>
      <c r="B2349">
        <v>0.995954080203443</v>
      </c>
      <c r="C2349">
        <v>1.23113786491364</v>
      </c>
      <c r="D2349">
        <v>1.0304391059457101</v>
      </c>
      <c r="E2349">
        <v>0.79174084638576103</v>
      </c>
      <c r="F2349">
        <v>1.2033049284461601</v>
      </c>
      <c r="G2349">
        <v>0.48101262814575702</v>
      </c>
      <c r="H2349">
        <v>0.70689145849808999</v>
      </c>
      <c r="I2349">
        <v>1.17741320109948</v>
      </c>
      <c r="J2349">
        <v>0.99954316505303498</v>
      </c>
      <c r="K2349">
        <v>0.67471100339494605</v>
      </c>
      <c r="L2349">
        <v>3060.9475007742499</v>
      </c>
      <c r="M2349">
        <v>56.009662304042998</v>
      </c>
      <c r="O2349">
        <v>54.5808120958581</v>
      </c>
      <c r="P2349">
        <v>-4.6998264391621698E-2</v>
      </c>
      <c r="Q2349">
        <v>0.81680289117712501</v>
      </c>
      <c r="R2349">
        <v>0.19104496816401401</v>
      </c>
      <c r="S2349" t="s">
        <v>9155</v>
      </c>
      <c r="T2349" t="s">
        <v>13610</v>
      </c>
      <c r="U2349" t="s">
        <v>13610</v>
      </c>
      <c r="V2349" t="s">
        <v>13610</v>
      </c>
      <c r="W2349" t="s">
        <v>15909</v>
      </c>
      <c r="X2349">
        <v>34</v>
      </c>
      <c r="Y2349" t="s">
        <v>22569</v>
      </c>
      <c r="Z2349" t="s">
        <v>29204</v>
      </c>
      <c r="AA2349">
        <v>0.90661775650767995</v>
      </c>
      <c r="AB2349" t="str">
        <f>HYPERLINK("Melting_Curves/meltCurve_P35908_KRT2.pdf", "Melting_Curves/meltCurve_P35908_KRT2.pdf")</f>
        <v>Melting_Curves/meltCurve_P35908_KRT2.pdf</v>
      </c>
    </row>
    <row r="2350" spans="1:28" x14ac:dyDescent="0.25">
      <c r="A2350" t="s">
        <v>2354</v>
      </c>
      <c r="B2350">
        <v>0.995954080203443</v>
      </c>
      <c r="C2350">
        <v>0.70987199767367004</v>
      </c>
      <c r="D2350">
        <v>0.49354262916046199</v>
      </c>
      <c r="E2350">
        <v>0.55750716187893601</v>
      </c>
      <c r="F2350">
        <v>0.22336847456952699</v>
      </c>
      <c r="G2350">
        <v>0.11112560915929701</v>
      </c>
      <c r="H2350">
        <v>6.3366126525514599E-2</v>
      </c>
      <c r="I2350">
        <v>5.4247801429751899E-2</v>
      </c>
      <c r="J2350">
        <v>5.8527745374205499E-2</v>
      </c>
      <c r="K2350">
        <v>5.8821036289561403E-2</v>
      </c>
      <c r="L2350">
        <v>505.194170857144</v>
      </c>
      <c r="M2350">
        <v>10.5671485555802</v>
      </c>
      <c r="N2350">
        <v>47.8079943779328</v>
      </c>
      <c r="O2350">
        <v>46.191131214462203</v>
      </c>
      <c r="P2350">
        <v>-5.72150381543872E-2</v>
      </c>
      <c r="Q2350">
        <v>0</v>
      </c>
      <c r="R2350">
        <v>0.93951673899852906</v>
      </c>
      <c r="S2350" t="s">
        <v>9156</v>
      </c>
      <c r="T2350" t="s">
        <v>13610</v>
      </c>
      <c r="U2350" t="s">
        <v>13610</v>
      </c>
      <c r="V2350" t="s">
        <v>13610</v>
      </c>
      <c r="W2350" t="s">
        <v>15910</v>
      </c>
      <c r="X2350">
        <v>36</v>
      </c>
      <c r="Y2350" t="s">
        <v>22570</v>
      </c>
      <c r="Z2350" t="s">
        <v>29205</v>
      </c>
      <c r="AA2350">
        <v>0.30951432102504878</v>
      </c>
      <c r="AB2350" t="str">
        <f>HYPERLINK("Melting_Curves/meltCurve_P35998_PSMC2.pdf", "Melting_Curves/meltCurve_P35998_PSMC2.pdf")</f>
        <v>Melting_Curves/meltCurve_P35998_PSMC2.pdf</v>
      </c>
    </row>
    <row r="2351" spans="1:28" x14ac:dyDescent="0.25">
      <c r="A2351" t="s">
        <v>2355</v>
      </c>
      <c r="B2351">
        <v>0.995954080203443</v>
      </c>
      <c r="C2351">
        <v>0.93513727616727604</v>
      </c>
      <c r="D2351">
        <v>0.816976833860805</v>
      </c>
      <c r="E2351">
        <v>0.54636991531330303</v>
      </c>
      <c r="F2351">
        <v>0.21760193560046001</v>
      </c>
      <c r="G2351">
        <v>0.119289124660202</v>
      </c>
      <c r="H2351">
        <v>8.4152706169066394E-2</v>
      </c>
      <c r="I2351">
        <v>7.8400552553613695E-2</v>
      </c>
      <c r="J2351">
        <v>8.9853594050357505E-2</v>
      </c>
      <c r="K2351">
        <v>8.0367001052892906E-2</v>
      </c>
      <c r="L2351">
        <v>1018.62093202797</v>
      </c>
      <c r="M2351">
        <v>20.545839236772</v>
      </c>
      <c r="N2351">
        <v>49.937331624325203</v>
      </c>
      <c r="O2351">
        <v>49.1154508351255</v>
      </c>
      <c r="P2351">
        <v>-9.7395276174573706E-2</v>
      </c>
      <c r="Q2351">
        <v>6.8721526454791806E-2</v>
      </c>
      <c r="R2351">
        <v>0.99491605798747595</v>
      </c>
      <c r="S2351" t="s">
        <v>9157</v>
      </c>
      <c r="T2351" t="s">
        <v>13610</v>
      </c>
      <c r="U2351" t="s">
        <v>13610</v>
      </c>
      <c r="V2351" t="s">
        <v>13610</v>
      </c>
      <c r="W2351" t="s">
        <v>15911</v>
      </c>
      <c r="X2351">
        <v>7</v>
      </c>
      <c r="Y2351" t="s">
        <v>22571</v>
      </c>
      <c r="Z2351" t="s">
        <v>29206</v>
      </c>
      <c r="AA2351">
        <v>0.3783592027809603</v>
      </c>
      <c r="AB2351" t="str">
        <f>HYPERLINK("Melting_Curves/meltCurve_P36404_ARL2.pdf", "Melting_Curves/meltCurve_P36404_ARL2.pdf")</f>
        <v>Melting_Curves/meltCurve_P36404_ARL2.pdf</v>
      </c>
    </row>
    <row r="2352" spans="1:28" x14ac:dyDescent="0.25">
      <c r="A2352" t="s">
        <v>2356</v>
      </c>
      <c r="B2352">
        <v>0.995954080203443</v>
      </c>
      <c r="C2352">
        <v>0.97215262168605399</v>
      </c>
      <c r="D2352">
        <v>0.88256200182889899</v>
      </c>
      <c r="E2352">
        <v>0.84666564359027097</v>
      </c>
      <c r="F2352">
        <v>0.63954857579521296</v>
      </c>
      <c r="G2352">
        <v>0.30236765551744099</v>
      </c>
      <c r="H2352">
        <v>0.18021602156661101</v>
      </c>
      <c r="I2352">
        <v>0.14066034881304401</v>
      </c>
      <c r="J2352">
        <v>0.20225699369366801</v>
      </c>
      <c r="K2352">
        <v>0.119765441748874</v>
      </c>
      <c r="L2352">
        <v>1102.1964649440699</v>
      </c>
      <c r="M2352">
        <v>20.5742824485589</v>
      </c>
      <c r="N2352">
        <v>54.368030202419803</v>
      </c>
      <c r="O2352">
        <v>53.073176220517801</v>
      </c>
      <c r="P2352">
        <v>-8.4307540929591002E-2</v>
      </c>
      <c r="Q2352">
        <v>0.130110516073181</v>
      </c>
      <c r="R2352">
        <v>0.98875319029798103</v>
      </c>
      <c r="S2352" t="s">
        <v>9158</v>
      </c>
      <c r="T2352" t="s">
        <v>13610</v>
      </c>
      <c r="U2352" t="s">
        <v>13610</v>
      </c>
      <c r="V2352" t="s">
        <v>13610</v>
      </c>
      <c r="W2352" t="s">
        <v>15912</v>
      </c>
      <c r="X2352">
        <v>8</v>
      </c>
      <c r="Y2352" t="s">
        <v>22572</v>
      </c>
      <c r="Z2352" t="s">
        <v>29207</v>
      </c>
      <c r="AA2352">
        <v>0.53498110204852856</v>
      </c>
      <c r="AB2352" t="str">
        <f>HYPERLINK("Melting_Curves/meltCurve_P36405_ARL3.pdf", "Melting_Curves/meltCurve_P36405_ARL3.pdf")</f>
        <v>Melting_Curves/meltCurve_P36405_ARL3.pdf</v>
      </c>
    </row>
    <row r="2353" spans="1:28" x14ac:dyDescent="0.25">
      <c r="A2353" t="s">
        <v>2357</v>
      </c>
      <c r="B2353">
        <v>0.995954080203443</v>
      </c>
      <c r="C2353">
        <v>0.94309170948288001</v>
      </c>
      <c r="D2353">
        <v>0.84734068228983805</v>
      </c>
      <c r="E2353">
        <v>0.49228474178800102</v>
      </c>
      <c r="F2353">
        <v>0.180507798843377</v>
      </c>
      <c r="G2353">
        <v>8.7353543872391901E-2</v>
      </c>
      <c r="H2353">
        <v>5.32274798820297E-2</v>
      </c>
      <c r="I2353">
        <v>3.9014662141336899E-2</v>
      </c>
      <c r="J2353">
        <v>4.7127055150181597E-2</v>
      </c>
      <c r="K2353">
        <v>3.9474729155831702E-2</v>
      </c>
      <c r="L2353">
        <v>1129.0262207737401</v>
      </c>
      <c r="M2353">
        <v>22.800080069893198</v>
      </c>
      <c r="N2353">
        <v>49.684925558374999</v>
      </c>
      <c r="O2353">
        <v>49.142289490228499</v>
      </c>
      <c r="P2353">
        <v>-0.11172846856228801</v>
      </c>
      <c r="Q2353">
        <v>3.6759778475950002E-2</v>
      </c>
      <c r="R2353">
        <v>0.99814042436558603</v>
      </c>
      <c r="S2353" t="s">
        <v>9159</v>
      </c>
      <c r="T2353" t="s">
        <v>13610</v>
      </c>
      <c r="U2353" t="s">
        <v>13610</v>
      </c>
      <c r="V2353" t="s">
        <v>13610</v>
      </c>
      <c r="W2353" t="s">
        <v>15913</v>
      </c>
      <c r="X2353">
        <v>20</v>
      </c>
      <c r="Y2353" t="s">
        <v>22573</v>
      </c>
      <c r="Z2353" t="s">
        <v>29208</v>
      </c>
      <c r="AA2353">
        <v>0.35271131959057178</v>
      </c>
      <c r="AB2353" t="str">
        <f>HYPERLINK("Melting_Curves/meltCurve_P36507_MAP2K2.pdf", "Melting_Curves/meltCurve_P36507_MAP2K2.pdf")</f>
        <v>Melting_Curves/meltCurve_P36507_MAP2K2.pdf</v>
      </c>
    </row>
    <row r="2354" spans="1:28" x14ac:dyDescent="0.25">
      <c r="A2354" t="s">
        <v>2358</v>
      </c>
      <c r="B2354">
        <v>0.995954080203443</v>
      </c>
      <c r="C2354">
        <v>0.95390992292796895</v>
      </c>
      <c r="D2354">
        <v>0.43546949557909398</v>
      </c>
      <c r="E2354">
        <v>0.64564435689417699</v>
      </c>
      <c r="F2354">
        <v>0.36761011876558902</v>
      </c>
      <c r="G2354">
        <v>0.11376986834394701</v>
      </c>
      <c r="H2354">
        <v>6.4933826371737294E-2</v>
      </c>
      <c r="I2354">
        <v>5.2681959296792001E-2</v>
      </c>
      <c r="J2354">
        <v>6.70595313791396E-2</v>
      </c>
      <c r="K2354">
        <v>5.77171094560643E-2</v>
      </c>
      <c r="L2354">
        <v>550.34555348634501</v>
      </c>
      <c r="M2354">
        <v>11.121648266977299</v>
      </c>
      <c r="N2354">
        <v>49.484155055300697</v>
      </c>
      <c r="O2354">
        <v>47.965149594133898</v>
      </c>
      <c r="P2354">
        <v>-5.7986085775560303E-2</v>
      </c>
      <c r="Q2354">
        <v>0</v>
      </c>
      <c r="R2354">
        <v>0.90030262643555203</v>
      </c>
      <c r="S2354" t="s">
        <v>9160</v>
      </c>
      <c r="T2354" t="s">
        <v>13610</v>
      </c>
      <c r="U2354" t="s">
        <v>13610</v>
      </c>
      <c r="V2354" t="s">
        <v>13610</v>
      </c>
      <c r="W2354" t="s">
        <v>15914</v>
      </c>
      <c r="X2354">
        <v>16</v>
      </c>
      <c r="Y2354" t="s">
        <v>22574</v>
      </c>
      <c r="Z2354" t="s">
        <v>29209</v>
      </c>
      <c r="AA2354">
        <v>0.35638408384347797</v>
      </c>
      <c r="AB2354" t="str">
        <f>HYPERLINK("Melting_Curves/meltCurve_P36543_ATP6V1E1.pdf", "Melting_Curves/meltCurve_P36543_ATP6V1E1.pdf")</f>
        <v>Melting_Curves/meltCurve_P36543_ATP6V1E1.pdf</v>
      </c>
    </row>
    <row r="2355" spans="1:28" x14ac:dyDescent="0.25">
      <c r="A2355" t="s">
        <v>2359</v>
      </c>
      <c r="B2355">
        <v>0.995954080203443</v>
      </c>
      <c r="C2355">
        <v>0.99489082488701797</v>
      </c>
      <c r="D2355">
        <v>0.93775446941658502</v>
      </c>
      <c r="E2355">
        <v>0.87329276816985002</v>
      </c>
      <c r="F2355">
        <v>0.72215933126711995</v>
      </c>
      <c r="G2355">
        <v>0.47230949479452</v>
      </c>
      <c r="H2355">
        <v>0.238332553871202</v>
      </c>
      <c r="I2355">
        <v>0.12627684789117799</v>
      </c>
      <c r="J2355">
        <v>0.102998261999885</v>
      </c>
      <c r="K2355">
        <v>0.10196608729104401</v>
      </c>
      <c r="L2355">
        <v>887.50272551087596</v>
      </c>
      <c r="M2355">
        <v>15.845794198812699</v>
      </c>
      <c r="N2355">
        <v>56.294567317801601</v>
      </c>
      <c r="O2355">
        <v>55.139445020942098</v>
      </c>
      <c r="P2355">
        <v>-6.9072756714625205E-2</v>
      </c>
      <c r="Q2355">
        <v>3.8653600886199999E-2</v>
      </c>
      <c r="R2355">
        <v>0.99785190232666898</v>
      </c>
      <c r="S2355" t="s">
        <v>9161</v>
      </c>
      <c r="T2355" t="s">
        <v>13610</v>
      </c>
      <c r="U2355" t="s">
        <v>13610</v>
      </c>
      <c r="V2355" t="s">
        <v>13610</v>
      </c>
      <c r="W2355" t="s">
        <v>15915</v>
      </c>
      <c r="X2355">
        <v>20</v>
      </c>
      <c r="Y2355" t="s">
        <v>22575</v>
      </c>
      <c r="Z2355" t="s">
        <v>29210</v>
      </c>
      <c r="AA2355">
        <v>0.56787307800365616</v>
      </c>
      <c r="AB2355" t="str">
        <f>HYPERLINK("Melting_Curves/meltCurve_P36551_CPOX.pdf", "Melting_Curves/meltCurve_P36551_CPOX.pdf")</f>
        <v>Melting_Curves/meltCurve_P36551_CPOX.pdf</v>
      </c>
    </row>
    <row r="2356" spans="1:28" x14ac:dyDescent="0.25">
      <c r="A2356" t="s">
        <v>2360</v>
      </c>
      <c r="B2356">
        <v>0.995954080203443</v>
      </c>
      <c r="C2356">
        <v>0.81238635575958396</v>
      </c>
      <c r="D2356">
        <v>0.73859502518347697</v>
      </c>
      <c r="E2356">
        <v>0.64079128817085595</v>
      </c>
      <c r="F2356">
        <v>0.50532668350653998</v>
      </c>
      <c r="G2356">
        <v>0.36131396658578102</v>
      </c>
      <c r="H2356">
        <v>0.32987424033038998</v>
      </c>
      <c r="I2356">
        <v>0.38673149790186501</v>
      </c>
      <c r="J2356">
        <v>0.44074541018512903</v>
      </c>
      <c r="K2356">
        <v>0.45792961279698502</v>
      </c>
      <c r="L2356">
        <v>642.35851135720702</v>
      </c>
      <c r="M2356">
        <v>13.627267010930399</v>
      </c>
      <c r="N2356">
        <v>52.746832712959602</v>
      </c>
      <c r="O2356">
        <v>46.157403164197298</v>
      </c>
      <c r="P2356">
        <v>-4.5575287323031399E-2</v>
      </c>
      <c r="Q2356">
        <v>0.38261203676045602</v>
      </c>
      <c r="R2356">
        <v>0.93457165543129095</v>
      </c>
      <c r="S2356" t="s">
        <v>9162</v>
      </c>
      <c r="T2356" t="s">
        <v>13610</v>
      </c>
      <c r="U2356" t="s">
        <v>13610</v>
      </c>
      <c r="V2356" t="s">
        <v>13610</v>
      </c>
      <c r="W2356" t="s">
        <v>15916</v>
      </c>
      <c r="X2356">
        <v>16</v>
      </c>
      <c r="Y2356" t="s">
        <v>22576</v>
      </c>
      <c r="Z2356" t="s">
        <v>29211</v>
      </c>
      <c r="AA2356">
        <v>0.54966859680933877</v>
      </c>
      <c r="AB2356" t="str">
        <f>HYPERLINK("Melting_Curves/meltCurve_P36578_RPL4.pdf", "Melting_Curves/meltCurve_P36578_RPL4.pdf")</f>
        <v>Melting_Curves/meltCurve_P36578_RPL4.pdf</v>
      </c>
    </row>
    <row r="2357" spans="1:28" x14ac:dyDescent="0.25">
      <c r="A2357" t="s">
        <v>2361</v>
      </c>
      <c r="B2357">
        <v>0.995954080203443</v>
      </c>
      <c r="C2357">
        <v>0.95475477188872004</v>
      </c>
      <c r="D2357">
        <v>0.89549214413451705</v>
      </c>
      <c r="E2357">
        <v>0.89237741993589303</v>
      </c>
      <c r="F2357">
        <v>0.72119788672030205</v>
      </c>
      <c r="G2357">
        <v>0.31966491761324001</v>
      </c>
      <c r="H2357">
        <v>0.13821535691154799</v>
      </c>
      <c r="I2357">
        <v>0.121131572021596</v>
      </c>
      <c r="J2357">
        <v>0.14421143546381099</v>
      </c>
      <c r="K2357">
        <v>0.116398902732047</v>
      </c>
      <c r="L2357">
        <v>1356.54405046748</v>
      </c>
      <c r="M2357">
        <v>24.929464021827101</v>
      </c>
      <c r="N2357">
        <v>54.9530717277717</v>
      </c>
      <c r="O2357">
        <v>54.068771992550197</v>
      </c>
      <c r="P2357">
        <v>-0.10279199867811099</v>
      </c>
      <c r="Q2357">
        <v>0.108242122183506</v>
      </c>
      <c r="R2357">
        <v>0.99019094398126195</v>
      </c>
      <c r="S2357" t="s">
        <v>9163</v>
      </c>
      <c r="T2357" t="s">
        <v>13610</v>
      </c>
      <c r="U2357" t="s">
        <v>13610</v>
      </c>
      <c r="V2357" t="s">
        <v>13610</v>
      </c>
      <c r="W2357" t="s">
        <v>15917</v>
      </c>
      <c r="X2357">
        <v>5</v>
      </c>
      <c r="Y2357" t="s">
        <v>22577</v>
      </c>
      <c r="Z2357" t="s">
        <v>29212</v>
      </c>
      <c r="AA2357">
        <v>0.54503996507471475</v>
      </c>
      <c r="AB2357" t="str">
        <f>HYPERLINK("Melting_Curves/meltCurve_P36639_4_NUDT1.pdf", "Melting_Curves/meltCurve_P36639_4_NUDT1.pdf")</f>
        <v>Melting_Curves/meltCurve_P36639_4_NUDT1.pdf</v>
      </c>
    </row>
    <row r="2358" spans="1:28" x14ac:dyDescent="0.25">
      <c r="A2358" t="s">
        <v>2362</v>
      </c>
      <c r="B2358">
        <v>0.995954080203443</v>
      </c>
      <c r="C2358">
        <v>1.0591572204744999</v>
      </c>
      <c r="D2358">
        <v>0.85263611020753005</v>
      </c>
      <c r="E2358">
        <v>0.75937216214963299</v>
      </c>
      <c r="F2358">
        <v>0.43593803998177399</v>
      </c>
      <c r="G2358">
        <v>0.282783883707802</v>
      </c>
      <c r="H2358">
        <v>0.13781856383020299</v>
      </c>
      <c r="I2358">
        <v>0.10495008227314</v>
      </c>
      <c r="J2358">
        <v>9.3300684770364406E-2</v>
      </c>
      <c r="K2358">
        <v>9.6932032239203894E-2</v>
      </c>
      <c r="L2358">
        <v>916.04128076262896</v>
      </c>
      <c r="M2358">
        <v>17.541350020665799</v>
      </c>
      <c r="N2358">
        <v>52.734487417793297</v>
      </c>
      <c r="O2358">
        <v>51.557287849630697</v>
      </c>
      <c r="P2358">
        <v>-7.8394072701799697E-2</v>
      </c>
      <c r="Q2358">
        <v>7.8391033633065904E-2</v>
      </c>
      <c r="R2358">
        <v>0.98823723363831895</v>
      </c>
      <c r="S2358" t="s">
        <v>9164</v>
      </c>
      <c r="T2358" t="s">
        <v>13610</v>
      </c>
      <c r="U2358" t="s">
        <v>13610</v>
      </c>
      <c r="V2358" t="s">
        <v>13610</v>
      </c>
      <c r="W2358" t="s">
        <v>15918</v>
      </c>
      <c r="X2358">
        <v>18</v>
      </c>
      <c r="Y2358" t="s">
        <v>22578</v>
      </c>
      <c r="Z2358" t="s">
        <v>29213</v>
      </c>
      <c r="AA2358">
        <v>0.46981106204331408</v>
      </c>
      <c r="AB2358" t="str">
        <f>HYPERLINK("Melting_Curves/meltCurve_P36873_PPP1CC.pdf", "Melting_Curves/meltCurve_P36873_PPP1CC.pdf")</f>
        <v>Melting_Curves/meltCurve_P36873_PPP1CC.pdf</v>
      </c>
    </row>
    <row r="2359" spans="1:28" x14ac:dyDescent="0.25">
      <c r="A2359" t="s">
        <v>2363</v>
      </c>
      <c r="B2359">
        <v>0.995954080203443</v>
      </c>
      <c r="C2359">
        <v>0.97219480428136296</v>
      </c>
      <c r="D2359">
        <v>0.98204944109000702</v>
      </c>
      <c r="E2359">
        <v>0.72806513707453002</v>
      </c>
      <c r="F2359">
        <v>0.22624034218585701</v>
      </c>
      <c r="G2359">
        <v>0.13657064228660901</v>
      </c>
      <c r="H2359">
        <v>8.7243841329707694E-2</v>
      </c>
      <c r="I2359">
        <v>7.83016301028331E-2</v>
      </c>
      <c r="J2359">
        <v>9.2632571146953696E-2</v>
      </c>
      <c r="K2359">
        <v>8.1787586041946303E-2</v>
      </c>
      <c r="L2359">
        <v>2237.0913818087702</v>
      </c>
      <c r="M2359">
        <v>43.908177965403802</v>
      </c>
      <c r="N2359">
        <v>51.187609025081201</v>
      </c>
      <c r="O2359">
        <v>50.843971004274103</v>
      </c>
      <c r="P2359">
        <v>-0.19593980191792701</v>
      </c>
      <c r="Q2359">
        <v>9.2438543468794904E-2</v>
      </c>
      <c r="R2359">
        <v>0.99841907513404704</v>
      </c>
      <c r="S2359" t="s">
        <v>9165</v>
      </c>
      <c r="T2359" t="s">
        <v>13610</v>
      </c>
      <c r="U2359" t="s">
        <v>13610</v>
      </c>
      <c r="V2359" t="s">
        <v>13610</v>
      </c>
      <c r="W2359" t="s">
        <v>15919</v>
      </c>
      <c r="X2359">
        <v>23</v>
      </c>
      <c r="Y2359" t="s">
        <v>22579</v>
      </c>
      <c r="Z2359" t="s">
        <v>29214</v>
      </c>
      <c r="AA2359">
        <v>0.42632659343252932</v>
      </c>
      <c r="AB2359" t="str">
        <f>HYPERLINK("Melting_Curves/meltCurve_P36915_GNL1.pdf", "Melting_Curves/meltCurve_P36915_GNL1.pdf")</f>
        <v>Melting_Curves/meltCurve_P36915_GNL1.pdf</v>
      </c>
    </row>
    <row r="2360" spans="1:28" x14ac:dyDescent="0.25">
      <c r="A2360" t="s">
        <v>2364</v>
      </c>
      <c r="B2360">
        <v>0.995954080203443</v>
      </c>
      <c r="C2360">
        <v>0.906178033645898</v>
      </c>
      <c r="D2360">
        <v>0.89426779599391104</v>
      </c>
      <c r="E2360">
        <v>0.98476922485585805</v>
      </c>
      <c r="F2360">
        <v>0.82183017922999901</v>
      </c>
      <c r="G2360">
        <v>0.46583129507114901</v>
      </c>
      <c r="H2360">
        <v>0.32473872327752401</v>
      </c>
      <c r="I2360">
        <v>0.34238222288411801</v>
      </c>
      <c r="J2360">
        <v>0.37512092262726998</v>
      </c>
      <c r="K2360">
        <v>0.37821258528449597</v>
      </c>
      <c r="L2360">
        <v>2017.48895076033</v>
      </c>
      <c r="M2360">
        <v>37.068377203801198</v>
      </c>
      <c r="N2360">
        <v>56.290185292851803</v>
      </c>
      <c r="O2360">
        <v>54.2684725614793</v>
      </c>
      <c r="P2360">
        <v>-0.110400940741975</v>
      </c>
      <c r="Q2360">
        <v>0.35348950950611502</v>
      </c>
      <c r="R2360">
        <v>0.97028211030284595</v>
      </c>
      <c r="S2360" t="s">
        <v>9166</v>
      </c>
      <c r="T2360" t="s">
        <v>13610</v>
      </c>
      <c r="U2360" t="s">
        <v>13610</v>
      </c>
      <c r="V2360" t="s">
        <v>13610</v>
      </c>
      <c r="W2360" t="s">
        <v>15920</v>
      </c>
      <c r="X2360">
        <v>6</v>
      </c>
      <c r="Y2360" t="s">
        <v>22580</v>
      </c>
      <c r="Z2360" t="s">
        <v>29215</v>
      </c>
      <c r="AA2360">
        <v>0.66720041329987434</v>
      </c>
      <c r="AB2360" t="str">
        <f>HYPERLINK("Melting_Curves/meltCurve_P36954_POLR2I.pdf", "Melting_Curves/meltCurve_P36954_POLR2I.pdf")</f>
        <v>Melting_Curves/meltCurve_P36954_POLR2I.pdf</v>
      </c>
    </row>
    <row r="2361" spans="1:28" x14ac:dyDescent="0.25">
      <c r="A2361" t="s">
        <v>2365</v>
      </c>
      <c r="B2361">
        <v>0.995954080203443</v>
      </c>
      <c r="C2361">
        <v>1.0626514252067401</v>
      </c>
      <c r="D2361">
        <v>1.0044476054167399</v>
      </c>
      <c r="E2361">
        <v>0.97451395214893299</v>
      </c>
      <c r="F2361">
        <v>0.76492560581824398</v>
      </c>
      <c r="G2361">
        <v>0.38157900081893498</v>
      </c>
      <c r="H2361">
        <v>8.0523126377690699E-2</v>
      </c>
      <c r="I2361">
        <v>4.8387036106088299E-2</v>
      </c>
      <c r="J2361">
        <v>4.4761432122074903E-2</v>
      </c>
      <c r="K2361">
        <v>3.4252683128467402E-2</v>
      </c>
      <c r="L2361">
        <v>1463.53366786839</v>
      </c>
      <c r="M2361">
        <v>26.3225608125931</v>
      </c>
      <c r="N2361">
        <v>55.696997680163697</v>
      </c>
      <c r="O2361">
        <v>55.282040060679201</v>
      </c>
      <c r="P2361">
        <v>-0.11637073755659801</v>
      </c>
      <c r="Q2361">
        <v>2.24139416802847E-2</v>
      </c>
      <c r="R2361">
        <v>0.99647932235802295</v>
      </c>
      <c r="S2361" t="s">
        <v>9167</v>
      </c>
      <c r="T2361" t="s">
        <v>13610</v>
      </c>
      <c r="U2361" t="s">
        <v>13610</v>
      </c>
      <c r="V2361" t="s">
        <v>13610</v>
      </c>
      <c r="W2361" t="s">
        <v>15921</v>
      </c>
      <c r="X2361">
        <v>4</v>
      </c>
      <c r="Y2361" t="s">
        <v>22581</v>
      </c>
      <c r="Z2361" t="s">
        <v>29216</v>
      </c>
      <c r="AA2361">
        <v>0.53900247988034533</v>
      </c>
      <c r="AB2361" t="str">
        <f>HYPERLINK("Melting_Curves/meltCurve_P36955_SERPINF1.pdf", "Melting_Curves/meltCurve_P36955_SERPINF1.pdf")</f>
        <v>Melting_Curves/meltCurve_P36955_SERPINF1.pdf</v>
      </c>
    </row>
    <row r="2362" spans="1:28" x14ac:dyDescent="0.25">
      <c r="A2362" t="s">
        <v>2366</v>
      </c>
      <c r="B2362">
        <v>0.995954080203443</v>
      </c>
      <c r="C2362">
        <v>0.83725051704433995</v>
      </c>
      <c r="D2362">
        <v>0.88121211487713702</v>
      </c>
      <c r="E2362">
        <v>0.90237948731940298</v>
      </c>
      <c r="F2362">
        <v>0.77631927028821901</v>
      </c>
      <c r="G2362">
        <v>0.68606478744595101</v>
      </c>
      <c r="H2362">
        <v>0.52126132218449295</v>
      </c>
      <c r="I2362">
        <v>0.49078730305631002</v>
      </c>
      <c r="J2362">
        <v>0.45216585165645501</v>
      </c>
      <c r="K2362">
        <v>0.49935676754303399</v>
      </c>
      <c r="L2362">
        <v>422.28770481915802</v>
      </c>
      <c r="M2362">
        <v>7.3048118409139304</v>
      </c>
      <c r="N2362">
        <v>65.382429512838101</v>
      </c>
      <c r="O2362">
        <v>53.949856090727003</v>
      </c>
      <c r="P2362">
        <v>-2.42257755460639E-2</v>
      </c>
      <c r="Q2362">
        <v>0.28545274487876898</v>
      </c>
      <c r="R2362">
        <v>0.92363662656358703</v>
      </c>
      <c r="S2362" t="s">
        <v>9168</v>
      </c>
      <c r="T2362" t="s">
        <v>13610</v>
      </c>
      <c r="U2362" t="s">
        <v>13610</v>
      </c>
      <c r="V2362" t="s">
        <v>13610</v>
      </c>
      <c r="W2362" t="s">
        <v>15922</v>
      </c>
      <c r="X2362">
        <v>11</v>
      </c>
      <c r="Y2362" t="s">
        <v>22582</v>
      </c>
      <c r="Z2362" t="s">
        <v>29217</v>
      </c>
      <c r="AA2362">
        <v>0.71108712294091347</v>
      </c>
      <c r="AB2362" t="str">
        <f>HYPERLINK("Melting_Curves/meltCurve_P36957_DLST.pdf", "Melting_Curves/meltCurve_P36957_DLST.pdf")</f>
        <v>Melting_Curves/meltCurve_P36957_DLST.pdf</v>
      </c>
    </row>
    <row r="2363" spans="1:28" x14ac:dyDescent="0.25">
      <c r="A2363" t="s">
        <v>2367</v>
      </c>
      <c r="B2363">
        <v>0.995954080203443</v>
      </c>
      <c r="C2363">
        <v>0.90152105611878297</v>
      </c>
      <c r="D2363">
        <v>0.76187742469352604</v>
      </c>
      <c r="E2363">
        <v>0.89909163354211197</v>
      </c>
      <c r="F2363">
        <v>0.66379724343255997</v>
      </c>
      <c r="G2363">
        <v>0.50716133745271696</v>
      </c>
      <c r="H2363">
        <v>0.30630254831181197</v>
      </c>
      <c r="I2363">
        <v>0.34081536425074999</v>
      </c>
      <c r="J2363">
        <v>0.23252159295691499</v>
      </c>
      <c r="K2363">
        <v>0.44895189756131398</v>
      </c>
      <c r="L2363">
        <v>635.25654385690598</v>
      </c>
      <c r="M2363">
        <v>11.899787856273001</v>
      </c>
      <c r="N2363">
        <v>56.9486144178844</v>
      </c>
      <c r="O2363">
        <v>51.943243057406796</v>
      </c>
      <c r="P2363">
        <v>-4.2243399615799003E-2</v>
      </c>
      <c r="Q2363">
        <v>0.26260437480480597</v>
      </c>
      <c r="R2363">
        <v>0.88571351819058097</v>
      </c>
      <c r="S2363" t="s">
        <v>9169</v>
      </c>
      <c r="T2363" t="s">
        <v>13610</v>
      </c>
      <c r="U2363" t="s">
        <v>13610</v>
      </c>
      <c r="V2363" t="s">
        <v>13610</v>
      </c>
      <c r="W2363" t="s">
        <v>15923</v>
      </c>
      <c r="X2363">
        <v>15</v>
      </c>
      <c r="Y2363" t="s">
        <v>22583</v>
      </c>
      <c r="Z2363" t="s">
        <v>29218</v>
      </c>
      <c r="AA2363">
        <v>0.61210724717245601</v>
      </c>
      <c r="AB2363" t="str">
        <f>HYPERLINK("Melting_Curves/meltCurve_P36959_GMPR.pdf", "Melting_Curves/meltCurve_P36959_GMPR.pdf")</f>
        <v>Melting_Curves/meltCurve_P36959_GMPR.pdf</v>
      </c>
    </row>
    <row r="2364" spans="1:28" x14ac:dyDescent="0.25">
      <c r="A2364" t="s">
        <v>2368</v>
      </c>
      <c r="B2364">
        <v>0.995954080203443</v>
      </c>
      <c r="C2364">
        <v>1.0861011167360901</v>
      </c>
      <c r="D2364">
        <v>1.1035701170751699</v>
      </c>
      <c r="E2364">
        <v>0.98518420251427996</v>
      </c>
      <c r="F2364">
        <v>0.93605667768463996</v>
      </c>
      <c r="G2364">
        <v>0.143321235858172</v>
      </c>
      <c r="H2364">
        <v>9.8946629732545893E-2</v>
      </c>
      <c r="I2364">
        <v>9.2945985189078303E-2</v>
      </c>
      <c r="J2364">
        <v>9.2629462880598298E-2</v>
      </c>
      <c r="K2364">
        <v>8.1834597948608603E-2</v>
      </c>
      <c r="L2364">
        <v>4056.9388033075202</v>
      </c>
      <c r="M2364">
        <v>73.971058607731806</v>
      </c>
      <c r="N2364">
        <v>54.995001313562597</v>
      </c>
      <c r="O2364">
        <v>54.804902611420303</v>
      </c>
      <c r="P2364">
        <v>-0.30659396546180701</v>
      </c>
      <c r="Q2364">
        <v>9.1382509098337797E-2</v>
      </c>
      <c r="R2364">
        <v>0.99133810270760403</v>
      </c>
      <c r="S2364" t="s">
        <v>9170</v>
      </c>
      <c r="T2364" t="s">
        <v>13610</v>
      </c>
      <c r="U2364" t="s">
        <v>13610</v>
      </c>
      <c r="V2364" t="s">
        <v>13610</v>
      </c>
      <c r="W2364" t="s">
        <v>15924</v>
      </c>
      <c r="X2364">
        <v>13</v>
      </c>
      <c r="Y2364" t="s">
        <v>22584</v>
      </c>
      <c r="Z2364" t="s">
        <v>29219</v>
      </c>
      <c r="AA2364">
        <v>0.54199640126000748</v>
      </c>
      <c r="AB2364" t="str">
        <f>HYPERLINK("Melting_Curves/meltCurve_P36969_2_GPX4.pdf", "Melting_Curves/meltCurve_P36969_2_GPX4.pdf")</f>
        <v>Melting_Curves/meltCurve_P36969_2_GPX4.pdf</v>
      </c>
    </row>
    <row r="2365" spans="1:28" x14ac:dyDescent="0.25">
      <c r="A2365" t="s">
        <v>2369</v>
      </c>
      <c r="B2365">
        <v>0.995954080203443</v>
      </c>
      <c r="C2365">
        <v>0.87581934149903096</v>
      </c>
      <c r="D2365">
        <v>0.81046867164409497</v>
      </c>
      <c r="E2365">
        <v>0.75615463002071204</v>
      </c>
      <c r="F2365">
        <v>0.67184670647091205</v>
      </c>
      <c r="G2365">
        <v>0.46392349661614102</v>
      </c>
      <c r="H2365">
        <v>0.28013227946931801</v>
      </c>
      <c r="I2365">
        <v>0.24535345249942001</v>
      </c>
      <c r="J2365">
        <v>0.165535046406803</v>
      </c>
      <c r="K2365">
        <v>0.14455595910076099</v>
      </c>
      <c r="L2365">
        <v>494.41082252809599</v>
      </c>
      <c r="M2365">
        <v>8.8621572683650491</v>
      </c>
      <c r="N2365">
        <v>55.7889921755987</v>
      </c>
      <c r="O2365">
        <v>53.167439522981503</v>
      </c>
      <c r="P2365">
        <v>-4.1703061822126603E-2</v>
      </c>
      <c r="Q2365">
        <v>0</v>
      </c>
      <c r="R2365">
        <v>0.98557982467413596</v>
      </c>
      <c r="S2365" t="s">
        <v>9171</v>
      </c>
      <c r="T2365" t="s">
        <v>13610</v>
      </c>
      <c r="U2365" t="s">
        <v>13610</v>
      </c>
      <c r="V2365" t="s">
        <v>13610</v>
      </c>
      <c r="W2365" t="s">
        <v>15925</v>
      </c>
      <c r="X2365">
        <v>9</v>
      </c>
      <c r="Y2365" t="s">
        <v>22585</v>
      </c>
      <c r="Z2365" t="s">
        <v>29220</v>
      </c>
      <c r="AA2365">
        <v>0.54833093558336043</v>
      </c>
      <c r="AB2365" t="str">
        <f>HYPERLINK("Melting_Curves/meltCurve_P37108_SRP14.pdf", "Melting_Curves/meltCurve_P37108_SRP14.pdf")</f>
        <v>Melting_Curves/meltCurve_P37108_SRP14.pdf</v>
      </c>
    </row>
    <row r="2366" spans="1:28" x14ac:dyDescent="0.25">
      <c r="A2366" t="s">
        <v>2370</v>
      </c>
      <c r="B2366">
        <v>0.995954080203443</v>
      </c>
      <c r="C2366">
        <v>0.857210648995549</v>
      </c>
      <c r="D2366">
        <v>0.73445001358454298</v>
      </c>
      <c r="E2366">
        <v>0.60145286492702299</v>
      </c>
      <c r="F2366">
        <v>0.40520572142653</v>
      </c>
      <c r="G2366">
        <v>0.28009045611740901</v>
      </c>
      <c r="H2366">
        <v>0.24875908723805201</v>
      </c>
      <c r="I2366">
        <v>0.29004936086771699</v>
      </c>
      <c r="J2366">
        <v>0.36555586977500198</v>
      </c>
      <c r="K2366">
        <v>0.37102207891594102</v>
      </c>
      <c r="L2366">
        <v>750.46167084418698</v>
      </c>
      <c r="M2366">
        <v>15.7160776322399</v>
      </c>
      <c r="N2366">
        <v>50.669776478802802</v>
      </c>
      <c r="O2366">
        <v>46.998136863277701</v>
      </c>
      <c r="P2366">
        <v>-5.87103892869845E-2</v>
      </c>
      <c r="Q2366">
        <v>0.29777726574165198</v>
      </c>
      <c r="R2366">
        <v>0.95809642884646395</v>
      </c>
      <c r="S2366" t="s">
        <v>9172</v>
      </c>
      <c r="T2366" t="s">
        <v>13610</v>
      </c>
      <c r="U2366" t="s">
        <v>13610</v>
      </c>
      <c r="V2366" t="s">
        <v>13610</v>
      </c>
      <c r="W2366" t="s">
        <v>15926</v>
      </c>
      <c r="X2366">
        <v>10</v>
      </c>
      <c r="Y2366" t="s">
        <v>22586</v>
      </c>
      <c r="Z2366" t="s">
        <v>29221</v>
      </c>
      <c r="AA2366">
        <v>0.49586084724502438</v>
      </c>
      <c r="AB2366" t="str">
        <f>HYPERLINK("Melting_Curves/meltCurve_P37198_NUP62.pdf", "Melting_Curves/meltCurve_P37198_NUP62.pdf")</f>
        <v>Melting_Curves/meltCurve_P37198_NUP62.pdf</v>
      </c>
    </row>
    <row r="2367" spans="1:28" x14ac:dyDescent="0.25">
      <c r="A2367" t="s">
        <v>2371</v>
      </c>
      <c r="B2367">
        <v>0.995954080203443</v>
      </c>
      <c r="C2367">
        <v>0.94656560921460198</v>
      </c>
      <c r="D2367">
        <v>0.98599183991367001</v>
      </c>
      <c r="E2367">
        <v>0.88459270140430402</v>
      </c>
      <c r="F2367">
        <v>0.94225010732020498</v>
      </c>
      <c r="G2367">
        <v>0.71878862761206197</v>
      </c>
      <c r="H2367">
        <v>0.52832584264780602</v>
      </c>
      <c r="I2367">
        <v>0.40969882846878403</v>
      </c>
      <c r="J2367">
        <v>0.31850940794141003</v>
      </c>
      <c r="K2367">
        <v>0.24127978113871401</v>
      </c>
      <c r="L2367">
        <v>782.807289651877</v>
      </c>
      <c r="M2367">
        <v>12.9072452360507</v>
      </c>
      <c r="N2367">
        <v>61.8251998236329</v>
      </c>
      <c r="O2367">
        <v>59.248225989752797</v>
      </c>
      <c r="P2367">
        <v>-4.8540891565510003E-2</v>
      </c>
      <c r="Q2367">
        <v>0.108891672721229</v>
      </c>
      <c r="R2367">
        <v>0.98696196307016604</v>
      </c>
      <c r="S2367" t="s">
        <v>9173</v>
      </c>
      <c r="T2367" t="s">
        <v>13610</v>
      </c>
      <c r="U2367" t="s">
        <v>13610</v>
      </c>
      <c r="V2367" t="s">
        <v>13610</v>
      </c>
      <c r="W2367" t="s">
        <v>15927</v>
      </c>
      <c r="X2367">
        <v>16</v>
      </c>
      <c r="Y2367" t="s">
        <v>22587</v>
      </c>
      <c r="Z2367" t="s">
        <v>29222</v>
      </c>
      <c r="AA2367">
        <v>0.72278243470367831</v>
      </c>
      <c r="AB2367" t="str">
        <f>HYPERLINK("Melting_Curves/meltCurve_P37235_HPCAL1.pdf", "Melting_Curves/meltCurve_P37235_HPCAL1.pdf")</f>
        <v>Melting_Curves/meltCurve_P37235_HPCAL1.pdf</v>
      </c>
    </row>
    <row r="2368" spans="1:28" x14ac:dyDescent="0.25">
      <c r="A2368" t="s">
        <v>2372</v>
      </c>
      <c r="B2368">
        <v>0.995954080203443</v>
      </c>
      <c r="C2368">
        <v>1.0418851193766701</v>
      </c>
      <c r="D2368">
        <v>0.98664041021284399</v>
      </c>
      <c r="E2368">
        <v>0.85653814870793099</v>
      </c>
      <c r="F2368">
        <v>0.57425776902288805</v>
      </c>
      <c r="G2368">
        <v>0.27925473408059198</v>
      </c>
      <c r="H2368">
        <v>0.134251544749112</v>
      </c>
      <c r="I2368">
        <v>0.102742333997725</v>
      </c>
      <c r="J2368">
        <v>9.7622870710867504E-2</v>
      </c>
      <c r="K2368">
        <v>9.3221237141801902E-2</v>
      </c>
      <c r="L2368">
        <v>1241.22571349435</v>
      </c>
      <c r="M2368">
        <v>23.2205508669437</v>
      </c>
      <c r="N2368">
        <v>53.908994374025099</v>
      </c>
      <c r="O2368">
        <v>53.062043140762299</v>
      </c>
      <c r="P2368">
        <v>-9.9664542530886899E-2</v>
      </c>
      <c r="Q2368">
        <v>8.9029483211582106E-2</v>
      </c>
      <c r="R2368">
        <v>0.998275481149828</v>
      </c>
      <c r="S2368" t="s">
        <v>9174</v>
      </c>
      <c r="T2368" t="s">
        <v>13610</v>
      </c>
      <c r="U2368" t="s">
        <v>13610</v>
      </c>
      <c r="V2368" t="s">
        <v>13610</v>
      </c>
      <c r="W2368" t="s">
        <v>15928</v>
      </c>
      <c r="X2368">
        <v>19</v>
      </c>
      <c r="Y2368" t="s">
        <v>22588</v>
      </c>
      <c r="Z2368" t="s">
        <v>29223</v>
      </c>
      <c r="AA2368">
        <v>0.50718822695302079</v>
      </c>
      <c r="AB2368" t="str">
        <f>HYPERLINK("Melting_Curves/meltCurve_P37802_TAGLN2.pdf", "Melting_Curves/meltCurve_P37802_TAGLN2.pdf")</f>
        <v>Melting_Curves/meltCurve_P37802_TAGLN2.pdf</v>
      </c>
    </row>
    <row r="2369" spans="1:28" x14ac:dyDescent="0.25">
      <c r="A2369" t="s">
        <v>2373</v>
      </c>
      <c r="B2369">
        <v>0.995954080203443</v>
      </c>
      <c r="C2369">
        <v>1.0399710740233801</v>
      </c>
      <c r="D2369">
        <v>1.10197402306262</v>
      </c>
      <c r="E2369">
        <v>0.83930189236226604</v>
      </c>
      <c r="F2369">
        <v>0.52289299541173695</v>
      </c>
      <c r="G2369">
        <v>0.356080569471798</v>
      </c>
      <c r="H2369">
        <v>0.29620535656408697</v>
      </c>
      <c r="I2369">
        <v>0.30618197868007002</v>
      </c>
      <c r="J2369">
        <v>0.30968386788018398</v>
      </c>
      <c r="K2369">
        <v>0.26436827109891398</v>
      </c>
      <c r="L2369">
        <v>1816.54104520801</v>
      </c>
      <c r="M2369">
        <v>35.020254655070502</v>
      </c>
      <c r="N2369">
        <v>53.257472424753701</v>
      </c>
      <c r="O2369">
        <v>51.702889263441001</v>
      </c>
      <c r="P2369">
        <v>-0.118693707872737</v>
      </c>
      <c r="Q2369">
        <v>0.29905866180827201</v>
      </c>
      <c r="R2369">
        <v>0.98539777222654501</v>
      </c>
      <c r="S2369" t="s">
        <v>9175</v>
      </c>
      <c r="T2369" t="s">
        <v>13610</v>
      </c>
      <c r="U2369" t="s">
        <v>13610</v>
      </c>
      <c r="V2369" t="s">
        <v>13610</v>
      </c>
      <c r="W2369" t="s">
        <v>15929</v>
      </c>
      <c r="X2369">
        <v>31</v>
      </c>
      <c r="Y2369" t="s">
        <v>22589</v>
      </c>
      <c r="Z2369" t="s">
        <v>29224</v>
      </c>
      <c r="AA2369">
        <v>0.57970615343742071</v>
      </c>
      <c r="AB2369" t="str">
        <f>HYPERLINK("Melting_Curves/meltCurve_P37837_TALDO1.pdf", "Melting_Curves/meltCurve_P37837_TALDO1.pdf")</f>
        <v>Melting_Curves/meltCurve_P37837_TALDO1.pdf</v>
      </c>
    </row>
    <row r="2370" spans="1:28" x14ac:dyDescent="0.25">
      <c r="A2370" t="s">
        <v>2374</v>
      </c>
      <c r="B2370">
        <v>0.995954080203443</v>
      </c>
      <c r="C2370">
        <v>1.02854165820969</v>
      </c>
      <c r="D2370">
        <v>1.1276554622975199</v>
      </c>
      <c r="E2370">
        <v>0.982536654683836</v>
      </c>
      <c r="F2370">
        <v>1.0599746022379199</v>
      </c>
      <c r="G2370">
        <v>0.91985474585063698</v>
      </c>
      <c r="H2370">
        <v>0.95231435117213104</v>
      </c>
      <c r="I2370">
        <v>1.27629626478527</v>
      </c>
      <c r="J2370">
        <v>1.25934573992507</v>
      </c>
      <c r="K2370">
        <v>1.48322001400971</v>
      </c>
      <c r="L2370">
        <v>2062.9669883453498</v>
      </c>
      <c r="M2370">
        <v>31.580179412256001</v>
      </c>
      <c r="O2370">
        <v>65.064472291622707</v>
      </c>
      <c r="P2370">
        <v>6.0671257418319899E-2</v>
      </c>
      <c r="Q2370">
        <v>1.5</v>
      </c>
      <c r="R2370">
        <v>0.80266711645668598</v>
      </c>
      <c r="S2370" t="s">
        <v>9176</v>
      </c>
      <c r="T2370" t="s">
        <v>13610</v>
      </c>
      <c r="U2370" t="s">
        <v>13610</v>
      </c>
      <c r="V2370" t="s">
        <v>13610</v>
      </c>
      <c r="W2370" t="s">
        <v>15930</v>
      </c>
      <c r="X2370">
        <v>8</v>
      </c>
      <c r="Y2370" t="s">
        <v>22590</v>
      </c>
      <c r="Z2370" t="s">
        <v>29225</v>
      </c>
      <c r="AA2370">
        <v>1.079166207382273</v>
      </c>
      <c r="AB2370" t="str">
        <f>HYPERLINK("Melting_Curves/meltCurve_P37840_2_SNCA.pdf", "Melting_Curves/meltCurve_P37840_2_SNCA.pdf")</f>
        <v>Melting_Curves/meltCurve_P37840_2_SNCA.pdf</v>
      </c>
    </row>
    <row r="2371" spans="1:28" x14ac:dyDescent="0.25">
      <c r="A2371" t="s">
        <v>2375</v>
      </c>
      <c r="B2371">
        <v>0.995954080203443</v>
      </c>
      <c r="C2371">
        <v>0.97454560333473095</v>
      </c>
      <c r="D2371">
        <v>1.1310367053472501</v>
      </c>
      <c r="E2371">
        <v>0.62597375099653996</v>
      </c>
      <c r="F2371">
        <v>0.332873201394558</v>
      </c>
      <c r="G2371">
        <v>0.15721368010704001</v>
      </c>
      <c r="H2371">
        <v>9.2387190263279406E-2</v>
      </c>
      <c r="I2371">
        <v>8.2543637240301004E-2</v>
      </c>
      <c r="J2371">
        <v>9.42139064731463E-2</v>
      </c>
      <c r="K2371">
        <v>9.0971468813024703E-2</v>
      </c>
      <c r="L2371">
        <v>1619.43889849573</v>
      </c>
      <c r="M2371">
        <v>31.8085668987557</v>
      </c>
      <c r="N2371">
        <v>51.266863411834599</v>
      </c>
      <c r="O2371">
        <v>50.7120796693806</v>
      </c>
      <c r="P2371">
        <v>-0.141317266354855</v>
      </c>
      <c r="Q2371">
        <v>9.8801906495736502E-2</v>
      </c>
      <c r="R2371">
        <v>0.98142269854716602</v>
      </c>
      <c r="S2371" t="s">
        <v>9177</v>
      </c>
      <c r="T2371" t="s">
        <v>13610</v>
      </c>
      <c r="U2371" t="s">
        <v>13610</v>
      </c>
      <c r="V2371" t="s">
        <v>13610</v>
      </c>
      <c r="W2371" t="s">
        <v>15931</v>
      </c>
      <c r="X2371">
        <v>20</v>
      </c>
      <c r="Y2371" t="s">
        <v>22591</v>
      </c>
      <c r="Z2371" t="s">
        <v>29226</v>
      </c>
      <c r="AA2371">
        <v>0.43162953125917258</v>
      </c>
      <c r="AB2371" t="str">
        <f>HYPERLINK("Melting_Curves/meltCurve_P38117_ETFB.pdf", "Melting_Curves/meltCurve_P38117_ETFB.pdf")</f>
        <v>Melting_Curves/meltCurve_P38117_ETFB.pdf</v>
      </c>
    </row>
    <row r="2372" spans="1:28" x14ac:dyDescent="0.25">
      <c r="A2372" t="s">
        <v>2376</v>
      </c>
      <c r="B2372">
        <v>0.995954080203443</v>
      </c>
      <c r="C2372">
        <v>0.99136519366617804</v>
      </c>
      <c r="D2372">
        <v>1.0005791426974699</v>
      </c>
      <c r="E2372">
        <v>0.90837527076663505</v>
      </c>
      <c r="F2372">
        <v>0.84331700103506402</v>
      </c>
      <c r="G2372">
        <v>0.58450021927181905</v>
      </c>
      <c r="H2372">
        <v>0.49602662484413601</v>
      </c>
      <c r="I2372">
        <v>0.54387028893923794</v>
      </c>
      <c r="J2372">
        <v>0.66966700357463804</v>
      </c>
      <c r="K2372">
        <v>0.63624062138108695</v>
      </c>
      <c r="L2372">
        <v>2027.0154734013099</v>
      </c>
      <c r="M2372">
        <v>38.012440850372201</v>
      </c>
      <c r="O2372">
        <v>53.178104929135202</v>
      </c>
      <c r="P2372">
        <v>-7.4918282520667595E-2</v>
      </c>
      <c r="Q2372">
        <v>0.58076853332648304</v>
      </c>
      <c r="R2372">
        <v>0.93008840640524304</v>
      </c>
      <c r="S2372" t="s">
        <v>9178</v>
      </c>
      <c r="T2372" t="s">
        <v>13610</v>
      </c>
      <c r="U2372" t="s">
        <v>13610</v>
      </c>
      <c r="V2372" t="s">
        <v>13610</v>
      </c>
      <c r="W2372" t="s">
        <v>15932</v>
      </c>
      <c r="X2372">
        <v>22</v>
      </c>
      <c r="Y2372" t="s">
        <v>22592</v>
      </c>
      <c r="Z2372" t="s">
        <v>29227</v>
      </c>
      <c r="AA2372">
        <v>0.76868695273862042</v>
      </c>
      <c r="AB2372" t="str">
        <f>HYPERLINK("Melting_Curves/meltCurve_P38159_RBMX.pdf", "Melting_Curves/meltCurve_P38159_RBMX.pdf")</f>
        <v>Melting_Curves/meltCurve_P38159_RBMX.pdf</v>
      </c>
    </row>
    <row r="2373" spans="1:28" x14ac:dyDescent="0.25">
      <c r="A2373" t="s">
        <v>2377</v>
      </c>
      <c r="B2373">
        <v>0.995954080203443</v>
      </c>
      <c r="C2373">
        <v>1.02097578330182</v>
      </c>
      <c r="D2373">
        <v>1.0785243516038301</v>
      </c>
      <c r="E2373">
        <v>0.82761243867676304</v>
      </c>
      <c r="F2373">
        <v>0.61949911355446796</v>
      </c>
      <c r="G2373">
        <v>0.44792781400132498</v>
      </c>
      <c r="H2373">
        <v>0.40732417384811798</v>
      </c>
      <c r="I2373">
        <v>0.46033044451291699</v>
      </c>
      <c r="J2373">
        <v>0.53306723814046597</v>
      </c>
      <c r="K2373">
        <v>0.532584201834576</v>
      </c>
      <c r="L2373">
        <v>1903.87195707767</v>
      </c>
      <c r="M2373">
        <v>37.164278850998699</v>
      </c>
      <c r="N2373">
        <v>55.832780449147897</v>
      </c>
      <c r="O2373">
        <v>51.080916008769499</v>
      </c>
      <c r="P2373">
        <v>-9.5188907199233494E-2</v>
      </c>
      <c r="Q2373">
        <v>0.47666723296733499</v>
      </c>
      <c r="R2373">
        <v>0.96401107759785498</v>
      </c>
      <c r="S2373" t="s">
        <v>9179</v>
      </c>
      <c r="T2373" t="s">
        <v>13610</v>
      </c>
      <c r="U2373" t="s">
        <v>13610</v>
      </c>
      <c r="V2373" t="s">
        <v>13610</v>
      </c>
      <c r="W2373" t="s">
        <v>15933</v>
      </c>
      <c r="X2373">
        <v>26</v>
      </c>
      <c r="Y2373" t="s">
        <v>22593</v>
      </c>
      <c r="Z2373" t="s">
        <v>29228</v>
      </c>
      <c r="AA2373">
        <v>0.67469129905953895</v>
      </c>
      <c r="AB2373" t="str">
        <f>HYPERLINK("Melting_Curves/meltCurve_P38398_4_BRCA1.pdf", "Melting_Curves/meltCurve_P38398_4_BRCA1.pdf")</f>
        <v>Melting_Curves/meltCurve_P38398_4_BRCA1.pdf</v>
      </c>
    </row>
    <row r="2374" spans="1:28" x14ac:dyDescent="0.25">
      <c r="A2374" t="s">
        <v>2378</v>
      </c>
      <c r="B2374">
        <v>0.995954080203443</v>
      </c>
      <c r="C2374">
        <v>1.03580343774178</v>
      </c>
      <c r="D2374">
        <v>1.0448756644738999</v>
      </c>
      <c r="E2374">
        <v>0.97463995402623005</v>
      </c>
      <c r="F2374">
        <v>0.92562325584834604</v>
      </c>
      <c r="G2374">
        <v>0.64311019886457299</v>
      </c>
      <c r="H2374">
        <v>0.52534249337634498</v>
      </c>
      <c r="I2374">
        <v>0.56053496986986895</v>
      </c>
      <c r="J2374">
        <v>0.58227661393146701</v>
      </c>
      <c r="K2374">
        <v>0.65508252247438403</v>
      </c>
      <c r="L2374">
        <v>2576.06384307087</v>
      </c>
      <c r="M2374">
        <v>47.0711311541029</v>
      </c>
      <c r="O2374">
        <v>54.628547365748197</v>
      </c>
      <c r="P2374">
        <v>-9.0200758497383002E-2</v>
      </c>
      <c r="Q2374">
        <v>0.58126942283600103</v>
      </c>
      <c r="R2374">
        <v>0.96904160386450899</v>
      </c>
      <c r="S2374" t="s">
        <v>9180</v>
      </c>
      <c r="T2374" t="s">
        <v>13610</v>
      </c>
      <c r="U2374" t="s">
        <v>13610</v>
      </c>
      <c r="V2374" t="s">
        <v>13610</v>
      </c>
      <c r="W2374" t="s">
        <v>15934</v>
      </c>
      <c r="X2374">
        <v>18</v>
      </c>
      <c r="Y2374" t="s">
        <v>22594</v>
      </c>
      <c r="Z2374" t="s">
        <v>29229</v>
      </c>
      <c r="AA2374">
        <v>0.78796525853424859</v>
      </c>
      <c r="AB2374" t="str">
        <f>HYPERLINK("Melting_Curves/meltCurve_P38432_COIL.pdf", "Melting_Curves/meltCurve_P38432_COIL.pdf")</f>
        <v>Melting_Curves/meltCurve_P38432_COIL.pdf</v>
      </c>
    </row>
    <row r="2375" spans="1:28" x14ac:dyDescent="0.25">
      <c r="A2375" t="s">
        <v>2379</v>
      </c>
      <c r="B2375">
        <v>0.995954080203443</v>
      </c>
      <c r="C2375">
        <v>0.85302651560716003</v>
      </c>
      <c r="D2375">
        <v>0.57632865062970695</v>
      </c>
      <c r="E2375">
        <v>0.58118603719204098</v>
      </c>
      <c r="F2375">
        <v>0.39142428770700699</v>
      </c>
      <c r="G2375">
        <v>0.29897735427475403</v>
      </c>
      <c r="H2375">
        <v>0.15785789062465899</v>
      </c>
      <c r="I2375">
        <v>8.6356094393066796E-2</v>
      </c>
      <c r="J2375">
        <v>7.9386595836062807E-2</v>
      </c>
      <c r="K2375">
        <v>7.1817454796927901E-2</v>
      </c>
      <c r="L2375">
        <v>463.84433591620802</v>
      </c>
      <c r="M2375">
        <v>9.2046220677667598</v>
      </c>
      <c r="N2375">
        <v>50.392545959628201</v>
      </c>
      <c r="O2375">
        <v>48.185164317479902</v>
      </c>
      <c r="P2375">
        <v>-4.7788365053875501E-2</v>
      </c>
      <c r="Q2375">
        <v>0</v>
      </c>
      <c r="R2375">
        <v>0.96878294142293198</v>
      </c>
      <c r="S2375" t="s">
        <v>9181</v>
      </c>
      <c r="T2375" t="s">
        <v>13610</v>
      </c>
      <c r="U2375" t="s">
        <v>13610</v>
      </c>
      <c r="V2375" t="s">
        <v>13610</v>
      </c>
      <c r="W2375" t="s">
        <v>15935</v>
      </c>
      <c r="X2375">
        <v>39</v>
      </c>
      <c r="Y2375" t="s">
        <v>22595</v>
      </c>
      <c r="Z2375" t="s">
        <v>29230</v>
      </c>
      <c r="AA2375">
        <v>0.39506456606296092</v>
      </c>
      <c r="AB2375" t="str">
        <f>HYPERLINK("Melting_Curves/meltCurve_P38606_ATP6V1A.pdf", "Melting_Curves/meltCurve_P38606_ATP6V1A.pdf")</f>
        <v>Melting_Curves/meltCurve_P38606_ATP6V1A.pdf</v>
      </c>
    </row>
    <row r="2376" spans="1:28" x14ac:dyDescent="0.25">
      <c r="A2376" t="s">
        <v>2380</v>
      </c>
      <c r="B2376">
        <v>0.995954080203443</v>
      </c>
      <c r="C2376">
        <v>0.96049009280423603</v>
      </c>
      <c r="D2376">
        <v>1.05837953915631</v>
      </c>
      <c r="E2376">
        <v>0.97267687739772002</v>
      </c>
      <c r="F2376">
        <v>0.78371956630119899</v>
      </c>
      <c r="G2376">
        <v>0.20847602951421201</v>
      </c>
      <c r="H2376">
        <v>8.6462833239859593E-2</v>
      </c>
      <c r="I2376">
        <v>7.0284709243134194E-2</v>
      </c>
      <c r="J2376">
        <v>7.2425842406599203E-2</v>
      </c>
      <c r="K2376">
        <v>7.2219518949748901E-2</v>
      </c>
      <c r="L2376">
        <v>2216.9918422318401</v>
      </c>
      <c r="M2376">
        <v>40.642664482092002</v>
      </c>
      <c r="N2376">
        <v>54.755962199947398</v>
      </c>
      <c r="O2376">
        <v>54.416835274443201</v>
      </c>
      <c r="P2376">
        <v>-0.17338865264019401</v>
      </c>
      <c r="Q2376">
        <v>7.1395340030143403E-2</v>
      </c>
      <c r="R2376">
        <v>0.99728395050798402</v>
      </c>
      <c r="S2376" t="s">
        <v>9182</v>
      </c>
      <c r="T2376" t="s">
        <v>13610</v>
      </c>
      <c r="U2376" t="s">
        <v>13610</v>
      </c>
      <c r="V2376" t="s">
        <v>13610</v>
      </c>
      <c r="W2376" t="s">
        <v>15936</v>
      </c>
      <c r="X2376">
        <v>61</v>
      </c>
      <c r="Y2376" t="s">
        <v>22596</v>
      </c>
      <c r="Z2376" t="s">
        <v>29231</v>
      </c>
      <c r="AA2376">
        <v>0.52510094011051445</v>
      </c>
      <c r="AB2376" t="str">
        <f>HYPERLINK("Melting_Curves/meltCurve_P38646_HSPA9.pdf", "Melting_Curves/meltCurve_P38646_HSPA9.pdf")</f>
        <v>Melting_Curves/meltCurve_P38646_HSPA9.pdf</v>
      </c>
    </row>
    <row r="2377" spans="1:28" x14ac:dyDescent="0.25">
      <c r="A2377" t="s">
        <v>2381</v>
      </c>
      <c r="B2377">
        <v>0.995954080203443</v>
      </c>
      <c r="C2377">
        <v>0.95435125424920098</v>
      </c>
      <c r="D2377">
        <v>0.95734370045495798</v>
      </c>
      <c r="E2377">
        <v>0.4855465231071</v>
      </c>
      <c r="F2377">
        <v>0.16664019410731201</v>
      </c>
      <c r="G2377">
        <v>0.101569684061236</v>
      </c>
      <c r="H2377">
        <v>6.8769900729869604E-2</v>
      </c>
      <c r="I2377">
        <v>6.6490128326704007E-2</v>
      </c>
      <c r="J2377">
        <v>7.5649254698028107E-2</v>
      </c>
      <c r="K2377">
        <v>6.9436586486933793E-2</v>
      </c>
      <c r="L2377">
        <v>1741.3700639640499</v>
      </c>
      <c r="M2377">
        <v>35.041312134069699</v>
      </c>
      <c r="N2377">
        <v>49.921792566560597</v>
      </c>
      <c r="O2377">
        <v>49.533762628328603</v>
      </c>
      <c r="P2377">
        <v>-0.163829640511124</v>
      </c>
      <c r="Q2377">
        <v>7.3656868665330499E-2</v>
      </c>
      <c r="R2377">
        <v>0.99851703581215701</v>
      </c>
      <c r="S2377" t="s">
        <v>9183</v>
      </c>
      <c r="T2377" t="s">
        <v>13610</v>
      </c>
      <c r="U2377" t="s">
        <v>13610</v>
      </c>
      <c r="V2377" t="s">
        <v>13610</v>
      </c>
      <c r="W2377" t="s">
        <v>15937</v>
      </c>
      <c r="X2377">
        <v>22</v>
      </c>
      <c r="Y2377" t="s">
        <v>22597</v>
      </c>
      <c r="Z2377" t="s">
        <v>29232</v>
      </c>
      <c r="AA2377">
        <v>0.37717379933579759</v>
      </c>
      <c r="AB2377" t="str">
        <f>HYPERLINK("Melting_Curves/meltCurve_P38919_EIF4A3.pdf", "Melting_Curves/meltCurve_P38919_EIF4A3.pdf")</f>
        <v>Melting_Curves/meltCurve_P38919_EIF4A3.pdf</v>
      </c>
    </row>
    <row r="2378" spans="1:28" x14ac:dyDescent="0.25">
      <c r="A2378" t="s">
        <v>2382</v>
      </c>
      <c r="B2378">
        <v>0.995954080203443</v>
      </c>
      <c r="C2378">
        <v>0.57417228090036299</v>
      </c>
      <c r="D2378">
        <v>0.36297855323754302</v>
      </c>
      <c r="E2378">
        <v>0.34277405926668802</v>
      </c>
      <c r="F2378">
        <v>0.27590589207751198</v>
      </c>
      <c r="G2378">
        <v>0.17094681338797199</v>
      </c>
      <c r="H2378">
        <v>0.13524945441922501</v>
      </c>
      <c r="I2378">
        <v>0.11216161287121</v>
      </c>
      <c r="J2378">
        <v>0.10973277542010899</v>
      </c>
      <c r="K2378">
        <v>0.108752785907304</v>
      </c>
      <c r="L2378">
        <v>732.80371407231496</v>
      </c>
      <c r="M2378">
        <v>16.674244779211701</v>
      </c>
      <c r="N2378">
        <v>44.860628861031202</v>
      </c>
      <c r="O2378">
        <v>43.330714774527401</v>
      </c>
      <c r="P2378">
        <v>-8.2374174068366599E-2</v>
      </c>
      <c r="Q2378">
        <v>0.143806781549668</v>
      </c>
      <c r="R2378">
        <v>0.93052206848674901</v>
      </c>
      <c r="S2378" t="s">
        <v>9184</v>
      </c>
      <c r="T2378" t="s">
        <v>13610</v>
      </c>
      <c r="U2378" t="s">
        <v>13610</v>
      </c>
      <c r="V2378" t="s">
        <v>13610</v>
      </c>
      <c r="W2378" t="s">
        <v>15938</v>
      </c>
      <c r="X2378">
        <v>12</v>
      </c>
      <c r="Y2378" t="s">
        <v>22598</v>
      </c>
      <c r="Z2378" t="s">
        <v>29233</v>
      </c>
      <c r="AA2378">
        <v>0.28158904553985031</v>
      </c>
      <c r="AB2378" t="str">
        <f>HYPERLINK("Melting_Curves/meltCurve_P38935_IGHMBP2.pdf", "Melting_Curves/meltCurve_P38935_IGHMBP2.pdf")</f>
        <v>Melting_Curves/meltCurve_P38935_IGHMBP2.pdf</v>
      </c>
    </row>
    <row r="2379" spans="1:28" x14ac:dyDescent="0.25">
      <c r="A2379" t="s">
        <v>2383</v>
      </c>
      <c r="B2379">
        <v>0.995954080203443</v>
      </c>
      <c r="C2379">
        <v>0.80115985496207398</v>
      </c>
      <c r="D2379">
        <v>0.66868009219483604</v>
      </c>
      <c r="E2379">
        <v>0.444099225077982</v>
      </c>
      <c r="F2379">
        <v>0.29825015400990201</v>
      </c>
      <c r="G2379">
        <v>0.220468222935959</v>
      </c>
      <c r="H2379">
        <v>0.17297980260200199</v>
      </c>
      <c r="I2379">
        <v>0.242005063681656</v>
      </c>
      <c r="J2379">
        <v>0.25874755312618702</v>
      </c>
      <c r="K2379">
        <v>0.28503010925309102</v>
      </c>
      <c r="L2379">
        <v>783.49016639070101</v>
      </c>
      <c r="M2379">
        <v>16.820273089804001</v>
      </c>
      <c r="N2379">
        <v>48.302082921308802</v>
      </c>
      <c r="O2379">
        <v>45.936663488344998</v>
      </c>
      <c r="P2379">
        <v>-7.0903142331409999E-2</v>
      </c>
      <c r="Q2379">
        <v>0.225495651356071</v>
      </c>
      <c r="R2379">
        <v>0.97801387124010397</v>
      </c>
      <c r="S2379" t="s">
        <v>9185</v>
      </c>
      <c r="T2379" t="s">
        <v>13610</v>
      </c>
      <c r="U2379" t="s">
        <v>13610</v>
      </c>
      <c r="V2379" t="s">
        <v>13610</v>
      </c>
      <c r="W2379" t="s">
        <v>15939</v>
      </c>
      <c r="X2379">
        <v>8</v>
      </c>
      <c r="Y2379" t="s">
        <v>22599</v>
      </c>
      <c r="Z2379" t="s">
        <v>29234</v>
      </c>
      <c r="AA2379">
        <v>0.41233041522074748</v>
      </c>
      <c r="AB2379" t="str">
        <f>HYPERLINK("Melting_Curves/meltCurve_P39019_RPS19.pdf", "Melting_Curves/meltCurve_P39019_RPS19.pdf")</f>
        <v>Melting_Curves/meltCurve_P39019_RPS19.pdf</v>
      </c>
    </row>
    <row r="2380" spans="1:28" x14ac:dyDescent="0.25">
      <c r="A2380" t="s">
        <v>2384</v>
      </c>
      <c r="B2380">
        <v>0.995954080203443</v>
      </c>
      <c r="C2380">
        <v>0.74668952032043501</v>
      </c>
      <c r="D2380">
        <v>0.65552668259747005</v>
      </c>
      <c r="E2380">
        <v>0.40232433593035</v>
      </c>
      <c r="F2380">
        <v>0.26627333663951602</v>
      </c>
      <c r="G2380">
        <v>0.17287881237889099</v>
      </c>
      <c r="H2380">
        <v>0.16803688208861201</v>
      </c>
      <c r="I2380">
        <v>0.23673983572503399</v>
      </c>
      <c r="J2380">
        <v>0.22475600466956699</v>
      </c>
      <c r="K2380">
        <v>0.27608779489116703</v>
      </c>
      <c r="L2380">
        <v>770.86363681900798</v>
      </c>
      <c r="M2380">
        <v>16.705528243647802</v>
      </c>
      <c r="N2380">
        <v>47.657366846339499</v>
      </c>
      <c r="O2380">
        <v>45.498212541621697</v>
      </c>
      <c r="P2380">
        <v>-7.2904410903064404E-2</v>
      </c>
      <c r="Q2380">
        <v>0.205819594936969</v>
      </c>
      <c r="R2380">
        <v>0.96748463374625404</v>
      </c>
      <c r="S2380" t="s">
        <v>9186</v>
      </c>
      <c r="T2380" t="s">
        <v>13610</v>
      </c>
      <c r="U2380" t="s">
        <v>13610</v>
      </c>
      <c r="V2380" t="s">
        <v>13610</v>
      </c>
      <c r="W2380" t="s">
        <v>15940</v>
      </c>
      <c r="X2380">
        <v>10</v>
      </c>
      <c r="Y2380" t="s">
        <v>22600</v>
      </c>
      <c r="Z2380" t="s">
        <v>29235</v>
      </c>
      <c r="AA2380">
        <v>0.38666830918655792</v>
      </c>
      <c r="AB2380" t="str">
        <f>HYPERLINK("Melting_Curves/meltCurve_P39023_RPL3.pdf", "Melting_Curves/meltCurve_P39023_RPL3.pdf")</f>
        <v>Melting_Curves/meltCurve_P39023_RPL3.pdf</v>
      </c>
    </row>
    <row r="2381" spans="1:28" x14ac:dyDescent="0.25">
      <c r="A2381" t="s">
        <v>2385</v>
      </c>
      <c r="B2381">
        <v>0.995954080203443</v>
      </c>
      <c r="C2381">
        <v>1.0375248506825501</v>
      </c>
      <c r="D2381">
        <v>0.96242780461928401</v>
      </c>
      <c r="E2381">
        <v>0.927399784205162</v>
      </c>
      <c r="F2381">
        <v>0.73584308470297</v>
      </c>
      <c r="G2381">
        <v>0.59655161697990899</v>
      </c>
      <c r="H2381">
        <v>0.40182392478575701</v>
      </c>
      <c r="I2381">
        <v>0.27935223253013403</v>
      </c>
      <c r="J2381">
        <v>0.2052292650684</v>
      </c>
      <c r="K2381">
        <v>0.155855174318175</v>
      </c>
      <c r="L2381">
        <v>732.47881423531203</v>
      </c>
      <c r="M2381">
        <v>12.6155903853867</v>
      </c>
      <c r="N2381">
        <v>58.653736589469503</v>
      </c>
      <c r="O2381">
        <v>56.660463023536103</v>
      </c>
      <c r="P2381">
        <v>-5.2344128378654903E-2</v>
      </c>
      <c r="Q2381">
        <v>5.98129519106907E-2</v>
      </c>
      <c r="R2381">
        <v>0.99435429398894204</v>
      </c>
      <c r="S2381" t="s">
        <v>9187</v>
      </c>
      <c r="T2381" t="s">
        <v>13610</v>
      </c>
      <c r="U2381" t="s">
        <v>13610</v>
      </c>
      <c r="V2381" t="s">
        <v>13610</v>
      </c>
      <c r="W2381" t="s">
        <v>15941</v>
      </c>
      <c r="X2381">
        <v>1</v>
      </c>
      <c r="Y2381" t="s">
        <v>22601</v>
      </c>
      <c r="Z2381" t="s">
        <v>29236</v>
      </c>
      <c r="AA2381">
        <v>0.63793830307864041</v>
      </c>
      <c r="AB2381" t="str">
        <f>HYPERLINK("Melting_Curves/meltCurve_P39059_COL15A1.pdf", "Melting_Curves/meltCurve_P39059_COL15A1.pdf")</f>
        <v>Melting_Curves/meltCurve_P39059_COL15A1.pdf</v>
      </c>
    </row>
    <row r="2382" spans="1:28" x14ac:dyDescent="0.25">
      <c r="A2382" t="s">
        <v>2386</v>
      </c>
      <c r="B2382">
        <v>0.995954080203443</v>
      </c>
      <c r="C2382">
        <v>0.90930894996896305</v>
      </c>
      <c r="D2382">
        <v>0.703333879379617</v>
      </c>
      <c r="E2382">
        <v>0.89819098240441397</v>
      </c>
      <c r="F2382">
        <v>0.28641313984424399</v>
      </c>
      <c r="G2382">
        <v>6.3187123509297893E-2</v>
      </c>
      <c r="H2382">
        <v>3.0754960905458401E-2</v>
      </c>
      <c r="I2382">
        <v>2.1127549382223301E-2</v>
      </c>
      <c r="J2382">
        <v>2.68301545984297E-2</v>
      </c>
      <c r="K2382">
        <v>2.1316472798943002E-2</v>
      </c>
      <c r="L2382">
        <v>2656.88160400078</v>
      </c>
      <c r="M2382">
        <v>51.122168302346402</v>
      </c>
      <c r="N2382">
        <v>52.033638396040303</v>
      </c>
      <c r="O2382">
        <v>51.891884868753799</v>
      </c>
      <c r="P2382">
        <v>-0.23896694249829301</v>
      </c>
      <c r="Q2382">
        <v>2.9741101296562801E-2</v>
      </c>
      <c r="R2382">
        <v>0.94136841680028904</v>
      </c>
      <c r="S2382" t="s">
        <v>9188</v>
      </c>
      <c r="T2382" t="s">
        <v>13610</v>
      </c>
      <c r="U2382" t="s">
        <v>13610</v>
      </c>
      <c r="V2382" t="s">
        <v>13610</v>
      </c>
      <c r="W2382" t="s">
        <v>15942</v>
      </c>
      <c r="X2382">
        <v>5</v>
      </c>
      <c r="Y2382" t="s">
        <v>22602</v>
      </c>
      <c r="Z2382" t="s">
        <v>29237</v>
      </c>
      <c r="AA2382">
        <v>0.41904103118242408</v>
      </c>
      <c r="AB2382" t="str">
        <f>HYPERLINK("Melting_Curves/meltCurve_P39656_DDOST.pdf", "Melting_Curves/meltCurve_P39656_DDOST.pdf")</f>
        <v>Melting_Curves/meltCurve_P39656_DDOST.pdf</v>
      </c>
    </row>
    <row r="2383" spans="1:28" x14ac:dyDescent="0.25">
      <c r="A2383" t="s">
        <v>2387</v>
      </c>
      <c r="B2383">
        <v>0.995954080203443</v>
      </c>
      <c r="C2383">
        <v>1.0356131844902301</v>
      </c>
      <c r="D2383">
        <v>1.0282447943828099</v>
      </c>
      <c r="E2383">
        <v>0.938717953993086</v>
      </c>
      <c r="F2383">
        <v>0.88597876084643201</v>
      </c>
      <c r="G2383">
        <v>0.69839465546714896</v>
      </c>
      <c r="H2383">
        <v>0.57877177448740302</v>
      </c>
      <c r="I2383">
        <v>0.64574810211567601</v>
      </c>
      <c r="J2383">
        <v>0.88713755317576704</v>
      </c>
      <c r="K2383">
        <v>0.78545448373763205</v>
      </c>
      <c r="L2383">
        <v>2562.3960995418702</v>
      </c>
      <c r="M2383">
        <v>48.162321738156898</v>
      </c>
      <c r="O2383">
        <v>53.111856379647101</v>
      </c>
      <c r="P2383">
        <v>-6.3949057780904803E-2</v>
      </c>
      <c r="Q2383">
        <v>0.71791646279499599</v>
      </c>
      <c r="R2383">
        <v>0.73570398103870305</v>
      </c>
      <c r="S2383" t="s">
        <v>9189</v>
      </c>
      <c r="T2383" t="s">
        <v>13610</v>
      </c>
      <c r="U2383" t="s">
        <v>13610</v>
      </c>
      <c r="V2383" t="s">
        <v>13610</v>
      </c>
      <c r="W2383" t="s">
        <v>15943</v>
      </c>
      <c r="X2383">
        <v>15</v>
      </c>
      <c r="Y2383" t="s">
        <v>22603</v>
      </c>
      <c r="Z2383" t="s">
        <v>29238</v>
      </c>
      <c r="AA2383">
        <v>0.84277818382855274</v>
      </c>
      <c r="AB2383" t="str">
        <f>HYPERLINK("Melting_Curves/meltCurve_P39687_ANP32A.pdf", "Melting_Curves/meltCurve_P39687_ANP32A.pdf")</f>
        <v>Melting_Curves/meltCurve_P39687_ANP32A.pdf</v>
      </c>
    </row>
    <row r="2384" spans="1:28" x14ac:dyDescent="0.25">
      <c r="A2384" t="s">
        <v>2388</v>
      </c>
      <c r="B2384">
        <v>0.995954080203443</v>
      </c>
      <c r="C2384">
        <v>0.94395723643620999</v>
      </c>
      <c r="D2384">
        <v>0.668813854521356</v>
      </c>
      <c r="E2384">
        <v>0.29467121561197601</v>
      </c>
      <c r="F2384">
        <v>0.124948849538569</v>
      </c>
      <c r="G2384">
        <v>6.8566548728232396E-2</v>
      </c>
      <c r="H2384">
        <v>4.3296936925089499E-2</v>
      </c>
      <c r="I2384">
        <v>3.8476599220004501E-2</v>
      </c>
      <c r="J2384">
        <v>4.1165233563873603E-2</v>
      </c>
      <c r="K2384">
        <v>3.4108811243236101E-2</v>
      </c>
      <c r="L2384">
        <v>1043.97761733778</v>
      </c>
      <c r="M2384">
        <v>21.9578689273213</v>
      </c>
      <c r="N2384">
        <v>47.715804288252698</v>
      </c>
      <c r="O2384">
        <v>47.155525939715801</v>
      </c>
      <c r="P2384">
        <v>-0.112004818239158</v>
      </c>
      <c r="Q2384">
        <v>3.78801856045805E-2</v>
      </c>
      <c r="R2384">
        <v>0.99897422756542598</v>
      </c>
      <c r="S2384" t="s">
        <v>9190</v>
      </c>
      <c r="T2384" t="s">
        <v>13610</v>
      </c>
      <c r="U2384" t="s">
        <v>13610</v>
      </c>
      <c r="V2384" t="s">
        <v>13610</v>
      </c>
      <c r="W2384" t="s">
        <v>15944</v>
      </c>
      <c r="X2384">
        <v>23</v>
      </c>
      <c r="Y2384" t="s">
        <v>22604</v>
      </c>
      <c r="Z2384" t="s">
        <v>29239</v>
      </c>
      <c r="AA2384">
        <v>0.29113190097971747</v>
      </c>
      <c r="AB2384" t="str">
        <f>HYPERLINK("Melting_Curves/meltCurve_P39748_FEN1.pdf", "Melting_Curves/meltCurve_P39748_FEN1.pdf")</f>
        <v>Melting_Curves/meltCurve_P39748_FEN1.pdf</v>
      </c>
    </row>
    <row r="2385" spans="1:28" x14ac:dyDescent="0.25">
      <c r="A2385" t="s">
        <v>2389</v>
      </c>
      <c r="B2385">
        <v>0.995954080203443</v>
      </c>
      <c r="C2385">
        <v>0.97144052959069005</v>
      </c>
      <c r="D2385">
        <v>1.10851745736116</v>
      </c>
      <c r="E2385">
        <v>0.848444718215147</v>
      </c>
      <c r="F2385">
        <v>0.81807965170917996</v>
      </c>
      <c r="G2385">
        <v>0.56872792929635896</v>
      </c>
      <c r="H2385">
        <v>0.46359768139837898</v>
      </c>
      <c r="I2385">
        <v>0.53991562568978302</v>
      </c>
      <c r="J2385">
        <v>0.58881694378778704</v>
      </c>
      <c r="K2385">
        <v>0.63796596896703495</v>
      </c>
      <c r="L2385">
        <v>1540.97328484372</v>
      </c>
      <c r="M2385">
        <v>29.197723624749202</v>
      </c>
      <c r="O2385">
        <v>52.5314599432512</v>
      </c>
      <c r="P2385">
        <v>-6.2155836151531398E-2</v>
      </c>
      <c r="Q2385">
        <v>0.55268937000373797</v>
      </c>
      <c r="R2385">
        <v>0.906246776064209</v>
      </c>
      <c r="S2385" t="s">
        <v>9191</v>
      </c>
      <c r="T2385" t="s">
        <v>13610</v>
      </c>
      <c r="U2385" t="s">
        <v>13610</v>
      </c>
      <c r="V2385" t="s">
        <v>13610</v>
      </c>
      <c r="W2385" t="s">
        <v>15945</v>
      </c>
      <c r="X2385">
        <v>56</v>
      </c>
      <c r="Y2385" t="s">
        <v>22605</v>
      </c>
      <c r="Z2385" t="s">
        <v>29240</v>
      </c>
      <c r="AA2385">
        <v>0.74625101069613242</v>
      </c>
      <c r="AB2385" t="str">
        <f>HYPERLINK("Melting_Curves/meltCurve_P39880_3_CUX1.pdf", "Melting_Curves/meltCurve_P39880_3_CUX1.pdf")</f>
        <v>Melting_Curves/meltCurve_P39880_3_CUX1.pdf</v>
      </c>
    </row>
    <row r="2386" spans="1:28" x14ac:dyDescent="0.25">
      <c r="A2386" t="s">
        <v>2390</v>
      </c>
      <c r="B2386">
        <v>0.995954080203443</v>
      </c>
      <c r="C2386">
        <v>1.0600800404305899</v>
      </c>
      <c r="D2386">
        <v>1.21628138323159</v>
      </c>
      <c r="E2386">
        <v>0.90805569194470104</v>
      </c>
      <c r="F2386">
        <v>0.39983410175984702</v>
      </c>
      <c r="G2386">
        <v>0.10789540193014401</v>
      </c>
      <c r="H2386">
        <v>6.9371381720106901E-2</v>
      </c>
      <c r="I2386">
        <v>6.0376540744679998E-2</v>
      </c>
      <c r="J2386">
        <v>7.04220263471112E-2</v>
      </c>
      <c r="K2386">
        <v>6.9344877867622806E-2</v>
      </c>
      <c r="L2386">
        <v>2519.2955127110599</v>
      </c>
      <c r="M2386">
        <v>48.1305820360461</v>
      </c>
      <c r="N2386">
        <v>52.511079573080302</v>
      </c>
      <c r="O2386">
        <v>52.252804776471301</v>
      </c>
      <c r="P2386">
        <v>-0.21383114079805601</v>
      </c>
      <c r="Q2386">
        <v>7.1420676428434707E-2</v>
      </c>
      <c r="R2386">
        <v>0.97609282641016604</v>
      </c>
      <c r="S2386" t="s">
        <v>9192</v>
      </c>
      <c r="T2386" t="s">
        <v>13610</v>
      </c>
      <c r="U2386" t="s">
        <v>13610</v>
      </c>
      <c r="V2386" t="s">
        <v>13610</v>
      </c>
      <c r="W2386" t="s">
        <v>15946</v>
      </c>
      <c r="X2386">
        <v>13</v>
      </c>
      <c r="Y2386" t="s">
        <v>22606</v>
      </c>
      <c r="Z2386" t="s">
        <v>29241</v>
      </c>
      <c r="AA2386">
        <v>0.45578133350626299</v>
      </c>
      <c r="AB2386" t="str">
        <f>HYPERLINK("Melting_Curves/meltCurve_P40121_2_CAPG.pdf", "Melting_Curves/meltCurve_P40121_2_CAPG.pdf")</f>
        <v>Melting_Curves/meltCurve_P40121_2_CAPG.pdf</v>
      </c>
    </row>
    <row r="2387" spans="1:28" x14ac:dyDescent="0.25">
      <c r="A2387" t="s">
        <v>2391</v>
      </c>
      <c r="B2387">
        <v>0.995954080203443</v>
      </c>
      <c r="C2387">
        <v>1.0603825206077</v>
      </c>
      <c r="D2387">
        <v>1.0117253519308</v>
      </c>
      <c r="E2387">
        <v>0.89805193201628797</v>
      </c>
      <c r="F2387">
        <v>0.331031771171031</v>
      </c>
      <c r="G2387">
        <v>0.10663042437292899</v>
      </c>
      <c r="H2387">
        <v>5.3543234076126697E-2</v>
      </c>
      <c r="I2387">
        <v>2.8480313261520201E-2</v>
      </c>
      <c r="J2387">
        <v>2.9496064760784799E-2</v>
      </c>
      <c r="K2387">
        <v>2.2364813059947499E-2</v>
      </c>
      <c r="L2387">
        <v>2518.3408433279301</v>
      </c>
      <c r="M2387">
        <v>48.325413146393203</v>
      </c>
      <c r="N2387">
        <v>52.211521496235001</v>
      </c>
      <c r="O2387">
        <v>52.023138907624102</v>
      </c>
      <c r="P2387">
        <v>-0.22202655773393601</v>
      </c>
      <c r="Q2387">
        <v>4.3939289778718499E-2</v>
      </c>
      <c r="R2387">
        <v>0.99640639353330296</v>
      </c>
      <c r="S2387" t="s">
        <v>9193</v>
      </c>
      <c r="T2387" t="s">
        <v>13610</v>
      </c>
      <c r="U2387" t="s">
        <v>13610</v>
      </c>
      <c r="V2387" t="s">
        <v>13610</v>
      </c>
      <c r="W2387" t="s">
        <v>15947</v>
      </c>
      <c r="X2387">
        <v>1</v>
      </c>
      <c r="Y2387" t="s">
        <v>22607</v>
      </c>
      <c r="Z2387" t="s">
        <v>29242</v>
      </c>
      <c r="AA2387">
        <v>0.43229072199450619</v>
      </c>
      <c r="AB2387" t="str">
        <f>HYPERLINK("Melting_Curves/meltCurve_P40189_3_IL6ST.pdf", "Melting_Curves/meltCurve_P40189_3_IL6ST.pdf")</f>
        <v>Melting_Curves/meltCurve_P40189_3_IL6ST.pdf</v>
      </c>
    </row>
    <row r="2388" spans="1:28" x14ac:dyDescent="0.25">
      <c r="A2388" t="s">
        <v>2392</v>
      </c>
      <c r="B2388">
        <v>0.995954080203443</v>
      </c>
      <c r="C2388">
        <v>0.93593786944810198</v>
      </c>
      <c r="D2388">
        <v>0.90846233040702695</v>
      </c>
      <c r="E2388">
        <v>0.74908595781567799</v>
      </c>
      <c r="F2388">
        <v>0.45307796937082501</v>
      </c>
      <c r="G2388">
        <v>0.24888096787444</v>
      </c>
      <c r="H2388">
        <v>0.15236711464692901</v>
      </c>
      <c r="I2388">
        <v>0.14249216278822999</v>
      </c>
      <c r="J2388">
        <v>0.17040549472152999</v>
      </c>
      <c r="K2388">
        <v>0.18371034516272799</v>
      </c>
      <c r="L2388">
        <v>1116.66197248968</v>
      </c>
      <c r="M2388">
        <v>21.6114572763897</v>
      </c>
      <c r="N2388">
        <v>52.533386718127602</v>
      </c>
      <c r="O2388">
        <v>51.233605111960799</v>
      </c>
      <c r="P2388">
        <v>-8.9692933255008406E-2</v>
      </c>
      <c r="Q2388">
        <v>0.14949147821626299</v>
      </c>
      <c r="R2388">
        <v>0.99378001120176795</v>
      </c>
      <c r="S2388" t="s">
        <v>9194</v>
      </c>
      <c r="T2388" t="s">
        <v>13610</v>
      </c>
      <c r="U2388" t="s">
        <v>13610</v>
      </c>
      <c r="V2388" t="s">
        <v>13610</v>
      </c>
      <c r="W2388" t="s">
        <v>15948</v>
      </c>
      <c r="X2388">
        <v>35</v>
      </c>
      <c r="Y2388" t="s">
        <v>22608</v>
      </c>
      <c r="Z2388" t="s">
        <v>29243</v>
      </c>
      <c r="AA2388">
        <v>0.49055169549739591</v>
      </c>
      <c r="AB2388" t="str">
        <f>HYPERLINK("Melting_Curves/meltCurve_P40222_TXLNA.pdf", "Melting_Curves/meltCurve_P40222_TXLNA.pdf")</f>
        <v>Melting_Curves/meltCurve_P40222_TXLNA.pdf</v>
      </c>
    </row>
    <row r="2389" spans="1:28" x14ac:dyDescent="0.25">
      <c r="A2389" t="s">
        <v>2393</v>
      </c>
      <c r="B2389">
        <v>0.995954080203443</v>
      </c>
      <c r="C2389">
        <v>0.60999928931592295</v>
      </c>
      <c r="D2389">
        <v>0.36225006281229799</v>
      </c>
      <c r="E2389">
        <v>1.02223595251577</v>
      </c>
      <c r="F2389">
        <v>0.57359298458200803</v>
      </c>
      <c r="G2389">
        <v>0.208402658251335</v>
      </c>
      <c r="H2389">
        <v>8.1017022130528596E-2</v>
      </c>
      <c r="I2389">
        <v>6.0221085771643902E-2</v>
      </c>
      <c r="J2389">
        <v>6.3737670152331505E-2</v>
      </c>
      <c r="K2389">
        <v>5.8809596865478597E-2</v>
      </c>
      <c r="L2389">
        <v>417.60075245175398</v>
      </c>
      <c r="M2389">
        <v>8.1914306842334508</v>
      </c>
      <c r="N2389">
        <v>50.980189592537499</v>
      </c>
      <c r="O2389">
        <v>48.212258956740897</v>
      </c>
      <c r="P2389">
        <v>-4.2519843257285701E-2</v>
      </c>
      <c r="Q2389">
        <v>0</v>
      </c>
      <c r="R2389">
        <v>0.64079389733701397</v>
      </c>
      <c r="S2389" t="s">
        <v>9195</v>
      </c>
      <c r="T2389" t="s">
        <v>13610</v>
      </c>
      <c r="U2389" t="s">
        <v>13610</v>
      </c>
      <c r="V2389" t="s">
        <v>13610</v>
      </c>
      <c r="W2389" t="s">
        <v>15949</v>
      </c>
      <c r="X2389">
        <v>32</v>
      </c>
      <c r="Y2389" t="s">
        <v>22609</v>
      </c>
      <c r="Z2389" t="s">
        <v>29244</v>
      </c>
      <c r="AA2389">
        <v>0.41823850160682208</v>
      </c>
      <c r="AB2389" t="str">
        <f>HYPERLINK("Melting_Curves/meltCurve_P40227_CCT6A.pdf", "Melting_Curves/meltCurve_P40227_CCT6A.pdf")</f>
        <v>Melting_Curves/meltCurve_P40227_CCT6A.pdf</v>
      </c>
    </row>
    <row r="2390" spans="1:28" x14ac:dyDescent="0.25">
      <c r="A2390" t="s">
        <v>2394</v>
      </c>
      <c r="B2390">
        <v>0.995954080203443</v>
      </c>
      <c r="C2390">
        <v>0.72234239128218602</v>
      </c>
      <c r="D2390">
        <v>0.53413346182263</v>
      </c>
      <c r="E2390">
        <v>0.39057087914859301</v>
      </c>
      <c r="F2390">
        <v>0.17299888763744001</v>
      </c>
      <c r="G2390">
        <v>9.5509347104831999E-2</v>
      </c>
      <c r="H2390">
        <v>6.4574788773700903E-2</v>
      </c>
      <c r="I2390">
        <v>4.1639073082303697E-2</v>
      </c>
      <c r="J2390">
        <v>5.5482158576655401E-2</v>
      </c>
      <c r="K2390">
        <v>3.0330294268656199E-2</v>
      </c>
      <c r="L2390">
        <v>612.45674929040399</v>
      </c>
      <c r="M2390">
        <v>13.0707636129537</v>
      </c>
      <c r="N2390">
        <v>47.012726037265701</v>
      </c>
      <c r="O2390">
        <v>45.800929895129499</v>
      </c>
      <c r="P2390">
        <v>-6.9846277336936005E-2</v>
      </c>
      <c r="Q2390">
        <v>2.1183572402790701E-2</v>
      </c>
      <c r="R2390">
        <v>0.98249948681567401</v>
      </c>
      <c r="S2390" t="s">
        <v>9196</v>
      </c>
      <c r="T2390" t="s">
        <v>13610</v>
      </c>
      <c r="U2390" t="s">
        <v>13610</v>
      </c>
      <c r="V2390" t="s">
        <v>13610</v>
      </c>
      <c r="W2390" t="s">
        <v>15950</v>
      </c>
      <c r="X2390">
        <v>4</v>
      </c>
      <c r="Y2390" t="s">
        <v>22610</v>
      </c>
      <c r="Z2390" t="s">
        <v>29245</v>
      </c>
      <c r="AA2390">
        <v>0.28026449665040692</v>
      </c>
      <c r="AB2390" t="str">
        <f>HYPERLINK("Melting_Curves/meltCurve_P40306_PSMB10.pdf", "Melting_Curves/meltCurve_P40306_PSMB10.pdf")</f>
        <v>Melting_Curves/meltCurve_P40306_PSMB10.pdf</v>
      </c>
    </row>
    <row r="2391" spans="1:28" x14ac:dyDescent="0.25">
      <c r="A2391" t="s">
        <v>2395</v>
      </c>
      <c r="B2391">
        <v>0.995954080203443</v>
      </c>
      <c r="C2391">
        <v>0.80364754496884705</v>
      </c>
      <c r="D2391">
        <v>0.53431669847492602</v>
      </c>
      <c r="E2391">
        <v>0.30399187927913301</v>
      </c>
      <c r="F2391">
        <v>0.187513808169958</v>
      </c>
      <c r="G2391">
        <v>0.128933897690688</v>
      </c>
      <c r="H2391">
        <v>8.2723915442355606E-2</v>
      </c>
      <c r="I2391">
        <v>7.4026710443204496E-2</v>
      </c>
      <c r="J2391">
        <v>6.9655979778773899E-2</v>
      </c>
      <c r="K2391">
        <v>6.6847850807208106E-2</v>
      </c>
      <c r="L2391">
        <v>770.51582235966202</v>
      </c>
      <c r="M2391">
        <v>16.620287612828001</v>
      </c>
      <c r="N2391">
        <v>46.798319905919499</v>
      </c>
      <c r="O2391">
        <v>45.704407006310497</v>
      </c>
      <c r="P2391">
        <v>-8.4364171747412106E-2</v>
      </c>
      <c r="Q2391">
        <v>7.2084884922332407E-2</v>
      </c>
      <c r="R2391">
        <v>0.99480108789205002</v>
      </c>
      <c r="S2391" t="s">
        <v>9197</v>
      </c>
      <c r="T2391" t="s">
        <v>13610</v>
      </c>
      <c r="U2391" t="s">
        <v>13610</v>
      </c>
      <c r="V2391" t="s">
        <v>13610</v>
      </c>
      <c r="W2391" t="s">
        <v>15951</v>
      </c>
      <c r="X2391">
        <v>3</v>
      </c>
      <c r="Y2391" t="s">
        <v>22611</v>
      </c>
      <c r="Z2391" t="s">
        <v>29246</v>
      </c>
      <c r="AA2391">
        <v>0.28996286218276968</v>
      </c>
      <c r="AB2391" t="str">
        <f>HYPERLINK("Melting_Curves/meltCurve_P40337_3_VHL.pdf", "Melting_Curves/meltCurve_P40337_3_VHL.pdf")</f>
        <v>Melting_Curves/meltCurve_P40337_3_VHL.pdf</v>
      </c>
    </row>
    <row r="2392" spans="1:28" x14ac:dyDescent="0.25">
      <c r="A2392" t="s">
        <v>2396</v>
      </c>
      <c r="B2392">
        <v>0.995954080203443</v>
      </c>
      <c r="C2392">
        <v>0.98340255433204804</v>
      </c>
      <c r="D2392">
        <v>0.87871434195435305</v>
      </c>
      <c r="E2392">
        <v>0.63392753564052495</v>
      </c>
      <c r="F2392">
        <v>0.30510795502007598</v>
      </c>
      <c r="G2392">
        <v>0.160839761686913</v>
      </c>
      <c r="H2392">
        <v>0.116993381011642</v>
      </c>
      <c r="I2392">
        <v>0.11710430739724099</v>
      </c>
      <c r="J2392">
        <v>0.13869268723094</v>
      </c>
      <c r="K2392">
        <v>0.12574825113734101</v>
      </c>
      <c r="L2392">
        <v>1201.8009953365099</v>
      </c>
      <c r="M2392">
        <v>23.835554971308198</v>
      </c>
      <c r="N2392">
        <v>50.982997347919998</v>
      </c>
      <c r="O2392">
        <v>50.069639661247201</v>
      </c>
      <c r="P2392">
        <v>-0.10525412184134</v>
      </c>
      <c r="Q2392">
        <v>0.11561531285578799</v>
      </c>
      <c r="R2392">
        <v>0.99710473313688297</v>
      </c>
      <c r="S2392" t="s">
        <v>9198</v>
      </c>
      <c r="T2392" t="s">
        <v>13610</v>
      </c>
      <c r="U2392" t="s">
        <v>13610</v>
      </c>
      <c r="V2392" t="s">
        <v>13610</v>
      </c>
      <c r="W2392" t="s">
        <v>15952</v>
      </c>
      <c r="X2392">
        <v>5</v>
      </c>
      <c r="Y2392" t="s">
        <v>22612</v>
      </c>
      <c r="Z2392" t="s">
        <v>29247</v>
      </c>
      <c r="AA2392">
        <v>0.43153534058747911</v>
      </c>
      <c r="AB2392" t="str">
        <f>HYPERLINK("Melting_Curves/meltCurve_P40425_PBX2.pdf", "Melting_Curves/meltCurve_P40425_PBX2.pdf")</f>
        <v>Melting_Curves/meltCurve_P40425_PBX2.pdf</v>
      </c>
    </row>
    <row r="2393" spans="1:28" x14ac:dyDescent="0.25">
      <c r="A2393" t="s">
        <v>2397</v>
      </c>
      <c r="B2393">
        <v>0.995954080203443</v>
      </c>
      <c r="C2393">
        <v>0.86503224122982803</v>
      </c>
      <c r="D2393">
        <v>0.65867693553851903</v>
      </c>
      <c r="E2393">
        <v>0.44358502402334299</v>
      </c>
      <c r="F2393">
        <v>0.212449240812249</v>
      </c>
      <c r="G2393">
        <v>0.112034081632699</v>
      </c>
      <c r="H2393">
        <v>8.0675194150874693E-2</v>
      </c>
      <c r="I2393">
        <v>7.67032417770728E-2</v>
      </c>
      <c r="J2393">
        <v>7.9261685921395403E-2</v>
      </c>
      <c r="K2393">
        <v>7.6739799180884694E-2</v>
      </c>
      <c r="L2393">
        <v>746.34367390799196</v>
      </c>
      <c r="M2393">
        <v>15.5190394350119</v>
      </c>
      <c r="N2393">
        <v>48.464709251807399</v>
      </c>
      <c r="O2393">
        <v>47.314820912707098</v>
      </c>
      <c r="P2393">
        <v>-7.73945459565656E-2</v>
      </c>
      <c r="Q2393">
        <v>5.62340304456646E-2</v>
      </c>
      <c r="R2393">
        <v>0.99457026448655295</v>
      </c>
      <c r="S2393" t="s">
        <v>9199</v>
      </c>
      <c r="T2393" t="s">
        <v>13610</v>
      </c>
      <c r="U2393" t="s">
        <v>13610</v>
      </c>
      <c r="V2393" t="s">
        <v>13610</v>
      </c>
      <c r="W2393" t="s">
        <v>15953</v>
      </c>
      <c r="X2393">
        <v>9</v>
      </c>
      <c r="Y2393" t="s">
        <v>22613</v>
      </c>
      <c r="Z2393" t="s">
        <v>29248</v>
      </c>
      <c r="AA2393">
        <v>0.33340770401986769</v>
      </c>
      <c r="AB2393" t="str">
        <f>HYPERLINK("Melting_Curves/meltCurve_P40429_RPL13A.pdf", "Melting_Curves/meltCurve_P40429_RPL13A.pdf")</f>
        <v>Melting_Curves/meltCurve_P40429_RPL13A.pdf</v>
      </c>
    </row>
    <row r="2394" spans="1:28" x14ac:dyDescent="0.25">
      <c r="A2394" t="s">
        <v>2398</v>
      </c>
      <c r="B2394">
        <v>0.995954080203443</v>
      </c>
      <c r="C2394">
        <v>0.80269334097591805</v>
      </c>
      <c r="D2394">
        <v>0.80747218753108696</v>
      </c>
      <c r="E2394">
        <v>0.63440791516829598</v>
      </c>
      <c r="F2394">
        <v>0.52662598267048799</v>
      </c>
      <c r="G2394">
        <v>0.324577257086756</v>
      </c>
      <c r="H2394">
        <v>0.17797271744858101</v>
      </c>
      <c r="I2394">
        <v>0.13138739712381001</v>
      </c>
      <c r="J2394">
        <v>0.14314806522526899</v>
      </c>
      <c r="K2394">
        <v>0.13602340515438399</v>
      </c>
      <c r="L2394">
        <v>494.728254842853</v>
      </c>
      <c r="M2394">
        <v>9.4221189067536901</v>
      </c>
      <c r="N2394">
        <v>52.659493947338902</v>
      </c>
      <c r="O2394">
        <v>50.304885319696403</v>
      </c>
      <c r="P2394">
        <v>-4.6223528262964303E-2</v>
      </c>
      <c r="Q2394">
        <v>1.3448655809951001E-2</v>
      </c>
      <c r="R2394">
        <v>0.98220421617392994</v>
      </c>
      <c r="S2394" t="s">
        <v>9200</v>
      </c>
      <c r="T2394" t="s">
        <v>13610</v>
      </c>
      <c r="U2394" t="s">
        <v>13610</v>
      </c>
      <c r="V2394" t="s">
        <v>13610</v>
      </c>
      <c r="W2394" t="s">
        <v>15954</v>
      </c>
      <c r="X2394">
        <v>12</v>
      </c>
      <c r="Y2394" t="s">
        <v>22614</v>
      </c>
      <c r="Z2394" t="s">
        <v>29249</v>
      </c>
      <c r="AA2394">
        <v>0.46244376155960598</v>
      </c>
      <c r="AB2394" t="str">
        <f>HYPERLINK("Melting_Curves/meltCurve_P40692_MLH1.pdf", "Melting_Curves/meltCurve_P40692_MLH1.pdf")</f>
        <v>Melting_Curves/meltCurve_P40692_MLH1.pdf</v>
      </c>
    </row>
    <row r="2395" spans="1:28" x14ac:dyDescent="0.25">
      <c r="A2395" t="s">
        <v>2399</v>
      </c>
      <c r="B2395">
        <v>0.995954080203443</v>
      </c>
      <c r="C2395">
        <v>0.94334755366864698</v>
      </c>
      <c r="D2395">
        <v>0.71935835029264605</v>
      </c>
      <c r="E2395">
        <v>0.51160091175990696</v>
      </c>
      <c r="F2395">
        <v>0.17794320219512899</v>
      </c>
      <c r="G2395">
        <v>9.4640931526230904E-2</v>
      </c>
      <c r="H2395">
        <v>6.2593576916013097E-2</v>
      </c>
      <c r="I2395">
        <v>5.4093432055485599E-2</v>
      </c>
      <c r="J2395">
        <v>6.1193261962557602E-2</v>
      </c>
      <c r="K2395">
        <v>5.6441813312366397E-2</v>
      </c>
      <c r="L2395">
        <v>879.21376919593604</v>
      </c>
      <c r="M2395">
        <v>17.9444270397784</v>
      </c>
      <c r="N2395">
        <v>49.217414462464802</v>
      </c>
      <c r="O2395">
        <v>48.400154109538498</v>
      </c>
      <c r="P2395">
        <v>-8.9105660408283396E-2</v>
      </c>
      <c r="Q2395">
        <v>3.8696267618436198E-2</v>
      </c>
      <c r="R2395">
        <v>0.99033577016423302</v>
      </c>
      <c r="S2395" t="s">
        <v>9201</v>
      </c>
      <c r="T2395" t="s">
        <v>13610</v>
      </c>
      <c r="U2395" t="s">
        <v>13610</v>
      </c>
      <c r="V2395" t="s">
        <v>13610</v>
      </c>
      <c r="W2395" t="s">
        <v>15955</v>
      </c>
      <c r="X2395">
        <v>34</v>
      </c>
      <c r="Y2395" t="s">
        <v>22615</v>
      </c>
      <c r="Z2395" t="s">
        <v>29250</v>
      </c>
      <c r="AA2395">
        <v>0.34372923129195693</v>
      </c>
      <c r="AB2395" t="str">
        <f>HYPERLINK("Melting_Curves/meltCurve_P40763_STAT3.pdf", "Melting_Curves/meltCurve_P40763_STAT3.pdf")</f>
        <v>Melting_Curves/meltCurve_P40763_STAT3.pdf</v>
      </c>
    </row>
    <row r="2396" spans="1:28" x14ac:dyDescent="0.25">
      <c r="A2396" t="s">
        <v>2400</v>
      </c>
      <c r="B2396">
        <v>0.995954080203443</v>
      </c>
      <c r="C2396">
        <v>0.89892680687690296</v>
      </c>
      <c r="D2396">
        <v>0.85711477291247595</v>
      </c>
      <c r="E2396">
        <v>0.50562528993804701</v>
      </c>
      <c r="F2396">
        <v>0.326571831767622</v>
      </c>
      <c r="G2396">
        <v>0.23320769286520901</v>
      </c>
      <c r="H2396">
        <v>0.19088288971786099</v>
      </c>
      <c r="I2396">
        <v>0.21314455651950501</v>
      </c>
      <c r="J2396">
        <v>0.25325996345020002</v>
      </c>
      <c r="K2396">
        <v>0.24247891125576701</v>
      </c>
      <c r="L2396">
        <v>1077.81844030364</v>
      </c>
      <c r="M2396">
        <v>22.110598516716902</v>
      </c>
      <c r="N2396">
        <v>50.037947289826803</v>
      </c>
      <c r="O2396">
        <v>48.353203789161697</v>
      </c>
      <c r="P2396">
        <v>-8.9467304674154799E-2</v>
      </c>
      <c r="Q2396">
        <v>0.21740054455591201</v>
      </c>
      <c r="R2396">
        <v>0.99144870813328501</v>
      </c>
      <c r="S2396" t="s">
        <v>9202</v>
      </c>
      <c r="T2396" t="s">
        <v>13610</v>
      </c>
      <c r="U2396" t="s">
        <v>13610</v>
      </c>
      <c r="V2396" t="s">
        <v>13610</v>
      </c>
      <c r="W2396" t="s">
        <v>15956</v>
      </c>
      <c r="X2396">
        <v>30</v>
      </c>
      <c r="Y2396" t="s">
        <v>22616</v>
      </c>
      <c r="Z2396" t="s">
        <v>29251</v>
      </c>
      <c r="AA2396">
        <v>0.45450741954880031</v>
      </c>
      <c r="AB2396" t="str">
        <f>HYPERLINK("Melting_Curves/meltCurve_P40818_USP8.pdf", "Melting_Curves/meltCurve_P40818_USP8.pdf")</f>
        <v>Melting_Curves/meltCurve_P40818_USP8.pdf</v>
      </c>
    </row>
    <row r="2397" spans="1:28" x14ac:dyDescent="0.25">
      <c r="A2397" t="s">
        <v>2401</v>
      </c>
      <c r="B2397">
        <v>0.995954080203443</v>
      </c>
      <c r="C2397">
        <v>0.98371802609276704</v>
      </c>
      <c r="D2397">
        <v>1.11715361219871</v>
      </c>
      <c r="E2397">
        <v>0.93079496363121506</v>
      </c>
      <c r="F2397">
        <v>1.0245626331433499</v>
      </c>
      <c r="G2397">
        <v>0.82548220190201005</v>
      </c>
      <c r="H2397">
        <v>0.28452309160524702</v>
      </c>
      <c r="I2397">
        <v>0.103824652143332</v>
      </c>
      <c r="J2397">
        <v>9.4822905064673696E-2</v>
      </c>
      <c r="K2397">
        <v>9.1077366219879399E-2</v>
      </c>
      <c r="L2397">
        <v>2435.8569477885999</v>
      </c>
      <c r="M2397">
        <v>41.246467962456798</v>
      </c>
      <c r="N2397">
        <v>59.318766665482599</v>
      </c>
      <c r="O2397">
        <v>58.917805798152102</v>
      </c>
      <c r="P2397">
        <v>-0.16041088618534399</v>
      </c>
      <c r="Q2397">
        <v>8.3456739536051205E-2</v>
      </c>
      <c r="R2397">
        <v>0.98847174541764005</v>
      </c>
      <c r="S2397" t="s">
        <v>9203</v>
      </c>
      <c r="T2397" t="s">
        <v>13610</v>
      </c>
      <c r="U2397" t="s">
        <v>13610</v>
      </c>
      <c r="V2397" t="s">
        <v>13610</v>
      </c>
      <c r="W2397" t="s">
        <v>15957</v>
      </c>
      <c r="X2397">
        <v>22</v>
      </c>
      <c r="Y2397" t="s">
        <v>22617</v>
      </c>
      <c r="Z2397" t="s">
        <v>29252</v>
      </c>
      <c r="AA2397">
        <v>0.6690636613572718</v>
      </c>
      <c r="AB2397" t="str">
        <f>HYPERLINK("Melting_Curves/meltCurve_P40925_MDH1.pdf", "Melting_Curves/meltCurve_P40925_MDH1.pdf")</f>
        <v>Melting_Curves/meltCurve_P40925_MDH1.pdf</v>
      </c>
    </row>
    <row r="2398" spans="1:28" x14ac:dyDescent="0.25">
      <c r="A2398" t="s">
        <v>2402</v>
      </c>
      <c r="B2398">
        <v>0.995954080203443</v>
      </c>
      <c r="C2398">
        <v>1.06338434491994</v>
      </c>
      <c r="D2398">
        <v>1.0723170584996</v>
      </c>
      <c r="E2398">
        <v>1.00301267824273</v>
      </c>
      <c r="F2398">
        <v>0.95180097512127904</v>
      </c>
      <c r="G2398">
        <v>0.73485085835163</v>
      </c>
      <c r="H2398">
        <v>0.34055780431735799</v>
      </c>
      <c r="I2398">
        <v>9.7003041141151797E-2</v>
      </c>
      <c r="J2398">
        <v>7.7441696529293502E-2</v>
      </c>
      <c r="K2398">
        <v>6.7197604840879999E-2</v>
      </c>
      <c r="L2398">
        <v>1654.79007087012</v>
      </c>
      <c r="M2398">
        <v>28.030669063246901</v>
      </c>
      <c r="N2398">
        <v>59.2072814761286</v>
      </c>
      <c r="O2398">
        <v>58.736975020799399</v>
      </c>
      <c r="P2398">
        <v>-0.114633900502169</v>
      </c>
      <c r="Q2398">
        <v>3.9168093375862398E-2</v>
      </c>
      <c r="R2398">
        <v>0.99315433001805298</v>
      </c>
      <c r="S2398" t="s">
        <v>9204</v>
      </c>
      <c r="T2398" t="s">
        <v>13610</v>
      </c>
      <c r="U2398" t="s">
        <v>13610</v>
      </c>
      <c r="V2398" t="s">
        <v>13610</v>
      </c>
      <c r="W2398" t="s">
        <v>15958</v>
      </c>
      <c r="X2398">
        <v>24</v>
      </c>
      <c r="Y2398" t="s">
        <v>22618</v>
      </c>
      <c r="Z2398" t="s">
        <v>29253</v>
      </c>
      <c r="AA2398">
        <v>0.6555950651414908</v>
      </c>
      <c r="AB2398" t="str">
        <f>HYPERLINK("Melting_Curves/meltCurve_P40926_MDH2.pdf", "Melting_Curves/meltCurve_P40926_MDH2.pdf")</f>
        <v>Melting_Curves/meltCurve_P40926_MDH2.pdf</v>
      </c>
    </row>
    <row r="2399" spans="1:28" x14ac:dyDescent="0.25">
      <c r="A2399" t="s">
        <v>2403</v>
      </c>
      <c r="B2399">
        <v>0.995954080203443</v>
      </c>
      <c r="C2399">
        <v>0.71544000694455501</v>
      </c>
      <c r="D2399">
        <v>0.40026864028176201</v>
      </c>
      <c r="E2399">
        <v>0.259809044003456</v>
      </c>
      <c r="F2399">
        <v>0.13054678528990701</v>
      </c>
      <c r="G2399">
        <v>7.5131036687823602E-2</v>
      </c>
      <c r="H2399">
        <v>4.9471351453381197E-2</v>
      </c>
      <c r="I2399">
        <v>4.6335385015679298E-2</v>
      </c>
      <c r="J2399">
        <v>6.1376933636965697E-2</v>
      </c>
      <c r="K2399">
        <v>4.9535970697704899E-2</v>
      </c>
      <c r="L2399">
        <v>821.47955811739996</v>
      </c>
      <c r="M2399">
        <v>18.211404723991699</v>
      </c>
      <c r="N2399">
        <v>45.414733111038899</v>
      </c>
      <c r="O2399">
        <v>44.5746274960675</v>
      </c>
      <c r="P2399">
        <v>-9.6233220844276005E-2</v>
      </c>
      <c r="Q2399">
        <v>5.7874356094952902E-2</v>
      </c>
      <c r="R2399">
        <v>0.985749807594831</v>
      </c>
      <c r="S2399" t="s">
        <v>9205</v>
      </c>
      <c r="T2399" t="s">
        <v>13610</v>
      </c>
      <c r="U2399" t="s">
        <v>13610</v>
      </c>
      <c r="V2399" t="s">
        <v>13610</v>
      </c>
      <c r="W2399" t="s">
        <v>15959</v>
      </c>
      <c r="X2399">
        <v>9</v>
      </c>
      <c r="Y2399" t="s">
        <v>22619</v>
      </c>
      <c r="Z2399" t="s">
        <v>29254</v>
      </c>
      <c r="AA2399">
        <v>0.23783931750762061</v>
      </c>
      <c r="AB2399" t="str">
        <f>HYPERLINK("Melting_Curves/meltCurve_P40937_RFC5.pdf", "Melting_Curves/meltCurve_P40937_RFC5.pdf")</f>
        <v>Melting_Curves/meltCurve_P40937_RFC5.pdf</v>
      </c>
    </row>
    <row r="2400" spans="1:28" x14ac:dyDescent="0.25">
      <c r="A2400" t="s">
        <v>2404</v>
      </c>
      <c r="B2400">
        <v>0.995954080203443</v>
      </c>
      <c r="C2400">
        <v>0.65325861696978704</v>
      </c>
      <c r="D2400">
        <v>0.36497885432550597</v>
      </c>
      <c r="E2400">
        <v>0.246499306669138</v>
      </c>
      <c r="F2400">
        <v>0.12537630535987701</v>
      </c>
      <c r="G2400">
        <v>7.4336588642720094E-2</v>
      </c>
      <c r="H2400">
        <v>5.5450036513117598E-2</v>
      </c>
      <c r="I2400">
        <v>5.1332891476695501E-2</v>
      </c>
      <c r="J2400">
        <v>5.5838922680236602E-2</v>
      </c>
      <c r="K2400">
        <v>5.6196373674296501E-2</v>
      </c>
      <c r="L2400">
        <v>840.899217962693</v>
      </c>
      <c r="M2400">
        <v>18.873072123259</v>
      </c>
      <c r="N2400">
        <v>44.886119814508596</v>
      </c>
      <c r="O2400">
        <v>44.064339100341201</v>
      </c>
      <c r="P2400">
        <v>-0.100132644763001</v>
      </c>
      <c r="Q2400">
        <v>6.4890751116433595E-2</v>
      </c>
      <c r="R2400">
        <v>0.98025219649623496</v>
      </c>
      <c r="S2400" t="s">
        <v>9206</v>
      </c>
      <c r="T2400" t="s">
        <v>13610</v>
      </c>
      <c r="U2400" t="s">
        <v>13610</v>
      </c>
      <c r="V2400" t="s">
        <v>13610</v>
      </c>
      <c r="W2400" t="s">
        <v>15960</v>
      </c>
      <c r="X2400">
        <v>12</v>
      </c>
      <c r="Y2400" t="s">
        <v>22620</v>
      </c>
      <c r="Z2400" t="s">
        <v>29255</v>
      </c>
      <c r="AA2400">
        <v>0.2260077693250451</v>
      </c>
      <c r="AB2400" t="str">
        <f>HYPERLINK("Melting_Curves/meltCurve_P40938_RFC3.pdf", "Melting_Curves/meltCurve_P40938_RFC3.pdf")</f>
        <v>Melting_Curves/meltCurve_P40938_RFC3.pdf</v>
      </c>
    </row>
    <row r="2401" spans="1:28" x14ac:dyDescent="0.25">
      <c r="A2401" t="s">
        <v>2405</v>
      </c>
      <c r="B2401">
        <v>0.995954080203443</v>
      </c>
      <c r="C2401">
        <v>0.77405028605705495</v>
      </c>
      <c r="D2401">
        <v>0.57532466486906297</v>
      </c>
      <c r="E2401">
        <v>0.48284196450591499</v>
      </c>
      <c r="F2401">
        <v>0.17839635142020399</v>
      </c>
      <c r="G2401">
        <v>9.9020824789569806E-2</v>
      </c>
      <c r="H2401">
        <v>6.2361812938693903E-2</v>
      </c>
      <c r="I2401">
        <v>5.3062673370416098E-2</v>
      </c>
      <c r="J2401">
        <v>5.6581554164969003E-2</v>
      </c>
      <c r="K2401">
        <v>5.4272450742927102E-2</v>
      </c>
      <c r="L2401">
        <v>614.52234549893103</v>
      </c>
      <c r="M2401">
        <v>12.8695154804787</v>
      </c>
      <c r="N2401">
        <v>47.894004956862702</v>
      </c>
      <c r="O2401">
        <v>46.641382674542498</v>
      </c>
      <c r="P2401">
        <v>-6.7686600825244803E-2</v>
      </c>
      <c r="Q2401">
        <v>1.8947779088280801E-2</v>
      </c>
      <c r="R2401">
        <v>0.97607186369478705</v>
      </c>
      <c r="S2401" t="s">
        <v>9207</v>
      </c>
      <c r="T2401" t="s">
        <v>13610</v>
      </c>
      <c r="U2401" t="s">
        <v>13610</v>
      </c>
      <c r="V2401" t="s">
        <v>13610</v>
      </c>
      <c r="W2401" t="s">
        <v>15961</v>
      </c>
      <c r="X2401">
        <v>23</v>
      </c>
      <c r="Y2401" t="s">
        <v>22621</v>
      </c>
      <c r="Z2401" t="s">
        <v>29256</v>
      </c>
      <c r="AA2401">
        <v>0.30675970996785112</v>
      </c>
      <c r="AB2401" t="str">
        <f>HYPERLINK("Melting_Curves/meltCurve_P40939_HADHA.pdf", "Melting_Curves/meltCurve_P40939_HADHA.pdf")</f>
        <v>Melting_Curves/meltCurve_P40939_HADHA.pdf</v>
      </c>
    </row>
    <row r="2402" spans="1:28" x14ac:dyDescent="0.25">
      <c r="A2402" t="s">
        <v>2406</v>
      </c>
      <c r="B2402">
        <v>0.995954080203443</v>
      </c>
      <c r="C2402">
        <v>0.853544149767547</v>
      </c>
      <c r="D2402">
        <v>0.80431773670584905</v>
      </c>
      <c r="E2402">
        <v>0.75538303123025197</v>
      </c>
      <c r="F2402">
        <v>0.40101004502991799</v>
      </c>
      <c r="G2402">
        <v>0.16320769006991201</v>
      </c>
      <c r="H2402">
        <v>7.4662958965558607E-2</v>
      </c>
      <c r="I2402">
        <v>6.0691608010637103E-2</v>
      </c>
      <c r="J2402">
        <v>6.4662932705230297E-2</v>
      </c>
      <c r="K2402">
        <v>6.17460831346692E-2</v>
      </c>
      <c r="L2402">
        <v>798.53671194184096</v>
      </c>
      <c r="M2402">
        <v>15.4062070735605</v>
      </c>
      <c r="N2402">
        <v>51.925906001969501</v>
      </c>
      <c r="O2402">
        <v>50.982402804239598</v>
      </c>
      <c r="P2402">
        <v>-7.4517123193068205E-2</v>
      </c>
      <c r="Q2402">
        <v>1.37180057861639E-2</v>
      </c>
      <c r="R2402">
        <v>0.97431702421122601</v>
      </c>
      <c r="S2402" t="s">
        <v>9208</v>
      </c>
      <c r="T2402" t="s">
        <v>13610</v>
      </c>
      <c r="U2402" t="s">
        <v>13610</v>
      </c>
      <c r="V2402" t="s">
        <v>13610</v>
      </c>
      <c r="W2402" t="s">
        <v>15962</v>
      </c>
      <c r="X2402">
        <v>24</v>
      </c>
      <c r="Y2402" t="s">
        <v>22622</v>
      </c>
      <c r="Z2402" t="s">
        <v>29257</v>
      </c>
      <c r="AA2402">
        <v>0.42398275888552622</v>
      </c>
      <c r="AB2402" t="str">
        <f>HYPERLINK("Melting_Curves/meltCurve_P41091_EIF2S3.pdf", "Melting_Curves/meltCurve_P41091_EIF2S3.pdf")</f>
        <v>Melting_Curves/meltCurve_P41091_EIF2S3.pdf</v>
      </c>
    </row>
    <row r="2403" spans="1:28" x14ac:dyDescent="0.25">
      <c r="A2403" t="s">
        <v>2407</v>
      </c>
      <c r="B2403">
        <v>0.995954080203443</v>
      </c>
      <c r="C2403">
        <v>0.66835023778712699</v>
      </c>
      <c r="D2403">
        <v>1.2603981862870399</v>
      </c>
      <c r="E2403">
        <v>0.77931374996820701</v>
      </c>
      <c r="F2403">
        <v>1.3229798837058799</v>
      </c>
      <c r="G2403">
        <v>1.2894366788545899</v>
      </c>
      <c r="H2403">
        <v>1.3746637381381399</v>
      </c>
      <c r="I2403">
        <v>1.68517909319849</v>
      </c>
      <c r="J2403">
        <v>2.0477495372916001</v>
      </c>
      <c r="K2403">
        <v>2.0576380249370301</v>
      </c>
      <c r="L2403">
        <v>1645.23349560058</v>
      </c>
      <c r="M2403">
        <v>30.3932637633898</v>
      </c>
      <c r="O2403">
        <v>53.898796866611697</v>
      </c>
      <c r="P2403">
        <v>7.0487315395741004E-2</v>
      </c>
      <c r="Q2403">
        <v>1.5</v>
      </c>
      <c r="R2403">
        <v>0.53552792233339197</v>
      </c>
      <c r="S2403" t="s">
        <v>9209</v>
      </c>
      <c r="T2403" t="s">
        <v>13610</v>
      </c>
      <c r="U2403" t="s">
        <v>13610</v>
      </c>
      <c r="V2403" t="s">
        <v>13610</v>
      </c>
      <c r="W2403" t="s">
        <v>15963</v>
      </c>
      <c r="X2403">
        <v>2</v>
      </c>
      <c r="Y2403" t="s">
        <v>22623</v>
      </c>
      <c r="Z2403" t="s">
        <v>29258</v>
      </c>
      <c r="AA2403">
        <v>1.261266956936518</v>
      </c>
      <c r="AB2403" t="str">
        <f>HYPERLINK("Melting_Curves/meltCurve_P41162_ETV3.pdf", "Melting_Curves/meltCurve_P41162_ETV3.pdf")</f>
        <v>Melting_Curves/meltCurve_P41162_ETV3.pdf</v>
      </c>
    </row>
    <row r="2404" spans="1:28" x14ac:dyDescent="0.25">
      <c r="A2404" t="s">
        <v>2408</v>
      </c>
      <c r="B2404">
        <v>0.995954080203443</v>
      </c>
      <c r="C2404">
        <v>0.84673895896255502</v>
      </c>
      <c r="D2404">
        <v>0.79663256898575396</v>
      </c>
      <c r="E2404">
        <v>0.731319748287935</v>
      </c>
      <c r="F2404">
        <v>0.794860420181012</v>
      </c>
      <c r="G2404">
        <v>0.66147007230202104</v>
      </c>
      <c r="H2404">
        <v>0.65190082715070297</v>
      </c>
      <c r="I2404">
        <v>0.80341463873874897</v>
      </c>
      <c r="J2404">
        <v>1.01526587180169</v>
      </c>
      <c r="K2404">
        <v>0.99153030723737201</v>
      </c>
      <c r="L2404">
        <v>3232.83071331875</v>
      </c>
      <c r="M2404">
        <v>76.682759029342506</v>
      </c>
      <c r="O2404">
        <v>42.129862481765997</v>
      </c>
      <c r="P2404">
        <v>-8.8378485346819205E-2</v>
      </c>
      <c r="Q2404">
        <v>0.80577783557231597</v>
      </c>
      <c r="R2404">
        <v>0.201610200032381</v>
      </c>
      <c r="S2404" t="s">
        <v>9210</v>
      </c>
      <c r="T2404" t="s">
        <v>13610</v>
      </c>
      <c r="U2404" t="s">
        <v>13610</v>
      </c>
      <c r="V2404" t="s">
        <v>13610</v>
      </c>
      <c r="W2404" t="s">
        <v>15964</v>
      </c>
      <c r="X2404">
        <v>5</v>
      </c>
      <c r="Y2404" t="s">
        <v>22624</v>
      </c>
      <c r="Z2404" t="s">
        <v>29259</v>
      </c>
      <c r="AA2404">
        <v>0.81995473771142746</v>
      </c>
      <c r="AB2404" t="str">
        <f>HYPERLINK("Melting_Curves/meltCurve_P41208_CETN2.pdf", "Melting_Curves/meltCurve_P41208_CETN2.pdf")</f>
        <v>Melting_Curves/meltCurve_P41208_CETN2.pdf</v>
      </c>
    </row>
    <row r="2405" spans="1:28" x14ac:dyDescent="0.25">
      <c r="A2405" t="s">
        <v>2409</v>
      </c>
      <c r="B2405">
        <v>0.995954080203443</v>
      </c>
      <c r="C2405">
        <v>1.04128479803223</v>
      </c>
      <c r="D2405">
        <v>0.97628443753078498</v>
      </c>
      <c r="E2405">
        <v>0.92660264047355201</v>
      </c>
      <c r="F2405">
        <v>0.69310409780600002</v>
      </c>
      <c r="G2405">
        <v>0.449390402532865</v>
      </c>
      <c r="H2405">
        <v>0.298183180773686</v>
      </c>
      <c r="I2405">
        <v>0.284715957696768</v>
      </c>
      <c r="J2405">
        <v>0.37796265458608502</v>
      </c>
      <c r="K2405">
        <v>0.29115270789257403</v>
      </c>
      <c r="L2405">
        <v>1442.72833993836</v>
      </c>
      <c r="M2405">
        <v>26.910019489667601</v>
      </c>
      <c r="N2405">
        <v>55.587968726868802</v>
      </c>
      <c r="O2405">
        <v>53.319632939145599</v>
      </c>
      <c r="P2405">
        <v>-8.7338467683425597E-2</v>
      </c>
      <c r="Q2405">
        <v>0.30779594362347401</v>
      </c>
      <c r="R2405">
        <v>0.98941646740131695</v>
      </c>
      <c r="S2405" t="s">
        <v>9211</v>
      </c>
      <c r="T2405" t="s">
        <v>13610</v>
      </c>
      <c r="U2405" t="s">
        <v>13610</v>
      </c>
      <c r="V2405" t="s">
        <v>13610</v>
      </c>
      <c r="W2405" t="s">
        <v>15965</v>
      </c>
      <c r="X2405">
        <v>4</v>
      </c>
      <c r="Y2405" t="s">
        <v>22625</v>
      </c>
      <c r="Z2405" t="s">
        <v>29260</v>
      </c>
      <c r="AA2405">
        <v>0.62747077182072031</v>
      </c>
      <c r="AB2405" t="str">
        <f>HYPERLINK("Melting_Curves/meltCurve_P41212_ETV6.pdf", "Melting_Curves/meltCurve_P41212_ETV6.pdf")</f>
        <v>Melting_Curves/meltCurve_P41212_ETV6.pdf</v>
      </c>
    </row>
    <row r="2406" spans="1:28" x14ac:dyDescent="0.25">
      <c r="A2406" t="s">
        <v>2410</v>
      </c>
      <c r="B2406">
        <v>0.995954080203443</v>
      </c>
      <c r="C2406">
        <v>0.82100362182533504</v>
      </c>
      <c r="D2406">
        <v>0.34439627394532202</v>
      </c>
      <c r="E2406">
        <v>0.258840741559973</v>
      </c>
      <c r="F2406">
        <v>0.163259218897811</v>
      </c>
      <c r="G2406">
        <v>9.3665874793767506E-2</v>
      </c>
      <c r="H2406">
        <v>6.20699006095441E-2</v>
      </c>
      <c r="I2406">
        <v>5.9790628320301499E-2</v>
      </c>
      <c r="J2406">
        <v>6.3072565862990607E-2</v>
      </c>
      <c r="K2406">
        <v>6.2957684175732206E-2</v>
      </c>
      <c r="L2406">
        <v>1129.4259704973399</v>
      </c>
      <c r="M2406">
        <v>25.148762747750801</v>
      </c>
      <c r="N2406">
        <v>45.2668423875011</v>
      </c>
      <c r="O2406">
        <v>44.628728610923602</v>
      </c>
      <c r="P2406">
        <v>-0.12820563342307101</v>
      </c>
      <c r="Q2406">
        <v>8.9962510585176694E-2</v>
      </c>
      <c r="R2406">
        <v>0.97690771533227505</v>
      </c>
      <c r="S2406" t="s">
        <v>9212</v>
      </c>
      <c r="T2406" t="s">
        <v>13610</v>
      </c>
      <c r="U2406" t="s">
        <v>13610</v>
      </c>
      <c r="V2406" t="s">
        <v>13610</v>
      </c>
      <c r="W2406" t="s">
        <v>15966</v>
      </c>
      <c r="X2406">
        <v>14</v>
      </c>
      <c r="Y2406" t="s">
        <v>22626</v>
      </c>
      <c r="Z2406" t="s">
        <v>29261</v>
      </c>
      <c r="AA2406">
        <v>0.24792401228187719</v>
      </c>
      <c r="AB2406" t="str">
        <f>HYPERLINK("Melting_Curves/meltCurve_P41214_EIF2D.pdf", "Melting_Curves/meltCurve_P41214_EIF2D.pdf")</f>
        <v>Melting_Curves/meltCurve_P41214_EIF2D.pdf</v>
      </c>
    </row>
    <row r="2407" spans="1:28" x14ac:dyDescent="0.25">
      <c r="A2407" t="s">
        <v>2411</v>
      </c>
      <c r="B2407">
        <v>0.995954080203443</v>
      </c>
      <c r="C2407">
        <v>0.86686720282102003</v>
      </c>
      <c r="D2407">
        <v>0.77080955200768297</v>
      </c>
      <c r="E2407">
        <v>0.48253447004217198</v>
      </c>
      <c r="F2407">
        <v>0.16225773972395199</v>
      </c>
      <c r="G2407">
        <v>7.3567828470214605E-2</v>
      </c>
      <c r="H2407">
        <v>5.4236252498732603E-2</v>
      </c>
      <c r="I2407">
        <v>5.1061842785145403E-2</v>
      </c>
      <c r="J2407">
        <v>6.1599132091606099E-2</v>
      </c>
      <c r="K2407">
        <v>5.2896407079631301E-2</v>
      </c>
      <c r="L2407">
        <v>903.56623974780598</v>
      </c>
      <c r="M2407">
        <v>18.4725167533541</v>
      </c>
      <c r="N2407">
        <v>49.0984665793749</v>
      </c>
      <c r="O2407">
        <v>48.351664141113702</v>
      </c>
      <c r="P2407">
        <v>-9.2314838841848407E-2</v>
      </c>
      <c r="Q2407">
        <v>3.3509721394902901E-2</v>
      </c>
      <c r="R2407">
        <v>0.99023357546172597</v>
      </c>
      <c r="S2407" t="s">
        <v>9213</v>
      </c>
      <c r="T2407" t="s">
        <v>13610</v>
      </c>
      <c r="U2407" t="s">
        <v>13610</v>
      </c>
      <c r="V2407" t="s">
        <v>13610</v>
      </c>
      <c r="W2407" t="s">
        <v>15967</v>
      </c>
      <c r="X2407">
        <v>8</v>
      </c>
      <c r="Y2407" t="s">
        <v>22627</v>
      </c>
      <c r="Z2407" t="s">
        <v>29262</v>
      </c>
      <c r="AA2407">
        <v>0.33660688796116722</v>
      </c>
      <c r="AB2407" t="str">
        <f>HYPERLINK("Melting_Curves/meltCurve_P41223_BUD31.pdf", "Melting_Curves/meltCurve_P41223_BUD31.pdf")</f>
        <v>Melting_Curves/meltCurve_P41223_BUD31.pdf</v>
      </c>
    </row>
    <row r="2408" spans="1:28" x14ac:dyDescent="0.25">
      <c r="A2408" t="s">
        <v>2412</v>
      </c>
      <c r="B2408">
        <v>0.995954080203443</v>
      </c>
      <c r="C2408">
        <v>0.999383685732112</v>
      </c>
      <c r="D2408">
        <v>0.93914795899374504</v>
      </c>
      <c r="E2408">
        <v>0.86273428317384504</v>
      </c>
      <c r="F2408">
        <v>0.39975324345546698</v>
      </c>
      <c r="G2408">
        <v>0.17862514535301899</v>
      </c>
      <c r="H2408">
        <v>0.135978923997255</v>
      </c>
      <c r="I2408">
        <v>0.14654332672150999</v>
      </c>
      <c r="J2408">
        <v>0.14406010505497099</v>
      </c>
      <c r="K2408">
        <v>0.165250510269144</v>
      </c>
      <c r="L2408">
        <v>2163.6082729137502</v>
      </c>
      <c r="M2408">
        <v>41.6758781999728</v>
      </c>
      <c r="N2408">
        <v>52.360480592363899</v>
      </c>
      <c r="O2408">
        <v>51.796019385233997</v>
      </c>
      <c r="P2408">
        <v>-0.17113579959466599</v>
      </c>
      <c r="Q2408">
        <v>0.14923088718435901</v>
      </c>
      <c r="R2408">
        <v>0.997269330501389</v>
      </c>
      <c r="S2408" t="s">
        <v>9214</v>
      </c>
      <c r="T2408" t="s">
        <v>13610</v>
      </c>
      <c r="U2408" t="s">
        <v>13610</v>
      </c>
      <c r="V2408" t="s">
        <v>13610</v>
      </c>
      <c r="W2408" t="s">
        <v>15968</v>
      </c>
      <c r="X2408">
        <v>12</v>
      </c>
      <c r="Y2408" t="s">
        <v>22628</v>
      </c>
      <c r="Z2408" t="s">
        <v>29263</v>
      </c>
      <c r="AA2408">
        <v>0.48994133379263483</v>
      </c>
      <c r="AB2408" t="str">
        <f>HYPERLINK("Melting_Curves/meltCurve_P41227_2_NAA10.pdf", "Melting_Curves/meltCurve_P41227_2_NAA10.pdf")</f>
        <v>Melting_Curves/meltCurve_P41227_2_NAA10.pdf</v>
      </c>
    </row>
    <row r="2409" spans="1:28" x14ac:dyDescent="0.25">
      <c r="A2409" t="s">
        <v>2413</v>
      </c>
      <c r="B2409">
        <v>0.995954080203443</v>
      </c>
      <c r="C2409">
        <v>1.0143079510269599</v>
      </c>
      <c r="D2409">
        <v>0.66466592222740595</v>
      </c>
      <c r="E2409">
        <v>0.43308921139877898</v>
      </c>
      <c r="F2409">
        <v>0.21390855361372599</v>
      </c>
      <c r="G2409">
        <v>0.14502435732379201</v>
      </c>
      <c r="H2409">
        <v>0.112863739028529</v>
      </c>
      <c r="I2409">
        <v>0.117031835235812</v>
      </c>
      <c r="J2409">
        <v>0.12865865486685801</v>
      </c>
      <c r="K2409">
        <v>0.134680609937154</v>
      </c>
      <c r="L2409">
        <v>976.39782046652999</v>
      </c>
      <c r="M2409">
        <v>20.368512605861898</v>
      </c>
      <c r="N2409">
        <v>48.581414838799901</v>
      </c>
      <c r="O2409">
        <v>47.481742955651697</v>
      </c>
      <c r="P2409">
        <v>-9.4545163323984702E-2</v>
      </c>
      <c r="Q2409">
        <v>0.118436722263439</v>
      </c>
      <c r="R2409">
        <v>0.98639762972052802</v>
      </c>
      <c r="S2409" t="s">
        <v>9215</v>
      </c>
      <c r="T2409" t="s">
        <v>13610</v>
      </c>
      <c r="U2409" t="s">
        <v>13610</v>
      </c>
      <c r="V2409" t="s">
        <v>13610</v>
      </c>
      <c r="W2409" t="s">
        <v>15969</v>
      </c>
      <c r="X2409">
        <v>28</v>
      </c>
      <c r="Y2409" t="s">
        <v>22629</v>
      </c>
      <c r="Z2409" t="s">
        <v>29264</v>
      </c>
      <c r="AA2409">
        <v>0.36372505340919747</v>
      </c>
      <c r="AB2409" t="str">
        <f>HYPERLINK("Melting_Curves/meltCurve_P41229_2_KDM5C.pdf", "Melting_Curves/meltCurve_P41229_2_KDM5C.pdf")</f>
        <v>Melting_Curves/meltCurve_P41229_2_KDM5C.pdf</v>
      </c>
    </row>
    <row r="2410" spans="1:28" x14ac:dyDescent="0.25">
      <c r="A2410" t="s">
        <v>2414</v>
      </c>
      <c r="B2410">
        <v>0.995954080203443</v>
      </c>
      <c r="C2410">
        <v>0.997187270829196</v>
      </c>
      <c r="D2410">
        <v>1.2158788935478799</v>
      </c>
      <c r="E2410">
        <v>1.02596207808419</v>
      </c>
      <c r="F2410">
        <v>1.26895630912952</v>
      </c>
      <c r="G2410">
        <v>1.1374517093168599</v>
      </c>
      <c r="H2410">
        <v>1.2466045849290299</v>
      </c>
      <c r="I2410">
        <v>1.7324732383339301</v>
      </c>
      <c r="J2410">
        <v>2.0557984003146199</v>
      </c>
      <c r="K2410">
        <v>2.0647474297211099</v>
      </c>
      <c r="L2410">
        <v>15000</v>
      </c>
      <c r="M2410">
        <v>245.874549914727</v>
      </c>
      <c r="O2410">
        <v>61.002684620922402</v>
      </c>
      <c r="P2410">
        <v>0.50381911839629601</v>
      </c>
      <c r="Q2410">
        <v>1.5</v>
      </c>
      <c r="R2410">
        <v>0.48229422075291101</v>
      </c>
      <c r="S2410" t="s">
        <v>9216</v>
      </c>
      <c r="T2410" t="s">
        <v>13610</v>
      </c>
      <c r="U2410" t="s">
        <v>13610</v>
      </c>
      <c r="V2410" t="s">
        <v>13610</v>
      </c>
      <c r="W2410" t="s">
        <v>15970</v>
      </c>
      <c r="X2410">
        <v>12</v>
      </c>
      <c r="Y2410" t="s">
        <v>22630</v>
      </c>
      <c r="Z2410" t="s">
        <v>29265</v>
      </c>
      <c r="AA2410">
        <v>1.149832643087598</v>
      </c>
      <c r="AB2410" t="str">
        <f>HYPERLINK("Melting_Curves/meltCurve_P41236_PPP1R2.pdf", "Melting_Curves/meltCurve_P41236_PPP1R2.pdf")</f>
        <v>Melting_Curves/meltCurve_P41236_PPP1R2.pdf</v>
      </c>
    </row>
    <row r="2411" spans="1:28" x14ac:dyDescent="0.25">
      <c r="A2411" t="s">
        <v>2415</v>
      </c>
      <c r="B2411">
        <v>0.995954080203443</v>
      </c>
      <c r="C2411">
        <v>1.0312338513599699</v>
      </c>
      <c r="D2411">
        <v>0.78125725765489296</v>
      </c>
      <c r="E2411">
        <v>0.46913115577373599</v>
      </c>
      <c r="F2411">
        <v>0.137376192958864</v>
      </c>
      <c r="G2411">
        <v>7.6866222341811605E-2</v>
      </c>
      <c r="H2411">
        <v>5.21747828565573E-2</v>
      </c>
      <c r="I2411">
        <v>4.4041092155291402E-2</v>
      </c>
      <c r="J2411">
        <v>5.2337756906946899E-2</v>
      </c>
      <c r="K2411">
        <v>4.68761142918891E-2</v>
      </c>
      <c r="L2411">
        <v>1149.1755851991099</v>
      </c>
      <c r="M2411">
        <v>23.407685845806199</v>
      </c>
      <c r="N2411">
        <v>49.270759312908801</v>
      </c>
      <c r="O2411">
        <v>48.739840704983202</v>
      </c>
      <c r="P2411">
        <v>-0.115229593280363</v>
      </c>
      <c r="Q2411">
        <v>4.0285484472343397E-2</v>
      </c>
      <c r="R2411">
        <v>0.99247224060222605</v>
      </c>
      <c r="S2411" t="s">
        <v>9217</v>
      </c>
      <c r="T2411" t="s">
        <v>13610</v>
      </c>
      <c r="U2411" t="s">
        <v>13610</v>
      </c>
      <c r="V2411" t="s">
        <v>13610</v>
      </c>
      <c r="W2411" t="s">
        <v>15971</v>
      </c>
      <c r="X2411">
        <v>24</v>
      </c>
      <c r="Y2411" t="s">
        <v>22631</v>
      </c>
      <c r="Z2411" t="s">
        <v>29266</v>
      </c>
      <c r="AA2411">
        <v>0.34094685873545277</v>
      </c>
      <c r="AB2411" t="str">
        <f>HYPERLINK("Melting_Curves/meltCurve_P41240_CSK.pdf", "Melting_Curves/meltCurve_P41240_CSK.pdf")</f>
        <v>Melting_Curves/meltCurve_P41240_CSK.pdf</v>
      </c>
    </row>
    <row r="2412" spans="1:28" x14ac:dyDescent="0.25">
      <c r="A2412" t="s">
        <v>2416</v>
      </c>
      <c r="B2412">
        <v>0.995954080203443</v>
      </c>
      <c r="C2412">
        <v>0.93715012270836995</v>
      </c>
      <c r="D2412">
        <v>0.90058156371290399</v>
      </c>
      <c r="E2412">
        <v>0.89473703450361797</v>
      </c>
      <c r="F2412">
        <v>0.74821988125766203</v>
      </c>
      <c r="G2412">
        <v>0.61524412606566903</v>
      </c>
      <c r="H2412">
        <v>0.39018397368239699</v>
      </c>
      <c r="I2412">
        <v>0.177529668949412</v>
      </c>
      <c r="J2412">
        <v>8.1334238637948503E-2</v>
      </c>
      <c r="K2412">
        <v>7.4181309341430607E-2</v>
      </c>
      <c r="L2412">
        <v>799.70466970927305</v>
      </c>
      <c r="M2412">
        <v>13.7747483756155</v>
      </c>
      <c r="N2412">
        <v>58.055846023050698</v>
      </c>
      <c r="O2412">
        <v>56.8732993321387</v>
      </c>
      <c r="P2412">
        <v>-6.05586916297167E-2</v>
      </c>
      <c r="Q2412">
        <v>0</v>
      </c>
      <c r="R2412">
        <v>0.98365750638111304</v>
      </c>
      <c r="S2412" t="s">
        <v>9218</v>
      </c>
      <c r="T2412" t="s">
        <v>13610</v>
      </c>
      <c r="U2412" t="s">
        <v>13610</v>
      </c>
      <c r="V2412" t="s">
        <v>13610</v>
      </c>
      <c r="W2412" t="s">
        <v>15972</v>
      </c>
      <c r="X2412">
        <v>51</v>
      </c>
      <c r="Y2412" t="s">
        <v>22632</v>
      </c>
      <c r="Z2412" t="s">
        <v>29267</v>
      </c>
      <c r="AA2412">
        <v>0.61514126785907053</v>
      </c>
      <c r="AB2412" t="str">
        <f>HYPERLINK("Melting_Curves/meltCurve_P41250_GARS.pdf", "Melting_Curves/meltCurve_P41250_GARS.pdf")</f>
        <v>Melting_Curves/meltCurve_P41250_GARS.pdf</v>
      </c>
    </row>
    <row r="2413" spans="1:28" x14ac:dyDescent="0.25">
      <c r="A2413" t="s">
        <v>2417</v>
      </c>
      <c r="B2413">
        <v>0.995954080203443</v>
      </c>
      <c r="C2413">
        <v>0.59272988289339701</v>
      </c>
      <c r="D2413">
        <v>0.210929444609774</v>
      </c>
      <c r="E2413">
        <v>0.20203312954497199</v>
      </c>
      <c r="F2413">
        <v>0.115649781366675</v>
      </c>
      <c r="G2413">
        <v>6.5321404591242402E-2</v>
      </c>
      <c r="H2413">
        <v>4.1202989519787403E-2</v>
      </c>
      <c r="I2413">
        <v>3.7053937783947798E-2</v>
      </c>
      <c r="J2413">
        <v>4.24834549271575E-2</v>
      </c>
      <c r="K2413">
        <v>3.6537436958751203E-2</v>
      </c>
      <c r="L2413">
        <v>1324.4758935202001</v>
      </c>
      <c r="M2413">
        <v>30.523651011555</v>
      </c>
      <c r="N2413">
        <v>43.617113550646401</v>
      </c>
      <c r="O2413">
        <v>43.206831591244999</v>
      </c>
      <c r="P2413">
        <v>-0.16373267628900101</v>
      </c>
      <c r="Q2413">
        <v>7.2938496634406602E-2</v>
      </c>
      <c r="R2413">
        <v>0.97437499178527698</v>
      </c>
      <c r="S2413" t="s">
        <v>9219</v>
      </c>
      <c r="T2413" t="s">
        <v>13610</v>
      </c>
      <c r="U2413" t="s">
        <v>13610</v>
      </c>
      <c r="V2413" t="s">
        <v>13610</v>
      </c>
      <c r="W2413" t="s">
        <v>15973</v>
      </c>
      <c r="X2413">
        <v>54</v>
      </c>
      <c r="Y2413" t="s">
        <v>22633</v>
      </c>
      <c r="Z2413" t="s">
        <v>29268</v>
      </c>
      <c r="AA2413">
        <v>0.185110402881728</v>
      </c>
      <c r="AB2413" t="str">
        <f>HYPERLINK("Melting_Curves/meltCurve_P41252_IARS.pdf", "Melting_Curves/meltCurve_P41252_IARS.pdf")</f>
        <v>Melting_Curves/meltCurve_P41252_IARS.pdf</v>
      </c>
    </row>
    <row r="2414" spans="1:28" x14ac:dyDescent="0.25">
      <c r="A2414" t="s">
        <v>2418</v>
      </c>
      <c r="B2414">
        <v>0.995954080203443</v>
      </c>
      <c r="C2414">
        <v>1.00691891196294</v>
      </c>
      <c r="D2414">
        <v>0.96365105675135798</v>
      </c>
      <c r="E2414">
        <v>0.91230566690341597</v>
      </c>
      <c r="F2414">
        <v>0.84349389653224704</v>
      </c>
      <c r="G2414">
        <v>0.58007214188482703</v>
      </c>
      <c r="H2414">
        <v>0.45130884654495801</v>
      </c>
      <c r="I2414">
        <v>0.40414918398682897</v>
      </c>
      <c r="J2414">
        <v>0.43922229722841299</v>
      </c>
      <c r="K2414">
        <v>0.37491031874473002</v>
      </c>
      <c r="L2414">
        <v>1182.1792313307401</v>
      </c>
      <c r="M2414">
        <v>21.446489855574299</v>
      </c>
      <c r="N2414">
        <v>59.242334730812502</v>
      </c>
      <c r="O2414">
        <v>54.649731944414903</v>
      </c>
      <c r="P2414">
        <v>-6.0094687717720703E-2</v>
      </c>
      <c r="Q2414">
        <v>0.38748439325489098</v>
      </c>
      <c r="R2414">
        <v>0.99336878917728999</v>
      </c>
      <c r="S2414" t="s">
        <v>9220</v>
      </c>
      <c r="T2414" t="s">
        <v>13610</v>
      </c>
      <c r="U2414" t="s">
        <v>13610</v>
      </c>
      <c r="V2414" t="s">
        <v>13610</v>
      </c>
      <c r="W2414" t="s">
        <v>15974</v>
      </c>
      <c r="X2414">
        <v>10</v>
      </c>
      <c r="Y2414" t="s">
        <v>22634</v>
      </c>
      <c r="Z2414" t="s">
        <v>29269</v>
      </c>
      <c r="AA2414">
        <v>0.70354482964911691</v>
      </c>
      <c r="AB2414" t="str">
        <f>HYPERLINK("Melting_Curves/meltCurve_P41567_EIF1.pdf", "Melting_Curves/meltCurve_P41567_EIF1.pdf")</f>
        <v>Melting_Curves/meltCurve_P41567_EIF1.pdf</v>
      </c>
    </row>
    <row r="2415" spans="1:28" x14ac:dyDescent="0.25">
      <c r="A2415" t="s">
        <v>2419</v>
      </c>
      <c r="B2415">
        <v>0.995954080203443</v>
      </c>
      <c r="C2415">
        <v>0.90671950413695501</v>
      </c>
      <c r="D2415">
        <v>0.80422874608512096</v>
      </c>
      <c r="E2415">
        <v>0.60556741123945301</v>
      </c>
      <c r="F2415">
        <v>0.238307619661903</v>
      </c>
      <c r="G2415">
        <v>8.9585161280348505E-2</v>
      </c>
      <c r="H2415">
        <v>5.7553644935986997E-2</v>
      </c>
      <c r="I2415">
        <v>4.5841417204220497E-2</v>
      </c>
      <c r="J2415">
        <v>5.1313794472501402E-2</v>
      </c>
      <c r="K2415">
        <v>4.6076871021193198E-2</v>
      </c>
      <c r="L2415">
        <v>929.48745421810304</v>
      </c>
      <c r="M2415">
        <v>18.5338808149233</v>
      </c>
      <c r="N2415">
        <v>50.2904030877271</v>
      </c>
      <c r="O2415">
        <v>49.5778052055012</v>
      </c>
      <c r="P2415">
        <v>-9.1117754877592702E-2</v>
      </c>
      <c r="Q2415">
        <v>2.50890656308069E-2</v>
      </c>
      <c r="R2415">
        <v>0.98964605403795902</v>
      </c>
      <c r="S2415" t="s">
        <v>9221</v>
      </c>
      <c r="T2415" t="s">
        <v>13610</v>
      </c>
      <c r="U2415" t="s">
        <v>13610</v>
      </c>
      <c r="V2415" t="s">
        <v>13610</v>
      </c>
      <c r="W2415" t="s">
        <v>15975</v>
      </c>
      <c r="X2415">
        <v>13</v>
      </c>
      <c r="Y2415" t="s">
        <v>22635</v>
      </c>
      <c r="Z2415" t="s">
        <v>29270</v>
      </c>
      <c r="AA2415">
        <v>0.37065772167709032</v>
      </c>
      <c r="AB2415" t="str">
        <f>HYPERLINK("Melting_Curves/meltCurve_P41743_PRKCI.pdf", "Melting_Curves/meltCurve_P41743_PRKCI.pdf")</f>
        <v>Melting_Curves/meltCurve_P41743_PRKCI.pdf</v>
      </c>
    </row>
    <row r="2416" spans="1:28" x14ac:dyDescent="0.25">
      <c r="A2416" t="s">
        <v>2420</v>
      </c>
      <c r="B2416">
        <v>0.995954080203443</v>
      </c>
      <c r="C2416">
        <v>0.70696579456026398</v>
      </c>
      <c r="D2416">
        <v>0.50665573508916295</v>
      </c>
      <c r="E2416">
        <v>0.777197587642522</v>
      </c>
      <c r="F2416">
        <v>0.37140371923500698</v>
      </c>
      <c r="G2416">
        <v>0.169717102654144</v>
      </c>
      <c r="H2416">
        <v>6.7807803484874599E-2</v>
      </c>
      <c r="I2416">
        <v>5.4602952639918698E-2</v>
      </c>
      <c r="J2416">
        <v>5.3040397220574402E-2</v>
      </c>
      <c r="K2416">
        <v>4.8093968627041898E-2</v>
      </c>
      <c r="L2416">
        <v>477.48533876205897</v>
      </c>
      <c r="M2416">
        <v>9.5988481805580506</v>
      </c>
      <c r="N2416">
        <v>49.744031446752501</v>
      </c>
      <c r="O2416">
        <v>47.7287705753184</v>
      </c>
      <c r="P2416">
        <v>-5.0306693167902497E-2</v>
      </c>
      <c r="Q2416">
        <v>0</v>
      </c>
      <c r="R2416">
        <v>0.86735608489049698</v>
      </c>
      <c r="S2416" t="s">
        <v>9222</v>
      </c>
      <c r="T2416" t="s">
        <v>13610</v>
      </c>
      <c r="U2416" t="s">
        <v>13610</v>
      </c>
      <c r="V2416" t="s">
        <v>13610</v>
      </c>
      <c r="W2416" t="s">
        <v>15976</v>
      </c>
      <c r="X2416">
        <v>13</v>
      </c>
      <c r="Y2416" t="s">
        <v>22636</v>
      </c>
      <c r="Z2416" t="s">
        <v>29271</v>
      </c>
      <c r="AA2416">
        <v>0.3736105893339009</v>
      </c>
      <c r="AB2416" t="str">
        <f>HYPERLINK("Melting_Curves/meltCurve_P42025_ACTR1B.pdf", "Melting_Curves/meltCurve_P42025_ACTR1B.pdf")</f>
        <v>Melting_Curves/meltCurve_P42025_ACTR1B.pdf</v>
      </c>
    </row>
    <row r="2417" spans="1:28" x14ac:dyDescent="0.25">
      <c r="A2417" t="s">
        <v>2421</v>
      </c>
      <c r="B2417">
        <v>0.995954080203443</v>
      </c>
      <c r="C2417">
        <v>0.99304123157286495</v>
      </c>
      <c r="D2417">
        <v>0.91297765766319905</v>
      </c>
      <c r="E2417">
        <v>0.86995188073615404</v>
      </c>
      <c r="F2417">
        <v>0.74173451961404302</v>
      </c>
      <c r="G2417">
        <v>0.53325668169263196</v>
      </c>
      <c r="H2417">
        <v>0.44297463717359198</v>
      </c>
      <c r="I2417">
        <v>0.52686709066779103</v>
      </c>
      <c r="J2417">
        <v>0.66961114966575497</v>
      </c>
      <c r="K2417">
        <v>0.56928715329769097</v>
      </c>
      <c r="L2417">
        <v>1414.7247607977999</v>
      </c>
      <c r="M2417">
        <v>27.299644360295598</v>
      </c>
      <c r="O2417">
        <v>51.546418306651198</v>
      </c>
      <c r="P2417">
        <v>-6.0366344302178999E-2</v>
      </c>
      <c r="Q2417">
        <v>0.54407620159871894</v>
      </c>
      <c r="R2417">
        <v>0.903303584399619</v>
      </c>
      <c r="S2417" t="s">
        <v>9223</v>
      </c>
      <c r="T2417" t="s">
        <v>13610</v>
      </c>
      <c r="U2417" t="s">
        <v>13610</v>
      </c>
      <c r="V2417" t="s">
        <v>13610</v>
      </c>
      <c r="W2417" t="s">
        <v>15977</v>
      </c>
      <c r="X2417">
        <v>7</v>
      </c>
      <c r="Y2417" t="s">
        <v>22637</v>
      </c>
      <c r="Z2417" t="s">
        <v>29272</v>
      </c>
      <c r="AA2417">
        <v>0.72724203266678977</v>
      </c>
      <c r="AB2417" t="str">
        <f>HYPERLINK("Melting_Curves/meltCurve_P42126_2_ECI1.pdf", "Melting_Curves/meltCurve_P42126_2_ECI1.pdf")</f>
        <v>Melting_Curves/meltCurve_P42126_2_ECI1.pdf</v>
      </c>
    </row>
    <row r="2418" spans="1:28" x14ac:dyDescent="0.25">
      <c r="A2418" t="s">
        <v>2422</v>
      </c>
      <c r="B2418">
        <v>0.995954080203443</v>
      </c>
      <c r="C2418">
        <v>0.95760496765513203</v>
      </c>
      <c r="D2418">
        <v>0.89075244640639695</v>
      </c>
      <c r="E2418">
        <v>0.68460676241940899</v>
      </c>
      <c r="F2418">
        <v>0.61049693794288795</v>
      </c>
      <c r="G2418">
        <v>0.45658132012324398</v>
      </c>
      <c r="H2418">
        <v>0.42815323830685698</v>
      </c>
      <c r="I2418">
        <v>0.496902573886284</v>
      </c>
      <c r="J2418">
        <v>0.63257339569083804</v>
      </c>
      <c r="K2418">
        <v>0.59462256326013896</v>
      </c>
      <c r="L2418">
        <v>1139.93635482741</v>
      </c>
      <c r="M2418">
        <v>23.5290248512947</v>
      </c>
      <c r="O2418">
        <v>48.102200493554101</v>
      </c>
      <c r="P2418">
        <v>-5.8183042838534198E-2</v>
      </c>
      <c r="Q2418">
        <v>0.52421580783008803</v>
      </c>
      <c r="R2418">
        <v>0.90768590229605695</v>
      </c>
      <c r="S2418" t="s">
        <v>9224</v>
      </c>
      <c r="T2418" t="s">
        <v>13610</v>
      </c>
      <c r="U2418" t="s">
        <v>13610</v>
      </c>
      <c r="V2418" t="s">
        <v>13610</v>
      </c>
      <c r="W2418" t="s">
        <v>15978</v>
      </c>
      <c r="X2418">
        <v>44</v>
      </c>
      <c r="Y2418" t="s">
        <v>22638</v>
      </c>
      <c r="Z2418" t="s">
        <v>29273</v>
      </c>
      <c r="AA2418">
        <v>0.66297340053095033</v>
      </c>
      <c r="AB2418" t="str">
        <f>HYPERLINK("Melting_Curves/meltCurve_P42166_TMPO.pdf", "Melting_Curves/meltCurve_P42166_TMPO.pdf")</f>
        <v>Melting_Curves/meltCurve_P42166_TMPO.pdf</v>
      </c>
    </row>
    <row r="2419" spans="1:28" x14ac:dyDescent="0.25">
      <c r="A2419" t="s">
        <v>2423</v>
      </c>
      <c r="B2419">
        <v>0.995954080203443</v>
      </c>
      <c r="C2419">
        <v>0.874072317211668</v>
      </c>
      <c r="D2419">
        <v>0.82561973764132801</v>
      </c>
      <c r="E2419">
        <v>0.78650001808773595</v>
      </c>
      <c r="F2419">
        <v>0.69341773024848796</v>
      </c>
      <c r="G2419">
        <v>0.53228879696575804</v>
      </c>
      <c r="H2419">
        <v>0.486400547051969</v>
      </c>
      <c r="I2419">
        <v>0.60607972886182004</v>
      </c>
      <c r="J2419">
        <v>0.65900645788585299</v>
      </c>
      <c r="K2419">
        <v>0.63850448047420105</v>
      </c>
      <c r="L2419">
        <v>642.90950452471304</v>
      </c>
      <c r="M2419">
        <v>13.5142515276077</v>
      </c>
      <c r="O2419">
        <v>46.567292686698302</v>
      </c>
      <c r="P2419">
        <v>-3.0479251183970199E-2</v>
      </c>
      <c r="Q2419">
        <v>0.57996325797920101</v>
      </c>
      <c r="R2419">
        <v>0.83914992867483895</v>
      </c>
      <c r="S2419" t="s">
        <v>9225</v>
      </c>
      <c r="T2419" t="s">
        <v>13610</v>
      </c>
      <c r="U2419" t="s">
        <v>13610</v>
      </c>
      <c r="V2419" t="s">
        <v>13610</v>
      </c>
      <c r="W2419" t="s">
        <v>15979</v>
      </c>
      <c r="X2419">
        <v>30</v>
      </c>
      <c r="Y2419" t="s">
        <v>22638</v>
      </c>
      <c r="Z2419" t="s">
        <v>29274</v>
      </c>
      <c r="AA2419">
        <v>0.69955282402229269</v>
      </c>
      <c r="AB2419" t="str">
        <f>HYPERLINK("Melting_Curves/meltCurve_P42167_TMPO.pdf", "Melting_Curves/meltCurve_P42167_TMPO.pdf")</f>
        <v>Melting_Curves/meltCurve_P42167_TMPO.pdf</v>
      </c>
    </row>
    <row r="2420" spans="1:28" x14ac:dyDescent="0.25">
      <c r="A2420" t="s">
        <v>2424</v>
      </c>
      <c r="B2420">
        <v>0.995954080203443</v>
      </c>
      <c r="C2420">
        <v>0.91328254203859105</v>
      </c>
      <c r="D2420">
        <v>0.53359985335189797</v>
      </c>
      <c r="E2420">
        <v>0.24245926853170099</v>
      </c>
      <c r="F2420">
        <v>0.12634121201460599</v>
      </c>
      <c r="G2420">
        <v>7.5500266315478903E-2</v>
      </c>
      <c r="H2420">
        <v>5.0450894907807999E-2</v>
      </c>
      <c r="I2420">
        <v>4.3283307849564197E-2</v>
      </c>
      <c r="J2420">
        <v>5.1115741574033299E-2</v>
      </c>
      <c r="K2420">
        <v>4.4342780826294198E-2</v>
      </c>
      <c r="L2420">
        <v>1037.80272504445</v>
      </c>
      <c r="M2420">
        <v>22.3498836602895</v>
      </c>
      <c r="N2420">
        <v>46.671870296197497</v>
      </c>
      <c r="O2420">
        <v>46.067435463821703</v>
      </c>
      <c r="P2420">
        <v>-0.114771898798915</v>
      </c>
      <c r="Q2420">
        <v>5.3751748297957903E-2</v>
      </c>
      <c r="R2420">
        <v>0.99550962169389001</v>
      </c>
      <c r="S2420" t="s">
        <v>9226</v>
      </c>
      <c r="T2420" t="s">
        <v>13610</v>
      </c>
      <c r="U2420" t="s">
        <v>13610</v>
      </c>
      <c r="V2420" t="s">
        <v>13610</v>
      </c>
      <c r="W2420" t="s">
        <v>15980</v>
      </c>
      <c r="X2420">
        <v>33</v>
      </c>
      <c r="Y2420" t="s">
        <v>22639</v>
      </c>
      <c r="Z2420" t="s">
        <v>29275</v>
      </c>
      <c r="AA2420">
        <v>0.26776487418190992</v>
      </c>
      <c r="AB2420" t="str">
        <f>HYPERLINK("Melting_Curves/meltCurve_P42224_STAT1.pdf", "Melting_Curves/meltCurve_P42224_STAT1.pdf")</f>
        <v>Melting_Curves/meltCurve_P42224_STAT1.pdf</v>
      </c>
    </row>
    <row r="2421" spans="1:28" x14ac:dyDescent="0.25">
      <c r="A2421" t="s">
        <v>2425</v>
      </c>
      <c r="B2421">
        <v>0.995954080203443</v>
      </c>
      <c r="C2421">
        <v>0.99078003662733205</v>
      </c>
      <c r="D2421">
        <v>0.91684142592796103</v>
      </c>
      <c r="E2421">
        <v>0.63464176318043897</v>
      </c>
      <c r="F2421">
        <v>0.243688631743148</v>
      </c>
      <c r="G2421">
        <v>0.12554267193688901</v>
      </c>
      <c r="H2421">
        <v>7.2720858898001298E-2</v>
      </c>
      <c r="I2421">
        <v>5.3369854226502797E-2</v>
      </c>
      <c r="J2421">
        <v>5.8345376068671802E-2</v>
      </c>
      <c r="K2421">
        <v>4.76715164384343E-2</v>
      </c>
      <c r="L2421">
        <v>1396.67614422359</v>
      </c>
      <c r="M2421">
        <v>27.5746238064396</v>
      </c>
      <c r="N2421">
        <v>50.875871034448899</v>
      </c>
      <c r="O2421">
        <v>50.386631442089801</v>
      </c>
      <c r="P2421">
        <v>-0.12895968423726201</v>
      </c>
      <c r="Q2421">
        <v>5.7425371402981797E-2</v>
      </c>
      <c r="R2421">
        <v>0.99810578163512498</v>
      </c>
      <c r="S2421" t="s">
        <v>9227</v>
      </c>
      <c r="T2421" t="s">
        <v>13610</v>
      </c>
      <c r="U2421" t="s">
        <v>13610</v>
      </c>
      <c r="V2421" t="s">
        <v>13610</v>
      </c>
      <c r="W2421" t="s">
        <v>15981</v>
      </c>
      <c r="X2421">
        <v>21</v>
      </c>
      <c r="Y2421" t="s">
        <v>22640</v>
      </c>
      <c r="Z2421" t="s">
        <v>29276</v>
      </c>
      <c r="AA2421">
        <v>0.39904175520097079</v>
      </c>
      <c r="AB2421" t="str">
        <f>HYPERLINK("Melting_Curves/meltCurve_P42226_STAT6.pdf", "Melting_Curves/meltCurve_P42226_STAT6.pdf")</f>
        <v>Melting_Curves/meltCurve_P42226_STAT6.pdf</v>
      </c>
    </row>
    <row r="2422" spans="1:28" x14ac:dyDescent="0.25">
      <c r="A2422" t="s">
        <v>2426</v>
      </c>
      <c r="B2422">
        <v>0.995954080203443</v>
      </c>
      <c r="C2422">
        <v>0.87945372339444705</v>
      </c>
      <c r="D2422">
        <v>0.75676103642443004</v>
      </c>
      <c r="E2422">
        <v>0.68554491020349895</v>
      </c>
      <c r="F2422">
        <v>0.225927761677303</v>
      </c>
      <c r="G2422">
        <v>0.11115962836243801</v>
      </c>
      <c r="H2422">
        <v>7.4915905931014201E-2</v>
      </c>
      <c r="I2422">
        <v>7.0421763520079506E-2</v>
      </c>
      <c r="J2422">
        <v>7.3682217006110301E-2</v>
      </c>
      <c r="K2422">
        <v>7.4224634055595998E-2</v>
      </c>
      <c r="L2422">
        <v>850.76890661733898</v>
      </c>
      <c r="M2422">
        <v>16.943932064743802</v>
      </c>
      <c r="N2422">
        <v>50.4515906687175</v>
      </c>
      <c r="O2422">
        <v>49.527084412796597</v>
      </c>
      <c r="P2422">
        <v>-8.2212025118023099E-2</v>
      </c>
      <c r="Q2422">
        <v>3.8837701825044403E-2</v>
      </c>
      <c r="R2422">
        <v>0.96679829242926096</v>
      </c>
      <c r="S2422" t="s">
        <v>9228</v>
      </c>
      <c r="T2422" t="s">
        <v>13610</v>
      </c>
      <c r="U2422" t="s">
        <v>13610</v>
      </c>
      <c r="V2422" t="s">
        <v>13610</v>
      </c>
      <c r="W2422" t="s">
        <v>15982</v>
      </c>
      <c r="X2422">
        <v>45</v>
      </c>
      <c r="Y2422" t="s">
        <v>22641</v>
      </c>
      <c r="Z2422" t="s">
        <v>29277</v>
      </c>
      <c r="AA2422">
        <v>0.38427276014977341</v>
      </c>
      <c r="AB2422" t="str">
        <f>HYPERLINK("Melting_Curves/meltCurve_P42285_SKIV2L2.pdf", "Melting_Curves/meltCurve_P42285_SKIV2L2.pdf")</f>
        <v>Melting_Curves/meltCurve_P42285_SKIV2L2.pdf</v>
      </c>
    </row>
    <row r="2423" spans="1:28" x14ac:dyDescent="0.25">
      <c r="A2423" t="s">
        <v>2427</v>
      </c>
      <c r="B2423">
        <v>0.995954080203443</v>
      </c>
      <c r="C2423">
        <v>0.97167512530600297</v>
      </c>
      <c r="D2423">
        <v>0.86572065621108796</v>
      </c>
      <c r="E2423">
        <v>0.693444743875264</v>
      </c>
      <c r="F2423">
        <v>0.32152148930082902</v>
      </c>
      <c r="G2423">
        <v>0.217266239685939</v>
      </c>
      <c r="H2423">
        <v>0.146061821031717</v>
      </c>
      <c r="I2423">
        <v>0.120398761689869</v>
      </c>
      <c r="J2423">
        <v>0.144188997229583</v>
      </c>
      <c r="K2423">
        <v>0.123639513226998</v>
      </c>
      <c r="L2423">
        <v>1114.5770941963201</v>
      </c>
      <c r="M2423">
        <v>21.949266924480899</v>
      </c>
      <c r="N2423">
        <v>51.448629773425203</v>
      </c>
      <c r="O2423">
        <v>50.363835096883498</v>
      </c>
      <c r="P2423">
        <v>-9.5430667703690006E-2</v>
      </c>
      <c r="Q2423">
        <v>0.124135564364145</v>
      </c>
      <c r="R2423">
        <v>0.992291982554522</v>
      </c>
      <c r="S2423" t="s">
        <v>9229</v>
      </c>
      <c r="T2423" t="s">
        <v>13610</v>
      </c>
      <c r="U2423" t="s">
        <v>13610</v>
      </c>
      <c r="V2423" t="s">
        <v>13610</v>
      </c>
      <c r="W2423" t="s">
        <v>15983</v>
      </c>
      <c r="X2423">
        <v>14</v>
      </c>
      <c r="Y2423" t="s">
        <v>22642</v>
      </c>
      <c r="Z2423" t="s">
        <v>29278</v>
      </c>
      <c r="AA2423">
        <v>0.44903690682161201</v>
      </c>
      <c r="AB2423" t="str">
        <f>HYPERLINK("Melting_Curves/meltCurve_P42330_AKR1C3.pdf", "Melting_Curves/meltCurve_P42330_AKR1C3.pdf")</f>
        <v>Melting_Curves/meltCurve_P42330_AKR1C3.pdf</v>
      </c>
    </row>
    <row r="2424" spans="1:28" x14ac:dyDescent="0.25">
      <c r="A2424" t="s">
        <v>2428</v>
      </c>
      <c r="B2424">
        <v>0.995954080203443</v>
      </c>
      <c r="C2424">
        <v>1.0026463645599899</v>
      </c>
      <c r="D2424">
        <v>1.0483654060443599</v>
      </c>
      <c r="E2424">
        <v>0.73117168573257396</v>
      </c>
      <c r="F2424">
        <v>0.45211374749417299</v>
      </c>
      <c r="G2424">
        <v>0.31781761006213299</v>
      </c>
      <c r="H2424">
        <v>0.27397021712229203</v>
      </c>
      <c r="I2424">
        <v>0.30565526951897498</v>
      </c>
      <c r="J2424">
        <v>0.36146100305163598</v>
      </c>
      <c r="K2424">
        <v>0.35289082420471302</v>
      </c>
      <c r="L2424">
        <v>1912.5802957429801</v>
      </c>
      <c r="M2424">
        <v>37.733901419095297</v>
      </c>
      <c r="N2424">
        <v>52.116720585696903</v>
      </c>
      <c r="O2424">
        <v>50.544265197261502</v>
      </c>
      <c r="P2424">
        <v>-0.126439334037281</v>
      </c>
      <c r="Q2424">
        <v>0.32254378073724199</v>
      </c>
      <c r="R2424">
        <v>0.989419811184999</v>
      </c>
      <c r="S2424" t="s">
        <v>9230</v>
      </c>
      <c r="T2424" t="s">
        <v>13610</v>
      </c>
      <c r="U2424" t="s">
        <v>13610</v>
      </c>
      <c r="V2424" t="s">
        <v>13610</v>
      </c>
      <c r="W2424" t="s">
        <v>15984</v>
      </c>
      <c r="X2424">
        <v>19</v>
      </c>
      <c r="Y2424" t="s">
        <v>22643</v>
      </c>
      <c r="Z2424" t="s">
        <v>29279</v>
      </c>
      <c r="AA2424">
        <v>0.56652329199407292</v>
      </c>
      <c r="AB2424" t="str">
        <f>HYPERLINK("Melting_Curves/meltCurve_P42331_6_ARHGAP25.pdf", "Melting_Curves/meltCurve_P42331_6_ARHGAP25.pdf")</f>
        <v>Melting_Curves/meltCurve_P42331_6_ARHGAP25.pdf</v>
      </c>
    </row>
    <row r="2425" spans="1:28" x14ac:dyDescent="0.25">
      <c r="A2425" t="s">
        <v>2429</v>
      </c>
      <c r="B2425">
        <v>0.995954080203443</v>
      </c>
      <c r="C2425">
        <v>0.80223206344384201</v>
      </c>
      <c r="D2425">
        <v>0.76161752263450699</v>
      </c>
      <c r="E2425">
        <v>0.43462363826476402</v>
      </c>
      <c r="F2425">
        <v>0.199521915513026</v>
      </c>
      <c r="G2425">
        <v>0.11872029475233301</v>
      </c>
      <c r="H2425">
        <v>9.2994441768922506E-2</v>
      </c>
      <c r="I2425">
        <v>8.7588894057098202E-2</v>
      </c>
      <c r="J2425">
        <v>0.103009474992467</v>
      </c>
      <c r="K2425">
        <v>9.2277307753383594E-2</v>
      </c>
      <c r="L2425">
        <v>800.41518857891106</v>
      </c>
      <c r="M2425">
        <v>16.583613938475199</v>
      </c>
      <c r="N2425">
        <v>48.718541143320998</v>
      </c>
      <c r="O2425">
        <v>47.579980519781003</v>
      </c>
      <c r="P2425">
        <v>-8.0913809213263896E-2</v>
      </c>
      <c r="Q2425">
        <v>7.1465315746585503E-2</v>
      </c>
      <c r="R2425">
        <v>0.98623195307544098</v>
      </c>
      <c r="S2425" t="s">
        <v>9231</v>
      </c>
      <c r="T2425" t="s">
        <v>13610</v>
      </c>
      <c r="U2425" t="s">
        <v>13610</v>
      </c>
      <c r="V2425" t="s">
        <v>13610</v>
      </c>
      <c r="W2425" t="s">
        <v>15985</v>
      </c>
      <c r="X2425">
        <v>23</v>
      </c>
      <c r="Y2425" t="s">
        <v>22644</v>
      </c>
      <c r="Z2425" t="s">
        <v>29280</v>
      </c>
      <c r="AA2425">
        <v>0.34662266816734838</v>
      </c>
      <c r="AB2425" t="str">
        <f>HYPERLINK("Melting_Curves/meltCurve_P42336_PIK3CA.pdf", "Melting_Curves/meltCurve_P42336_PIK3CA.pdf")</f>
        <v>Melting_Curves/meltCurve_P42336_PIK3CA.pdf</v>
      </c>
    </row>
    <row r="2426" spans="1:28" x14ac:dyDescent="0.25">
      <c r="A2426" t="s">
        <v>2430</v>
      </c>
      <c r="B2426">
        <v>0.995954080203443</v>
      </c>
      <c r="C2426">
        <v>0.90997254651042703</v>
      </c>
      <c r="D2426">
        <v>0.80034151514593499</v>
      </c>
      <c r="E2426">
        <v>0.56574939951291803</v>
      </c>
      <c r="F2426">
        <v>0.202818894461259</v>
      </c>
      <c r="G2426">
        <v>0.11663964597812899</v>
      </c>
      <c r="H2426">
        <v>8.4039321248308596E-2</v>
      </c>
      <c r="I2426">
        <v>7.8816908723313803E-2</v>
      </c>
      <c r="J2426">
        <v>9.0953782247012005E-2</v>
      </c>
      <c r="K2426">
        <v>7.5867323954388097E-2</v>
      </c>
      <c r="L2426">
        <v>968.23455356843601</v>
      </c>
      <c r="M2426">
        <v>19.539921632537901</v>
      </c>
      <c r="N2426">
        <v>49.898957696858098</v>
      </c>
      <c r="O2426">
        <v>49.041369080396699</v>
      </c>
      <c r="P2426">
        <v>-9.3278889647253296E-2</v>
      </c>
      <c r="Q2426">
        <v>6.3586572683451498E-2</v>
      </c>
      <c r="R2426">
        <v>0.98954603001618602</v>
      </c>
      <c r="S2426" t="s">
        <v>9232</v>
      </c>
      <c r="T2426" t="s">
        <v>13610</v>
      </c>
      <c r="U2426" t="s">
        <v>13610</v>
      </c>
      <c r="V2426" t="s">
        <v>13610</v>
      </c>
      <c r="W2426" t="s">
        <v>15986</v>
      </c>
      <c r="X2426">
        <v>21</v>
      </c>
      <c r="Y2426" t="s">
        <v>22645</v>
      </c>
      <c r="Z2426" t="s">
        <v>29281</v>
      </c>
      <c r="AA2426">
        <v>0.37540894687008941</v>
      </c>
      <c r="AB2426" t="str">
        <f>HYPERLINK("Melting_Curves/meltCurve_P42338_PIK3CB.pdf", "Melting_Curves/meltCurve_P42338_PIK3CB.pdf")</f>
        <v>Melting_Curves/meltCurve_P42338_PIK3CB.pdf</v>
      </c>
    </row>
    <row r="2427" spans="1:28" x14ac:dyDescent="0.25">
      <c r="A2427" t="s">
        <v>2431</v>
      </c>
      <c r="B2427">
        <v>0.995954080203443</v>
      </c>
      <c r="C2427">
        <v>0.58528025310804499</v>
      </c>
      <c r="D2427">
        <v>0.36619364840927898</v>
      </c>
      <c r="E2427">
        <v>0.31950645950878898</v>
      </c>
      <c r="F2427">
        <v>0.15041110239569999</v>
      </c>
      <c r="G2427">
        <v>8.5125960410566096E-2</v>
      </c>
      <c r="H2427">
        <v>5.5473351166746399E-2</v>
      </c>
      <c r="I2427">
        <v>4.5347271429123003E-2</v>
      </c>
      <c r="J2427">
        <v>4.9774502218532503E-2</v>
      </c>
      <c r="K2427">
        <v>4.60116566982154E-2</v>
      </c>
      <c r="L2427">
        <v>676.06075731938802</v>
      </c>
      <c r="M2427">
        <v>15.1448877322906</v>
      </c>
      <c r="N2427">
        <v>44.985035362106103</v>
      </c>
      <c r="O2427">
        <v>43.882950243569297</v>
      </c>
      <c r="P2427">
        <v>-8.1550858799002798E-2</v>
      </c>
      <c r="Q2427">
        <v>5.49037402252774E-2</v>
      </c>
      <c r="R2427">
        <v>0.95302682024832597</v>
      </c>
      <c r="S2427" t="s">
        <v>9233</v>
      </c>
      <c r="T2427" t="s">
        <v>13610</v>
      </c>
      <c r="U2427" t="s">
        <v>13610</v>
      </c>
      <c r="V2427" t="s">
        <v>13610</v>
      </c>
      <c r="W2427" t="s">
        <v>15987</v>
      </c>
      <c r="X2427">
        <v>35</v>
      </c>
      <c r="Y2427" t="s">
        <v>22646</v>
      </c>
      <c r="Z2427" t="s">
        <v>29282</v>
      </c>
      <c r="AA2427">
        <v>0.23205427293134001</v>
      </c>
      <c r="AB2427" t="str">
        <f>HYPERLINK("Melting_Curves/meltCurve_P42345_MTOR.pdf", "Melting_Curves/meltCurve_P42345_MTOR.pdf")</f>
        <v>Melting_Curves/meltCurve_P42345_MTOR.pdf</v>
      </c>
    </row>
    <row r="2428" spans="1:28" x14ac:dyDescent="0.25">
      <c r="A2428" t="s">
        <v>2432</v>
      </c>
      <c r="B2428">
        <v>0.995954080203443</v>
      </c>
      <c r="C2428">
        <v>0.71785892194421896</v>
      </c>
      <c r="D2428">
        <v>0.450901318490668</v>
      </c>
      <c r="E2428">
        <v>0.36818701003243498</v>
      </c>
      <c r="F2428">
        <v>0.19907740139900701</v>
      </c>
      <c r="G2428">
        <v>0.10485278690379</v>
      </c>
      <c r="H2428">
        <v>7.0509000259857499E-2</v>
      </c>
      <c r="I2428">
        <v>6.7883423474848104E-2</v>
      </c>
      <c r="J2428">
        <v>7.9975829528860606E-2</v>
      </c>
      <c r="K2428">
        <v>7.1864150170385596E-2</v>
      </c>
      <c r="L2428">
        <v>649.74142011957304</v>
      </c>
      <c r="M2428">
        <v>14.151786962378299</v>
      </c>
      <c r="N2428">
        <v>46.355741022656701</v>
      </c>
      <c r="O2428">
        <v>45.0247052955771</v>
      </c>
      <c r="P2428">
        <v>-7.3612947965191106E-2</v>
      </c>
      <c r="Q2428">
        <v>6.3303422595841305E-2</v>
      </c>
      <c r="R2428">
        <v>0.97481200024132497</v>
      </c>
      <c r="S2428" t="s">
        <v>9234</v>
      </c>
      <c r="T2428" t="s">
        <v>13610</v>
      </c>
      <c r="U2428" t="s">
        <v>13610</v>
      </c>
      <c r="V2428" t="s">
        <v>13610</v>
      </c>
      <c r="W2428" t="s">
        <v>15988</v>
      </c>
      <c r="X2428">
        <v>19</v>
      </c>
      <c r="Y2428" t="s">
        <v>22647</v>
      </c>
      <c r="Z2428" t="s">
        <v>29283</v>
      </c>
      <c r="AA2428">
        <v>0.27900559682006137</v>
      </c>
      <c r="AB2428" t="str">
        <f>HYPERLINK("Melting_Curves/meltCurve_P42356_PI4KA.pdf", "Melting_Curves/meltCurve_P42356_PI4KA.pdf")</f>
        <v>Melting_Curves/meltCurve_P42356_PI4KA.pdf</v>
      </c>
    </row>
    <row r="2429" spans="1:28" x14ac:dyDescent="0.25">
      <c r="A2429" t="s">
        <v>2433</v>
      </c>
      <c r="B2429">
        <v>0.995954080203443</v>
      </c>
      <c r="C2429">
        <v>1.0626651182407401</v>
      </c>
      <c r="D2429">
        <v>1.0158600948985901</v>
      </c>
      <c r="E2429">
        <v>0.87256242663857297</v>
      </c>
      <c r="F2429">
        <v>0.59277179070433395</v>
      </c>
      <c r="G2429">
        <v>0.36267358042553199</v>
      </c>
      <c r="H2429">
        <v>0.254434213094555</v>
      </c>
      <c r="I2429">
        <v>0.26604516137158701</v>
      </c>
      <c r="J2429">
        <v>0.28655240102198498</v>
      </c>
      <c r="K2429">
        <v>0.293962302520204</v>
      </c>
      <c r="L2429">
        <v>1573.4395814843299</v>
      </c>
      <c r="M2429">
        <v>29.905813676967501</v>
      </c>
      <c r="N2429">
        <v>54.059107544346098</v>
      </c>
      <c r="O2429">
        <v>52.379598231760298</v>
      </c>
      <c r="P2429">
        <v>-0.10343957443056299</v>
      </c>
      <c r="Q2429">
        <v>0.27531317722615301</v>
      </c>
      <c r="R2429">
        <v>0.99375665921575196</v>
      </c>
      <c r="S2429" t="s">
        <v>9235</v>
      </c>
      <c r="T2429" t="s">
        <v>13610</v>
      </c>
      <c r="U2429" t="s">
        <v>13610</v>
      </c>
      <c r="V2429" t="s">
        <v>13610</v>
      </c>
      <c r="W2429" t="s">
        <v>15989</v>
      </c>
      <c r="X2429">
        <v>50</v>
      </c>
      <c r="Y2429" t="s">
        <v>22648</v>
      </c>
      <c r="Z2429" t="s">
        <v>29284</v>
      </c>
      <c r="AA2429">
        <v>0.58470229576741406</v>
      </c>
      <c r="AB2429" t="str">
        <f>HYPERLINK("Melting_Curves/meltCurve_P42566_EPS15.pdf", "Melting_Curves/meltCurve_P42566_EPS15.pdf")</f>
        <v>Melting_Curves/meltCurve_P42566_EPS15.pdf</v>
      </c>
    </row>
    <row r="2430" spans="1:28" x14ac:dyDescent="0.25">
      <c r="A2430" t="s">
        <v>2434</v>
      </c>
      <c r="B2430">
        <v>0.995954080203443</v>
      </c>
      <c r="C2430">
        <v>0.96882626901074897</v>
      </c>
      <c r="D2430">
        <v>0.90633113438677804</v>
      </c>
      <c r="E2430">
        <v>0.82081795658451095</v>
      </c>
      <c r="F2430">
        <v>0.70695691742340405</v>
      </c>
      <c r="G2430">
        <v>0.49995892425157401</v>
      </c>
      <c r="H2430">
        <v>0.428105013163463</v>
      </c>
      <c r="I2430">
        <v>0.47518773650158402</v>
      </c>
      <c r="J2430">
        <v>0.63491050602330501</v>
      </c>
      <c r="K2430">
        <v>0.46993610314178003</v>
      </c>
      <c r="L2430">
        <v>1054.7256875097501</v>
      </c>
      <c r="M2430">
        <v>20.551739693225102</v>
      </c>
      <c r="N2430">
        <v>63.396118346782501</v>
      </c>
      <c r="O2430">
        <v>50.842017551246997</v>
      </c>
      <c r="P2430">
        <v>-5.1537834128571901E-2</v>
      </c>
      <c r="Q2430">
        <v>0.49002642002520302</v>
      </c>
      <c r="R2430">
        <v>0.92098695504254702</v>
      </c>
      <c r="S2430" t="s">
        <v>9236</v>
      </c>
      <c r="T2430" t="s">
        <v>13610</v>
      </c>
      <c r="U2430" t="s">
        <v>13610</v>
      </c>
      <c r="V2430" t="s">
        <v>13610</v>
      </c>
      <c r="W2430" t="s">
        <v>15990</v>
      </c>
      <c r="X2430">
        <v>16</v>
      </c>
      <c r="Y2430" t="s">
        <v>22649</v>
      </c>
      <c r="Z2430" t="s">
        <v>29285</v>
      </c>
      <c r="AA2430">
        <v>0.68919026928509308</v>
      </c>
      <c r="AB2430" t="str">
        <f>HYPERLINK("Melting_Curves/meltCurve_P42574_CASP3.pdf", "Melting_Curves/meltCurve_P42574_CASP3.pdf")</f>
        <v>Melting_Curves/meltCurve_P42574_CASP3.pdf</v>
      </c>
    </row>
    <row r="2431" spans="1:28" x14ac:dyDescent="0.25">
      <c r="A2431" t="s">
        <v>2435</v>
      </c>
      <c r="B2431">
        <v>0.995954080203443</v>
      </c>
      <c r="C2431">
        <v>1.0237363042241701</v>
      </c>
      <c r="D2431">
        <v>0.94857515897935396</v>
      </c>
      <c r="E2431">
        <v>0.77589882393234799</v>
      </c>
      <c r="F2431">
        <v>0.53769776064981301</v>
      </c>
      <c r="G2431">
        <v>0.23980585877789401</v>
      </c>
      <c r="H2431">
        <v>9.7910290391575394E-2</v>
      </c>
      <c r="I2431">
        <v>8.5532480669409799E-2</v>
      </c>
      <c r="J2431">
        <v>7.6152483517963096E-2</v>
      </c>
      <c r="K2431">
        <v>7.1911543937163203E-2</v>
      </c>
      <c r="L2431">
        <v>1081.79749032519</v>
      </c>
      <c r="M2431">
        <v>20.416962428025901</v>
      </c>
      <c r="N2431">
        <v>53.303667310551504</v>
      </c>
      <c r="O2431">
        <v>52.484780798151299</v>
      </c>
      <c r="P2431">
        <v>-9.1671164404387204E-2</v>
      </c>
      <c r="Q2431">
        <v>5.7411796074313202E-2</v>
      </c>
      <c r="R2431">
        <v>0.99885014288319895</v>
      </c>
      <c r="S2431" t="s">
        <v>9237</v>
      </c>
      <c r="T2431" t="s">
        <v>13610</v>
      </c>
      <c r="U2431" t="s">
        <v>13610</v>
      </c>
      <c r="V2431" t="s">
        <v>13610</v>
      </c>
      <c r="W2431" t="s">
        <v>15991</v>
      </c>
      <c r="X2431">
        <v>16</v>
      </c>
      <c r="Y2431" t="s">
        <v>22650</v>
      </c>
      <c r="Z2431" t="s">
        <v>29286</v>
      </c>
      <c r="AA2431">
        <v>0.47791706629447211</v>
      </c>
      <c r="AB2431" t="str">
        <f>HYPERLINK("Melting_Curves/meltCurve_P42575_CASP2.pdf", "Melting_Curves/meltCurve_P42575_CASP2.pdf")</f>
        <v>Melting_Curves/meltCurve_P42575_CASP2.pdf</v>
      </c>
    </row>
    <row r="2432" spans="1:28" x14ac:dyDescent="0.25">
      <c r="A2432" t="s">
        <v>2436</v>
      </c>
      <c r="B2432">
        <v>0.995954080203443</v>
      </c>
      <c r="C2432">
        <v>0.59247976859124096</v>
      </c>
      <c r="D2432">
        <v>0.52113233356692501</v>
      </c>
      <c r="E2432">
        <v>0.50307153106240399</v>
      </c>
      <c r="F2432">
        <v>0.40422048173382102</v>
      </c>
      <c r="G2432">
        <v>0.243640864089163</v>
      </c>
      <c r="H2432">
        <v>0.232739422347988</v>
      </c>
      <c r="I2432">
        <v>0.23488344191927099</v>
      </c>
      <c r="J2432">
        <v>0.30121286690689397</v>
      </c>
      <c r="K2432">
        <v>0.21533473527952199</v>
      </c>
      <c r="L2432">
        <v>517.49218201540396</v>
      </c>
      <c r="M2432">
        <v>11.503550402337799</v>
      </c>
      <c r="N2432">
        <v>47.542016801658299</v>
      </c>
      <c r="O2432">
        <v>43.690413169073402</v>
      </c>
      <c r="P2432">
        <v>-5.06560633957365E-2</v>
      </c>
      <c r="Q2432">
        <v>0.230652741265748</v>
      </c>
      <c r="R2432">
        <v>0.89173365406603</v>
      </c>
      <c r="S2432" t="s">
        <v>9238</v>
      </c>
      <c r="T2432" t="s">
        <v>13610</v>
      </c>
      <c r="U2432" t="s">
        <v>13610</v>
      </c>
      <c r="V2432" t="s">
        <v>13610</v>
      </c>
      <c r="W2432" t="s">
        <v>15992</v>
      </c>
      <c r="X2432">
        <v>5</v>
      </c>
      <c r="Y2432" t="s">
        <v>22651</v>
      </c>
      <c r="Z2432" t="s">
        <v>29287</v>
      </c>
      <c r="AA2432">
        <v>0.40006878900248821</v>
      </c>
      <c r="AB2432" t="str">
        <f>HYPERLINK("Melting_Curves/meltCurve_P42677_RPS27.pdf", "Melting_Curves/meltCurve_P42677_RPS27.pdf")</f>
        <v>Melting_Curves/meltCurve_P42677_RPS27.pdf</v>
      </c>
    </row>
    <row r="2433" spans="1:28" x14ac:dyDescent="0.25">
      <c r="A2433" t="s">
        <v>2437</v>
      </c>
      <c r="B2433">
        <v>0.995954080203443</v>
      </c>
      <c r="C2433">
        <v>0.71799660249224295</v>
      </c>
      <c r="D2433">
        <v>0.46335346383056097</v>
      </c>
      <c r="E2433">
        <v>0.31885321297050601</v>
      </c>
      <c r="F2433">
        <v>0.15671036029761901</v>
      </c>
      <c r="G2433">
        <v>8.4803664827875602E-2</v>
      </c>
      <c r="H2433">
        <v>4.9775716051054297E-2</v>
      </c>
      <c r="I2433">
        <v>3.9697430421666798E-2</v>
      </c>
      <c r="J2433">
        <v>4.3294792216941602E-2</v>
      </c>
      <c r="K2433">
        <v>4.22718978156107E-2</v>
      </c>
      <c r="L2433">
        <v>682.86959049759298</v>
      </c>
      <c r="M2433">
        <v>14.8651609546567</v>
      </c>
      <c r="N2433">
        <v>46.172066822374397</v>
      </c>
      <c r="O2433">
        <v>45.1302841837446</v>
      </c>
      <c r="P2433">
        <v>-7.9360337599135106E-2</v>
      </c>
      <c r="Q2433">
        <v>3.6356356220914501E-2</v>
      </c>
      <c r="R2433">
        <v>0.984348777179191</v>
      </c>
      <c r="S2433" t="s">
        <v>9239</v>
      </c>
      <c r="T2433" t="s">
        <v>13610</v>
      </c>
      <c r="U2433" t="s">
        <v>13610</v>
      </c>
      <c r="V2433" t="s">
        <v>13610</v>
      </c>
      <c r="W2433" t="s">
        <v>15993</v>
      </c>
      <c r="X2433">
        <v>5</v>
      </c>
      <c r="Y2433" t="s">
        <v>22652</v>
      </c>
      <c r="Z2433" t="s">
        <v>29288</v>
      </c>
      <c r="AA2433">
        <v>0.25591287215794079</v>
      </c>
      <c r="AB2433" t="str">
        <f>HYPERLINK("Melting_Curves/meltCurve_P42679_3_MATK.pdf", "Melting_Curves/meltCurve_P42679_3_MATK.pdf")</f>
        <v>Melting_Curves/meltCurve_P42679_3_MATK.pdf</v>
      </c>
    </row>
    <row r="2434" spans="1:28" x14ac:dyDescent="0.25">
      <c r="A2434" t="s">
        <v>2438</v>
      </c>
      <c r="B2434">
        <v>0.995954080203443</v>
      </c>
      <c r="C2434">
        <v>0.74715410178924002</v>
      </c>
      <c r="D2434">
        <v>0.34576727328803197</v>
      </c>
      <c r="E2434">
        <v>0.215985921589017</v>
      </c>
      <c r="F2434">
        <v>0.137632906819248</v>
      </c>
      <c r="G2434">
        <v>8.35213828332763E-2</v>
      </c>
      <c r="H2434">
        <v>6.4548817753731697E-2</v>
      </c>
      <c r="I2434">
        <v>6.3274908844921096E-2</v>
      </c>
      <c r="J2434">
        <v>8.2965079644635301E-2</v>
      </c>
      <c r="K2434">
        <v>7.3356910780642201E-2</v>
      </c>
      <c r="L2434">
        <v>1086.1506469999599</v>
      </c>
      <c r="M2434">
        <v>24.3606758693773</v>
      </c>
      <c r="N2434">
        <v>44.939071954118702</v>
      </c>
      <c r="O2434">
        <v>44.289044473801702</v>
      </c>
      <c r="P2434">
        <v>-0.12554206920139699</v>
      </c>
      <c r="Q2434">
        <v>8.7044340517855701E-2</v>
      </c>
      <c r="R2434">
        <v>0.98908191930422695</v>
      </c>
      <c r="S2434" t="s">
        <v>9240</v>
      </c>
      <c r="T2434" t="s">
        <v>13610</v>
      </c>
      <c r="U2434" t="s">
        <v>13610</v>
      </c>
      <c r="V2434" t="s">
        <v>13610</v>
      </c>
      <c r="W2434" t="s">
        <v>15994</v>
      </c>
      <c r="X2434">
        <v>13</v>
      </c>
      <c r="Y2434" t="s">
        <v>22653</v>
      </c>
      <c r="Z2434" t="s">
        <v>29289</v>
      </c>
      <c r="AA2434">
        <v>0.23678047358737739</v>
      </c>
      <c r="AB2434" t="str">
        <f>HYPERLINK("Melting_Curves/meltCurve_P42680_TEC.pdf", "Melting_Curves/meltCurve_P42680_TEC.pdf")</f>
        <v>Melting_Curves/meltCurve_P42680_TEC.pdf</v>
      </c>
    </row>
    <row r="2435" spans="1:28" x14ac:dyDescent="0.25">
      <c r="A2435" t="s">
        <v>2439</v>
      </c>
      <c r="B2435">
        <v>0.995954080203443</v>
      </c>
      <c r="C2435">
        <v>0.94293703286404496</v>
      </c>
      <c r="D2435">
        <v>0.715605801308832</v>
      </c>
      <c r="E2435">
        <v>0.49007159744004802</v>
      </c>
      <c r="F2435">
        <v>0.45578663451428297</v>
      </c>
      <c r="G2435">
        <v>0.33704905410305802</v>
      </c>
      <c r="H2435">
        <v>0.31194104849378301</v>
      </c>
      <c r="I2435">
        <v>0.37327126816297002</v>
      </c>
      <c r="J2435">
        <v>0.41420088496423901</v>
      </c>
      <c r="K2435">
        <v>0.397185590568847</v>
      </c>
      <c r="L2435">
        <v>1046.7123352255401</v>
      </c>
      <c r="M2435">
        <v>22.438707926917299</v>
      </c>
      <c r="N2435">
        <v>49.6560267004987</v>
      </c>
      <c r="O2435">
        <v>46.281883401180004</v>
      </c>
      <c r="P2435">
        <v>-7.6168095902513902E-2</v>
      </c>
      <c r="Q2435">
        <v>0.37159863573393598</v>
      </c>
      <c r="R2435">
        <v>0.98017262256931403</v>
      </c>
      <c r="S2435" t="s">
        <v>9241</v>
      </c>
      <c r="T2435" t="s">
        <v>13610</v>
      </c>
      <c r="U2435" t="s">
        <v>13610</v>
      </c>
      <c r="V2435" t="s">
        <v>13610</v>
      </c>
      <c r="W2435" t="s">
        <v>15995</v>
      </c>
      <c r="X2435">
        <v>17</v>
      </c>
      <c r="Y2435" t="s">
        <v>22654</v>
      </c>
      <c r="Z2435" t="s">
        <v>29290</v>
      </c>
      <c r="AA2435">
        <v>0.51805934994483427</v>
      </c>
      <c r="AB2435" t="str">
        <f>HYPERLINK("Melting_Curves/meltCurve_P42684_6_ABL2.pdf", "Melting_Curves/meltCurve_P42684_6_ABL2.pdf")</f>
        <v>Melting_Curves/meltCurve_P42684_6_ABL2.pdf</v>
      </c>
    </row>
    <row r="2436" spans="1:28" x14ac:dyDescent="0.25">
      <c r="A2436" t="s">
        <v>2440</v>
      </c>
      <c r="B2436">
        <v>0.995954080203443</v>
      </c>
      <c r="C2436">
        <v>0.97309743858959497</v>
      </c>
      <c r="D2436">
        <v>0.94205049597514501</v>
      </c>
      <c r="E2436">
        <v>0.82108871889923996</v>
      </c>
      <c r="F2436">
        <v>0.63268334143361704</v>
      </c>
      <c r="G2436">
        <v>0.27273110429823499</v>
      </c>
      <c r="H2436">
        <v>0.204271417559549</v>
      </c>
      <c r="I2436">
        <v>0.21775089031929901</v>
      </c>
      <c r="J2436">
        <v>0.23429658354401001</v>
      </c>
      <c r="K2436">
        <v>0.229076958290484</v>
      </c>
      <c r="L2436">
        <v>1349.06244938282</v>
      </c>
      <c r="M2436">
        <v>25.525485315800999</v>
      </c>
      <c r="N2436">
        <v>53.979954643208302</v>
      </c>
      <c r="O2436">
        <v>52.530402949351299</v>
      </c>
      <c r="P2436">
        <v>-9.6365316073704105E-2</v>
      </c>
      <c r="Q2436">
        <v>0.20674632685382899</v>
      </c>
      <c r="R2436">
        <v>0.99243962213817505</v>
      </c>
      <c r="S2436" t="s">
        <v>9242</v>
      </c>
      <c r="T2436" t="s">
        <v>13610</v>
      </c>
      <c r="U2436" t="s">
        <v>13610</v>
      </c>
      <c r="V2436" t="s">
        <v>13610</v>
      </c>
      <c r="W2436" t="s">
        <v>15996</v>
      </c>
      <c r="X2436">
        <v>41</v>
      </c>
      <c r="Y2436" t="s">
        <v>22655</v>
      </c>
      <c r="Z2436" t="s">
        <v>29291</v>
      </c>
      <c r="AA2436">
        <v>0.5535796853642585</v>
      </c>
      <c r="AB2436" t="str">
        <f>HYPERLINK("Melting_Curves/meltCurve_P42694_HELZ.pdf", "Melting_Curves/meltCurve_P42694_HELZ.pdf")</f>
        <v>Melting_Curves/meltCurve_P42694_HELZ.pdf</v>
      </c>
    </row>
    <row r="2437" spans="1:28" x14ac:dyDescent="0.25">
      <c r="A2437" t="s">
        <v>2441</v>
      </c>
      <c r="B2437">
        <v>0.995954080203443</v>
      </c>
      <c r="C2437">
        <v>0.84887935643962698</v>
      </c>
      <c r="D2437">
        <v>0.48254796390480498</v>
      </c>
      <c r="E2437">
        <v>0.33552341955319498</v>
      </c>
      <c r="F2437">
        <v>0.165910404512745</v>
      </c>
      <c r="G2437">
        <v>9.3214013242361393E-2</v>
      </c>
      <c r="H2437">
        <v>6.8307466167737502E-2</v>
      </c>
      <c r="I2437">
        <v>6.9643000601374794E-2</v>
      </c>
      <c r="J2437">
        <v>7.8030586553564193E-2</v>
      </c>
      <c r="K2437">
        <v>7.0577266889160203E-2</v>
      </c>
      <c r="L2437">
        <v>813.56186665745304</v>
      </c>
      <c r="M2437">
        <v>17.576033310965499</v>
      </c>
      <c r="N2437">
        <v>46.689938080593599</v>
      </c>
      <c r="O2437">
        <v>45.701399811795099</v>
      </c>
      <c r="P2437">
        <v>-8.9402835617807694E-2</v>
      </c>
      <c r="Q2437">
        <v>7.0185356257445194E-2</v>
      </c>
      <c r="R2437">
        <v>0.98633923208173602</v>
      </c>
      <c r="S2437" t="s">
        <v>9243</v>
      </c>
      <c r="T2437" t="s">
        <v>13610</v>
      </c>
      <c r="U2437" t="s">
        <v>13610</v>
      </c>
      <c r="V2437" t="s">
        <v>13610</v>
      </c>
      <c r="W2437" t="s">
        <v>15997</v>
      </c>
      <c r="X2437">
        <v>15</v>
      </c>
      <c r="Y2437" t="s">
        <v>22656</v>
      </c>
      <c r="Z2437" t="s">
        <v>29292</v>
      </c>
      <c r="AA2437">
        <v>0.2839293290579894</v>
      </c>
      <c r="AB2437" t="str">
        <f>HYPERLINK("Melting_Curves/meltCurve_P42695_NCAPD3.pdf", "Melting_Curves/meltCurve_P42695_NCAPD3.pdf")</f>
        <v>Melting_Curves/meltCurve_P42695_NCAPD3.pdf</v>
      </c>
    </row>
    <row r="2438" spans="1:28" x14ac:dyDescent="0.25">
      <c r="A2438" t="s">
        <v>2442</v>
      </c>
      <c r="B2438">
        <v>0.995954080203443</v>
      </c>
      <c r="C2438">
        <v>1.02702482963966</v>
      </c>
      <c r="D2438">
        <v>1.0401616119241599</v>
      </c>
      <c r="E2438">
        <v>0.96492358919554</v>
      </c>
      <c r="F2438">
        <v>0.91110561645883303</v>
      </c>
      <c r="G2438">
        <v>0.734785554807875</v>
      </c>
      <c r="H2438">
        <v>0.69605790629909503</v>
      </c>
      <c r="I2438">
        <v>0.82331659582815897</v>
      </c>
      <c r="J2438">
        <v>0.96764738066034395</v>
      </c>
      <c r="K2438">
        <v>0.99559557967512002</v>
      </c>
      <c r="L2438">
        <v>3169.2778482119902</v>
      </c>
      <c r="M2438">
        <v>60.337245317723301</v>
      </c>
      <c r="O2438">
        <v>52.468476217121001</v>
      </c>
      <c r="P2438">
        <v>-4.4750724346139199E-2</v>
      </c>
      <c r="Q2438">
        <v>0.84434155610974304</v>
      </c>
      <c r="R2438">
        <v>0.43807910883096302</v>
      </c>
      <c r="S2438" t="s">
        <v>9244</v>
      </c>
      <c r="T2438" t="s">
        <v>13610</v>
      </c>
      <c r="U2438" t="s">
        <v>13610</v>
      </c>
      <c r="V2438" t="s">
        <v>13610</v>
      </c>
      <c r="W2438" t="s">
        <v>15998</v>
      </c>
      <c r="X2438">
        <v>14</v>
      </c>
      <c r="Y2438" t="s">
        <v>22657</v>
      </c>
      <c r="Z2438" t="s">
        <v>29293</v>
      </c>
      <c r="AA2438">
        <v>0.90958168640379056</v>
      </c>
      <c r="AB2438" t="str">
        <f>HYPERLINK("Melting_Curves/meltCurve_P42696_2_RBM34.pdf", "Melting_Curves/meltCurve_P42696_2_RBM34.pdf")</f>
        <v>Melting_Curves/meltCurve_P42696_2_RBM34.pdf</v>
      </c>
    </row>
    <row r="2439" spans="1:28" x14ac:dyDescent="0.25">
      <c r="A2439" t="s">
        <v>2443</v>
      </c>
      <c r="B2439">
        <v>0.995954080203443</v>
      </c>
      <c r="C2439">
        <v>0.79862016884320297</v>
      </c>
      <c r="D2439">
        <v>0.32900309511243497</v>
      </c>
      <c r="E2439">
        <v>0.207465073843563</v>
      </c>
      <c r="F2439">
        <v>9.3515680636312298E-2</v>
      </c>
      <c r="G2439">
        <v>5.2799496798167603E-2</v>
      </c>
      <c r="H2439">
        <v>3.3821573760526497E-2</v>
      </c>
      <c r="I2439">
        <v>3.1752725476485097E-2</v>
      </c>
      <c r="J2439">
        <v>3.5539362709392598E-2</v>
      </c>
      <c r="K2439">
        <v>3.2655660270017997E-2</v>
      </c>
      <c r="L2439">
        <v>1157.4517554931499</v>
      </c>
      <c r="M2439">
        <v>25.803461296980799</v>
      </c>
      <c r="N2439">
        <v>45.051056654802998</v>
      </c>
      <c r="O2439">
        <v>44.589639350032797</v>
      </c>
      <c r="P2439">
        <v>-0.13704330876293699</v>
      </c>
      <c r="Q2439">
        <v>5.2741156159890799E-2</v>
      </c>
      <c r="R2439">
        <v>0.986593326800841</v>
      </c>
      <c r="S2439" t="s">
        <v>9245</v>
      </c>
      <c r="T2439" t="s">
        <v>13610</v>
      </c>
      <c r="U2439" t="s">
        <v>13610</v>
      </c>
      <c r="V2439" t="s">
        <v>13610</v>
      </c>
      <c r="W2439" t="s">
        <v>15999</v>
      </c>
      <c r="X2439">
        <v>64</v>
      </c>
      <c r="Y2439" t="s">
        <v>22658</v>
      </c>
      <c r="Z2439" t="s">
        <v>29294</v>
      </c>
      <c r="AA2439">
        <v>0.2149659770069548</v>
      </c>
      <c r="AB2439" t="str">
        <f>HYPERLINK("Melting_Curves/meltCurve_P42704_LRPPRC.pdf", "Melting_Curves/meltCurve_P42704_LRPPRC.pdf")</f>
        <v>Melting_Curves/meltCurve_P42704_LRPPRC.pdf</v>
      </c>
    </row>
    <row r="2440" spans="1:28" x14ac:dyDescent="0.25">
      <c r="A2440" t="s">
        <v>2444</v>
      </c>
      <c r="B2440">
        <v>0.995954080203443</v>
      </c>
      <c r="C2440">
        <v>0.92287849137006195</v>
      </c>
      <c r="D2440">
        <v>0.85758505797095697</v>
      </c>
      <c r="E2440">
        <v>0.86147301210500704</v>
      </c>
      <c r="F2440">
        <v>0.68841833642732897</v>
      </c>
      <c r="G2440">
        <v>0.51587888791661396</v>
      </c>
      <c r="H2440">
        <v>0.37281675042679302</v>
      </c>
      <c r="I2440">
        <v>0.32931168955038198</v>
      </c>
      <c r="J2440">
        <v>0.110367977877682</v>
      </c>
      <c r="K2440">
        <v>0.10216610678743</v>
      </c>
      <c r="L2440">
        <v>583.85550057851503</v>
      </c>
      <c r="M2440">
        <v>10.175553411818999</v>
      </c>
      <c r="N2440">
        <v>57.378255201742803</v>
      </c>
      <c r="O2440">
        <v>55.294547594822397</v>
      </c>
      <c r="P2440">
        <v>-4.6027071530571298E-2</v>
      </c>
      <c r="Q2440">
        <v>0</v>
      </c>
      <c r="R2440">
        <v>0.97890259727656403</v>
      </c>
      <c r="S2440" t="s">
        <v>9246</v>
      </c>
      <c r="T2440" t="s">
        <v>13610</v>
      </c>
      <c r="U2440" t="s">
        <v>13610</v>
      </c>
      <c r="V2440" t="s">
        <v>13610</v>
      </c>
      <c r="W2440" t="s">
        <v>16000</v>
      </c>
      <c r="X2440">
        <v>20</v>
      </c>
      <c r="Y2440" t="s">
        <v>22659</v>
      </c>
      <c r="Z2440" t="s">
        <v>29295</v>
      </c>
      <c r="AA2440">
        <v>0.59317488806039997</v>
      </c>
      <c r="AB2440" t="str">
        <f>HYPERLINK("Melting_Curves/meltCurve_P42765_ACAA2.pdf", "Melting_Curves/meltCurve_P42765_ACAA2.pdf")</f>
        <v>Melting_Curves/meltCurve_P42765_ACAA2.pdf</v>
      </c>
    </row>
    <row r="2441" spans="1:28" x14ac:dyDescent="0.25">
      <c r="A2441" t="s">
        <v>2445</v>
      </c>
      <c r="B2441">
        <v>0.995954080203443</v>
      </c>
      <c r="C2441">
        <v>1.01568363328287</v>
      </c>
      <c r="D2441">
        <v>1.01451880588067</v>
      </c>
      <c r="E2441">
        <v>0.82729755788828696</v>
      </c>
      <c r="F2441">
        <v>0.764691497942801</v>
      </c>
      <c r="G2441">
        <v>0.58673435789073303</v>
      </c>
      <c r="H2441">
        <v>0.54350890217950598</v>
      </c>
      <c r="I2441">
        <v>0.63262382832767095</v>
      </c>
      <c r="J2441">
        <v>0.76208807927240696</v>
      </c>
      <c r="K2441">
        <v>0.75444481502140504</v>
      </c>
      <c r="L2441">
        <v>1664.3278314316599</v>
      </c>
      <c r="M2441">
        <v>33.045090469228697</v>
      </c>
      <c r="O2441">
        <v>50.181964109203697</v>
      </c>
      <c r="P2441">
        <v>-5.5819712315567302E-2</v>
      </c>
      <c r="Q2441">
        <v>0.66093219898519995</v>
      </c>
      <c r="R2441">
        <v>0.83810070352802102</v>
      </c>
      <c r="S2441" t="s">
        <v>9247</v>
      </c>
      <c r="T2441" t="s">
        <v>13610</v>
      </c>
      <c r="U2441" t="s">
        <v>13610</v>
      </c>
      <c r="V2441" t="s">
        <v>13610</v>
      </c>
      <c r="W2441" t="s">
        <v>16001</v>
      </c>
      <c r="X2441">
        <v>11</v>
      </c>
      <c r="Y2441" t="s">
        <v>22660</v>
      </c>
      <c r="Z2441" t="s">
        <v>29296</v>
      </c>
      <c r="AA2441">
        <v>0.77982006441561369</v>
      </c>
      <c r="AB2441" t="str">
        <f>HYPERLINK("Melting_Curves/meltCurve_P42768_WAS.pdf", "Melting_Curves/meltCurve_P42768_WAS.pdf")</f>
        <v>Melting_Curves/meltCurve_P42768_WAS.pdf</v>
      </c>
    </row>
    <row r="2442" spans="1:28" x14ac:dyDescent="0.25">
      <c r="A2442" t="s">
        <v>2446</v>
      </c>
      <c r="B2442">
        <v>0.995954080203443</v>
      </c>
      <c r="C2442">
        <v>1.0040577994712101</v>
      </c>
      <c r="D2442">
        <v>1.3066542425384799</v>
      </c>
      <c r="E2442">
        <v>0.89336844965031603</v>
      </c>
      <c r="F2442">
        <v>1.0411758774113</v>
      </c>
      <c r="G2442">
        <v>0.85182231236753903</v>
      </c>
      <c r="H2442">
        <v>0.45891656458068097</v>
      </c>
      <c r="I2442">
        <v>0.36933405840410399</v>
      </c>
      <c r="J2442">
        <v>0.41762752805086001</v>
      </c>
      <c r="K2442">
        <v>0.398505976788604</v>
      </c>
      <c r="L2442">
        <v>3009.1760794609399</v>
      </c>
      <c r="M2442">
        <v>51.634579082932298</v>
      </c>
      <c r="N2442">
        <v>60.099244517934601</v>
      </c>
      <c r="O2442">
        <v>58.191071490813599</v>
      </c>
      <c r="P2442">
        <v>-0.13411987476901499</v>
      </c>
      <c r="Q2442">
        <v>0.395399238967932</v>
      </c>
      <c r="R2442">
        <v>0.89193783232072799</v>
      </c>
      <c r="S2442" t="s">
        <v>9248</v>
      </c>
      <c r="T2442" t="s">
        <v>13610</v>
      </c>
      <c r="U2442" t="s">
        <v>13610</v>
      </c>
      <c r="V2442" t="s">
        <v>13610</v>
      </c>
      <c r="W2442" t="s">
        <v>16002</v>
      </c>
      <c r="X2442">
        <v>6</v>
      </c>
      <c r="Y2442" t="s">
        <v>22661</v>
      </c>
      <c r="Z2442" t="s">
        <v>29297</v>
      </c>
      <c r="AA2442">
        <v>0.76521942722692438</v>
      </c>
      <c r="AB2442" t="str">
        <f>HYPERLINK("Melting_Curves/meltCurve_P42773_CDKN2C.pdf", "Melting_Curves/meltCurve_P42773_CDKN2C.pdf")</f>
        <v>Melting_Curves/meltCurve_P42773_CDKN2C.pdf</v>
      </c>
    </row>
    <row r="2443" spans="1:28" x14ac:dyDescent="0.25">
      <c r="A2443" t="s">
        <v>2447</v>
      </c>
      <c r="B2443">
        <v>0.995954080203443</v>
      </c>
      <c r="C2443">
        <v>0.91274790410180295</v>
      </c>
      <c r="D2443">
        <v>0.81601289004929001</v>
      </c>
      <c r="E2443">
        <v>0.83905210474560199</v>
      </c>
      <c r="F2443">
        <v>0.66466893556062001</v>
      </c>
      <c r="G2443">
        <v>0.39746586740469703</v>
      </c>
      <c r="H2443">
        <v>0.169869510308928</v>
      </c>
      <c r="I2443">
        <v>8.3464599397297806E-2</v>
      </c>
      <c r="J2443">
        <v>7.6409158744249306E-2</v>
      </c>
      <c r="K2443">
        <v>6.5915287637180603E-2</v>
      </c>
      <c r="L2443">
        <v>767.37515975122597</v>
      </c>
      <c r="M2443">
        <v>13.944184396041599</v>
      </c>
      <c r="N2443">
        <v>55.031895622857803</v>
      </c>
      <c r="O2443">
        <v>53.937149079677503</v>
      </c>
      <c r="P2443">
        <v>-6.4640320843777299E-2</v>
      </c>
      <c r="Q2443">
        <v>0</v>
      </c>
      <c r="R2443">
        <v>0.98054328045674699</v>
      </c>
      <c r="S2443" t="s">
        <v>9249</v>
      </c>
      <c r="T2443" t="s">
        <v>13610</v>
      </c>
      <c r="U2443" t="s">
        <v>13610</v>
      </c>
      <c r="V2443" t="s">
        <v>13610</v>
      </c>
      <c r="W2443" t="s">
        <v>16003</v>
      </c>
      <c r="X2443">
        <v>11</v>
      </c>
      <c r="Y2443" t="s">
        <v>22662</v>
      </c>
      <c r="Z2443" t="s">
        <v>29298</v>
      </c>
      <c r="AA2443">
        <v>0.52175331530463431</v>
      </c>
      <c r="AB2443" t="str">
        <f>HYPERLINK("Melting_Curves/meltCurve_P42785_PRCP.pdf", "Melting_Curves/meltCurve_P42785_PRCP.pdf")</f>
        <v>Melting_Curves/meltCurve_P42785_PRCP.pdf</v>
      </c>
    </row>
    <row r="2444" spans="1:28" x14ac:dyDescent="0.25">
      <c r="A2444" t="s">
        <v>2448</v>
      </c>
      <c r="B2444">
        <v>0.995954080203443</v>
      </c>
      <c r="C2444">
        <v>0.76933025891109197</v>
      </c>
      <c r="D2444">
        <v>0.52615193825321804</v>
      </c>
      <c r="E2444">
        <v>0.42183161648717099</v>
      </c>
      <c r="F2444">
        <v>0.19725957834817101</v>
      </c>
      <c r="G2444">
        <v>0.10541773019636801</v>
      </c>
      <c r="H2444">
        <v>8.5280652584996494E-2</v>
      </c>
      <c r="I2444">
        <v>6.9173271732503205E-2</v>
      </c>
      <c r="J2444">
        <v>7.7924842259045501E-2</v>
      </c>
      <c r="K2444">
        <v>7.0151447703269407E-2</v>
      </c>
      <c r="L2444">
        <v>637.04807415221103</v>
      </c>
      <c r="M2444">
        <v>13.581606461241</v>
      </c>
      <c r="N2444">
        <v>47.286291265112297</v>
      </c>
      <c r="O2444">
        <v>45.923377882576901</v>
      </c>
      <c r="P2444">
        <v>-7.0113927875230506E-2</v>
      </c>
      <c r="Q2444">
        <v>5.1838787459331903E-2</v>
      </c>
      <c r="R2444">
        <v>0.98120325937805397</v>
      </c>
      <c r="S2444" t="s">
        <v>9250</v>
      </c>
      <c r="T2444" t="s">
        <v>13610</v>
      </c>
      <c r="U2444" t="s">
        <v>13610</v>
      </c>
      <c r="V2444" t="s">
        <v>13610</v>
      </c>
      <c r="W2444" t="s">
        <v>16004</v>
      </c>
      <c r="X2444">
        <v>37</v>
      </c>
      <c r="Y2444" t="s">
        <v>22663</v>
      </c>
      <c r="Z2444" t="s">
        <v>29299</v>
      </c>
      <c r="AA2444">
        <v>0.30175076018512509</v>
      </c>
      <c r="AB2444" t="str">
        <f>HYPERLINK("Melting_Curves/meltCurve_P42858_HTT.pdf", "Melting_Curves/meltCurve_P42858_HTT.pdf")</f>
        <v>Melting_Curves/meltCurve_P42858_HTT.pdf</v>
      </c>
    </row>
    <row r="2445" spans="1:28" x14ac:dyDescent="0.25">
      <c r="A2445" t="s">
        <v>2449</v>
      </c>
      <c r="B2445">
        <v>0.995954080203443</v>
      </c>
      <c r="C2445">
        <v>0.96829226247186895</v>
      </c>
      <c r="D2445">
        <v>0.90807982567433199</v>
      </c>
      <c r="E2445">
        <v>0.81567313189569302</v>
      </c>
      <c r="F2445">
        <v>0.69246017368607304</v>
      </c>
      <c r="G2445">
        <v>0.52432549619211199</v>
      </c>
      <c r="H2445">
        <v>0.31143908494040001</v>
      </c>
      <c r="I2445">
        <v>0.18337114089621301</v>
      </c>
      <c r="J2445">
        <v>8.4491770211291201E-2</v>
      </c>
      <c r="K2445">
        <v>7.1782187362305794E-2</v>
      </c>
      <c r="L2445">
        <v>693.77008080799601</v>
      </c>
      <c r="M2445">
        <v>12.2503361549786</v>
      </c>
      <c r="N2445">
        <v>56.632738003181302</v>
      </c>
      <c r="O2445">
        <v>55.187045663460701</v>
      </c>
      <c r="P2445">
        <v>-5.5506966342809001E-2</v>
      </c>
      <c r="Q2445">
        <v>0</v>
      </c>
      <c r="R2445">
        <v>0.99455020426529495</v>
      </c>
      <c r="S2445" t="s">
        <v>9251</v>
      </c>
      <c r="T2445" t="s">
        <v>13610</v>
      </c>
      <c r="U2445" t="s">
        <v>13610</v>
      </c>
      <c r="V2445" t="s">
        <v>13610</v>
      </c>
      <c r="W2445" t="s">
        <v>16005</v>
      </c>
      <c r="X2445">
        <v>28</v>
      </c>
      <c r="Y2445" t="s">
        <v>22664</v>
      </c>
      <c r="Z2445" t="s">
        <v>29300</v>
      </c>
      <c r="AA2445">
        <v>0.57255993181650244</v>
      </c>
      <c r="AB2445" t="str">
        <f>HYPERLINK("Melting_Curves/meltCurve_P43034_PAFAH1B1.pdf", "Melting_Curves/meltCurve_P43034_PAFAH1B1.pdf")</f>
        <v>Melting_Curves/meltCurve_P43034_PAFAH1B1.pdf</v>
      </c>
    </row>
    <row r="2446" spans="1:28" x14ac:dyDescent="0.25">
      <c r="A2446" t="s">
        <v>2450</v>
      </c>
      <c r="B2446">
        <v>0.995954080203443</v>
      </c>
      <c r="C2446">
        <v>1.04030550861773</v>
      </c>
      <c r="D2446">
        <v>1.4282576797142701</v>
      </c>
      <c r="E2446">
        <v>1.0068179335457801</v>
      </c>
      <c r="F2446">
        <v>1.3865666001466199</v>
      </c>
      <c r="G2446">
        <v>1.0823992587542699</v>
      </c>
      <c r="H2446">
        <v>0.90254272297125904</v>
      </c>
      <c r="I2446">
        <v>0.93390518446228199</v>
      </c>
      <c r="J2446">
        <v>0.97018544896404801</v>
      </c>
      <c r="K2446">
        <v>0.89304218763174903</v>
      </c>
      <c r="L2446">
        <v>6150.8212903902904</v>
      </c>
      <c r="M2446">
        <v>103.750834783607</v>
      </c>
      <c r="O2446">
        <v>59.262531102527099</v>
      </c>
      <c r="P2446">
        <v>-3.29756472692024E-2</v>
      </c>
      <c r="Q2446">
        <v>0.92465717581886198</v>
      </c>
      <c r="R2446">
        <v>-5.7529415475267902E-2</v>
      </c>
      <c r="S2446" t="s">
        <v>9252</v>
      </c>
      <c r="T2446" t="s">
        <v>13610</v>
      </c>
      <c r="U2446" t="s">
        <v>13610</v>
      </c>
      <c r="V2446" t="s">
        <v>13610</v>
      </c>
      <c r="W2446" t="s">
        <v>16006</v>
      </c>
      <c r="X2446">
        <v>1</v>
      </c>
      <c r="Y2446" t="s">
        <v>22665</v>
      </c>
      <c r="Z2446" t="s">
        <v>29301</v>
      </c>
      <c r="AA2446">
        <v>0.97313448129564528</v>
      </c>
      <c r="AB2446" t="str">
        <f>HYPERLINK("Melting_Curves/meltCurve_P43121_MCAM.pdf", "Melting_Curves/meltCurve_P43121_MCAM.pdf")</f>
        <v>Melting_Curves/meltCurve_P43121_MCAM.pdf</v>
      </c>
    </row>
    <row r="2447" spans="1:28" x14ac:dyDescent="0.25">
      <c r="A2447" t="s">
        <v>2451</v>
      </c>
      <c r="B2447">
        <v>0.995954080203443</v>
      </c>
      <c r="C2447">
        <v>0.866791808981212</v>
      </c>
      <c r="D2447">
        <v>0.48514340701212699</v>
      </c>
      <c r="E2447">
        <v>0.32130304544676702</v>
      </c>
      <c r="F2447">
        <v>0.129310227036775</v>
      </c>
      <c r="G2447">
        <v>9.3664343712101306E-2</v>
      </c>
      <c r="H2447">
        <v>5.6607944634031702E-2</v>
      </c>
      <c r="I2447">
        <v>5.19858094651586E-2</v>
      </c>
      <c r="J2447">
        <v>5.1814183398846303E-2</v>
      </c>
      <c r="K2447">
        <v>4.8707113393359598E-2</v>
      </c>
      <c r="L2447">
        <v>846.65655207115901</v>
      </c>
      <c r="M2447">
        <v>18.255633075074801</v>
      </c>
      <c r="N2447">
        <v>46.666435766212999</v>
      </c>
      <c r="O2447">
        <v>45.832086067242798</v>
      </c>
      <c r="P2447">
        <v>-9.4267677478752906E-2</v>
      </c>
      <c r="Q2447">
        <v>5.3381316516485297E-2</v>
      </c>
      <c r="R2447">
        <v>0.98712866343082195</v>
      </c>
      <c r="S2447" t="s">
        <v>9253</v>
      </c>
      <c r="T2447" t="s">
        <v>13610</v>
      </c>
      <c r="U2447" t="s">
        <v>13610</v>
      </c>
      <c r="V2447" t="s">
        <v>13610</v>
      </c>
      <c r="W2447" t="s">
        <v>16007</v>
      </c>
      <c r="X2447">
        <v>2</v>
      </c>
      <c r="Y2447" t="s">
        <v>22666</v>
      </c>
      <c r="Z2447" t="s">
        <v>29302</v>
      </c>
      <c r="AA2447">
        <v>0.27216180409046969</v>
      </c>
      <c r="AB2447" t="str">
        <f>HYPERLINK("Melting_Curves/meltCurve_P43155_3_CRAT.pdf", "Melting_Curves/meltCurve_P43155_3_CRAT.pdf")</f>
        <v>Melting_Curves/meltCurve_P43155_3_CRAT.pdf</v>
      </c>
    </row>
    <row r="2448" spans="1:28" x14ac:dyDescent="0.25">
      <c r="A2448" t="s">
        <v>2452</v>
      </c>
      <c r="B2448">
        <v>0.995954080203443</v>
      </c>
      <c r="C2448">
        <v>0.80094022922270403</v>
      </c>
      <c r="D2448">
        <v>0.42066460175774101</v>
      </c>
      <c r="E2448">
        <v>0.28847237378790402</v>
      </c>
      <c r="F2448">
        <v>0.12085234605410999</v>
      </c>
      <c r="G2448">
        <v>7.4557224505255607E-2</v>
      </c>
      <c r="H2448">
        <v>5.1434646838242198E-2</v>
      </c>
      <c r="I2448">
        <v>4.57871417623903E-2</v>
      </c>
      <c r="J2448">
        <v>5.2693663720166199E-2</v>
      </c>
      <c r="K2448">
        <v>4.6552235781624797E-2</v>
      </c>
      <c r="L2448">
        <v>851.55198751790499</v>
      </c>
      <c r="M2448">
        <v>18.653702179558302</v>
      </c>
      <c r="N2448">
        <v>45.930095360837399</v>
      </c>
      <c r="O2448">
        <v>45.135621213042498</v>
      </c>
      <c r="P2448">
        <v>-9.7780231207516E-2</v>
      </c>
      <c r="Q2448">
        <v>5.3660823399378603E-2</v>
      </c>
      <c r="R2448">
        <v>0.98542348205989505</v>
      </c>
      <c r="S2448" t="s">
        <v>9254</v>
      </c>
      <c r="T2448" t="s">
        <v>13610</v>
      </c>
      <c r="U2448" t="s">
        <v>13610</v>
      </c>
      <c r="V2448" t="s">
        <v>13610</v>
      </c>
      <c r="W2448" t="s">
        <v>16008</v>
      </c>
      <c r="X2448">
        <v>43</v>
      </c>
      <c r="Y2448" t="s">
        <v>22667</v>
      </c>
      <c r="Z2448" t="s">
        <v>29303</v>
      </c>
      <c r="AA2448">
        <v>0.24954171331572009</v>
      </c>
      <c r="AB2448" t="str">
        <f>HYPERLINK("Melting_Curves/meltCurve_P43246_MSH2.pdf", "Melting_Curves/meltCurve_P43246_MSH2.pdf")</f>
        <v>Melting_Curves/meltCurve_P43246_MSH2.pdf</v>
      </c>
    </row>
    <row r="2449" spans="1:28" x14ac:dyDescent="0.25">
      <c r="A2449" t="s">
        <v>2453</v>
      </c>
      <c r="B2449">
        <v>0.995954080203443</v>
      </c>
      <c r="C2449">
        <v>0.95097865138459203</v>
      </c>
      <c r="D2449">
        <v>0.77736807155061205</v>
      </c>
      <c r="E2449">
        <v>0.51608754286313197</v>
      </c>
      <c r="F2449">
        <v>0.29602189038272803</v>
      </c>
      <c r="G2449">
        <v>0.18622048122969001</v>
      </c>
      <c r="H2449">
        <v>0.12399539145449801</v>
      </c>
      <c r="I2449">
        <v>0.108618631063889</v>
      </c>
      <c r="J2449">
        <v>0.11777174021610801</v>
      </c>
      <c r="K2449">
        <v>0.120817637552542</v>
      </c>
      <c r="L2449">
        <v>857.46708682684698</v>
      </c>
      <c r="M2449">
        <v>17.397044856628401</v>
      </c>
      <c r="N2449">
        <v>49.952898341981303</v>
      </c>
      <c r="O2449">
        <v>48.650677735924397</v>
      </c>
      <c r="P2449">
        <v>-8.0163780451423597E-2</v>
      </c>
      <c r="Q2449">
        <v>0.10334146649492</v>
      </c>
      <c r="R2449">
        <v>0.99852383669792699</v>
      </c>
      <c r="S2449" t="s">
        <v>9255</v>
      </c>
      <c r="T2449" t="s">
        <v>13610</v>
      </c>
      <c r="U2449" t="s">
        <v>13610</v>
      </c>
      <c r="V2449" t="s">
        <v>13610</v>
      </c>
      <c r="W2449" t="s">
        <v>16009</v>
      </c>
      <c r="X2449">
        <v>11</v>
      </c>
      <c r="Y2449" t="s">
        <v>22668</v>
      </c>
      <c r="Z2449" t="s">
        <v>29304</v>
      </c>
      <c r="AA2449">
        <v>0.39746723758648927</v>
      </c>
      <c r="AB2449" t="str">
        <f>HYPERLINK("Melting_Curves/meltCurve_P43355_MAGEA1.pdf", "Melting_Curves/meltCurve_P43355_MAGEA1.pdf")</f>
        <v>Melting_Curves/meltCurve_P43355_MAGEA1.pdf</v>
      </c>
    </row>
    <row r="2450" spans="1:28" x14ac:dyDescent="0.25">
      <c r="A2450" t="s">
        <v>2454</v>
      </c>
      <c r="B2450">
        <v>0.995954080203443</v>
      </c>
      <c r="C2450">
        <v>0.78894610883055905</v>
      </c>
      <c r="D2450">
        <v>0.47398463672891999</v>
      </c>
      <c r="E2450">
        <v>0.31799850466627499</v>
      </c>
      <c r="F2450">
        <v>0.18191139273728699</v>
      </c>
      <c r="G2450">
        <v>0.1092801178293</v>
      </c>
      <c r="H2450">
        <v>7.8507780244554196E-2</v>
      </c>
      <c r="I2450">
        <v>7.4809887513930196E-2</v>
      </c>
      <c r="J2450">
        <v>8.8872116111250801E-2</v>
      </c>
      <c r="K2450">
        <v>8.8687244648359906E-2</v>
      </c>
      <c r="L2450">
        <v>782.55544958044595</v>
      </c>
      <c r="M2450">
        <v>17.054989693839001</v>
      </c>
      <c r="N2450">
        <v>46.377438887210197</v>
      </c>
      <c r="O2450">
        <v>45.2673554110998</v>
      </c>
      <c r="P2450">
        <v>-8.6383921826435103E-2</v>
      </c>
      <c r="Q2450">
        <v>8.2935101925675006E-2</v>
      </c>
      <c r="R2450">
        <v>0.98858020443630301</v>
      </c>
      <c r="S2450" t="s">
        <v>9256</v>
      </c>
      <c r="T2450" t="s">
        <v>13610</v>
      </c>
      <c r="U2450" t="s">
        <v>13610</v>
      </c>
      <c r="V2450" t="s">
        <v>13610</v>
      </c>
      <c r="W2450" t="s">
        <v>16010</v>
      </c>
      <c r="X2450">
        <v>3</v>
      </c>
      <c r="Y2450" t="s">
        <v>22669</v>
      </c>
      <c r="Z2450" t="s">
        <v>29305</v>
      </c>
      <c r="AA2450">
        <v>0.28330063413363749</v>
      </c>
      <c r="AB2450" t="str">
        <f>HYPERLINK("Melting_Curves/meltCurve_P43356_MAGEA2.pdf", "Melting_Curves/meltCurve_P43356_MAGEA2.pdf")</f>
        <v>Melting_Curves/meltCurve_P43356_MAGEA2.pdf</v>
      </c>
    </row>
    <row r="2451" spans="1:28" x14ac:dyDescent="0.25">
      <c r="A2451" t="s">
        <v>2455</v>
      </c>
      <c r="B2451">
        <v>0.995954080203443</v>
      </c>
      <c r="C2451">
        <v>1.06937725854204</v>
      </c>
      <c r="D2451">
        <v>1.25484687499657</v>
      </c>
      <c r="E2451">
        <v>0.71775327248454501</v>
      </c>
      <c r="F2451">
        <v>0.35923390998997301</v>
      </c>
      <c r="G2451">
        <v>0.23810675525997499</v>
      </c>
      <c r="H2451">
        <v>0.16482729381835601</v>
      </c>
      <c r="I2451">
        <v>0.106603466633357</v>
      </c>
      <c r="J2451">
        <v>7.2165290979835497E-2</v>
      </c>
      <c r="K2451">
        <v>6.5016021808635902E-2</v>
      </c>
      <c r="L2451">
        <v>1754.27402856353</v>
      </c>
      <c r="M2451">
        <v>34.105521762175698</v>
      </c>
      <c r="N2451">
        <v>51.856382701091299</v>
      </c>
      <c r="O2451">
        <v>51.260798340920701</v>
      </c>
      <c r="P2451">
        <v>-0.146273091199423</v>
      </c>
      <c r="Q2451">
        <v>0.120606471525075</v>
      </c>
      <c r="R2451">
        <v>0.95056728263225398</v>
      </c>
      <c r="S2451" t="s">
        <v>9257</v>
      </c>
      <c r="T2451" t="s">
        <v>13610</v>
      </c>
      <c r="U2451" t="s">
        <v>13610</v>
      </c>
      <c r="V2451" t="s">
        <v>13610</v>
      </c>
      <c r="W2451" t="s">
        <v>16011</v>
      </c>
      <c r="X2451">
        <v>10</v>
      </c>
      <c r="Y2451" t="s">
        <v>22670</v>
      </c>
      <c r="Z2451" t="s">
        <v>29306</v>
      </c>
      <c r="AA2451">
        <v>0.46015803680942358</v>
      </c>
      <c r="AB2451" t="str">
        <f>HYPERLINK("Melting_Curves/meltCurve_P43358_MAGEA4.pdf", "Melting_Curves/meltCurve_P43358_MAGEA4.pdf")</f>
        <v>Melting_Curves/meltCurve_P43358_MAGEA4.pdf</v>
      </c>
    </row>
    <row r="2452" spans="1:28" x14ac:dyDescent="0.25">
      <c r="A2452" t="s">
        <v>2456</v>
      </c>
      <c r="B2452">
        <v>0.995954080203443</v>
      </c>
      <c r="C2452">
        <v>0.55646983373299996</v>
      </c>
      <c r="D2452">
        <v>0.27336652820448498</v>
      </c>
      <c r="E2452">
        <v>0.25003398250671999</v>
      </c>
      <c r="F2452">
        <v>0.12976964763768301</v>
      </c>
      <c r="G2452">
        <v>7.0892725391654796E-2</v>
      </c>
      <c r="H2452">
        <v>5.1722667674745398E-2</v>
      </c>
      <c r="I2452">
        <v>4.4941874476738697E-2</v>
      </c>
      <c r="J2452">
        <v>6.2536175444316597E-2</v>
      </c>
      <c r="K2452">
        <v>3.9582726138612599E-2</v>
      </c>
      <c r="L2452">
        <v>1009.8247977703101</v>
      </c>
      <c r="M2452">
        <v>23.203606499545</v>
      </c>
      <c r="N2452">
        <v>43.848095900717503</v>
      </c>
      <c r="O2452">
        <v>43.2007888754774</v>
      </c>
      <c r="P2452">
        <v>-0.12358399689477501</v>
      </c>
      <c r="Q2452">
        <v>7.9655224431259303E-2</v>
      </c>
      <c r="R2452">
        <v>0.95848575184120599</v>
      </c>
      <c r="S2452" t="s">
        <v>9258</v>
      </c>
      <c r="T2452" t="s">
        <v>13610</v>
      </c>
      <c r="U2452" t="s">
        <v>13610</v>
      </c>
      <c r="V2452" t="s">
        <v>13610</v>
      </c>
      <c r="W2452" t="s">
        <v>16012</v>
      </c>
      <c r="X2452">
        <v>8</v>
      </c>
      <c r="Y2452" t="s">
        <v>22671</v>
      </c>
      <c r="Z2452" t="s">
        <v>29307</v>
      </c>
      <c r="AA2452">
        <v>0.20149842068550911</v>
      </c>
      <c r="AB2452" t="str">
        <f>HYPERLINK("Melting_Curves/meltCurve_P43405_2_SYK.pdf", "Melting_Curves/meltCurve_P43405_2_SYK.pdf")</f>
        <v>Melting_Curves/meltCurve_P43405_2_SYK.pdf</v>
      </c>
    </row>
    <row r="2453" spans="1:28" x14ac:dyDescent="0.25">
      <c r="A2453" t="s">
        <v>2457</v>
      </c>
      <c r="B2453">
        <v>0.995954080203443</v>
      </c>
      <c r="C2453">
        <v>0.94639713546859605</v>
      </c>
      <c r="D2453">
        <v>0.91556512830939996</v>
      </c>
      <c r="E2453">
        <v>0.76884056577010496</v>
      </c>
      <c r="F2453">
        <v>0.633669344467929</v>
      </c>
      <c r="G2453">
        <v>0.41302307711567099</v>
      </c>
      <c r="H2453">
        <v>0.35642509981910397</v>
      </c>
      <c r="I2453">
        <v>0.372632922828534</v>
      </c>
      <c r="J2453">
        <v>0.71386745839797505</v>
      </c>
      <c r="K2453">
        <v>0.46165162622136302</v>
      </c>
      <c r="L2453">
        <v>1223.98711464593</v>
      </c>
      <c r="M2453">
        <v>24.253830159128199</v>
      </c>
      <c r="N2453">
        <v>56.4859774969892</v>
      </c>
      <c r="O2453">
        <v>50.126405248117798</v>
      </c>
      <c r="P2453">
        <v>-6.5042942941692106E-2</v>
      </c>
      <c r="Q2453">
        <v>0.46230028172974702</v>
      </c>
      <c r="R2453">
        <v>0.82531135646273801</v>
      </c>
      <c r="S2453" t="s">
        <v>9259</v>
      </c>
      <c r="T2453" t="s">
        <v>13610</v>
      </c>
      <c r="U2453" t="s">
        <v>13610</v>
      </c>
      <c r="V2453" t="s">
        <v>13610</v>
      </c>
      <c r="W2453" t="s">
        <v>16013</v>
      </c>
      <c r="X2453">
        <v>19</v>
      </c>
      <c r="Y2453" t="s">
        <v>21193</v>
      </c>
      <c r="Z2453" t="s">
        <v>29308</v>
      </c>
      <c r="AA2453">
        <v>0.65500991817010845</v>
      </c>
      <c r="AB2453" t="str">
        <f>HYPERLINK("Melting_Curves/meltCurve_P43487_RANBP1.pdf", "Melting_Curves/meltCurve_P43487_RANBP1.pdf")</f>
        <v>Melting_Curves/meltCurve_P43487_RANBP1.pdf</v>
      </c>
    </row>
    <row r="2454" spans="1:28" x14ac:dyDescent="0.25">
      <c r="A2454" t="s">
        <v>2458</v>
      </c>
      <c r="B2454">
        <v>0.995954080203443</v>
      </c>
      <c r="C2454">
        <v>0.82692321314114303</v>
      </c>
      <c r="D2454">
        <v>0.76199413423679696</v>
      </c>
      <c r="E2454">
        <v>0.77992970321375099</v>
      </c>
      <c r="F2454">
        <v>0.66274095209622097</v>
      </c>
      <c r="G2454">
        <v>0.38386801726102499</v>
      </c>
      <c r="H2454">
        <v>8.8124349444731506E-2</v>
      </c>
      <c r="I2454">
        <v>5.5863557391984897E-2</v>
      </c>
      <c r="J2454">
        <v>5.4227731595713299E-2</v>
      </c>
      <c r="K2454">
        <v>5.0541251441369797E-2</v>
      </c>
      <c r="L2454">
        <v>718.47836753847196</v>
      </c>
      <c r="M2454">
        <v>13.267653389727901</v>
      </c>
      <c r="N2454">
        <v>54.152633496996401</v>
      </c>
      <c r="O2454">
        <v>52.966779851412902</v>
      </c>
      <c r="P2454">
        <v>-6.2632758250282305E-2</v>
      </c>
      <c r="Q2454">
        <v>0</v>
      </c>
      <c r="R2454">
        <v>0.94794285513447396</v>
      </c>
      <c r="S2454" t="s">
        <v>9260</v>
      </c>
      <c r="T2454" t="s">
        <v>13610</v>
      </c>
      <c r="U2454" t="s">
        <v>13610</v>
      </c>
      <c r="V2454" t="s">
        <v>13610</v>
      </c>
      <c r="W2454" t="s">
        <v>16014</v>
      </c>
      <c r="X2454">
        <v>26</v>
      </c>
      <c r="Y2454" t="s">
        <v>22672</v>
      </c>
      <c r="Z2454" t="s">
        <v>29309</v>
      </c>
      <c r="AA2454">
        <v>0.49511443619029027</v>
      </c>
      <c r="AB2454" t="str">
        <f>HYPERLINK("Melting_Curves/meltCurve_P43490_NAMPT.pdf", "Melting_Curves/meltCurve_P43490_NAMPT.pdf")</f>
        <v>Melting_Curves/meltCurve_P43490_NAMPT.pdf</v>
      </c>
    </row>
    <row r="2455" spans="1:28" x14ac:dyDescent="0.25">
      <c r="A2455" t="s">
        <v>2459</v>
      </c>
      <c r="B2455">
        <v>0.995954080203443</v>
      </c>
      <c r="C2455">
        <v>0.59734711085101599</v>
      </c>
      <c r="D2455">
        <v>0.34451175697390601</v>
      </c>
      <c r="E2455">
        <v>0.47915124701196599</v>
      </c>
      <c r="F2455">
        <v>0.17787647442589199</v>
      </c>
      <c r="G2455">
        <v>9.2648047736039504E-2</v>
      </c>
      <c r="H2455">
        <v>5.61567764763507E-2</v>
      </c>
      <c r="I2455">
        <v>4.8723692659188397E-2</v>
      </c>
      <c r="J2455">
        <v>5.45979011038479E-2</v>
      </c>
      <c r="K2455">
        <v>4.8013697866462798E-2</v>
      </c>
      <c r="L2455">
        <v>523.64379816758606</v>
      </c>
      <c r="M2455">
        <v>11.489793863754899</v>
      </c>
      <c r="N2455">
        <v>45.810666249797897</v>
      </c>
      <c r="O2455">
        <v>44.259700457367998</v>
      </c>
      <c r="P2455">
        <v>-6.3052831305597204E-2</v>
      </c>
      <c r="Q2455">
        <v>2.8736408373789098E-2</v>
      </c>
      <c r="R2455">
        <v>0.89936342317495999</v>
      </c>
      <c r="S2455" t="s">
        <v>9261</v>
      </c>
      <c r="T2455" t="s">
        <v>13610</v>
      </c>
      <c r="U2455" t="s">
        <v>13610</v>
      </c>
      <c r="V2455" t="s">
        <v>13610</v>
      </c>
      <c r="W2455" t="s">
        <v>16015</v>
      </c>
      <c r="X2455">
        <v>27</v>
      </c>
      <c r="Y2455" t="s">
        <v>22673</v>
      </c>
      <c r="Z2455" t="s">
        <v>29310</v>
      </c>
      <c r="AA2455">
        <v>0.25893515173998871</v>
      </c>
      <c r="AB2455" t="str">
        <f>HYPERLINK("Melting_Curves/meltCurve_P43686_PSMC4.pdf", "Melting_Curves/meltCurve_P43686_PSMC4.pdf")</f>
        <v>Melting_Curves/meltCurve_P43686_PSMC4.pdf</v>
      </c>
    </row>
    <row r="2456" spans="1:28" x14ac:dyDescent="0.25">
      <c r="A2456" t="s">
        <v>2460</v>
      </c>
      <c r="B2456">
        <v>0.995954080203443</v>
      </c>
      <c r="C2456">
        <v>0.81239390081265295</v>
      </c>
      <c r="D2456">
        <v>0.36667163916823198</v>
      </c>
      <c r="E2456">
        <v>0.24335280948758001</v>
      </c>
      <c r="F2456">
        <v>0.15306586465862901</v>
      </c>
      <c r="G2456">
        <v>8.8263439710668495E-2</v>
      </c>
      <c r="H2456">
        <v>5.9214648984694702E-2</v>
      </c>
      <c r="I2456">
        <v>5.7595337073029003E-2</v>
      </c>
      <c r="J2456">
        <v>6.0740163793737097E-2</v>
      </c>
      <c r="K2456">
        <v>5.8898373172934997E-2</v>
      </c>
      <c r="L2456">
        <v>1058.0083509431299</v>
      </c>
      <c r="M2456">
        <v>23.488034273479201</v>
      </c>
      <c r="N2456">
        <v>45.3842088403253</v>
      </c>
      <c r="O2456">
        <v>44.7218738932091</v>
      </c>
      <c r="P2456">
        <v>-0.12072064259743399</v>
      </c>
      <c r="Q2456">
        <v>8.0594092685847704E-2</v>
      </c>
      <c r="R2456">
        <v>0.98352775461536301</v>
      </c>
      <c r="S2456" t="s">
        <v>9262</v>
      </c>
      <c r="T2456" t="s">
        <v>13610</v>
      </c>
      <c r="U2456" t="s">
        <v>13610</v>
      </c>
      <c r="V2456" t="s">
        <v>13610</v>
      </c>
      <c r="W2456" t="s">
        <v>16016</v>
      </c>
      <c r="X2456">
        <v>9</v>
      </c>
      <c r="Y2456" t="s">
        <v>22674</v>
      </c>
      <c r="Z2456" t="s">
        <v>29311</v>
      </c>
      <c r="AA2456">
        <v>0.24578281911135069</v>
      </c>
      <c r="AB2456" t="str">
        <f>HYPERLINK("Melting_Curves/meltCurve_P43897_TSFM.pdf", "Melting_Curves/meltCurve_P43897_TSFM.pdf")</f>
        <v>Melting_Curves/meltCurve_P43897_TSFM.pdf</v>
      </c>
    </row>
    <row r="2457" spans="1:28" x14ac:dyDescent="0.25">
      <c r="A2457" t="s">
        <v>2461</v>
      </c>
      <c r="B2457">
        <v>0.995954080203443</v>
      </c>
      <c r="C2457">
        <v>0.91258930150524298</v>
      </c>
      <c r="D2457">
        <v>0.70117642059061702</v>
      </c>
      <c r="E2457">
        <v>0.891884134633946</v>
      </c>
      <c r="F2457">
        <v>0.29544441349463801</v>
      </c>
      <c r="G2457">
        <v>0.10489984627269699</v>
      </c>
      <c r="H2457">
        <v>6.34193972951686E-2</v>
      </c>
      <c r="I2457">
        <v>6.0436915805148303E-2</v>
      </c>
      <c r="J2457">
        <v>6.56510939594806E-2</v>
      </c>
      <c r="K2457">
        <v>6.3949993093507698E-2</v>
      </c>
      <c r="L2457">
        <v>2650.5152684831</v>
      </c>
      <c r="M2457">
        <v>51.106306154274897</v>
      </c>
      <c r="N2457">
        <v>52.013739713156397</v>
      </c>
      <c r="O2457">
        <v>51.783558246607797</v>
      </c>
      <c r="P2457">
        <v>-0.229724977407435</v>
      </c>
      <c r="Q2457">
        <v>6.89237066996818E-2</v>
      </c>
      <c r="R2457">
        <v>0.93518445879524104</v>
      </c>
      <c r="S2457" t="s">
        <v>9263</v>
      </c>
      <c r="T2457" t="s">
        <v>13610</v>
      </c>
      <c r="U2457" t="s">
        <v>13610</v>
      </c>
      <c r="V2457" t="s">
        <v>13610</v>
      </c>
      <c r="W2457" t="s">
        <v>16017</v>
      </c>
      <c r="X2457">
        <v>12</v>
      </c>
      <c r="Y2457" t="s">
        <v>22675</v>
      </c>
      <c r="Z2457" t="s">
        <v>29312</v>
      </c>
      <c r="AA2457">
        <v>0.43913377578021018</v>
      </c>
      <c r="AB2457" t="str">
        <f>HYPERLINK("Melting_Curves/meltCurve_P45880_VDAC2.pdf", "Melting_Curves/meltCurve_P45880_VDAC2.pdf")</f>
        <v>Melting_Curves/meltCurve_P45880_VDAC2.pdf</v>
      </c>
    </row>
    <row r="2458" spans="1:28" x14ac:dyDescent="0.25">
      <c r="A2458" t="s">
        <v>2462</v>
      </c>
      <c r="B2458">
        <v>0.995954080203443</v>
      </c>
      <c r="C2458">
        <v>1.01226628190373</v>
      </c>
      <c r="D2458">
        <v>0.93669038963059204</v>
      </c>
      <c r="E2458">
        <v>0.818994938588535</v>
      </c>
      <c r="F2458">
        <v>0.588759443641656</v>
      </c>
      <c r="G2458">
        <v>0.36486791049319101</v>
      </c>
      <c r="H2458">
        <v>0.25542265178446899</v>
      </c>
      <c r="I2458">
        <v>0.26210158176773002</v>
      </c>
      <c r="J2458">
        <v>0.32900467286702401</v>
      </c>
      <c r="K2458">
        <v>0.31437479822654202</v>
      </c>
      <c r="L2458">
        <v>1277.6858276395101</v>
      </c>
      <c r="M2458">
        <v>24.468992543948001</v>
      </c>
      <c r="N2458">
        <v>54.067072908054897</v>
      </c>
      <c r="O2458">
        <v>51.871518808412397</v>
      </c>
      <c r="P2458">
        <v>-8.4486231171960705E-2</v>
      </c>
      <c r="Q2458">
        <v>0.28360521603101801</v>
      </c>
      <c r="R2458">
        <v>0.99171915992672899</v>
      </c>
      <c r="S2458" t="s">
        <v>9264</v>
      </c>
      <c r="T2458" t="s">
        <v>13610</v>
      </c>
      <c r="U2458" t="s">
        <v>13610</v>
      </c>
      <c r="V2458" t="s">
        <v>13610</v>
      </c>
      <c r="W2458" t="s">
        <v>16018</v>
      </c>
      <c r="X2458">
        <v>14</v>
      </c>
      <c r="Y2458" t="s">
        <v>22676</v>
      </c>
      <c r="Z2458" t="s">
        <v>29313</v>
      </c>
      <c r="AA2458">
        <v>0.5821615680659018</v>
      </c>
      <c r="AB2458" t="str">
        <f>HYPERLINK("Melting_Curves/meltCurve_P45973_CBX5.pdf", "Melting_Curves/meltCurve_P45973_CBX5.pdf")</f>
        <v>Melting_Curves/meltCurve_P45973_CBX5.pdf</v>
      </c>
    </row>
    <row r="2459" spans="1:28" x14ac:dyDescent="0.25">
      <c r="A2459" t="s">
        <v>2463</v>
      </c>
      <c r="B2459">
        <v>0.995954080203443</v>
      </c>
      <c r="C2459">
        <v>0.98796124092151905</v>
      </c>
      <c r="D2459">
        <v>0.95143575871089003</v>
      </c>
      <c r="E2459">
        <v>0.82940521984839399</v>
      </c>
      <c r="F2459">
        <v>0.55332099122026102</v>
      </c>
      <c r="G2459">
        <v>0.193585011835542</v>
      </c>
      <c r="H2459">
        <v>9.2245048067449306E-2</v>
      </c>
      <c r="I2459">
        <v>7.5633410607357801E-2</v>
      </c>
      <c r="J2459">
        <v>8.1336611276300597E-2</v>
      </c>
      <c r="K2459">
        <v>7.3256458461671101E-2</v>
      </c>
      <c r="L2459">
        <v>1329.88818747493</v>
      </c>
      <c r="M2459">
        <v>25.0603147789232</v>
      </c>
      <c r="N2459">
        <v>53.366705386603002</v>
      </c>
      <c r="O2459">
        <v>52.733043625002203</v>
      </c>
      <c r="P2459">
        <v>-0.111022293023053</v>
      </c>
      <c r="Q2459">
        <v>6.5540011181567201E-2</v>
      </c>
      <c r="R2459">
        <v>0.99903951038935301</v>
      </c>
      <c r="S2459" t="s">
        <v>9265</v>
      </c>
      <c r="T2459" t="s">
        <v>13610</v>
      </c>
      <c r="U2459" t="s">
        <v>13610</v>
      </c>
      <c r="V2459" t="s">
        <v>13610</v>
      </c>
      <c r="W2459" t="s">
        <v>16019</v>
      </c>
      <c r="X2459">
        <v>37</v>
      </c>
      <c r="Y2459" t="s">
        <v>22677</v>
      </c>
      <c r="Z2459" t="s">
        <v>29314</v>
      </c>
      <c r="AA2459">
        <v>0.48114410762886889</v>
      </c>
      <c r="AB2459" t="str">
        <f>HYPERLINK("Melting_Curves/meltCurve_P45974_2_USP5.pdf", "Melting_Curves/meltCurve_P45974_2_USP5.pdf")</f>
        <v>Melting_Curves/meltCurve_P45974_2_USP5.pdf</v>
      </c>
    </row>
    <row r="2460" spans="1:28" x14ac:dyDescent="0.25">
      <c r="A2460" t="s">
        <v>2464</v>
      </c>
      <c r="B2460">
        <v>0.995954080203443</v>
      </c>
      <c r="C2460">
        <v>0.77367323735329696</v>
      </c>
      <c r="D2460">
        <v>0.370505482035488</v>
      </c>
      <c r="E2460">
        <v>0.29366588592186299</v>
      </c>
      <c r="F2460">
        <v>0.150649208291672</v>
      </c>
      <c r="G2460">
        <v>8.1204885959254902E-2</v>
      </c>
      <c r="H2460">
        <v>5.4820356098197097E-2</v>
      </c>
      <c r="I2460">
        <v>4.73882699930721E-2</v>
      </c>
      <c r="J2460">
        <v>5.80190713130668E-2</v>
      </c>
      <c r="K2460">
        <v>4.4178802530824901E-2</v>
      </c>
      <c r="L2460">
        <v>841.92620068418501</v>
      </c>
      <c r="M2460">
        <v>18.602164927095298</v>
      </c>
      <c r="N2460">
        <v>45.591441247141198</v>
      </c>
      <c r="O2460">
        <v>44.746273610954297</v>
      </c>
      <c r="P2460">
        <v>-9.7354482335741205E-2</v>
      </c>
      <c r="Q2460">
        <v>6.3321644298926394E-2</v>
      </c>
      <c r="R2460">
        <v>0.97619503558924903</v>
      </c>
      <c r="S2460" t="s">
        <v>9266</v>
      </c>
      <c r="T2460" t="s">
        <v>13610</v>
      </c>
      <c r="U2460" t="s">
        <v>13610</v>
      </c>
      <c r="V2460" t="s">
        <v>13610</v>
      </c>
      <c r="W2460" t="s">
        <v>16020</v>
      </c>
      <c r="X2460">
        <v>10</v>
      </c>
      <c r="Y2460" t="s">
        <v>22678</v>
      </c>
      <c r="Z2460" t="s">
        <v>29315</v>
      </c>
      <c r="AA2460">
        <v>0.2457679623112807</v>
      </c>
      <c r="AB2460" t="str">
        <f>HYPERLINK("Melting_Curves/meltCurve_P45983_3_MAPK8.pdf", "Melting_Curves/meltCurve_P45983_3_MAPK8.pdf")</f>
        <v>Melting_Curves/meltCurve_P45983_3_MAPK8.pdf</v>
      </c>
    </row>
    <row r="2461" spans="1:28" x14ac:dyDescent="0.25">
      <c r="A2461" t="s">
        <v>2465</v>
      </c>
      <c r="B2461">
        <v>0.995954080203443</v>
      </c>
      <c r="C2461">
        <v>1.03273503302287</v>
      </c>
      <c r="D2461">
        <v>0.92825473852073004</v>
      </c>
      <c r="E2461">
        <v>0.83343793520960496</v>
      </c>
      <c r="F2461">
        <v>0.43064269378273901</v>
      </c>
      <c r="G2461">
        <v>0.17201378242707999</v>
      </c>
      <c r="H2461">
        <v>9.7216746799730996E-2</v>
      </c>
      <c r="I2461">
        <v>8.1736297114626794E-2</v>
      </c>
      <c r="J2461">
        <v>9.8115571041801297E-2</v>
      </c>
      <c r="K2461">
        <v>8.3524512730041606E-2</v>
      </c>
      <c r="L2461">
        <v>1587.1041517947599</v>
      </c>
      <c r="M2461">
        <v>30.386315822227601</v>
      </c>
      <c r="N2461">
        <v>52.5682457572141</v>
      </c>
      <c r="O2461">
        <v>52.006234405078501</v>
      </c>
      <c r="P2461">
        <v>-0.13313231279083201</v>
      </c>
      <c r="Q2461">
        <v>8.8580900886596606E-2</v>
      </c>
      <c r="R2461">
        <v>0.99653169376015005</v>
      </c>
      <c r="S2461" t="s">
        <v>9267</v>
      </c>
      <c r="T2461" t="s">
        <v>13610</v>
      </c>
      <c r="U2461" t="s">
        <v>13610</v>
      </c>
      <c r="V2461" t="s">
        <v>13610</v>
      </c>
      <c r="W2461" t="s">
        <v>16021</v>
      </c>
      <c r="X2461">
        <v>11</v>
      </c>
      <c r="Y2461" t="s">
        <v>22679</v>
      </c>
      <c r="Z2461" t="s">
        <v>29316</v>
      </c>
      <c r="AA2461">
        <v>0.46586099951465548</v>
      </c>
      <c r="AB2461" t="str">
        <f>HYPERLINK("Melting_Curves/meltCurve_P45984_2_MAPK9.pdf", "Melting_Curves/meltCurve_P45984_2_MAPK9.pdf")</f>
        <v>Melting_Curves/meltCurve_P45984_2_MAPK9.pdf</v>
      </c>
    </row>
    <row r="2462" spans="1:28" x14ac:dyDescent="0.25">
      <c r="A2462" t="s">
        <v>2466</v>
      </c>
      <c r="B2462">
        <v>0.995954080203443</v>
      </c>
      <c r="C2462">
        <v>0.98844240102138203</v>
      </c>
      <c r="D2462">
        <v>0.81461052947077295</v>
      </c>
      <c r="E2462">
        <v>0.38745327748847203</v>
      </c>
      <c r="F2462">
        <v>0.17189716344867301</v>
      </c>
      <c r="G2462">
        <v>0.108421536546006</v>
      </c>
      <c r="H2462">
        <v>6.6452902483445805E-2</v>
      </c>
      <c r="I2462">
        <v>5.4421864163333597E-2</v>
      </c>
      <c r="J2462">
        <v>6.5669116486639506E-2</v>
      </c>
      <c r="K2462">
        <v>5.2574046704076803E-2</v>
      </c>
      <c r="L2462">
        <v>1191.75526271473</v>
      </c>
      <c r="M2462">
        <v>24.4656209608832</v>
      </c>
      <c r="N2462">
        <v>48.973264566902103</v>
      </c>
      <c r="O2462">
        <v>48.389466574860599</v>
      </c>
      <c r="P2462">
        <v>-0.118652097085871</v>
      </c>
      <c r="Q2462">
        <v>6.1306528409368101E-2</v>
      </c>
      <c r="R2462">
        <v>0.99922249636738902</v>
      </c>
      <c r="S2462" t="s">
        <v>9268</v>
      </c>
      <c r="T2462" t="s">
        <v>13610</v>
      </c>
      <c r="U2462" t="s">
        <v>13610</v>
      </c>
      <c r="V2462" t="s">
        <v>13610</v>
      </c>
      <c r="W2462" t="s">
        <v>16022</v>
      </c>
      <c r="X2462">
        <v>16</v>
      </c>
      <c r="Y2462" t="s">
        <v>22680</v>
      </c>
      <c r="Z2462" t="s">
        <v>29317</v>
      </c>
      <c r="AA2462">
        <v>0.34257138123263581</v>
      </c>
      <c r="AB2462" t="str">
        <f>HYPERLINK("Melting_Curves/meltCurve_P45985_MAP2K4.pdf", "Melting_Curves/meltCurve_P45985_MAP2K4.pdf")</f>
        <v>Melting_Curves/meltCurve_P45985_MAP2K4.pdf</v>
      </c>
    </row>
    <row r="2463" spans="1:28" x14ac:dyDescent="0.25">
      <c r="A2463" t="s">
        <v>2467</v>
      </c>
      <c r="B2463">
        <v>0.995954080203443</v>
      </c>
      <c r="C2463">
        <v>0.99152656887849699</v>
      </c>
      <c r="D2463">
        <v>1.0369247480961401</v>
      </c>
      <c r="E2463">
        <v>0.91278499574000205</v>
      </c>
      <c r="F2463">
        <v>0.92949446893322596</v>
      </c>
      <c r="G2463">
        <v>0.72671854389362001</v>
      </c>
      <c r="H2463">
        <v>0.71134459195476496</v>
      </c>
      <c r="I2463">
        <v>0.86403067434355396</v>
      </c>
      <c r="J2463">
        <v>1.00350605599113</v>
      </c>
      <c r="K2463">
        <v>1.02702910185519</v>
      </c>
      <c r="L2463">
        <v>2512.3842845856102</v>
      </c>
      <c r="M2463">
        <v>50.747889356906697</v>
      </c>
      <c r="O2463">
        <v>49.430473169378203</v>
      </c>
      <c r="P2463">
        <v>-3.2036843617161803E-2</v>
      </c>
      <c r="Q2463">
        <v>0.87517943545618004</v>
      </c>
      <c r="R2463">
        <v>0.26998247703661099</v>
      </c>
      <c r="S2463" t="s">
        <v>9269</v>
      </c>
      <c r="T2463" t="s">
        <v>13610</v>
      </c>
      <c r="U2463" t="s">
        <v>13610</v>
      </c>
      <c r="V2463" t="s">
        <v>13610</v>
      </c>
      <c r="W2463" t="s">
        <v>16023</v>
      </c>
      <c r="X2463">
        <v>141</v>
      </c>
      <c r="Y2463" t="s">
        <v>22681</v>
      </c>
      <c r="Z2463" t="s">
        <v>29318</v>
      </c>
      <c r="AA2463">
        <v>0.91500034559362409</v>
      </c>
      <c r="AB2463" t="str">
        <f>HYPERLINK("Melting_Curves/meltCurve_P46013_MKI67.pdf", "Melting_Curves/meltCurve_P46013_MKI67.pdf")</f>
        <v>Melting_Curves/meltCurve_P46013_MKI67.pdf</v>
      </c>
    </row>
    <row r="2464" spans="1:28" x14ac:dyDescent="0.25">
      <c r="A2464" t="s">
        <v>2468</v>
      </c>
      <c r="B2464">
        <v>0.995954080203443</v>
      </c>
      <c r="C2464">
        <v>0.88563462949933203</v>
      </c>
      <c r="D2464">
        <v>0.68770217310637705</v>
      </c>
      <c r="E2464">
        <v>0.63885243012062798</v>
      </c>
      <c r="F2464">
        <v>0.44324518815868802</v>
      </c>
      <c r="G2464">
        <v>0.239748445148947</v>
      </c>
      <c r="H2464">
        <v>0.12741083487067401</v>
      </c>
      <c r="I2464">
        <v>0.15270834801698199</v>
      </c>
      <c r="J2464">
        <v>0.12811936911598701</v>
      </c>
      <c r="K2464">
        <v>0.16414585394602199</v>
      </c>
      <c r="L2464">
        <v>575.87987263217303</v>
      </c>
      <c r="M2464">
        <v>11.4054292697723</v>
      </c>
      <c r="N2464">
        <v>51.234549411868699</v>
      </c>
      <c r="O2464">
        <v>49.014290359385299</v>
      </c>
      <c r="P2464">
        <v>-5.3756571489639603E-2</v>
      </c>
      <c r="Q2464">
        <v>7.6205824245370604E-2</v>
      </c>
      <c r="R2464">
        <v>0.97737656448406496</v>
      </c>
      <c r="S2464" t="s">
        <v>9270</v>
      </c>
      <c r="T2464" t="s">
        <v>13610</v>
      </c>
      <c r="U2464" t="s">
        <v>13610</v>
      </c>
      <c r="V2464" t="s">
        <v>13610</v>
      </c>
      <c r="W2464" t="s">
        <v>16024</v>
      </c>
      <c r="X2464">
        <v>2</v>
      </c>
      <c r="Y2464" t="s">
        <v>22682</v>
      </c>
      <c r="Z2464" t="s">
        <v>29319</v>
      </c>
      <c r="AA2464">
        <v>0.43275590032873501</v>
      </c>
      <c r="AB2464" t="str">
        <f>HYPERLINK("Melting_Curves/meltCurve_P46019_PHKA2.pdf", "Melting_Curves/meltCurve_P46019_PHKA2.pdf")</f>
        <v>Melting_Curves/meltCurve_P46019_PHKA2.pdf</v>
      </c>
    </row>
    <row r="2465" spans="1:28" x14ac:dyDescent="0.25">
      <c r="A2465" t="s">
        <v>2469</v>
      </c>
      <c r="B2465">
        <v>0.995954080203443</v>
      </c>
      <c r="C2465">
        <v>0.76679443089173605</v>
      </c>
      <c r="D2465">
        <v>0.49427516550117401</v>
      </c>
      <c r="E2465">
        <v>0.45597784345326597</v>
      </c>
      <c r="F2465">
        <v>0.27548696830594199</v>
      </c>
      <c r="G2465">
        <v>0.11522112943320501</v>
      </c>
      <c r="H2465">
        <v>6.7924368641489805E-2</v>
      </c>
      <c r="I2465">
        <v>6.0984764879920703E-2</v>
      </c>
      <c r="J2465">
        <v>6.1772218018514402E-2</v>
      </c>
      <c r="K2465">
        <v>6.2472076809233397E-2</v>
      </c>
      <c r="L2465">
        <v>550.40053299565398</v>
      </c>
      <c r="M2465">
        <v>11.5964248240945</v>
      </c>
      <c r="N2465">
        <v>47.663998523397801</v>
      </c>
      <c r="O2465">
        <v>46.117394122475801</v>
      </c>
      <c r="P2465">
        <v>-6.1380082427535898E-2</v>
      </c>
      <c r="Q2465">
        <v>2.38679082667256E-2</v>
      </c>
      <c r="R2465">
        <v>0.96971059995960296</v>
      </c>
      <c r="S2465" t="s">
        <v>9271</v>
      </c>
      <c r="T2465" t="s">
        <v>13610</v>
      </c>
      <c r="U2465" t="s">
        <v>13610</v>
      </c>
      <c r="V2465" t="s">
        <v>13610</v>
      </c>
      <c r="W2465" t="s">
        <v>16025</v>
      </c>
      <c r="X2465">
        <v>5</v>
      </c>
      <c r="Y2465" t="s">
        <v>22683</v>
      </c>
      <c r="Z2465" t="s">
        <v>29320</v>
      </c>
      <c r="AA2465">
        <v>0.30881425825010073</v>
      </c>
      <c r="AB2465" t="str">
        <f>HYPERLINK("Melting_Curves/meltCurve_P46020_3_PHKA1.pdf", "Melting_Curves/meltCurve_P46020_3_PHKA1.pdf")</f>
        <v>Melting_Curves/meltCurve_P46020_3_PHKA1.pdf</v>
      </c>
    </row>
    <row r="2466" spans="1:28" x14ac:dyDescent="0.25">
      <c r="A2466" t="s">
        <v>2470</v>
      </c>
      <c r="B2466">
        <v>0.995954080203443</v>
      </c>
      <c r="C2466">
        <v>0.97420414114693599</v>
      </c>
      <c r="D2466">
        <v>1.03781742377999</v>
      </c>
      <c r="E2466">
        <v>0.78156011458756802</v>
      </c>
      <c r="F2466">
        <v>0.39857706827295097</v>
      </c>
      <c r="G2466">
        <v>0.14615139862992199</v>
      </c>
      <c r="H2466">
        <v>8.8288632798384906E-2</v>
      </c>
      <c r="I2466">
        <v>7.6370503512533397E-2</v>
      </c>
      <c r="J2466">
        <v>7.9033060438820302E-2</v>
      </c>
      <c r="K2466">
        <v>7.4103362339804094E-2</v>
      </c>
      <c r="L2466">
        <v>1627.36271683223</v>
      </c>
      <c r="M2466">
        <v>31.332613341594399</v>
      </c>
      <c r="N2466">
        <v>52.225476965147799</v>
      </c>
      <c r="O2466">
        <v>51.7280851088194</v>
      </c>
      <c r="P2466">
        <v>-0.13944652999891999</v>
      </c>
      <c r="Q2466">
        <v>7.9136410948601105E-2</v>
      </c>
      <c r="R2466">
        <v>0.99772890058344299</v>
      </c>
      <c r="S2466" t="s">
        <v>9272</v>
      </c>
      <c r="T2466" t="s">
        <v>13610</v>
      </c>
      <c r="U2466" t="s">
        <v>13610</v>
      </c>
      <c r="V2466" t="s">
        <v>13610</v>
      </c>
      <c r="W2466" t="s">
        <v>16026</v>
      </c>
      <c r="X2466">
        <v>31</v>
      </c>
      <c r="Y2466" t="s">
        <v>22684</v>
      </c>
      <c r="Z2466" t="s">
        <v>29321</v>
      </c>
      <c r="AA2466">
        <v>0.45097942675879071</v>
      </c>
      <c r="AB2466" t="str">
        <f>HYPERLINK("Melting_Curves/meltCurve_P46060_RANGAP1.pdf", "Melting_Curves/meltCurve_P46060_RANGAP1.pdf")</f>
        <v>Melting_Curves/meltCurve_P46060_RANGAP1.pdf</v>
      </c>
    </row>
    <row r="2467" spans="1:28" x14ac:dyDescent="0.25">
      <c r="A2467" t="s">
        <v>2471</v>
      </c>
      <c r="B2467">
        <v>0.995954080203443</v>
      </c>
      <c r="C2467">
        <v>0.91933507658688296</v>
      </c>
      <c r="D2467">
        <v>0.81139387236845695</v>
      </c>
      <c r="E2467">
        <v>0.69507034895568098</v>
      </c>
      <c r="F2467">
        <v>0.21393853798010101</v>
      </c>
      <c r="G2467">
        <v>9.2012680264857094E-2</v>
      </c>
      <c r="H2467">
        <v>5.84513722387177E-2</v>
      </c>
      <c r="I2467">
        <v>4.8485031640011299E-2</v>
      </c>
      <c r="J2467">
        <v>5.4231164694876197E-2</v>
      </c>
      <c r="K2467">
        <v>4.6856491830889802E-2</v>
      </c>
      <c r="L2467">
        <v>1196.4439405831799</v>
      </c>
      <c r="M2467">
        <v>23.605993422717201</v>
      </c>
      <c r="N2467">
        <v>50.846769824077903</v>
      </c>
      <c r="O2467">
        <v>50.324358391351502</v>
      </c>
      <c r="P2467">
        <v>-0.113001137595443</v>
      </c>
      <c r="Q2467">
        <v>3.6411463314087601E-2</v>
      </c>
      <c r="R2467">
        <v>0.97824690223815403</v>
      </c>
      <c r="S2467" t="s">
        <v>9273</v>
      </c>
      <c r="T2467" t="s">
        <v>13610</v>
      </c>
      <c r="U2467" t="s">
        <v>13610</v>
      </c>
      <c r="V2467" t="s">
        <v>13610</v>
      </c>
      <c r="W2467" t="s">
        <v>16027</v>
      </c>
      <c r="X2467">
        <v>27</v>
      </c>
      <c r="Y2467" t="s">
        <v>22685</v>
      </c>
      <c r="Z2467" t="s">
        <v>29322</v>
      </c>
      <c r="AA2467">
        <v>0.38928941040284809</v>
      </c>
      <c r="AB2467" t="str">
        <f>HYPERLINK("Melting_Curves/meltCurve_P46063_RECQL.pdf", "Melting_Curves/meltCurve_P46063_RECQL.pdf")</f>
        <v>Melting_Curves/meltCurve_P46063_RECQL.pdf</v>
      </c>
    </row>
    <row r="2468" spans="1:28" x14ac:dyDescent="0.25">
      <c r="A2468" t="s">
        <v>2472</v>
      </c>
      <c r="B2468">
        <v>0.995954080203443</v>
      </c>
      <c r="C2468">
        <v>1.0226506334294501</v>
      </c>
      <c r="D2468">
        <v>1.0792175128602299</v>
      </c>
      <c r="E2468">
        <v>1.03867439341442</v>
      </c>
      <c r="F2468">
        <v>1.0166413549917701</v>
      </c>
      <c r="G2468">
        <v>0.74664591389484603</v>
      </c>
      <c r="H2468">
        <v>0.77291562244794898</v>
      </c>
      <c r="I2468">
        <v>1.00572416317998</v>
      </c>
      <c r="J2468">
        <v>1.20986008358888</v>
      </c>
      <c r="K2468">
        <v>1.2292629706424201</v>
      </c>
      <c r="L2468">
        <v>8803.6074362362597</v>
      </c>
      <c r="M2468">
        <v>133.782824746415</v>
      </c>
      <c r="O2468">
        <v>65.790514387064803</v>
      </c>
      <c r="P2468">
        <v>0.116551473963733</v>
      </c>
      <c r="Q2468">
        <v>1.2292665333627699</v>
      </c>
      <c r="R2468">
        <v>0.43377226489932003</v>
      </c>
      <c r="S2468" t="s">
        <v>9274</v>
      </c>
      <c r="T2468" t="s">
        <v>13610</v>
      </c>
      <c r="U2468" t="s">
        <v>13610</v>
      </c>
      <c r="V2468" t="s">
        <v>13610</v>
      </c>
      <c r="W2468" t="s">
        <v>16028</v>
      </c>
      <c r="X2468">
        <v>20</v>
      </c>
      <c r="Y2468" t="s">
        <v>22686</v>
      </c>
      <c r="Z2468" t="s">
        <v>29323</v>
      </c>
      <c r="AA2468">
        <v>1.031966381278018</v>
      </c>
      <c r="AB2468" t="str">
        <f>HYPERLINK("Melting_Curves/meltCurve_P46087_NOP2.pdf", "Melting_Curves/meltCurve_P46087_NOP2.pdf")</f>
        <v>Melting_Curves/meltCurve_P46087_NOP2.pdf</v>
      </c>
    </row>
    <row r="2469" spans="1:28" x14ac:dyDescent="0.25">
      <c r="A2469" t="s">
        <v>2473</v>
      </c>
      <c r="B2469">
        <v>0.995954080203443</v>
      </c>
      <c r="C2469">
        <v>0.96867973512343797</v>
      </c>
      <c r="D2469">
        <v>0.93491288560878805</v>
      </c>
      <c r="E2469">
        <v>0.77144423733051004</v>
      </c>
      <c r="F2469">
        <v>0.660995313070317</v>
      </c>
      <c r="G2469">
        <v>0.48658537321358297</v>
      </c>
      <c r="H2469">
        <v>0.387403666249996</v>
      </c>
      <c r="I2469">
        <v>0.51040226484363005</v>
      </c>
      <c r="J2469">
        <v>0.62081875411019904</v>
      </c>
      <c r="K2469">
        <v>0.60465476691660502</v>
      </c>
      <c r="L2469">
        <v>1252.94026149653</v>
      </c>
      <c r="M2469">
        <v>24.964520525933001</v>
      </c>
      <c r="O2469">
        <v>49.8701176627916</v>
      </c>
      <c r="P2469">
        <v>-5.9826645739046502E-2</v>
      </c>
      <c r="Q2469">
        <v>0.52195811718833696</v>
      </c>
      <c r="R2469">
        <v>0.89864072812173901</v>
      </c>
      <c r="S2469" t="s">
        <v>9275</v>
      </c>
      <c r="T2469" t="s">
        <v>13610</v>
      </c>
      <c r="U2469" t="s">
        <v>13610</v>
      </c>
      <c r="V2469" t="s">
        <v>13610</v>
      </c>
      <c r="W2469" t="s">
        <v>16029</v>
      </c>
      <c r="X2469">
        <v>33</v>
      </c>
      <c r="Y2469" t="s">
        <v>22687</v>
      </c>
      <c r="Z2469" t="s">
        <v>29324</v>
      </c>
      <c r="AA2469">
        <v>0.68860760974667345</v>
      </c>
      <c r="AB2469" t="str">
        <f>HYPERLINK("Melting_Curves/meltCurve_P46100_4_ATRX.pdf", "Melting_Curves/meltCurve_P46100_4_ATRX.pdf")</f>
        <v>Melting_Curves/meltCurve_P46100_4_ATRX.pdf</v>
      </c>
    </row>
    <row r="2470" spans="1:28" x14ac:dyDescent="0.25">
      <c r="A2470" t="s">
        <v>2474</v>
      </c>
      <c r="B2470">
        <v>0.995954080203443</v>
      </c>
      <c r="C2470">
        <v>1.0181703235212001</v>
      </c>
      <c r="D2470">
        <v>1.06599224005266</v>
      </c>
      <c r="E2470">
        <v>0.88527344380906803</v>
      </c>
      <c r="F2470">
        <v>0.61444667818628995</v>
      </c>
      <c r="G2470">
        <v>0.23256539386074901</v>
      </c>
      <c r="H2470">
        <v>0.125795697256153</v>
      </c>
      <c r="I2470">
        <v>0.112202741547668</v>
      </c>
      <c r="J2470">
        <v>0.110171695771609</v>
      </c>
      <c r="K2470">
        <v>9.2437607150553699E-2</v>
      </c>
      <c r="L2470">
        <v>1562.5253072212099</v>
      </c>
      <c r="M2470">
        <v>29.202296411967101</v>
      </c>
      <c r="N2470">
        <v>53.927358614302399</v>
      </c>
      <c r="O2470">
        <v>53.257923317733301</v>
      </c>
      <c r="P2470">
        <v>-0.123125182305209</v>
      </c>
      <c r="Q2470">
        <v>0.101804752103104</v>
      </c>
      <c r="R2470">
        <v>0.99635519459630895</v>
      </c>
      <c r="S2470" t="s">
        <v>9276</v>
      </c>
      <c r="T2470" t="s">
        <v>13610</v>
      </c>
      <c r="U2470" t="s">
        <v>13610</v>
      </c>
      <c r="V2470" t="s">
        <v>13610</v>
      </c>
      <c r="W2470" t="s">
        <v>16030</v>
      </c>
      <c r="X2470">
        <v>20</v>
      </c>
      <c r="Y2470" t="s">
        <v>22688</v>
      </c>
      <c r="Z2470" t="s">
        <v>29325</v>
      </c>
      <c r="AA2470">
        <v>0.51237948708189596</v>
      </c>
      <c r="AB2470" t="str">
        <f>HYPERLINK("Melting_Curves/meltCurve_P46108_CRK.pdf", "Melting_Curves/meltCurve_P46108_CRK.pdf")</f>
        <v>Melting_Curves/meltCurve_P46108_CRK.pdf</v>
      </c>
    </row>
    <row r="2471" spans="1:28" x14ac:dyDescent="0.25">
      <c r="A2471" t="s">
        <v>2475</v>
      </c>
      <c r="B2471">
        <v>0.995954080203443</v>
      </c>
      <c r="C2471">
        <v>1.0326654218635301</v>
      </c>
      <c r="D2471">
        <v>1.00340699212582</v>
      </c>
      <c r="E2471">
        <v>0.87767494703097604</v>
      </c>
      <c r="F2471">
        <v>0.62041327320400896</v>
      </c>
      <c r="G2471">
        <v>0.37873025407614902</v>
      </c>
      <c r="H2471">
        <v>0.25010137263309401</v>
      </c>
      <c r="I2471">
        <v>0.18079523889985599</v>
      </c>
      <c r="J2471">
        <v>0.173074635411859</v>
      </c>
      <c r="K2471">
        <v>0.17430522812732599</v>
      </c>
      <c r="L2471">
        <v>1139.9564425778401</v>
      </c>
      <c r="M2471">
        <v>21.194384769099901</v>
      </c>
      <c r="N2471">
        <v>54.8485212456578</v>
      </c>
      <c r="O2471">
        <v>53.3138200879769</v>
      </c>
      <c r="P2471">
        <v>-8.2651422418702603E-2</v>
      </c>
      <c r="Q2471">
        <v>0.16839312160526301</v>
      </c>
      <c r="R2471">
        <v>0.99685054019846897</v>
      </c>
      <c r="S2471" t="s">
        <v>9277</v>
      </c>
      <c r="T2471" t="s">
        <v>13610</v>
      </c>
      <c r="U2471" t="s">
        <v>13610</v>
      </c>
      <c r="V2471" t="s">
        <v>13610</v>
      </c>
      <c r="W2471" t="s">
        <v>16031</v>
      </c>
      <c r="X2471">
        <v>18</v>
      </c>
      <c r="Y2471" t="s">
        <v>22689</v>
      </c>
      <c r="Z2471" t="s">
        <v>29326</v>
      </c>
      <c r="AA2471">
        <v>0.56083407750295955</v>
      </c>
      <c r="AB2471" t="str">
        <f>HYPERLINK("Melting_Curves/meltCurve_P46109_CRKL.pdf", "Melting_Curves/meltCurve_P46109_CRKL.pdf")</f>
        <v>Melting_Curves/meltCurve_P46109_CRKL.pdf</v>
      </c>
    </row>
    <row r="2472" spans="1:28" x14ac:dyDescent="0.25">
      <c r="A2472" t="s">
        <v>2476</v>
      </c>
      <c r="B2472">
        <v>0.995954080203443</v>
      </c>
      <c r="C2472">
        <v>0.82034798801146702</v>
      </c>
      <c r="D2472">
        <v>0.52582937794487805</v>
      </c>
      <c r="E2472">
        <v>0.37608951565212501</v>
      </c>
      <c r="F2472">
        <v>0.20432465643544701</v>
      </c>
      <c r="G2472">
        <v>0.13039152836269799</v>
      </c>
      <c r="H2472">
        <v>8.7142871816370898E-2</v>
      </c>
      <c r="I2472">
        <v>7.9447545782416598E-2</v>
      </c>
      <c r="J2472">
        <v>9.83093064162609E-2</v>
      </c>
      <c r="K2472">
        <v>9.6002507237392301E-2</v>
      </c>
      <c r="L2472">
        <v>726.51356616973897</v>
      </c>
      <c r="M2472">
        <v>15.584687853421499</v>
      </c>
      <c r="N2472">
        <v>47.162679625959399</v>
      </c>
      <c r="O2472">
        <v>45.869852407431601</v>
      </c>
      <c r="P2472">
        <v>-7.7940844787793603E-2</v>
      </c>
      <c r="Q2472">
        <v>8.2478153049278899E-2</v>
      </c>
      <c r="R2472">
        <v>0.98841614901852404</v>
      </c>
      <c r="S2472" t="s">
        <v>9278</v>
      </c>
      <c r="T2472" t="s">
        <v>13610</v>
      </c>
      <c r="U2472" t="s">
        <v>13610</v>
      </c>
      <c r="V2472" t="s">
        <v>13610</v>
      </c>
      <c r="W2472" t="s">
        <v>16032</v>
      </c>
      <c r="X2472">
        <v>8</v>
      </c>
      <c r="Y2472" t="s">
        <v>22690</v>
      </c>
      <c r="Z2472" t="s">
        <v>29327</v>
      </c>
      <c r="AA2472">
        <v>0.30845398678232161</v>
      </c>
      <c r="AB2472" t="str">
        <f>HYPERLINK("Melting_Curves/meltCurve_P46199_MTIF2.pdf", "Melting_Curves/meltCurve_P46199_MTIF2.pdf")</f>
        <v>Melting_Curves/meltCurve_P46199_MTIF2.pdf</v>
      </c>
    </row>
    <row r="2473" spans="1:28" x14ac:dyDescent="0.25">
      <c r="A2473" t="s">
        <v>2477</v>
      </c>
      <c r="B2473">
        <v>0.995954080203443</v>
      </c>
      <c r="C2473">
        <v>1.05993512490691</v>
      </c>
      <c r="D2473">
        <v>1.0525220803014499</v>
      </c>
      <c r="E2473">
        <v>1.04893868627736</v>
      </c>
      <c r="F2473">
        <v>0.953408168948225</v>
      </c>
      <c r="G2473">
        <v>0.75001103406835401</v>
      </c>
      <c r="H2473">
        <v>0.70207420702244105</v>
      </c>
      <c r="I2473">
        <v>0.86897177608582798</v>
      </c>
      <c r="J2473">
        <v>0.94706887411382901</v>
      </c>
      <c r="K2473">
        <v>1.01356987560137</v>
      </c>
      <c r="L2473">
        <v>13288.901860734701</v>
      </c>
      <c r="M2473">
        <v>250</v>
      </c>
      <c r="O2473">
        <v>53.152204515231404</v>
      </c>
      <c r="P2473">
        <v>-0.16892625194271299</v>
      </c>
      <c r="Q2473">
        <v>0.85633915353545398</v>
      </c>
      <c r="R2473">
        <v>0.47068456794583502</v>
      </c>
      <c r="S2473" t="s">
        <v>9279</v>
      </c>
      <c r="T2473" t="s">
        <v>13610</v>
      </c>
      <c r="U2473" t="s">
        <v>13610</v>
      </c>
      <c r="V2473" t="s">
        <v>13610</v>
      </c>
      <c r="W2473" t="s">
        <v>16033</v>
      </c>
      <c r="X2473">
        <v>7</v>
      </c>
      <c r="Y2473" t="s">
        <v>22691</v>
      </c>
      <c r="Z2473" t="s">
        <v>29328</v>
      </c>
      <c r="AA2473">
        <v>0.91935074529632843</v>
      </c>
      <c r="AB2473" t="str">
        <f>HYPERLINK("Melting_Curves/meltCurve_P46527_CDKN1B.pdf", "Melting_Curves/meltCurve_P46527_CDKN1B.pdf")</f>
        <v>Melting_Curves/meltCurve_P46527_CDKN1B.pdf</v>
      </c>
    </row>
    <row r="2474" spans="1:28" x14ac:dyDescent="0.25">
      <c r="A2474" t="s">
        <v>2478</v>
      </c>
      <c r="B2474">
        <v>0.995954080203443</v>
      </c>
      <c r="C2474">
        <v>0.98587563352508201</v>
      </c>
      <c r="D2474">
        <v>1.00988556520727</v>
      </c>
      <c r="E2474">
        <v>0.84651025939190006</v>
      </c>
      <c r="F2474">
        <v>0.87545442819364006</v>
      </c>
      <c r="G2474">
        <v>0.68304298345713099</v>
      </c>
      <c r="H2474">
        <v>0.586485529075495</v>
      </c>
      <c r="I2474">
        <v>0.69592926809051203</v>
      </c>
      <c r="J2474">
        <v>0.92183937434892904</v>
      </c>
      <c r="K2474">
        <v>0.85146901959075405</v>
      </c>
      <c r="L2474">
        <v>1422.28361003297</v>
      </c>
      <c r="M2474">
        <v>28.3477121671318</v>
      </c>
      <c r="O2474">
        <v>49.925089813236902</v>
      </c>
      <c r="P2474">
        <v>-3.4686531802490199E-2</v>
      </c>
      <c r="Q2474">
        <v>0.75564670902386399</v>
      </c>
      <c r="R2474">
        <v>0.56238698918267205</v>
      </c>
      <c r="S2474" t="s">
        <v>9280</v>
      </c>
      <c r="T2474" t="s">
        <v>13610</v>
      </c>
      <c r="U2474" t="s">
        <v>13610</v>
      </c>
      <c r="V2474" t="s">
        <v>13610</v>
      </c>
      <c r="W2474" t="s">
        <v>16034</v>
      </c>
      <c r="X2474">
        <v>8</v>
      </c>
      <c r="Y2474" t="s">
        <v>22692</v>
      </c>
      <c r="Z2474" t="s">
        <v>29329</v>
      </c>
      <c r="AA2474">
        <v>0.84020437618434374</v>
      </c>
      <c r="AB2474" t="str">
        <f>HYPERLINK("Melting_Curves/meltCurve_P46531_NOTCH1.pdf", "Melting_Curves/meltCurve_P46531_NOTCH1.pdf")</f>
        <v>Melting_Curves/meltCurve_P46531_NOTCH1.pdf</v>
      </c>
    </row>
    <row r="2475" spans="1:28" x14ac:dyDescent="0.25">
      <c r="A2475" t="s">
        <v>2479</v>
      </c>
      <c r="B2475">
        <v>0.995954080203443</v>
      </c>
      <c r="C2475">
        <v>0.61142688992315397</v>
      </c>
      <c r="D2475">
        <v>0.31226507754057797</v>
      </c>
      <c r="E2475">
        <v>0.29387296245329703</v>
      </c>
      <c r="F2475">
        <v>0.21878762229055301</v>
      </c>
      <c r="G2475">
        <v>0.14248398285170899</v>
      </c>
      <c r="H2475">
        <v>9.5369502434380998E-2</v>
      </c>
      <c r="I2475">
        <v>0.121222016983247</v>
      </c>
      <c r="J2475">
        <v>0.114747860737898</v>
      </c>
      <c r="K2475">
        <v>0.11386837771267901</v>
      </c>
      <c r="L2475">
        <v>1062.26516570033</v>
      </c>
      <c r="M2475">
        <v>24.3861641877354</v>
      </c>
      <c r="N2475">
        <v>44.186285072448698</v>
      </c>
      <c r="O2475">
        <v>43.270406823699098</v>
      </c>
      <c r="P2475">
        <v>-0.12031305666236999</v>
      </c>
      <c r="Q2475">
        <v>0.146086723345041</v>
      </c>
      <c r="R2475">
        <v>0.95931432907928305</v>
      </c>
      <c r="S2475" t="s">
        <v>9281</v>
      </c>
      <c r="T2475" t="s">
        <v>13610</v>
      </c>
      <c r="U2475" t="s">
        <v>13610</v>
      </c>
      <c r="V2475" t="s">
        <v>13610</v>
      </c>
      <c r="W2475" t="s">
        <v>16035</v>
      </c>
      <c r="X2475">
        <v>4</v>
      </c>
      <c r="Y2475" t="s">
        <v>22693</v>
      </c>
      <c r="Z2475" t="s">
        <v>29330</v>
      </c>
      <c r="AA2475">
        <v>0.25874533866359811</v>
      </c>
      <c r="AB2475" t="str">
        <f>HYPERLINK("Melting_Curves/meltCurve_P46734_2_MAP2K3.pdf", "Melting_Curves/meltCurve_P46734_2_MAP2K3.pdf")</f>
        <v>Melting_Curves/meltCurve_P46734_2_MAP2K3.pdf</v>
      </c>
    </row>
    <row r="2476" spans="1:28" x14ac:dyDescent="0.25">
      <c r="A2476" t="s">
        <v>2480</v>
      </c>
      <c r="B2476">
        <v>0.995954080203443</v>
      </c>
      <c r="C2476">
        <v>0.86707549886166102</v>
      </c>
      <c r="D2476">
        <v>0.81168813923652305</v>
      </c>
      <c r="E2476">
        <v>0.80972242292385999</v>
      </c>
      <c r="F2476">
        <v>0.66059171873195899</v>
      </c>
      <c r="G2476">
        <v>0.47494767170679197</v>
      </c>
      <c r="H2476">
        <v>0.26565916983418197</v>
      </c>
      <c r="I2476">
        <v>0.170638746333417</v>
      </c>
      <c r="J2476">
        <v>0.14449237984935701</v>
      </c>
      <c r="K2476">
        <v>0.13746605200640899</v>
      </c>
      <c r="L2476">
        <v>556.96140054211696</v>
      </c>
      <c r="M2476">
        <v>9.9932604537153509</v>
      </c>
      <c r="N2476">
        <v>55.733702039407099</v>
      </c>
      <c r="O2476">
        <v>53.639782949228298</v>
      </c>
      <c r="P2476">
        <v>-4.6598503408758297E-2</v>
      </c>
      <c r="Q2476">
        <v>0</v>
      </c>
      <c r="R2476">
        <v>0.977914924679682</v>
      </c>
      <c r="S2476" t="s">
        <v>9282</v>
      </c>
      <c r="T2476" t="s">
        <v>13610</v>
      </c>
      <c r="U2476" t="s">
        <v>13610</v>
      </c>
      <c r="V2476" t="s">
        <v>13610</v>
      </c>
      <c r="W2476" t="s">
        <v>16036</v>
      </c>
      <c r="X2476">
        <v>11</v>
      </c>
      <c r="Y2476" t="s">
        <v>22694</v>
      </c>
      <c r="Z2476" t="s">
        <v>29331</v>
      </c>
      <c r="AA2476">
        <v>0.54687545729629761</v>
      </c>
      <c r="AB2476" t="str">
        <f>HYPERLINK("Melting_Curves/meltCurve_P46736_2_BRCC3.pdf", "Melting_Curves/meltCurve_P46736_2_BRCC3.pdf")</f>
        <v>Melting_Curves/meltCurve_P46736_2_BRCC3.pdf</v>
      </c>
    </row>
    <row r="2477" spans="1:28" x14ac:dyDescent="0.25">
      <c r="A2477" t="s">
        <v>2481</v>
      </c>
      <c r="B2477">
        <v>0.995954080203443</v>
      </c>
      <c r="C2477">
        <v>0.88618730228866904</v>
      </c>
      <c r="D2477">
        <v>0.78209603112792203</v>
      </c>
      <c r="E2477">
        <v>0.58741581164882295</v>
      </c>
      <c r="F2477">
        <v>0.209336400870477</v>
      </c>
      <c r="G2477">
        <v>0.109016103727754</v>
      </c>
      <c r="H2477">
        <v>7.64241432511297E-2</v>
      </c>
      <c r="I2477">
        <v>7.6366030226142606E-2</v>
      </c>
      <c r="J2477">
        <v>8.9366310459811693E-2</v>
      </c>
      <c r="K2477">
        <v>7.6302232401882705E-2</v>
      </c>
      <c r="L2477">
        <v>896.058431281548</v>
      </c>
      <c r="M2477">
        <v>18.065061581157799</v>
      </c>
      <c r="N2477">
        <v>49.921181968057503</v>
      </c>
      <c r="O2477">
        <v>49.005910183587901</v>
      </c>
      <c r="P2477">
        <v>-8.7131536998894393E-2</v>
      </c>
      <c r="Q2477">
        <v>5.4583390008998603E-2</v>
      </c>
      <c r="R2477">
        <v>0.98414925343594895</v>
      </c>
      <c r="S2477" t="s">
        <v>9283</v>
      </c>
      <c r="T2477" t="s">
        <v>13610</v>
      </c>
      <c r="U2477" t="s">
        <v>13610</v>
      </c>
      <c r="V2477" t="s">
        <v>13610</v>
      </c>
      <c r="W2477" t="s">
        <v>16037</v>
      </c>
      <c r="X2477">
        <v>18</v>
      </c>
      <c r="Y2477" t="s">
        <v>22695</v>
      </c>
      <c r="Z2477" t="s">
        <v>29332</v>
      </c>
      <c r="AA2477">
        <v>0.37327050462796219</v>
      </c>
      <c r="AB2477" t="str">
        <f>HYPERLINK("Melting_Curves/meltCurve_P46777_RPL5.pdf", "Melting_Curves/meltCurve_P46777_RPL5.pdf")</f>
        <v>Melting_Curves/meltCurve_P46777_RPL5.pdf</v>
      </c>
    </row>
    <row r="2478" spans="1:28" x14ac:dyDescent="0.25">
      <c r="A2478" t="s">
        <v>2482</v>
      </c>
      <c r="B2478">
        <v>0.995954080203443</v>
      </c>
      <c r="C2478">
        <v>1.0110039768239301</v>
      </c>
      <c r="D2478">
        <v>1.0066655667511699</v>
      </c>
      <c r="E2478">
        <v>0.76224471404663297</v>
      </c>
      <c r="F2478">
        <v>0.49918712061452303</v>
      </c>
      <c r="G2478">
        <v>0.27703112917010497</v>
      </c>
      <c r="H2478">
        <v>0.145170761195695</v>
      </c>
      <c r="I2478">
        <v>0.12894783990768399</v>
      </c>
      <c r="J2478">
        <v>0.13461045197749899</v>
      </c>
      <c r="K2478">
        <v>0.15336189305515099</v>
      </c>
      <c r="L2478">
        <v>1193.6401615560801</v>
      </c>
      <c r="M2478">
        <v>22.8072980060034</v>
      </c>
      <c r="N2478">
        <v>53.049096429961303</v>
      </c>
      <c r="O2478">
        <v>51.938508377757699</v>
      </c>
      <c r="P2478">
        <v>-9.5286921600600094E-2</v>
      </c>
      <c r="Q2478">
        <v>0.132038199488792</v>
      </c>
      <c r="R2478">
        <v>0.99699235031927003</v>
      </c>
      <c r="S2478" t="s">
        <v>9284</v>
      </c>
      <c r="T2478" t="s">
        <v>13610</v>
      </c>
      <c r="U2478" t="s">
        <v>13610</v>
      </c>
      <c r="V2478" t="s">
        <v>13610</v>
      </c>
      <c r="W2478" t="s">
        <v>16038</v>
      </c>
      <c r="X2478">
        <v>5</v>
      </c>
      <c r="Y2478" t="s">
        <v>22696</v>
      </c>
      <c r="Z2478" t="s">
        <v>29333</v>
      </c>
      <c r="AA2478">
        <v>0.49839123494777032</v>
      </c>
      <c r="AB2478" t="str">
        <f>HYPERLINK("Melting_Curves/meltCurve_P46779_4_RPL28.pdf", "Melting_Curves/meltCurve_P46779_4_RPL28.pdf")</f>
        <v>Melting_Curves/meltCurve_P46779_4_RPL28.pdf</v>
      </c>
    </row>
    <row r="2479" spans="1:28" x14ac:dyDescent="0.25">
      <c r="A2479" t="s">
        <v>2483</v>
      </c>
      <c r="B2479">
        <v>0.995954080203443</v>
      </c>
      <c r="C2479">
        <v>0.70233589656803297</v>
      </c>
      <c r="D2479">
        <v>0.38424369362098398</v>
      </c>
      <c r="E2479">
        <v>0.234892605262464</v>
      </c>
      <c r="F2479">
        <v>0.153764774763538</v>
      </c>
      <c r="G2479">
        <v>9.9702070235430096E-2</v>
      </c>
      <c r="H2479">
        <v>4.6360348025784502E-2</v>
      </c>
      <c r="I2479">
        <v>3.6060305256270499E-2</v>
      </c>
      <c r="J2479">
        <v>3.2693528185834E-2</v>
      </c>
      <c r="K2479">
        <v>3.3925135799930603E-2</v>
      </c>
      <c r="L2479">
        <v>813.45334585558999</v>
      </c>
      <c r="M2479">
        <v>18.082730987700401</v>
      </c>
      <c r="N2479">
        <v>45.267338085478102</v>
      </c>
      <c r="O2479">
        <v>44.445754912763398</v>
      </c>
      <c r="P2479">
        <v>-9.6294483331549899E-2</v>
      </c>
      <c r="Q2479">
        <v>5.3312549921595599E-2</v>
      </c>
      <c r="R2479">
        <v>0.98303597553975397</v>
      </c>
      <c r="S2479" t="s">
        <v>9285</v>
      </c>
      <c r="T2479" t="s">
        <v>13610</v>
      </c>
      <c r="U2479" t="s">
        <v>13610</v>
      </c>
      <c r="V2479" t="s">
        <v>13610</v>
      </c>
      <c r="W2479" t="s">
        <v>16039</v>
      </c>
      <c r="X2479">
        <v>15</v>
      </c>
      <c r="Y2479" t="s">
        <v>22697</v>
      </c>
      <c r="Z2479" t="s">
        <v>29334</v>
      </c>
      <c r="AA2479">
        <v>0.2308638049269606</v>
      </c>
      <c r="AB2479" t="str">
        <f>HYPERLINK("Melting_Curves/meltCurve_P46781_RPS9.pdf", "Melting_Curves/meltCurve_P46781_RPS9.pdf")</f>
        <v>Melting_Curves/meltCurve_P46781_RPS9.pdf</v>
      </c>
    </row>
    <row r="2480" spans="1:28" x14ac:dyDescent="0.25">
      <c r="A2480" t="s">
        <v>2484</v>
      </c>
      <c r="B2480">
        <v>0.995954080203443</v>
      </c>
      <c r="C2480">
        <v>0.96725525832510495</v>
      </c>
      <c r="D2480">
        <v>0.91859862362600597</v>
      </c>
      <c r="E2480">
        <v>0.89659701903413003</v>
      </c>
      <c r="F2480">
        <v>0.92761327445765396</v>
      </c>
      <c r="G2480">
        <v>0.7159474400825</v>
      </c>
      <c r="H2480">
        <v>0.73122473000466104</v>
      </c>
      <c r="I2480">
        <v>0.87432245966631295</v>
      </c>
      <c r="J2480">
        <v>1.0443757754596401</v>
      </c>
      <c r="K2480">
        <v>0.98339583004018405</v>
      </c>
      <c r="L2480">
        <v>1125.0149752319501</v>
      </c>
      <c r="M2480">
        <v>25.1638110380505</v>
      </c>
      <c r="O2480">
        <v>44.428176647875702</v>
      </c>
      <c r="P2480">
        <v>-1.6974259999193001E-2</v>
      </c>
      <c r="Q2480">
        <v>0.88012538495123105</v>
      </c>
      <c r="R2480">
        <v>0.154047680046561</v>
      </c>
      <c r="S2480" t="s">
        <v>9286</v>
      </c>
      <c r="T2480" t="s">
        <v>13610</v>
      </c>
      <c r="U2480" t="s">
        <v>13610</v>
      </c>
      <c r="V2480" t="s">
        <v>13610</v>
      </c>
      <c r="W2480" t="s">
        <v>16040</v>
      </c>
      <c r="X2480">
        <v>9</v>
      </c>
      <c r="Y2480" t="s">
        <v>22698</v>
      </c>
      <c r="Z2480" t="s">
        <v>29335</v>
      </c>
      <c r="AA2480">
        <v>0.90015153010023419</v>
      </c>
      <c r="AB2480" t="str">
        <f>HYPERLINK("Melting_Curves/meltCurve_P46783_RPS10.pdf", "Melting_Curves/meltCurve_P46783_RPS10.pdf")</f>
        <v>Melting_Curves/meltCurve_P46783_RPS10.pdf</v>
      </c>
    </row>
    <row r="2481" spans="1:28" x14ac:dyDescent="0.25">
      <c r="A2481" t="s">
        <v>2485</v>
      </c>
      <c r="B2481">
        <v>0.995954080203443</v>
      </c>
      <c r="C2481">
        <v>1.02161472872356</v>
      </c>
      <c r="D2481">
        <v>1.0064650036573299</v>
      </c>
      <c r="E2481">
        <v>0.94016642819007701</v>
      </c>
      <c r="F2481">
        <v>0.82910377203604102</v>
      </c>
      <c r="G2481">
        <v>0.57096046882592699</v>
      </c>
      <c r="H2481">
        <v>0.48401730274629401</v>
      </c>
      <c r="I2481">
        <v>0.58432844739062795</v>
      </c>
      <c r="J2481">
        <v>0.69061477529987203</v>
      </c>
      <c r="K2481">
        <v>0.69948282176142795</v>
      </c>
      <c r="L2481">
        <v>2950.9707847954801</v>
      </c>
      <c r="M2481">
        <v>55.507402778041303</v>
      </c>
      <c r="O2481">
        <v>53.094684172618202</v>
      </c>
      <c r="P2481">
        <v>-0.10328792563540901</v>
      </c>
      <c r="Q2481">
        <v>0.60480683092619103</v>
      </c>
      <c r="R2481">
        <v>0.90164919818387801</v>
      </c>
      <c r="S2481" t="s">
        <v>9287</v>
      </c>
      <c r="T2481" t="s">
        <v>13610</v>
      </c>
      <c r="U2481" t="s">
        <v>13610</v>
      </c>
      <c r="V2481" t="s">
        <v>13610</v>
      </c>
      <c r="W2481" t="s">
        <v>16041</v>
      </c>
      <c r="X2481">
        <v>98</v>
      </c>
      <c r="Y2481" t="s">
        <v>20678</v>
      </c>
      <c r="Z2481" t="s">
        <v>29336</v>
      </c>
      <c r="AA2481">
        <v>0.7789628537992731</v>
      </c>
      <c r="AB2481" t="str">
        <f>HYPERLINK("Melting_Curves/meltCurve_P46821_MAP1B.pdf", "Melting_Curves/meltCurve_P46821_MAP1B.pdf")</f>
        <v>Melting_Curves/meltCurve_P46821_MAP1B.pdf</v>
      </c>
    </row>
    <row r="2482" spans="1:28" x14ac:dyDescent="0.25">
      <c r="A2482" t="s">
        <v>2486</v>
      </c>
      <c r="B2482">
        <v>0.995954080203443</v>
      </c>
      <c r="C2482">
        <v>0.941271242129744</v>
      </c>
      <c r="D2482">
        <v>0.842895642432132</v>
      </c>
      <c r="E2482">
        <v>0.84578491532216404</v>
      </c>
      <c r="F2482">
        <v>0.65745631698183904</v>
      </c>
      <c r="G2482">
        <v>0.52345508359286497</v>
      </c>
      <c r="H2482">
        <v>0.37117063867827998</v>
      </c>
      <c r="I2482">
        <v>0.39421796275237297</v>
      </c>
      <c r="J2482">
        <v>0.33504940496792601</v>
      </c>
      <c r="K2482">
        <v>0.119576219561874</v>
      </c>
      <c r="L2482">
        <v>456.47517337436199</v>
      </c>
      <c r="M2482">
        <v>7.8429462441915998</v>
      </c>
      <c r="N2482">
        <v>58.202004322237201</v>
      </c>
      <c r="O2482">
        <v>54.782224372192204</v>
      </c>
      <c r="P2482">
        <v>-3.5835064647468197E-2</v>
      </c>
      <c r="Q2482">
        <v>0</v>
      </c>
      <c r="R2482">
        <v>0.96644335588049002</v>
      </c>
      <c r="S2482" t="s">
        <v>9288</v>
      </c>
      <c r="T2482" t="s">
        <v>13610</v>
      </c>
      <c r="U2482" t="s">
        <v>13610</v>
      </c>
      <c r="V2482" t="s">
        <v>13610</v>
      </c>
      <c r="W2482" t="s">
        <v>16042</v>
      </c>
      <c r="X2482">
        <v>14</v>
      </c>
      <c r="Y2482" t="s">
        <v>22699</v>
      </c>
      <c r="Z2482" t="s">
        <v>29337</v>
      </c>
      <c r="AA2482">
        <v>0.6078008595490173</v>
      </c>
      <c r="AB2482" t="str">
        <f>HYPERLINK("Melting_Curves/meltCurve_P46926_GNPDA1.pdf", "Melting_Curves/meltCurve_P46926_GNPDA1.pdf")</f>
        <v>Melting_Curves/meltCurve_P46926_GNPDA1.pdf</v>
      </c>
    </row>
    <row r="2483" spans="1:28" x14ac:dyDescent="0.25">
      <c r="A2483" t="s">
        <v>2487</v>
      </c>
      <c r="B2483">
        <v>0.995954080203443</v>
      </c>
      <c r="C2483">
        <v>0.97333197991181797</v>
      </c>
      <c r="D2483">
        <v>0.93840787203868903</v>
      </c>
      <c r="E2483">
        <v>0.66042134097332095</v>
      </c>
      <c r="F2483">
        <v>0.26918266173415301</v>
      </c>
      <c r="G2483">
        <v>0.150611767414814</v>
      </c>
      <c r="H2483">
        <v>9.0141356982889304E-2</v>
      </c>
      <c r="I2483">
        <v>8.5260713484544004E-2</v>
      </c>
      <c r="J2483">
        <v>9.2513514534265803E-2</v>
      </c>
      <c r="K2483">
        <v>8.5661248150873795E-2</v>
      </c>
      <c r="L2483">
        <v>1512.5581796352701</v>
      </c>
      <c r="M2483">
        <v>29.804544347917101</v>
      </c>
      <c r="N2483">
        <v>51.089145585534503</v>
      </c>
      <c r="O2483">
        <v>50.522419881782199</v>
      </c>
      <c r="P2483">
        <v>-0.134218956389314</v>
      </c>
      <c r="Q2483">
        <v>8.9934473538740095E-2</v>
      </c>
      <c r="R2483">
        <v>0.99831623516142898</v>
      </c>
      <c r="S2483" t="s">
        <v>9289</v>
      </c>
      <c r="T2483" t="s">
        <v>13610</v>
      </c>
      <c r="U2483" t="s">
        <v>13610</v>
      </c>
      <c r="V2483" t="s">
        <v>13610</v>
      </c>
      <c r="W2483" t="s">
        <v>16043</v>
      </c>
      <c r="X2483">
        <v>25</v>
      </c>
      <c r="Y2483" t="s">
        <v>22700</v>
      </c>
      <c r="Z2483" t="s">
        <v>29338</v>
      </c>
      <c r="AA2483">
        <v>0.42179215644638079</v>
      </c>
      <c r="AB2483" t="str">
        <f>HYPERLINK("Melting_Curves/meltCurve_P46934_4_NEDD4.pdf", "Melting_Curves/meltCurve_P46934_4_NEDD4.pdf")</f>
        <v>Melting_Curves/meltCurve_P46934_4_NEDD4.pdf</v>
      </c>
    </row>
    <row r="2484" spans="1:28" x14ac:dyDescent="0.25">
      <c r="A2484" t="s">
        <v>2488</v>
      </c>
      <c r="B2484">
        <v>0.995954080203443</v>
      </c>
      <c r="C2484">
        <v>0.74599972194231101</v>
      </c>
      <c r="D2484">
        <v>1.56954329089194</v>
      </c>
      <c r="E2484">
        <v>0.56288046686631599</v>
      </c>
      <c r="F2484">
        <v>0.62760576640573895</v>
      </c>
      <c r="G2484">
        <v>0.52691981200832605</v>
      </c>
      <c r="H2484">
        <v>0.38528719349879498</v>
      </c>
      <c r="I2484">
        <v>0.50512961325811201</v>
      </c>
      <c r="J2484">
        <v>0.28959413611631302</v>
      </c>
      <c r="K2484">
        <v>0.64251828663039001</v>
      </c>
      <c r="L2484">
        <v>9299.9401917748201</v>
      </c>
      <c r="M2484">
        <v>187.87858189746001</v>
      </c>
      <c r="N2484">
        <v>50.817759058536097</v>
      </c>
      <c r="O2484">
        <v>49.494127728237203</v>
      </c>
      <c r="P2484">
        <v>-0.47812769464222898</v>
      </c>
      <c r="Q2484">
        <v>0.49617433057863602</v>
      </c>
      <c r="R2484">
        <v>0.59912449949569802</v>
      </c>
      <c r="S2484" t="s">
        <v>9290</v>
      </c>
      <c r="T2484" t="s">
        <v>13610</v>
      </c>
      <c r="U2484" t="s">
        <v>13610</v>
      </c>
      <c r="V2484" t="s">
        <v>13610</v>
      </c>
      <c r="W2484" t="s">
        <v>16044</v>
      </c>
      <c r="X2484">
        <v>8</v>
      </c>
      <c r="Y2484" t="s">
        <v>22701</v>
      </c>
      <c r="Z2484" t="s">
        <v>29339</v>
      </c>
      <c r="AA2484">
        <v>0.65579220082549317</v>
      </c>
      <c r="AB2484" t="str">
        <f>HYPERLINK("Melting_Curves/meltCurve_P46939_UTRN.pdf", "Melting_Curves/meltCurve_P46939_UTRN.pdf")</f>
        <v>Melting_Curves/meltCurve_P46939_UTRN.pdf</v>
      </c>
    </row>
    <row r="2485" spans="1:28" x14ac:dyDescent="0.25">
      <c r="A2485" t="s">
        <v>2489</v>
      </c>
      <c r="B2485">
        <v>0.995954080203443</v>
      </c>
      <c r="C2485">
        <v>0.91395866312558605</v>
      </c>
      <c r="D2485">
        <v>0.66665819003703597</v>
      </c>
      <c r="E2485">
        <v>0.41806263898012302</v>
      </c>
      <c r="F2485">
        <v>0.13805263567286899</v>
      </c>
      <c r="G2485">
        <v>7.1242424987131597E-2</v>
      </c>
      <c r="H2485">
        <v>4.5364976627994102E-2</v>
      </c>
      <c r="I2485">
        <v>3.9647306986354901E-2</v>
      </c>
      <c r="J2485">
        <v>4.5577817594627798E-2</v>
      </c>
      <c r="K2485">
        <v>4.2500217117525697E-2</v>
      </c>
      <c r="L2485">
        <v>864.55419793521503</v>
      </c>
      <c r="M2485">
        <v>17.9590814013414</v>
      </c>
      <c r="N2485">
        <v>48.292195440051401</v>
      </c>
      <c r="O2485">
        <v>47.555242895586296</v>
      </c>
      <c r="P2485">
        <v>-9.1821991684762197E-2</v>
      </c>
      <c r="Q2485">
        <v>2.7478158055512E-2</v>
      </c>
      <c r="R2485">
        <v>0.99371181282881504</v>
      </c>
      <c r="S2485" t="s">
        <v>9291</v>
      </c>
      <c r="T2485" t="s">
        <v>13610</v>
      </c>
      <c r="U2485" t="s">
        <v>13610</v>
      </c>
      <c r="V2485" t="s">
        <v>13610</v>
      </c>
      <c r="W2485" t="s">
        <v>16045</v>
      </c>
      <c r="X2485">
        <v>84</v>
      </c>
      <c r="Y2485" t="s">
        <v>22702</v>
      </c>
      <c r="Z2485" t="s">
        <v>29340</v>
      </c>
      <c r="AA2485">
        <v>0.30862855661096938</v>
      </c>
      <c r="AB2485" t="str">
        <f>HYPERLINK("Melting_Curves/meltCurve_P46940_IQGAP1.pdf", "Melting_Curves/meltCurve_P46940_IQGAP1.pdf")</f>
        <v>Melting_Curves/meltCurve_P46940_IQGAP1.pdf</v>
      </c>
    </row>
    <row r="2486" spans="1:28" x14ac:dyDescent="0.25">
      <c r="A2486" t="s">
        <v>2490</v>
      </c>
      <c r="B2486">
        <v>0.995954080203443</v>
      </c>
      <c r="C2486">
        <v>0.96938842012573101</v>
      </c>
      <c r="D2486">
        <v>0.89794016935292198</v>
      </c>
      <c r="E2486">
        <v>0.85044207674995598</v>
      </c>
      <c r="F2486">
        <v>0.65843423796038203</v>
      </c>
      <c r="G2486">
        <v>0.33932803373131398</v>
      </c>
      <c r="H2486">
        <v>0.17607667847479</v>
      </c>
      <c r="I2486">
        <v>0.145342633842516</v>
      </c>
      <c r="J2486">
        <v>0.13964556437421799</v>
      </c>
      <c r="K2486">
        <v>0.14195506858762499</v>
      </c>
      <c r="L2486">
        <v>1046.44298162224</v>
      </c>
      <c r="M2486">
        <v>19.376484415780698</v>
      </c>
      <c r="N2486">
        <v>54.721441627886499</v>
      </c>
      <c r="O2486">
        <v>53.4404588523741</v>
      </c>
      <c r="P2486">
        <v>-8.0503189068605194E-2</v>
      </c>
      <c r="Q2486">
        <v>0.11191964711534701</v>
      </c>
      <c r="R2486">
        <v>0.99414379619271498</v>
      </c>
      <c r="S2486" t="s">
        <v>9292</v>
      </c>
      <c r="T2486" t="s">
        <v>13610</v>
      </c>
      <c r="U2486" t="s">
        <v>13610</v>
      </c>
      <c r="V2486" t="s">
        <v>13610</v>
      </c>
      <c r="W2486" t="s">
        <v>16046</v>
      </c>
      <c r="X2486">
        <v>5</v>
      </c>
      <c r="Y2486" t="s">
        <v>22703</v>
      </c>
      <c r="Z2486" t="s">
        <v>29341</v>
      </c>
      <c r="AA2486">
        <v>0.53922263727139907</v>
      </c>
      <c r="AB2486" t="str">
        <f>HYPERLINK("Melting_Curves/meltCurve_P46976_2_GYG1.pdf", "Melting_Curves/meltCurve_P46976_2_GYG1.pdf")</f>
        <v>Melting_Curves/meltCurve_P46976_2_GYG1.pdf</v>
      </c>
    </row>
    <row r="2487" spans="1:28" x14ac:dyDescent="0.25">
      <c r="A2487" t="s">
        <v>2491</v>
      </c>
      <c r="B2487">
        <v>0.995954080203443</v>
      </c>
      <c r="C2487">
        <v>0.91284672357785801</v>
      </c>
      <c r="D2487">
        <v>0.77185025869590596</v>
      </c>
      <c r="E2487">
        <v>0.88721578114698496</v>
      </c>
      <c r="F2487">
        <v>0.37122184687344201</v>
      </c>
      <c r="G2487">
        <v>0.133525741744351</v>
      </c>
      <c r="H2487">
        <v>7.0877879680785599E-2</v>
      </c>
      <c r="I2487">
        <v>5.9996294440898698E-2</v>
      </c>
      <c r="J2487">
        <v>6.4583331345333103E-2</v>
      </c>
      <c r="K2487">
        <v>6.3127540003165894E-2</v>
      </c>
      <c r="L2487">
        <v>2076.8235605791501</v>
      </c>
      <c r="M2487">
        <v>39.836064114913697</v>
      </c>
      <c r="N2487">
        <v>52.332122170419296</v>
      </c>
      <c r="O2487">
        <v>52.003395351421197</v>
      </c>
      <c r="P2487">
        <v>-0.178119168406187</v>
      </c>
      <c r="Q2487">
        <v>6.9909929196876094E-2</v>
      </c>
      <c r="R2487">
        <v>0.96002312392841305</v>
      </c>
      <c r="S2487" t="s">
        <v>9293</v>
      </c>
      <c r="T2487" t="s">
        <v>13610</v>
      </c>
      <c r="U2487" t="s">
        <v>13610</v>
      </c>
      <c r="V2487" t="s">
        <v>13610</v>
      </c>
      <c r="W2487" t="s">
        <v>16047</v>
      </c>
      <c r="X2487">
        <v>7</v>
      </c>
      <c r="Y2487" t="s">
        <v>22704</v>
      </c>
      <c r="Z2487" t="s">
        <v>29342</v>
      </c>
      <c r="AA2487">
        <v>0.44948600535795469</v>
      </c>
      <c r="AB2487" t="str">
        <f>HYPERLINK("Melting_Curves/meltCurve_P46977_STT3A.pdf", "Melting_Curves/meltCurve_P46977_STT3A.pdf")</f>
        <v>Melting_Curves/meltCurve_P46977_STT3A.pdf</v>
      </c>
    </row>
    <row r="2488" spans="1:28" x14ac:dyDescent="0.25">
      <c r="A2488" t="s">
        <v>2492</v>
      </c>
      <c r="B2488">
        <v>0.995954080203443</v>
      </c>
      <c r="C2488">
        <v>1.01675380116376</v>
      </c>
      <c r="D2488">
        <v>0.98044876157670602</v>
      </c>
      <c r="E2488">
        <v>0.92000489588779699</v>
      </c>
      <c r="F2488">
        <v>0.87174016260961096</v>
      </c>
      <c r="G2488">
        <v>0.47789680330029399</v>
      </c>
      <c r="H2488">
        <v>0.10766258994783599</v>
      </c>
      <c r="I2488">
        <v>6.8823994024773197E-2</v>
      </c>
      <c r="J2488">
        <v>6.2701716081973793E-2</v>
      </c>
      <c r="K2488">
        <v>7.5217392982295003E-2</v>
      </c>
      <c r="L2488">
        <v>1646.71242229124</v>
      </c>
      <c r="M2488">
        <v>29.172916851108699</v>
      </c>
      <c r="N2488">
        <v>56.639495555158803</v>
      </c>
      <c r="O2488">
        <v>56.183374639162899</v>
      </c>
      <c r="P2488">
        <v>-0.12367390339003199</v>
      </c>
      <c r="Q2488">
        <v>4.7285304157287301E-2</v>
      </c>
      <c r="R2488">
        <v>0.99623026027680395</v>
      </c>
      <c r="S2488" t="s">
        <v>9294</v>
      </c>
      <c r="T2488" t="s">
        <v>13610</v>
      </c>
      <c r="U2488" t="s">
        <v>13610</v>
      </c>
      <c r="V2488" t="s">
        <v>13610</v>
      </c>
      <c r="W2488" t="s">
        <v>16048</v>
      </c>
      <c r="X2488">
        <v>3</v>
      </c>
      <c r="Y2488" t="s">
        <v>22705</v>
      </c>
      <c r="Z2488" t="s">
        <v>29343</v>
      </c>
      <c r="AA2488">
        <v>0.57626460869641283</v>
      </c>
      <c r="AB2488" t="str">
        <f>HYPERLINK("Melting_Curves/meltCurve_P47224_RABIF.pdf", "Melting_Curves/meltCurve_P47224_RABIF.pdf")</f>
        <v>Melting_Curves/meltCurve_P47224_RABIF.pdf</v>
      </c>
    </row>
    <row r="2489" spans="1:28" x14ac:dyDescent="0.25">
      <c r="A2489" t="s">
        <v>2493</v>
      </c>
      <c r="B2489">
        <v>0.995954080203443</v>
      </c>
      <c r="C2489">
        <v>0.90930426193206604</v>
      </c>
      <c r="D2489">
        <v>0.80399607834534204</v>
      </c>
      <c r="E2489">
        <v>0.61848046147466196</v>
      </c>
      <c r="F2489">
        <v>0.27895428873087502</v>
      </c>
      <c r="G2489">
        <v>0.149006207310628</v>
      </c>
      <c r="H2489">
        <v>0.108418026712266</v>
      </c>
      <c r="I2489">
        <v>9.1339925238027697E-2</v>
      </c>
      <c r="J2489">
        <v>0.121409088626699</v>
      </c>
      <c r="K2489">
        <v>0.11826281067771199</v>
      </c>
      <c r="L2489">
        <v>905.78788394026697</v>
      </c>
      <c r="M2489">
        <v>18.123727654332001</v>
      </c>
      <c r="N2489">
        <v>50.508449874702897</v>
      </c>
      <c r="O2489">
        <v>49.381462107875798</v>
      </c>
      <c r="P2489">
        <v>-8.3806470532808194E-2</v>
      </c>
      <c r="Q2489">
        <v>8.6658608615945196E-2</v>
      </c>
      <c r="R2489">
        <v>0.98850937127840199</v>
      </c>
      <c r="S2489" t="s">
        <v>9295</v>
      </c>
      <c r="T2489" t="s">
        <v>13610</v>
      </c>
      <c r="U2489" t="s">
        <v>13610</v>
      </c>
      <c r="V2489" t="s">
        <v>13610</v>
      </c>
      <c r="W2489" t="s">
        <v>16049</v>
      </c>
      <c r="X2489">
        <v>3</v>
      </c>
      <c r="Y2489" t="s">
        <v>22706</v>
      </c>
      <c r="Z2489" t="s">
        <v>29344</v>
      </c>
      <c r="AA2489">
        <v>0.40581476265350092</v>
      </c>
      <c r="AB2489" t="str">
        <f>HYPERLINK("Melting_Curves/meltCurve_P47712_PLA2G4A.pdf", "Melting_Curves/meltCurve_P47712_PLA2G4A.pdf")</f>
        <v>Melting_Curves/meltCurve_P47712_PLA2G4A.pdf</v>
      </c>
    </row>
    <row r="2490" spans="1:28" x14ac:dyDescent="0.25">
      <c r="A2490" t="s">
        <v>2494</v>
      </c>
      <c r="B2490">
        <v>0.995954080203443</v>
      </c>
      <c r="C2490">
        <v>0.98535783610820704</v>
      </c>
      <c r="D2490">
        <v>0.86276846632166104</v>
      </c>
      <c r="E2490">
        <v>0.65657526089037699</v>
      </c>
      <c r="F2490">
        <v>0.52752162455174001</v>
      </c>
      <c r="G2490">
        <v>0.39774306242996399</v>
      </c>
      <c r="H2490">
        <v>0.37908767947383898</v>
      </c>
      <c r="I2490">
        <v>0.46041326006930799</v>
      </c>
      <c r="J2490">
        <v>0.514507708770642</v>
      </c>
      <c r="K2490">
        <v>0.53847822182148497</v>
      </c>
      <c r="L2490">
        <v>1169.1804111904401</v>
      </c>
      <c r="M2490">
        <v>24.112936864980401</v>
      </c>
      <c r="N2490">
        <v>54.0344807513154</v>
      </c>
      <c r="O2490">
        <v>48.157885753981702</v>
      </c>
      <c r="P2490">
        <v>-6.7855513283489696E-2</v>
      </c>
      <c r="Q2490">
        <v>0.45792962349377198</v>
      </c>
      <c r="R2490">
        <v>0.95325612812456095</v>
      </c>
      <c r="S2490" t="s">
        <v>9296</v>
      </c>
      <c r="T2490" t="s">
        <v>13610</v>
      </c>
      <c r="U2490" t="s">
        <v>13610</v>
      </c>
      <c r="V2490" t="s">
        <v>13610</v>
      </c>
      <c r="W2490" t="s">
        <v>16050</v>
      </c>
      <c r="X2490">
        <v>10</v>
      </c>
      <c r="Y2490" t="s">
        <v>22707</v>
      </c>
      <c r="Z2490" t="s">
        <v>29345</v>
      </c>
      <c r="AA2490">
        <v>0.61646181897686059</v>
      </c>
      <c r="AB2490" t="str">
        <f>HYPERLINK("Melting_Curves/meltCurve_P47736_RAP1GAP.pdf", "Melting_Curves/meltCurve_P47736_RAP1GAP.pdf")</f>
        <v>Melting_Curves/meltCurve_P47736_RAP1GAP.pdf</v>
      </c>
    </row>
    <row r="2491" spans="1:28" x14ac:dyDescent="0.25">
      <c r="A2491" t="s">
        <v>2495</v>
      </c>
      <c r="B2491">
        <v>0.995954080203443</v>
      </c>
      <c r="C2491">
        <v>1.0803460810060601</v>
      </c>
      <c r="D2491">
        <v>1.01086497931854</v>
      </c>
      <c r="E2491">
        <v>1.0237206253656601</v>
      </c>
      <c r="F2491">
        <v>0.807909185544612</v>
      </c>
      <c r="G2491">
        <v>0.461150568086655</v>
      </c>
      <c r="H2491">
        <v>0.15762449698915501</v>
      </c>
      <c r="I2491">
        <v>0.106307399566981</v>
      </c>
      <c r="J2491">
        <v>0.102085948226424</v>
      </c>
      <c r="K2491">
        <v>8.4559597766134503E-2</v>
      </c>
      <c r="L2491">
        <v>1520.1478874796701</v>
      </c>
      <c r="M2491">
        <v>27.0996976827842</v>
      </c>
      <c r="N2491">
        <v>56.457348932357498</v>
      </c>
      <c r="O2491">
        <v>55.791858379571202</v>
      </c>
      <c r="P2491">
        <v>-0.111731645130836</v>
      </c>
      <c r="Q2491">
        <v>7.9892996622684398E-2</v>
      </c>
      <c r="R2491">
        <v>0.99322411283312195</v>
      </c>
      <c r="S2491" t="s">
        <v>9297</v>
      </c>
      <c r="T2491" t="s">
        <v>13610</v>
      </c>
      <c r="U2491" t="s">
        <v>13610</v>
      </c>
      <c r="V2491" t="s">
        <v>13610</v>
      </c>
      <c r="W2491" t="s">
        <v>16051</v>
      </c>
      <c r="X2491">
        <v>16</v>
      </c>
      <c r="Y2491" t="s">
        <v>22708</v>
      </c>
      <c r="Z2491" t="s">
        <v>29346</v>
      </c>
      <c r="AA2491">
        <v>0.58087685984532311</v>
      </c>
      <c r="AB2491" t="str">
        <f>HYPERLINK("Melting_Curves/meltCurve_P47755_CAPZA2.pdf", "Melting_Curves/meltCurve_P47755_CAPZA2.pdf")</f>
        <v>Melting_Curves/meltCurve_P47755_CAPZA2.pdf</v>
      </c>
    </row>
    <row r="2492" spans="1:28" x14ac:dyDescent="0.25">
      <c r="A2492" t="s">
        <v>2496</v>
      </c>
      <c r="B2492">
        <v>0.995954080203443</v>
      </c>
      <c r="C2492">
        <v>1.0244027400200599</v>
      </c>
      <c r="D2492">
        <v>1.0192642722732399</v>
      </c>
      <c r="E2492">
        <v>0.96122567877529397</v>
      </c>
      <c r="F2492">
        <v>0.87078583084567796</v>
      </c>
      <c r="G2492">
        <v>0.486228315093296</v>
      </c>
      <c r="H2492">
        <v>0.214429167498632</v>
      </c>
      <c r="I2492">
        <v>0.121296207983426</v>
      </c>
      <c r="J2492">
        <v>0.105260062873197</v>
      </c>
      <c r="K2492">
        <v>9.0181881994712096E-2</v>
      </c>
      <c r="L2492">
        <v>1476.91961249871</v>
      </c>
      <c r="M2492">
        <v>26.133035549818601</v>
      </c>
      <c r="N2492">
        <v>56.932729619353701</v>
      </c>
      <c r="O2492">
        <v>56.187587783271503</v>
      </c>
      <c r="P2492">
        <v>-0.106142327525808</v>
      </c>
      <c r="Q2492">
        <v>8.7160618276330898E-2</v>
      </c>
      <c r="R2492">
        <v>0.99908989747813703</v>
      </c>
      <c r="S2492" t="s">
        <v>9298</v>
      </c>
      <c r="T2492" t="s">
        <v>13610</v>
      </c>
      <c r="U2492" t="s">
        <v>13610</v>
      </c>
      <c r="V2492" t="s">
        <v>13610</v>
      </c>
      <c r="W2492" t="s">
        <v>16052</v>
      </c>
      <c r="X2492">
        <v>8</v>
      </c>
      <c r="Y2492" t="s">
        <v>22709</v>
      </c>
      <c r="Z2492" t="s">
        <v>29347</v>
      </c>
      <c r="AA2492">
        <v>0.59742373099668389</v>
      </c>
      <c r="AB2492" t="str">
        <f>HYPERLINK("Melting_Curves/meltCurve_P47813_EIF1AX.pdf", "Melting_Curves/meltCurve_P47813_EIF1AX.pdf")</f>
        <v>Melting_Curves/meltCurve_P47813_EIF1AX.pdf</v>
      </c>
    </row>
    <row r="2493" spans="1:28" x14ac:dyDescent="0.25">
      <c r="A2493" t="s">
        <v>2497</v>
      </c>
      <c r="B2493">
        <v>0.995954080203443</v>
      </c>
      <c r="C2493">
        <v>0.63945792531547696</v>
      </c>
      <c r="D2493">
        <v>0.46968633136083998</v>
      </c>
      <c r="E2493">
        <v>0.37019050747728099</v>
      </c>
      <c r="F2493">
        <v>0.14507866388771101</v>
      </c>
      <c r="G2493">
        <v>8.3134078026451994E-2</v>
      </c>
      <c r="H2493">
        <v>5.8925339726426301E-2</v>
      </c>
      <c r="I2493">
        <v>5.9142697174714501E-2</v>
      </c>
      <c r="J2493">
        <v>6.7809710781763705E-2</v>
      </c>
      <c r="K2493">
        <v>5.8590310828610201E-2</v>
      </c>
      <c r="L2493">
        <v>620.52485376991797</v>
      </c>
      <c r="M2493">
        <v>13.5686708338767</v>
      </c>
      <c r="N2493">
        <v>46.044556088926598</v>
      </c>
      <c r="O2493">
        <v>44.773132049108</v>
      </c>
      <c r="P2493">
        <v>-7.2442838765441595E-2</v>
      </c>
      <c r="Q2493">
        <v>4.3971913464981298E-2</v>
      </c>
      <c r="R2493">
        <v>0.96496205021424197</v>
      </c>
      <c r="S2493" t="s">
        <v>9299</v>
      </c>
      <c r="T2493" t="s">
        <v>13610</v>
      </c>
      <c r="U2493" t="s">
        <v>13610</v>
      </c>
      <c r="V2493" t="s">
        <v>13610</v>
      </c>
      <c r="W2493" t="s">
        <v>16053</v>
      </c>
      <c r="X2493">
        <v>33</v>
      </c>
      <c r="Y2493" t="s">
        <v>22710</v>
      </c>
      <c r="Z2493" t="s">
        <v>29348</v>
      </c>
      <c r="AA2493">
        <v>0.26176304152875379</v>
      </c>
      <c r="AB2493" t="str">
        <f>HYPERLINK("Melting_Curves/meltCurve_P47897_QARS.pdf", "Melting_Curves/meltCurve_P47897_QARS.pdf")</f>
        <v>Melting_Curves/meltCurve_P47897_QARS.pdf</v>
      </c>
    </row>
    <row r="2494" spans="1:28" x14ac:dyDescent="0.25">
      <c r="A2494" t="s">
        <v>2498</v>
      </c>
      <c r="B2494">
        <v>0.995954080203443</v>
      </c>
      <c r="C2494">
        <v>0.94744008226120602</v>
      </c>
      <c r="D2494">
        <v>1.0563971523992099</v>
      </c>
      <c r="E2494">
        <v>1.0069685607131</v>
      </c>
      <c r="F2494">
        <v>1.0544962583525299</v>
      </c>
      <c r="G2494">
        <v>0.81868797741747901</v>
      </c>
      <c r="H2494">
        <v>0.83786783248069496</v>
      </c>
      <c r="I2494">
        <v>1.00675627143859</v>
      </c>
      <c r="J2494">
        <v>1.45412441794706</v>
      </c>
      <c r="K2494">
        <v>1.22333444793706</v>
      </c>
      <c r="L2494">
        <v>15000</v>
      </c>
      <c r="M2494">
        <v>230.907384255632</v>
      </c>
      <c r="O2494">
        <v>64.9562312974425</v>
      </c>
      <c r="P2494">
        <v>0.30107110022113198</v>
      </c>
      <c r="Q2494">
        <v>1.3387755801236301</v>
      </c>
      <c r="R2494">
        <v>0.69216649875233804</v>
      </c>
      <c r="S2494" t="s">
        <v>9300</v>
      </c>
      <c r="T2494" t="s">
        <v>13610</v>
      </c>
      <c r="U2494" t="s">
        <v>13610</v>
      </c>
      <c r="V2494" t="s">
        <v>13610</v>
      </c>
      <c r="W2494" t="s">
        <v>16054</v>
      </c>
      <c r="X2494">
        <v>3</v>
      </c>
      <c r="Y2494" t="s">
        <v>22711</v>
      </c>
      <c r="Z2494" t="s">
        <v>29349</v>
      </c>
      <c r="AA2494">
        <v>1.056856487291949</v>
      </c>
      <c r="AB2494" t="str">
        <f>HYPERLINK("Melting_Curves/meltCurve_P47914_RPL29.pdf", "Melting_Curves/meltCurve_P47914_RPL29.pdf")</f>
        <v>Melting_Curves/meltCurve_P47914_RPL29.pdf</v>
      </c>
    </row>
    <row r="2495" spans="1:28" x14ac:dyDescent="0.25">
      <c r="A2495" t="s">
        <v>2499</v>
      </c>
      <c r="B2495">
        <v>0.995954080203443</v>
      </c>
      <c r="C2495">
        <v>0.91615093586336604</v>
      </c>
      <c r="D2495">
        <v>0.79731361816463298</v>
      </c>
      <c r="E2495">
        <v>0.72619636932579401</v>
      </c>
      <c r="F2495">
        <v>0.66984412010345296</v>
      </c>
      <c r="G2495">
        <v>0.51680816992179701</v>
      </c>
      <c r="H2495">
        <v>0.45890985623984398</v>
      </c>
      <c r="I2495">
        <v>0.56409260150345397</v>
      </c>
      <c r="J2495">
        <v>0.61812306950136398</v>
      </c>
      <c r="K2495">
        <v>0.73662531283161103</v>
      </c>
      <c r="L2495">
        <v>803.79771535320003</v>
      </c>
      <c r="M2495">
        <v>17.208227102149799</v>
      </c>
      <c r="O2495">
        <v>46.092979440004903</v>
      </c>
      <c r="P2495">
        <v>-3.8806150061651001E-2</v>
      </c>
      <c r="Q2495">
        <v>0.58424874225761403</v>
      </c>
      <c r="R2495">
        <v>0.79804529483972597</v>
      </c>
      <c r="S2495" t="s">
        <v>9301</v>
      </c>
      <c r="T2495" t="s">
        <v>13610</v>
      </c>
      <c r="U2495" t="s">
        <v>13610</v>
      </c>
      <c r="V2495" t="s">
        <v>13610</v>
      </c>
      <c r="W2495" t="s">
        <v>16055</v>
      </c>
      <c r="X2495">
        <v>3</v>
      </c>
      <c r="Y2495" t="s">
        <v>22712</v>
      </c>
      <c r="Z2495" t="s">
        <v>29350</v>
      </c>
      <c r="AA2495">
        <v>0.685833087942886</v>
      </c>
      <c r="AB2495" t="str">
        <f>HYPERLINK("Melting_Curves/meltCurve_P47974_ZFP36L2.pdf", "Melting_Curves/meltCurve_P47974_ZFP36L2.pdf")</f>
        <v>Melting_Curves/meltCurve_P47974_ZFP36L2.pdf</v>
      </c>
    </row>
    <row r="2496" spans="1:28" x14ac:dyDescent="0.25">
      <c r="A2496" t="s">
        <v>2500</v>
      </c>
      <c r="B2496">
        <v>0.995954080203443</v>
      </c>
      <c r="C2496">
        <v>0.80330270634779699</v>
      </c>
      <c r="D2496">
        <v>0.73887416939237704</v>
      </c>
      <c r="E2496">
        <v>0.47571946916185698</v>
      </c>
      <c r="F2496">
        <v>0.36144106746826099</v>
      </c>
      <c r="G2496">
        <v>0.244392372116115</v>
      </c>
      <c r="H2496">
        <v>0.196690713641128</v>
      </c>
      <c r="I2496">
        <v>0.19402180229375701</v>
      </c>
      <c r="J2496">
        <v>0.18708408273442501</v>
      </c>
      <c r="K2496">
        <v>0.15079749660592301</v>
      </c>
      <c r="L2496">
        <v>626.99687466181399</v>
      </c>
      <c r="M2496">
        <v>12.9752785256814</v>
      </c>
      <c r="N2496">
        <v>49.686203075949003</v>
      </c>
      <c r="O2496">
        <v>47.217819323334503</v>
      </c>
      <c r="P2496">
        <v>-5.8417362945804102E-2</v>
      </c>
      <c r="Q2496">
        <v>0.14981415228116399</v>
      </c>
      <c r="R2496">
        <v>0.99108777337068699</v>
      </c>
      <c r="S2496" t="s">
        <v>9302</v>
      </c>
      <c r="T2496" t="s">
        <v>13610</v>
      </c>
      <c r="U2496" t="s">
        <v>13610</v>
      </c>
      <c r="V2496" t="s">
        <v>13610</v>
      </c>
      <c r="W2496" t="s">
        <v>16056</v>
      </c>
      <c r="X2496">
        <v>5</v>
      </c>
      <c r="Y2496" t="s">
        <v>22713</v>
      </c>
      <c r="Z2496" t="s">
        <v>29351</v>
      </c>
      <c r="AA2496">
        <v>0.41401646412224208</v>
      </c>
      <c r="AB2496" t="str">
        <f>HYPERLINK("Melting_Curves/meltCurve_P47985_UQCRFS1.pdf", "Melting_Curves/meltCurve_P47985_UQCRFS1.pdf")</f>
        <v>Melting_Curves/meltCurve_P47985_UQCRFS1.pdf</v>
      </c>
    </row>
    <row r="2497" spans="1:28" x14ac:dyDescent="0.25">
      <c r="A2497" t="s">
        <v>2501</v>
      </c>
      <c r="B2497">
        <v>0.995954080203443</v>
      </c>
      <c r="C2497">
        <v>0.80238337124188697</v>
      </c>
      <c r="D2497">
        <v>0.59979419640675602</v>
      </c>
      <c r="E2497">
        <v>0.72924084219487795</v>
      </c>
      <c r="F2497">
        <v>0.30071846211355302</v>
      </c>
      <c r="G2497">
        <v>0.12721462315153101</v>
      </c>
      <c r="H2497">
        <v>5.7520942559054197E-2</v>
      </c>
      <c r="I2497">
        <v>4.7476965659490999E-2</v>
      </c>
      <c r="J2497">
        <v>5.1724811145481803E-2</v>
      </c>
      <c r="K2497">
        <v>4.4562379976195297E-2</v>
      </c>
      <c r="L2497">
        <v>580.79121189415798</v>
      </c>
      <c r="M2497">
        <v>11.616296143380699</v>
      </c>
      <c r="N2497">
        <v>49.997968756501201</v>
      </c>
      <c r="O2497">
        <v>48.585166834407701</v>
      </c>
      <c r="P2497">
        <v>-5.97891958064799E-2</v>
      </c>
      <c r="Q2497">
        <v>0</v>
      </c>
      <c r="R2497">
        <v>0.92941468876774203</v>
      </c>
      <c r="S2497" t="s">
        <v>9303</v>
      </c>
      <c r="T2497" t="s">
        <v>13610</v>
      </c>
      <c r="U2497" t="s">
        <v>13610</v>
      </c>
      <c r="V2497" t="s">
        <v>13610</v>
      </c>
      <c r="W2497" t="s">
        <v>16057</v>
      </c>
      <c r="X2497">
        <v>2</v>
      </c>
      <c r="Y2497" t="s">
        <v>22714</v>
      </c>
      <c r="Z2497" t="s">
        <v>29352</v>
      </c>
      <c r="AA2497">
        <v>0.36966809590916688</v>
      </c>
      <c r="AB2497" t="str">
        <f>HYPERLINK("Melting_Curves/meltCurve_P48047_ATP5O.pdf", "Melting_Curves/meltCurve_P48047_ATP5O.pdf")</f>
        <v>Melting_Curves/meltCurve_P48047_ATP5O.pdf</v>
      </c>
    </row>
    <row r="2498" spans="1:28" x14ac:dyDescent="0.25">
      <c r="A2498" t="s">
        <v>2502</v>
      </c>
      <c r="B2498">
        <v>0.995954080203443</v>
      </c>
      <c r="C2498">
        <v>0.98517731651789897</v>
      </c>
      <c r="D2498">
        <v>0.88121857611020404</v>
      </c>
      <c r="E2498">
        <v>0.65189236453446697</v>
      </c>
      <c r="F2498">
        <v>0.26906280783890701</v>
      </c>
      <c r="G2498">
        <v>0.138181335644466</v>
      </c>
      <c r="H2498">
        <v>8.4457053333895304E-2</v>
      </c>
      <c r="I2498">
        <v>7.4980572574562296E-2</v>
      </c>
      <c r="J2498">
        <v>8.4641174557824106E-2</v>
      </c>
      <c r="K2498">
        <v>7.7290737189243494E-2</v>
      </c>
      <c r="L2498">
        <v>1267.52707947417</v>
      </c>
      <c r="M2498">
        <v>25.0212576801603</v>
      </c>
      <c r="N2498">
        <v>50.984554743685798</v>
      </c>
      <c r="O2498">
        <v>50.3377319481122</v>
      </c>
      <c r="P2498">
        <v>-0.115068013916029</v>
      </c>
      <c r="Q2498">
        <v>7.40373396104404E-2</v>
      </c>
      <c r="R2498">
        <v>0.99622037905508698</v>
      </c>
      <c r="S2498" t="s">
        <v>9304</v>
      </c>
      <c r="T2498" t="s">
        <v>13610</v>
      </c>
      <c r="U2498" t="s">
        <v>13610</v>
      </c>
      <c r="V2498" t="s">
        <v>13610</v>
      </c>
      <c r="W2498" t="s">
        <v>16058</v>
      </c>
      <c r="X2498">
        <v>16</v>
      </c>
      <c r="Y2498" t="s">
        <v>22715</v>
      </c>
      <c r="Z2498" t="s">
        <v>29353</v>
      </c>
      <c r="AA2498">
        <v>0.41132116768900828</v>
      </c>
      <c r="AB2498" t="str">
        <f>HYPERLINK("Melting_Curves/meltCurve_P48059_LIMS1.pdf", "Melting_Curves/meltCurve_P48059_LIMS1.pdf")</f>
        <v>Melting_Curves/meltCurve_P48059_LIMS1.pdf</v>
      </c>
    </row>
    <row r="2499" spans="1:28" x14ac:dyDescent="0.25">
      <c r="A2499" t="s">
        <v>2503</v>
      </c>
      <c r="B2499">
        <v>0.995954080203443</v>
      </c>
      <c r="C2499">
        <v>1.1093145422522199</v>
      </c>
      <c r="D2499">
        <v>0.73982441754958606</v>
      </c>
      <c r="E2499">
        <v>0.58258953161656701</v>
      </c>
      <c r="F2499">
        <v>0.15347458727855001</v>
      </c>
      <c r="G2499">
        <v>8.6689691635411306E-2</v>
      </c>
      <c r="H2499">
        <v>5.7492662446020797E-2</v>
      </c>
      <c r="I2499">
        <v>5.30156629551405E-2</v>
      </c>
      <c r="J2499">
        <v>6.0244139829692699E-2</v>
      </c>
      <c r="K2499">
        <v>5.3780910721659497E-2</v>
      </c>
      <c r="L2499">
        <v>1116.08831793127</v>
      </c>
      <c r="M2499">
        <v>22.465492027453902</v>
      </c>
      <c r="N2499">
        <v>49.876100475951503</v>
      </c>
      <c r="O2499">
        <v>49.291501086804402</v>
      </c>
      <c r="P2499">
        <v>-0.109130721297893</v>
      </c>
      <c r="Q2499">
        <v>4.2245496371392403E-2</v>
      </c>
      <c r="R2499">
        <v>0.96983527560152705</v>
      </c>
      <c r="S2499" t="s">
        <v>9305</v>
      </c>
      <c r="T2499" t="s">
        <v>13610</v>
      </c>
      <c r="U2499" t="s">
        <v>13610</v>
      </c>
      <c r="V2499" t="s">
        <v>13610</v>
      </c>
      <c r="W2499" t="s">
        <v>16059</v>
      </c>
      <c r="X2499">
        <v>34</v>
      </c>
      <c r="Y2499" t="s">
        <v>22716</v>
      </c>
      <c r="Z2499" t="s">
        <v>29354</v>
      </c>
      <c r="AA2499">
        <v>0.36187355103371038</v>
      </c>
      <c r="AB2499" t="str">
        <f>HYPERLINK("Melting_Curves/meltCurve_P48147_PREP.pdf", "Melting_Curves/meltCurve_P48147_PREP.pdf")</f>
        <v>Melting_Curves/meltCurve_P48147_PREP.pdf</v>
      </c>
    </row>
    <row r="2500" spans="1:28" x14ac:dyDescent="0.25">
      <c r="A2500" t="s">
        <v>2504</v>
      </c>
      <c r="B2500">
        <v>0.995954080203443</v>
      </c>
      <c r="C2500">
        <v>0.89797767039394805</v>
      </c>
      <c r="D2500">
        <v>0.81883990652765204</v>
      </c>
      <c r="E2500">
        <v>0.83290685580351098</v>
      </c>
      <c r="F2500">
        <v>0.66636106212058999</v>
      </c>
      <c r="G2500">
        <v>0.40928986910711501</v>
      </c>
      <c r="H2500">
        <v>0.160385540248694</v>
      </c>
      <c r="I2500">
        <v>0.118697088256615</v>
      </c>
      <c r="J2500">
        <v>9.6575513080373807E-2</v>
      </c>
      <c r="K2500">
        <v>9.4027508965164097E-2</v>
      </c>
      <c r="L2500">
        <v>712.40151589534901</v>
      </c>
      <c r="M2500">
        <v>12.9282637491019</v>
      </c>
      <c r="N2500">
        <v>55.104191072137098</v>
      </c>
      <c r="O2500">
        <v>53.835736678059</v>
      </c>
      <c r="P2500">
        <v>-6.0046538003531998E-2</v>
      </c>
      <c r="Q2500">
        <v>0</v>
      </c>
      <c r="R2500">
        <v>0.97791915217604497</v>
      </c>
      <c r="S2500" t="s">
        <v>9306</v>
      </c>
      <c r="T2500" t="s">
        <v>13610</v>
      </c>
      <c r="U2500" t="s">
        <v>13610</v>
      </c>
      <c r="V2500" t="s">
        <v>13610</v>
      </c>
      <c r="W2500" t="s">
        <v>16060</v>
      </c>
      <c r="X2500">
        <v>20</v>
      </c>
      <c r="Y2500" t="s">
        <v>22717</v>
      </c>
      <c r="Z2500" t="s">
        <v>29355</v>
      </c>
      <c r="AA2500">
        <v>0.52540541752774195</v>
      </c>
      <c r="AB2500" t="str">
        <f>HYPERLINK("Melting_Curves/meltCurve_P48163_ME1.pdf", "Melting_Curves/meltCurve_P48163_ME1.pdf")</f>
        <v>Melting_Curves/meltCurve_P48163_ME1.pdf</v>
      </c>
    </row>
    <row r="2501" spans="1:28" x14ac:dyDescent="0.25">
      <c r="A2501" t="s">
        <v>2505</v>
      </c>
      <c r="B2501">
        <v>0.995954080203443</v>
      </c>
      <c r="C2501">
        <v>0.97981900836707303</v>
      </c>
      <c r="D2501">
        <v>0.67889104957195101</v>
      </c>
      <c r="E2501">
        <v>0.26681929228294399</v>
      </c>
      <c r="F2501">
        <v>0.109272776133334</v>
      </c>
      <c r="G2501">
        <v>6.0688023062043302E-2</v>
      </c>
      <c r="H2501">
        <v>4.1503382270156E-2</v>
      </c>
      <c r="I2501">
        <v>3.63207334546485E-2</v>
      </c>
      <c r="J2501">
        <v>3.9980272299923299E-2</v>
      </c>
      <c r="K2501">
        <v>4.2138958771393703E-2</v>
      </c>
      <c r="L2501">
        <v>1181.20815796028</v>
      </c>
      <c r="M2501">
        <v>24.879830552885899</v>
      </c>
      <c r="N2501">
        <v>47.641425814513099</v>
      </c>
      <c r="O2501">
        <v>47.173000121147801</v>
      </c>
      <c r="P2501">
        <v>-0.12641641895139399</v>
      </c>
      <c r="Q2501">
        <v>4.1253777807617499E-2</v>
      </c>
      <c r="R2501">
        <v>0.99815850343955503</v>
      </c>
      <c r="S2501" t="s">
        <v>9307</v>
      </c>
      <c r="T2501" t="s">
        <v>13610</v>
      </c>
      <c r="U2501" t="s">
        <v>13610</v>
      </c>
      <c r="V2501" t="s">
        <v>13610</v>
      </c>
      <c r="W2501" t="s">
        <v>16061</v>
      </c>
      <c r="X2501">
        <v>18</v>
      </c>
      <c r="Y2501" t="s">
        <v>22718</v>
      </c>
      <c r="Z2501" t="s">
        <v>29356</v>
      </c>
      <c r="AA2501">
        <v>0.28878003839204458</v>
      </c>
      <c r="AB2501" t="str">
        <f>HYPERLINK("Melting_Curves/meltCurve_P48200_IREB2.pdf", "Melting_Curves/meltCurve_P48200_IREB2.pdf")</f>
        <v>Melting_Curves/meltCurve_P48200_IREB2.pdf</v>
      </c>
    </row>
    <row r="2502" spans="1:28" x14ac:dyDescent="0.25">
      <c r="A2502" t="s">
        <v>2506</v>
      </c>
      <c r="B2502">
        <v>0.995954080203443</v>
      </c>
      <c r="C2502">
        <v>1.0376400713877201</v>
      </c>
      <c r="D2502">
        <v>0.839247623942318</v>
      </c>
      <c r="E2502">
        <v>0.74125551633573195</v>
      </c>
      <c r="F2502">
        <v>0.34042480967268701</v>
      </c>
      <c r="G2502">
        <v>0.153207094121005</v>
      </c>
      <c r="H2502">
        <v>8.3389308164650094E-2</v>
      </c>
      <c r="I2502">
        <v>3.8501005082175299E-2</v>
      </c>
      <c r="J2502">
        <v>3.7927661570853401E-2</v>
      </c>
      <c r="K2502">
        <v>3.4797824891894598E-2</v>
      </c>
      <c r="L2502">
        <v>1098.16101134781</v>
      </c>
      <c r="M2502">
        <v>21.275045114052801</v>
      </c>
      <c r="N2502">
        <v>51.776202727024497</v>
      </c>
      <c r="O2502">
        <v>51.167779481816098</v>
      </c>
      <c r="P2502">
        <v>-0.100665490736828</v>
      </c>
      <c r="Q2502">
        <v>3.1598148216939098E-2</v>
      </c>
      <c r="R2502">
        <v>0.98895449037545902</v>
      </c>
      <c r="S2502" t="s">
        <v>9308</v>
      </c>
      <c r="T2502" t="s">
        <v>13610</v>
      </c>
      <c r="U2502" t="s">
        <v>13610</v>
      </c>
      <c r="V2502" t="s">
        <v>13610</v>
      </c>
      <c r="W2502" t="s">
        <v>16062</v>
      </c>
      <c r="X2502">
        <v>3</v>
      </c>
      <c r="Y2502" t="s">
        <v>22719</v>
      </c>
      <c r="Z2502" t="s">
        <v>29357</v>
      </c>
      <c r="AA2502">
        <v>0.41858153293024247</v>
      </c>
      <c r="AB2502" t="str">
        <f>HYPERLINK("Melting_Curves/meltCurve_P48378_2_RFX2.pdf", "Melting_Curves/meltCurve_P48378_2_RFX2.pdf")</f>
        <v>Melting_Curves/meltCurve_P48378_2_RFX2.pdf</v>
      </c>
    </row>
    <row r="2503" spans="1:28" x14ac:dyDescent="0.25">
      <c r="A2503" t="s">
        <v>2507</v>
      </c>
      <c r="B2503">
        <v>0.995954080203443</v>
      </c>
      <c r="C2503">
        <v>0.90782415077905199</v>
      </c>
      <c r="D2503">
        <v>0.72888982535636204</v>
      </c>
      <c r="E2503">
        <v>0.65215772441559805</v>
      </c>
      <c r="F2503">
        <v>0.365370624921043</v>
      </c>
      <c r="G2503">
        <v>0.194941118928881</v>
      </c>
      <c r="H2503">
        <v>0.155134806453959</v>
      </c>
      <c r="I2503">
        <v>0.16527532430786199</v>
      </c>
      <c r="J2503">
        <v>0.122056844313324</v>
      </c>
      <c r="K2503">
        <v>0.15964607968340699</v>
      </c>
      <c r="L2503">
        <v>694.85547650503202</v>
      </c>
      <c r="M2503">
        <v>13.8820935186907</v>
      </c>
      <c r="N2503">
        <v>50.9269291547119</v>
      </c>
      <c r="O2503">
        <v>49.0497131949204</v>
      </c>
      <c r="P2503">
        <v>-6.3273020624193294E-2</v>
      </c>
      <c r="Q2503">
        <v>0.10586999454340899</v>
      </c>
      <c r="R2503">
        <v>0.98145111101515203</v>
      </c>
      <c r="S2503" t="s">
        <v>9309</v>
      </c>
      <c r="T2503" t="s">
        <v>13610</v>
      </c>
      <c r="U2503" t="s">
        <v>13610</v>
      </c>
      <c r="V2503" t="s">
        <v>13610</v>
      </c>
      <c r="W2503" t="s">
        <v>16063</v>
      </c>
      <c r="X2503">
        <v>3</v>
      </c>
      <c r="Y2503" t="s">
        <v>22720</v>
      </c>
      <c r="Z2503" t="s">
        <v>29358</v>
      </c>
      <c r="AA2503">
        <v>0.42986514552687061</v>
      </c>
      <c r="AB2503" t="str">
        <f>HYPERLINK("Melting_Curves/meltCurve_P48380_2_RFX3.pdf", "Melting_Curves/meltCurve_P48380_2_RFX3.pdf")</f>
        <v>Melting_Curves/meltCurve_P48380_2_RFX3.pdf</v>
      </c>
    </row>
    <row r="2504" spans="1:28" x14ac:dyDescent="0.25">
      <c r="A2504" t="s">
        <v>2508</v>
      </c>
      <c r="B2504">
        <v>0.995954080203443</v>
      </c>
      <c r="C2504">
        <v>0.95025610671152005</v>
      </c>
      <c r="D2504">
        <v>1.0903433823550499</v>
      </c>
      <c r="E2504">
        <v>0.91416109700418702</v>
      </c>
      <c r="F2504">
        <v>0.99417381604495103</v>
      </c>
      <c r="G2504">
        <v>0.75229854505669302</v>
      </c>
      <c r="H2504">
        <v>0.73288994894756598</v>
      </c>
      <c r="I2504">
        <v>0.88341667170807903</v>
      </c>
      <c r="J2504">
        <v>1.1656511779777501</v>
      </c>
      <c r="K2504">
        <v>1.08528950602011</v>
      </c>
      <c r="L2504">
        <v>3473.0684196243501</v>
      </c>
      <c r="M2504">
        <v>52.396088231182098</v>
      </c>
      <c r="O2504">
        <v>66.188536860683001</v>
      </c>
      <c r="P2504">
        <v>2.4814055403092099E-2</v>
      </c>
      <c r="Q2504">
        <v>1.1253837758465199</v>
      </c>
      <c r="R2504">
        <v>1.3274819960497E-2</v>
      </c>
      <c r="S2504" t="s">
        <v>9310</v>
      </c>
      <c r="T2504" t="s">
        <v>13610</v>
      </c>
      <c r="U2504" t="s">
        <v>13610</v>
      </c>
      <c r="V2504" t="s">
        <v>13610</v>
      </c>
      <c r="W2504" t="s">
        <v>16064</v>
      </c>
      <c r="X2504">
        <v>23</v>
      </c>
      <c r="Y2504" t="s">
        <v>22721</v>
      </c>
      <c r="Z2504" t="s">
        <v>29359</v>
      </c>
      <c r="AA2504">
        <v>1.015563629592841</v>
      </c>
      <c r="AB2504" t="str">
        <f>HYPERLINK("Melting_Curves/meltCurve_P48382_RFX5.pdf", "Melting_Curves/meltCurve_P48382_RFX5.pdf")</f>
        <v>Melting_Curves/meltCurve_P48382_RFX5.pdf</v>
      </c>
    </row>
    <row r="2505" spans="1:28" x14ac:dyDescent="0.25">
      <c r="A2505" t="s">
        <v>2509</v>
      </c>
      <c r="B2505">
        <v>0.995954080203443</v>
      </c>
      <c r="C2505">
        <v>0.98365928843968298</v>
      </c>
      <c r="D2505">
        <v>1.0241978171708099</v>
      </c>
      <c r="E2505">
        <v>0.88888685651351995</v>
      </c>
      <c r="F2505">
        <v>0.74055292086318003</v>
      </c>
      <c r="G2505">
        <v>0.31321378953850598</v>
      </c>
      <c r="H2505">
        <v>0.147808875081301</v>
      </c>
      <c r="I2505">
        <v>0.142388751817872</v>
      </c>
      <c r="J2505">
        <v>0.15190126131618401</v>
      </c>
      <c r="K2505">
        <v>0.15140155077609599</v>
      </c>
      <c r="L2505">
        <v>1553.0770455028501</v>
      </c>
      <c r="M2505">
        <v>28.570396940067798</v>
      </c>
      <c r="N2505">
        <v>54.966718888067597</v>
      </c>
      <c r="O2505">
        <v>54.095424511192903</v>
      </c>
      <c r="P2505">
        <v>-0.114173194640332</v>
      </c>
      <c r="Q2505">
        <v>0.13530084061706399</v>
      </c>
      <c r="R2505">
        <v>0.99686688716197602</v>
      </c>
      <c r="S2505" t="s">
        <v>9311</v>
      </c>
      <c r="T2505" t="s">
        <v>13610</v>
      </c>
      <c r="U2505" t="s">
        <v>13610</v>
      </c>
      <c r="V2505" t="s">
        <v>13610</v>
      </c>
      <c r="W2505" t="s">
        <v>16065</v>
      </c>
      <c r="X2505">
        <v>32</v>
      </c>
      <c r="Y2505" t="s">
        <v>22722</v>
      </c>
      <c r="Z2505" t="s">
        <v>29360</v>
      </c>
      <c r="AA2505">
        <v>0.55545125774848392</v>
      </c>
      <c r="AB2505" t="str">
        <f>HYPERLINK("Melting_Curves/meltCurve_P48444_ARCN1.pdf", "Melting_Curves/meltCurve_P48444_ARCN1.pdf")</f>
        <v>Melting_Curves/meltCurve_P48444_ARCN1.pdf</v>
      </c>
    </row>
    <row r="2506" spans="1:28" x14ac:dyDescent="0.25">
      <c r="A2506" t="s">
        <v>2510</v>
      </c>
      <c r="B2506">
        <v>0.995954080203443</v>
      </c>
      <c r="C2506">
        <v>0.88388650133299396</v>
      </c>
      <c r="D2506">
        <v>0.78127752598122902</v>
      </c>
      <c r="E2506">
        <v>0.68588068251523404</v>
      </c>
      <c r="F2506">
        <v>0.42683901191643903</v>
      </c>
      <c r="G2506">
        <v>0.32331505848872499</v>
      </c>
      <c r="H2506">
        <v>0.28195665053552499</v>
      </c>
      <c r="I2506">
        <v>0.29804448846796</v>
      </c>
      <c r="J2506">
        <v>0.36859280211454298</v>
      </c>
      <c r="K2506">
        <v>0.27457596061066503</v>
      </c>
      <c r="L2506">
        <v>720.70251699738503</v>
      </c>
      <c r="M2506">
        <v>14.6319251626905</v>
      </c>
      <c r="N2506">
        <v>52.127537394371402</v>
      </c>
      <c r="O2506">
        <v>48.362884741771403</v>
      </c>
      <c r="P2506">
        <v>-5.47123665686301E-2</v>
      </c>
      <c r="Q2506">
        <v>0.27671765296803003</v>
      </c>
      <c r="R2506">
        <v>0.96942246532356602</v>
      </c>
      <c r="S2506" t="s">
        <v>9312</v>
      </c>
      <c r="T2506" t="s">
        <v>13610</v>
      </c>
      <c r="U2506" t="s">
        <v>13610</v>
      </c>
      <c r="V2506" t="s">
        <v>13610</v>
      </c>
      <c r="W2506" t="s">
        <v>16066</v>
      </c>
      <c r="X2506">
        <v>2</v>
      </c>
      <c r="Y2506" t="s">
        <v>22723</v>
      </c>
      <c r="Z2506" t="s">
        <v>29361</v>
      </c>
      <c r="AA2506">
        <v>0.51837670687630277</v>
      </c>
      <c r="AB2506" t="str">
        <f>HYPERLINK("Melting_Curves/meltCurve_P48449_2_LSS.pdf", "Melting_Curves/meltCurve_P48449_2_LSS.pdf")</f>
        <v>Melting_Curves/meltCurve_P48449_2_LSS.pdf</v>
      </c>
    </row>
    <row r="2507" spans="1:28" x14ac:dyDescent="0.25">
      <c r="A2507" t="s">
        <v>2511</v>
      </c>
      <c r="B2507">
        <v>0.995954080203443</v>
      </c>
      <c r="C2507">
        <v>0.97811103161281798</v>
      </c>
      <c r="D2507">
        <v>0.87577035269528603</v>
      </c>
      <c r="E2507">
        <v>0.70829926852769998</v>
      </c>
      <c r="F2507">
        <v>0.40344448304625802</v>
      </c>
      <c r="G2507">
        <v>0.19707353730006899</v>
      </c>
      <c r="H2507">
        <v>0.100422586896782</v>
      </c>
      <c r="I2507">
        <v>8.0718178845065297E-2</v>
      </c>
      <c r="J2507">
        <v>9.5106779409229694E-2</v>
      </c>
      <c r="K2507">
        <v>7.9288918617687304E-2</v>
      </c>
      <c r="L2507">
        <v>992.08082368886096</v>
      </c>
      <c r="M2507">
        <v>19.220017520369701</v>
      </c>
      <c r="N2507">
        <v>52.007375900017401</v>
      </c>
      <c r="O2507">
        <v>51.068027542331798</v>
      </c>
      <c r="P2507">
        <v>-8.7774315447615006E-2</v>
      </c>
      <c r="Q2507">
        <v>6.7162045491610894E-2</v>
      </c>
      <c r="R2507">
        <v>0.99729899950773904</v>
      </c>
      <c r="S2507" t="s">
        <v>9313</v>
      </c>
      <c r="T2507" t="s">
        <v>13610</v>
      </c>
      <c r="U2507" t="s">
        <v>13610</v>
      </c>
      <c r="V2507" t="s">
        <v>13610</v>
      </c>
      <c r="W2507" t="s">
        <v>16067</v>
      </c>
      <c r="X2507">
        <v>6</v>
      </c>
      <c r="Y2507" t="s">
        <v>22724</v>
      </c>
      <c r="Z2507" t="s">
        <v>29362</v>
      </c>
      <c r="AA2507">
        <v>0.44228190489131319</v>
      </c>
      <c r="AB2507" t="str">
        <f>HYPERLINK("Melting_Curves/meltCurve_P48454_PPP3CC.pdf", "Melting_Curves/meltCurve_P48454_PPP3CC.pdf")</f>
        <v>Melting_Curves/meltCurve_P48454_PPP3CC.pdf</v>
      </c>
    </row>
    <row r="2508" spans="1:28" x14ac:dyDescent="0.25">
      <c r="A2508" t="s">
        <v>2512</v>
      </c>
      <c r="B2508">
        <v>0.995954080203443</v>
      </c>
      <c r="C2508">
        <v>0.98621667306938698</v>
      </c>
      <c r="D2508">
        <v>0.95944239920539598</v>
      </c>
      <c r="E2508">
        <v>0.62407018860631502</v>
      </c>
      <c r="F2508">
        <v>0.249526570526235</v>
      </c>
      <c r="G2508">
        <v>0.133303715808059</v>
      </c>
      <c r="H2508">
        <v>7.7063031028359194E-2</v>
      </c>
      <c r="I2508">
        <v>7.1507269817182001E-2</v>
      </c>
      <c r="J2508">
        <v>8.2716528652357305E-2</v>
      </c>
      <c r="K2508">
        <v>7.9998008788431593E-2</v>
      </c>
      <c r="L2508">
        <v>1568.1629768422899</v>
      </c>
      <c r="M2508">
        <v>31.011614066921901</v>
      </c>
      <c r="N2508">
        <v>50.856064080099003</v>
      </c>
      <c r="O2508">
        <v>50.358085547758897</v>
      </c>
      <c r="P2508">
        <v>-0.141514454073148</v>
      </c>
      <c r="Q2508">
        <v>8.0814529960321499E-2</v>
      </c>
      <c r="R2508">
        <v>0.99931960666362096</v>
      </c>
      <c r="S2508" t="s">
        <v>9314</v>
      </c>
      <c r="T2508" t="s">
        <v>13610</v>
      </c>
      <c r="U2508" t="s">
        <v>13610</v>
      </c>
      <c r="V2508" t="s">
        <v>13610</v>
      </c>
      <c r="W2508" t="s">
        <v>16068</v>
      </c>
      <c r="X2508">
        <v>24</v>
      </c>
      <c r="Y2508" t="s">
        <v>22725</v>
      </c>
      <c r="Z2508" t="s">
        <v>29363</v>
      </c>
      <c r="AA2508">
        <v>0.4099487702144689</v>
      </c>
      <c r="AB2508" t="str">
        <f>HYPERLINK("Melting_Curves/meltCurve_P48506_GCLC.pdf", "Melting_Curves/meltCurve_P48506_GCLC.pdf")</f>
        <v>Melting_Curves/meltCurve_P48506_GCLC.pdf</v>
      </c>
    </row>
    <row r="2509" spans="1:28" x14ac:dyDescent="0.25">
      <c r="A2509" t="s">
        <v>2513</v>
      </c>
      <c r="B2509">
        <v>0.995954080203443</v>
      </c>
      <c r="C2509">
        <v>0.94335296185227102</v>
      </c>
      <c r="D2509">
        <v>0.99728286901759999</v>
      </c>
      <c r="E2509">
        <v>0.62918583879602097</v>
      </c>
      <c r="F2509">
        <v>0.28318913876331298</v>
      </c>
      <c r="G2509">
        <v>0.16114061909338301</v>
      </c>
      <c r="H2509">
        <v>0.118917543872629</v>
      </c>
      <c r="I2509">
        <v>0.115229918001717</v>
      </c>
      <c r="J2509">
        <v>0.144376241972726</v>
      </c>
      <c r="K2509">
        <v>0.12010698976857299</v>
      </c>
      <c r="L2509">
        <v>1679.70397022883</v>
      </c>
      <c r="M2509">
        <v>33.25652707471</v>
      </c>
      <c r="N2509">
        <v>50.958855362674498</v>
      </c>
      <c r="O2509">
        <v>50.325931028969798</v>
      </c>
      <c r="P2509">
        <v>-0.14413085046099799</v>
      </c>
      <c r="Q2509">
        <v>0.127571343982817</v>
      </c>
      <c r="R2509">
        <v>0.99662636661603998</v>
      </c>
      <c r="S2509" t="s">
        <v>9315</v>
      </c>
      <c r="T2509" t="s">
        <v>13610</v>
      </c>
      <c r="U2509" t="s">
        <v>13610</v>
      </c>
      <c r="V2509" t="s">
        <v>13610</v>
      </c>
      <c r="W2509" t="s">
        <v>16069</v>
      </c>
      <c r="X2509">
        <v>12</v>
      </c>
      <c r="Y2509" t="s">
        <v>22726</v>
      </c>
      <c r="Z2509" t="s">
        <v>29364</v>
      </c>
      <c r="AA2509">
        <v>0.43756011395064109</v>
      </c>
      <c r="AB2509" t="str">
        <f>HYPERLINK("Melting_Curves/meltCurve_P48507_GCLM.pdf", "Melting_Curves/meltCurve_P48507_GCLM.pdf")</f>
        <v>Melting_Curves/meltCurve_P48507_GCLM.pdf</v>
      </c>
    </row>
    <row r="2510" spans="1:28" x14ac:dyDescent="0.25">
      <c r="A2510" t="s">
        <v>2514</v>
      </c>
      <c r="B2510">
        <v>0.995954080203443</v>
      </c>
      <c r="C2510">
        <v>0.78636374232006001</v>
      </c>
      <c r="D2510">
        <v>0.54842258773365804</v>
      </c>
      <c r="E2510">
        <v>0.73064511582311797</v>
      </c>
      <c r="F2510">
        <v>0.26238037781241802</v>
      </c>
      <c r="G2510">
        <v>0.10763881837278499</v>
      </c>
      <c r="H2510">
        <v>7.1773479395842305E-2</v>
      </c>
      <c r="I2510">
        <v>7.7894155073798696E-2</v>
      </c>
      <c r="J2510">
        <v>5.44143611754868E-2</v>
      </c>
      <c r="K2510">
        <v>8.2821291977019595E-2</v>
      </c>
      <c r="L2510">
        <v>536.38239698469897</v>
      </c>
      <c r="M2510">
        <v>10.8390466205573</v>
      </c>
      <c r="N2510">
        <v>49.4861358364452</v>
      </c>
      <c r="O2510">
        <v>47.891038079362403</v>
      </c>
      <c r="P2510">
        <v>-5.6602016161358799E-2</v>
      </c>
      <c r="Q2510">
        <v>0</v>
      </c>
      <c r="R2510">
        <v>0.90474073887520001</v>
      </c>
      <c r="S2510" t="s">
        <v>9316</v>
      </c>
      <c r="T2510" t="s">
        <v>13610</v>
      </c>
      <c r="U2510" t="s">
        <v>13610</v>
      </c>
      <c r="V2510" t="s">
        <v>13610</v>
      </c>
      <c r="W2510" t="s">
        <v>16070</v>
      </c>
      <c r="X2510">
        <v>7</v>
      </c>
      <c r="Y2510" t="s">
        <v>22727</v>
      </c>
      <c r="Z2510" t="s">
        <v>29365</v>
      </c>
      <c r="AA2510">
        <v>0.35805591151254768</v>
      </c>
      <c r="AB2510" t="str">
        <f>HYPERLINK("Melting_Curves/meltCurve_P48553_TRAPPC10.pdf", "Melting_Curves/meltCurve_P48553_TRAPPC10.pdf")</f>
        <v>Melting_Curves/meltCurve_P48553_TRAPPC10.pdf</v>
      </c>
    </row>
    <row r="2511" spans="1:28" x14ac:dyDescent="0.25">
      <c r="A2511" t="s">
        <v>2515</v>
      </c>
      <c r="B2511">
        <v>0.995954080203443</v>
      </c>
      <c r="C2511">
        <v>0.98287437771994302</v>
      </c>
      <c r="D2511">
        <v>1.06955595908261</v>
      </c>
      <c r="E2511">
        <v>0.92073637671387698</v>
      </c>
      <c r="F2511">
        <v>0.97724016763197796</v>
      </c>
      <c r="G2511">
        <v>0.79134363458815304</v>
      </c>
      <c r="H2511">
        <v>0.79401320536554199</v>
      </c>
      <c r="I2511">
        <v>0.99070425367258397</v>
      </c>
      <c r="J2511">
        <v>1.16927708214036</v>
      </c>
      <c r="K2511">
        <v>1.17658265190134</v>
      </c>
      <c r="L2511">
        <v>15000</v>
      </c>
      <c r="M2511">
        <v>226.986146529389</v>
      </c>
      <c r="O2511">
        <v>66.078198380128995</v>
      </c>
      <c r="P2511">
        <v>0.15175717697039101</v>
      </c>
      <c r="Q2511">
        <v>1.1767128254441499</v>
      </c>
      <c r="R2511">
        <v>0.37218195806891602</v>
      </c>
      <c r="S2511" t="s">
        <v>9317</v>
      </c>
      <c r="T2511" t="s">
        <v>13610</v>
      </c>
      <c r="U2511" t="s">
        <v>13610</v>
      </c>
      <c r="V2511" t="s">
        <v>13610</v>
      </c>
      <c r="W2511" t="s">
        <v>16071</v>
      </c>
      <c r="X2511">
        <v>87</v>
      </c>
      <c r="Y2511" t="s">
        <v>22728</v>
      </c>
      <c r="Z2511" t="s">
        <v>29366</v>
      </c>
      <c r="AA2511">
        <v>1.02304601578595</v>
      </c>
      <c r="AB2511" t="str">
        <f>HYPERLINK("Melting_Curves/meltCurve_P48634_PRRC2A.pdf", "Melting_Curves/meltCurve_P48634_PRRC2A.pdf")</f>
        <v>Melting_Curves/meltCurve_P48634_PRRC2A.pdf</v>
      </c>
    </row>
    <row r="2512" spans="1:28" x14ac:dyDescent="0.25">
      <c r="A2512" t="s">
        <v>2516</v>
      </c>
      <c r="B2512">
        <v>0.995954080203443</v>
      </c>
      <c r="C2512">
        <v>0.97521171810072405</v>
      </c>
      <c r="D2512">
        <v>1.0193968334404999</v>
      </c>
      <c r="E2512">
        <v>0.888161504719576</v>
      </c>
      <c r="F2512">
        <v>0.86654322246789295</v>
      </c>
      <c r="G2512">
        <v>0.70520674563067998</v>
      </c>
      <c r="H2512">
        <v>0.46195285621409499</v>
      </c>
      <c r="I2512">
        <v>0.20548979748302801</v>
      </c>
      <c r="J2512">
        <v>8.0111149239043E-2</v>
      </c>
      <c r="K2512">
        <v>7.6243061013646904E-2</v>
      </c>
      <c r="L2512">
        <v>1030.2515067819299</v>
      </c>
      <c r="M2512">
        <v>17.2690772876404</v>
      </c>
      <c r="N2512">
        <v>59.658746751302402</v>
      </c>
      <c r="O2512">
        <v>58.875988722815599</v>
      </c>
      <c r="P2512">
        <v>-7.3332440356900105E-2</v>
      </c>
      <c r="Q2512">
        <v>0</v>
      </c>
      <c r="R2512">
        <v>0.98885394247005098</v>
      </c>
      <c r="S2512" t="s">
        <v>9318</v>
      </c>
      <c r="T2512" t="s">
        <v>13610</v>
      </c>
      <c r="U2512" t="s">
        <v>13610</v>
      </c>
      <c r="V2512" t="s">
        <v>13610</v>
      </c>
      <c r="W2512" t="s">
        <v>16072</v>
      </c>
      <c r="X2512">
        <v>35</v>
      </c>
      <c r="Y2512" t="s">
        <v>22729</v>
      </c>
      <c r="Z2512" t="s">
        <v>29367</v>
      </c>
      <c r="AA2512">
        <v>0.66434767314337306</v>
      </c>
      <c r="AB2512" t="str">
        <f>HYPERLINK("Melting_Curves/meltCurve_P48637_GSS.pdf", "Melting_Curves/meltCurve_P48637_GSS.pdf")</f>
        <v>Melting_Curves/meltCurve_P48637_GSS.pdf</v>
      </c>
    </row>
    <row r="2513" spans="1:28" x14ac:dyDescent="0.25">
      <c r="A2513" t="s">
        <v>2517</v>
      </c>
      <c r="B2513">
        <v>0.995954080203443</v>
      </c>
      <c r="C2513">
        <v>0.62702181931916401</v>
      </c>
      <c r="D2513">
        <v>0.42343376781848102</v>
      </c>
      <c r="E2513">
        <v>1.0040763671733699</v>
      </c>
      <c r="F2513">
        <v>0.59380783415379002</v>
      </c>
      <c r="G2513">
        <v>0.202231517358337</v>
      </c>
      <c r="H2513">
        <v>7.9636233902070405E-2</v>
      </c>
      <c r="I2513">
        <v>4.9966860490326399E-2</v>
      </c>
      <c r="J2513">
        <v>5.0567519485335999E-2</v>
      </c>
      <c r="K2513">
        <v>4.7196865025628698E-2</v>
      </c>
      <c r="L2513">
        <v>460.97968008808499</v>
      </c>
      <c r="M2513">
        <v>8.9477198784195604</v>
      </c>
      <c r="N2513">
        <v>51.519227070249997</v>
      </c>
      <c r="O2513">
        <v>49.140938721345996</v>
      </c>
      <c r="P2513">
        <v>-4.5554498203745498E-2</v>
      </c>
      <c r="Q2513">
        <v>0</v>
      </c>
      <c r="R2513">
        <v>0.68590127366113696</v>
      </c>
      <c r="S2513" t="s">
        <v>9319</v>
      </c>
      <c r="T2513" t="s">
        <v>13610</v>
      </c>
      <c r="U2513" t="s">
        <v>13610</v>
      </c>
      <c r="V2513" t="s">
        <v>13610</v>
      </c>
      <c r="W2513" t="s">
        <v>16073</v>
      </c>
      <c r="X2513">
        <v>36</v>
      </c>
      <c r="Y2513" t="s">
        <v>22730</v>
      </c>
      <c r="Z2513" t="s">
        <v>29368</v>
      </c>
      <c r="AA2513">
        <v>0.42886513616950839</v>
      </c>
      <c r="AB2513" t="str">
        <f>HYPERLINK("Melting_Curves/meltCurve_P48643_CCT5.pdf", "Melting_Curves/meltCurve_P48643_CCT5.pdf")</f>
        <v>Melting_Curves/meltCurve_P48643_CCT5.pdf</v>
      </c>
    </row>
    <row r="2514" spans="1:28" x14ac:dyDescent="0.25">
      <c r="A2514" t="s">
        <v>2518</v>
      </c>
      <c r="B2514">
        <v>0.995954080203443</v>
      </c>
      <c r="C2514">
        <v>1.00047512884645</v>
      </c>
      <c r="D2514">
        <v>0.84467555846502196</v>
      </c>
      <c r="E2514">
        <v>0.93527967822122604</v>
      </c>
      <c r="F2514">
        <v>0.577132490302949</v>
      </c>
      <c r="G2514">
        <v>0.22067140588768699</v>
      </c>
      <c r="H2514">
        <v>5.2168284554898803E-2</v>
      </c>
      <c r="I2514">
        <v>2.9275278360083201E-2</v>
      </c>
      <c r="J2514">
        <v>8.7847901757040395E-2</v>
      </c>
      <c r="K2514">
        <v>5.04529218693524E-2</v>
      </c>
      <c r="L2514">
        <v>1499.3535943334</v>
      </c>
      <c r="M2514">
        <v>27.968157598902199</v>
      </c>
      <c r="N2514">
        <v>53.798998959980501</v>
      </c>
      <c r="O2514">
        <v>53.337501852806597</v>
      </c>
      <c r="P2514">
        <v>-0.12493645623044899</v>
      </c>
      <c r="Q2514">
        <v>4.69535035245746E-2</v>
      </c>
      <c r="R2514">
        <v>0.98368449249120304</v>
      </c>
      <c r="S2514" t="s">
        <v>9320</v>
      </c>
      <c r="T2514" t="s">
        <v>13610</v>
      </c>
      <c r="U2514" t="s">
        <v>13610</v>
      </c>
      <c r="V2514" t="s">
        <v>13610</v>
      </c>
      <c r="W2514" t="s">
        <v>16074</v>
      </c>
      <c r="X2514">
        <v>2</v>
      </c>
      <c r="Y2514" t="s">
        <v>22731</v>
      </c>
      <c r="Z2514" t="s">
        <v>29369</v>
      </c>
      <c r="AA2514">
        <v>0.48642930605016133</v>
      </c>
      <c r="AB2514" t="str">
        <f>HYPERLINK("Melting_Curves/meltCurve_P48651_PTDSS1.pdf", "Melting_Curves/meltCurve_P48651_PTDSS1.pdf")</f>
        <v>Melting_Curves/meltCurve_P48651_PTDSS1.pdf</v>
      </c>
    </row>
    <row r="2515" spans="1:28" x14ac:dyDescent="0.25">
      <c r="A2515" t="s">
        <v>2519</v>
      </c>
      <c r="B2515">
        <v>0.995954080203443</v>
      </c>
      <c r="C2515">
        <v>0.94413325093115097</v>
      </c>
      <c r="D2515">
        <v>0.84908319331141702</v>
      </c>
      <c r="E2515">
        <v>0.76428840511320595</v>
      </c>
      <c r="F2515">
        <v>0.71320785274369902</v>
      </c>
      <c r="G2515">
        <v>0.53967083782636804</v>
      </c>
      <c r="H2515">
        <v>0.49255565623761999</v>
      </c>
      <c r="I2515">
        <v>0.57543611357836999</v>
      </c>
      <c r="J2515">
        <v>0.67853287739698598</v>
      </c>
      <c r="K2515">
        <v>0.68291651781165996</v>
      </c>
      <c r="L2515">
        <v>820.07252554312902</v>
      </c>
      <c r="M2515">
        <v>17.0421552890984</v>
      </c>
      <c r="O2515">
        <v>47.472320340184197</v>
      </c>
      <c r="P2515">
        <v>-3.62862679929946E-2</v>
      </c>
      <c r="Q2515">
        <v>0.59571122118377995</v>
      </c>
      <c r="R2515">
        <v>0.84998224201975503</v>
      </c>
      <c r="S2515" t="s">
        <v>9321</v>
      </c>
      <c r="T2515" t="s">
        <v>13610</v>
      </c>
      <c r="U2515" t="s">
        <v>13610</v>
      </c>
      <c r="V2515" t="s">
        <v>13610</v>
      </c>
      <c r="W2515" t="s">
        <v>16075</v>
      </c>
      <c r="X2515">
        <v>48</v>
      </c>
      <c r="Y2515" t="s">
        <v>22732</v>
      </c>
      <c r="Z2515" t="s">
        <v>29370</v>
      </c>
      <c r="AA2515">
        <v>0.71314403216508215</v>
      </c>
      <c r="AB2515" t="str">
        <f>HYPERLINK("Melting_Curves/meltCurve_P48681_NES.pdf", "Melting_Curves/meltCurve_P48681_NES.pdf")</f>
        <v>Melting_Curves/meltCurve_P48681_NES.pdf</v>
      </c>
    </row>
    <row r="2516" spans="1:28" x14ac:dyDescent="0.25">
      <c r="A2516" t="s">
        <v>2520</v>
      </c>
      <c r="B2516">
        <v>0.995954080203443</v>
      </c>
      <c r="C2516">
        <v>0.909107178762946</v>
      </c>
      <c r="D2516">
        <v>0.74822801754040702</v>
      </c>
      <c r="E2516">
        <v>0.47331075174938397</v>
      </c>
      <c r="F2516">
        <v>0.17819674339681699</v>
      </c>
      <c r="G2516">
        <v>0.105298756484413</v>
      </c>
      <c r="H2516">
        <v>6.9312992008289401E-2</v>
      </c>
      <c r="I2516">
        <v>5.9129012588951903E-2</v>
      </c>
      <c r="J2516">
        <v>6.6351831930204996E-2</v>
      </c>
      <c r="K2516">
        <v>5.7777857661056399E-2</v>
      </c>
      <c r="L2516">
        <v>893.50872877152005</v>
      </c>
      <c r="M2516">
        <v>18.303847558292698</v>
      </c>
      <c r="N2516">
        <v>49.077273219451499</v>
      </c>
      <c r="O2516">
        <v>48.2438698564155</v>
      </c>
      <c r="P2516">
        <v>-9.0441080104733604E-2</v>
      </c>
      <c r="Q2516">
        <v>4.65335042936149E-2</v>
      </c>
      <c r="R2516">
        <v>0.99520329532932095</v>
      </c>
      <c r="S2516" t="s">
        <v>9322</v>
      </c>
      <c r="T2516" t="s">
        <v>13610</v>
      </c>
      <c r="U2516" t="s">
        <v>13610</v>
      </c>
      <c r="V2516" t="s">
        <v>13610</v>
      </c>
      <c r="W2516" t="s">
        <v>16076</v>
      </c>
      <c r="X2516">
        <v>9</v>
      </c>
      <c r="Y2516" t="s">
        <v>22733</v>
      </c>
      <c r="Z2516" t="s">
        <v>29371</v>
      </c>
      <c r="AA2516">
        <v>0.34272994840253801</v>
      </c>
      <c r="AB2516" t="str">
        <f>HYPERLINK("Melting_Curves/meltCurve_P48729_CSNK1A1.pdf", "Melting_Curves/meltCurve_P48729_CSNK1A1.pdf")</f>
        <v>Melting_Curves/meltCurve_P48729_CSNK1A1.pdf</v>
      </c>
    </row>
    <row r="2517" spans="1:28" x14ac:dyDescent="0.25">
      <c r="A2517" t="s">
        <v>2521</v>
      </c>
      <c r="B2517">
        <v>0.995954080203443</v>
      </c>
      <c r="C2517">
        <v>0.88285656783247102</v>
      </c>
      <c r="D2517">
        <v>0.68270916901476397</v>
      </c>
      <c r="E2517">
        <v>0.46690220206338401</v>
      </c>
      <c r="F2517">
        <v>0.28488337401581398</v>
      </c>
      <c r="G2517">
        <v>0.20856564458975199</v>
      </c>
      <c r="H2517">
        <v>0.172383202426166</v>
      </c>
      <c r="I2517">
        <v>0.18962315822068501</v>
      </c>
      <c r="J2517">
        <v>0.21771636550283299</v>
      </c>
      <c r="K2517">
        <v>0.20990199216851901</v>
      </c>
      <c r="L2517">
        <v>818.28790415449896</v>
      </c>
      <c r="M2517">
        <v>17.2268623192261</v>
      </c>
      <c r="N2517">
        <v>48.811560972662498</v>
      </c>
      <c r="O2517">
        <v>46.8744907327291</v>
      </c>
      <c r="P2517">
        <v>-7.4867402567211E-2</v>
      </c>
      <c r="Q2517">
        <v>0.18518795086933801</v>
      </c>
      <c r="R2517">
        <v>0.99356559238483699</v>
      </c>
      <c r="S2517" t="s">
        <v>9323</v>
      </c>
      <c r="T2517" t="s">
        <v>13610</v>
      </c>
      <c r="U2517" t="s">
        <v>13610</v>
      </c>
      <c r="V2517" t="s">
        <v>13610</v>
      </c>
      <c r="W2517" t="s">
        <v>16077</v>
      </c>
      <c r="X2517">
        <v>7</v>
      </c>
      <c r="Y2517" t="s">
        <v>22734</v>
      </c>
      <c r="Z2517" t="s">
        <v>29372</v>
      </c>
      <c r="AA2517">
        <v>0.40505417879336891</v>
      </c>
      <c r="AB2517" t="str">
        <f>HYPERLINK("Melting_Curves/meltCurve_P48730_CSNK1D.pdf", "Melting_Curves/meltCurve_P48730_CSNK1D.pdf")</f>
        <v>Melting_Curves/meltCurve_P48730_CSNK1D.pdf</v>
      </c>
    </row>
    <row r="2518" spans="1:28" x14ac:dyDescent="0.25">
      <c r="A2518" t="s">
        <v>2522</v>
      </c>
      <c r="B2518">
        <v>0.995954080203443</v>
      </c>
      <c r="C2518">
        <v>0.75580242298132605</v>
      </c>
      <c r="D2518">
        <v>0.43713619755726002</v>
      </c>
      <c r="E2518">
        <v>0.26007615192842298</v>
      </c>
      <c r="F2518">
        <v>0.14764618578518901</v>
      </c>
      <c r="G2518">
        <v>8.2076479375078296E-2</v>
      </c>
      <c r="H2518">
        <v>5.55681572219546E-2</v>
      </c>
      <c r="I2518">
        <v>5.0810677389400899E-2</v>
      </c>
      <c r="J2518">
        <v>5.1271961786942398E-2</v>
      </c>
      <c r="K2518">
        <v>4.8765786073925198E-2</v>
      </c>
      <c r="L2518">
        <v>815.10712820759795</v>
      </c>
      <c r="M2518">
        <v>17.909469077178301</v>
      </c>
      <c r="N2518">
        <v>45.817608425630503</v>
      </c>
      <c r="O2518">
        <v>44.956564281452401</v>
      </c>
      <c r="P2518">
        <v>-9.4001762776469697E-2</v>
      </c>
      <c r="Q2518">
        <v>5.6189818790006597E-2</v>
      </c>
      <c r="R2518">
        <v>0.99023766828470305</v>
      </c>
      <c r="S2518" t="s">
        <v>9324</v>
      </c>
      <c r="T2518" t="s">
        <v>13610</v>
      </c>
      <c r="U2518" t="s">
        <v>13610</v>
      </c>
      <c r="V2518" t="s">
        <v>13610</v>
      </c>
      <c r="W2518" t="s">
        <v>16078</v>
      </c>
      <c r="X2518">
        <v>10</v>
      </c>
      <c r="Y2518" t="s">
        <v>22735</v>
      </c>
      <c r="Z2518" t="s">
        <v>29373</v>
      </c>
      <c r="AA2518">
        <v>0.24915077012742751</v>
      </c>
      <c r="AB2518" t="str">
        <f>HYPERLINK("Melting_Curves/meltCurve_P48736_PIK3CG.pdf", "Melting_Curves/meltCurve_P48736_PIK3CG.pdf")</f>
        <v>Melting_Curves/meltCurve_P48736_PIK3CG.pdf</v>
      </c>
    </row>
    <row r="2519" spans="1:28" x14ac:dyDescent="0.25">
      <c r="A2519" t="s">
        <v>2523</v>
      </c>
      <c r="B2519">
        <v>0.995954080203443</v>
      </c>
      <c r="C2519">
        <v>1.02839841593984</v>
      </c>
      <c r="D2519">
        <v>1.0716088970475099</v>
      </c>
      <c r="E2519">
        <v>0.939123973629857</v>
      </c>
      <c r="F2519">
        <v>0.89602061644132003</v>
      </c>
      <c r="G2519">
        <v>0.442129895309471</v>
      </c>
      <c r="H2519">
        <v>0.12852080246101599</v>
      </c>
      <c r="I2519">
        <v>9.5333475117711897E-2</v>
      </c>
      <c r="J2519">
        <v>0.101754613000379</v>
      </c>
      <c r="K2519">
        <v>8.5604583249292196E-2</v>
      </c>
      <c r="L2519">
        <v>1879.2417151986499</v>
      </c>
      <c r="M2519">
        <v>33.436443130925703</v>
      </c>
      <c r="N2519">
        <v>56.511273555331897</v>
      </c>
      <c r="O2519">
        <v>56.0035025207129</v>
      </c>
      <c r="P2519">
        <v>-0.13683307036198</v>
      </c>
      <c r="Q2519">
        <v>8.3263881385471805E-2</v>
      </c>
      <c r="R2519">
        <v>0.99507996251676401</v>
      </c>
      <c r="S2519" t="s">
        <v>9325</v>
      </c>
      <c r="T2519" t="s">
        <v>13610</v>
      </c>
      <c r="U2519" t="s">
        <v>13610</v>
      </c>
      <c r="V2519" t="s">
        <v>13610</v>
      </c>
      <c r="W2519" t="s">
        <v>16079</v>
      </c>
      <c r="X2519">
        <v>30</v>
      </c>
      <c r="Y2519" t="s">
        <v>22736</v>
      </c>
      <c r="Z2519" t="s">
        <v>29374</v>
      </c>
      <c r="AA2519">
        <v>0.58340479712821269</v>
      </c>
      <c r="AB2519" t="str">
        <f>HYPERLINK("Melting_Curves/meltCurve_P48739_PITPNB.pdf", "Melting_Curves/meltCurve_P48739_PITPNB.pdf")</f>
        <v>Melting_Curves/meltCurve_P48739_PITPNB.pdf</v>
      </c>
    </row>
    <row r="2520" spans="1:28" x14ac:dyDescent="0.25">
      <c r="A2520" t="s">
        <v>2524</v>
      </c>
      <c r="B2520">
        <v>0.995954080203443</v>
      </c>
      <c r="C2520">
        <v>0.91069330962831396</v>
      </c>
      <c r="D2520">
        <v>0.89122051475590802</v>
      </c>
      <c r="E2520">
        <v>0.53604332294974499</v>
      </c>
      <c r="F2520">
        <v>0.32435832940745901</v>
      </c>
      <c r="G2520">
        <v>0.22385245637844001</v>
      </c>
      <c r="H2520">
        <v>0.14036845007667401</v>
      </c>
      <c r="I2520">
        <v>0.13662070867270601</v>
      </c>
      <c r="J2520">
        <v>0.114817929716828</v>
      </c>
      <c r="K2520">
        <v>0.13207556926677799</v>
      </c>
      <c r="L2520">
        <v>961.77787289077696</v>
      </c>
      <c r="M2520">
        <v>19.296496077511499</v>
      </c>
      <c r="N2520">
        <v>50.5860532415509</v>
      </c>
      <c r="O2520">
        <v>49.316064407747497</v>
      </c>
      <c r="P2520">
        <v>-8.5739401120306993E-2</v>
      </c>
      <c r="Q2520">
        <v>0.123535918256646</v>
      </c>
      <c r="R2520">
        <v>0.99533729279898997</v>
      </c>
      <c r="S2520" t="s">
        <v>9326</v>
      </c>
      <c r="T2520" t="s">
        <v>13610</v>
      </c>
      <c r="U2520" t="s">
        <v>13610</v>
      </c>
      <c r="V2520" t="s">
        <v>13610</v>
      </c>
      <c r="W2520" t="s">
        <v>16080</v>
      </c>
      <c r="X2520">
        <v>13</v>
      </c>
      <c r="Y2520" t="s">
        <v>22737</v>
      </c>
      <c r="Z2520" t="s">
        <v>29375</v>
      </c>
      <c r="AA2520">
        <v>0.42417277692503907</v>
      </c>
      <c r="AB2520" t="str">
        <f>HYPERLINK("Melting_Curves/meltCurve_P49005_POLD2.pdf", "Melting_Curves/meltCurve_P49005_POLD2.pdf")</f>
        <v>Melting_Curves/meltCurve_P49005_POLD2.pdf</v>
      </c>
    </row>
    <row r="2521" spans="1:28" x14ac:dyDescent="0.25">
      <c r="A2521" t="s">
        <v>2525</v>
      </c>
      <c r="B2521">
        <v>0.995954080203443</v>
      </c>
      <c r="C2521">
        <v>0.96480791728565296</v>
      </c>
      <c r="D2521">
        <v>1.1721711527438099</v>
      </c>
      <c r="E2521">
        <v>0.88027552550709898</v>
      </c>
      <c r="F2521">
        <v>1.0527907893914901</v>
      </c>
      <c r="G2521">
        <v>0.80356406545106096</v>
      </c>
      <c r="H2521">
        <v>0.85194031199235598</v>
      </c>
      <c r="I2521">
        <v>1.0447203762631601</v>
      </c>
      <c r="J2521">
        <v>1.5525349392090599</v>
      </c>
      <c r="K2521">
        <v>1.3149447710831901</v>
      </c>
      <c r="L2521">
        <v>15000</v>
      </c>
      <c r="M2521">
        <v>232.219289266516</v>
      </c>
      <c r="O2521">
        <v>64.5893265178143</v>
      </c>
      <c r="P2521">
        <v>0.38987797472271002</v>
      </c>
      <c r="Q2521">
        <v>1.4337616542324201</v>
      </c>
      <c r="R2521">
        <v>0.71196056706703803</v>
      </c>
      <c r="S2521" t="s">
        <v>9327</v>
      </c>
      <c r="T2521" t="s">
        <v>13610</v>
      </c>
      <c r="U2521" t="s">
        <v>13610</v>
      </c>
      <c r="V2521" t="s">
        <v>13610</v>
      </c>
      <c r="W2521" t="s">
        <v>16081</v>
      </c>
      <c r="X2521">
        <v>5</v>
      </c>
      <c r="Y2521" t="s">
        <v>22738</v>
      </c>
      <c r="Z2521" t="s">
        <v>29376</v>
      </c>
      <c r="AA2521">
        <v>1.078105162507665</v>
      </c>
      <c r="AB2521" t="str">
        <f>HYPERLINK("Melting_Curves/meltCurve_P49006_MARCKSL1.pdf", "Melting_Curves/meltCurve_P49006_MARCKSL1.pdf")</f>
        <v>Melting_Curves/meltCurve_P49006_MARCKSL1.pdf</v>
      </c>
    </row>
    <row r="2522" spans="1:28" x14ac:dyDescent="0.25">
      <c r="A2522" t="s">
        <v>2526</v>
      </c>
      <c r="B2522">
        <v>0.995954080203443</v>
      </c>
      <c r="C2522">
        <v>1.00428924078329</v>
      </c>
      <c r="D2522">
        <v>0.94882682943031504</v>
      </c>
      <c r="E2522">
        <v>0.81658585584312304</v>
      </c>
      <c r="F2522">
        <v>0.69481932894459997</v>
      </c>
      <c r="G2522">
        <v>0.50417249121977803</v>
      </c>
      <c r="H2522">
        <v>0.45534270883948702</v>
      </c>
      <c r="I2522">
        <v>0.50773901946088396</v>
      </c>
      <c r="J2522">
        <v>0.64495611245920004</v>
      </c>
      <c r="K2522">
        <v>0.60041095897083996</v>
      </c>
      <c r="L2522">
        <v>1391.15985987146</v>
      </c>
      <c r="M2522">
        <v>27.3422927433712</v>
      </c>
      <c r="O2522">
        <v>50.6095907144786</v>
      </c>
      <c r="P2522">
        <v>-6.1862514521022698E-2</v>
      </c>
      <c r="Q2522">
        <v>0.54198324990275903</v>
      </c>
      <c r="R2522">
        <v>0.92628863960468799</v>
      </c>
      <c r="S2522" t="s">
        <v>9328</v>
      </c>
      <c r="T2522" t="s">
        <v>13610</v>
      </c>
      <c r="U2522" t="s">
        <v>13610</v>
      </c>
      <c r="V2522" t="s">
        <v>13610</v>
      </c>
      <c r="W2522" t="s">
        <v>16082</v>
      </c>
      <c r="X2522">
        <v>13</v>
      </c>
      <c r="Y2522" t="s">
        <v>22739</v>
      </c>
      <c r="Z2522" t="s">
        <v>29377</v>
      </c>
      <c r="AA2522">
        <v>0.71154150702454211</v>
      </c>
      <c r="AB2522" t="str">
        <f>HYPERLINK("Melting_Curves/meltCurve_P49116_NR2C2.pdf", "Melting_Curves/meltCurve_P49116_NR2C2.pdf")</f>
        <v>Melting_Curves/meltCurve_P49116_NR2C2.pdf</v>
      </c>
    </row>
    <row r="2523" spans="1:28" x14ac:dyDescent="0.25">
      <c r="A2523" t="s">
        <v>2527</v>
      </c>
      <c r="B2523">
        <v>0.995954080203443</v>
      </c>
      <c r="C2523">
        <v>1.0653140564222801</v>
      </c>
      <c r="D2523">
        <v>0.86206903684129799</v>
      </c>
      <c r="E2523">
        <v>0.96844517119790996</v>
      </c>
      <c r="F2523">
        <v>0.744966275621185</v>
      </c>
      <c r="G2523">
        <v>0.54603397037179802</v>
      </c>
      <c r="H2523">
        <v>0.55173463606428197</v>
      </c>
      <c r="I2523">
        <v>0.72593473226786098</v>
      </c>
      <c r="J2523">
        <v>0.66915287622624997</v>
      </c>
      <c r="K2523">
        <v>0.75715912216848102</v>
      </c>
      <c r="L2523">
        <v>3260.5672160957902</v>
      </c>
      <c r="M2523">
        <v>62.592116036340101</v>
      </c>
      <c r="O2523">
        <v>52.039202952713801</v>
      </c>
      <c r="P2523">
        <v>-0.105105190355825</v>
      </c>
      <c r="Q2523">
        <v>0.65046150543597003</v>
      </c>
      <c r="R2523">
        <v>0.78933472275491301</v>
      </c>
      <c r="S2523" t="s">
        <v>9329</v>
      </c>
      <c r="T2523" t="s">
        <v>13610</v>
      </c>
      <c r="U2523" t="s">
        <v>13610</v>
      </c>
      <c r="V2523" t="s">
        <v>13610</v>
      </c>
      <c r="W2523" t="s">
        <v>16083</v>
      </c>
      <c r="X2523">
        <v>13</v>
      </c>
      <c r="Y2523" t="s">
        <v>22739</v>
      </c>
      <c r="Z2523" t="s">
        <v>29378</v>
      </c>
      <c r="AA2523">
        <v>0.79186378069346874</v>
      </c>
      <c r="AB2523" t="str">
        <f>HYPERLINK("Melting_Curves/meltCurve_P49116_2_NR2C2.pdf", "Melting_Curves/meltCurve_P49116_2_NR2C2.pdf")</f>
        <v>Melting_Curves/meltCurve_P49116_2_NR2C2.pdf</v>
      </c>
    </row>
    <row r="2524" spans="1:28" x14ac:dyDescent="0.25">
      <c r="A2524" t="s">
        <v>2528</v>
      </c>
      <c r="B2524">
        <v>0.995954080203443</v>
      </c>
      <c r="C2524">
        <v>1.04777425944568</v>
      </c>
      <c r="D2524">
        <v>0.98080893777379996</v>
      </c>
      <c r="E2524">
        <v>0.58879238314274696</v>
      </c>
      <c r="F2524">
        <v>0.17731917656580001</v>
      </c>
      <c r="G2524">
        <v>9.6947688685323705E-2</v>
      </c>
      <c r="H2524">
        <v>6.9478896162340806E-2</v>
      </c>
      <c r="I2524">
        <v>6.3207705948702106E-2</v>
      </c>
      <c r="J2524">
        <v>7.5094790837913594E-2</v>
      </c>
      <c r="K2524">
        <v>6.5325730252515396E-2</v>
      </c>
      <c r="L2524">
        <v>2013.13957658915</v>
      </c>
      <c r="M2524">
        <v>40.031050723317698</v>
      </c>
      <c r="N2524">
        <v>50.485392244520199</v>
      </c>
      <c r="O2524">
        <v>50.164443296316698</v>
      </c>
      <c r="P2524">
        <v>-0.185145719234067</v>
      </c>
      <c r="Q2524">
        <v>7.1949157094916602E-2</v>
      </c>
      <c r="R2524">
        <v>0.99836665719230799</v>
      </c>
      <c r="S2524" t="s">
        <v>9330</v>
      </c>
      <c r="T2524" t="s">
        <v>13610</v>
      </c>
      <c r="U2524" t="s">
        <v>13610</v>
      </c>
      <c r="V2524" t="s">
        <v>13610</v>
      </c>
      <c r="W2524" t="s">
        <v>16084</v>
      </c>
      <c r="X2524">
        <v>22</v>
      </c>
      <c r="Y2524" t="s">
        <v>22740</v>
      </c>
      <c r="Z2524" t="s">
        <v>29379</v>
      </c>
      <c r="AA2524">
        <v>0.39347531414060871</v>
      </c>
      <c r="AB2524" t="str">
        <f>HYPERLINK("Melting_Curves/meltCurve_P49137_MAPKAPK2.pdf", "Melting_Curves/meltCurve_P49137_MAPKAPK2.pdf")</f>
        <v>Melting_Curves/meltCurve_P49137_MAPKAPK2.pdf</v>
      </c>
    </row>
    <row r="2525" spans="1:28" x14ac:dyDescent="0.25">
      <c r="A2525" t="s">
        <v>2529</v>
      </c>
      <c r="B2525">
        <v>0.995954080203443</v>
      </c>
      <c r="C2525">
        <v>0.96518887413187204</v>
      </c>
      <c r="D2525">
        <v>0.89301388789065494</v>
      </c>
      <c r="E2525">
        <v>0.72628847053800005</v>
      </c>
      <c r="F2525">
        <v>0.41458733710409101</v>
      </c>
      <c r="G2525">
        <v>0.19113534455692599</v>
      </c>
      <c r="H2525">
        <v>0.108940799947824</v>
      </c>
      <c r="I2525">
        <v>7.7146738846139803E-2</v>
      </c>
      <c r="J2525">
        <v>7.9417821115639303E-2</v>
      </c>
      <c r="K2525">
        <v>6.1261782969304797E-2</v>
      </c>
      <c r="L2525">
        <v>1014.9060168022</v>
      </c>
      <c r="M2525">
        <v>19.570318842805399</v>
      </c>
      <c r="N2525">
        <v>52.189768633435897</v>
      </c>
      <c r="O2525">
        <v>51.327078125950699</v>
      </c>
      <c r="P2525">
        <v>-8.9772356986911897E-2</v>
      </c>
      <c r="Q2525">
        <v>5.8249506342845599E-2</v>
      </c>
      <c r="R2525">
        <v>0.99784045240734498</v>
      </c>
      <c r="S2525" t="s">
        <v>9331</v>
      </c>
      <c r="T2525" t="s">
        <v>13610</v>
      </c>
      <c r="U2525" t="s">
        <v>13610</v>
      </c>
      <c r="V2525" t="s">
        <v>13610</v>
      </c>
      <c r="W2525" t="s">
        <v>16085</v>
      </c>
      <c r="X2525">
        <v>26</v>
      </c>
      <c r="Y2525" t="s">
        <v>22741</v>
      </c>
      <c r="Z2525" t="s">
        <v>29380</v>
      </c>
      <c r="AA2525">
        <v>0.44409614799414371</v>
      </c>
      <c r="AB2525" t="str">
        <f>HYPERLINK("Melting_Curves/meltCurve_P49189_ALDH9A1.pdf", "Melting_Curves/meltCurve_P49189_ALDH9A1.pdf")</f>
        <v>Melting_Curves/meltCurve_P49189_ALDH9A1.pdf</v>
      </c>
    </row>
    <row r="2526" spans="1:28" x14ac:dyDescent="0.25">
      <c r="A2526" t="s">
        <v>2530</v>
      </c>
      <c r="B2526">
        <v>0.995954080203443</v>
      </c>
      <c r="C2526">
        <v>0.96938026540531697</v>
      </c>
      <c r="D2526">
        <v>0.80537043025937904</v>
      </c>
      <c r="E2526">
        <v>0.68658338745042702</v>
      </c>
      <c r="F2526">
        <v>0.40815550632528502</v>
      </c>
      <c r="G2526">
        <v>0.198285364700272</v>
      </c>
      <c r="H2526">
        <v>9.9769730496545694E-2</v>
      </c>
      <c r="I2526">
        <v>9.0046656182401402E-2</v>
      </c>
      <c r="J2526">
        <v>8.2043822064639796E-2</v>
      </c>
      <c r="K2526">
        <v>8.9280374875078297E-2</v>
      </c>
      <c r="L2526">
        <v>815.61766068018801</v>
      </c>
      <c r="M2526">
        <v>15.8610823004999</v>
      </c>
      <c r="N2526">
        <v>51.776251934884101</v>
      </c>
      <c r="O2526">
        <v>50.6259852941429</v>
      </c>
      <c r="P2526">
        <v>-7.4309548967890798E-2</v>
      </c>
      <c r="Q2526">
        <v>5.13412029095364E-2</v>
      </c>
      <c r="R2526">
        <v>0.99290428679353404</v>
      </c>
      <c r="S2526" t="s">
        <v>9332</v>
      </c>
      <c r="T2526" t="s">
        <v>13610</v>
      </c>
      <c r="U2526" t="s">
        <v>13610</v>
      </c>
      <c r="V2526" t="s">
        <v>13610</v>
      </c>
      <c r="W2526" t="s">
        <v>16086</v>
      </c>
      <c r="X2526">
        <v>1</v>
      </c>
      <c r="Y2526" t="s">
        <v>22742</v>
      </c>
      <c r="Z2526" t="s">
        <v>29381</v>
      </c>
      <c r="AA2526">
        <v>0.43229085795813899</v>
      </c>
      <c r="AB2526" t="str">
        <f>HYPERLINK("Melting_Curves/meltCurve_P49207_RPL34.pdf", "Melting_Curves/meltCurve_P49207_RPL34.pdf")</f>
        <v>Melting_Curves/meltCurve_P49207_RPL34.pdf</v>
      </c>
    </row>
    <row r="2527" spans="1:28" x14ac:dyDescent="0.25">
      <c r="A2527" t="s">
        <v>2531</v>
      </c>
      <c r="B2527">
        <v>0.995954080203443</v>
      </c>
      <c r="C2527">
        <v>0.92320574957759205</v>
      </c>
      <c r="D2527">
        <v>0.903933199472708</v>
      </c>
      <c r="E2527">
        <v>0.81020439582121295</v>
      </c>
      <c r="F2527">
        <v>0.69456656690688101</v>
      </c>
      <c r="G2527">
        <v>0.54445129687190397</v>
      </c>
      <c r="H2527">
        <v>0.461522883637218</v>
      </c>
      <c r="I2527">
        <v>0.54524754909682605</v>
      </c>
      <c r="J2527">
        <v>0.70322197413913301</v>
      </c>
      <c r="K2527">
        <v>0.61853682209227201</v>
      </c>
      <c r="L2527">
        <v>972.61813255896698</v>
      </c>
      <c r="M2527">
        <v>19.536190966151501</v>
      </c>
      <c r="O2527">
        <v>49.272608806145698</v>
      </c>
      <c r="P2527">
        <v>-4.2538517088264997E-2</v>
      </c>
      <c r="Q2527">
        <v>0.57086638145104995</v>
      </c>
      <c r="R2527">
        <v>0.85338692092109802</v>
      </c>
      <c r="S2527" t="s">
        <v>9333</v>
      </c>
      <c r="T2527" t="s">
        <v>13610</v>
      </c>
      <c r="U2527" t="s">
        <v>13610</v>
      </c>
      <c r="V2527" t="s">
        <v>13610</v>
      </c>
      <c r="W2527" t="s">
        <v>16087</v>
      </c>
      <c r="X2527">
        <v>14</v>
      </c>
      <c r="Y2527" t="s">
        <v>22743</v>
      </c>
      <c r="Z2527" t="s">
        <v>29382</v>
      </c>
      <c r="AA2527">
        <v>0.71710336279572673</v>
      </c>
      <c r="AB2527" t="str">
        <f>HYPERLINK("Melting_Curves/meltCurve_P49247_RPIA.pdf", "Melting_Curves/meltCurve_P49247_RPIA.pdf")</f>
        <v>Melting_Curves/meltCurve_P49247_RPIA.pdf</v>
      </c>
    </row>
    <row r="2528" spans="1:28" x14ac:dyDescent="0.25">
      <c r="A2528" t="s">
        <v>2532</v>
      </c>
      <c r="B2528">
        <v>0.995954080203443</v>
      </c>
      <c r="C2528">
        <v>0.94144707330215205</v>
      </c>
      <c r="D2528">
        <v>0.77084172857363498</v>
      </c>
      <c r="E2528">
        <v>0.86232816035061999</v>
      </c>
      <c r="F2528">
        <v>0.35673405221460602</v>
      </c>
      <c r="G2528">
        <v>0.18844961844768901</v>
      </c>
      <c r="H2528">
        <v>0.136458293915412</v>
      </c>
      <c r="I2528">
        <v>0.13965549332609101</v>
      </c>
      <c r="J2528">
        <v>0.171913593266495</v>
      </c>
      <c r="K2528">
        <v>0.15249446899282301</v>
      </c>
      <c r="L2528">
        <v>2258.9066105411098</v>
      </c>
      <c r="M2528">
        <v>43.697937185049099</v>
      </c>
      <c r="N2528">
        <v>52.130746468357998</v>
      </c>
      <c r="O2528">
        <v>51.585757098960599</v>
      </c>
      <c r="P2528">
        <v>-0.17929194275163801</v>
      </c>
      <c r="Q2528">
        <v>0.153379068072271</v>
      </c>
      <c r="R2528">
        <v>0.95500818950624899</v>
      </c>
      <c r="S2528" t="s">
        <v>9334</v>
      </c>
      <c r="T2528" t="s">
        <v>13610</v>
      </c>
      <c r="U2528" t="s">
        <v>13610</v>
      </c>
      <c r="V2528" t="s">
        <v>13610</v>
      </c>
      <c r="W2528" t="s">
        <v>16088</v>
      </c>
      <c r="X2528">
        <v>3</v>
      </c>
      <c r="Y2528" t="s">
        <v>22744</v>
      </c>
      <c r="Z2528" t="s">
        <v>29383</v>
      </c>
      <c r="AA2528">
        <v>0.48591374488118849</v>
      </c>
      <c r="AB2528" t="str">
        <f>HYPERLINK("Melting_Curves/meltCurve_P49257_LMAN1.pdf", "Melting_Curves/meltCurve_P49257_LMAN1.pdf")</f>
        <v>Melting_Curves/meltCurve_P49257_LMAN1.pdf</v>
      </c>
    </row>
    <row r="2529" spans="1:28" x14ac:dyDescent="0.25">
      <c r="A2529" t="s">
        <v>2533</v>
      </c>
      <c r="B2529">
        <v>0.995954080203443</v>
      </c>
      <c r="C2529">
        <v>1.0430041486844599</v>
      </c>
      <c r="D2529">
        <v>1.1166768234178599</v>
      </c>
      <c r="E2529">
        <v>0.952986705801387</v>
      </c>
      <c r="F2529">
        <v>0.91765235661592304</v>
      </c>
      <c r="G2529">
        <v>0.62877793494605105</v>
      </c>
      <c r="H2529">
        <v>0.58383923596685305</v>
      </c>
      <c r="I2529">
        <v>0.69695762154997898</v>
      </c>
      <c r="J2529">
        <v>0.99517730843823504</v>
      </c>
      <c r="K2529">
        <v>0.93275224022939596</v>
      </c>
      <c r="L2529">
        <v>12662.186110252</v>
      </c>
      <c r="M2529">
        <v>238.308483421105</v>
      </c>
      <c r="O2529">
        <v>53.129851652683897</v>
      </c>
      <c r="P2529">
        <v>-0.26071270146608699</v>
      </c>
      <c r="Q2529">
        <v>0.76750089751791895</v>
      </c>
      <c r="R2529">
        <v>0.48872719482788302</v>
      </c>
      <c r="S2529" t="s">
        <v>9335</v>
      </c>
      <c r="T2529" t="s">
        <v>13610</v>
      </c>
      <c r="U2529" t="s">
        <v>13610</v>
      </c>
      <c r="V2529" t="s">
        <v>13610</v>
      </c>
      <c r="W2529" t="s">
        <v>16089</v>
      </c>
      <c r="X2529">
        <v>52</v>
      </c>
      <c r="Y2529" t="s">
        <v>22745</v>
      </c>
      <c r="Z2529" t="s">
        <v>29384</v>
      </c>
      <c r="AA2529">
        <v>0.86930971523846012</v>
      </c>
      <c r="AB2529" t="str">
        <f>HYPERLINK("Melting_Curves/meltCurve_P49321_NASP.pdf", "Melting_Curves/meltCurve_P49321_NASP.pdf")</f>
        <v>Melting_Curves/meltCurve_P49321_NASP.pdf</v>
      </c>
    </row>
    <row r="2530" spans="1:28" x14ac:dyDescent="0.25">
      <c r="A2530" t="s">
        <v>2534</v>
      </c>
      <c r="B2530">
        <v>0.995954080203443</v>
      </c>
      <c r="C2530">
        <v>0.74034395277868703</v>
      </c>
      <c r="D2530">
        <v>0.56327904310083698</v>
      </c>
      <c r="E2530">
        <v>0.58847219265654205</v>
      </c>
      <c r="F2530">
        <v>0.138018266277775</v>
      </c>
      <c r="G2530">
        <v>8.7917904693201696E-2</v>
      </c>
      <c r="H2530">
        <v>5.8084494436628401E-2</v>
      </c>
      <c r="I2530">
        <v>5.3460643568779199E-2</v>
      </c>
      <c r="J2530">
        <v>6.22394231321729E-2</v>
      </c>
      <c r="K2530">
        <v>5.4707646335695297E-2</v>
      </c>
      <c r="L2530">
        <v>574.04990046028195</v>
      </c>
      <c r="M2530">
        <v>11.9401010131386</v>
      </c>
      <c r="N2530">
        <v>48.103701638430799</v>
      </c>
      <c r="O2530">
        <v>46.788434317281897</v>
      </c>
      <c r="P2530">
        <v>-6.3607018629280199E-2</v>
      </c>
      <c r="Q2530">
        <v>3.2443939452010801E-3</v>
      </c>
      <c r="R2530">
        <v>0.93587606964619197</v>
      </c>
      <c r="S2530" t="s">
        <v>9336</v>
      </c>
      <c r="T2530" t="s">
        <v>13610</v>
      </c>
      <c r="U2530" t="s">
        <v>13610</v>
      </c>
      <c r="V2530" t="s">
        <v>13610</v>
      </c>
      <c r="W2530" t="s">
        <v>16090</v>
      </c>
      <c r="X2530">
        <v>109</v>
      </c>
      <c r="Y2530" t="s">
        <v>22746</v>
      </c>
      <c r="Z2530" t="s">
        <v>29385</v>
      </c>
      <c r="AA2530">
        <v>0.31076950678580412</v>
      </c>
      <c r="AB2530" t="str">
        <f>HYPERLINK("Melting_Curves/meltCurve_P49327_FASN.pdf", "Melting_Curves/meltCurve_P49327_FASN.pdf")</f>
        <v>Melting_Curves/meltCurve_P49327_FASN.pdf</v>
      </c>
    </row>
    <row r="2531" spans="1:28" x14ac:dyDescent="0.25">
      <c r="A2531" t="s">
        <v>2535</v>
      </c>
      <c r="B2531">
        <v>0.995954080203443</v>
      </c>
      <c r="C2531">
        <v>0.96373591953679505</v>
      </c>
      <c r="D2531">
        <v>0.91036171340940797</v>
      </c>
      <c r="E2531">
        <v>0.81148719150975002</v>
      </c>
      <c r="F2531">
        <v>0.42814943638460801</v>
      </c>
      <c r="G2531">
        <v>0.18746124576115999</v>
      </c>
      <c r="H2531">
        <v>0.16006765349910301</v>
      </c>
      <c r="I2531">
        <v>0.150908241063437</v>
      </c>
      <c r="J2531">
        <v>0.177353024529704</v>
      </c>
      <c r="K2531">
        <v>0.16077455018748399</v>
      </c>
      <c r="L2531">
        <v>1657.2880590544601</v>
      </c>
      <c r="M2531">
        <v>31.998318332282</v>
      </c>
      <c r="N2531">
        <v>52.410111581310503</v>
      </c>
      <c r="O2531">
        <v>51.591943758696203</v>
      </c>
      <c r="P2531">
        <v>-0.130715973748915</v>
      </c>
      <c r="Q2531">
        <v>0.156973550345265</v>
      </c>
      <c r="R2531">
        <v>0.99399113867887401</v>
      </c>
      <c r="S2531" t="s">
        <v>9337</v>
      </c>
      <c r="T2531" t="s">
        <v>13610</v>
      </c>
      <c r="U2531" t="s">
        <v>13610</v>
      </c>
      <c r="V2531" t="s">
        <v>13610</v>
      </c>
      <c r="W2531" t="s">
        <v>16091</v>
      </c>
      <c r="X2531">
        <v>5</v>
      </c>
      <c r="Y2531" t="s">
        <v>22747</v>
      </c>
      <c r="Z2531" t="s">
        <v>29386</v>
      </c>
      <c r="AA2531">
        <v>0.49308801711583772</v>
      </c>
      <c r="AB2531" t="str">
        <f>HYPERLINK("Melting_Curves/meltCurve_P49336_2_CDK8.pdf", "Melting_Curves/meltCurve_P49336_2_CDK8.pdf")</f>
        <v>Melting_Curves/meltCurve_P49336_2_CDK8.pdf</v>
      </c>
    </row>
    <row r="2532" spans="1:28" x14ac:dyDescent="0.25">
      <c r="A2532" t="s">
        <v>2536</v>
      </c>
      <c r="B2532">
        <v>0.995954080203443</v>
      </c>
      <c r="C2532">
        <v>0.96857848432075</v>
      </c>
      <c r="D2532">
        <v>0.76267599391449803</v>
      </c>
      <c r="E2532">
        <v>0.57362634689024505</v>
      </c>
      <c r="F2532">
        <v>0.301545808262979</v>
      </c>
      <c r="G2532">
        <v>0.14209784865267</v>
      </c>
      <c r="H2532">
        <v>8.6107397404582606E-2</v>
      </c>
      <c r="I2532">
        <v>7.3507239625998894E-2</v>
      </c>
      <c r="J2532">
        <v>7.3728313602595699E-2</v>
      </c>
      <c r="K2532">
        <v>6.5145012938674002E-2</v>
      </c>
      <c r="L2532">
        <v>821.24666329893205</v>
      </c>
      <c r="M2532">
        <v>16.418518553286599</v>
      </c>
      <c r="N2532">
        <v>50.325906525796299</v>
      </c>
      <c r="O2532">
        <v>49.2951648470723</v>
      </c>
      <c r="P2532">
        <v>-7.9311888106244899E-2</v>
      </c>
      <c r="Q2532">
        <v>4.7559487374540597E-2</v>
      </c>
      <c r="R2532">
        <v>0.99476291664251904</v>
      </c>
      <c r="S2532" t="s">
        <v>9338</v>
      </c>
      <c r="T2532" t="s">
        <v>13610</v>
      </c>
      <c r="U2532" t="s">
        <v>13610</v>
      </c>
      <c r="V2532" t="s">
        <v>13610</v>
      </c>
      <c r="W2532" t="s">
        <v>16092</v>
      </c>
      <c r="X2532">
        <v>15</v>
      </c>
      <c r="Y2532" t="s">
        <v>22748</v>
      </c>
      <c r="Z2532" t="s">
        <v>29387</v>
      </c>
      <c r="AA2532">
        <v>0.3849427113591723</v>
      </c>
      <c r="AB2532" t="str">
        <f>HYPERLINK("Melting_Curves/meltCurve_P49354_FNTA.pdf", "Melting_Curves/meltCurve_P49354_FNTA.pdf")</f>
        <v>Melting_Curves/meltCurve_P49354_FNTA.pdf</v>
      </c>
    </row>
    <row r="2533" spans="1:28" x14ac:dyDescent="0.25">
      <c r="A2533" t="s">
        <v>2537</v>
      </c>
      <c r="B2533">
        <v>0.995954080203443</v>
      </c>
      <c r="C2533">
        <v>0.96566817676348504</v>
      </c>
      <c r="D2533">
        <v>0.90783415723391703</v>
      </c>
      <c r="E2533">
        <v>0.88686615384580503</v>
      </c>
      <c r="F2533">
        <v>0.65868121765980403</v>
      </c>
      <c r="G2533">
        <v>0.446683466705104</v>
      </c>
      <c r="H2533">
        <v>0.23824579702575699</v>
      </c>
      <c r="I2533">
        <v>0.16198039051745</v>
      </c>
      <c r="J2533">
        <v>0.121516987355919</v>
      </c>
      <c r="K2533">
        <v>9.9163631309526296E-2</v>
      </c>
      <c r="L2533">
        <v>813.15259316576896</v>
      </c>
      <c r="M2533">
        <v>14.6541744164759</v>
      </c>
      <c r="N2533">
        <v>55.882063021140802</v>
      </c>
      <c r="O2533">
        <v>54.486877856196301</v>
      </c>
      <c r="P2533">
        <v>-6.3955326278159905E-2</v>
      </c>
      <c r="Q2533">
        <v>4.8915272923667402E-2</v>
      </c>
      <c r="R2533">
        <v>0.99547061656441105</v>
      </c>
      <c r="S2533" t="s">
        <v>9339</v>
      </c>
      <c r="T2533" t="s">
        <v>13610</v>
      </c>
      <c r="U2533" t="s">
        <v>13610</v>
      </c>
      <c r="V2533" t="s">
        <v>13610</v>
      </c>
      <c r="W2533" t="s">
        <v>16093</v>
      </c>
      <c r="X2533">
        <v>17</v>
      </c>
      <c r="Y2533" t="s">
        <v>22749</v>
      </c>
      <c r="Z2533" t="s">
        <v>29388</v>
      </c>
      <c r="AA2533">
        <v>0.55803137904389688</v>
      </c>
      <c r="AB2533" t="str">
        <f>HYPERLINK("Melting_Curves/meltCurve_P49366_DHPS.pdf", "Melting_Curves/meltCurve_P49366_DHPS.pdf")</f>
        <v>Melting_Curves/meltCurve_P49366_DHPS.pdf</v>
      </c>
    </row>
    <row r="2534" spans="1:28" x14ac:dyDescent="0.25">
      <c r="A2534" t="s">
        <v>2538</v>
      </c>
      <c r="B2534">
        <v>0.995954080203443</v>
      </c>
      <c r="C2534">
        <v>0.61256226627725796</v>
      </c>
      <c r="D2534">
        <v>0.36257604647226599</v>
      </c>
      <c r="E2534">
        <v>0.96175047596976904</v>
      </c>
      <c r="F2534">
        <v>0.65289301977144099</v>
      </c>
      <c r="G2534">
        <v>0.19933221717087299</v>
      </c>
      <c r="H2534">
        <v>7.5757337272198397E-2</v>
      </c>
      <c r="I2534">
        <v>5.6471149540596698E-2</v>
      </c>
      <c r="J2534">
        <v>5.8702594863302301E-2</v>
      </c>
      <c r="K2534">
        <v>5.5014835225152998E-2</v>
      </c>
      <c r="L2534">
        <v>414.86477313894198</v>
      </c>
      <c r="M2534">
        <v>8.1391913454825904</v>
      </c>
      <c r="N2534">
        <v>50.971244560633899</v>
      </c>
      <c r="O2534">
        <v>48.171334507219498</v>
      </c>
      <c r="P2534">
        <v>-4.2285633778981903E-2</v>
      </c>
      <c r="Q2534">
        <v>0</v>
      </c>
      <c r="R2534">
        <v>0.65129211197610903</v>
      </c>
      <c r="S2534" t="s">
        <v>9340</v>
      </c>
      <c r="T2534" t="s">
        <v>13610</v>
      </c>
      <c r="U2534" t="s">
        <v>13610</v>
      </c>
      <c r="V2534" t="s">
        <v>13610</v>
      </c>
      <c r="W2534" t="s">
        <v>16094</v>
      </c>
      <c r="X2534">
        <v>41</v>
      </c>
      <c r="Y2534" t="s">
        <v>22750</v>
      </c>
      <c r="Z2534" t="s">
        <v>29389</v>
      </c>
      <c r="AA2534">
        <v>0.41833845002272141</v>
      </c>
      <c r="AB2534" t="str">
        <f>HYPERLINK("Melting_Curves/meltCurve_P49368_CCT3.pdf", "Melting_Curves/meltCurve_P49368_CCT3.pdf")</f>
        <v>Melting_Curves/meltCurve_P49368_CCT3.pdf</v>
      </c>
    </row>
    <row r="2535" spans="1:28" x14ac:dyDescent="0.25">
      <c r="A2535" t="s">
        <v>2539</v>
      </c>
      <c r="B2535">
        <v>0.995954080203443</v>
      </c>
      <c r="C2535">
        <v>0.91841265904096203</v>
      </c>
      <c r="D2535">
        <v>0.84509843382016203</v>
      </c>
      <c r="E2535">
        <v>0.71758052755212298</v>
      </c>
      <c r="F2535">
        <v>0.52614497644330804</v>
      </c>
      <c r="G2535">
        <v>0.27237011997682598</v>
      </c>
      <c r="H2535">
        <v>0.10454697847321701</v>
      </c>
      <c r="I2535">
        <v>7.9604892086836798E-2</v>
      </c>
      <c r="J2535">
        <v>6.5453356853089104E-2</v>
      </c>
      <c r="K2535">
        <v>5.6159797898830403E-2</v>
      </c>
      <c r="L2535">
        <v>714.88785288356996</v>
      </c>
      <c r="M2535">
        <v>13.487670268607401</v>
      </c>
      <c r="N2535">
        <v>53.003071182816903</v>
      </c>
      <c r="O2535">
        <v>51.878615840449001</v>
      </c>
      <c r="P2535">
        <v>-6.50062383886853E-2</v>
      </c>
      <c r="Q2535">
        <v>0</v>
      </c>
      <c r="R2535">
        <v>0.99467977780182804</v>
      </c>
      <c r="S2535" t="s">
        <v>9341</v>
      </c>
      <c r="T2535" t="s">
        <v>13610</v>
      </c>
      <c r="U2535" t="s">
        <v>13610</v>
      </c>
      <c r="V2535" t="s">
        <v>13610</v>
      </c>
      <c r="W2535" t="s">
        <v>16095</v>
      </c>
      <c r="X2535">
        <v>24</v>
      </c>
      <c r="Y2535" t="s">
        <v>22751</v>
      </c>
      <c r="Z2535" t="s">
        <v>29390</v>
      </c>
      <c r="AA2535">
        <v>0.45820849160487942</v>
      </c>
      <c r="AB2535" t="str">
        <f>HYPERLINK("Melting_Curves/meltCurve_P49407_ARRB1.pdf", "Melting_Curves/meltCurve_P49407_ARRB1.pdf")</f>
        <v>Melting_Curves/meltCurve_P49407_ARRB1.pdf</v>
      </c>
    </row>
    <row r="2536" spans="1:28" x14ac:dyDescent="0.25">
      <c r="A2536" t="s">
        <v>2540</v>
      </c>
      <c r="B2536">
        <v>0.995954080203443</v>
      </c>
      <c r="C2536">
        <v>0.96476901486551703</v>
      </c>
      <c r="D2536">
        <v>0.92427462544847705</v>
      </c>
      <c r="E2536">
        <v>0.84541485378153003</v>
      </c>
      <c r="F2536">
        <v>0.72260859965595003</v>
      </c>
      <c r="G2536">
        <v>0.27764354921666601</v>
      </c>
      <c r="H2536">
        <v>9.6201850836871397E-2</v>
      </c>
      <c r="I2536">
        <v>8.6011744587188896E-2</v>
      </c>
      <c r="J2536">
        <v>9.8847521998281299E-2</v>
      </c>
      <c r="K2536">
        <v>8.6005135883720094E-2</v>
      </c>
      <c r="L2536">
        <v>1322.4920043730599</v>
      </c>
      <c r="M2536">
        <v>24.330785965336599</v>
      </c>
      <c r="N2536">
        <v>54.678055128241098</v>
      </c>
      <c r="O2536">
        <v>53.991490691677598</v>
      </c>
      <c r="P2536">
        <v>-0.105112300216501</v>
      </c>
      <c r="Q2536">
        <v>6.70116823395384E-2</v>
      </c>
      <c r="R2536">
        <v>0.99164102034479895</v>
      </c>
      <c r="S2536" t="s">
        <v>9342</v>
      </c>
      <c r="T2536" t="s">
        <v>13610</v>
      </c>
      <c r="U2536" t="s">
        <v>13610</v>
      </c>
      <c r="V2536" t="s">
        <v>13610</v>
      </c>
      <c r="W2536" t="s">
        <v>16096</v>
      </c>
      <c r="X2536">
        <v>25</v>
      </c>
      <c r="Y2536" t="s">
        <v>22751</v>
      </c>
      <c r="Z2536" t="s">
        <v>29391</v>
      </c>
      <c r="AA2536">
        <v>0.52250476797918699</v>
      </c>
      <c r="AB2536" t="str">
        <f>HYPERLINK("Melting_Curves/meltCurve_P49407_2_ARRB1.pdf", "Melting_Curves/meltCurve_P49407_2_ARRB1.pdf")</f>
        <v>Melting_Curves/meltCurve_P49407_2_ARRB1.pdf</v>
      </c>
    </row>
    <row r="2537" spans="1:28" x14ac:dyDescent="0.25">
      <c r="A2537" t="s">
        <v>2541</v>
      </c>
      <c r="B2537">
        <v>0.995954080203443</v>
      </c>
      <c r="C2537">
        <v>0.93222883871187201</v>
      </c>
      <c r="D2537">
        <v>0.73201007133500395</v>
      </c>
      <c r="E2537">
        <v>0.34647995478583998</v>
      </c>
      <c r="F2537">
        <v>0.123298194829171</v>
      </c>
      <c r="G2537">
        <v>7.3843383364403395E-2</v>
      </c>
      <c r="H2537">
        <v>5.1272135596918199E-2</v>
      </c>
      <c r="I2537">
        <v>5.0900919640463303E-2</v>
      </c>
      <c r="J2537">
        <v>5.52933997654474E-2</v>
      </c>
      <c r="K2537">
        <v>5.03730897333192E-2</v>
      </c>
      <c r="L2537">
        <v>1066.3188882724</v>
      </c>
      <c r="M2537">
        <v>22.203741029245499</v>
      </c>
      <c r="N2537">
        <v>48.230765352738302</v>
      </c>
      <c r="O2537">
        <v>47.639833178463803</v>
      </c>
      <c r="P2537">
        <v>-0.11123800510041899</v>
      </c>
      <c r="Q2537">
        <v>4.53417837534155E-2</v>
      </c>
      <c r="R2537">
        <v>0.99898336987299197</v>
      </c>
      <c r="S2537" t="s">
        <v>9343</v>
      </c>
      <c r="T2537" t="s">
        <v>13610</v>
      </c>
      <c r="U2537" t="s">
        <v>13610</v>
      </c>
      <c r="V2537" t="s">
        <v>13610</v>
      </c>
      <c r="W2537" t="s">
        <v>16097</v>
      </c>
      <c r="X2537">
        <v>29</v>
      </c>
      <c r="Y2537" t="s">
        <v>22752</v>
      </c>
      <c r="Z2537" t="s">
        <v>29392</v>
      </c>
      <c r="AA2537">
        <v>0.31154907098505957</v>
      </c>
      <c r="AB2537" t="str">
        <f>HYPERLINK("Melting_Curves/meltCurve_P49411_TUFM.pdf", "Melting_Curves/meltCurve_P49411_TUFM.pdf")</f>
        <v>Melting_Curves/meltCurve_P49411_TUFM.pdf</v>
      </c>
    </row>
    <row r="2538" spans="1:28" x14ac:dyDescent="0.25">
      <c r="A2538" t="s">
        <v>2542</v>
      </c>
      <c r="B2538">
        <v>0.995954080203443</v>
      </c>
      <c r="C2538">
        <v>0.94216068088150895</v>
      </c>
      <c r="D2538">
        <v>0.75363105164607702</v>
      </c>
      <c r="E2538">
        <v>0.41368510373461198</v>
      </c>
      <c r="F2538">
        <v>0.25570906371672603</v>
      </c>
      <c r="G2538">
        <v>0.14251209879384599</v>
      </c>
      <c r="H2538">
        <v>0.104417667319404</v>
      </c>
      <c r="I2538">
        <v>9.2724757687558307E-2</v>
      </c>
      <c r="J2538">
        <v>9.6103684137313405E-2</v>
      </c>
      <c r="K2538">
        <v>0.103523755085945</v>
      </c>
      <c r="L2538">
        <v>922.27761107173501</v>
      </c>
      <c r="M2538">
        <v>19.0201091789739</v>
      </c>
      <c r="N2538">
        <v>49.015832147168403</v>
      </c>
      <c r="O2538">
        <v>47.9631361379925</v>
      </c>
      <c r="P2538">
        <v>-8.9987376079752698E-2</v>
      </c>
      <c r="Q2538">
        <v>9.2348964603151604E-2</v>
      </c>
      <c r="R2538">
        <v>0.99939787214669396</v>
      </c>
      <c r="S2538" t="s">
        <v>9344</v>
      </c>
      <c r="T2538" t="s">
        <v>13610</v>
      </c>
      <c r="U2538" t="s">
        <v>13610</v>
      </c>
      <c r="V2538" t="s">
        <v>13610</v>
      </c>
      <c r="W2538" t="s">
        <v>16098</v>
      </c>
      <c r="X2538">
        <v>8</v>
      </c>
      <c r="Y2538" t="s">
        <v>22753</v>
      </c>
      <c r="Z2538" t="s">
        <v>29393</v>
      </c>
      <c r="AA2538">
        <v>0.3633942197985307</v>
      </c>
      <c r="AB2538" t="str">
        <f>HYPERLINK("Melting_Curves/meltCurve_P49427_CDC34.pdf", "Melting_Curves/meltCurve_P49427_CDC34.pdf")</f>
        <v>Melting_Curves/meltCurve_P49427_CDC34.pdf</v>
      </c>
    </row>
    <row r="2539" spans="1:28" x14ac:dyDescent="0.25">
      <c r="A2539" t="s">
        <v>2543</v>
      </c>
      <c r="B2539">
        <v>0.995954080203443</v>
      </c>
      <c r="C2539">
        <v>1.0355137204820299</v>
      </c>
      <c r="D2539">
        <v>0.95451357069243203</v>
      </c>
      <c r="E2539">
        <v>0.73791962907378394</v>
      </c>
      <c r="F2539">
        <v>0.28546480137108798</v>
      </c>
      <c r="G2539">
        <v>0.123915988299809</v>
      </c>
      <c r="H2539">
        <v>8.3611265470301996E-2</v>
      </c>
      <c r="I2539">
        <v>8.1963131125522795E-2</v>
      </c>
      <c r="J2539">
        <v>9.0079310084981198E-2</v>
      </c>
      <c r="K2539">
        <v>7.8398849478104701E-2</v>
      </c>
      <c r="L2539">
        <v>1849.72496346615</v>
      </c>
      <c r="M2539">
        <v>36.121317481654003</v>
      </c>
      <c r="N2539">
        <v>51.475284034946903</v>
      </c>
      <c r="O2539">
        <v>51.052485618952097</v>
      </c>
      <c r="P2539">
        <v>-0.161793389773841</v>
      </c>
      <c r="Q2539">
        <v>8.5312549810779098E-2</v>
      </c>
      <c r="R2539">
        <v>0.99833654930904803</v>
      </c>
      <c r="S2539" t="s">
        <v>9345</v>
      </c>
      <c r="T2539" t="s">
        <v>13610</v>
      </c>
      <c r="U2539" t="s">
        <v>13610</v>
      </c>
      <c r="V2539" t="s">
        <v>13610</v>
      </c>
      <c r="W2539" t="s">
        <v>16099</v>
      </c>
      <c r="X2539">
        <v>13</v>
      </c>
      <c r="Y2539" t="s">
        <v>22754</v>
      </c>
      <c r="Z2539" t="s">
        <v>29394</v>
      </c>
      <c r="AA2539">
        <v>0.43103568053922131</v>
      </c>
      <c r="AB2539" t="str">
        <f>HYPERLINK("Melting_Curves/meltCurve_P49441_INPP1.pdf", "Melting_Curves/meltCurve_P49441_INPP1.pdf")</f>
        <v>Melting_Curves/meltCurve_P49441_INPP1.pdf</v>
      </c>
    </row>
    <row r="2540" spans="1:28" x14ac:dyDescent="0.25">
      <c r="A2540" t="s">
        <v>2544</v>
      </c>
      <c r="B2540">
        <v>0.995954080203443</v>
      </c>
      <c r="C2540">
        <v>0.79604499938008899</v>
      </c>
      <c r="D2540">
        <v>0.62949054874927801</v>
      </c>
      <c r="E2540">
        <v>0.75805486657902399</v>
      </c>
      <c r="F2540">
        <v>0.37408868047600402</v>
      </c>
      <c r="G2540">
        <v>0.128682419246544</v>
      </c>
      <c r="H2540">
        <v>6.1210467859807202E-2</v>
      </c>
      <c r="I2540">
        <v>5.2839508561846903E-2</v>
      </c>
      <c r="J2540">
        <v>5.50214651037449E-2</v>
      </c>
      <c r="K2540">
        <v>4.96038376090824E-2</v>
      </c>
      <c r="L2540">
        <v>591.50011816401104</v>
      </c>
      <c r="M2540">
        <v>11.675637940650301</v>
      </c>
      <c r="N2540">
        <v>50.6610533937722</v>
      </c>
      <c r="O2540">
        <v>49.243335670185502</v>
      </c>
      <c r="P2540">
        <v>-5.9291077481339702E-2</v>
      </c>
      <c r="Q2540">
        <v>0</v>
      </c>
      <c r="R2540">
        <v>0.928180890951531</v>
      </c>
      <c r="S2540" t="s">
        <v>9346</v>
      </c>
      <c r="T2540" t="s">
        <v>13610</v>
      </c>
      <c r="U2540" t="s">
        <v>13610</v>
      </c>
      <c r="V2540" t="s">
        <v>13610</v>
      </c>
      <c r="W2540" t="s">
        <v>16100</v>
      </c>
      <c r="X2540">
        <v>22</v>
      </c>
      <c r="Y2540" t="s">
        <v>22755</v>
      </c>
      <c r="Z2540" t="s">
        <v>29395</v>
      </c>
      <c r="AA2540">
        <v>0.39001769885903531</v>
      </c>
      <c r="AB2540" t="str">
        <f>HYPERLINK("Melting_Curves/meltCurve_P49448_GLUD2.pdf", "Melting_Curves/meltCurve_P49448_GLUD2.pdf")</f>
        <v>Melting_Curves/meltCurve_P49448_GLUD2.pdf</v>
      </c>
    </row>
    <row r="2541" spans="1:28" x14ac:dyDescent="0.25">
      <c r="A2541" t="s">
        <v>2545</v>
      </c>
      <c r="B2541">
        <v>0.995954080203443</v>
      </c>
      <c r="C2541">
        <v>1.01202280946243</v>
      </c>
      <c r="D2541">
        <v>1.01834513756491</v>
      </c>
      <c r="E2541">
        <v>0.89653347238676695</v>
      </c>
      <c r="F2541">
        <v>0.77625080240891597</v>
      </c>
      <c r="G2541">
        <v>0.617364793206301</v>
      </c>
      <c r="H2541">
        <v>0.50205898525839898</v>
      </c>
      <c r="I2541">
        <v>0.48997408521664998</v>
      </c>
      <c r="J2541">
        <v>0.59928834032714795</v>
      </c>
      <c r="K2541">
        <v>0.55757405857410303</v>
      </c>
      <c r="L2541">
        <v>1363.79633178822</v>
      </c>
      <c r="M2541">
        <v>25.740893463286199</v>
      </c>
      <c r="O2541">
        <v>52.665039131744102</v>
      </c>
      <c r="P2541">
        <v>-5.6730817660523299E-2</v>
      </c>
      <c r="Q2541">
        <v>0.535727861768869</v>
      </c>
      <c r="R2541">
        <v>0.97443173980021103</v>
      </c>
      <c r="S2541" t="s">
        <v>9347</v>
      </c>
      <c r="T2541" t="s">
        <v>13610</v>
      </c>
      <c r="U2541" t="s">
        <v>13610</v>
      </c>
      <c r="V2541" t="s">
        <v>13610</v>
      </c>
      <c r="W2541" t="s">
        <v>16101</v>
      </c>
      <c r="X2541">
        <v>115</v>
      </c>
      <c r="Y2541" t="s">
        <v>22756</v>
      </c>
      <c r="Z2541" t="s">
        <v>29396</v>
      </c>
      <c r="AA2541">
        <v>0.74067422279581596</v>
      </c>
      <c r="AB2541" t="str">
        <f>HYPERLINK("Melting_Curves/meltCurve_P49454_CENPF.pdf", "Melting_Curves/meltCurve_P49454_CENPF.pdf")</f>
        <v>Melting_Curves/meltCurve_P49454_CENPF.pdf</v>
      </c>
    </row>
    <row r="2542" spans="1:28" x14ac:dyDescent="0.25">
      <c r="A2542" t="s">
        <v>2546</v>
      </c>
      <c r="B2542">
        <v>0.995954080203443</v>
      </c>
      <c r="C2542">
        <v>0.92946541563839402</v>
      </c>
      <c r="D2542">
        <v>0.86084965940135905</v>
      </c>
      <c r="E2542">
        <v>0.80532710180123901</v>
      </c>
      <c r="F2542">
        <v>0.68767498690987505</v>
      </c>
      <c r="G2542">
        <v>0.44712049872639598</v>
      </c>
      <c r="H2542">
        <v>0.24469038353407199</v>
      </c>
      <c r="I2542">
        <v>0.19029498334931899</v>
      </c>
      <c r="J2542">
        <v>0.15621424376430099</v>
      </c>
      <c r="K2542">
        <v>0.12141625880048899</v>
      </c>
      <c r="L2542">
        <v>625.509509844543</v>
      </c>
      <c r="M2542">
        <v>11.2182208486349</v>
      </c>
      <c r="N2542">
        <v>55.893227789880903</v>
      </c>
      <c r="O2542">
        <v>54.074617486424899</v>
      </c>
      <c r="P2542">
        <v>-5.1187960919092598E-2</v>
      </c>
      <c r="Q2542">
        <v>1.33537397657597E-2</v>
      </c>
      <c r="R2542">
        <v>0.99196464366009995</v>
      </c>
      <c r="S2542" t="s">
        <v>9348</v>
      </c>
      <c r="T2542" t="s">
        <v>13610</v>
      </c>
      <c r="U2542" t="s">
        <v>13610</v>
      </c>
      <c r="V2542" t="s">
        <v>13610</v>
      </c>
      <c r="W2542" t="s">
        <v>16102</v>
      </c>
      <c r="X2542">
        <v>7</v>
      </c>
      <c r="Y2542" t="s">
        <v>22757</v>
      </c>
      <c r="Z2542" t="s">
        <v>29397</v>
      </c>
      <c r="AA2542">
        <v>0.55307579472368884</v>
      </c>
      <c r="AB2542" t="str">
        <f>HYPERLINK("Melting_Curves/meltCurve_P49458_SRP9.pdf", "Melting_Curves/meltCurve_P49458_SRP9.pdf")</f>
        <v>Melting_Curves/meltCurve_P49458_SRP9.pdf</v>
      </c>
    </row>
    <row r="2543" spans="1:28" x14ac:dyDescent="0.25">
      <c r="A2543" t="s">
        <v>2547</v>
      </c>
      <c r="B2543">
        <v>0.995954080203443</v>
      </c>
      <c r="C2543">
        <v>0.98337492434074902</v>
      </c>
      <c r="D2543">
        <v>0.87916843776579101</v>
      </c>
      <c r="E2543">
        <v>0.93442314406487004</v>
      </c>
      <c r="F2543">
        <v>0.77565300961184402</v>
      </c>
      <c r="G2543">
        <v>0.45293403982111902</v>
      </c>
      <c r="H2543">
        <v>0.217815525894167</v>
      </c>
      <c r="I2543">
        <v>0.13762777169871901</v>
      </c>
      <c r="J2543">
        <v>0.13544945605228001</v>
      </c>
      <c r="K2543">
        <v>0.119822210039029</v>
      </c>
      <c r="L2543">
        <v>1150.30144156799</v>
      </c>
      <c r="M2543">
        <v>20.631709201709999</v>
      </c>
      <c r="N2543">
        <v>56.339431402487698</v>
      </c>
      <c r="O2543">
        <v>55.238192463600598</v>
      </c>
      <c r="P2543">
        <v>-8.4370167454527495E-2</v>
      </c>
      <c r="Q2543">
        <v>9.64739854743598E-2</v>
      </c>
      <c r="R2543">
        <v>0.99022660087777203</v>
      </c>
      <c r="S2543" t="s">
        <v>9349</v>
      </c>
      <c r="T2543" t="s">
        <v>13610</v>
      </c>
      <c r="U2543" t="s">
        <v>13610</v>
      </c>
      <c r="V2543" t="s">
        <v>13610</v>
      </c>
      <c r="W2543" t="s">
        <v>16103</v>
      </c>
      <c r="X2543">
        <v>4</v>
      </c>
      <c r="Y2543" t="s">
        <v>22758</v>
      </c>
      <c r="Z2543" t="s">
        <v>29398</v>
      </c>
      <c r="AA2543">
        <v>0.58219053588095193</v>
      </c>
      <c r="AB2543" t="str">
        <f>HYPERLINK("Melting_Curves/meltCurve_P49459_UBE2A.pdf", "Melting_Curves/meltCurve_P49459_UBE2A.pdf")</f>
        <v>Melting_Curves/meltCurve_P49459_UBE2A.pdf</v>
      </c>
    </row>
    <row r="2544" spans="1:28" x14ac:dyDescent="0.25">
      <c r="A2544" t="s">
        <v>2548</v>
      </c>
      <c r="B2544">
        <v>0.995954080203443</v>
      </c>
      <c r="C2544">
        <v>0.99006333544610503</v>
      </c>
      <c r="D2544">
        <v>1.0408902407353</v>
      </c>
      <c r="E2544">
        <v>0.85057190472410404</v>
      </c>
      <c r="F2544">
        <v>0.73132680744923595</v>
      </c>
      <c r="G2544">
        <v>0.46126266307823699</v>
      </c>
      <c r="H2544">
        <v>0.25588845736508098</v>
      </c>
      <c r="I2544">
        <v>0.22518612407906299</v>
      </c>
      <c r="J2544">
        <v>0.19815270445362501</v>
      </c>
      <c r="K2544">
        <v>0.18508278861164601</v>
      </c>
      <c r="L2544">
        <v>1036.20225626979</v>
      </c>
      <c r="M2544">
        <v>18.8585495853978</v>
      </c>
      <c r="N2544">
        <v>56.159079642121</v>
      </c>
      <c r="O2544">
        <v>54.339373227080202</v>
      </c>
      <c r="P2544">
        <v>-7.2250688012107794E-2</v>
      </c>
      <c r="Q2544">
        <v>0.16729632006433801</v>
      </c>
      <c r="R2544">
        <v>0.994901780367767</v>
      </c>
      <c r="S2544" t="s">
        <v>9350</v>
      </c>
      <c r="T2544" t="s">
        <v>13610</v>
      </c>
      <c r="U2544" t="s">
        <v>13610</v>
      </c>
      <c r="V2544" t="s">
        <v>13610</v>
      </c>
      <c r="W2544" t="s">
        <v>16104</v>
      </c>
      <c r="X2544">
        <v>18</v>
      </c>
      <c r="Y2544" t="s">
        <v>22759</v>
      </c>
      <c r="Z2544" t="s">
        <v>29399</v>
      </c>
      <c r="AA2544">
        <v>0.59424989858551713</v>
      </c>
      <c r="AB2544" t="str">
        <f>HYPERLINK("Melting_Curves/meltCurve_P49585_PCYT1A.pdf", "Melting_Curves/meltCurve_P49585_PCYT1A.pdf")</f>
        <v>Melting_Curves/meltCurve_P49585_PCYT1A.pdf</v>
      </c>
    </row>
    <row r="2545" spans="1:28" x14ac:dyDescent="0.25">
      <c r="A2545" t="s">
        <v>2549</v>
      </c>
      <c r="B2545">
        <v>0.995954080203443</v>
      </c>
      <c r="C2545">
        <v>1.1229096342378999</v>
      </c>
      <c r="D2545">
        <v>0.69432492184111405</v>
      </c>
      <c r="E2545">
        <v>0.47325621377122301</v>
      </c>
      <c r="F2545">
        <v>0.15071301734442899</v>
      </c>
      <c r="G2545">
        <v>8.6868269501748197E-2</v>
      </c>
      <c r="H2545">
        <v>5.2191657768437497E-2</v>
      </c>
      <c r="I2545">
        <v>4.0623584157322597E-2</v>
      </c>
      <c r="J2545">
        <v>4.32721344669642E-2</v>
      </c>
      <c r="K2545">
        <v>3.9160281483800401E-2</v>
      </c>
      <c r="L2545">
        <v>1048.6789869096699</v>
      </c>
      <c r="M2545">
        <v>21.438861043735599</v>
      </c>
      <c r="N2545">
        <v>49.0907348707482</v>
      </c>
      <c r="O2545">
        <v>48.495255741185801</v>
      </c>
      <c r="P2545">
        <v>-0.10643765707616799</v>
      </c>
      <c r="Q2545">
        <v>3.6965164743081501E-2</v>
      </c>
      <c r="R2545">
        <v>0.97167784412078295</v>
      </c>
      <c r="S2545" t="s">
        <v>9351</v>
      </c>
      <c r="T2545" t="s">
        <v>13610</v>
      </c>
      <c r="U2545" t="s">
        <v>13610</v>
      </c>
      <c r="V2545" t="s">
        <v>13610</v>
      </c>
      <c r="W2545" t="s">
        <v>16105</v>
      </c>
      <c r="X2545">
        <v>62</v>
      </c>
      <c r="Y2545" t="s">
        <v>22760</v>
      </c>
      <c r="Z2545" t="s">
        <v>29400</v>
      </c>
      <c r="AA2545">
        <v>0.33485297673087489</v>
      </c>
      <c r="AB2545" t="str">
        <f>HYPERLINK("Melting_Curves/meltCurve_P49588_AARS.pdf", "Melting_Curves/meltCurve_P49588_AARS.pdf")</f>
        <v>Melting_Curves/meltCurve_P49588_AARS.pdf</v>
      </c>
    </row>
    <row r="2546" spans="1:28" x14ac:dyDescent="0.25">
      <c r="A2546" t="s">
        <v>2550</v>
      </c>
      <c r="B2546">
        <v>0.995954080203443</v>
      </c>
      <c r="C2546">
        <v>0.92039936279495105</v>
      </c>
      <c r="D2546">
        <v>0.85948891105812997</v>
      </c>
      <c r="E2546">
        <v>0.86750179427593999</v>
      </c>
      <c r="F2546">
        <v>0.50840469405364896</v>
      </c>
      <c r="G2546">
        <v>0.13753380694374001</v>
      </c>
      <c r="H2546">
        <v>8.8381930352307306E-2</v>
      </c>
      <c r="I2546">
        <v>7.8148401821567806E-2</v>
      </c>
      <c r="J2546">
        <v>8.84225197070789E-2</v>
      </c>
      <c r="K2546">
        <v>7.9030986051055394E-2</v>
      </c>
      <c r="L2546">
        <v>1611.83465302377</v>
      </c>
      <c r="M2546">
        <v>30.5632187982863</v>
      </c>
      <c r="N2546">
        <v>53.016708723375899</v>
      </c>
      <c r="O2546">
        <v>52.513494005265102</v>
      </c>
      <c r="P2546">
        <v>-0.13469452512709401</v>
      </c>
      <c r="Q2546">
        <v>7.4281104224398098E-2</v>
      </c>
      <c r="R2546">
        <v>0.98394883075655604</v>
      </c>
      <c r="S2546" t="s">
        <v>9352</v>
      </c>
      <c r="T2546" t="s">
        <v>13610</v>
      </c>
      <c r="U2546" t="s">
        <v>13610</v>
      </c>
      <c r="V2546" t="s">
        <v>13610</v>
      </c>
      <c r="W2546" t="s">
        <v>16106</v>
      </c>
      <c r="X2546">
        <v>44</v>
      </c>
      <c r="Y2546" t="s">
        <v>22761</v>
      </c>
      <c r="Z2546" t="s">
        <v>29401</v>
      </c>
      <c r="AA2546">
        <v>0.47309878813513861</v>
      </c>
      <c r="AB2546" t="str">
        <f>HYPERLINK("Melting_Curves/meltCurve_P49589_3_CARS.pdf", "Melting_Curves/meltCurve_P49589_3_CARS.pdf")</f>
        <v>Melting_Curves/meltCurve_P49589_3_CARS.pdf</v>
      </c>
    </row>
    <row r="2547" spans="1:28" x14ac:dyDescent="0.25">
      <c r="A2547" t="s">
        <v>2551</v>
      </c>
      <c r="B2547">
        <v>0.995954080203443</v>
      </c>
      <c r="C2547">
        <v>0.919210719886975</v>
      </c>
      <c r="D2547">
        <v>0.81616847103962997</v>
      </c>
      <c r="E2547">
        <v>0.74495555450138695</v>
      </c>
      <c r="F2547">
        <v>0.34277648205642203</v>
      </c>
      <c r="G2547">
        <v>0.13382986696710999</v>
      </c>
      <c r="H2547">
        <v>7.5887884967592897E-2</v>
      </c>
      <c r="I2547">
        <v>6.41489714759335E-2</v>
      </c>
      <c r="J2547">
        <v>7.0857289669345402E-2</v>
      </c>
      <c r="K2547">
        <v>6.3296066047976704E-2</v>
      </c>
      <c r="L2547">
        <v>1020.75508622012</v>
      </c>
      <c r="M2547">
        <v>19.856816466287899</v>
      </c>
      <c r="N2547">
        <v>51.641941001737997</v>
      </c>
      <c r="O2547">
        <v>50.892926584377598</v>
      </c>
      <c r="P2547">
        <v>-9.3311640357427006E-2</v>
      </c>
      <c r="Q2547">
        <v>4.3402829437215497E-2</v>
      </c>
      <c r="R2547">
        <v>0.98211307218839405</v>
      </c>
      <c r="S2547" t="s">
        <v>9353</v>
      </c>
      <c r="T2547" t="s">
        <v>13610</v>
      </c>
      <c r="U2547" t="s">
        <v>13610</v>
      </c>
      <c r="V2547" t="s">
        <v>13610</v>
      </c>
      <c r="W2547" t="s">
        <v>16107</v>
      </c>
      <c r="X2547">
        <v>39</v>
      </c>
      <c r="Y2547" t="s">
        <v>22762</v>
      </c>
      <c r="Z2547" t="s">
        <v>29402</v>
      </c>
      <c r="AA2547">
        <v>0.4205353112346209</v>
      </c>
      <c r="AB2547" t="str">
        <f>HYPERLINK("Melting_Curves/meltCurve_P49591_SARS.pdf", "Melting_Curves/meltCurve_P49591_SARS.pdf")</f>
        <v>Melting_Curves/meltCurve_P49591_SARS.pdf</v>
      </c>
    </row>
    <row r="2548" spans="1:28" x14ac:dyDescent="0.25">
      <c r="A2548" t="s">
        <v>2552</v>
      </c>
      <c r="B2548">
        <v>0.995954080203443</v>
      </c>
      <c r="C2548">
        <v>1.0028917604173</v>
      </c>
      <c r="D2548">
        <v>1.00651030311024</v>
      </c>
      <c r="E2548">
        <v>0.69533904851298101</v>
      </c>
      <c r="F2548">
        <v>0.20829336257834899</v>
      </c>
      <c r="G2548">
        <v>0.124725033406693</v>
      </c>
      <c r="H2548">
        <v>8.1545917117494496E-2</v>
      </c>
      <c r="I2548">
        <v>7.7917649511001094E-2</v>
      </c>
      <c r="J2548">
        <v>9.2332541271812105E-2</v>
      </c>
      <c r="K2548">
        <v>8.3151439782143996E-2</v>
      </c>
      <c r="L2548">
        <v>2273.9491190139902</v>
      </c>
      <c r="M2548">
        <v>44.789446948371598</v>
      </c>
      <c r="N2548">
        <v>50.995976527522402</v>
      </c>
      <c r="O2548">
        <v>50.668866994984</v>
      </c>
      <c r="P2548">
        <v>-0.201079699671701</v>
      </c>
      <c r="Q2548">
        <v>9.0101294115339098E-2</v>
      </c>
      <c r="R2548">
        <v>0.99920943635280701</v>
      </c>
      <c r="S2548" t="s">
        <v>9354</v>
      </c>
      <c r="T2548" t="s">
        <v>13610</v>
      </c>
      <c r="U2548" t="s">
        <v>13610</v>
      </c>
      <c r="V2548" t="s">
        <v>13610</v>
      </c>
      <c r="W2548" t="s">
        <v>16108</v>
      </c>
      <c r="X2548">
        <v>22</v>
      </c>
      <c r="Y2548" t="s">
        <v>22763</v>
      </c>
      <c r="Z2548" t="s">
        <v>29403</v>
      </c>
      <c r="AA2548">
        <v>0.41929013364454659</v>
      </c>
      <c r="AB2548" t="str">
        <f>HYPERLINK("Melting_Curves/meltCurve_P49593_PPM1F.pdf", "Melting_Curves/meltCurve_P49593_PPM1F.pdf")</f>
        <v>Melting_Curves/meltCurve_P49593_PPM1F.pdf</v>
      </c>
    </row>
    <row r="2549" spans="1:28" x14ac:dyDescent="0.25">
      <c r="A2549" t="s">
        <v>2553</v>
      </c>
      <c r="B2549">
        <v>0.995954080203443</v>
      </c>
      <c r="C2549">
        <v>0.73245479280047299</v>
      </c>
      <c r="D2549">
        <v>0.491600877261609</v>
      </c>
      <c r="E2549">
        <v>0.38003465357136401</v>
      </c>
      <c r="F2549">
        <v>0.10460337748949999</v>
      </c>
      <c r="G2549">
        <v>6.7148588527558298E-2</v>
      </c>
      <c r="H2549">
        <v>4.1002602284476497E-2</v>
      </c>
      <c r="I2549">
        <v>3.1813293199238403E-2</v>
      </c>
      <c r="J2549">
        <v>4.2001275395767403E-2</v>
      </c>
      <c r="K2549">
        <v>4.16636373915171E-2</v>
      </c>
      <c r="L2549">
        <v>672.24632045210205</v>
      </c>
      <c r="M2549">
        <v>14.4864747539734</v>
      </c>
      <c r="N2549">
        <v>46.538831623255</v>
      </c>
      <c r="O2549">
        <v>45.547704748055899</v>
      </c>
      <c r="P2549">
        <v>-7.7900690396551495E-2</v>
      </c>
      <c r="Q2549">
        <v>2.0386422510617199E-2</v>
      </c>
      <c r="R2549">
        <v>0.976475275237778</v>
      </c>
      <c r="S2549" t="s">
        <v>9355</v>
      </c>
      <c r="T2549" t="s">
        <v>13610</v>
      </c>
      <c r="U2549" t="s">
        <v>13610</v>
      </c>
      <c r="V2549" t="s">
        <v>13610</v>
      </c>
      <c r="W2549" t="s">
        <v>16109</v>
      </c>
      <c r="X2549">
        <v>10</v>
      </c>
      <c r="Y2549" t="s">
        <v>22764</v>
      </c>
      <c r="Z2549" t="s">
        <v>29404</v>
      </c>
      <c r="AA2549">
        <v>0.25932877744522048</v>
      </c>
      <c r="AB2549" t="str">
        <f>HYPERLINK("Melting_Curves/meltCurve_P49642_PRIM1.pdf", "Melting_Curves/meltCurve_P49642_PRIM1.pdf")</f>
        <v>Melting_Curves/meltCurve_P49642_PRIM1.pdf</v>
      </c>
    </row>
    <row r="2550" spans="1:28" x14ac:dyDescent="0.25">
      <c r="A2550" t="s">
        <v>2554</v>
      </c>
      <c r="B2550">
        <v>0.995954080203443</v>
      </c>
      <c r="C2550">
        <v>0.82857120055280298</v>
      </c>
      <c r="D2550">
        <v>0.61784091565996302</v>
      </c>
      <c r="E2550">
        <v>0.50416390286936097</v>
      </c>
      <c r="F2550">
        <v>0.121231416837644</v>
      </c>
      <c r="G2550">
        <v>7.20201287513976E-2</v>
      </c>
      <c r="H2550">
        <v>5.0129216338060202E-2</v>
      </c>
      <c r="I2550">
        <v>4.4617700171238603E-2</v>
      </c>
      <c r="J2550">
        <v>5.8162860948940201E-2</v>
      </c>
      <c r="K2550">
        <v>4.8107343230105501E-2</v>
      </c>
      <c r="L2550">
        <v>712.28825866435295</v>
      </c>
      <c r="M2550">
        <v>14.816950226415599</v>
      </c>
      <c r="N2550">
        <v>48.1903724310027</v>
      </c>
      <c r="O2550">
        <v>47.222358869205202</v>
      </c>
      <c r="P2550">
        <v>-7.7054951081167694E-2</v>
      </c>
      <c r="Q2550">
        <v>1.7792240675813802E-2</v>
      </c>
      <c r="R2550">
        <v>0.97249745393675502</v>
      </c>
      <c r="S2550" t="s">
        <v>9356</v>
      </c>
      <c r="T2550" t="s">
        <v>13610</v>
      </c>
      <c r="U2550" t="s">
        <v>13610</v>
      </c>
      <c r="V2550" t="s">
        <v>13610</v>
      </c>
      <c r="W2550" t="s">
        <v>16110</v>
      </c>
      <c r="X2550">
        <v>13</v>
      </c>
      <c r="Y2550" t="s">
        <v>22765</v>
      </c>
      <c r="Z2550" t="s">
        <v>29405</v>
      </c>
      <c r="AA2550">
        <v>0.3078950294026776</v>
      </c>
      <c r="AB2550" t="str">
        <f>HYPERLINK("Melting_Curves/meltCurve_P49643_PRIM2.pdf", "Melting_Curves/meltCurve_P49643_PRIM2.pdf")</f>
        <v>Melting_Curves/meltCurve_P49643_PRIM2.pdf</v>
      </c>
    </row>
    <row r="2551" spans="1:28" x14ac:dyDescent="0.25">
      <c r="A2551" t="s">
        <v>2555</v>
      </c>
      <c r="B2551">
        <v>0.995954080203443</v>
      </c>
      <c r="C2551">
        <v>0.99135274181311195</v>
      </c>
      <c r="D2551">
        <v>1.0005031368883499</v>
      </c>
      <c r="E2551">
        <v>0.80749932116039402</v>
      </c>
      <c r="F2551">
        <v>0.52556807122754101</v>
      </c>
      <c r="G2551">
        <v>0.20263066970215399</v>
      </c>
      <c r="H2551">
        <v>0.14760715669910399</v>
      </c>
      <c r="I2551">
        <v>0.14761192300554199</v>
      </c>
      <c r="J2551">
        <v>0.14946534211613899</v>
      </c>
      <c r="K2551">
        <v>0.157867197033083</v>
      </c>
      <c r="L2551">
        <v>1480.27607531639</v>
      </c>
      <c r="M2551">
        <v>28.232857365604701</v>
      </c>
      <c r="N2551">
        <v>53.058958142790203</v>
      </c>
      <c r="O2551">
        <v>52.170031402131698</v>
      </c>
      <c r="P2551">
        <v>-0.11607804150501</v>
      </c>
      <c r="Q2551">
        <v>0.142028656382123</v>
      </c>
      <c r="R2551">
        <v>0.99868701583373198</v>
      </c>
      <c r="S2551" t="s">
        <v>9357</v>
      </c>
      <c r="T2551" t="s">
        <v>13610</v>
      </c>
      <c r="U2551" t="s">
        <v>13610</v>
      </c>
      <c r="V2551" t="s">
        <v>13610</v>
      </c>
      <c r="W2551" t="s">
        <v>16111</v>
      </c>
      <c r="X2551">
        <v>2</v>
      </c>
      <c r="Y2551" t="s">
        <v>22766</v>
      </c>
      <c r="Z2551" t="s">
        <v>29406</v>
      </c>
      <c r="AA2551">
        <v>0.50375969581324009</v>
      </c>
      <c r="AB2551" t="str">
        <f>HYPERLINK("Melting_Curves/meltCurve_P49662_2_CASP4.pdf", "Melting_Curves/meltCurve_P49662_2_CASP4.pdf")</f>
        <v>Melting_Curves/meltCurve_P49662_2_CASP4.pdf</v>
      </c>
    </row>
    <row r="2552" spans="1:28" x14ac:dyDescent="0.25">
      <c r="A2552" t="s">
        <v>2556</v>
      </c>
      <c r="B2552">
        <v>0.995954080203443</v>
      </c>
      <c r="C2552">
        <v>0.90468508713107398</v>
      </c>
      <c r="D2552">
        <v>1.1233425342921799</v>
      </c>
      <c r="E2552">
        <v>0.79390232775852498</v>
      </c>
      <c r="F2552">
        <v>1.22742181459468</v>
      </c>
      <c r="G2552">
        <v>1.16585915002525</v>
      </c>
      <c r="H2552">
        <v>1.2099990684797901</v>
      </c>
      <c r="I2552">
        <v>1.75836137497644</v>
      </c>
      <c r="J2552">
        <v>1.8859720903114101</v>
      </c>
      <c r="K2552">
        <v>2.1111514010542001</v>
      </c>
      <c r="L2552">
        <v>15000</v>
      </c>
      <c r="M2552">
        <v>245.57897703315101</v>
      </c>
      <c r="O2552">
        <v>61.076096246012298</v>
      </c>
      <c r="P2552">
        <v>0.50260861560185299</v>
      </c>
      <c r="Q2552">
        <v>1.5</v>
      </c>
      <c r="R2552">
        <v>0.58594105676532904</v>
      </c>
      <c r="S2552" t="s">
        <v>9358</v>
      </c>
      <c r="T2552" t="s">
        <v>13610</v>
      </c>
      <c r="U2552" t="s">
        <v>13610</v>
      </c>
      <c r="V2552" t="s">
        <v>13610</v>
      </c>
      <c r="W2552" t="s">
        <v>16112</v>
      </c>
      <c r="X2552">
        <v>6</v>
      </c>
      <c r="Y2552" t="s">
        <v>22767</v>
      </c>
      <c r="Z2552" t="s">
        <v>29407</v>
      </c>
      <c r="AA2552">
        <v>1.148608672902802</v>
      </c>
      <c r="AB2552" t="str">
        <f>HYPERLINK("Melting_Curves/meltCurve_P49674_CSNK1E.pdf", "Melting_Curves/meltCurve_P49674_CSNK1E.pdf")</f>
        <v>Melting_Curves/meltCurve_P49674_CSNK1E.pdf</v>
      </c>
    </row>
    <row r="2553" spans="1:28" x14ac:dyDescent="0.25">
      <c r="A2553" t="s">
        <v>2557</v>
      </c>
      <c r="B2553">
        <v>0.995954080203443</v>
      </c>
      <c r="C2553">
        <v>0.92722008194188898</v>
      </c>
      <c r="D2553">
        <v>0.80100792302399004</v>
      </c>
      <c r="E2553">
        <v>0.65084048773932701</v>
      </c>
      <c r="F2553">
        <v>0.410836100119434</v>
      </c>
      <c r="G2553">
        <v>0.26679814071428498</v>
      </c>
      <c r="H2553">
        <v>0.203312773296486</v>
      </c>
      <c r="I2553">
        <v>0.21952869180255</v>
      </c>
      <c r="J2553">
        <v>0.22037459174112001</v>
      </c>
      <c r="K2553">
        <v>0.227182591310923</v>
      </c>
      <c r="L2553">
        <v>792.90929434832401</v>
      </c>
      <c r="M2553">
        <v>15.857087128942499</v>
      </c>
      <c r="N2553">
        <v>51.574604842154301</v>
      </c>
      <c r="O2553">
        <v>49.228494240527802</v>
      </c>
      <c r="P2553">
        <v>-6.5108006810199806E-2</v>
      </c>
      <c r="Q2553">
        <v>0.19155194104638701</v>
      </c>
      <c r="R2553">
        <v>0.99169482397487496</v>
      </c>
      <c r="S2553" t="s">
        <v>9359</v>
      </c>
      <c r="T2553" t="s">
        <v>13610</v>
      </c>
      <c r="U2553" t="s">
        <v>13610</v>
      </c>
      <c r="V2553" t="s">
        <v>13610</v>
      </c>
      <c r="W2553" t="s">
        <v>16113</v>
      </c>
      <c r="X2553">
        <v>16</v>
      </c>
      <c r="Y2553" t="s">
        <v>22768</v>
      </c>
      <c r="Z2553" t="s">
        <v>29408</v>
      </c>
      <c r="AA2553">
        <v>0.47857632659531268</v>
      </c>
      <c r="AB2553" t="str">
        <f>HYPERLINK("Melting_Curves/meltCurve_P49711_CTCF.pdf", "Melting_Curves/meltCurve_P49711_CTCF.pdf")</f>
        <v>Melting_Curves/meltCurve_P49711_CTCF.pdf</v>
      </c>
    </row>
    <row r="2554" spans="1:28" x14ac:dyDescent="0.25">
      <c r="A2554" t="s">
        <v>2558</v>
      </c>
      <c r="B2554">
        <v>0.995954080203443</v>
      </c>
      <c r="C2554">
        <v>0.93925049837999497</v>
      </c>
      <c r="D2554">
        <v>0.91808566086890597</v>
      </c>
      <c r="E2554">
        <v>0.81857858870753897</v>
      </c>
      <c r="F2554">
        <v>0.65384810446290798</v>
      </c>
      <c r="G2554">
        <v>0.43477452788611598</v>
      </c>
      <c r="H2554">
        <v>0.430702813394854</v>
      </c>
      <c r="I2554">
        <v>0.44751935982871499</v>
      </c>
      <c r="J2554">
        <v>0.55084429745006902</v>
      </c>
      <c r="K2554">
        <v>0.51130834732849195</v>
      </c>
      <c r="L2554">
        <v>1304.7260937774299</v>
      </c>
      <c r="M2554">
        <v>25.518957321392701</v>
      </c>
      <c r="N2554">
        <v>57.519048752891003</v>
      </c>
      <c r="O2554">
        <v>50.816839622675303</v>
      </c>
      <c r="P2554">
        <v>-6.6456436891854598E-2</v>
      </c>
      <c r="Q2554">
        <v>0.47065781863716499</v>
      </c>
      <c r="R2554">
        <v>0.95041508434090805</v>
      </c>
      <c r="S2554" t="s">
        <v>9360</v>
      </c>
      <c r="T2554" t="s">
        <v>13610</v>
      </c>
      <c r="U2554" t="s">
        <v>13610</v>
      </c>
      <c r="V2554" t="s">
        <v>13610</v>
      </c>
      <c r="W2554" t="s">
        <v>16114</v>
      </c>
      <c r="X2554">
        <v>2</v>
      </c>
      <c r="Y2554" t="s">
        <v>22769</v>
      </c>
      <c r="Z2554" t="s">
        <v>29409</v>
      </c>
      <c r="AA2554">
        <v>0.67160273388574154</v>
      </c>
      <c r="AB2554" t="str">
        <f>HYPERLINK("Melting_Curves/meltCurve_P49716_CEBPD.pdf", "Melting_Curves/meltCurve_P49716_CEBPD.pdf")</f>
        <v>Melting_Curves/meltCurve_P49716_CEBPD.pdf</v>
      </c>
    </row>
    <row r="2555" spans="1:28" x14ac:dyDescent="0.25">
      <c r="A2555" t="s">
        <v>2559</v>
      </c>
      <c r="B2555">
        <v>0.995954080203443</v>
      </c>
      <c r="C2555">
        <v>0.69590472027846195</v>
      </c>
      <c r="D2555">
        <v>0.441777859137157</v>
      </c>
      <c r="E2555">
        <v>0.90310543547756805</v>
      </c>
      <c r="F2555">
        <v>0.662427093586622</v>
      </c>
      <c r="G2555">
        <v>0.56274750656445405</v>
      </c>
      <c r="H2555">
        <v>0.25538339188776199</v>
      </c>
      <c r="I2555">
        <v>0.25577526884504298</v>
      </c>
      <c r="J2555">
        <v>8.3592196002430993E-2</v>
      </c>
      <c r="K2555">
        <v>0.272293546161818</v>
      </c>
      <c r="L2555">
        <v>322.602833477128</v>
      </c>
      <c r="M2555">
        <v>5.8993207953992703</v>
      </c>
      <c r="N2555">
        <v>54.684741604582001</v>
      </c>
      <c r="O2555">
        <v>49.388177305290299</v>
      </c>
      <c r="P2555">
        <v>-2.9964710501044E-2</v>
      </c>
      <c r="Q2555">
        <v>0</v>
      </c>
      <c r="R2555">
        <v>0.67333274909435104</v>
      </c>
      <c r="S2555" t="s">
        <v>9361</v>
      </c>
      <c r="T2555" t="s">
        <v>13610</v>
      </c>
      <c r="U2555" t="s">
        <v>13610</v>
      </c>
      <c r="V2555" t="s">
        <v>13610</v>
      </c>
      <c r="W2555" t="s">
        <v>16115</v>
      </c>
      <c r="X2555">
        <v>11</v>
      </c>
      <c r="Y2555" t="s">
        <v>22770</v>
      </c>
      <c r="Z2555" t="s">
        <v>29410</v>
      </c>
      <c r="AA2555">
        <v>0.51903555438662941</v>
      </c>
      <c r="AB2555" t="str">
        <f>HYPERLINK("Melting_Curves/meltCurve_P49720_PSMB3.pdf", "Melting_Curves/meltCurve_P49720_PSMB3.pdf")</f>
        <v>Melting_Curves/meltCurve_P49720_PSMB3.pdf</v>
      </c>
    </row>
    <row r="2556" spans="1:28" x14ac:dyDescent="0.25">
      <c r="A2556" t="s">
        <v>2560</v>
      </c>
      <c r="B2556">
        <v>0.995954080203443</v>
      </c>
      <c r="C2556">
        <v>0.66880585778785595</v>
      </c>
      <c r="D2556">
        <v>0.52180483709732906</v>
      </c>
      <c r="E2556">
        <v>0.83446673990782505</v>
      </c>
      <c r="F2556">
        <v>0.68653006079601697</v>
      </c>
      <c r="G2556">
        <v>0.68868392565621095</v>
      </c>
      <c r="H2556">
        <v>0.32558890882061697</v>
      </c>
      <c r="I2556">
        <v>0.34413532135525499</v>
      </c>
      <c r="J2556">
        <v>0.107720244376592</v>
      </c>
      <c r="K2556">
        <v>0.39228954529014798</v>
      </c>
      <c r="L2556">
        <v>272.17619927831498</v>
      </c>
      <c r="M2556">
        <v>4.78220725856628</v>
      </c>
      <c r="N2556">
        <v>56.914346149443602</v>
      </c>
      <c r="O2556">
        <v>49.142374480013899</v>
      </c>
      <c r="P2556">
        <v>-2.4501818971315901E-2</v>
      </c>
      <c r="Q2556">
        <v>0</v>
      </c>
      <c r="R2556">
        <v>0.63131385881167301</v>
      </c>
      <c r="S2556" t="s">
        <v>9362</v>
      </c>
      <c r="T2556" t="s">
        <v>13610</v>
      </c>
      <c r="U2556" t="s">
        <v>13610</v>
      </c>
      <c r="V2556" t="s">
        <v>13610</v>
      </c>
      <c r="W2556" t="s">
        <v>16116</v>
      </c>
      <c r="X2556">
        <v>15</v>
      </c>
      <c r="Y2556" t="s">
        <v>22771</v>
      </c>
      <c r="Z2556" t="s">
        <v>29411</v>
      </c>
      <c r="AA2556">
        <v>0.55993775938855161</v>
      </c>
      <c r="AB2556" t="str">
        <f>HYPERLINK("Melting_Curves/meltCurve_P49721_PSMB2.pdf", "Melting_Curves/meltCurve_P49721_PSMB2.pdf")</f>
        <v>Melting_Curves/meltCurve_P49721_PSMB2.pdf</v>
      </c>
    </row>
    <row r="2557" spans="1:28" x14ac:dyDescent="0.25">
      <c r="A2557" t="s">
        <v>2561</v>
      </c>
      <c r="B2557">
        <v>0.995954080203443</v>
      </c>
      <c r="C2557">
        <v>0.79039695977917401</v>
      </c>
      <c r="D2557">
        <v>0.68009420623872896</v>
      </c>
      <c r="E2557">
        <v>0.37979412070729301</v>
      </c>
      <c r="F2557">
        <v>0.14190929173157901</v>
      </c>
      <c r="G2557">
        <v>8.5317463190173207E-2</v>
      </c>
      <c r="H2557">
        <v>5.50116668429921E-2</v>
      </c>
      <c r="I2557">
        <v>5.1107987410762501E-2</v>
      </c>
      <c r="J2557">
        <v>5.4446193880362197E-2</v>
      </c>
      <c r="K2557">
        <v>4.87078554803414E-2</v>
      </c>
      <c r="L2557">
        <v>761.56416976955904</v>
      </c>
      <c r="M2557">
        <v>15.975913714121999</v>
      </c>
      <c r="N2557">
        <v>47.859358162252697</v>
      </c>
      <c r="O2557">
        <v>46.941384104355798</v>
      </c>
      <c r="P2557">
        <v>-8.2478831738599601E-2</v>
      </c>
      <c r="Q2557">
        <v>3.0699571606927E-2</v>
      </c>
      <c r="R2557">
        <v>0.99022199538872102</v>
      </c>
      <c r="S2557" t="s">
        <v>9363</v>
      </c>
      <c r="T2557" t="s">
        <v>13610</v>
      </c>
      <c r="U2557" t="s">
        <v>13610</v>
      </c>
      <c r="V2557" t="s">
        <v>13610</v>
      </c>
      <c r="W2557" t="s">
        <v>13920</v>
      </c>
      <c r="X2557">
        <v>41</v>
      </c>
      <c r="Y2557" t="s">
        <v>22772</v>
      </c>
      <c r="Z2557" t="s">
        <v>29412</v>
      </c>
      <c r="AA2557">
        <v>0.30080787496649691</v>
      </c>
      <c r="AB2557" t="str">
        <f>HYPERLINK("Melting_Curves/meltCurve_P49736_MCM2.pdf", "Melting_Curves/meltCurve_P49736_MCM2.pdf")</f>
        <v>Melting_Curves/meltCurve_P49736_MCM2.pdf</v>
      </c>
    </row>
    <row r="2558" spans="1:28" x14ac:dyDescent="0.25">
      <c r="A2558" t="s">
        <v>2562</v>
      </c>
      <c r="B2558">
        <v>0.995954080203443</v>
      </c>
      <c r="C2558">
        <v>0.94015495256450698</v>
      </c>
      <c r="D2558">
        <v>0.93447166073121402</v>
      </c>
      <c r="E2558">
        <v>0.85917550496762995</v>
      </c>
      <c r="F2558">
        <v>0.70314821487447698</v>
      </c>
      <c r="G2558">
        <v>0.46277297691101499</v>
      </c>
      <c r="H2558">
        <v>0.247469530911546</v>
      </c>
      <c r="I2558">
        <v>0.177417155007632</v>
      </c>
      <c r="J2558">
        <v>0.126096066654072</v>
      </c>
      <c r="K2558">
        <v>0.10856185790440299</v>
      </c>
      <c r="L2558">
        <v>798.74625102891002</v>
      </c>
      <c r="M2558">
        <v>14.3057123343737</v>
      </c>
      <c r="N2558">
        <v>56.224191621946403</v>
      </c>
      <c r="O2558">
        <v>54.7770534869721</v>
      </c>
      <c r="P2558">
        <v>-6.2213405802235097E-2</v>
      </c>
      <c r="Q2558">
        <v>4.72469810224442E-2</v>
      </c>
      <c r="R2558">
        <v>0.99720883140577599</v>
      </c>
      <c r="S2558" t="s">
        <v>9364</v>
      </c>
      <c r="T2558" t="s">
        <v>13610</v>
      </c>
      <c r="U2558" t="s">
        <v>13610</v>
      </c>
      <c r="V2558" t="s">
        <v>13610</v>
      </c>
      <c r="W2558" t="s">
        <v>16117</v>
      </c>
      <c r="X2558">
        <v>22</v>
      </c>
      <c r="Y2558" t="s">
        <v>22773</v>
      </c>
      <c r="Z2558" t="s">
        <v>29413</v>
      </c>
      <c r="AA2558">
        <v>0.56798205436849436</v>
      </c>
      <c r="AB2558" t="str">
        <f>HYPERLINK("Melting_Curves/meltCurve_P49748_ACADVL.pdf", "Melting_Curves/meltCurve_P49748_ACADVL.pdf")</f>
        <v>Melting_Curves/meltCurve_P49748_ACADVL.pdf</v>
      </c>
    </row>
    <row r="2559" spans="1:28" x14ac:dyDescent="0.25">
      <c r="A2559" t="s">
        <v>2563</v>
      </c>
      <c r="B2559">
        <v>0.995954080203443</v>
      </c>
      <c r="C2559">
        <v>0.97578347668295096</v>
      </c>
      <c r="D2559">
        <v>1.0463549719149801</v>
      </c>
      <c r="E2559">
        <v>0.82615223311338903</v>
      </c>
      <c r="F2559">
        <v>0.78373552370205102</v>
      </c>
      <c r="G2559">
        <v>0.60889124438509301</v>
      </c>
      <c r="H2559">
        <v>0.56122237910164996</v>
      </c>
      <c r="I2559">
        <v>0.638148498150094</v>
      </c>
      <c r="J2559">
        <v>0.71021403368987601</v>
      </c>
      <c r="K2559">
        <v>0.68558779896569899</v>
      </c>
      <c r="L2559">
        <v>1477.3387819411701</v>
      </c>
      <c r="M2559">
        <v>29.015490484568598</v>
      </c>
      <c r="O2559">
        <v>50.675511981861</v>
      </c>
      <c r="P2559">
        <v>-5.1093559629551297E-2</v>
      </c>
      <c r="Q2559">
        <v>0.64306335828649497</v>
      </c>
      <c r="R2559">
        <v>0.90720237063847098</v>
      </c>
      <c r="S2559" t="s">
        <v>9365</v>
      </c>
      <c r="T2559" t="s">
        <v>13610</v>
      </c>
      <c r="U2559" t="s">
        <v>13610</v>
      </c>
      <c r="V2559" t="s">
        <v>13610</v>
      </c>
      <c r="W2559" t="s">
        <v>16118</v>
      </c>
      <c r="X2559">
        <v>60</v>
      </c>
      <c r="Y2559" t="s">
        <v>22774</v>
      </c>
      <c r="Z2559" t="s">
        <v>29414</v>
      </c>
      <c r="AA2559">
        <v>0.77533098052218263</v>
      </c>
      <c r="AB2559" t="str">
        <f>HYPERLINK("Melting_Curves/meltCurve_P49750_4_YLPM1.pdf", "Melting_Curves/meltCurve_P49750_4_YLPM1.pdf")</f>
        <v>Melting_Curves/meltCurve_P49750_4_YLPM1.pdf</v>
      </c>
    </row>
    <row r="2560" spans="1:28" x14ac:dyDescent="0.25">
      <c r="A2560" t="s">
        <v>2564</v>
      </c>
      <c r="B2560">
        <v>0.995954080203443</v>
      </c>
      <c r="C2560">
        <v>0.90526929542714396</v>
      </c>
      <c r="D2560">
        <v>0.98992664603827096</v>
      </c>
      <c r="E2560">
        <v>0.97205958999264896</v>
      </c>
      <c r="F2560">
        <v>0.416812526971514</v>
      </c>
      <c r="G2560">
        <v>0.152939920669699</v>
      </c>
      <c r="H2560">
        <v>9.6505132923061204E-2</v>
      </c>
      <c r="I2560">
        <v>0.115411172099607</v>
      </c>
      <c r="J2560">
        <v>0.11085156766698399</v>
      </c>
      <c r="K2560">
        <v>0.10492267961712901</v>
      </c>
      <c r="L2560">
        <v>3425.2070367567298</v>
      </c>
      <c r="M2560">
        <v>65.276153198343394</v>
      </c>
      <c r="N2560">
        <v>52.683294116928501</v>
      </c>
      <c r="O2560">
        <v>52.423381058075101</v>
      </c>
      <c r="P2560">
        <v>-0.27552635879021697</v>
      </c>
      <c r="Q2560">
        <v>0.114897658917313</v>
      </c>
      <c r="R2560">
        <v>0.99339354245780598</v>
      </c>
      <c r="S2560" t="s">
        <v>9366</v>
      </c>
      <c r="T2560" t="s">
        <v>13610</v>
      </c>
      <c r="U2560" t="s">
        <v>13610</v>
      </c>
      <c r="V2560" t="s">
        <v>13610</v>
      </c>
      <c r="W2560" t="s">
        <v>16119</v>
      </c>
      <c r="X2560">
        <v>5</v>
      </c>
      <c r="Y2560" t="s">
        <v>22775</v>
      </c>
      <c r="Z2560" t="s">
        <v>29415</v>
      </c>
      <c r="AA2560">
        <v>0.48407999798033058</v>
      </c>
      <c r="AB2560" t="str">
        <f>HYPERLINK("Melting_Curves/meltCurve_P49755_TMED10.pdf", "Melting_Curves/meltCurve_P49755_TMED10.pdf")</f>
        <v>Melting_Curves/meltCurve_P49755_TMED10.pdf</v>
      </c>
    </row>
    <row r="2561" spans="1:28" x14ac:dyDescent="0.25">
      <c r="A2561" t="s">
        <v>2565</v>
      </c>
      <c r="B2561">
        <v>0.995954080203443</v>
      </c>
      <c r="C2561">
        <v>1.00066428735534</v>
      </c>
      <c r="D2561">
        <v>0.84390746216771295</v>
      </c>
      <c r="E2561">
        <v>0.88885584072160495</v>
      </c>
      <c r="F2561">
        <v>0.77716863070472098</v>
      </c>
      <c r="G2561">
        <v>0.46437071189576301</v>
      </c>
      <c r="H2561">
        <v>0.27091145011324003</v>
      </c>
      <c r="I2561">
        <v>0.23518645743937799</v>
      </c>
      <c r="J2561">
        <v>0.26858421669529903</v>
      </c>
      <c r="K2561">
        <v>0.251032555164791</v>
      </c>
      <c r="L2561">
        <v>1109.02438666223</v>
      </c>
      <c r="M2561">
        <v>20.2376846141409</v>
      </c>
      <c r="N2561">
        <v>56.4181537583992</v>
      </c>
      <c r="O2561">
        <v>54.273313702015798</v>
      </c>
      <c r="P2561">
        <v>-7.2697836139590397E-2</v>
      </c>
      <c r="Q2561">
        <v>0.22018158071125499</v>
      </c>
      <c r="R2561">
        <v>0.97488983480323699</v>
      </c>
      <c r="S2561" t="s">
        <v>9367</v>
      </c>
      <c r="T2561" t="s">
        <v>13610</v>
      </c>
      <c r="U2561" t="s">
        <v>13610</v>
      </c>
      <c r="V2561" t="s">
        <v>13610</v>
      </c>
      <c r="W2561" t="s">
        <v>16120</v>
      </c>
      <c r="X2561">
        <v>32</v>
      </c>
      <c r="Y2561" t="s">
        <v>22776</v>
      </c>
      <c r="Z2561" t="s">
        <v>29416</v>
      </c>
      <c r="AA2561">
        <v>0.61513906317365374</v>
      </c>
      <c r="AB2561" t="str">
        <f>HYPERLINK("Melting_Curves/meltCurve_P49756_RBM25.pdf", "Melting_Curves/meltCurve_P49756_RBM25.pdf")</f>
        <v>Melting_Curves/meltCurve_P49756_RBM25.pdf</v>
      </c>
    </row>
    <row r="2562" spans="1:28" x14ac:dyDescent="0.25">
      <c r="A2562" t="s">
        <v>2566</v>
      </c>
      <c r="B2562">
        <v>0.995954080203443</v>
      </c>
      <c r="C2562">
        <v>0.97883755000486705</v>
      </c>
      <c r="D2562">
        <v>0.98540073556236896</v>
      </c>
      <c r="E2562">
        <v>0.84288810986062301</v>
      </c>
      <c r="F2562">
        <v>0.73274273560910497</v>
      </c>
      <c r="G2562">
        <v>0.43651947188910001</v>
      </c>
      <c r="H2562">
        <v>0.29794825162559602</v>
      </c>
      <c r="I2562">
        <v>0.32101721158510099</v>
      </c>
      <c r="J2562">
        <v>0.36793472887168499</v>
      </c>
      <c r="K2562">
        <v>0.37469445171619498</v>
      </c>
      <c r="L2562">
        <v>1307.0674385712</v>
      </c>
      <c r="M2562">
        <v>24.508053901970399</v>
      </c>
      <c r="N2562">
        <v>55.794021481968002</v>
      </c>
      <c r="O2562">
        <v>52.980892137670601</v>
      </c>
      <c r="P2562">
        <v>-7.7432988685324097E-2</v>
      </c>
      <c r="Q2562">
        <v>0.330439104329599</v>
      </c>
      <c r="R2562">
        <v>0.98572756915468096</v>
      </c>
      <c r="S2562" t="s">
        <v>9368</v>
      </c>
      <c r="T2562" t="s">
        <v>13610</v>
      </c>
      <c r="U2562" t="s">
        <v>13610</v>
      </c>
      <c r="V2562" t="s">
        <v>13610</v>
      </c>
      <c r="W2562" t="s">
        <v>16121</v>
      </c>
      <c r="X2562">
        <v>19</v>
      </c>
      <c r="Y2562" t="s">
        <v>22777</v>
      </c>
      <c r="Z2562" t="s">
        <v>29417</v>
      </c>
      <c r="AA2562">
        <v>0.63440532979878483</v>
      </c>
      <c r="AB2562" t="str">
        <f>HYPERLINK("Melting_Curves/meltCurve_P49757_3_NUMB.pdf", "Melting_Curves/meltCurve_P49757_3_NUMB.pdf")</f>
        <v>Melting_Curves/meltCurve_P49757_3_NUMB.pdf</v>
      </c>
    </row>
    <row r="2563" spans="1:28" x14ac:dyDescent="0.25">
      <c r="A2563" t="s">
        <v>2567</v>
      </c>
      <c r="B2563">
        <v>0.995954080203443</v>
      </c>
      <c r="C2563">
        <v>0.81173209327278695</v>
      </c>
      <c r="D2563">
        <v>0.70017987668655501</v>
      </c>
      <c r="E2563">
        <v>0.65739171768538596</v>
      </c>
      <c r="F2563">
        <v>0.402569695340944</v>
      </c>
      <c r="G2563">
        <v>0.146719665207482</v>
      </c>
      <c r="H2563">
        <v>8.1601037204167698E-2</v>
      </c>
      <c r="I2563">
        <v>6.9115100863784598E-2</v>
      </c>
      <c r="J2563">
        <v>7.0365028566104507E-2</v>
      </c>
      <c r="K2563">
        <v>6.3632898575065405E-2</v>
      </c>
      <c r="L2563">
        <v>584.51305168068404</v>
      </c>
      <c r="M2563">
        <v>11.524592852434999</v>
      </c>
      <c r="N2563">
        <v>50.718759291375903</v>
      </c>
      <c r="O2563">
        <v>49.263748360649103</v>
      </c>
      <c r="P2563">
        <v>-5.85006069606991E-2</v>
      </c>
      <c r="Q2563">
        <v>0</v>
      </c>
      <c r="R2563">
        <v>0.97091687409538696</v>
      </c>
      <c r="S2563" t="s">
        <v>9369</v>
      </c>
      <c r="T2563" t="s">
        <v>13610</v>
      </c>
      <c r="U2563" t="s">
        <v>13610</v>
      </c>
      <c r="V2563" t="s">
        <v>13610</v>
      </c>
      <c r="W2563" t="s">
        <v>16122</v>
      </c>
      <c r="X2563">
        <v>16</v>
      </c>
      <c r="Y2563" t="s">
        <v>22778</v>
      </c>
      <c r="Z2563" t="s">
        <v>29418</v>
      </c>
      <c r="AA2563">
        <v>0.39246490056938821</v>
      </c>
      <c r="AB2563" t="str">
        <f>HYPERLINK("Melting_Curves/meltCurve_P49770_EIF2B2.pdf", "Melting_Curves/meltCurve_P49770_EIF2B2.pdf")</f>
        <v>Melting_Curves/meltCurve_P49770_EIF2B2.pdf</v>
      </c>
    </row>
    <row r="2564" spans="1:28" x14ac:dyDescent="0.25">
      <c r="A2564" t="s">
        <v>2568</v>
      </c>
      <c r="B2564">
        <v>0.995954080203443</v>
      </c>
      <c r="C2564">
        <v>0.98882323954146201</v>
      </c>
      <c r="D2564">
        <v>1.1516304598634699</v>
      </c>
      <c r="E2564">
        <v>0.89516600000063196</v>
      </c>
      <c r="F2564">
        <v>1.0005899236553499</v>
      </c>
      <c r="G2564">
        <v>0.75034132465515901</v>
      </c>
      <c r="H2564">
        <v>0.47547867399735699</v>
      </c>
      <c r="I2564">
        <v>0.34573402986975799</v>
      </c>
      <c r="J2564">
        <v>0.35667491441443999</v>
      </c>
      <c r="K2564">
        <v>0.31823151949517497</v>
      </c>
      <c r="L2564">
        <v>1690.0917997514</v>
      </c>
      <c r="M2564">
        <v>29.0434379295593</v>
      </c>
      <c r="N2564">
        <v>60.331596689182803</v>
      </c>
      <c r="O2564">
        <v>57.918078257574003</v>
      </c>
      <c r="P2564">
        <v>-8.5059506286267794E-2</v>
      </c>
      <c r="Q2564">
        <v>0.32150640825994597</v>
      </c>
      <c r="R2564">
        <v>0.961945001816773</v>
      </c>
      <c r="S2564" t="s">
        <v>9370</v>
      </c>
      <c r="T2564" t="s">
        <v>13610</v>
      </c>
      <c r="U2564" t="s">
        <v>13610</v>
      </c>
      <c r="V2564" t="s">
        <v>13610</v>
      </c>
      <c r="W2564" t="s">
        <v>16123</v>
      </c>
      <c r="X2564">
        <v>7</v>
      </c>
      <c r="Y2564" t="s">
        <v>22779</v>
      </c>
      <c r="Z2564" t="s">
        <v>29419</v>
      </c>
      <c r="AA2564">
        <v>0.7376289797032799</v>
      </c>
      <c r="AB2564" t="str">
        <f>HYPERLINK("Melting_Curves/meltCurve_P49773_HINT1.pdf", "Melting_Curves/meltCurve_P49773_HINT1.pdf")</f>
        <v>Melting_Curves/meltCurve_P49773_HINT1.pdf</v>
      </c>
    </row>
    <row r="2565" spans="1:28" x14ac:dyDescent="0.25">
      <c r="A2565" t="s">
        <v>2569</v>
      </c>
      <c r="B2565">
        <v>0.995954080203443</v>
      </c>
      <c r="C2565">
        <v>0.98334347701533797</v>
      </c>
      <c r="D2565">
        <v>0.94622471231549898</v>
      </c>
      <c r="E2565">
        <v>0.84630391819047401</v>
      </c>
      <c r="F2565">
        <v>0.76181513196489503</v>
      </c>
      <c r="G2565">
        <v>0.55601422991506799</v>
      </c>
      <c r="H2565">
        <v>0.43934541582173697</v>
      </c>
      <c r="I2565">
        <v>0.42370323836823098</v>
      </c>
      <c r="J2565">
        <v>0.32681206020763898</v>
      </c>
      <c r="K2565">
        <v>0.29745058295467203</v>
      </c>
      <c r="L2565">
        <v>669.52091089461305</v>
      </c>
      <c r="M2565">
        <v>11.979019304931199</v>
      </c>
      <c r="N2565">
        <v>59.254330802446603</v>
      </c>
      <c r="O2565">
        <v>54.4018709680604</v>
      </c>
      <c r="P2565">
        <v>-4.1479896415081499E-2</v>
      </c>
      <c r="Q2565">
        <v>0.246670747544568</v>
      </c>
      <c r="R2565">
        <v>0.99565600389963005</v>
      </c>
      <c r="S2565" t="s">
        <v>9371</v>
      </c>
      <c r="T2565" t="s">
        <v>13610</v>
      </c>
      <c r="U2565" t="s">
        <v>13610</v>
      </c>
      <c r="V2565" t="s">
        <v>13610</v>
      </c>
      <c r="W2565" t="s">
        <v>16124</v>
      </c>
      <c r="X2565">
        <v>4</v>
      </c>
      <c r="Y2565" t="s">
        <v>22780</v>
      </c>
      <c r="Z2565" t="s">
        <v>29420</v>
      </c>
      <c r="AA2565">
        <v>0.66134849911763161</v>
      </c>
      <c r="AB2565" t="str">
        <f>HYPERLINK("Melting_Curves/meltCurve_P49789_FHIT.pdf", "Melting_Curves/meltCurve_P49789_FHIT.pdf")</f>
        <v>Melting_Curves/meltCurve_P49789_FHIT.pdf</v>
      </c>
    </row>
    <row r="2566" spans="1:28" x14ac:dyDescent="0.25">
      <c r="A2566" t="s">
        <v>2570</v>
      </c>
      <c r="B2566">
        <v>0.995954080203443</v>
      </c>
      <c r="C2566">
        <v>0.95867094052348101</v>
      </c>
      <c r="D2566">
        <v>0.93726215749000097</v>
      </c>
      <c r="E2566">
        <v>0.72922794634258203</v>
      </c>
      <c r="F2566">
        <v>0.54681380422654302</v>
      </c>
      <c r="G2566">
        <v>0.35123136462572302</v>
      </c>
      <c r="H2566">
        <v>0.28412802541582</v>
      </c>
      <c r="I2566">
        <v>0.30968238505722101</v>
      </c>
      <c r="J2566">
        <v>0.36281539412520503</v>
      </c>
      <c r="K2566">
        <v>0.358523014453629</v>
      </c>
      <c r="L2566">
        <v>1154.6688446119399</v>
      </c>
      <c r="M2566">
        <v>22.651700699736601</v>
      </c>
      <c r="N2566">
        <v>53.383982857629</v>
      </c>
      <c r="O2566">
        <v>50.582620599468498</v>
      </c>
      <c r="P2566">
        <v>-7.6119127115125806E-2</v>
      </c>
      <c r="Q2566">
        <v>0.32009891771267002</v>
      </c>
      <c r="R2566">
        <v>0.98922161995344204</v>
      </c>
      <c r="S2566" t="s">
        <v>9372</v>
      </c>
      <c r="T2566" t="s">
        <v>13610</v>
      </c>
      <c r="U2566" t="s">
        <v>13610</v>
      </c>
      <c r="V2566" t="s">
        <v>13610</v>
      </c>
      <c r="W2566" t="s">
        <v>16125</v>
      </c>
      <c r="X2566">
        <v>108</v>
      </c>
      <c r="Y2566" t="s">
        <v>22781</v>
      </c>
      <c r="Z2566" t="s">
        <v>29421</v>
      </c>
      <c r="AA2566">
        <v>0.57627261042704747</v>
      </c>
      <c r="AB2566" t="str">
        <f>HYPERLINK("Melting_Curves/meltCurve_P49792_RANBP2.pdf", "Melting_Curves/meltCurve_P49792_RANBP2.pdf")</f>
        <v>Melting_Curves/meltCurve_P49792_RANBP2.pdf</v>
      </c>
    </row>
    <row r="2567" spans="1:28" x14ac:dyDescent="0.25">
      <c r="A2567" t="s">
        <v>2571</v>
      </c>
      <c r="B2567">
        <v>0.995954080203443</v>
      </c>
      <c r="C2567">
        <v>0.98490609568743703</v>
      </c>
      <c r="D2567">
        <v>0.93075417053139198</v>
      </c>
      <c r="E2567">
        <v>0.90436759899558306</v>
      </c>
      <c r="F2567">
        <v>0.84970511422291795</v>
      </c>
      <c r="G2567">
        <v>0.55762165503491601</v>
      </c>
      <c r="H2567">
        <v>0.49092607959023898</v>
      </c>
      <c r="I2567">
        <v>0.58035223123022905</v>
      </c>
      <c r="J2567">
        <v>0.63134598012092302</v>
      </c>
      <c r="K2567">
        <v>0.76007711414669399</v>
      </c>
      <c r="L2567">
        <v>2762.1843593492199</v>
      </c>
      <c r="M2567">
        <v>51.818167448571003</v>
      </c>
      <c r="O2567">
        <v>53.226115860118</v>
      </c>
      <c r="P2567">
        <v>-9.6680281081790706E-2</v>
      </c>
      <c r="Q2567">
        <v>0.60277159650312695</v>
      </c>
      <c r="R2567">
        <v>0.83294793537900702</v>
      </c>
      <c r="S2567" t="s">
        <v>9373</v>
      </c>
      <c r="T2567" t="s">
        <v>13610</v>
      </c>
      <c r="U2567" t="s">
        <v>13610</v>
      </c>
      <c r="V2567" t="s">
        <v>13610</v>
      </c>
      <c r="W2567" t="s">
        <v>16126</v>
      </c>
      <c r="X2567">
        <v>3</v>
      </c>
      <c r="Y2567" t="s">
        <v>22782</v>
      </c>
      <c r="Z2567" t="s">
        <v>29422</v>
      </c>
      <c r="AA2567">
        <v>0.77981589660002049</v>
      </c>
      <c r="AB2567" t="str">
        <f>HYPERLINK("Melting_Curves/meltCurve_P49796_4_RGS3.pdf", "Melting_Curves/meltCurve_P49796_4_RGS3.pdf")</f>
        <v>Melting_Curves/meltCurve_P49796_4_RGS3.pdf</v>
      </c>
    </row>
    <row r="2568" spans="1:28" x14ac:dyDescent="0.25">
      <c r="A2568" t="s">
        <v>2572</v>
      </c>
      <c r="B2568">
        <v>0.995954080203443</v>
      </c>
      <c r="C2568">
        <v>0.851602468156056</v>
      </c>
      <c r="D2568">
        <v>0.85587168496924804</v>
      </c>
      <c r="E2568">
        <v>0.56231832817999905</v>
      </c>
      <c r="F2568">
        <v>0.256285958860828</v>
      </c>
      <c r="G2568">
        <v>0.12805231594403599</v>
      </c>
      <c r="H2568">
        <v>5.9542799785401702E-2</v>
      </c>
      <c r="I2568">
        <v>4.5095386983015802E-2</v>
      </c>
      <c r="J2568">
        <v>4.9236222552117299E-2</v>
      </c>
      <c r="K2568">
        <v>4.49332659077952E-2</v>
      </c>
      <c r="L2568">
        <v>885.53625190735499</v>
      </c>
      <c r="M2568">
        <v>17.6708178217723</v>
      </c>
      <c r="N2568">
        <v>50.271682048563903</v>
      </c>
      <c r="O2568">
        <v>49.484352047243803</v>
      </c>
      <c r="P2568">
        <v>-8.6856564133134695E-2</v>
      </c>
      <c r="Q2568">
        <v>2.7138908892304501E-2</v>
      </c>
      <c r="R2568">
        <v>0.98972371527646597</v>
      </c>
      <c r="S2568" t="s">
        <v>9374</v>
      </c>
      <c r="T2568" t="s">
        <v>13610</v>
      </c>
      <c r="U2568" t="s">
        <v>13610</v>
      </c>
      <c r="V2568" t="s">
        <v>13610</v>
      </c>
      <c r="W2568" t="s">
        <v>16127</v>
      </c>
      <c r="X2568">
        <v>13</v>
      </c>
      <c r="Y2568" t="s">
        <v>22783</v>
      </c>
      <c r="Z2568" t="s">
        <v>29423</v>
      </c>
      <c r="AA2568">
        <v>0.37224012216089841</v>
      </c>
      <c r="AB2568" t="str">
        <f>HYPERLINK("Melting_Curves/meltCurve_P49841_GSK3B.pdf", "Melting_Curves/meltCurve_P49841_GSK3B.pdf")</f>
        <v>Melting_Curves/meltCurve_P49841_GSK3B.pdf</v>
      </c>
    </row>
    <row r="2569" spans="1:28" x14ac:dyDescent="0.25">
      <c r="A2569" t="s">
        <v>2573</v>
      </c>
      <c r="B2569">
        <v>0.995954080203443</v>
      </c>
      <c r="C2569">
        <v>0.79329344210626296</v>
      </c>
      <c r="D2569">
        <v>0.55462868181273395</v>
      </c>
      <c r="E2569">
        <v>0.43094807543268099</v>
      </c>
      <c r="F2569">
        <v>0.357027381975353</v>
      </c>
      <c r="G2569">
        <v>0.24420980021659699</v>
      </c>
      <c r="H2569">
        <v>0.22296728957227999</v>
      </c>
      <c r="I2569">
        <v>0.25801784722048898</v>
      </c>
      <c r="J2569">
        <v>0.28980406034022399</v>
      </c>
      <c r="K2569">
        <v>0.29111563411502001</v>
      </c>
      <c r="L2569">
        <v>795.63926891459505</v>
      </c>
      <c r="M2569">
        <v>17.518050215031501</v>
      </c>
      <c r="N2569">
        <v>47.456798588876701</v>
      </c>
      <c r="O2569">
        <v>44.838818915409902</v>
      </c>
      <c r="P2569">
        <v>-7.1851137291079101E-2</v>
      </c>
      <c r="Q2569">
        <v>0.26440619937983401</v>
      </c>
      <c r="R2569">
        <v>0.97790015435615496</v>
      </c>
      <c r="S2569" t="s">
        <v>9375</v>
      </c>
      <c r="T2569" t="s">
        <v>13610</v>
      </c>
      <c r="U2569" t="s">
        <v>13610</v>
      </c>
      <c r="V2569" t="s">
        <v>13610</v>
      </c>
      <c r="W2569" t="s">
        <v>16128</v>
      </c>
      <c r="X2569">
        <v>15</v>
      </c>
      <c r="Y2569" t="s">
        <v>22784</v>
      </c>
      <c r="Z2569" t="s">
        <v>29424</v>
      </c>
      <c r="AA2569">
        <v>0.4134035855551646</v>
      </c>
      <c r="AB2569" t="str">
        <f>HYPERLINK("Melting_Curves/meltCurve_P49848_2_TAF6.pdf", "Melting_Curves/meltCurve_P49848_2_TAF6.pdf")</f>
        <v>Melting_Curves/meltCurve_P49848_2_TAF6.pdf</v>
      </c>
    </row>
    <row r="2570" spans="1:28" x14ac:dyDescent="0.25">
      <c r="A2570" t="s">
        <v>2574</v>
      </c>
      <c r="B2570">
        <v>0.995954080203443</v>
      </c>
      <c r="C2570">
        <v>0.88225042229914397</v>
      </c>
      <c r="D2570">
        <v>0.82169478686177999</v>
      </c>
      <c r="E2570">
        <v>0.86396459186157903</v>
      </c>
      <c r="F2570">
        <v>0.66529108248227198</v>
      </c>
      <c r="G2570">
        <v>0.459875897394323</v>
      </c>
      <c r="H2570">
        <v>0.16078464385497801</v>
      </c>
      <c r="I2570">
        <v>7.0071542087945707E-2</v>
      </c>
      <c r="J2570">
        <v>6.2682703879091001E-2</v>
      </c>
      <c r="K2570">
        <v>6.2411741040438701E-2</v>
      </c>
      <c r="L2570">
        <v>809.39549785948896</v>
      </c>
      <c r="M2570">
        <v>14.6095506941728</v>
      </c>
      <c r="N2570">
        <v>55.401805756383801</v>
      </c>
      <c r="O2570">
        <v>54.394843149906499</v>
      </c>
      <c r="P2570">
        <v>-6.71533666126755E-2</v>
      </c>
      <c r="Q2570">
        <v>0</v>
      </c>
      <c r="R2570">
        <v>0.97155213046321698</v>
      </c>
      <c r="S2570" t="s">
        <v>9376</v>
      </c>
      <c r="T2570" t="s">
        <v>13610</v>
      </c>
      <c r="U2570" t="s">
        <v>13610</v>
      </c>
      <c r="V2570" t="s">
        <v>13610</v>
      </c>
      <c r="W2570" t="s">
        <v>16129</v>
      </c>
      <c r="X2570">
        <v>16</v>
      </c>
      <c r="Y2570" t="s">
        <v>22785</v>
      </c>
      <c r="Z2570" t="s">
        <v>29425</v>
      </c>
      <c r="AA2570">
        <v>0.53257721062726693</v>
      </c>
      <c r="AB2570" t="str">
        <f>HYPERLINK("Melting_Curves/meltCurve_P49902_NT5C2.pdf", "Melting_Curves/meltCurve_P49902_NT5C2.pdf")</f>
        <v>Melting_Curves/meltCurve_P49902_NT5C2.pdf</v>
      </c>
    </row>
    <row r="2571" spans="1:28" x14ac:dyDescent="0.25">
      <c r="A2571" t="s">
        <v>2575</v>
      </c>
      <c r="B2571">
        <v>0.995954080203443</v>
      </c>
      <c r="C2571">
        <v>0.92850440373435905</v>
      </c>
      <c r="D2571">
        <v>0.87863957416177596</v>
      </c>
      <c r="E2571">
        <v>0.80186889421869501</v>
      </c>
      <c r="F2571">
        <v>0.70290605385377602</v>
      </c>
      <c r="G2571">
        <v>0.48771896616627602</v>
      </c>
      <c r="H2571">
        <v>0.40594092744428001</v>
      </c>
      <c r="I2571">
        <v>0.41085948319547499</v>
      </c>
      <c r="J2571">
        <v>0.64533338040568</v>
      </c>
      <c r="K2571">
        <v>0.40284633729571301</v>
      </c>
      <c r="L2571">
        <v>803.42892825739204</v>
      </c>
      <c r="M2571">
        <v>15.6766140603793</v>
      </c>
      <c r="N2571">
        <v>59.545246661297803</v>
      </c>
      <c r="O2571">
        <v>50.437939075105703</v>
      </c>
      <c r="P2571">
        <v>-4.32297722332406E-2</v>
      </c>
      <c r="Q2571">
        <v>0.44369739347211701</v>
      </c>
      <c r="R2571">
        <v>0.88027527699956798</v>
      </c>
      <c r="S2571" t="s">
        <v>9377</v>
      </c>
      <c r="T2571" t="s">
        <v>13610</v>
      </c>
      <c r="U2571" t="s">
        <v>13610</v>
      </c>
      <c r="V2571" t="s">
        <v>13610</v>
      </c>
      <c r="W2571" t="s">
        <v>16130</v>
      </c>
      <c r="X2571">
        <v>14</v>
      </c>
      <c r="Y2571" t="s">
        <v>22786</v>
      </c>
      <c r="Z2571" t="s">
        <v>29426</v>
      </c>
      <c r="AA2571">
        <v>0.66417321725891187</v>
      </c>
      <c r="AB2571" t="str">
        <f>HYPERLINK("Melting_Curves/meltCurve_P49903_SEPHS1.pdf", "Melting_Curves/meltCurve_P49903_SEPHS1.pdf")</f>
        <v>Melting_Curves/meltCurve_P49903_SEPHS1.pdf</v>
      </c>
    </row>
    <row r="2572" spans="1:28" x14ac:dyDescent="0.25">
      <c r="A2572" t="s">
        <v>2576</v>
      </c>
      <c r="B2572">
        <v>0.995954080203443</v>
      </c>
      <c r="C2572">
        <v>0.87226755880847895</v>
      </c>
      <c r="D2572">
        <v>0.68391912442400604</v>
      </c>
      <c r="E2572">
        <v>0.34763230643478499</v>
      </c>
      <c r="F2572">
        <v>0.14007396528329</v>
      </c>
      <c r="G2572">
        <v>8.8211894553218997E-2</v>
      </c>
      <c r="H2572">
        <v>6.5811056744657995E-2</v>
      </c>
      <c r="I2572">
        <v>6.3287128155375696E-2</v>
      </c>
      <c r="J2572">
        <v>6.6478684877619806E-2</v>
      </c>
      <c r="K2572">
        <v>6.0719703239172002E-2</v>
      </c>
      <c r="L2572">
        <v>911.29552913513101</v>
      </c>
      <c r="M2572">
        <v>19.137438919923898</v>
      </c>
      <c r="N2572">
        <v>47.900552865484002</v>
      </c>
      <c r="O2572">
        <v>47.107675774166403</v>
      </c>
      <c r="P2572">
        <v>-9.6153655348813302E-2</v>
      </c>
      <c r="Q2572">
        <v>5.32905449788535E-2</v>
      </c>
      <c r="R2572">
        <v>0.997805747120321</v>
      </c>
      <c r="S2572" t="s">
        <v>9378</v>
      </c>
      <c r="T2572" t="s">
        <v>13610</v>
      </c>
      <c r="U2572" t="s">
        <v>13610</v>
      </c>
      <c r="V2572" t="s">
        <v>13610</v>
      </c>
      <c r="W2572" t="s">
        <v>16131</v>
      </c>
      <c r="X2572">
        <v>8</v>
      </c>
      <c r="Y2572" t="s">
        <v>22787</v>
      </c>
      <c r="Z2572" t="s">
        <v>29427</v>
      </c>
      <c r="AA2572">
        <v>0.30863280957225669</v>
      </c>
      <c r="AB2572" t="str">
        <f>HYPERLINK("Melting_Curves/meltCurve_P49914_MTHFS.pdf", "Melting_Curves/meltCurve_P49914_MTHFS.pdf")</f>
        <v>Melting_Curves/meltCurve_P49914_MTHFS.pdf</v>
      </c>
    </row>
    <row r="2573" spans="1:28" x14ac:dyDescent="0.25">
      <c r="A2573" t="s">
        <v>2577</v>
      </c>
      <c r="B2573">
        <v>0.995954080203443</v>
      </c>
      <c r="C2573">
        <v>0.96974120513945505</v>
      </c>
      <c r="D2573">
        <v>0.930682214218429</v>
      </c>
      <c r="E2573">
        <v>0.71840221654923397</v>
      </c>
      <c r="F2573">
        <v>0.193405046874639</v>
      </c>
      <c r="G2573">
        <v>8.8467797193898703E-2</v>
      </c>
      <c r="H2573">
        <v>5.6644684323245001E-2</v>
      </c>
      <c r="I2573">
        <v>4.8949675357178903E-2</v>
      </c>
      <c r="J2573">
        <v>5.3743486461951498E-2</v>
      </c>
      <c r="K2573">
        <v>4.8246959042571001E-2</v>
      </c>
      <c r="L2573">
        <v>2204.6097553699001</v>
      </c>
      <c r="M2573">
        <v>43.277409481225</v>
      </c>
      <c r="N2573">
        <v>51.080787935722299</v>
      </c>
      <c r="O2573">
        <v>50.832954782299403</v>
      </c>
      <c r="P2573">
        <v>-0.20098408491533801</v>
      </c>
      <c r="Q2573">
        <v>5.5710846852770397E-2</v>
      </c>
      <c r="R2573">
        <v>0.996803702057661</v>
      </c>
      <c r="S2573" t="s">
        <v>9379</v>
      </c>
      <c r="T2573" t="s">
        <v>13610</v>
      </c>
      <c r="U2573" t="s">
        <v>13610</v>
      </c>
      <c r="V2573" t="s">
        <v>13610</v>
      </c>
      <c r="W2573" t="s">
        <v>16132</v>
      </c>
      <c r="X2573">
        <v>42</v>
      </c>
      <c r="Y2573" t="s">
        <v>22788</v>
      </c>
      <c r="Z2573" t="s">
        <v>29428</v>
      </c>
      <c r="AA2573">
        <v>0.4029414110341985</v>
      </c>
      <c r="AB2573" t="str">
        <f>HYPERLINK("Melting_Curves/meltCurve_P49915_GMPS.pdf", "Melting_Curves/meltCurve_P49915_GMPS.pdf")</f>
        <v>Melting_Curves/meltCurve_P49915_GMPS.pdf</v>
      </c>
    </row>
    <row r="2574" spans="1:28" x14ac:dyDescent="0.25">
      <c r="A2574" t="s">
        <v>2578</v>
      </c>
      <c r="B2574">
        <v>0.995954080203443</v>
      </c>
      <c r="C2574">
        <v>0.94805800461305201</v>
      </c>
      <c r="D2574">
        <v>0.772586923672682</v>
      </c>
      <c r="E2574">
        <v>0.41637463029848898</v>
      </c>
      <c r="F2574">
        <v>0.25830824695465499</v>
      </c>
      <c r="G2574">
        <v>0.152195348593504</v>
      </c>
      <c r="H2574">
        <v>0.11653608622422899</v>
      </c>
      <c r="I2574">
        <v>0.120869346949218</v>
      </c>
      <c r="J2574">
        <v>0.13804995256060401</v>
      </c>
      <c r="K2574">
        <v>0.13642891398446499</v>
      </c>
      <c r="L2574">
        <v>1005.60320641891</v>
      </c>
      <c r="M2574">
        <v>20.786237484949002</v>
      </c>
      <c r="N2574">
        <v>49.044746913329703</v>
      </c>
      <c r="O2574">
        <v>47.937228859571199</v>
      </c>
      <c r="P2574">
        <v>-9.5069006444877396E-2</v>
      </c>
      <c r="Q2574">
        <v>0.123031757012738</v>
      </c>
      <c r="R2574">
        <v>0.99915372214102305</v>
      </c>
      <c r="S2574" t="s">
        <v>9380</v>
      </c>
      <c r="T2574" t="s">
        <v>13610</v>
      </c>
      <c r="U2574" t="s">
        <v>13610</v>
      </c>
      <c r="V2574" t="s">
        <v>13610</v>
      </c>
      <c r="W2574" t="s">
        <v>16133</v>
      </c>
      <c r="X2574">
        <v>30</v>
      </c>
      <c r="Y2574" t="s">
        <v>22789</v>
      </c>
      <c r="Z2574" t="s">
        <v>29429</v>
      </c>
      <c r="AA2574">
        <v>0.37936859130193801</v>
      </c>
      <c r="AB2574" t="str">
        <f>HYPERLINK("Melting_Curves/meltCurve_P49916_LIG3.pdf", "Melting_Curves/meltCurve_P49916_LIG3.pdf")</f>
        <v>Melting_Curves/meltCurve_P49916_LIG3.pdf</v>
      </c>
    </row>
    <row r="2575" spans="1:28" x14ac:dyDescent="0.25">
      <c r="A2575" t="s">
        <v>2579</v>
      </c>
      <c r="B2575">
        <v>0.995954080203443</v>
      </c>
      <c r="C2575">
        <v>0.99442964736595996</v>
      </c>
      <c r="D2575">
        <v>0.89779934081357005</v>
      </c>
      <c r="E2575">
        <v>0.72563290496356003</v>
      </c>
      <c r="F2575">
        <v>0.574385251541222</v>
      </c>
      <c r="G2575">
        <v>0.34627654060094398</v>
      </c>
      <c r="H2575">
        <v>0.226814337969167</v>
      </c>
      <c r="I2575">
        <v>0.19929312535270499</v>
      </c>
      <c r="J2575">
        <v>0.21540133109756501</v>
      </c>
      <c r="K2575">
        <v>0.20613485501887799</v>
      </c>
      <c r="L2575">
        <v>839.80034591835101</v>
      </c>
      <c r="M2575">
        <v>16.039084138459799</v>
      </c>
      <c r="N2575">
        <v>53.801027049136501</v>
      </c>
      <c r="O2575">
        <v>51.565966272902998</v>
      </c>
      <c r="P2575">
        <v>-6.4184126545453996E-2</v>
      </c>
      <c r="Q2575">
        <v>0.17465120184504801</v>
      </c>
      <c r="R2575">
        <v>0.99699943232786503</v>
      </c>
      <c r="S2575" t="s">
        <v>9381</v>
      </c>
      <c r="T2575" t="s">
        <v>13610</v>
      </c>
      <c r="U2575" t="s">
        <v>13610</v>
      </c>
      <c r="V2575" t="s">
        <v>13610</v>
      </c>
      <c r="W2575" t="s">
        <v>16134</v>
      </c>
      <c r="X2575">
        <v>4</v>
      </c>
      <c r="Y2575" t="s">
        <v>22790</v>
      </c>
      <c r="Z2575" t="s">
        <v>29430</v>
      </c>
      <c r="AA2575">
        <v>0.53113963151255783</v>
      </c>
      <c r="AB2575" t="str">
        <f>HYPERLINK("Melting_Curves/meltCurve_P49918_2_CDKN1C.pdf", "Melting_Curves/meltCurve_P49918_2_CDKN1C.pdf")</f>
        <v>Melting_Curves/meltCurve_P49918_2_CDKN1C.pdf</v>
      </c>
    </row>
    <row r="2576" spans="1:28" x14ac:dyDescent="0.25">
      <c r="A2576" t="s">
        <v>2580</v>
      </c>
      <c r="B2576">
        <v>0.995954080203443</v>
      </c>
      <c r="C2576">
        <v>0.75020753431464504</v>
      </c>
      <c r="D2576">
        <v>0.62529808630905903</v>
      </c>
      <c r="E2576">
        <v>0.59596456685732302</v>
      </c>
      <c r="F2576">
        <v>0.45569275903706202</v>
      </c>
      <c r="G2576">
        <v>0.312997352425196</v>
      </c>
      <c r="H2576">
        <v>0.22533540966426899</v>
      </c>
      <c r="I2576">
        <v>0.140244244814755</v>
      </c>
      <c r="J2576">
        <v>0.117111718681095</v>
      </c>
      <c r="K2576">
        <v>0.11390491998289</v>
      </c>
      <c r="L2576">
        <v>397.51785868002997</v>
      </c>
      <c r="M2576">
        <v>7.7862860932304203</v>
      </c>
      <c r="N2576">
        <v>51.053585085267699</v>
      </c>
      <c r="O2576">
        <v>48.014228552972</v>
      </c>
      <c r="P2576">
        <v>-4.0592277961902602E-2</v>
      </c>
      <c r="Q2576">
        <v>0</v>
      </c>
      <c r="R2576">
        <v>0.96955780098922795</v>
      </c>
      <c r="S2576" t="s">
        <v>9382</v>
      </c>
      <c r="T2576" t="s">
        <v>13610</v>
      </c>
      <c r="U2576" t="s">
        <v>13610</v>
      </c>
      <c r="V2576" t="s">
        <v>13610</v>
      </c>
      <c r="W2576" t="s">
        <v>16135</v>
      </c>
      <c r="X2576">
        <v>33</v>
      </c>
      <c r="Y2576" t="s">
        <v>22791</v>
      </c>
      <c r="Z2576" t="s">
        <v>29431</v>
      </c>
      <c r="AA2576">
        <v>0.42293141816919672</v>
      </c>
      <c r="AB2576" t="str">
        <f>HYPERLINK("Melting_Curves/meltCurve_P49959_MRE11A.pdf", "Melting_Curves/meltCurve_P49959_MRE11A.pdf")</f>
        <v>Melting_Curves/meltCurve_P49959_MRE11A.pdf</v>
      </c>
    </row>
    <row r="2577" spans="1:28" x14ac:dyDescent="0.25">
      <c r="A2577" t="s">
        <v>2581</v>
      </c>
      <c r="B2577">
        <v>0.995954080203443</v>
      </c>
      <c r="C2577">
        <v>1.0237705001022199</v>
      </c>
      <c r="D2577">
        <v>1.04296240516688</v>
      </c>
      <c r="E2577">
        <v>0.91768832165523795</v>
      </c>
      <c r="F2577">
        <v>0.89183808404912601</v>
      </c>
      <c r="G2577">
        <v>0.76414451314128895</v>
      </c>
      <c r="H2577">
        <v>0.66140039494481195</v>
      </c>
      <c r="I2577">
        <v>0.76081414546232895</v>
      </c>
      <c r="J2577">
        <v>0.60041322027219401</v>
      </c>
      <c r="K2577">
        <v>0.24645563251765601</v>
      </c>
      <c r="L2577">
        <v>614.21872911967102</v>
      </c>
      <c r="M2577">
        <v>9.1593278419197706</v>
      </c>
      <c r="N2577">
        <v>67.059366621361605</v>
      </c>
      <c r="O2577">
        <v>64.094890709559294</v>
      </c>
      <c r="P2577">
        <v>-3.5749931096101001E-2</v>
      </c>
      <c r="Q2577">
        <v>0</v>
      </c>
      <c r="R2577">
        <v>0.86522363955111803</v>
      </c>
      <c r="S2577" t="s">
        <v>9383</v>
      </c>
      <c r="T2577" t="s">
        <v>13610</v>
      </c>
      <c r="U2577" t="s">
        <v>13610</v>
      </c>
      <c r="V2577" t="s">
        <v>13610</v>
      </c>
      <c r="W2577" t="s">
        <v>16136</v>
      </c>
      <c r="X2577">
        <v>7</v>
      </c>
      <c r="Y2577" t="s">
        <v>22792</v>
      </c>
      <c r="Z2577" t="s">
        <v>29432</v>
      </c>
      <c r="AA2577">
        <v>0.81005632404259831</v>
      </c>
      <c r="AB2577" t="str">
        <f>HYPERLINK("Melting_Curves/meltCurve_P50053_KHK.pdf", "Melting_Curves/meltCurve_P50053_KHK.pdf")</f>
        <v>Melting_Curves/meltCurve_P50053_KHK.pdf</v>
      </c>
    </row>
    <row r="2578" spans="1:28" x14ac:dyDescent="0.25">
      <c r="A2578" t="s">
        <v>2582</v>
      </c>
      <c r="B2578">
        <v>0.995954080203443</v>
      </c>
      <c r="C2578">
        <v>0.91886109327551602</v>
      </c>
      <c r="D2578">
        <v>0.93391678145577794</v>
      </c>
      <c r="E2578">
        <v>0.71854531625812701</v>
      </c>
      <c r="F2578">
        <v>0.40736678929491899</v>
      </c>
      <c r="G2578">
        <v>0.10654836169552299</v>
      </c>
      <c r="H2578">
        <v>7.2342678065615798E-2</v>
      </c>
      <c r="I2578">
        <v>5.8686348129029398E-2</v>
      </c>
      <c r="J2578">
        <v>7.9015370652889896E-2</v>
      </c>
      <c r="K2578">
        <v>6.7489538254482506E-2</v>
      </c>
      <c r="L2578">
        <v>1266.3516044139201</v>
      </c>
      <c r="M2578">
        <v>24.4886936861141</v>
      </c>
      <c r="N2578">
        <v>51.957792264045501</v>
      </c>
      <c r="O2578">
        <v>51.370551322543498</v>
      </c>
      <c r="P2578">
        <v>-0.11265229417608499</v>
      </c>
      <c r="Q2578">
        <v>5.4759545042266503E-2</v>
      </c>
      <c r="R2578">
        <v>0.99448749443834905</v>
      </c>
      <c r="S2578" t="s">
        <v>9384</v>
      </c>
      <c r="T2578" t="s">
        <v>13610</v>
      </c>
      <c r="U2578" t="s">
        <v>13610</v>
      </c>
      <c r="V2578" t="s">
        <v>13610</v>
      </c>
      <c r="W2578" t="s">
        <v>16137</v>
      </c>
      <c r="X2578">
        <v>4</v>
      </c>
      <c r="Y2578" t="s">
        <v>22793</v>
      </c>
      <c r="Z2578" t="s">
        <v>29433</v>
      </c>
      <c r="AA2578">
        <v>0.43272639502627991</v>
      </c>
      <c r="AB2578" t="str">
        <f>HYPERLINK("Melting_Curves/meltCurve_P50135_HNMT.pdf", "Melting_Curves/meltCurve_P50135_HNMT.pdf")</f>
        <v>Melting_Curves/meltCurve_P50135_HNMT.pdf</v>
      </c>
    </row>
    <row r="2579" spans="1:28" x14ac:dyDescent="0.25">
      <c r="A2579" t="s">
        <v>2583</v>
      </c>
      <c r="B2579">
        <v>0.995954080203443</v>
      </c>
      <c r="C2579">
        <v>0.87549779889234303</v>
      </c>
      <c r="D2579">
        <v>0.64288879856200698</v>
      </c>
      <c r="E2579">
        <v>0.37476240863867699</v>
      </c>
      <c r="F2579">
        <v>0.16695862064071099</v>
      </c>
      <c r="G2579">
        <v>8.9160283130501103E-2</v>
      </c>
      <c r="H2579">
        <v>5.5678285571017297E-2</v>
      </c>
      <c r="I2579">
        <v>4.9369169182841302E-2</v>
      </c>
      <c r="J2579">
        <v>5.1382886546476901E-2</v>
      </c>
      <c r="K2579">
        <v>5.4124441888982203E-2</v>
      </c>
      <c r="L2579">
        <v>813.48761997018505</v>
      </c>
      <c r="M2579">
        <v>17.053914378013701</v>
      </c>
      <c r="N2579">
        <v>47.931891329020097</v>
      </c>
      <c r="O2579">
        <v>47.059532364063799</v>
      </c>
      <c r="P2579">
        <v>-8.7029299730163406E-2</v>
      </c>
      <c r="Q2579">
        <v>3.94444178303969E-2</v>
      </c>
      <c r="R2579">
        <v>0.99732721729785201</v>
      </c>
      <c r="S2579" t="s">
        <v>9385</v>
      </c>
      <c r="T2579" t="s">
        <v>13610</v>
      </c>
      <c r="U2579" t="s">
        <v>13610</v>
      </c>
      <c r="V2579" t="s">
        <v>13610</v>
      </c>
      <c r="W2579" t="s">
        <v>16138</v>
      </c>
      <c r="X2579">
        <v>12</v>
      </c>
      <c r="Y2579" t="s">
        <v>22794</v>
      </c>
      <c r="Z2579" t="s">
        <v>29434</v>
      </c>
      <c r="AA2579">
        <v>0.30529703369304101</v>
      </c>
      <c r="AB2579" t="str">
        <f>HYPERLINK("Melting_Curves/meltCurve_P50213_IDH3A.pdf", "Melting_Curves/meltCurve_P50213_IDH3A.pdf")</f>
        <v>Melting_Curves/meltCurve_P50213_IDH3A.pdf</v>
      </c>
    </row>
    <row r="2580" spans="1:28" x14ac:dyDescent="0.25">
      <c r="A2580" t="s">
        <v>2584</v>
      </c>
      <c r="B2580">
        <v>0.995954080203443</v>
      </c>
      <c r="C2580">
        <v>1.05351985263998</v>
      </c>
      <c r="D2580">
        <v>0.98941573198689103</v>
      </c>
      <c r="E2580">
        <v>0.92669887885677704</v>
      </c>
      <c r="F2580">
        <v>0.79144694567437901</v>
      </c>
      <c r="G2580">
        <v>0.55551232386042604</v>
      </c>
      <c r="H2580">
        <v>0.50642183118661499</v>
      </c>
      <c r="I2580">
        <v>0.63230443920500101</v>
      </c>
      <c r="J2580">
        <v>0.67303118153470598</v>
      </c>
      <c r="K2580">
        <v>0.720833116640473</v>
      </c>
      <c r="L2580">
        <v>2267.9624700526601</v>
      </c>
      <c r="M2580">
        <v>43.226591411854599</v>
      </c>
      <c r="O2580">
        <v>52.3549185812603</v>
      </c>
      <c r="P2580">
        <v>-7.8913535191163703E-2</v>
      </c>
      <c r="Q2580">
        <v>0.61768853032946902</v>
      </c>
      <c r="R2580">
        <v>0.89510712474214904</v>
      </c>
      <c r="S2580" t="s">
        <v>9386</v>
      </c>
      <c r="T2580" t="s">
        <v>13610</v>
      </c>
      <c r="U2580" t="s">
        <v>13610</v>
      </c>
      <c r="V2580" t="s">
        <v>13610</v>
      </c>
      <c r="W2580" t="s">
        <v>16139</v>
      </c>
      <c r="X2580">
        <v>1</v>
      </c>
      <c r="Y2580" t="s">
        <v>22795</v>
      </c>
      <c r="Z2580" t="s">
        <v>29435</v>
      </c>
      <c r="AA2580">
        <v>0.77774784297285704</v>
      </c>
      <c r="AB2580" t="str">
        <f>HYPERLINK("Melting_Curves/meltCurve_P50219_MNX1.pdf", "Melting_Curves/meltCurve_P50219_MNX1.pdf")</f>
        <v>Melting_Curves/meltCurve_P50219_MNX1.pdf</v>
      </c>
    </row>
    <row r="2581" spans="1:28" x14ac:dyDescent="0.25">
      <c r="A2581" t="s">
        <v>2585</v>
      </c>
      <c r="B2581">
        <v>0.995954080203443</v>
      </c>
      <c r="C2581">
        <v>0.98717002918489405</v>
      </c>
      <c r="D2581">
        <v>0.83796010298586099</v>
      </c>
      <c r="E2581">
        <v>0.402760157808147</v>
      </c>
      <c r="F2581">
        <v>0.21651727108572699</v>
      </c>
      <c r="G2581">
        <v>0.117722189991375</v>
      </c>
      <c r="H2581">
        <v>7.9305215804711393E-2</v>
      </c>
      <c r="I2581">
        <v>6.5818887831307904E-2</v>
      </c>
      <c r="J2581">
        <v>7.9363922070392307E-2</v>
      </c>
      <c r="K2581">
        <v>6.5432459812705401E-2</v>
      </c>
      <c r="L2581">
        <v>1175.20603885025</v>
      </c>
      <c r="M2581">
        <v>24.0297896309261</v>
      </c>
      <c r="N2581">
        <v>49.235509646310902</v>
      </c>
      <c r="O2581">
        <v>48.5712898878826</v>
      </c>
      <c r="P2581">
        <v>-0.114503585021947</v>
      </c>
      <c r="Q2581">
        <v>7.4232551464213398E-2</v>
      </c>
      <c r="R2581">
        <v>0.99907855398932299</v>
      </c>
      <c r="S2581" t="s">
        <v>9387</v>
      </c>
      <c r="T2581" t="s">
        <v>13610</v>
      </c>
      <c r="U2581" t="s">
        <v>13610</v>
      </c>
      <c r="V2581" t="s">
        <v>13610</v>
      </c>
      <c r="W2581" t="s">
        <v>16140</v>
      </c>
      <c r="X2581">
        <v>10</v>
      </c>
      <c r="Y2581" t="s">
        <v>22796</v>
      </c>
      <c r="Z2581" t="s">
        <v>29436</v>
      </c>
      <c r="AA2581">
        <v>0.35796617768834471</v>
      </c>
      <c r="AB2581" t="str">
        <f>HYPERLINK("Melting_Curves/meltCurve_P50225_SULT1A1.pdf", "Melting_Curves/meltCurve_P50225_SULT1A1.pdf")</f>
        <v>Melting_Curves/meltCurve_P50225_SULT1A1.pdf</v>
      </c>
    </row>
    <row r="2582" spans="1:28" x14ac:dyDescent="0.25">
      <c r="A2582" t="s">
        <v>2586</v>
      </c>
      <c r="B2582">
        <v>0.995954080203443</v>
      </c>
      <c r="C2582">
        <v>0.85623796181693901</v>
      </c>
      <c r="D2582">
        <v>0.99600788624820502</v>
      </c>
      <c r="E2582">
        <v>0.82139090610423504</v>
      </c>
      <c r="F2582">
        <v>0.991780924453874</v>
      </c>
      <c r="G2582">
        <v>0.75350843429977599</v>
      </c>
      <c r="H2582">
        <v>0.58437319760012596</v>
      </c>
      <c r="I2582">
        <v>0.51029426856252902</v>
      </c>
      <c r="J2582">
        <v>0.56407415307951603</v>
      </c>
      <c r="K2582">
        <v>0.51244085916829296</v>
      </c>
      <c r="L2582">
        <v>1229.65574279778</v>
      </c>
      <c r="M2582">
        <v>21.581787685046599</v>
      </c>
      <c r="O2582">
        <v>56.494130404922203</v>
      </c>
      <c r="P2582">
        <v>-4.7385383849142003E-2</v>
      </c>
      <c r="Q2582">
        <v>0.50385359922197204</v>
      </c>
      <c r="R2582">
        <v>0.85606891406541896</v>
      </c>
      <c r="S2582" t="s">
        <v>9388</v>
      </c>
      <c r="T2582" t="s">
        <v>13610</v>
      </c>
      <c r="U2582" t="s">
        <v>13610</v>
      </c>
      <c r="V2582" t="s">
        <v>13610</v>
      </c>
      <c r="W2582" t="s">
        <v>16141</v>
      </c>
      <c r="X2582">
        <v>1</v>
      </c>
      <c r="Y2582" t="s">
        <v>22797</v>
      </c>
      <c r="Z2582" t="s">
        <v>29437</v>
      </c>
      <c r="AA2582">
        <v>0.79014222023788905</v>
      </c>
      <c r="AB2582" t="str">
        <f>HYPERLINK("Melting_Curves/meltCurve_P50238_CRIP1.pdf", "Melting_Curves/meltCurve_P50238_CRIP1.pdf")</f>
        <v>Melting_Curves/meltCurve_P50238_CRIP1.pdf</v>
      </c>
    </row>
    <row r="2583" spans="1:28" x14ac:dyDescent="0.25">
      <c r="A2583" t="s">
        <v>2587</v>
      </c>
      <c r="B2583">
        <v>0.995954080203443</v>
      </c>
      <c r="C2583">
        <v>1.00397712580346</v>
      </c>
      <c r="D2583">
        <v>1.0045618938610299</v>
      </c>
      <c r="E2583">
        <v>0.930746446587983</v>
      </c>
      <c r="F2583">
        <v>0.77323294603169301</v>
      </c>
      <c r="G2583">
        <v>0.33338666705479703</v>
      </c>
      <c r="H2583">
        <v>7.8027452518365306E-2</v>
      </c>
      <c r="I2583">
        <v>6.5417706588446894E-2</v>
      </c>
      <c r="J2583">
        <v>7.1153981766064398E-2</v>
      </c>
      <c r="K2583">
        <v>6.2054466285506302E-2</v>
      </c>
      <c r="L2583">
        <v>1559.1954769060601</v>
      </c>
      <c r="M2583">
        <v>28.2691905667809</v>
      </c>
      <c r="N2583">
        <v>55.361130218557797</v>
      </c>
      <c r="O2583">
        <v>54.881502897362701</v>
      </c>
      <c r="P2583">
        <v>-0.122350755729027</v>
      </c>
      <c r="Q2583">
        <v>4.9886067910767398E-2</v>
      </c>
      <c r="R2583">
        <v>0.99889710531087805</v>
      </c>
      <c r="S2583" t="s">
        <v>9389</v>
      </c>
      <c r="T2583" t="s">
        <v>13610</v>
      </c>
      <c r="U2583" t="s">
        <v>13610</v>
      </c>
      <c r="V2583" t="s">
        <v>13610</v>
      </c>
      <c r="W2583" t="s">
        <v>16142</v>
      </c>
      <c r="X2583">
        <v>40</v>
      </c>
      <c r="Y2583" t="s">
        <v>22798</v>
      </c>
      <c r="Z2583" t="s">
        <v>29438</v>
      </c>
      <c r="AA2583">
        <v>0.53690896458376536</v>
      </c>
      <c r="AB2583" t="str">
        <f>HYPERLINK("Melting_Curves/meltCurve_P50395_GDI2.pdf", "Melting_Curves/meltCurve_P50395_GDI2.pdf")</f>
        <v>Melting_Curves/meltCurve_P50395_GDI2.pdf</v>
      </c>
    </row>
    <row r="2584" spans="1:28" x14ac:dyDescent="0.25">
      <c r="A2584" t="s">
        <v>2588</v>
      </c>
      <c r="B2584">
        <v>0.995954080203443</v>
      </c>
      <c r="C2584">
        <v>0.94738405006956095</v>
      </c>
      <c r="D2584">
        <v>1.05562855926704</v>
      </c>
      <c r="E2584">
        <v>0.88137824957186295</v>
      </c>
      <c r="F2584">
        <v>0.90016159531460205</v>
      </c>
      <c r="G2584">
        <v>0.67732182544395203</v>
      </c>
      <c r="H2584">
        <v>0.676680196462489</v>
      </c>
      <c r="I2584">
        <v>0.81394741068925103</v>
      </c>
      <c r="J2584">
        <v>1.05272302935172</v>
      </c>
      <c r="K2584">
        <v>1.0051951582669001</v>
      </c>
      <c r="L2584">
        <v>5880.0914300426602</v>
      </c>
      <c r="M2584">
        <v>119.072784750279</v>
      </c>
      <c r="O2584">
        <v>49.368416474638501</v>
      </c>
      <c r="P2584">
        <v>-8.7848035801339402E-2</v>
      </c>
      <c r="Q2584">
        <v>0.85431038013064098</v>
      </c>
      <c r="R2584">
        <v>0.24058132516553399</v>
      </c>
      <c r="S2584" t="s">
        <v>9390</v>
      </c>
      <c r="T2584" t="s">
        <v>13610</v>
      </c>
      <c r="U2584" t="s">
        <v>13610</v>
      </c>
      <c r="V2584" t="s">
        <v>13610</v>
      </c>
      <c r="W2584" t="s">
        <v>16143</v>
      </c>
      <c r="X2584">
        <v>11</v>
      </c>
      <c r="Y2584" t="s">
        <v>22799</v>
      </c>
      <c r="Z2584" t="s">
        <v>29439</v>
      </c>
      <c r="AA2584">
        <v>0.89992967840485449</v>
      </c>
      <c r="AB2584" t="str">
        <f>HYPERLINK("Melting_Curves/meltCurve_P50402_EMD.pdf", "Melting_Curves/meltCurve_P50402_EMD.pdf")</f>
        <v>Melting_Curves/meltCurve_P50402_EMD.pdf</v>
      </c>
    </row>
    <row r="2585" spans="1:28" x14ac:dyDescent="0.25">
      <c r="A2585" t="s">
        <v>2589</v>
      </c>
      <c r="B2585">
        <v>0.995954080203443</v>
      </c>
      <c r="C2585">
        <v>1.05955379725365</v>
      </c>
      <c r="D2585">
        <v>1.0708776837873899</v>
      </c>
      <c r="E2585">
        <v>0.97528730279688702</v>
      </c>
      <c r="F2585">
        <v>0.91996434930323601</v>
      </c>
      <c r="G2585">
        <v>0.47813581506839198</v>
      </c>
      <c r="H2585">
        <v>0.12189751027995099</v>
      </c>
      <c r="I2585">
        <v>0.110302198529033</v>
      </c>
      <c r="J2585">
        <v>9.7708690822542396E-2</v>
      </c>
      <c r="K2585">
        <v>9.1482353084792398E-2</v>
      </c>
      <c r="L2585">
        <v>2112.9443841085199</v>
      </c>
      <c r="M2585">
        <v>37.397693271744998</v>
      </c>
      <c r="N2585">
        <v>56.798317728467602</v>
      </c>
      <c r="O2585">
        <v>56.338500281050401</v>
      </c>
      <c r="P2585">
        <v>-0.151123596647708</v>
      </c>
      <c r="Q2585">
        <v>8.9349851817631401E-2</v>
      </c>
      <c r="R2585">
        <v>0.99470812826291999</v>
      </c>
      <c r="S2585" t="s">
        <v>9391</v>
      </c>
      <c r="T2585" t="s">
        <v>13610</v>
      </c>
      <c r="U2585" t="s">
        <v>13610</v>
      </c>
      <c r="V2585" t="s">
        <v>13610</v>
      </c>
      <c r="W2585" t="s">
        <v>16144</v>
      </c>
      <c r="X2585">
        <v>23</v>
      </c>
      <c r="Y2585" t="s">
        <v>22800</v>
      </c>
      <c r="Z2585" t="s">
        <v>29440</v>
      </c>
      <c r="AA2585">
        <v>0.59420624194892269</v>
      </c>
      <c r="AB2585" t="str">
        <f>HYPERLINK("Melting_Curves/meltCurve_P50453_SERPINB9.pdf", "Melting_Curves/meltCurve_P50453_SERPINB9.pdf")</f>
        <v>Melting_Curves/meltCurve_P50453_SERPINB9.pdf</v>
      </c>
    </row>
    <row r="2586" spans="1:28" x14ac:dyDescent="0.25">
      <c r="A2586" t="s">
        <v>2590</v>
      </c>
      <c r="B2586">
        <v>0.995954080203443</v>
      </c>
      <c r="C2586">
        <v>0.92785378020362996</v>
      </c>
      <c r="D2586">
        <v>0.720615521663308</v>
      </c>
      <c r="E2586">
        <v>0.50301289048817799</v>
      </c>
      <c r="F2586">
        <v>0.22255792280876799</v>
      </c>
      <c r="G2586">
        <v>0.120316110540734</v>
      </c>
      <c r="H2586">
        <v>8.8006586575524404E-2</v>
      </c>
      <c r="I2586">
        <v>8.7515539780643803E-2</v>
      </c>
      <c r="J2586">
        <v>9.5246797143529294E-2</v>
      </c>
      <c r="K2586">
        <v>8.5145284557466602E-2</v>
      </c>
      <c r="L2586">
        <v>843.044324795649</v>
      </c>
      <c r="M2586">
        <v>17.261896476405798</v>
      </c>
      <c r="N2586">
        <v>49.261879211968299</v>
      </c>
      <c r="O2586">
        <v>48.197142771703199</v>
      </c>
      <c r="P2586">
        <v>-8.3369596164069706E-2</v>
      </c>
      <c r="Q2586">
        <v>6.8945249969455003E-2</v>
      </c>
      <c r="R2586">
        <v>0.99354711296043596</v>
      </c>
      <c r="S2586" t="s">
        <v>9392</v>
      </c>
      <c r="T2586" t="s">
        <v>13610</v>
      </c>
      <c r="U2586" t="s">
        <v>13610</v>
      </c>
      <c r="V2586" t="s">
        <v>13610</v>
      </c>
      <c r="W2586" t="s">
        <v>16145</v>
      </c>
      <c r="X2586">
        <v>16</v>
      </c>
      <c r="Y2586" t="s">
        <v>22801</v>
      </c>
      <c r="Z2586" t="s">
        <v>29441</v>
      </c>
      <c r="AA2586">
        <v>0.36083831294881902</v>
      </c>
      <c r="AB2586" t="str">
        <f>HYPERLINK("Melting_Curves/meltCurve_P50454_SERPINH1.pdf", "Melting_Curves/meltCurve_P50454_SERPINH1.pdf")</f>
        <v>Melting_Curves/meltCurve_P50454_SERPINH1.pdf</v>
      </c>
    </row>
    <row r="2587" spans="1:28" x14ac:dyDescent="0.25">
      <c r="A2587" t="s">
        <v>2591</v>
      </c>
      <c r="B2587">
        <v>0.995954080203443</v>
      </c>
      <c r="C2587">
        <v>0.972363061583563</v>
      </c>
      <c r="D2587">
        <v>0.98483561548105103</v>
      </c>
      <c r="E2587">
        <v>0.81176611284227196</v>
      </c>
      <c r="F2587">
        <v>0.68747901492102903</v>
      </c>
      <c r="G2587">
        <v>0.41826079237858899</v>
      </c>
      <c r="H2587">
        <v>0.326636995361407</v>
      </c>
      <c r="I2587">
        <v>0.338584807740552</v>
      </c>
      <c r="J2587">
        <v>0.410674943504301</v>
      </c>
      <c r="K2587">
        <v>0.38674688381690098</v>
      </c>
      <c r="L2587">
        <v>1246.44240209539</v>
      </c>
      <c r="M2587">
        <v>23.739654443328501</v>
      </c>
      <c r="N2587">
        <v>55.407157194619799</v>
      </c>
      <c r="O2587">
        <v>52.136348373701601</v>
      </c>
      <c r="P2587">
        <v>-7.33302327397021E-2</v>
      </c>
      <c r="Q2587">
        <v>0.35582761255560003</v>
      </c>
      <c r="R2587">
        <v>0.98447241335736402</v>
      </c>
      <c r="S2587" t="s">
        <v>9393</v>
      </c>
      <c r="T2587" t="s">
        <v>13610</v>
      </c>
      <c r="U2587" t="s">
        <v>13610</v>
      </c>
      <c r="V2587" t="s">
        <v>13610</v>
      </c>
      <c r="W2587" t="s">
        <v>16146</v>
      </c>
      <c r="X2587">
        <v>13</v>
      </c>
      <c r="Y2587" t="s">
        <v>22802</v>
      </c>
      <c r="Z2587" t="s">
        <v>29442</v>
      </c>
      <c r="AA2587">
        <v>0.63084683895118099</v>
      </c>
      <c r="AB2587" t="str">
        <f>HYPERLINK("Melting_Curves/meltCurve_P50479_PDLIM4.pdf", "Melting_Curves/meltCurve_P50479_PDLIM4.pdf")</f>
        <v>Melting_Curves/meltCurve_P50479_PDLIM4.pdf</v>
      </c>
    </row>
    <row r="2588" spans="1:28" x14ac:dyDescent="0.25">
      <c r="A2588" t="s">
        <v>2592</v>
      </c>
      <c r="B2588">
        <v>0.995954080203443</v>
      </c>
      <c r="C2588">
        <v>0.92714315231941702</v>
      </c>
      <c r="D2588">
        <v>0.962949591659787</v>
      </c>
      <c r="E2588">
        <v>0.88093211841655605</v>
      </c>
      <c r="F2588">
        <v>0.70592863635733505</v>
      </c>
      <c r="G2588">
        <v>0.20656252281033899</v>
      </c>
      <c r="H2588">
        <v>0.121163385509551</v>
      </c>
      <c r="I2588">
        <v>0.103628502551248</v>
      </c>
      <c r="J2588">
        <v>0.128114655639122</v>
      </c>
      <c r="K2588">
        <v>0.117064989644561</v>
      </c>
      <c r="L2588">
        <v>1783.56539253646</v>
      </c>
      <c r="M2588">
        <v>33.094680509502503</v>
      </c>
      <c r="N2588">
        <v>54.288961323659997</v>
      </c>
      <c r="O2588">
        <v>53.697180650295302</v>
      </c>
      <c r="P2588">
        <v>-0.13755200779135199</v>
      </c>
      <c r="Q2588">
        <v>0.107273779099401</v>
      </c>
      <c r="R2588">
        <v>0.99211052837440505</v>
      </c>
      <c r="S2588" t="s">
        <v>9394</v>
      </c>
      <c r="T2588" t="s">
        <v>13610</v>
      </c>
      <c r="U2588" t="s">
        <v>13610</v>
      </c>
      <c r="V2588" t="s">
        <v>13610</v>
      </c>
      <c r="W2588" t="s">
        <v>16147</v>
      </c>
      <c r="X2588">
        <v>17</v>
      </c>
      <c r="Y2588" t="s">
        <v>22803</v>
      </c>
      <c r="Z2588" t="s">
        <v>29443</v>
      </c>
      <c r="AA2588">
        <v>0.52552580963986473</v>
      </c>
      <c r="AB2588" t="str">
        <f>HYPERLINK("Melting_Curves/meltCurve_P50502_ST13.pdf", "Melting_Curves/meltCurve_P50502_ST13.pdf")</f>
        <v>Melting_Curves/meltCurve_P50502_ST13.pdf</v>
      </c>
    </row>
    <row r="2589" spans="1:28" x14ac:dyDescent="0.25">
      <c r="A2589" t="s">
        <v>2593</v>
      </c>
      <c r="B2589">
        <v>0.995954080203443</v>
      </c>
      <c r="C2589">
        <v>0.93050056385936797</v>
      </c>
      <c r="D2589">
        <v>0.78457602953570604</v>
      </c>
      <c r="E2589">
        <v>0.50699410966765901</v>
      </c>
      <c r="F2589">
        <v>0.39913727256835901</v>
      </c>
      <c r="G2589">
        <v>0.27473902711375597</v>
      </c>
      <c r="H2589">
        <v>0.24885400647219499</v>
      </c>
      <c r="I2589">
        <v>0.27880310906921002</v>
      </c>
      <c r="J2589">
        <v>0.34621834859539102</v>
      </c>
      <c r="K2589">
        <v>0.30084797750258502</v>
      </c>
      <c r="L2589">
        <v>961.408872564641</v>
      </c>
      <c r="M2589">
        <v>20.041663597949299</v>
      </c>
      <c r="N2589">
        <v>50.076432865730098</v>
      </c>
      <c r="O2589">
        <v>47.500580047162998</v>
      </c>
      <c r="P2589">
        <v>-7.5447226293412994E-2</v>
      </c>
      <c r="Q2589">
        <v>0.28475572109184499</v>
      </c>
      <c r="R2589">
        <v>0.98927225034329003</v>
      </c>
      <c r="S2589" t="s">
        <v>9395</v>
      </c>
      <c r="T2589" t="s">
        <v>13610</v>
      </c>
      <c r="U2589" t="s">
        <v>13610</v>
      </c>
      <c r="V2589" t="s">
        <v>13610</v>
      </c>
      <c r="W2589" t="s">
        <v>16148</v>
      </c>
      <c r="X2589">
        <v>10</v>
      </c>
      <c r="Y2589" t="s">
        <v>22804</v>
      </c>
      <c r="Z2589" t="s">
        <v>29444</v>
      </c>
      <c r="AA2589">
        <v>0.48491051867001761</v>
      </c>
      <c r="AB2589" t="str">
        <f>HYPERLINK("Melting_Curves/meltCurve_P50542_3_PEX5.pdf", "Melting_Curves/meltCurve_P50542_3_PEX5.pdf")</f>
        <v>Melting_Curves/meltCurve_P50542_3_PEX5.pdf</v>
      </c>
    </row>
    <row r="2590" spans="1:28" x14ac:dyDescent="0.25">
      <c r="A2590" t="s">
        <v>2594</v>
      </c>
      <c r="B2590">
        <v>0.995954080203443</v>
      </c>
      <c r="C2590">
        <v>0.97047285116751403</v>
      </c>
      <c r="D2590">
        <v>0.95333201421680802</v>
      </c>
      <c r="E2590">
        <v>0.76975125837955205</v>
      </c>
      <c r="F2590">
        <v>0.56015465625800198</v>
      </c>
      <c r="G2590">
        <v>0.30464938973682798</v>
      </c>
      <c r="H2590">
        <v>0.22363129894474301</v>
      </c>
      <c r="I2590">
        <v>0.24164232820629</v>
      </c>
      <c r="J2590">
        <v>0.323481435846593</v>
      </c>
      <c r="K2590">
        <v>0.271554579329921</v>
      </c>
      <c r="L2590">
        <v>1260.0335757856401</v>
      </c>
      <c r="M2590">
        <v>24.310750555553799</v>
      </c>
      <c r="N2590">
        <v>53.403472372278301</v>
      </c>
      <c r="O2590">
        <v>51.483411991048897</v>
      </c>
      <c r="P2590">
        <v>-8.7868563121600796E-2</v>
      </c>
      <c r="Q2590">
        <v>0.25568630409384502</v>
      </c>
      <c r="R2590">
        <v>0.98979097205742494</v>
      </c>
      <c r="S2590" t="s">
        <v>9396</v>
      </c>
      <c r="T2590" t="s">
        <v>13610</v>
      </c>
      <c r="U2590" t="s">
        <v>13610</v>
      </c>
      <c r="V2590" t="s">
        <v>13610</v>
      </c>
      <c r="W2590" t="s">
        <v>16149</v>
      </c>
      <c r="X2590">
        <v>27</v>
      </c>
      <c r="Y2590" t="s">
        <v>22805</v>
      </c>
      <c r="Z2590" t="s">
        <v>29445</v>
      </c>
      <c r="AA2590">
        <v>0.55636028718931352</v>
      </c>
      <c r="AB2590" t="str">
        <f>HYPERLINK("Melting_Curves/meltCurve_P50552_VASP.pdf", "Melting_Curves/meltCurve_P50552_VASP.pdf")</f>
        <v>Melting_Curves/meltCurve_P50552_VASP.pdf</v>
      </c>
    </row>
    <row r="2591" spans="1:28" x14ac:dyDescent="0.25">
      <c r="A2591" t="s">
        <v>2595</v>
      </c>
      <c r="B2591">
        <v>0.995954080203443</v>
      </c>
      <c r="C2591">
        <v>0.81830531388178895</v>
      </c>
      <c r="D2591">
        <v>0.63176888596516401</v>
      </c>
      <c r="E2591">
        <v>0.415365970549054</v>
      </c>
      <c r="F2591">
        <v>0.13195534605620299</v>
      </c>
      <c r="G2591">
        <v>7.8475272002541202E-2</v>
      </c>
      <c r="H2591">
        <v>5.4379277838699801E-2</v>
      </c>
      <c r="I2591">
        <v>4.8093012350865202E-2</v>
      </c>
      <c r="J2591">
        <v>5.5349111942764997E-2</v>
      </c>
      <c r="K2591">
        <v>4.9824422213841903E-2</v>
      </c>
      <c r="L2591">
        <v>747.96902210995097</v>
      </c>
      <c r="M2591">
        <v>15.700149003989599</v>
      </c>
      <c r="N2591">
        <v>47.821486538235703</v>
      </c>
      <c r="O2591">
        <v>46.888073649350197</v>
      </c>
      <c r="P2591">
        <v>-8.1308243952963197E-2</v>
      </c>
      <c r="Q2591">
        <v>2.8782541085635799E-2</v>
      </c>
      <c r="R2591">
        <v>0.988845220249154</v>
      </c>
      <c r="S2591" t="s">
        <v>9397</v>
      </c>
      <c r="T2591" t="s">
        <v>13610</v>
      </c>
      <c r="U2591" t="s">
        <v>13610</v>
      </c>
      <c r="V2591" t="s">
        <v>13610</v>
      </c>
      <c r="W2591" t="s">
        <v>16150</v>
      </c>
      <c r="X2591">
        <v>53</v>
      </c>
      <c r="Y2591" t="s">
        <v>21363</v>
      </c>
      <c r="Z2591" t="s">
        <v>29446</v>
      </c>
      <c r="AA2591">
        <v>0.2993412395620475</v>
      </c>
      <c r="AB2591" t="str">
        <f>HYPERLINK("Melting_Curves/meltCurve_P50570_4_DNM2.pdf", "Melting_Curves/meltCurve_P50570_4_DNM2.pdf")</f>
        <v>Melting_Curves/meltCurve_P50570_4_DNM2.pdf</v>
      </c>
    </row>
    <row r="2592" spans="1:28" x14ac:dyDescent="0.25">
      <c r="A2592" t="s">
        <v>2596</v>
      </c>
      <c r="B2592">
        <v>0.995954080203443</v>
      </c>
      <c r="C2592">
        <v>0.96491653784075404</v>
      </c>
      <c r="D2592">
        <v>0.96864004512062696</v>
      </c>
      <c r="E2592">
        <v>0.80547383179308396</v>
      </c>
      <c r="F2592">
        <v>0.69250096390368998</v>
      </c>
      <c r="G2592">
        <v>0.52290309102860699</v>
      </c>
      <c r="H2592">
        <v>0.41851171277349197</v>
      </c>
      <c r="I2592">
        <v>0.41228029052957499</v>
      </c>
      <c r="J2592">
        <v>0.32439009914108602</v>
      </c>
      <c r="K2592">
        <v>0.18428700932393099</v>
      </c>
      <c r="L2592">
        <v>545.96726201679303</v>
      </c>
      <c r="M2592">
        <v>9.6030254418417798</v>
      </c>
      <c r="N2592">
        <v>58.585266792710698</v>
      </c>
      <c r="O2592">
        <v>54.552259534723497</v>
      </c>
      <c r="P2592">
        <v>-3.8592837613608398E-2</v>
      </c>
      <c r="Q2592">
        <v>0.123554545989848</v>
      </c>
      <c r="R2592">
        <v>0.98268389835079095</v>
      </c>
      <c r="S2592" t="s">
        <v>9398</v>
      </c>
      <c r="T2592" t="s">
        <v>13610</v>
      </c>
      <c r="U2592" t="s">
        <v>13610</v>
      </c>
      <c r="V2592" t="s">
        <v>13610</v>
      </c>
      <c r="W2592" t="s">
        <v>16151</v>
      </c>
      <c r="X2592">
        <v>19</v>
      </c>
      <c r="Y2592" t="s">
        <v>21045</v>
      </c>
      <c r="Z2592" t="s">
        <v>29447</v>
      </c>
      <c r="AA2592">
        <v>0.63012675294869569</v>
      </c>
      <c r="AB2592" t="str">
        <f>HYPERLINK("Melting_Curves/meltCurve_P50579_METAP2.pdf", "Melting_Curves/meltCurve_P50579_METAP2.pdf")</f>
        <v>Melting_Curves/meltCurve_P50579_METAP2.pdf</v>
      </c>
    </row>
    <row r="2593" spans="1:28" x14ac:dyDescent="0.25">
      <c r="A2593" t="s">
        <v>2597</v>
      </c>
      <c r="B2593">
        <v>0.995954080203443</v>
      </c>
      <c r="C2593">
        <v>1.0116663301298601</v>
      </c>
      <c r="D2593">
        <v>0.90163596839319704</v>
      </c>
      <c r="E2593">
        <v>0.64028325245518602</v>
      </c>
      <c r="F2593">
        <v>0.202225169966462</v>
      </c>
      <c r="G2593">
        <v>0.131436707922616</v>
      </c>
      <c r="H2593">
        <v>8.4443478815126594E-2</v>
      </c>
      <c r="I2593">
        <v>7.4706169331454506E-2</v>
      </c>
      <c r="J2593">
        <v>0.11000970069311899</v>
      </c>
      <c r="K2593">
        <v>7.6883265096110001E-2</v>
      </c>
      <c r="L2593">
        <v>1740.3518486522401</v>
      </c>
      <c r="M2593">
        <v>34.489792742534597</v>
      </c>
      <c r="N2593">
        <v>50.743277564165503</v>
      </c>
      <c r="O2593">
        <v>50.2911800107956</v>
      </c>
      <c r="P2593">
        <v>-0.156433013840097</v>
      </c>
      <c r="Q2593">
        <v>8.7594283741592394E-2</v>
      </c>
      <c r="R2593">
        <v>0.99486479360465196</v>
      </c>
      <c r="S2593" t="s">
        <v>9399</v>
      </c>
      <c r="T2593" t="s">
        <v>13610</v>
      </c>
      <c r="U2593" t="s">
        <v>13610</v>
      </c>
      <c r="V2593" t="s">
        <v>13610</v>
      </c>
      <c r="W2593" t="s">
        <v>16152</v>
      </c>
      <c r="X2593">
        <v>5</v>
      </c>
      <c r="Y2593" t="s">
        <v>22806</v>
      </c>
      <c r="Z2593" t="s">
        <v>29448</v>
      </c>
      <c r="AA2593">
        <v>0.41000910001388863</v>
      </c>
      <c r="AB2593" t="str">
        <f>HYPERLINK("Melting_Curves/meltCurve_P50583_NUDT2.pdf", "Melting_Curves/meltCurve_P50583_NUDT2.pdf")</f>
        <v>Melting_Curves/meltCurve_P50583_NUDT2.pdf</v>
      </c>
    </row>
    <row r="2594" spans="1:28" x14ac:dyDescent="0.25">
      <c r="A2594" t="s">
        <v>2598</v>
      </c>
      <c r="B2594">
        <v>0.995954080203443</v>
      </c>
      <c r="C2594">
        <v>1.0292740162201099</v>
      </c>
      <c r="D2594">
        <v>1.02881443008194</v>
      </c>
      <c r="E2594">
        <v>0.95765668574161</v>
      </c>
      <c r="F2594">
        <v>0.79465366021829797</v>
      </c>
      <c r="G2594">
        <v>0.44787393599459302</v>
      </c>
      <c r="H2594">
        <v>0.123355682399067</v>
      </c>
      <c r="I2594">
        <v>0.107713841774686</v>
      </c>
      <c r="J2594">
        <v>0.105930033403437</v>
      </c>
      <c r="K2594">
        <v>9.9606405620670593E-2</v>
      </c>
      <c r="L2594">
        <v>1464.5436673504801</v>
      </c>
      <c r="M2594">
        <v>26.243941488756899</v>
      </c>
      <c r="N2594">
        <v>56.1793543984747</v>
      </c>
      <c r="O2594">
        <v>55.4840263236906</v>
      </c>
      <c r="P2594">
        <v>-0.10876543560176601</v>
      </c>
      <c r="Q2594">
        <v>8.0217850527240606E-2</v>
      </c>
      <c r="R2594">
        <v>0.99645546803830098</v>
      </c>
      <c r="S2594" t="s">
        <v>9400</v>
      </c>
      <c r="T2594" t="s">
        <v>13610</v>
      </c>
      <c r="U2594" t="s">
        <v>13610</v>
      </c>
      <c r="V2594" t="s">
        <v>13610</v>
      </c>
      <c r="W2594" t="s">
        <v>16153</v>
      </c>
      <c r="X2594">
        <v>11</v>
      </c>
      <c r="Y2594" t="s">
        <v>22807</v>
      </c>
      <c r="Z2594" t="s">
        <v>29449</v>
      </c>
      <c r="AA2594">
        <v>0.57257980391513641</v>
      </c>
      <c r="AB2594" t="str">
        <f>HYPERLINK("Melting_Curves/meltCurve_P50613_CDK7.pdf", "Melting_Curves/meltCurve_P50613_CDK7.pdf")</f>
        <v>Melting_Curves/meltCurve_P50613_CDK7.pdf</v>
      </c>
    </row>
    <row r="2595" spans="1:28" x14ac:dyDescent="0.25">
      <c r="A2595" t="s">
        <v>2599</v>
      </c>
      <c r="B2595">
        <v>0.995954080203443</v>
      </c>
      <c r="C2595">
        <v>0.95748396967803195</v>
      </c>
      <c r="D2595">
        <v>0.98805036552221104</v>
      </c>
      <c r="E2595">
        <v>0.55068939160748898</v>
      </c>
      <c r="F2595">
        <v>0.25151601732331502</v>
      </c>
      <c r="G2595">
        <v>0.141191048737252</v>
      </c>
      <c r="H2595">
        <v>8.8111919642499106E-2</v>
      </c>
      <c r="I2595">
        <v>7.0481019660898606E-2</v>
      </c>
      <c r="J2595">
        <v>8.1190853266922894E-2</v>
      </c>
      <c r="K2595">
        <v>6.9147761609093902E-2</v>
      </c>
      <c r="L2595">
        <v>1498.82605808011</v>
      </c>
      <c r="M2595">
        <v>29.856451406445199</v>
      </c>
      <c r="N2595">
        <v>50.512021358508697</v>
      </c>
      <c r="O2595">
        <v>49.977482890917003</v>
      </c>
      <c r="P2595">
        <v>-0.136813480778817</v>
      </c>
      <c r="Q2595">
        <v>8.3943660001073894E-2</v>
      </c>
      <c r="R2595">
        <v>0.996564238903619</v>
      </c>
      <c r="S2595" t="s">
        <v>9401</v>
      </c>
      <c r="T2595" t="s">
        <v>13610</v>
      </c>
      <c r="U2595" t="s">
        <v>13610</v>
      </c>
      <c r="V2595" t="s">
        <v>13610</v>
      </c>
      <c r="W2595" t="s">
        <v>16154</v>
      </c>
      <c r="X2595">
        <v>16</v>
      </c>
      <c r="Y2595" t="s">
        <v>22808</v>
      </c>
      <c r="Z2595" t="s">
        <v>29450</v>
      </c>
      <c r="AA2595">
        <v>0.40117557970999601</v>
      </c>
      <c r="AB2595" t="str">
        <f>HYPERLINK("Melting_Curves/meltCurve_P50747_HLCS.pdf", "Melting_Curves/meltCurve_P50747_HLCS.pdf")</f>
        <v>Melting_Curves/meltCurve_P50747_HLCS.pdf</v>
      </c>
    </row>
    <row r="2596" spans="1:28" x14ac:dyDescent="0.25">
      <c r="A2596" t="s">
        <v>2600</v>
      </c>
      <c r="B2596">
        <v>0.995954080203443</v>
      </c>
      <c r="C2596">
        <v>0.73955676958207295</v>
      </c>
      <c r="D2596">
        <v>0.50060178697680202</v>
      </c>
      <c r="E2596">
        <v>0.441472505053149</v>
      </c>
      <c r="F2596">
        <v>0.13856606238157201</v>
      </c>
      <c r="G2596">
        <v>8.8262442096111393E-2</v>
      </c>
      <c r="H2596">
        <v>5.7788143394547499E-2</v>
      </c>
      <c r="I2596">
        <v>4.7990134786489502E-2</v>
      </c>
      <c r="J2596">
        <v>5.1510384682124898E-2</v>
      </c>
      <c r="K2596">
        <v>4.7932937123824002E-2</v>
      </c>
      <c r="L2596">
        <v>620.027977193276</v>
      </c>
      <c r="M2596">
        <v>13.2411135942189</v>
      </c>
      <c r="N2596">
        <v>47.0002231052651</v>
      </c>
      <c r="O2596">
        <v>45.796555123912903</v>
      </c>
      <c r="P2596">
        <v>-7.05622065140286E-2</v>
      </c>
      <c r="Q2596">
        <v>2.3956312862778099E-2</v>
      </c>
      <c r="R2596">
        <v>0.96861576645007297</v>
      </c>
      <c r="S2596" t="s">
        <v>9402</v>
      </c>
      <c r="T2596" t="s">
        <v>13610</v>
      </c>
      <c r="U2596" t="s">
        <v>13610</v>
      </c>
      <c r="V2596" t="s">
        <v>13610</v>
      </c>
      <c r="W2596" t="s">
        <v>16155</v>
      </c>
      <c r="X2596">
        <v>38</v>
      </c>
      <c r="Y2596" t="s">
        <v>22809</v>
      </c>
      <c r="Z2596" t="s">
        <v>29451</v>
      </c>
      <c r="AA2596">
        <v>0.28049611012098979</v>
      </c>
      <c r="AB2596" t="str">
        <f>HYPERLINK("Melting_Curves/meltCurve_P50748_KNTC1.pdf", "Melting_Curves/meltCurve_P50748_KNTC1.pdf")</f>
        <v>Melting_Curves/meltCurve_P50748_KNTC1.pdf</v>
      </c>
    </row>
    <row r="2597" spans="1:28" x14ac:dyDescent="0.25">
      <c r="A2597" t="s">
        <v>2601</v>
      </c>
      <c r="B2597">
        <v>0.995954080203443</v>
      </c>
      <c r="C2597">
        <v>0.88716561888951395</v>
      </c>
      <c r="D2597">
        <v>0.60608755352620103</v>
      </c>
      <c r="E2597">
        <v>0.45244738267005002</v>
      </c>
      <c r="F2597">
        <v>0.30338582101091799</v>
      </c>
      <c r="G2597">
        <v>0.169044121801847</v>
      </c>
      <c r="H2597">
        <v>9.6831741717241696E-2</v>
      </c>
      <c r="I2597">
        <v>9.3691956456304806E-2</v>
      </c>
      <c r="J2597">
        <v>0.102551148097746</v>
      </c>
      <c r="K2597">
        <v>0.102086451469193</v>
      </c>
      <c r="L2597">
        <v>661.72137269103598</v>
      </c>
      <c r="M2597">
        <v>13.751331420530301</v>
      </c>
      <c r="N2597">
        <v>48.706402563245497</v>
      </c>
      <c r="O2597">
        <v>47.137129511372898</v>
      </c>
      <c r="P2597">
        <v>-6.7382943043339499E-2</v>
      </c>
      <c r="Q2597">
        <v>7.6223903937455595E-2</v>
      </c>
      <c r="R2597">
        <v>0.98899910923579903</v>
      </c>
      <c r="S2597" t="s">
        <v>9403</v>
      </c>
      <c r="T2597" t="s">
        <v>13610</v>
      </c>
      <c r="U2597" t="s">
        <v>13610</v>
      </c>
      <c r="V2597" t="s">
        <v>13610</v>
      </c>
      <c r="W2597" t="s">
        <v>16156</v>
      </c>
      <c r="X2597">
        <v>2</v>
      </c>
      <c r="Y2597" t="s">
        <v>22810</v>
      </c>
      <c r="Z2597" t="s">
        <v>29452</v>
      </c>
      <c r="AA2597">
        <v>0.3542377575016406</v>
      </c>
      <c r="AB2597" t="str">
        <f>HYPERLINK("Melting_Curves/meltCurve_P50749_RASSF2.pdf", "Melting_Curves/meltCurve_P50749_RASSF2.pdf")</f>
        <v>Melting_Curves/meltCurve_P50749_RASSF2.pdf</v>
      </c>
    </row>
    <row r="2598" spans="1:28" x14ac:dyDescent="0.25">
      <c r="A2598" t="s">
        <v>2602</v>
      </c>
      <c r="B2598">
        <v>0.995954080203443</v>
      </c>
      <c r="C2598">
        <v>0.93820100033418097</v>
      </c>
      <c r="D2598">
        <v>0.805837346537703</v>
      </c>
      <c r="E2598">
        <v>0.70820277337868298</v>
      </c>
      <c r="F2598">
        <v>0.35169640627654403</v>
      </c>
      <c r="G2598">
        <v>0.108846202969855</v>
      </c>
      <c r="H2598">
        <v>5.8989384184408099E-2</v>
      </c>
      <c r="I2598">
        <v>5.56959699804217E-2</v>
      </c>
      <c r="J2598">
        <v>5.7802427749137998E-2</v>
      </c>
      <c r="K2598">
        <v>6.0318894140331002E-2</v>
      </c>
      <c r="L2598">
        <v>959.517883105755</v>
      </c>
      <c r="M2598">
        <v>18.718660084268699</v>
      </c>
      <c r="N2598">
        <v>51.420214315456903</v>
      </c>
      <c r="O2598">
        <v>50.685682452916502</v>
      </c>
      <c r="P2598">
        <v>-8.9715023610756395E-2</v>
      </c>
      <c r="Q2598">
        <v>2.83332386343506E-2</v>
      </c>
      <c r="R2598">
        <v>0.98607351624367601</v>
      </c>
      <c r="S2598" t="s">
        <v>9404</v>
      </c>
      <c r="T2598" t="s">
        <v>13610</v>
      </c>
      <c r="U2598" t="s">
        <v>13610</v>
      </c>
      <c r="V2598" t="s">
        <v>13610</v>
      </c>
      <c r="W2598" t="s">
        <v>16157</v>
      </c>
      <c r="X2598">
        <v>13</v>
      </c>
      <c r="Y2598" t="s">
        <v>22811</v>
      </c>
      <c r="Z2598" t="s">
        <v>29453</v>
      </c>
      <c r="AA2598">
        <v>0.40824657111415108</v>
      </c>
      <c r="AB2598" t="str">
        <f>HYPERLINK("Melting_Curves/meltCurve_P50750_CDK9.pdf", "Melting_Curves/meltCurve_P50750_CDK9.pdf")</f>
        <v>Melting_Curves/meltCurve_P50750_CDK9.pdf</v>
      </c>
    </row>
    <row r="2599" spans="1:28" x14ac:dyDescent="0.25">
      <c r="A2599" t="s">
        <v>2603</v>
      </c>
      <c r="B2599">
        <v>0.995954080203443</v>
      </c>
      <c r="C2599">
        <v>0.82800859698884299</v>
      </c>
      <c r="D2599">
        <v>0.88880672817053097</v>
      </c>
      <c r="E2599">
        <v>0.65096836956652204</v>
      </c>
      <c r="F2599">
        <v>0.36686189386503798</v>
      </c>
      <c r="G2599">
        <v>0.21526873688352699</v>
      </c>
      <c r="H2599">
        <v>0.111605430888848</v>
      </c>
      <c r="I2599">
        <v>9.2521637139941298E-2</v>
      </c>
      <c r="J2599">
        <v>0.105656731739543</v>
      </c>
      <c r="K2599">
        <v>8.5960158732749301E-2</v>
      </c>
      <c r="L2599">
        <v>796.98407022119602</v>
      </c>
      <c r="M2599">
        <v>15.609646338471601</v>
      </c>
      <c r="N2599">
        <v>51.495668851751503</v>
      </c>
      <c r="O2599">
        <v>50.241217607673498</v>
      </c>
      <c r="P2599">
        <v>-7.2845790237175106E-2</v>
      </c>
      <c r="Q2599">
        <v>6.2235015007350902E-2</v>
      </c>
      <c r="R2599">
        <v>0.98291923498626799</v>
      </c>
      <c r="S2599" t="s">
        <v>9405</v>
      </c>
      <c r="T2599" t="s">
        <v>13610</v>
      </c>
      <c r="U2599" t="s">
        <v>13610</v>
      </c>
      <c r="V2599" t="s">
        <v>13610</v>
      </c>
      <c r="W2599" t="s">
        <v>14190</v>
      </c>
      <c r="X2599">
        <v>79</v>
      </c>
      <c r="Y2599" t="s">
        <v>20915</v>
      </c>
      <c r="Z2599" t="s">
        <v>29454</v>
      </c>
      <c r="AA2599">
        <v>0.42810845136737768</v>
      </c>
      <c r="AB2599" t="str">
        <f>HYPERLINK("Melting_Curves/meltCurve_P50851_LRBA.pdf", "Melting_Curves/meltCurve_P50851_LRBA.pdf")</f>
        <v>Melting_Curves/meltCurve_P50851_LRBA.pdf</v>
      </c>
    </row>
    <row r="2600" spans="1:28" x14ac:dyDescent="0.25">
      <c r="A2600" t="s">
        <v>2604</v>
      </c>
      <c r="B2600">
        <v>0.995954080203443</v>
      </c>
      <c r="C2600">
        <v>0.77575876572546598</v>
      </c>
      <c r="D2600">
        <v>0.40039124462431303</v>
      </c>
      <c r="E2600">
        <v>0.26363286715716</v>
      </c>
      <c r="F2600">
        <v>0.14572123334235801</v>
      </c>
      <c r="G2600">
        <v>8.1768710983384896E-2</v>
      </c>
      <c r="H2600">
        <v>5.5795056995372502E-2</v>
      </c>
      <c r="I2600">
        <v>5.1024820057873801E-2</v>
      </c>
      <c r="J2600">
        <v>6.5926274935305201E-2</v>
      </c>
      <c r="K2600">
        <v>5.8538412897994198E-2</v>
      </c>
      <c r="L2600">
        <v>884.10665683446803</v>
      </c>
      <c r="M2600">
        <v>19.525076661170999</v>
      </c>
      <c r="N2600">
        <v>45.622069747532798</v>
      </c>
      <c r="O2600">
        <v>44.813616000545402</v>
      </c>
      <c r="P2600">
        <v>-0.101521747881005</v>
      </c>
      <c r="Q2600">
        <v>6.7989572485214506E-2</v>
      </c>
      <c r="R2600">
        <v>0.98624075152632396</v>
      </c>
      <c r="S2600" t="s">
        <v>9406</v>
      </c>
      <c r="T2600" t="s">
        <v>13610</v>
      </c>
      <c r="U2600" t="s">
        <v>13610</v>
      </c>
      <c r="V2600" t="s">
        <v>13610</v>
      </c>
      <c r="W2600" t="s">
        <v>16158</v>
      </c>
      <c r="X2600">
        <v>7</v>
      </c>
      <c r="Y2600" t="s">
        <v>22812</v>
      </c>
      <c r="Z2600" t="s">
        <v>29455</v>
      </c>
      <c r="AA2600">
        <v>0.24823293835906099</v>
      </c>
      <c r="AB2600" t="str">
        <f>HYPERLINK("Melting_Curves/meltCurve_P50897_PPT1.pdf", "Melting_Curves/meltCurve_P50897_PPT1.pdf")</f>
        <v>Melting_Curves/meltCurve_P50897_PPT1.pdf</v>
      </c>
    </row>
    <row r="2601" spans="1:28" x14ac:dyDescent="0.25">
      <c r="A2601" t="s">
        <v>2605</v>
      </c>
      <c r="B2601">
        <v>0.995954080203443</v>
      </c>
      <c r="C2601">
        <v>0.67967117918070896</v>
      </c>
      <c r="D2601">
        <v>0.47428007530257399</v>
      </c>
      <c r="E2601">
        <v>0.94665102010979496</v>
      </c>
      <c r="F2601">
        <v>0.62921218373977295</v>
      </c>
      <c r="G2601">
        <v>0.200568306673333</v>
      </c>
      <c r="H2601">
        <v>8.1467673717611794E-2</v>
      </c>
      <c r="I2601">
        <v>5.5508128429239502E-2</v>
      </c>
      <c r="J2601">
        <v>5.6898780954997598E-2</v>
      </c>
      <c r="K2601">
        <v>5.3648870015864797E-2</v>
      </c>
      <c r="L2601">
        <v>499.97089952558298</v>
      </c>
      <c r="M2601">
        <v>9.6086036170763602</v>
      </c>
      <c r="N2601">
        <v>52.033663102430602</v>
      </c>
      <c r="O2601">
        <v>49.929651352898802</v>
      </c>
      <c r="P2601">
        <v>-4.8137960243188102E-2</v>
      </c>
      <c r="Q2601">
        <v>0</v>
      </c>
      <c r="R2601">
        <v>0.74785175426780603</v>
      </c>
      <c r="S2601" t="s">
        <v>9407</v>
      </c>
      <c r="T2601" t="s">
        <v>13610</v>
      </c>
      <c r="U2601" t="s">
        <v>13610</v>
      </c>
      <c r="V2601" t="s">
        <v>13610</v>
      </c>
      <c r="W2601" t="s">
        <v>16159</v>
      </c>
      <c r="X2601">
        <v>43</v>
      </c>
      <c r="Y2601" t="s">
        <v>22813</v>
      </c>
      <c r="Z2601" t="s">
        <v>29456</v>
      </c>
      <c r="AA2601">
        <v>0.44059442582417768</v>
      </c>
      <c r="AB2601" t="str">
        <f>HYPERLINK("Melting_Curves/meltCurve_P50990_CCT8.pdf", "Melting_Curves/meltCurve_P50990_CCT8.pdf")</f>
        <v>Melting_Curves/meltCurve_P50990_CCT8.pdf</v>
      </c>
    </row>
    <row r="2602" spans="1:28" x14ac:dyDescent="0.25">
      <c r="A2602" t="s">
        <v>2606</v>
      </c>
      <c r="B2602">
        <v>0.995954080203443</v>
      </c>
      <c r="C2602">
        <v>0.59880897438408898</v>
      </c>
      <c r="D2602">
        <v>0.340067661333878</v>
      </c>
      <c r="E2602">
        <v>0.96113598720144799</v>
      </c>
      <c r="F2602">
        <v>0.64727530828011004</v>
      </c>
      <c r="G2602">
        <v>0.19639035365028901</v>
      </c>
      <c r="H2602">
        <v>7.0831477160589407E-2</v>
      </c>
      <c r="I2602">
        <v>4.8564390290742901E-2</v>
      </c>
      <c r="J2602">
        <v>4.66519138190171E-2</v>
      </c>
      <c r="K2602">
        <v>4.5881091631316998E-2</v>
      </c>
      <c r="L2602">
        <v>407.311172517915</v>
      </c>
      <c r="M2602">
        <v>8.0436982425600192</v>
      </c>
      <c r="N2602">
        <v>50.6372860646321</v>
      </c>
      <c r="O2602">
        <v>47.795333399681397</v>
      </c>
      <c r="P2602">
        <v>-4.2120284561878302E-2</v>
      </c>
      <c r="Q2602">
        <v>0</v>
      </c>
      <c r="R2602">
        <v>0.63716871102611505</v>
      </c>
      <c r="S2602" t="s">
        <v>9408</v>
      </c>
      <c r="T2602" t="s">
        <v>13610</v>
      </c>
      <c r="U2602" t="s">
        <v>13610</v>
      </c>
      <c r="V2602" t="s">
        <v>13610</v>
      </c>
      <c r="W2602" t="s">
        <v>16160</v>
      </c>
      <c r="X2602">
        <v>33</v>
      </c>
      <c r="Y2602" t="s">
        <v>22814</v>
      </c>
      <c r="Z2602" t="s">
        <v>29457</v>
      </c>
      <c r="AA2602">
        <v>0.40990480067188467</v>
      </c>
      <c r="AB2602" t="str">
        <f>HYPERLINK("Melting_Curves/meltCurve_P50991_CCT4.pdf", "Melting_Curves/meltCurve_P50991_CCT4.pdf")</f>
        <v>Melting_Curves/meltCurve_P50991_CCT4.pdf</v>
      </c>
    </row>
    <row r="2603" spans="1:28" x14ac:dyDescent="0.25">
      <c r="A2603" t="s">
        <v>2607</v>
      </c>
      <c r="B2603">
        <v>0.995954080203443</v>
      </c>
      <c r="C2603">
        <v>1.0188257241088099</v>
      </c>
      <c r="D2603">
        <v>1.1477232396952499</v>
      </c>
      <c r="E2603">
        <v>0.67493343616906598</v>
      </c>
      <c r="F2603">
        <v>0.29993847115650102</v>
      </c>
      <c r="G2603">
        <v>0.19248381797078701</v>
      </c>
      <c r="H2603">
        <v>0.15193045616949699</v>
      </c>
      <c r="I2603">
        <v>0.15992270378193199</v>
      </c>
      <c r="J2603">
        <v>0.16850604320700899</v>
      </c>
      <c r="K2603">
        <v>0.161360225483656</v>
      </c>
      <c r="L2603">
        <v>2186.0223884388702</v>
      </c>
      <c r="M2603">
        <v>43.1685210096053</v>
      </c>
      <c r="N2603">
        <v>51.126410198391604</v>
      </c>
      <c r="O2603">
        <v>50.530968463678498</v>
      </c>
      <c r="P2603">
        <v>-0.17756431345214099</v>
      </c>
      <c r="Q2603">
        <v>0.16860883476116001</v>
      </c>
      <c r="R2603">
        <v>0.98254535437166901</v>
      </c>
      <c r="S2603" t="s">
        <v>9409</v>
      </c>
      <c r="T2603" t="s">
        <v>13610</v>
      </c>
      <c r="U2603" t="s">
        <v>13610</v>
      </c>
      <c r="V2603" t="s">
        <v>13610</v>
      </c>
      <c r="W2603" t="s">
        <v>16161</v>
      </c>
      <c r="X2603">
        <v>27</v>
      </c>
      <c r="Y2603" t="s">
        <v>22815</v>
      </c>
      <c r="Z2603" t="s">
        <v>29458</v>
      </c>
      <c r="AA2603">
        <v>0.46595130303213389</v>
      </c>
      <c r="AB2603" t="str">
        <f>HYPERLINK("Melting_Curves/meltCurve_P51003_PAPOLA.pdf", "Melting_Curves/meltCurve_P51003_PAPOLA.pdf")</f>
        <v>Melting_Curves/meltCurve_P51003_PAPOLA.pdf</v>
      </c>
    </row>
    <row r="2604" spans="1:28" x14ac:dyDescent="0.25">
      <c r="A2604" t="s">
        <v>2608</v>
      </c>
      <c r="B2604">
        <v>0.995954080203443</v>
      </c>
      <c r="C2604">
        <v>0.90391977710649596</v>
      </c>
      <c r="D2604">
        <v>0.73306708678470001</v>
      </c>
      <c r="E2604">
        <v>0.57924882430687497</v>
      </c>
      <c r="F2604">
        <v>0.50031231514578101</v>
      </c>
      <c r="G2604">
        <v>0.41703175408095799</v>
      </c>
      <c r="H2604">
        <v>0.41262745049126798</v>
      </c>
      <c r="I2604">
        <v>0.58027954462481501</v>
      </c>
      <c r="J2604">
        <v>0.49599655418925498</v>
      </c>
      <c r="K2604">
        <v>0.66615461087715</v>
      </c>
      <c r="L2604">
        <v>1155.3418817229599</v>
      </c>
      <c r="M2604">
        <v>25.3485076882626</v>
      </c>
      <c r="O2604">
        <v>45.2974530078165</v>
      </c>
      <c r="P2604">
        <v>-6.8207925153084298E-2</v>
      </c>
      <c r="Q2604">
        <v>0.51245928881179503</v>
      </c>
      <c r="R2604">
        <v>0.85960308251598805</v>
      </c>
      <c r="S2604" t="s">
        <v>9410</v>
      </c>
      <c r="T2604" t="s">
        <v>13610</v>
      </c>
      <c r="U2604" t="s">
        <v>13610</v>
      </c>
      <c r="V2604" t="s">
        <v>13610</v>
      </c>
      <c r="W2604" t="s">
        <v>16162</v>
      </c>
      <c r="X2604">
        <v>21</v>
      </c>
      <c r="Y2604" t="s">
        <v>22816</v>
      </c>
      <c r="Z2604" t="s">
        <v>29459</v>
      </c>
      <c r="AA2604">
        <v>0.60758704277983044</v>
      </c>
      <c r="AB2604" t="str">
        <f>HYPERLINK("Melting_Curves/meltCurve_P51116_FXR2.pdf", "Melting_Curves/meltCurve_P51116_FXR2.pdf")</f>
        <v>Melting_Curves/meltCurve_P51116_FXR2.pdf</v>
      </c>
    </row>
    <row r="2605" spans="1:28" x14ac:dyDescent="0.25">
      <c r="A2605" t="s">
        <v>2609</v>
      </c>
      <c r="B2605">
        <v>0.995954080203443</v>
      </c>
      <c r="C2605">
        <v>1.0565721371419401</v>
      </c>
      <c r="D2605">
        <v>1.0399497333199099</v>
      </c>
      <c r="E2605">
        <v>0.98037036211316098</v>
      </c>
      <c r="F2605">
        <v>0.86889172957264404</v>
      </c>
      <c r="G2605">
        <v>0.57395835424902397</v>
      </c>
      <c r="H2605">
        <v>0.11322670602167</v>
      </c>
      <c r="I2605">
        <v>8.9610011208727205E-2</v>
      </c>
      <c r="J2605">
        <v>8.5853896065556795E-2</v>
      </c>
      <c r="K2605">
        <v>6.9285844349239498E-2</v>
      </c>
      <c r="L2605">
        <v>1794.7728902091001</v>
      </c>
      <c r="M2605">
        <v>31.450366263831299</v>
      </c>
      <c r="N2605">
        <v>57.2851008771053</v>
      </c>
      <c r="O2605">
        <v>56.8376024775988</v>
      </c>
      <c r="P2605">
        <v>-0.13052372241735399</v>
      </c>
      <c r="Q2605">
        <v>5.6466900627683898E-2</v>
      </c>
      <c r="R2605">
        <v>0.99311950866182597</v>
      </c>
      <c r="S2605" t="s">
        <v>9411</v>
      </c>
      <c r="T2605" t="s">
        <v>13610</v>
      </c>
      <c r="U2605" t="s">
        <v>13610</v>
      </c>
      <c r="V2605" t="s">
        <v>13610</v>
      </c>
      <c r="W2605" t="s">
        <v>16163</v>
      </c>
      <c r="X2605">
        <v>9</v>
      </c>
      <c r="Y2605" t="s">
        <v>22817</v>
      </c>
      <c r="Z2605" t="s">
        <v>29460</v>
      </c>
      <c r="AA2605">
        <v>0.5990139169867309</v>
      </c>
      <c r="AB2605" t="str">
        <f>HYPERLINK("Melting_Curves/meltCurve_P51148_RAB5C.pdf", "Melting_Curves/meltCurve_P51148_RAB5C.pdf")</f>
        <v>Melting_Curves/meltCurve_P51148_RAB5C.pdf</v>
      </c>
    </row>
    <row r="2606" spans="1:28" x14ac:dyDescent="0.25">
      <c r="A2606" t="s">
        <v>2610</v>
      </c>
      <c r="B2606">
        <v>0.995954080203443</v>
      </c>
      <c r="C2606">
        <v>1.0596964080056901</v>
      </c>
      <c r="D2606">
        <v>1.07024673508579</v>
      </c>
      <c r="E2606">
        <v>0.96263196557513597</v>
      </c>
      <c r="F2606">
        <v>0.78781855968604497</v>
      </c>
      <c r="G2606">
        <v>0.31166691291398502</v>
      </c>
      <c r="H2606">
        <v>0.10907516003843599</v>
      </c>
      <c r="I2606">
        <v>7.7576642304456295E-2</v>
      </c>
      <c r="J2606">
        <v>7.7328280458123205E-2</v>
      </c>
      <c r="K2606">
        <v>6.9616805023832301E-2</v>
      </c>
      <c r="L2606">
        <v>1735.08013294904</v>
      </c>
      <c r="M2606">
        <v>31.4992971982401</v>
      </c>
      <c r="N2606">
        <v>55.3454394907995</v>
      </c>
      <c r="O2606">
        <v>54.862555292030102</v>
      </c>
      <c r="P2606">
        <v>-0.133585377328344</v>
      </c>
      <c r="Q2606">
        <v>6.93384978986189E-2</v>
      </c>
      <c r="R2606">
        <v>0.99530649050570896</v>
      </c>
      <c r="S2606" t="s">
        <v>9412</v>
      </c>
      <c r="T2606" t="s">
        <v>13610</v>
      </c>
      <c r="U2606" t="s">
        <v>13610</v>
      </c>
      <c r="V2606" t="s">
        <v>13610</v>
      </c>
      <c r="W2606" t="s">
        <v>16164</v>
      </c>
      <c r="X2606">
        <v>18</v>
      </c>
      <c r="Y2606" t="s">
        <v>22818</v>
      </c>
      <c r="Z2606" t="s">
        <v>29461</v>
      </c>
      <c r="AA2606">
        <v>0.54287966664829002</v>
      </c>
      <c r="AB2606" t="str">
        <f>HYPERLINK("Melting_Curves/meltCurve_P51149_RAB7A.pdf", "Melting_Curves/meltCurve_P51149_RAB7A.pdf")</f>
        <v>Melting_Curves/meltCurve_P51149_RAB7A.pdf</v>
      </c>
    </row>
    <row r="2607" spans="1:28" x14ac:dyDescent="0.25">
      <c r="A2607" t="s">
        <v>2611</v>
      </c>
      <c r="B2607">
        <v>0.995954080203443</v>
      </c>
      <c r="C2607">
        <v>1.0515991438296901</v>
      </c>
      <c r="D2607">
        <v>0.89142337674289296</v>
      </c>
      <c r="E2607">
        <v>0.75195663270887303</v>
      </c>
      <c r="F2607">
        <v>0.366049450415389</v>
      </c>
      <c r="G2607">
        <v>0.133278181043822</v>
      </c>
      <c r="H2607">
        <v>8.0622972462825099E-2</v>
      </c>
      <c r="I2607">
        <v>5.73973844883734E-2</v>
      </c>
      <c r="J2607">
        <v>6.5401225963744897E-2</v>
      </c>
      <c r="K2607">
        <v>5.9571788181386698E-2</v>
      </c>
      <c r="L2607">
        <v>1349.6650533458401</v>
      </c>
      <c r="M2607">
        <v>26.113282593770901</v>
      </c>
      <c r="N2607">
        <v>51.929545504886597</v>
      </c>
      <c r="O2607">
        <v>51.384752383575197</v>
      </c>
      <c r="P2607">
        <v>-0.11969894494641101</v>
      </c>
      <c r="Q2607">
        <v>5.7854023501513398E-2</v>
      </c>
      <c r="R2607">
        <v>0.99418269990571795</v>
      </c>
      <c r="S2607" t="s">
        <v>9413</v>
      </c>
      <c r="T2607" t="s">
        <v>13610</v>
      </c>
      <c r="U2607" t="s">
        <v>13610</v>
      </c>
      <c r="V2607" t="s">
        <v>13610</v>
      </c>
      <c r="W2607" t="s">
        <v>16165</v>
      </c>
      <c r="X2607">
        <v>5</v>
      </c>
      <c r="Y2607" t="s">
        <v>22819</v>
      </c>
      <c r="Z2607" t="s">
        <v>29462</v>
      </c>
      <c r="AA2607">
        <v>0.43269651044018931</v>
      </c>
      <c r="AB2607" t="str">
        <f>HYPERLINK("Melting_Curves/meltCurve_P51151_RAB9A.pdf", "Melting_Curves/meltCurve_P51151_RAB9A.pdf")</f>
        <v>Melting_Curves/meltCurve_P51151_RAB9A.pdf</v>
      </c>
    </row>
    <row r="2608" spans="1:28" x14ac:dyDescent="0.25">
      <c r="A2608" t="s">
        <v>2612</v>
      </c>
      <c r="B2608">
        <v>0.995954080203443</v>
      </c>
      <c r="C2608">
        <v>0.90369371229422002</v>
      </c>
      <c r="D2608">
        <v>0.51672739100960197</v>
      </c>
      <c r="E2608">
        <v>0.31302078002849199</v>
      </c>
      <c r="F2608">
        <v>0.18513755574419299</v>
      </c>
      <c r="G2608">
        <v>0.123378742865746</v>
      </c>
      <c r="H2608">
        <v>9.3775053292743105E-2</v>
      </c>
      <c r="I2608">
        <v>8.0310915699749102E-2</v>
      </c>
      <c r="J2608">
        <v>8.2640232790073501E-2</v>
      </c>
      <c r="K2608">
        <v>8.4060835479400506E-2</v>
      </c>
      <c r="L2608">
        <v>912.73546517931902</v>
      </c>
      <c r="M2608">
        <v>19.663274416257401</v>
      </c>
      <c r="N2608">
        <v>46.900887887412097</v>
      </c>
      <c r="O2608">
        <v>45.946186624882202</v>
      </c>
      <c r="P2608">
        <v>-9.7195096756080498E-2</v>
      </c>
      <c r="Q2608">
        <v>9.1588000726178301E-2</v>
      </c>
      <c r="R2608">
        <v>0.98941569029902499</v>
      </c>
      <c r="S2608" t="s">
        <v>9414</v>
      </c>
      <c r="T2608" t="s">
        <v>13610</v>
      </c>
      <c r="U2608" t="s">
        <v>13610</v>
      </c>
      <c r="V2608" t="s">
        <v>13610</v>
      </c>
      <c r="W2608" t="s">
        <v>16166</v>
      </c>
      <c r="X2608">
        <v>6</v>
      </c>
      <c r="Y2608" t="s">
        <v>22820</v>
      </c>
      <c r="Z2608" t="s">
        <v>29463</v>
      </c>
      <c r="AA2608">
        <v>0.30014610262164643</v>
      </c>
      <c r="AB2608" t="str">
        <f>HYPERLINK("Melting_Curves/meltCurve_P51157_RAB28.pdf", "Melting_Curves/meltCurve_P51157_RAB28.pdf")</f>
        <v>Melting_Curves/meltCurve_P51157_RAB28.pdf</v>
      </c>
    </row>
    <row r="2609" spans="1:28" x14ac:dyDescent="0.25">
      <c r="A2609" t="s">
        <v>2613</v>
      </c>
      <c r="B2609">
        <v>0.995954080203443</v>
      </c>
      <c r="C2609">
        <v>0.98911483416976398</v>
      </c>
      <c r="D2609">
        <v>0.788505054088945</v>
      </c>
      <c r="E2609">
        <v>0.69563602740873198</v>
      </c>
      <c r="F2609">
        <v>0.31715761346015098</v>
      </c>
      <c r="G2609">
        <v>0.14576427871529701</v>
      </c>
      <c r="H2609">
        <v>7.9780958623171902E-2</v>
      </c>
      <c r="I2609">
        <v>6.8049778511796999E-2</v>
      </c>
      <c r="J2609">
        <v>7.4929344704107198E-2</v>
      </c>
      <c r="K2609">
        <v>6.5424915177990803E-2</v>
      </c>
      <c r="L2609">
        <v>940.26035469101805</v>
      </c>
      <c r="M2609">
        <v>18.4505838289484</v>
      </c>
      <c r="N2609">
        <v>51.2307941061636</v>
      </c>
      <c r="O2609">
        <v>50.373685910853098</v>
      </c>
      <c r="P2609">
        <v>-8.7333248354901194E-2</v>
      </c>
      <c r="Q2609">
        <v>4.6295678852556497E-2</v>
      </c>
      <c r="R2609">
        <v>0.985810157434034</v>
      </c>
      <c r="S2609" t="s">
        <v>9415</v>
      </c>
      <c r="T2609" t="s">
        <v>13610</v>
      </c>
      <c r="U2609" t="s">
        <v>13610</v>
      </c>
      <c r="V2609" t="s">
        <v>13610</v>
      </c>
      <c r="W2609" t="s">
        <v>16167</v>
      </c>
      <c r="X2609">
        <v>8</v>
      </c>
      <c r="Y2609" t="s">
        <v>22821</v>
      </c>
      <c r="Z2609" t="s">
        <v>29464</v>
      </c>
      <c r="AA2609">
        <v>0.41011846067597713</v>
      </c>
      <c r="AB2609" t="str">
        <f>HYPERLINK("Melting_Curves/meltCurve_P51159_2_RAB27A.pdf", "Melting_Curves/meltCurve_P51159_2_RAB27A.pdf")</f>
        <v>Melting_Curves/meltCurve_P51159_2_RAB27A.pdf</v>
      </c>
    </row>
    <row r="2610" spans="1:28" x14ac:dyDescent="0.25">
      <c r="A2610" t="s">
        <v>2614</v>
      </c>
      <c r="B2610">
        <v>0.995954080203443</v>
      </c>
      <c r="C2610">
        <v>0.85457156598622996</v>
      </c>
      <c r="D2610">
        <v>1.0645468806618601</v>
      </c>
      <c r="E2610">
        <v>0.89906582491909903</v>
      </c>
      <c r="F2610">
        <v>1.4202671307997401</v>
      </c>
      <c r="G2610">
        <v>1.25855317207204</v>
      </c>
      <c r="H2610">
        <v>1.0766774950972999</v>
      </c>
      <c r="I2610">
        <v>1.3961046127910099</v>
      </c>
      <c r="J2610">
        <v>1.3137220639863001</v>
      </c>
      <c r="K2610">
        <v>1.7359565362254701</v>
      </c>
      <c r="L2610">
        <v>643.59263969699896</v>
      </c>
      <c r="M2610">
        <v>11.190735608064401</v>
      </c>
      <c r="O2610">
        <v>55.766409537317401</v>
      </c>
      <c r="P2610">
        <v>2.5091868243161002E-2</v>
      </c>
      <c r="Q2610">
        <v>1.5</v>
      </c>
      <c r="R2610">
        <v>0.55852696514341504</v>
      </c>
      <c r="S2610" t="s">
        <v>9416</v>
      </c>
      <c r="T2610" t="s">
        <v>13610</v>
      </c>
      <c r="U2610" t="s">
        <v>13610</v>
      </c>
      <c r="V2610" t="s">
        <v>13610</v>
      </c>
      <c r="W2610" t="s">
        <v>16168</v>
      </c>
      <c r="X2610">
        <v>1</v>
      </c>
      <c r="Y2610" t="s">
        <v>22822</v>
      </c>
      <c r="Z2610" t="s">
        <v>29465</v>
      </c>
      <c r="AA2610">
        <v>1.200997899864823</v>
      </c>
      <c r="AB2610" t="str">
        <f>HYPERLINK("Melting_Curves/meltCurve_P51161_FABP6.pdf", "Melting_Curves/meltCurve_P51161_FABP6.pdf")</f>
        <v>Melting_Curves/meltCurve_P51161_FABP6.pdf</v>
      </c>
    </row>
    <row r="2611" spans="1:28" x14ac:dyDescent="0.25">
      <c r="A2611" t="s">
        <v>2615</v>
      </c>
      <c r="B2611">
        <v>0.995954080203443</v>
      </c>
      <c r="C2611">
        <v>0.91979192564519696</v>
      </c>
      <c r="D2611">
        <v>0.83673990174857804</v>
      </c>
      <c r="E2611">
        <v>0.59025731303615403</v>
      </c>
      <c r="F2611">
        <v>0.31288211873761201</v>
      </c>
      <c r="G2611">
        <v>0.181328473490002</v>
      </c>
      <c r="H2611">
        <v>0.14125842804783001</v>
      </c>
      <c r="I2611">
        <v>0.13212454482629901</v>
      </c>
      <c r="J2611">
        <v>0.147018378968406</v>
      </c>
      <c r="K2611">
        <v>0.12727769615849199</v>
      </c>
      <c r="L2611">
        <v>930.62914359419301</v>
      </c>
      <c r="M2611">
        <v>18.6517206388252</v>
      </c>
      <c r="N2611">
        <v>50.630666774459698</v>
      </c>
      <c r="O2611">
        <v>49.332140838962403</v>
      </c>
      <c r="P2611">
        <v>-8.3306595850226497E-2</v>
      </c>
      <c r="Q2611">
        <v>0.1186835794312</v>
      </c>
      <c r="R2611">
        <v>0.99587594075825903</v>
      </c>
      <c r="S2611" t="s">
        <v>9417</v>
      </c>
      <c r="T2611" t="s">
        <v>13610</v>
      </c>
      <c r="U2611" t="s">
        <v>13610</v>
      </c>
      <c r="V2611" t="s">
        <v>13610</v>
      </c>
      <c r="W2611" t="s">
        <v>16169</v>
      </c>
      <c r="X2611">
        <v>6</v>
      </c>
      <c r="Y2611" t="s">
        <v>22823</v>
      </c>
      <c r="Z2611" t="s">
        <v>29466</v>
      </c>
      <c r="AA2611">
        <v>0.42343139102536698</v>
      </c>
      <c r="AB2611" t="str">
        <f>HYPERLINK("Melting_Curves/meltCurve_P51178_PLCD1.pdf", "Melting_Curves/meltCurve_P51178_PLCD1.pdf")</f>
        <v>Melting_Curves/meltCurve_P51178_PLCD1.pdf</v>
      </c>
    </row>
    <row r="2612" spans="1:28" x14ac:dyDescent="0.25">
      <c r="A2612" t="s">
        <v>2616</v>
      </c>
      <c r="B2612">
        <v>0.995954080203443</v>
      </c>
      <c r="C2612">
        <v>0.65123358803958098</v>
      </c>
      <c r="D2612">
        <v>0.40450437499846098</v>
      </c>
      <c r="E2612">
        <v>0.39684890064369099</v>
      </c>
      <c r="F2612">
        <v>0.170106076079938</v>
      </c>
      <c r="G2612">
        <v>0.111619469920377</v>
      </c>
      <c r="H2612">
        <v>6.2993862553805305E-2</v>
      </c>
      <c r="I2612">
        <v>5.1293447759940297E-2</v>
      </c>
      <c r="J2612">
        <v>6.9773532765771099E-2</v>
      </c>
      <c r="K2612">
        <v>5.7371001639336103E-2</v>
      </c>
      <c r="L2612">
        <v>602.96635327499303</v>
      </c>
      <c r="M2612">
        <v>13.236543857671199</v>
      </c>
      <c r="N2612">
        <v>45.925240055382702</v>
      </c>
      <c r="O2612">
        <v>44.551090113843301</v>
      </c>
      <c r="P2612">
        <v>-7.0512267696683506E-2</v>
      </c>
      <c r="Q2612">
        <v>5.0845739691950803E-2</v>
      </c>
      <c r="R2612">
        <v>0.95228520994601995</v>
      </c>
      <c r="S2612" t="s">
        <v>9418</v>
      </c>
      <c r="T2612" t="s">
        <v>13610</v>
      </c>
      <c r="U2612" t="s">
        <v>13610</v>
      </c>
      <c r="V2612" t="s">
        <v>13610</v>
      </c>
      <c r="W2612" t="s">
        <v>16170</v>
      </c>
      <c r="X2612">
        <v>4</v>
      </c>
      <c r="Y2612" t="s">
        <v>22824</v>
      </c>
      <c r="Z2612" t="s">
        <v>29467</v>
      </c>
      <c r="AA2612">
        <v>0.26377608519067602</v>
      </c>
      <c r="AB2612" t="str">
        <f>HYPERLINK("Melting_Curves/meltCurve_P51398_2_DAP3.pdf", "Melting_Curves/meltCurve_P51398_2_DAP3.pdf")</f>
        <v>Melting_Curves/meltCurve_P51398_2_DAP3.pdf</v>
      </c>
    </row>
    <row r="2613" spans="1:28" x14ac:dyDescent="0.25">
      <c r="A2613" t="s">
        <v>2617</v>
      </c>
      <c r="B2613">
        <v>0.995954080203443</v>
      </c>
      <c r="C2613">
        <v>1.07281199521294</v>
      </c>
      <c r="D2613">
        <v>1.0342349964292401</v>
      </c>
      <c r="E2613">
        <v>0.93994384172550005</v>
      </c>
      <c r="F2613">
        <v>0.55114305969246202</v>
      </c>
      <c r="G2613">
        <v>0.128576049553318</v>
      </c>
      <c r="H2613">
        <v>6.1334598986830899E-2</v>
      </c>
      <c r="I2613">
        <v>4.0493807240342003E-2</v>
      </c>
      <c r="J2613">
        <v>3.6756962503337903E-2</v>
      </c>
      <c r="K2613">
        <v>3.9176495758683198E-2</v>
      </c>
      <c r="L2613">
        <v>2046.8478366177701</v>
      </c>
      <c r="M2613">
        <v>38.463063362795502</v>
      </c>
      <c r="N2613">
        <v>53.346467608134297</v>
      </c>
      <c r="O2613">
        <v>53.072696256831897</v>
      </c>
      <c r="P2613">
        <v>-0.173044041842946</v>
      </c>
      <c r="Q2613">
        <v>4.4913169193641397E-2</v>
      </c>
      <c r="R2613">
        <v>0.996349031699855</v>
      </c>
      <c r="S2613" t="s">
        <v>9419</v>
      </c>
      <c r="T2613" t="s">
        <v>13610</v>
      </c>
      <c r="U2613" t="s">
        <v>13610</v>
      </c>
      <c r="V2613" t="s">
        <v>13610</v>
      </c>
      <c r="W2613" t="s">
        <v>16171</v>
      </c>
      <c r="X2613">
        <v>6</v>
      </c>
      <c r="Y2613" t="s">
        <v>22825</v>
      </c>
      <c r="Z2613" t="s">
        <v>29468</v>
      </c>
      <c r="AA2613">
        <v>0.46945408298096403</v>
      </c>
      <c r="AB2613" t="str">
        <f>HYPERLINK("Melting_Curves/meltCurve_P51452_DUSP3.pdf", "Melting_Curves/meltCurve_P51452_DUSP3.pdf")</f>
        <v>Melting_Curves/meltCurve_P51452_DUSP3.pdf</v>
      </c>
    </row>
    <row r="2614" spans="1:28" x14ac:dyDescent="0.25">
      <c r="A2614" t="s">
        <v>2618</v>
      </c>
      <c r="B2614">
        <v>0.995954080203443</v>
      </c>
      <c r="C2614">
        <v>1.12087089092315</v>
      </c>
      <c r="D2614">
        <v>0.90443062737511803</v>
      </c>
      <c r="E2614">
        <v>0.80929339480848606</v>
      </c>
      <c r="F2614">
        <v>0.61429831540190505</v>
      </c>
      <c r="G2614">
        <v>0.36541898137041801</v>
      </c>
      <c r="H2614">
        <v>0.25197985752073498</v>
      </c>
      <c r="I2614">
        <v>0.253799215688571</v>
      </c>
      <c r="J2614">
        <v>0.31180978940864101</v>
      </c>
      <c r="K2614">
        <v>0.27615786953787402</v>
      </c>
      <c r="L2614">
        <v>1156.7838440410801</v>
      </c>
      <c r="M2614">
        <v>22.032591227546298</v>
      </c>
      <c r="N2614">
        <v>54.321236774170004</v>
      </c>
      <c r="O2614">
        <v>52.0765191527802</v>
      </c>
      <c r="P2614">
        <v>-7.8186056899488196E-2</v>
      </c>
      <c r="Q2614">
        <v>0.26081000455278502</v>
      </c>
      <c r="R2614">
        <v>0.97620717984245897</v>
      </c>
      <c r="S2614" t="s">
        <v>9420</v>
      </c>
      <c r="T2614" t="s">
        <v>13610</v>
      </c>
      <c r="U2614" t="s">
        <v>13610</v>
      </c>
      <c r="V2614" t="s">
        <v>13610</v>
      </c>
      <c r="W2614" t="s">
        <v>16172</v>
      </c>
      <c r="X2614">
        <v>1</v>
      </c>
      <c r="Y2614" t="s">
        <v>22826</v>
      </c>
      <c r="Z2614" t="s">
        <v>29469</v>
      </c>
      <c r="AA2614">
        <v>0.57746861494226798</v>
      </c>
      <c r="AB2614" t="str">
        <f>HYPERLINK("Melting_Curves/meltCurve_P51511_MMP15.pdf", "Melting_Curves/meltCurve_P51511_MMP15.pdf")</f>
        <v>Melting_Curves/meltCurve_P51511_MMP15.pdf</v>
      </c>
    </row>
    <row r="2615" spans="1:28" x14ac:dyDescent="0.25">
      <c r="A2615" t="s">
        <v>2619</v>
      </c>
      <c r="B2615">
        <v>0.995954080203443</v>
      </c>
      <c r="C2615">
        <v>0.84939889485114395</v>
      </c>
      <c r="D2615">
        <v>0.66783721620754399</v>
      </c>
      <c r="E2615">
        <v>0.46802162408028902</v>
      </c>
      <c r="F2615">
        <v>0.318014582161052</v>
      </c>
      <c r="G2615">
        <v>0.23955911977856501</v>
      </c>
      <c r="H2615">
        <v>0.16550199086895601</v>
      </c>
      <c r="I2615">
        <v>0.140104421110434</v>
      </c>
      <c r="J2615">
        <v>0.149970994288041</v>
      </c>
      <c r="K2615">
        <v>0.142441910126725</v>
      </c>
      <c r="L2615">
        <v>649.61659829418397</v>
      </c>
      <c r="M2615">
        <v>13.509934975218</v>
      </c>
      <c r="N2615">
        <v>49.1493661929767</v>
      </c>
      <c r="O2615">
        <v>47.067502157972001</v>
      </c>
      <c r="P2615">
        <v>-6.2662256853873305E-2</v>
      </c>
      <c r="Q2615">
        <v>0.12689213700580099</v>
      </c>
      <c r="R2615">
        <v>0.995546036669409</v>
      </c>
      <c r="S2615" t="s">
        <v>9421</v>
      </c>
      <c r="T2615" t="s">
        <v>13610</v>
      </c>
      <c r="U2615" t="s">
        <v>13610</v>
      </c>
      <c r="V2615" t="s">
        <v>13610</v>
      </c>
      <c r="W2615" t="s">
        <v>16173</v>
      </c>
      <c r="X2615">
        <v>32</v>
      </c>
      <c r="Y2615" t="s">
        <v>22827</v>
      </c>
      <c r="Z2615" t="s">
        <v>29470</v>
      </c>
      <c r="AA2615">
        <v>0.3895569176548071</v>
      </c>
      <c r="AB2615" t="str">
        <f>HYPERLINK("Melting_Curves/meltCurve_P51531_2_SMARCA2.pdf", "Melting_Curves/meltCurve_P51531_2_SMARCA2.pdf")</f>
        <v>Melting_Curves/meltCurve_P51531_2_SMARCA2.pdf</v>
      </c>
    </row>
    <row r="2616" spans="1:28" x14ac:dyDescent="0.25">
      <c r="A2616" t="s">
        <v>2620</v>
      </c>
      <c r="B2616">
        <v>0.995954080203443</v>
      </c>
      <c r="C2616">
        <v>0.75200215987514496</v>
      </c>
      <c r="D2616">
        <v>0.51805193484128198</v>
      </c>
      <c r="E2616">
        <v>0.35233420650659802</v>
      </c>
      <c r="F2616">
        <v>0.24757134656294399</v>
      </c>
      <c r="G2616">
        <v>0.15402206939009599</v>
      </c>
      <c r="H2616">
        <v>0.113298559508676</v>
      </c>
      <c r="I2616">
        <v>0.10757250648632</v>
      </c>
      <c r="J2616">
        <v>0.13831805883723</v>
      </c>
      <c r="K2616">
        <v>0.11687668748006801</v>
      </c>
      <c r="L2616">
        <v>695.53022779613502</v>
      </c>
      <c r="M2616">
        <v>15.1183055163683</v>
      </c>
      <c r="N2616">
        <v>46.808704289844698</v>
      </c>
      <c r="O2616">
        <v>45.223398440296101</v>
      </c>
      <c r="P2616">
        <v>-7.4037804654642797E-2</v>
      </c>
      <c r="Q2616">
        <v>0.11420893438011299</v>
      </c>
      <c r="R2616">
        <v>0.98674813836864905</v>
      </c>
      <c r="S2616" t="s">
        <v>9422</v>
      </c>
      <c r="T2616" t="s">
        <v>13610</v>
      </c>
      <c r="U2616" t="s">
        <v>13610</v>
      </c>
      <c r="V2616" t="s">
        <v>13610</v>
      </c>
      <c r="W2616" t="s">
        <v>16174</v>
      </c>
      <c r="X2616">
        <v>47</v>
      </c>
      <c r="Y2616" t="s">
        <v>22828</v>
      </c>
      <c r="Z2616" t="s">
        <v>29471</v>
      </c>
      <c r="AA2616">
        <v>0.31697215928891848</v>
      </c>
      <c r="AB2616" t="str">
        <f>HYPERLINK("Melting_Curves/meltCurve_P51532_5_SMARCA4.pdf", "Melting_Curves/meltCurve_P51532_5_SMARCA4.pdf")</f>
        <v>Melting_Curves/meltCurve_P51532_5_SMARCA4.pdf</v>
      </c>
    </row>
    <row r="2617" spans="1:28" x14ac:dyDescent="0.25">
      <c r="A2617" t="s">
        <v>2621</v>
      </c>
      <c r="B2617">
        <v>0.995954080203443</v>
      </c>
      <c r="C2617">
        <v>0.971727058504813</v>
      </c>
      <c r="D2617">
        <v>0.81994084519962895</v>
      </c>
      <c r="E2617">
        <v>0.47361681578292802</v>
      </c>
      <c r="F2617">
        <v>0.18539115282132801</v>
      </c>
      <c r="G2617">
        <v>0.110951034436939</v>
      </c>
      <c r="H2617">
        <v>7.7505817177403596E-2</v>
      </c>
      <c r="I2617">
        <v>7.5445239312458806E-2</v>
      </c>
      <c r="J2617">
        <v>8.8984936845280804E-2</v>
      </c>
      <c r="K2617">
        <v>7.4230363723635007E-2</v>
      </c>
      <c r="L2617">
        <v>1132.3306361107</v>
      </c>
      <c r="M2617">
        <v>23.0454798877761</v>
      </c>
      <c r="N2617">
        <v>49.467551225271201</v>
      </c>
      <c r="O2617">
        <v>48.769124523740302</v>
      </c>
      <c r="P2617">
        <v>-0.10965095808497</v>
      </c>
      <c r="Q2617">
        <v>7.1838478921434107E-2</v>
      </c>
      <c r="R2617">
        <v>0.998177654278395</v>
      </c>
      <c r="S2617" t="s">
        <v>9423</v>
      </c>
      <c r="T2617" t="s">
        <v>13610</v>
      </c>
      <c r="U2617" t="s">
        <v>13610</v>
      </c>
      <c r="V2617" t="s">
        <v>13610</v>
      </c>
      <c r="W2617" t="s">
        <v>16175</v>
      </c>
      <c r="X2617">
        <v>22</v>
      </c>
      <c r="Y2617" t="s">
        <v>22829</v>
      </c>
      <c r="Z2617" t="s">
        <v>29472</v>
      </c>
      <c r="AA2617">
        <v>0.36418027137647929</v>
      </c>
      <c r="AB2617" t="str">
        <f>HYPERLINK("Melting_Curves/meltCurve_P51570_GALK1.pdf", "Melting_Curves/meltCurve_P51570_GALK1.pdf")</f>
        <v>Melting_Curves/meltCurve_P51570_GALK1.pdf</v>
      </c>
    </row>
    <row r="2618" spans="1:28" x14ac:dyDescent="0.25">
      <c r="A2618" t="s">
        <v>2622</v>
      </c>
      <c r="B2618">
        <v>0.995954080203443</v>
      </c>
      <c r="C2618">
        <v>0.89455029282819198</v>
      </c>
      <c r="D2618">
        <v>0.69567996721874303</v>
      </c>
      <c r="E2618">
        <v>0.83007093002850996</v>
      </c>
      <c r="F2618">
        <v>0.270168346816613</v>
      </c>
      <c r="G2618">
        <v>7.6776567608940693E-2</v>
      </c>
      <c r="H2618">
        <v>5.1663633909981098E-2</v>
      </c>
      <c r="I2618">
        <v>5.0477646705298002E-2</v>
      </c>
      <c r="J2618">
        <v>5.0984916214585903E-2</v>
      </c>
      <c r="K2618">
        <v>3.6868002014450799E-2</v>
      </c>
      <c r="L2618">
        <v>958.41074194382702</v>
      </c>
      <c r="M2618">
        <v>18.678640695311799</v>
      </c>
      <c r="N2618">
        <v>51.363125007877002</v>
      </c>
      <c r="O2618">
        <v>50.733248531223801</v>
      </c>
      <c r="P2618">
        <v>-9.1175218174506398E-2</v>
      </c>
      <c r="Q2618">
        <v>9.4744311629091395E-3</v>
      </c>
      <c r="R2618">
        <v>0.93020599421735095</v>
      </c>
      <c r="S2618" t="s">
        <v>9424</v>
      </c>
      <c r="T2618" t="s">
        <v>13610</v>
      </c>
      <c r="U2618" t="s">
        <v>13610</v>
      </c>
      <c r="V2618" t="s">
        <v>13610</v>
      </c>
      <c r="W2618" t="s">
        <v>16176</v>
      </c>
      <c r="X2618">
        <v>4</v>
      </c>
      <c r="Y2618" t="s">
        <v>22830</v>
      </c>
      <c r="Z2618" t="s">
        <v>29473</v>
      </c>
      <c r="AA2618">
        <v>0.39848393930807868</v>
      </c>
      <c r="AB2618" t="str">
        <f>HYPERLINK("Melting_Curves/meltCurve_P51571_SSR4.pdf", "Melting_Curves/meltCurve_P51571_SSR4.pdf")</f>
        <v>Melting_Curves/meltCurve_P51571_SSR4.pdf</v>
      </c>
    </row>
    <row r="2619" spans="1:28" x14ac:dyDescent="0.25">
      <c r="A2619" t="s">
        <v>2623</v>
      </c>
      <c r="B2619">
        <v>0.995954080203443</v>
      </c>
      <c r="C2619">
        <v>0.72042133154004295</v>
      </c>
      <c r="D2619">
        <v>0.88421861549060998</v>
      </c>
      <c r="E2619">
        <v>0.70451195536202205</v>
      </c>
      <c r="F2619">
        <v>0.45842008140533302</v>
      </c>
      <c r="G2619">
        <v>0.31412941577040299</v>
      </c>
      <c r="H2619">
        <v>0.31716795599402298</v>
      </c>
      <c r="I2619">
        <v>0.42279667423681</v>
      </c>
      <c r="J2619">
        <v>0.45572568217217002</v>
      </c>
      <c r="K2619">
        <v>0.48545530453119601</v>
      </c>
      <c r="L2619">
        <v>708.45475633186697</v>
      </c>
      <c r="M2619">
        <v>14.720520283303101</v>
      </c>
      <c r="N2619">
        <v>53.416707233589698</v>
      </c>
      <c r="O2619">
        <v>47.265008954659002</v>
      </c>
      <c r="P2619">
        <v>-4.7997729913252997E-2</v>
      </c>
      <c r="Q2619">
        <v>0.38361759718666</v>
      </c>
      <c r="R2619">
        <v>0.81023573854314601</v>
      </c>
      <c r="S2619" t="s">
        <v>9425</v>
      </c>
      <c r="T2619" t="s">
        <v>13610</v>
      </c>
      <c r="U2619" t="s">
        <v>13610</v>
      </c>
      <c r="V2619" t="s">
        <v>13610</v>
      </c>
      <c r="W2619" t="s">
        <v>16177</v>
      </c>
      <c r="X2619">
        <v>5</v>
      </c>
      <c r="Y2619" t="s">
        <v>22831</v>
      </c>
      <c r="Z2619" t="s">
        <v>29474</v>
      </c>
      <c r="AA2619">
        <v>0.56695662660101398</v>
      </c>
      <c r="AB2619" t="str">
        <f>HYPERLINK("Melting_Curves/meltCurve_P51572_BCAP31.pdf", "Melting_Curves/meltCurve_P51572_BCAP31.pdf")</f>
        <v>Melting_Curves/meltCurve_P51572_BCAP31.pdf</v>
      </c>
    </row>
    <row r="2620" spans="1:28" x14ac:dyDescent="0.25">
      <c r="A2620" t="s">
        <v>2624</v>
      </c>
      <c r="B2620">
        <v>0.995954080203443</v>
      </c>
      <c r="C2620">
        <v>1.0157618320099</v>
      </c>
      <c r="D2620">
        <v>1.0749126019084601</v>
      </c>
      <c r="E2620">
        <v>0.88784383116024501</v>
      </c>
      <c r="F2620">
        <v>0.82647217831096198</v>
      </c>
      <c r="G2620">
        <v>0.368378694131972</v>
      </c>
      <c r="H2620">
        <v>0.123569117616489</v>
      </c>
      <c r="I2620">
        <v>8.9316556414412496E-2</v>
      </c>
      <c r="J2620">
        <v>9.6652293079252799E-2</v>
      </c>
      <c r="K2620">
        <v>8.8535233731944496E-2</v>
      </c>
      <c r="L2620">
        <v>1575.3988337302701</v>
      </c>
      <c r="M2620">
        <v>28.415731095282901</v>
      </c>
      <c r="N2620">
        <v>55.769150399094897</v>
      </c>
      <c r="O2620">
        <v>55.168704465921898</v>
      </c>
      <c r="P2620">
        <v>-0.118857521180404</v>
      </c>
      <c r="Q2620">
        <v>7.6967676921659206E-2</v>
      </c>
      <c r="R2620">
        <v>0.99268234057586402</v>
      </c>
      <c r="S2620" t="s">
        <v>9426</v>
      </c>
      <c r="T2620" t="s">
        <v>13610</v>
      </c>
      <c r="U2620" t="s">
        <v>13610</v>
      </c>
      <c r="V2620" t="s">
        <v>13610</v>
      </c>
      <c r="W2620" t="s">
        <v>16178</v>
      </c>
      <c r="X2620">
        <v>13</v>
      </c>
      <c r="Y2620" t="s">
        <v>22832</v>
      </c>
      <c r="Z2620" t="s">
        <v>29475</v>
      </c>
      <c r="AA2620">
        <v>0.55884332335146025</v>
      </c>
      <c r="AB2620" t="str">
        <f>HYPERLINK("Melting_Curves/meltCurve_P51580_TPMT.pdf", "Melting_Curves/meltCurve_P51580_TPMT.pdf")</f>
        <v>Melting_Curves/meltCurve_P51580_TPMT.pdf</v>
      </c>
    </row>
    <row r="2621" spans="1:28" x14ac:dyDescent="0.25">
      <c r="A2621" t="s">
        <v>2625</v>
      </c>
      <c r="B2621">
        <v>0.995954080203443</v>
      </c>
      <c r="C2621">
        <v>0.96931383670833204</v>
      </c>
      <c r="D2621">
        <v>0.97561913374855802</v>
      </c>
      <c r="E2621">
        <v>0.87867594990431197</v>
      </c>
      <c r="F2621">
        <v>0.96364243836711705</v>
      </c>
      <c r="G2621">
        <v>0.72785804339858295</v>
      </c>
      <c r="H2621">
        <v>0.79082995206097295</v>
      </c>
      <c r="I2621">
        <v>0.81505635973757695</v>
      </c>
      <c r="J2621">
        <v>1.3869769879244001</v>
      </c>
      <c r="K2621">
        <v>1.08023343388743</v>
      </c>
      <c r="L2621">
        <v>1387.5159660592799</v>
      </c>
      <c r="M2621">
        <v>32.531788232326903</v>
      </c>
      <c r="O2621">
        <v>42.490874102576903</v>
      </c>
      <c r="P2621">
        <v>-9.3064103921152008E-3</v>
      </c>
      <c r="Q2621">
        <v>0.95137853954760798</v>
      </c>
      <c r="R2621">
        <v>6.2120867709815099E-3</v>
      </c>
      <c r="S2621" t="s">
        <v>9427</v>
      </c>
      <c r="T2621" t="s">
        <v>13610</v>
      </c>
      <c r="U2621" t="s">
        <v>13610</v>
      </c>
      <c r="V2621" t="s">
        <v>13610</v>
      </c>
      <c r="W2621" t="s">
        <v>16179</v>
      </c>
      <c r="X2621">
        <v>4</v>
      </c>
      <c r="Y2621" t="s">
        <v>22833</v>
      </c>
      <c r="Z2621" t="s">
        <v>29476</v>
      </c>
      <c r="AA2621">
        <v>0.95608650503935688</v>
      </c>
      <c r="AB2621" t="str">
        <f>HYPERLINK("Melting_Curves/meltCurve_P51587_BRCA2.pdf", "Melting_Curves/meltCurve_P51587_BRCA2.pdf")</f>
        <v>Melting_Curves/meltCurve_P51587_BRCA2.pdf</v>
      </c>
    </row>
    <row r="2622" spans="1:28" x14ac:dyDescent="0.25">
      <c r="A2622" t="s">
        <v>2626</v>
      </c>
      <c r="B2622">
        <v>0.995954080203443</v>
      </c>
      <c r="C2622">
        <v>0.98780321633576995</v>
      </c>
      <c r="D2622">
        <v>1.07381338121657</v>
      </c>
      <c r="E2622">
        <v>0.84940884550106699</v>
      </c>
      <c r="F2622">
        <v>0.77099298442122599</v>
      </c>
      <c r="G2622">
        <v>0.515140952457943</v>
      </c>
      <c r="H2622">
        <v>0.28844793189608497</v>
      </c>
      <c r="I2622">
        <v>0.19228975252759101</v>
      </c>
      <c r="J2622">
        <v>0.15910121717766301</v>
      </c>
      <c r="K2622">
        <v>0.143493384617815</v>
      </c>
      <c r="L2622">
        <v>949.06914117603003</v>
      </c>
      <c r="M2622">
        <v>16.875945124996001</v>
      </c>
      <c r="N2622">
        <v>57.0171544227968</v>
      </c>
      <c r="O2622">
        <v>55.466121201036003</v>
      </c>
      <c r="P2622">
        <v>-6.8235498148755597E-2</v>
      </c>
      <c r="Q2622">
        <v>0.10297934669971399</v>
      </c>
      <c r="R2622">
        <v>0.99050445767318196</v>
      </c>
      <c r="S2622" t="s">
        <v>9428</v>
      </c>
      <c r="T2622" t="s">
        <v>13610</v>
      </c>
      <c r="U2622" t="s">
        <v>13610</v>
      </c>
      <c r="V2622" t="s">
        <v>13610</v>
      </c>
      <c r="W2622" t="s">
        <v>16180</v>
      </c>
      <c r="X2622">
        <v>12</v>
      </c>
      <c r="Y2622" t="s">
        <v>22834</v>
      </c>
      <c r="Z2622" t="s">
        <v>29477</v>
      </c>
      <c r="AA2622">
        <v>0.60247006436687045</v>
      </c>
      <c r="AB2622" t="str">
        <f>HYPERLINK("Melting_Curves/meltCurve_P51606_RENBP.pdf", "Melting_Curves/meltCurve_P51606_RENBP.pdf")</f>
        <v>Melting_Curves/meltCurve_P51606_RENBP.pdf</v>
      </c>
    </row>
    <row r="2623" spans="1:28" x14ac:dyDescent="0.25">
      <c r="A2623" t="s">
        <v>2627</v>
      </c>
      <c r="B2623">
        <v>0.995954080203443</v>
      </c>
      <c r="C2623">
        <v>0.98622566764242303</v>
      </c>
      <c r="D2623">
        <v>1.07627947982942</v>
      </c>
      <c r="E2623">
        <v>0.96975935893707599</v>
      </c>
      <c r="F2623">
        <v>1.0856951757041</v>
      </c>
      <c r="G2623">
        <v>0.87319360675875701</v>
      </c>
      <c r="H2623">
        <v>0.83843363484168199</v>
      </c>
      <c r="I2623">
        <v>1.0247828470771401</v>
      </c>
      <c r="J2623">
        <v>1.15790890635122</v>
      </c>
      <c r="K2623">
        <v>1.22863822277875</v>
      </c>
      <c r="L2623">
        <v>4889.4393449382696</v>
      </c>
      <c r="M2623">
        <v>73.755951512394105</v>
      </c>
      <c r="O2623">
        <v>66.243447893448902</v>
      </c>
      <c r="P2623">
        <v>6.4725738338874905E-2</v>
      </c>
      <c r="Q2623">
        <v>1.23253203107594</v>
      </c>
      <c r="R2623">
        <v>0.55951986124936304</v>
      </c>
      <c r="S2623" t="s">
        <v>9429</v>
      </c>
      <c r="T2623" t="s">
        <v>13610</v>
      </c>
      <c r="U2623" t="s">
        <v>13610</v>
      </c>
      <c r="V2623" t="s">
        <v>13610</v>
      </c>
      <c r="W2623" t="s">
        <v>16181</v>
      </c>
      <c r="X2623">
        <v>14</v>
      </c>
      <c r="Y2623" t="s">
        <v>22835</v>
      </c>
      <c r="Z2623" t="s">
        <v>29478</v>
      </c>
      <c r="AA2623">
        <v>1.028587657365267</v>
      </c>
      <c r="AB2623" t="str">
        <f>HYPERLINK("Melting_Curves/meltCurve_P51608_MECP2.pdf", "Melting_Curves/meltCurve_P51608_MECP2.pdf")</f>
        <v>Melting_Curves/meltCurve_P51608_MECP2.pdf</v>
      </c>
    </row>
    <row r="2624" spans="1:28" x14ac:dyDescent="0.25">
      <c r="A2624" t="s">
        <v>2628</v>
      </c>
      <c r="B2624">
        <v>0.995954080203443</v>
      </c>
      <c r="C2624">
        <v>1.03515560568638</v>
      </c>
      <c r="D2624">
        <v>0.96446706462204301</v>
      </c>
      <c r="E2624">
        <v>0.80839677541466803</v>
      </c>
      <c r="F2624">
        <v>0.58671454735370199</v>
      </c>
      <c r="G2624">
        <v>0.319702493882075</v>
      </c>
      <c r="H2624">
        <v>0.25176950389202901</v>
      </c>
      <c r="I2624">
        <v>0.33871379997938</v>
      </c>
      <c r="J2624">
        <v>0.337149140183155</v>
      </c>
      <c r="K2624">
        <v>0.30535832533407298</v>
      </c>
      <c r="L2624">
        <v>1458.9885487427</v>
      </c>
      <c r="M2624">
        <v>28.069887000935001</v>
      </c>
      <c r="N2624">
        <v>53.729278172101502</v>
      </c>
      <c r="O2624">
        <v>51.715342238390399</v>
      </c>
      <c r="P2624">
        <v>-9.5009732848692297E-2</v>
      </c>
      <c r="Q2624">
        <v>0.29983057560056697</v>
      </c>
      <c r="R2624">
        <v>0.98930397830113503</v>
      </c>
      <c r="S2624" t="s">
        <v>9430</v>
      </c>
      <c r="T2624" t="s">
        <v>13610</v>
      </c>
      <c r="U2624" t="s">
        <v>13610</v>
      </c>
      <c r="V2624" t="s">
        <v>13610</v>
      </c>
      <c r="W2624" t="s">
        <v>16182</v>
      </c>
      <c r="X2624">
        <v>51</v>
      </c>
      <c r="Y2624" t="s">
        <v>22836</v>
      </c>
      <c r="Z2624" t="s">
        <v>29479</v>
      </c>
      <c r="AA2624">
        <v>0.58446138773378142</v>
      </c>
      <c r="AB2624" t="str">
        <f>HYPERLINK("Melting_Curves/meltCurve_P51610_HCFC1.pdf", "Melting_Curves/meltCurve_P51610_HCFC1.pdf")</f>
        <v>Melting_Curves/meltCurve_P51610_HCFC1.pdf</v>
      </c>
    </row>
    <row r="2625" spans="1:28" x14ac:dyDescent="0.25">
      <c r="A2625" t="s">
        <v>2629</v>
      </c>
      <c r="B2625">
        <v>0.995954080203443</v>
      </c>
      <c r="C2625">
        <v>0.92847952202181505</v>
      </c>
      <c r="D2625">
        <v>1.08103088250566</v>
      </c>
      <c r="E2625">
        <v>0.86808084349316095</v>
      </c>
      <c r="F2625">
        <v>0.93195190549492501</v>
      </c>
      <c r="G2625">
        <v>0.59774528343806799</v>
      </c>
      <c r="H2625">
        <v>0.26258673095048102</v>
      </c>
      <c r="I2625">
        <v>0.23987659876874901</v>
      </c>
      <c r="J2625">
        <v>0.27237903049423101</v>
      </c>
      <c r="K2625">
        <v>0.26015376943289498</v>
      </c>
      <c r="L2625">
        <v>1966.9844460464301</v>
      </c>
      <c r="M2625">
        <v>34.726975085708297</v>
      </c>
      <c r="N2625">
        <v>57.744306007097798</v>
      </c>
      <c r="O2625">
        <v>56.454562830798302</v>
      </c>
      <c r="P2625">
        <v>-0.11650309414747501</v>
      </c>
      <c r="Q2625">
        <v>0.242420978085153</v>
      </c>
      <c r="R2625">
        <v>0.97309735283766896</v>
      </c>
      <c r="S2625" t="s">
        <v>9431</v>
      </c>
      <c r="T2625" t="s">
        <v>13610</v>
      </c>
      <c r="U2625" t="s">
        <v>13610</v>
      </c>
      <c r="V2625" t="s">
        <v>13610</v>
      </c>
      <c r="W2625" t="s">
        <v>16183</v>
      </c>
      <c r="X2625">
        <v>53</v>
      </c>
      <c r="Y2625" t="s">
        <v>22836</v>
      </c>
      <c r="Z2625" t="s">
        <v>29480</v>
      </c>
      <c r="AA2625">
        <v>0.66651815393141001</v>
      </c>
      <c r="AB2625" t="str">
        <f>HYPERLINK("Melting_Curves/meltCurve_P51610_4_HCFC1.pdf", "Melting_Curves/meltCurve_P51610_4_HCFC1.pdf")</f>
        <v>Melting_Curves/meltCurve_P51610_4_HCFC1.pdf</v>
      </c>
    </row>
    <row r="2626" spans="1:28" x14ac:dyDescent="0.25">
      <c r="A2626" t="s">
        <v>2630</v>
      </c>
      <c r="B2626">
        <v>0.995954080203443</v>
      </c>
      <c r="C2626">
        <v>0.75507290435261198</v>
      </c>
      <c r="D2626">
        <v>0.47967478845568601</v>
      </c>
      <c r="E2626">
        <v>0.40903987914539502</v>
      </c>
      <c r="F2626">
        <v>0.340150524627859</v>
      </c>
      <c r="G2626">
        <v>0.23728398694795899</v>
      </c>
      <c r="H2626">
        <v>0.24063447775101399</v>
      </c>
      <c r="I2626">
        <v>0.26339477672946998</v>
      </c>
      <c r="J2626">
        <v>0.338356351291765</v>
      </c>
      <c r="K2626">
        <v>0.31475329252171802</v>
      </c>
      <c r="L2626">
        <v>1009.05654416264</v>
      </c>
      <c r="M2626">
        <v>22.7890121300914</v>
      </c>
      <c r="N2626">
        <v>46.058189812721501</v>
      </c>
      <c r="O2626">
        <v>43.941503255830099</v>
      </c>
      <c r="P2626">
        <v>-9.1699882126047905E-2</v>
      </c>
      <c r="Q2626">
        <v>0.29275553883168498</v>
      </c>
      <c r="R2626">
        <v>0.96592695697919795</v>
      </c>
      <c r="S2626" t="s">
        <v>9432</v>
      </c>
      <c r="T2626" t="s">
        <v>13610</v>
      </c>
      <c r="U2626" t="s">
        <v>13610</v>
      </c>
      <c r="V2626" t="s">
        <v>13610</v>
      </c>
      <c r="W2626" t="s">
        <v>16184</v>
      </c>
      <c r="X2626">
        <v>15</v>
      </c>
      <c r="Y2626" t="s">
        <v>22837</v>
      </c>
      <c r="Z2626" t="s">
        <v>29481</v>
      </c>
      <c r="AA2626">
        <v>0.40328725539004939</v>
      </c>
      <c r="AB2626" t="str">
        <f>HYPERLINK("Melting_Curves/meltCurve_P51617_IRAK1.pdf", "Melting_Curves/meltCurve_P51617_IRAK1.pdf")</f>
        <v>Melting_Curves/meltCurve_P51617_IRAK1.pdf</v>
      </c>
    </row>
    <row r="2627" spans="1:28" x14ac:dyDescent="0.25">
      <c r="A2627" t="s">
        <v>2631</v>
      </c>
      <c r="B2627">
        <v>0.995954080203443</v>
      </c>
      <c r="C2627">
        <v>0.907467641545736</v>
      </c>
      <c r="D2627">
        <v>0.81687754446213801</v>
      </c>
      <c r="E2627">
        <v>0.85134017438853404</v>
      </c>
      <c r="F2627">
        <v>0.62047402204067603</v>
      </c>
      <c r="G2627">
        <v>0.24006012689613701</v>
      </c>
      <c r="H2627">
        <v>5.3076553112480898E-2</v>
      </c>
      <c r="I2627">
        <v>4.2190299014324702E-2</v>
      </c>
      <c r="J2627">
        <v>4.32200699532811E-2</v>
      </c>
      <c r="K2627">
        <v>3.3174692779641801E-2</v>
      </c>
      <c r="L2627">
        <v>1049.96335281653</v>
      </c>
      <c r="M2627">
        <v>19.462555313111</v>
      </c>
      <c r="N2627">
        <v>53.9478675814157</v>
      </c>
      <c r="O2627">
        <v>53.388010061847801</v>
      </c>
      <c r="P2627">
        <v>-9.1140598868259398E-2</v>
      </c>
      <c r="Q2627">
        <v>0</v>
      </c>
      <c r="R2627">
        <v>0.97730448481457599</v>
      </c>
      <c r="S2627" t="s">
        <v>9433</v>
      </c>
      <c r="T2627" t="s">
        <v>13610</v>
      </c>
      <c r="U2627" t="s">
        <v>13610</v>
      </c>
      <c r="V2627" t="s">
        <v>13610</v>
      </c>
      <c r="W2627" t="s">
        <v>16185</v>
      </c>
      <c r="X2627">
        <v>11</v>
      </c>
      <c r="Y2627" t="s">
        <v>22838</v>
      </c>
      <c r="Z2627" t="s">
        <v>29482</v>
      </c>
      <c r="AA2627">
        <v>0.47913731960718092</v>
      </c>
      <c r="AB2627" t="str">
        <f>HYPERLINK("Melting_Curves/meltCurve_P51649_ALDH5A1.pdf", "Melting_Curves/meltCurve_P51649_ALDH5A1.pdf")</f>
        <v>Melting_Curves/meltCurve_P51649_ALDH5A1.pdf</v>
      </c>
    </row>
    <row r="2628" spans="1:28" x14ac:dyDescent="0.25">
      <c r="A2628" t="s">
        <v>2632</v>
      </c>
      <c r="B2628">
        <v>0.995954080203443</v>
      </c>
      <c r="C2628">
        <v>0.87140677854932402</v>
      </c>
      <c r="D2628">
        <v>0.66225313475912095</v>
      </c>
      <c r="E2628">
        <v>0.503015392554093</v>
      </c>
      <c r="F2628">
        <v>0.15940387759480301</v>
      </c>
      <c r="G2628">
        <v>9.6577380156271597E-2</v>
      </c>
      <c r="H2628">
        <v>5.1668029175356997E-2</v>
      </c>
      <c r="I2628">
        <v>5.5439219987459799E-2</v>
      </c>
      <c r="J2628">
        <v>4.9549107964994697E-2</v>
      </c>
      <c r="K2628">
        <v>4.73364895847296E-2</v>
      </c>
      <c r="L2628">
        <v>748.79908571794601</v>
      </c>
      <c r="M2628">
        <v>15.4264824291977</v>
      </c>
      <c r="N2628">
        <v>48.689604753319699</v>
      </c>
      <c r="O2628">
        <v>47.746112434566797</v>
      </c>
      <c r="P2628">
        <v>-7.89092571477229E-2</v>
      </c>
      <c r="Q2628">
        <v>2.3168298039363999E-2</v>
      </c>
      <c r="R2628">
        <v>0.98466430885757605</v>
      </c>
      <c r="S2628" t="s">
        <v>9434</v>
      </c>
      <c r="T2628" t="s">
        <v>13610</v>
      </c>
      <c r="U2628" t="s">
        <v>13610</v>
      </c>
      <c r="V2628" t="s">
        <v>13610</v>
      </c>
      <c r="W2628" t="s">
        <v>16186</v>
      </c>
      <c r="X2628">
        <v>11</v>
      </c>
      <c r="Y2628" t="s">
        <v>22839</v>
      </c>
      <c r="Z2628" t="s">
        <v>29483</v>
      </c>
      <c r="AA2628">
        <v>0.32448304304297632</v>
      </c>
      <c r="AB2628" t="str">
        <f>HYPERLINK("Melting_Curves/meltCurve_P51659_HSD17B4.pdf", "Melting_Curves/meltCurve_P51659_HSD17B4.pdf")</f>
        <v>Melting_Curves/meltCurve_P51659_HSD17B4.pdf</v>
      </c>
    </row>
    <row r="2629" spans="1:28" x14ac:dyDescent="0.25">
      <c r="A2629" t="s">
        <v>2633</v>
      </c>
      <c r="B2629">
        <v>0.995954080203443</v>
      </c>
      <c r="C2629">
        <v>0.666481201952563</v>
      </c>
      <c r="D2629">
        <v>0.50561754945653703</v>
      </c>
      <c r="E2629">
        <v>0.54870873135113396</v>
      </c>
      <c r="F2629">
        <v>0.176581606031087</v>
      </c>
      <c r="G2629">
        <v>9.4832079535800196E-2</v>
      </c>
      <c r="H2629">
        <v>4.7910456871780298E-2</v>
      </c>
      <c r="I2629">
        <v>3.4532489438913398E-2</v>
      </c>
      <c r="J2629">
        <v>3.6277580920104503E-2</v>
      </c>
      <c r="K2629">
        <v>3.16818923027938E-2</v>
      </c>
      <c r="L2629">
        <v>525.61706217942799</v>
      </c>
      <c r="M2629">
        <v>11.0890190761359</v>
      </c>
      <c r="N2629">
        <v>47.399781359613598</v>
      </c>
      <c r="O2629">
        <v>45.936606514556502</v>
      </c>
      <c r="P2629">
        <v>-6.0369323609851699E-2</v>
      </c>
      <c r="Q2629">
        <v>0</v>
      </c>
      <c r="R2629">
        <v>0.93417674191329003</v>
      </c>
      <c r="S2629" t="s">
        <v>9435</v>
      </c>
      <c r="T2629" t="s">
        <v>13610</v>
      </c>
      <c r="U2629" t="s">
        <v>13610</v>
      </c>
      <c r="V2629" t="s">
        <v>13610</v>
      </c>
      <c r="W2629" t="s">
        <v>16187</v>
      </c>
      <c r="X2629">
        <v>10</v>
      </c>
      <c r="Y2629" t="s">
        <v>22840</v>
      </c>
      <c r="Z2629" t="s">
        <v>29484</v>
      </c>
      <c r="AA2629">
        <v>0.29352124197739188</v>
      </c>
      <c r="AB2629" t="str">
        <f>HYPERLINK("Melting_Curves/meltCurve_P51665_PSMD7.pdf", "Melting_Curves/meltCurve_P51665_PSMD7.pdf")</f>
        <v>Melting_Curves/meltCurve_P51665_PSMD7.pdf</v>
      </c>
    </row>
    <row r="2630" spans="1:28" x14ac:dyDescent="0.25">
      <c r="A2630" t="s">
        <v>2634</v>
      </c>
      <c r="B2630">
        <v>0.995954080203443</v>
      </c>
      <c r="C2630">
        <v>1.0770924861237501</v>
      </c>
      <c r="D2630">
        <v>1.06956134690558</v>
      </c>
      <c r="E2630">
        <v>0.77374495141317801</v>
      </c>
      <c r="F2630">
        <v>0.28069461446079202</v>
      </c>
      <c r="G2630">
        <v>0.122808762603567</v>
      </c>
      <c r="H2630">
        <v>5.0703873566286903E-2</v>
      </c>
      <c r="I2630">
        <v>2.9362962758485201E-2</v>
      </c>
      <c r="J2630">
        <v>2.7124101681590601E-2</v>
      </c>
      <c r="K2630">
        <v>2.6051984210030299E-2</v>
      </c>
      <c r="L2630">
        <v>1991.38362330871</v>
      </c>
      <c r="M2630">
        <v>38.641282187762201</v>
      </c>
      <c r="N2630">
        <v>51.6599004989598</v>
      </c>
      <c r="O2630">
        <v>51.397688769619897</v>
      </c>
      <c r="P2630">
        <v>-0.17958048397710599</v>
      </c>
      <c r="Q2630">
        <v>4.4545173324408202E-2</v>
      </c>
      <c r="R2630">
        <v>0.99191754344734295</v>
      </c>
      <c r="S2630" t="s">
        <v>9436</v>
      </c>
      <c r="T2630" t="s">
        <v>13610</v>
      </c>
      <c r="U2630" t="s">
        <v>13610</v>
      </c>
      <c r="V2630" t="s">
        <v>13610</v>
      </c>
      <c r="W2630" t="s">
        <v>16188</v>
      </c>
      <c r="X2630">
        <v>4</v>
      </c>
      <c r="Y2630" t="s">
        <v>22841</v>
      </c>
      <c r="Z2630" t="s">
        <v>29485</v>
      </c>
      <c r="AA2630">
        <v>0.41556950695477379</v>
      </c>
      <c r="AB2630" t="str">
        <f>HYPERLINK("Melting_Curves/meltCurve_P51668_UBE2D1.pdf", "Melting_Curves/meltCurve_P51668_UBE2D1.pdf")</f>
        <v>Melting_Curves/meltCurve_P51668_UBE2D1.pdf</v>
      </c>
    </row>
    <row r="2631" spans="1:28" x14ac:dyDescent="0.25">
      <c r="A2631" t="s">
        <v>2635</v>
      </c>
      <c r="B2631">
        <v>0.995954080203443</v>
      </c>
      <c r="C2631">
        <v>0.92027009597800702</v>
      </c>
      <c r="D2631">
        <v>0.95383524012005305</v>
      </c>
      <c r="E2631">
        <v>0.82086782724506901</v>
      </c>
      <c r="F2631">
        <v>0.74392523693313195</v>
      </c>
      <c r="G2631">
        <v>0.53029016393795303</v>
      </c>
      <c r="H2631">
        <v>0.373190876299972</v>
      </c>
      <c r="I2631">
        <v>0.27277867066148198</v>
      </c>
      <c r="J2631">
        <v>0.21705996536070399</v>
      </c>
      <c r="K2631">
        <v>0.18649073604857999</v>
      </c>
      <c r="L2631">
        <v>624.47833726722297</v>
      </c>
      <c r="M2631">
        <v>10.9444957120479</v>
      </c>
      <c r="N2631">
        <v>57.807882737243297</v>
      </c>
      <c r="O2631">
        <v>55.252939580740097</v>
      </c>
      <c r="P2631">
        <v>-4.62615210385285E-2</v>
      </c>
      <c r="Q2631">
        <v>6.6122069100156194E-2</v>
      </c>
      <c r="R2631">
        <v>0.99514622430694699</v>
      </c>
      <c r="S2631" t="s">
        <v>9437</v>
      </c>
      <c r="T2631" t="s">
        <v>13610</v>
      </c>
      <c r="U2631" t="s">
        <v>13610</v>
      </c>
      <c r="V2631" t="s">
        <v>13610</v>
      </c>
      <c r="W2631" t="s">
        <v>16189</v>
      </c>
      <c r="X2631">
        <v>8</v>
      </c>
      <c r="Y2631" t="s">
        <v>22842</v>
      </c>
      <c r="Z2631" t="s">
        <v>29486</v>
      </c>
      <c r="AA2631">
        <v>0.61234043951262129</v>
      </c>
      <c r="AB2631" t="str">
        <f>HYPERLINK("Melting_Curves/meltCurve_P51687_SUOX.pdf", "Melting_Curves/meltCurve_P51687_SUOX.pdf")</f>
        <v>Melting_Curves/meltCurve_P51687_SUOX.pdf</v>
      </c>
    </row>
    <row r="2632" spans="1:28" x14ac:dyDescent="0.25">
      <c r="A2632" t="s">
        <v>2636</v>
      </c>
      <c r="B2632">
        <v>0.995954080203443</v>
      </c>
      <c r="C2632">
        <v>0.957837588067042</v>
      </c>
      <c r="D2632">
        <v>0.89877156624405896</v>
      </c>
      <c r="E2632">
        <v>0.92213667489354301</v>
      </c>
      <c r="F2632">
        <v>0.68101876252775395</v>
      </c>
      <c r="G2632">
        <v>0.55471813983505502</v>
      </c>
      <c r="H2632">
        <v>0.44579384006419898</v>
      </c>
      <c r="I2632">
        <v>0.49730182459717398</v>
      </c>
      <c r="J2632">
        <v>0.49358827828122398</v>
      </c>
      <c r="K2632">
        <v>0.551402497232656</v>
      </c>
      <c r="L2632">
        <v>1601.7910486301901</v>
      </c>
      <c r="M2632">
        <v>30.671243885561601</v>
      </c>
      <c r="N2632">
        <v>64.729458996592797</v>
      </c>
      <c r="O2632">
        <v>52.004025473723203</v>
      </c>
      <c r="P2632">
        <v>-7.3920603885809497E-2</v>
      </c>
      <c r="Q2632">
        <v>0.49866450734783602</v>
      </c>
      <c r="R2632">
        <v>0.95880825842005801</v>
      </c>
      <c r="S2632" t="s">
        <v>9438</v>
      </c>
      <c r="T2632" t="s">
        <v>13610</v>
      </c>
      <c r="U2632" t="s">
        <v>13610</v>
      </c>
      <c r="V2632" t="s">
        <v>13610</v>
      </c>
      <c r="W2632" t="s">
        <v>16190</v>
      </c>
      <c r="X2632">
        <v>4</v>
      </c>
      <c r="Y2632" t="s">
        <v>22843</v>
      </c>
      <c r="Z2632" t="s">
        <v>29487</v>
      </c>
      <c r="AA2632">
        <v>0.70602725694355484</v>
      </c>
      <c r="AB2632" t="str">
        <f>HYPERLINK("Melting_Curves/meltCurve_P51688_SGSH.pdf", "Melting_Curves/meltCurve_P51688_SGSH.pdf")</f>
        <v>Melting_Curves/meltCurve_P51688_SGSH.pdf</v>
      </c>
    </row>
    <row r="2633" spans="1:28" x14ac:dyDescent="0.25">
      <c r="A2633" t="s">
        <v>2637</v>
      </c>
      <c r="B2633">
        <v>0.995954080203443</v>
      </c>
      <c r="C2633">
        <v>0.94322041851541005</v>
      </c>
      <c r="D2633">
        <v>0.776235386624196</v>
      </c>
      <c r="E2633">
        <v>0.36478822913721598</v>
      </c>
      <c r="F2633">
        <v>0.15486697444848399</v>
      </c>
      <c r="G2633">
        <v>9.0823365706189693E-2</v>
      </c>
      <c r="H2633">
        <v>5.89881267798779E-2</v>
      </c>
      <c r="I2633">
        <v>5.3249688435067499E-2</v>
      </c>
      <c r="J2633">
        <v>5.9537127681972599E-2</v>
      </c>
      <c r="K2633">
        <v>5.7340069839010799E-2</v>
      </c>
      <c r="L2633">
        <v>1102.3313874594701</v>
      </c>
      <c r="M2633">
        <v>22.792592818701301</v>
      </c>
      <c r="N2633">
        <v>48.606793771605098</v>
      </c>
      <c r="O2633">
        <v>47.995913730268697</v>
      </c>
      <c r="P2633">
        <v>-0.112325575628912</v>
      </c>
      <c r="Q2633">
        <v>5.3892090451777903E-2</v>
      </c>
      <c r="R2633">
        <v>0.99972582984901803</v>
      </c>
      <c r="S2633" t="s">
        <v>9439</v>
      </c>
      <c r="T2633" t="s">
        <v>13610</v>
      </c>
      <c r="U2633" t="s">
        <v>13610</v>
      </c>
      <c r="V2633" t="s">
        <v>13610</v>
      </c>
      <c r="W2633" t="s">
        <v>16191</v>
      </c>
      <c r="X2633">
        <v>38</v>
      </c>
      <c r="Y2633" t="s">
        <v>22844</v>
      </c>
      <c r="Z2633" t="s">
        <v>29488</v>
      </c>
      <c r="AA2633">
        <v>0.32780797383782712</v>
      </c>
      <c r="AB2633" t="str">
        <f>HYPERLINK("Melting_Curves/meltCurve_P51692_STAT5B.pdf", "Melting_Curves/meltCurve_P51692_STAT5B.pdf")</f>
        <v>Melting_Curves/meltCurve_P51692_STAT5B.pdf</v>
      </c>
    </row>
    <row r="2634" spans="1:28" x14ac:dyDescent="0.25">
      <c r="A2634" t="s">
        <v>2638</v>
      </c>
      <c r="B2634">
        <v>0.995954080203443</v>
      </c>
      <c r="C2634">
        <v>0.83915136879654595</v>
      </c>
      <c r="D2634">
        <v>0.75772055838992003</v>
      </c>
      <c r="E2634">
        <v>0.76414739866502002</v>
      </c>
      <c r="F2634">
        <v>0.58762683351599498</v>
      </c>
      <c r="G2634">
        <v>0.47119679135204301</v>
      </c>
      <c r="H2634">
        <v>0.31600209387398698</v>
      </c>
      <c r="I2634">
        <v>0.206788287392623</v>
      </c>
      <c r="J2634">
        <v>0.17542498455644101</v>
      </c>
      <c r="K2634">
        <v>0.14051099277843199</v>
      </c>
      <c r="L2634">
        <v>445.08156182604699</v>
      </c>
      <c r="M2634">
        <v>8.0750551537553594</v>
      </c>
      <c r="N2634">
        <v>55.1180831826983</v>
      </c>
      <c r="O2634">
        <v>52.0464591439003</v>
      </c>
      <c r="P2634">
        <v>-3.8830096699909201E-2</v>
      </c>
      <c r="Q2634">
        <v>0</v>
      </c>
      <c r="R2634">
        <v>0.97632745998859605</v>
      </c>
      <c r="S2634" t="s">
        <v>9440</v>
      </c>
      <c r="T2634" t="s">
        <v>13610</v>
      </c>
      <c r="U2634" t="s">
        <v>13610</v>
      </c>
      <c r="V2634" t="s">
        <v>13610</v>
      </c>
      <c r="W2634" t="s">
        <v>16192</v>
      </c>
      <c r="X2634">
        <v>1</v>
      </c>
      <c r="Y2634" t="s">
        <v>22845</v>
      </c>
      <c r="Z2634" t="s">
        <v>29489</v>
      </c>
      <c r="AA2634">
        <v>0.5302519739960917</v>
      </c>
      <c r="AB2634" t="str">
        <f>HYPERLINK("Melting_Curves/meltCurve_P51808_DYNLT3.pdf", "Melting_Curves/meltCurve_P51808_DYNLT3.pdf")</f>
        <v>Melting_Curves/meltCurve_P51808_DYNLT3.pdf</v>
      </c>
    </row>
    <row r="2635" spans="1:28" x14ac:dyDescent="0.25">
      <c r="A2635" t="s">
        <v>2639</v>
      </c>
      <c r="B2635">
        <v>0.995954080203443</v>
      </c>
      <c r="C2635">
        <v>0.97703526192733603</v>
      </c>
      <c r="D2635">
        <v>0.820736439274936</v>
      </c>
      <c r="E2635">
        <v>0.82633199444102101</v>
      </c>
      <c r="F2635">
        <v>0.59436277442937802</v>
      </c>
      <c r="G2635">
        <v>0.41538666898499899</v>
      </c>
      <c r="H2635">
        <v>0.18148771629066601</v>
      </c>
      <c r="I2635">
        <v>9.8623079580365203E-2</v>
      </c>
      <c r="J2635">
        <v>8.6469835588159696E-2</v>
      </c>
      <c r="K2635">
        <v>7.1738165297573098E-2</v>
      </c>
      <c r="L2635">
        <v>707.383393705039</v>
      </c>
      <c r="M2635">
        <v>12.9152323296499</v>
      </c>
      <c r="N2635">
        <v>54.7712480456603</v>
      </c>
      <c r="O2635">
        <v>53.508005260450297</v>
      </c>
      <c r="P2635">
        <v>-6.0353459652331402E-2</v>
      </c>
      <c r="Q2635">
        <v>0</v>
      </c>
      <c r="R2635">
        <v>0.98712083787665605</v>
      </c>
      <c r="S2635" t="s">
        <v>9441</v>
      </c>
      <c r="T2635" t="s">
        <v>13610</v>
      </c>
      <c r="U2635" t="s">
        <v>13610</v>
      </c>
      <c r="V2635" t="s">
        <v>13610</v>
      </c>
      <c r="W2635" t="s">
        <v>16193</v>
      </c>
      <c r="X2635">
        <v>4</v>
      </c>
      <c r="Y2635" t="s">
        <v>22846</v>
      </c>
      <c r="Z2635" t="s">
        <v>29490</v>
      </c>
      <c r="AA2635">
        <v>0.51508080864769423</v>
      </c>
      <c r="AB2635" t="str">
        <f>HYPERLINK("Melting_Curves/meltCurve_P51809_VAMP7.pdf", "Melting_Curves/meltCurve_P51809_VAMP7.pdf")</f>
        <v>Melting_Curves/meltCurve_P51809_VAMP7.pdf</v>
      </c>
    </row>
    <row r="2636" spans="1:28" x14ac:dyDescent="0.25">
      <c r="A2636" t="s">
        <v>2640</v>
      </c>
      <c r="B2636">
        <v>0.995954080203443</v>
      </c>
      <c r="C2636">
        <v>0.99642786621153301</v>
      </c>
      <c r="D2636">
        <v>0.91473456675460396</v>
      </c>
      <c r="E2636">
        <v>0.75876546833935998</v>
      </c>
      <c r="F2636">
        <v>0.64802198656856302</v>
      </c>
      <c r="G2636">
        <v>0.46021843307626298</v>
      </c>
      <c r="H2636">
        <v>0.40534008906937702</v>
      </c>
      <c r="I2636">
        <v>0.462085695306033</v>
      </c>
      <c r="J2636">
        <v>0.47505826220318997</v>
      </c>
      <c r="K2636">
        <v>0.48419900289626999</v>
      </c>
      <c r="L2636">
        <v>1032.4595516463801</v>
      </c>
      <c r="M2636">
        <v>20.354596752988499</v>
      </c>
      <c r="N2636">
        <v>56.955714845361797</v>
      </c>
      <c r="O2636">
        <v>50.241670015978301</v>
      </c>
      <c r="P2636">
        <v>-5.61041705442527E-2</v>
      </c>
      <c r="Q2636">
        <v>0.44608445247483802</v>
      </c>
      <c r="R2636">
        <v>0.98210665884177295</v>
      </c>
      <c r="S2636" t="s">
        <v>9442</v>
      </c>
      <c r="T2636" t="s">
        <v>13610</v>
      </c>
      <c r="U2636" t="s">
        <v>13610</v>
      </c>
      <c r="V2636" t="s">
        <v>13610</v>
      </c>
      <c r="W2636" t="s">
        <v>16194</v>
      </c>
      <c r="X2636">
        <v>19</v>
      </c>
      <c r="Y2636" t="s">
        <v>22847</v>
      </c>
      <c r="Z2636" t="s">
        <v>29491</v>
      </c>
      <c r="AA2636">
        <v>0.65152643489575079</v>
      </c>
      <c r="AB2636" t="str">
        <f>HYPERLINK("Melting_Curves/meltCurve_P51825_3_AFF1.pdf", "Melting_Curves/meltCurve_P51825_3_AFF1.pdf")</f>
        <v>Melting_Curves/meltCurve_P51825_3_AFF1.pdf</v>
      </c>
    </row>
    <row r="2637" spans="1:28" x14ac:dyDescent="0.25">
      <c r="A2637" t="s">
        <v>2641</v>
      </c>
      <c r="B2637">
        <v>0.995954080203443</v>
      </c>
      <c r="C2637">
        <v>0.84729973645620904</v>
      </c>
      <c r="D2637">
        <v>0.77403959773151298</v>
      </c>
      <c r="E2637">
        <v>0.313545640133642</v>
      </c>
      <c r="F2637">
        <v>0.199949286318894</v>
      </c>
      <c r="G2637">
        <v>0.100818220065929</v>
      </c>
      <c r="H2637">
        <v>5.8395429838218202E-2</v>
      </c>
      <c r="I2637">
        <v>6.27995585349886E-2</v>
      </c>
      <c r="J2637">
        <v>8.1186236815852006E-2</v>
      </c>
      <c r="K2637">
        <v>6.5625173990722097E-2</v>
      </c>
      <c r="L2637">
        <v>964.05635744704796</v>
      </c>
      <c r="M2637">
        <v>20.099328138757201</v>
      </c>
      <c r="N2637">
        <v>48.281009615269703</v>
      </c>
      <c r="O2637">
        <v>47.497380369432598</v>
      </c>
      <c r="P2637">
        <v>-9.9266774409215802E-2</v>
      </c>
      <c r="Q2637">
        <v>6.17076940393829E-2</v>
      </c>
      <c r="R2637">
        <v>0.99168768795155904</v>
      </c>
      <c r="S2637" t="s">
        <v>9443</v>
      </c>
      <c r="T2637" t="s">
        <v>13610</v>
      </c>
      <c r="U2637" t="s">
        <v>13610</v>
      </c>
      <c r="V2637" t="s">
        <v>13610</v>
      </c>
      <c r="W2637" t="s">
        <v>16195</v>
      </c>
      <c r="X2637">
        <v>2</v>
      </c>
      <c r="Y2637" t="s">
        <v>22848</v>
      </c>
      <c r="Z2637" t="s">
        <v>29492</v>
      </c>
      <c r="AA2637">
        <v>0.32401659177819953</v>
      </c>
      <c r="AB2637" t="str">
        <f>HYPERLINK("Melting_Curves/meltCurve_P51857_2_AKR1D1.pdf", "Melting_Curves/meltCurve_P51857_2_AKR1D1.pdf")</f>
        <v>Melting_Curves/meltCurve_P51857_2_AKR1D1.pdf</v>
      </c>
    </row>
    <row r="2638" spans="1:28" x14ac:dyDescent="0.25">
      <c r="A2638" t="s">
        <v>2642</v>
      </c>
      <c r="B2638">
        <v>0.995954080203443</v>
      </c>
      <c r="C2638">
        <v>1.1249725861475499</v>
      </c>
      <c r="D2638">
        <v>1.08842827526593</v>
      </c>
      <c r="E2638">
        <v>1.01797212321238</v>
      </c>
      <c r="F2638">
        <v>0.90332434303598996</v>
      </c>
      <c r="G2638">
        <v>0.67961807946617203</v>
      </c>
      <c r="H2638">
        <v>0.60183013379363104</v>
      </c>
      <c r="I2638">
        <v>0.69689842986938699</v>
      </c>
      <c r="J2638">
        <v>0.85456916564359497</v>
      </c>
      <c r="K2638">
        <v>0.89322086897029396</v>
      </c>
      <c r="L2638">
        <v>13276.0679324005</v>
      </c>
      <c r="M2638">
        <v>250</v>
      </c>
      <c r="O2638">
        <v>53.100874222767303</v>
      </c>
      <c r="P2638">
        <v>-0.299868743708611</v>
      </c>
      <c r="Q2638">
        <v>0.74522732511659295</v>
      </c>
      <c r="R2638">
        <v>0.70546127814858095</v>
      </c>
      <c r="S2638" t="s">
        <v>9444</v>
      </c>
      <c r="T2638" t="s">
        <v>13610</v>
      </c>
      <c r="U2638" t="s">
        <v>13610</v>
      </c>
      <c r="V2638" t="s">
        <v>13610</v>
      </c>
      <c r="W2638" t="s">
        <v>16196</v>
      </c>
      <c r="X2638">
        <v>29</v>
      </c>
      <c r="Y2638" t="s">
        <v>22849</v>
      </c>
      <c r="Z2638" t="s">
        <v>29493</v>
      </c>
      <c r="AA2638">
        <v>0.85653808124064457</v>
      </c>
      <c r="AB2638" t="str">
        <f>HYPERLINK("Melting_Curves/meltCurve_P51858_HDGF.pdf", "Melting_Curves/meltCurve_P51858_HDGF.pdf")</f>
        <v>Melting_Curves/meltCurve_P51858_HDGF.pdf</v>
      </c>
    </row>
    <row r="2639" spans="1:28" x14ac:dyDescent="0.25">
      <c r="A2639" t="s">
        <v>2643</v>
      </c>
      <c r="B2639">
        <v>0.995954080203443</v>
      </c>
      <c r="C2639">
        <v>0.93760906461529903</v>
      </c>
      <c r="D2639">
        <v>1.0851956054309599</v>
      </c>
      <c r="E2639">
        <v>0.91845928103254704</v>
      </c>
      <c r="F2639">
        <v>0.89098198306869003</v>
      </c>
      <c r="G2639">
        <v>0.53252790647882897</v>
      </c>
      <c r="H2639">
        <v>0.17230684857678799</v>
      </c>
      <c r="I2639">
        <v>0.17175727435520199</v>
      </c>
      <c r="J2639">
        <v>0.160632491327172</v>
      </c>
      <c r="K2639">
        <v>0.15527293985686599</v>
      </c>
      <c r="L2639">
        <v>1747.4597043776701</v>
      </c>
      <c r="M2639">
        <v>30.944374519975401</v>
      </c>
      <c r="N2639">
        <v>57.084505727566601</v>
      </c>
      <c r="O2639">
        <v>56.236730555792697</v>
      </c>
      <c r="P2639">
        <v>-0.118103907054649</v>
      </c>
      <c r="Q2639">
        <v>0.14146084140728299</v>
      </c>
      <c r="R2639">
        <v>0.98699652328462195</v>
      </c>
      <c r="S2639" t="s">
        <v>9445</v>
      </c>
      <c r="T2639" t="s">
        <v>13610</v>
      </c>
      <c r="U2639" t="s">
        <v>13610</v>
      </c>
      <c r="V2639" t="s">
        <v>13610</v>
      </c>
      <c r="W2639" t="s">
        <v>16197</v>
      </c>
      <c r="X2639">
        <v>16</v>
      </c>
      <c r="Y2639" t="s">
        <v>22850</v>
      </c>
      <c r="Z2639" t="s">
        <v>29494</v>
      </c>
      <c r="AA2639">
        <v>0.61824162836781604</v>
      </c>
      <c r="AB2639" t="str">
        <f>HYPERLINK("Melting_Curves/meltCurve_P51946_CCNH.pdf", "Melting_Curves/meltCurve_P51946_CCNH.pdf")</f>
        <v>Melting_Curves/meltCurve_P51946_CCNH.pdf</v>
      </c>
    </row>
    <row r="2640" spans="1:28" x14ac:dyDescent="0.25">
      <c r="A2640" t="s">
        <v>2644</v>
      </c>
      <c r="B2640">
        <v>0.995954080203443</v>
      </c>
      <c r="C2640">
        <v>0.96740324417466095</v>
      </c>
      <c r="D2640">
        <v>1.0037169212949499</v>
      </c>
      <c r="E2640">
        <v>0.95561370027662895</v>
      </c>
      <c r="F2640">
        <v>0.87732070091136305</v>
      </c>
      <c r="G2640">
        <v>0.62060924464089495</v>
      </c>
      <c r="H2640">
        <v>0.47162694403113598</v>
      </c>
      <c r="I2640">
        <v>0.473500251073942</v>
      </c>
      <c r="J2640">
        <v>0.446731957441723</v>
      </c>
      <c r="K2640">
        <v>0.38397574666312001</v>
      </c>
      <c r="L2640">
        <v>1343.7637529444801</v>
      </c>
      <c r="M2640">
        <v>24.142055086687499</v>
      </c>
      <c r="N2640">
        <v>60.164899146932903</v>
      </c>
      <c r="O2640">
        <v>55.283029860697702</v>
      </c>
      <c r="P2640">
        <v>-6.3545324407627501E-2</v>
      </c>
      <c r="Q2640">
        <v>0.41795790734107802</v>
      </c>
      <c r="R2640">
        <v>0.99311119552276195</v>
      </c>
      <c r="S2640" t="s">
        <v>9446</v>
      </c>
      <c r="T2640" t="s">
        <v>13610</v>
      </c>
      <c r="U2640" t="s">
        <v>13610</v>
      </c>
      <c r="V2640" t="s">
        <v>13610</v>
      </c>
      <c r="W2640" t="s">
        <v>16198</v>
      </c>
      <c r="X2640">
        <v>13</v>
      </c>
      <c r="Y2640" t="s">
        <v>22851</v>
      </c>
      <c r="Z2640" t="s">
        <v>29495</v>
      </c>
      <c r="AA2640">
        <v>0.72748335016662091</v>
      </c>
      <c r="AB2640" t="str">
        <f>HYPERLINK("Melting_Curves/meltCurve_P51948_MNAT1.pdf", "Melting_Curves/meltCurve_P51948_MNAT1.pdf")</f>
        <v>Melting_Curves/meltCurve_P51948_MNAT1.pdf</v>
      </c>
    </row>
    <row r="2641" spans="1:28" x14ac:dyDescent="0.25">
      <c r="A2641" t="s">
        <v>2645</v>
      </c>
      <c r="B2641">
        <v>0.995954080203443</v>
      </c>
      <c r="C2641">
        <v>0.87460109978463096</v>
      </c>
      <c r="D2641">
        <v>0.83237728215487705</v>
      </c>
      <c r="E2641">
        <v>0.68480540035354098</v>
      </c>
      <c r="F2641">
        <v>0.338566687507597</v>
      </c>
      <c r="G2641">
        <v>0.15850747239884799</v>
      </c>
      <c r="H2641">
        <v>0.105795550478772</v>
      </c>
      <c r="I2641">
        <v>0.10124540129029801</v>
      </c>
      <c r="J2641">
        <v>0.13047758884833799</v>
      </c>
      <c r="K2641">
        <v>0.12816777289949599</v>
      </c>
      <c r="L2641">
        <v>925.02358122829503</v>
      </c>
      <c r="M2641">
        <v>18.248090739822999</v>
      </c>
      <c r="N2641">
        <v>51.2480830666739</v>
      </c>
      <c r="O2641">
        <v>50.094522901690901</v>
      </c>
      <c r="P2641">
        <v>-8.2886334774013401E-2</v>
      </c>
      <c r="Q2641">
        <v>8.9886748375817005E-2</v>
      </c>
      <c r="R2641">
        <v>0.98127242950244098</v>
      </c>
      <c r="S2641" t="s">
        <v>9447</v>
      </c>
      <c r="T2641" t="s">
        <v>13610</v>
      </c>
      <c r="U2641" t="s">
        <v>13610</v>
      </c>
      <c r="V2641" t="s">
        <v>13610</v>
      </c>
      <c r="W2641" t="s">
        <v>16199</v>
      </c>
      <c r="X2641">
        <v>19</v>
      </c>
      <c r="Y2641" t="s">
        <v>22852</v>
      </c>
      <c r="Z2641" t="s">
        <v>29496</v>
      </c>
      <c r="AA2641">
        <v>0.42924448042526347</v>
      </c>
      <c r="AB2641" t="str">
        <f>HYPERLINK("Melting_Curves/meltCurve_P51991_HNRNPA3.pdf", "Melting_Curves/meltCurve_P51991_HNRNPA3.pdf")</f>
        <v>Melting_Curves/meltCurve_P51991_HNRNPA3.pdf</v>
      </c>
    </row>
    <row r="2642" spans="1:28" x14ac:dyDescent="0.25">
      <c r="A2642" t="s">
        <v>2646</v>
      </c>
      <c r="B2642">
        <v>0.995954080203443</v>
      </c>
      <c r="C2642">
        <v>0.92036252123224505</v>
      </c>
      <c r="D2642">
        <v>0.92357288225285705</v>
      </c>
      <c r="E2642">
        <v>0.70188794766412899</v>
      </c>
      <c r="F2642">
        <v>0.59105613364688103</v>
      </c>
      <c r="G2642">
        <v>0.35853170967388798</v>
      </c>
      <c r="H2642">
        <v>0.293793629130575</v>
      </c>
      <c r="I2642">
        <v>0.32816888808647698</v>
      </c>
      <c r="J2642">
        <v>0.36242451195748099</v>
      </c>
      <c r="K2642">
        <v>0.35216480222566499</v>
      </c>
      <c r="L2642">
        <v>937.66411037789601</v>
      </c>
      <c r="M2642">
        <v>18.409966707673799</v>
      </c>
      <c r="N2642">
        <v>53.874334977968097</v>
      </c>
      <c r="O2642">
        <v>50.342884068875399</v>
      </c>
      <c r="P2642">
        <v>-6.2441360613572798E-2</v>
      </c>
      <c r="Q2642">
        <v>0.31703606054160499</v>
      </c>
      <c r="R2642">
        <v>0.98133544166695696</v>
      </c>
      <c r="S2642" t="s">
        <v>9448</v>
      </c>
      <c r="T2642" t="s">
        <v>13610</v>
      </c>
      <c r="U2642" t="s">
        <v>13610</v>
      </c>
      <c r="V2642" t="s">
        <v>13610</v>
      </c>
      <c r="W2642" t="s">
        <v>16200</v>
      </c>
      <c r="X2642">
        <v>53</v>
      </c>
      <c r="Y2642" t="s">
        <v>21376</v>
      </c>
      <c r="Z2642" t="s">
        <v>29497</v>
      </c>
      <c r="AA2642">
        <v>0.57697222203226672</v>
      </c>
      <c r="AB2642" t="str">
        <f>HYPERLINK("Melting_Curves/meltCurve_P52272_2_HNRNPM.pdf", "Melting_Curves/meltCurve_P52272_2_HNRNPM.pdf")</f>
        <v>Melting_Curves/meltCurve_P52272_2_HNRNPM.pdf</v>
      </c>
    </row>
    <row r="2643" spans="1:28" x14ac:dyDescent="0.25">
      <c r="A2643" t="s">
        <v>2647</v>
      </c>
      <c r="B2643">
        <v>0.995954080203443</v>
      </c>
      <c r="C2643">
        <v>0.94296912605689898</v>
      </c>
      <c r="D2643">
        <v>0.54673467962564504</v>
      </c>
      <c r="E2643">
        <v>0.241128217503839</v>
      </c>
      <c r="F2643">
        <v>0.103925197061481</v>
      </c>
      <c r="G2643">
        <v>5.7910222396725199E-2</v>
      </c>
      <c r="H2643">
        <v>3.6064169351158401E-2</v>
      </c>
      <c r="I2643">
        <v>3.0987981019678101E-2</v>
      </c>
      <c r="J2643">
        <v>3.5127389496640397E-2</v>
      </c>
      <c r="K2643">
        <v>3.3266068805559698E-2</v>
      </c>
      <c r="L2643">
        <v>1081.5508305666599</v>
      </c>
      <c r="M2643">
        <v>23.196295286188601</v>
      </c>
      <c r="N2643">
        <v>46.791526066672198</v>
      </c>
      <c r="O2643">
        <v>46.283648739727496</v>
      </c>
      <c r="P2643">
        <v>-0.120361507775437</v>
      </c>
      <c r="Q2643">
        <v>3.9386789207357997E-2</v>
      </c>
      <c r="R2643">
        <v>0.99455200491778595</v>
      </c>
      <c r="S2643" t="s">
        <v>9449</v>
      </c>
      <c r="T2643" t="s">
        <v>13610</v>
      </c>
      <c r="U2643" t="s">
        <v>13610</v>
      </c>
      <c r="V2643" t="s">
        <v>13610</v>
      </c>
      <c r="W2643" t="s">
        <v>16201</v>
      </c>
      <c r="X2643">
        <v>16</v>
      </c>
      <c r="Y2643" t="s">
        <v>22853</v>
      </c>
      <c r="Z2643" t="s">
        <v>29498</v>
      </c>
      <c r="AA2643">
        <v>0.26179730133895868</v>
      </c>
      <c r="AB2643" t="str">
        <f>HYPERLINK("Melting_Curves/meltCurve_P52292_KPNA2.pdf", "Melting_Curves/meltCurve_P52292_KPNA2.pdf")</f>
        <v>Melting_Curves/meltCurve_P52292_KPNA2.pdf</v>
      </c>
    </row>
    <row r="2644" spans="1:28" x14ac:dyDescent="0.25">
      <c r="A2644" t="s">
        <v>2648</v>
      </c>
      <c r="B2644">
        <v>0.995954080203443</v>
      </c>
      <c r="C2644">
        <v>0.95484241279335103</v>
      </c>
      <c r="D2644">
        <v>0.91527474196013103</v>
      </c>
      <c r="E2644">
        <v>0.64788602997584199</v>
      </c>
      <c r="F2644">
        <v>0.30963903379131602</v>
      </c>
      <c r="G2644">
        <v>0.207387906390232</v>
      </c>
      <c r="H2644">
        <v>0.15775018789117101</v>
      </c>
      <c r="I2644">
        <v>0.17190978989584799</v>
      </c>
      <c r="J2644">
        <v>0.19941620373463001</v>
      </c>
      <c r="K2644">
        <v>0.20082396745214601</v>
      </c>
      <c r="L2644">
        <v>1450.5159259862501</v>
      </c>
      <c r="M2644">
        <v>28.837170048274899</v>
      </c>
      <c r="N2644">
        <v>51.082691561028803</v>
      </c>
      <c r="O2644">
        <v>50.060203762145903</v>
      </c>
      <c r="P2644">
        <v>-0.11830205736030699</v>
      </c>
      <c r="Q2644">
        <v>0.17853543735847699</v>
      </c>
      <c r="R2644">
        <v>0.99542737505700096</v>
      </c>
      <c r="S2644" t="s">
        <v>9450</v>
      </c>
      <c r="T2644" t="s">
        <v>13610</v>
      </c>
      <c r="U2644" t="s">
        <v>13610</v>
      </c>
      <c r="V2644" t="s">
        <v>13610</v>
      </c>
      <c r="W2644" t="s">
        <v>16202</v>
      </c>
      <c r="X2644">
        <v>17</v>
      </c>
      <c r="Y2644" t="s">
        <v>22854</v>
      </c>
      <c r="Z2644" t="s">
        <v>29499</v>
      </c>
      <c r="AA2644">
        <v>0.46610695583424888</v>
      </c>
      <c r="AB2644" t="str">
        <f>HYPERLINK("Melting_Curves/meltCurve_P52294_KPNA1.pdf", "Melting_Curves/meltCurve_P52294_KPNA1.pdf")</f>
        <v>Melting_Curves/meltCurve_P52294_KPNA1.pdf</v>
      </c>
    </row>
    <row r="2645" spans="1:28" x14ac:dyDescent="0.25">
      <c r="A2645" t="s">
        <v>2649</v>
      </c>
      <c r="B2645">
        <v>0.995954080203443</v>
      </c>
      <c r="C2645">
        <v>0.85974371489145696</v>
      </c>
      <c r="D2645">
        <v>0.72275040061352103</v>
      </c>
      <c r="E2645">
        <v>0.61402256055013704</v>
      </c>
      <c r="F2645">
        <v>0.21239572016079</v>
      </c>
      <c r="G2645">
        <v>9.8084444275981897E-2</v>
      </c>
      <c r="H2645">
        <v>6.7475342780223893E-2</v>
      </c>
      <c r="I2645">
        <v>5.8692261565308199E-2</v>
      </c>
      <c r="J2645">
        <v>6.8980255561706894E-2</v>
      </c>
      <c r="K2645">
        <v>5.9895504963086897E-2</v>
      </c>
      <c r="L2645">
        <v>752.02198669902896</v>
      </c>
      <c r="M2645">
        <v>15.1641172967072</v>
      </c>
      <c r="N2645">
        <v>49.754549328156799</v>
      </c>
      <c r="O2645">
        <v>48.753748911994798</v>
      </c>
      <c r="P2645">
        <v>-7.5889154746890397E-2</v>
      </c>
      <c r="Q2645">
        <v>2.4137711507684099E-2</v>
      </c>
      <c r="R2645">
        <v>0.97429165983993904</v>
      </c>
      <c r="S2645" t="s">
        <v>9451</v>
      </c>
      <c r="T2645" t="s">
        <v>13610</v>
      </c>
      <c r="U2645" t="s">
        <v>13610</v>
      </c>
      <c r="V2645" t="s">
        <v>13610</v>
      </c>
      <c r="W2645" t="s">
        <v>16203</v>
      </c>
      <c r="X2645">
        <v>7</v>
      </c>
      <c r="Y2645" t="s">
        <v>22855</v>
      </c>
      <c r="Z2645" t="s">
        <v>29500</v>
      </c>
      <c r="AA2645">
        <v>0.35928264242508379</v>
      </c>
      <c r="AB2645" t="str">
        <f>HYPERLINK("Melting_Curves/meltCurve_P52298_NCBP2.pdf", "Melting_Curves/meltCurve_P52298_NCBP2.pdf")</f>
        <v>Melting_Curves/meltCurve_P52298_NCBP2.pdf</v>
      </c>
    </row>
    <row r="2646" spans="1:28" x14ac:dyDescent="0.25">
      <c r="A2646" t="s">
        <v>2650</v>
      </c>
      <c r="B2646">
        <v>0.995954080203443</v>
      </c>
      <c r="C2646">
        <v>1.0776792569823499</v>
      </c>
      <c r="D2646">
        <v>1.0843088207464</v>
      </c>
      <c r="E2646">
        <v>0.80161118522084296</v>
      </c>
      <c r="F2646">
        <v>0.31587149594255698</v>
      </c>
      <c r="G2646">
        <v>0.12692199320442901</v>
      </c>
      <c r="H2646">
        <v>7.7198744775889505E-2</v>
      </c>
      <c r="I2646">
        <v>6.3820201387059294E-2</v>
      </c>
      <c r="J2646">
        <v>6.8203784706502998E-2</v>
      </c>
      <c r="K2646">
        <v>6.3099613217750705E-2</v>
      </c>
      <c r="L2646">
        <v>2087.23160525505</v>
      </c>
      <c r="M2646">
        <v>40.411574536942197</v>
      </c>
      <c r="N2646">
        <v>51.857075645501098</v>
      </c>
      <c r="O2646">
        <v>51.523358582313499</v>
      </c>
      <c r="P2646">
        <v>-0.18143133412408499</v>
      </c>
      <c r="Q2646">
        <v>7.4727158747958294E-2</v>
      </c>
      <c r="R2646">
        <v>0.99184029667413898</v>
      </c>
      <c r="S2646" t="s">
        <v>9452</v>
      </c>
      <c r="T2646" t="s">
        <v>13610</v>
      </c>
      <c r="U2646" t="s">
        <v>13610</v>
      </c>
      <c r="V2646" t="s">
        <v>13610</v>
      </c>
      <c r="W2646" t="s">
        <v>16204</v>
      </c>
      <c r="X2646">
        <v>25</v>
      </c>
      <c r="Y2646" t="s">
        <v>22856</v>
      </c>
      <c r="Z2646" t="s">
        <v>29501</v>
      </c>
      <c r="AA2646">
        <v>0.43725642845457641</v>
      </c>
      <c r="AB2646" t="str">
        <f>HYPERLINK("Melting_Curves/meltCurve_P52306_RAP1GDS1.pdf", "Melting_Curves/meltCurve_P52306_RAP1GDS1.pdf")</f>
        <v>Melting_Curves/meltCurve_P52306_RAP1GDS1.pdf</v>
      </c>
    </row>
    <row r="2647" spans="1:28" x14ac:dyDescent="0.25">
      <c r="A2647" t="s">
        <v>2651</v>
      </c>
      <c r="B2647">
        <v>0.995954080203443</v>
      </c>
      <c r="C2647">
        <v>1.0263686833875401</v>
      </c>
      <c r="D2647">
        <v>1.0521423165788399</v>
      </c>
      <c r="E2647">
        <v>0.83910919879396595</v>
      </c>
      <c r="F2647">
        <v>0.579078478556317</v>
      </c>
      <c r="G2647">
        <v>0.218513458698496</v>
      </c>
      <c r="H2647">
        <v>0.131692441747605</v>
      </c>
      <c r="I2647">
        <v>0.13048607212894101</v>
      </c>
      <c r="J2647">
        <v>0.12548791713378801</v>
      </c>
      <c r="K2647">
        <v>0.13775547745324401</v>
      </c>
      <c r="L2647">
        <v>1519.87937208523</v>
      </c>
      <c r="M2647">
        <v>28.670390077719301</v>
      </c>
      <c r="N2647">
        <v>53.540759989710999</v>
      </c>
      <c r="O2647">
        <v>52.756268255461897</v>
      </c>
      <c r="P2647">
        <v>-0.119117061115219</v>
      </c>
      <c r="Q2647">
        <v>0.123259602678882</v>
      </c>
      <c r="R2647">
        <v>0.99603170476362302</v>
      </c>
      <c r="S2647" t="s">
        <v>9453</v>
      </c>
      <c r="T2647" t="s">
        <v>13610</v>
      </c>
      <c r="U2647" t="s">
        <v>13610</v>
      </c>
      <c r="V2647" t="s">
        <v>13610</v>
      </c>
      <c r="W2647" t="s">
        <v>16205</v>
      </c>
      <c r="X2647">
        <v>14</v>
      </c>
      <c r="Y2647" t="s">
        <v>22857</v>
      </c>
      <c r="Z2647" t="s">
        <v>29502</v>
      </c>
      <c r="AA2647">
        <v>0.5097483785397332</v>
      </c>
      <c r="AB2647" t="str">
        <f>HYPERLINK("Melting_Curves/meltCurve_P52566_ARHGDIB.pdf", "Melting_Curves/meltCurve_P52566_ARHGDIB.pdf")</f>
        <v>Melting_Curves/meltCurve_P52566_ARHGDIB.pdf</v>
      </c>
    </row>
    <row r="2648" spans="1:28" x14ac:dyDescent="0.25">
      <c r="A2648" t="s">
        <v>2652</v>
      </c>
      <c r="B2648">
        <v>0.995954080203443</v>
      </c>
      <c r="C2648">
        <v>0.94751652945241105</v>
      </c>
      <c r="D2648">
        <v>1.0943544763784501</v>
      </c>
      <c r="E2648">
        <v>0.853544367538561</v>
      </c>
      <c r="F2648">
        <v>0.84109044666560295</v>
      </c>
      <c r="G2648">
        <v>0.43861078969310602</v>
      </c>
      <c r="H2648">
        <v>0.226647010866731</v>
      </c>
      <c r="I2648">
        <v>0.27336863090993702</v>
      </c>
      <c r="J2648">
        <v>0.29358693106328598</v>
      </c>
      <c r="K2648">
        <v>0.318915756676944</v>
      </c>
      <c r="L2648">
        <v>1712.4118120450801</v>
      </c>
      <c r="M2648">
        <v>31.290251742798102</v>
      </c>
      <c r="N2648">
        <v>56.127569013770398</v>
      </c>
      <c r="O2648">
        <v>54.5046195982329</v>
      </c>
      <c r="P2648">
        <v>-0.104624773631511</v>
      </c>
      <c r="Q2648">
        <v>0.27101878711664101</v>
      </c>
      <c r="R2648">
        <v>0.96916697429417098</v>
      </c>
      <c r="S2648" t="s">
        <v>9454</v>
      </c>
      <c r="T2648" t="s">
        <v>13610</v>
      </c>
      <c r="U2648" t="s">
        <v>13610</v>
      </c>
      <c r="V2648" t="s">
        <v>13610</v>
      </c>
      <c r="W2648" t="s">
        <v>16206</v>
      </c>
      <c r="X2648">
        <v>12</v>
      </c>
      <c r="Y2648" t="s">
        <v>22858</v>
      </c>
      <c r="Z2648" t="s">
        <v>29503</v>
      </c>
      <c r="AA2648">
        <v>0.63331950626430811</v>
      </c>
      <c r="AB2648" t="str">
        <f>HYPERLINK("Melting_Curves/meltCurve_P52594_2_AGFG1.pdf", "Melting_Curves/meltCurve_P52594_2_AGFG1.pdf")</f>
        <v>Melting_Curves/meltCurve_P52594_2_AGFG1.pdf</v>
      </c>
    </row>
    <row r="2649" spans="1:28" x14ac:dyDescent="0.25">
      <c r="A2649" t="s">
        <v>2653</v>
      </c>
      <c r="B2649">
        <v>0.995954080203443</v>
      </c>
      <c r="C2649">
        <v>0.95528542841458097</v>
      </c>
      <c r="D2649">
        <v>0.92890782503150904</v>
      </c>
      <c r="E2649">
        <v>0.81842430641355801</v>
      </c>
      <c r="F2649">
        <v>0.67183830283476398</v>
      </c>
      <c r="G2649">
        <v>0.37933063961360503</v>
      </c>
      <c r="H2649">
        <v>0.178833165520629</v>
      </c>
      <c r="I2649">
        <v>0.145140469491741</v>
      </c>
      <c r="J2649">
        <v>0.15963476081931399</v>
      </c>
      <c r="K2649">
        <v>0.16033653036779499</v>
      </c>
      <c r="L2649">
        <v>967.710233618291</v>
      </c>
      <c r="M2649">
        <v>17.875245044741501</v>
      </c>
      <c r="N2649">
        <v>54.9439382031196</v>
      </c>
      <c r="O2649">
        <v>53.472983438050498</v>
      </c>
      <c r="P2649">
        <v>-7.3925964598266905E-2</v>
      </c>
      <c r="Q2649">
        <v>0.115460195974078</v>
      </c>
      <c r="R2649">
        <v>0.99409677025860399</v>
      </c>
      <c r="S2649" t="s">
        <v>9455</v>
      </c>
      <c r="T2649" t="s">
        <v>13610</v>
      </c>
      <c r="U2649" t="s">
        <v>13610</v>
      </c>
      <c r="V2649" t="s">
        <v>13610</v>
      </c>
      <c r="W2649" t="s">
        <v>16207</v>
      </c>
      <c r="X2649">
        <v>17</v>
      </c>
      <c r="Y2649" t="s">
        <v>22859</v>
      </c>
      <c r="Z2649" t="s">
        <v>29504</v>
      </c>
      <c r="AA2649">
        <v>0.54652334575587014</v>
      </c>
      <c r="AB2649" t="str">
        <f>HYPERLINK("Melting_Curves/meltCurve_P52597_HNRNPF.pdf", "Melting_Curves/meltCurve_P52597_HNRNPF.pdf")</f>
        <v>Melting_Curves/meltCurve_P52597_HNRNPF.pdf</v>
      </c>
    </row>
    <row r="2650" spans="1:28" x14ac:dyDescent="0.25">
      <c r="A2650" t="s">
        <v>2654</v>
      </c>
      <c r="B2650">
        <v>0.995954080203443</v>
      </c>
      <c r="C2650">
        <v>0.89118079369145597</v>
      </c>
      <c r="D2650">
        <v>0.61833063380791398</v>
      </c>
      <c r="E2650">
        <v>0.30414192441575699</v>
      </c>
      <c r="F2650">
        <v>0.15632131802115001</v>
      </c>
      <c r="G2650">
        <v>0.102207065792594</v>
      </c>
      <c r="H2650">
        <v>6.7246728307712597E-2</v>
      </c>
      <c r="I2650">
        <v>5.3628339405458303E-2</v>
      </c>
      <c r="J2650">
        <v>6.3940038629622997E-2</v>
      </c>
      <c r="K2650">
        <v>5.5002603948932999E-2</v>
      </c>
      <c r="L2650">
        <v>910.02592179563101</v>
      </c>
      <c r="M2650">
        <v>19.3095504706972</v>
      </c>
      <c r="N2650">
        <v>47.431936515402398</v>
      </c>
      <c r="O2650">
        <v>46.631550128847699</v>
      </c>
      <c r="P2650">
        <v>-9.7507015010264E-2</v>
      </c>
      <c r="Q2650">
        <v>5.8137945620844199E-2</v>
      </c>
      <c r="R2650">
        <v>0.99863326767790594</v>
      </c>
      <c r="S2650" t="s">
        <v>9456</v>
      </c>
      <c r="T2650" t="s">
        <v>13610</v>
      </c>
      <c r="U2650" t="s">
        <v>13610</v>
      </c>
      <c r="V2650" t="s">
        <v>13610</v>
      </c>
      <c r="W2650" t="s">
        <v>16208</v>
      </c>
      <c r="X2650">
        <v>18</v>
      </c>
      <c r="Y2650" t="s">
        <v>22860</v>
      </c>
      <c r="Z2650" t="s">
        <v>29505</v>
      </c>
      <c r="AA2650">
        <v>0.29675319553941271</v>
      </c>
      <c r="AB2650" t="str">
        <f>HYPERLINK("Melting_Curves/meltCurve_P52630_4_STAT2.pdf", "Melting_Curves/meltCurve_P52630_4_STAT2.pdf")</f>
        <v>Melting_Curves/meltCurve_P52630_4_STAT2.pdf</v>
      </c>
    </row>
    <row r="2651" spans="1:28" x14ac:dyDescent="0.25">
      <c r="A2651" t="s">
        <v>2655</v>
      </c>
      <c r="B2651">
        <v>0.995954080203443</v>
      </c>
      <c r="C2651">
        <v>1.06494907734902</v>
      </c>
      <c r="D2651">
        <v>0.93779933896761802</v>
      </c>
      <c r="E2651">
        <v>1.0075576421594099</v>
      </c>
      <c r="F2651">
        <v>0.87777232656895898</v>
      </c>
      <c r="G2651">
        <v>0.69127446666701697</v>
      </c>
      <c r="H2651">
        <v>0.55805334862548805</v>
      </c>
      <c r="I2651">
        <v>0.60077584517640703</v>
      </c>
      <c r="J2651">
        <v>0.51076017073533497</v>
      </c>
      <c r="K2651">
        <v>0.44308617981500997</v>
      </c>
      <c r="L2651">
        <v>1119.58632721921</v>
      </c>
      <c r="M2651">
        <v>19.904955696053801</v>
      </c>
      <c r="N2651">
        <v>68.248018943552907</v>
      </c>
      <c r="O2651">
        <v>55.688135111211402</v>
      </c>
      <c r="P2651">
        <v>-4.60298736694476E-2</v>
      </c>
      <c r="Q2651">
        <v>0.484905598434339</v>
      </c>
      <c r="R2651">
        <v>0.96212222308824302</v>
      </c>
      <c r="S2651" t="s">
        <v>9457</v>
      </c>
      <c r="T2651" t="s">
        <v>13610</v>
      </c>
      <c r="U2651" t="s">
        <v>13610</v>
      </c>
      <c r="V2651" t="s">
        <v>13610</v>
      </c>
      <c r="W2651" t="s">
        <v>16209</v>
      </c>
      <c r="X2651">
        <v>4</v>
      </c>
      <c r="Y2651" t="s">
        <v>22861</v>
      </c>
      <c r="Z2651" t="s">
        <v>29506</v>
      </c>
      <c r="AA2651">
        <v>0.77046307702510097</v>
      </c>
      <c r="AB2651" t="str">
        <f>HYPERLINK("Melting_Curves/meltCurve_P52655_GTF2A1.pdf", "Melting_Curves/meltCurve_P52655_GTF2A1.pdf")</f>
        <v>Melting_Curves/meltCurve_P52655_GTF2A1.pdf</v>
      </c>
    </row>
    <row r="2652" spans="1:28" x14ac:dyDescent="0.25">
      <c r="A2652" t="s">
        <v>2656</v>
      </c>
      <c r="B2652">
        <v>0.995954080203443</v>
      </c>
      <c r="C2652">
        <v>0.93873657997662796</v>
      </c>
      <c r="D2652">
        <v>1.36919797689283</v>
      </c>
      <c r="E2652">
        <v>0.89711001890786901</v>
      </c>
      <c r="F2652">
        <v>1.4511804243297599</v>
      </c>
      <c r="G2652">
        <v>1.2696904101486699</v>
      </c>
      <c r="H2652">
        <v>0.99707541779600595</v>
      </c>
      <c r="I2652">
        <v>1.1244802432640399</v>
      </c>
      <c r="J2652">
        <v>0.87151204908347302</v>
      </c>
      <c r="K2652">
        <v>0.463157701902281</v>
      </c>
      <c r="L2652">
        <v>15000</v>
      </c>
      <c r="M2652">
        <v>222.72395058256899</v>
      </c>
      <c r="N2652">
        <v>68.144925918981798</v>
      </c>
      <c r="O2652">
        <v>67.342513414048398</v>
      </c>
      <c r="P2652">
        <v>-0.44397508189248103</v>
      </c>
      <c r="Q2652">
        <v>0.46304117242566101</v>
      </c>
      <c r="R2652">
        <v>0.396263104003723</v>
      </c>
      <c r="S2652" t="s">
        <v>9458</v>
      </c>
      <c r="T2652" t="s">
        <v>13610</v>
      </c>
      <c r="U2652" t="s">
        <v>13610</v>
      </c>
      <c r="V2652" t="s">
        <v>13610</v>
      </c>
      <c r="W2652" t="s">
        <v>16210</v>
      </c>
      <c r="X2652">
        <v>4</v>
      </c>
      <c r="Y2652" t="s">
        <v>22862</v>
      </c>
      <c r="Z2652" t="s">
        <v>29507</v>
      </c>
      <c r="AA2652">
        <v>0.95261051467432378</v>
      </c>
      <c r="AB2652" t="str">
        <f>HYPERLINK("Melting_Curves/meltCurve_P52657_GTF2A2.pdf", "Melting_Curves/meltCurve_P52657_GTF2A2.pdf")</f>
        <v>Melting_Curves/meltCurve_P52657_GTF2A2.pdf</v>
      </c>
    </row>
    <row r="2653" spans="1:28" x14ac:dyDescent="0.25">
      <c r="A2653" t="s">
        <v>2657</v>
      </c>
      <c r="B2653">
        <v>0.995954080203443</v>
      </c>
      <c r="C2653">
        <v>0.50675701073368096</v>
      </c>
      <c r="D2653">
        <v>0.17338433973877501</v>
      </c>
      <c r="E2653">
        <v>0.16234830922360399</v>
      </c>
      <c r="F2653">
        <v>9.97169240791521E-2</v>
      </c>
      <c r="G2653">
        <v>6.5788936054159905E-2</v>
      </c>
      <c r="H2653">
        <v>6.6114565435252806E-2</v>
      </c>
      <c r="I2653">
        <v>9.3132686500772902E-2</v>
      </c>
      <c r="J2653">
        <v>9.9075720817044702E-2</v>
      </c>
      <c r="K2653">
        <v>0.100729911086711</v>
      </c>
      <c r="L2653">
        <v>1919.6147301107301</v>
      </c>
      <c r="M2653">
        <v>44.891986685682603</v>
      </c>
      <c r="N2653">
        <v>42.979192907477803</v>
      </c>
      <c r="O2653">
        <v>42.676149928549101</v>
      </c>
      <c r="P2653">
        <v>-0.236155218239296</v>
      </c>
      <c r="Q2653">
        <v>0.102006105042649</v>
      </c>
      <c r="R2653">
        <v>0.98900278069388303</v>
      </c>
      <c r="S2653" t="s">
        <v>9459</v>
      </c>
      <c r="T2653" t="s">
        <v>13610</v>
      </c>
      <c r="U2653" t="s">
        <v>13610</v>
      </c>
      <c r="V2653" t="s">
        <v>13610</v>
      </c>
      <c r="W2653" t="s">
        <v>16211</v>
      </c>
      <c r="X2653">
        <v>47</v>
      </c>
      <c r="Y2653" t="s">
        <v>22863</v>
      </c>
      <c r="Z2653" t="s">
        <v>29508</v>
      </c>
      <c r="AA2653">
        <v>0.18780523686350981</v>
      </c>
      <c r="AB2653" t="str">
        <f>HYPERLINK("Melting_Curves/meltCurve_P52701_MSH6.pdf", "Melting_Curves/meltCurve_P52701_MSH6.pdf")</f>
        <v>Melting_Curves/meltCurve_P52701_MSH6.pdf</v>
      </c>
    </row>
    <row r="2654" spans="1:28" x14ac:dyDescent="0.25">
      <c r="A2654" t="s">
        <v>2658</v>
      </c>
      <c r="B2654">
        <v>0.995954080203443</v>
      </c>
      <c r="C2654">
        <v>0.93912601221245395</v>
      </c>
      <c r="D2654">
        <v>0.58372282359936101</v>
      </c>
      <c r="E2654">
        <v>0.32351207322284298</v>
      </c>
      <c r="F2654">
        <v>0.16916846234430699</v>
      </c>
      <c r="G2654">
        <v>0.107496351631251</v>
      </c>
      <c r="H2654">
        <v>7.5626613596578102E-2</v>
      </c>
      <c r="I2654">
        <v>6.9113441408952397E-2</v>
      </c>
      <c r="J2654">
        <v>8.4880110209826207E-2</v>
      </c>
      <c r="K2654">
        <v>7.4181258320241E-2</v>
      </c>
      <c r="L2654">
        <v>949.19646421312905</v>
      </c>
      <c r="M2654">
        <v>20.191177374052</v>
      </c>
      <c r="N2654">
        <v>47.404632422966301</v>
      </c>
      <c r="O2654">
        <v>46.556615166620503</v>
      </c>
      <c r="P2654">
        <v>-0.100047198515146</v>
      </c>
      <c r="Q2654">
        <v>7.7277601035608601E-2</v>
      </c>
      <c r="R2654">
        <v>0.99324226888460398</v>
      </c>
      <c r="S2654" t="s">
        <v>9460</v>
      </c>
      <c r="T2654" t="s">
        <v>13610</v>
      </c>
      <c r="U2654" t="s">
        <v>13610</v>
      </c>
      <c r="V2654" t="s">
        <v>13610</v>
      </c>
      <c r="W2654" t="s">
        <v>16212</v>
      </c>
      <c r="X2654">
        <v>32</v>
      </c>
      <c r="Y2654" t="s">
        <v>22864</v>
      </c>
      <c r="Z2654" t="s">
        <v>29509</v>
      </c>
      <c r="AA2654">
        <v>0.30612256578414698</v>
      </c>
      <c r="AB2654" t="str">
        <f>HYPERLINK("Melting_Curves/meltCurve_P52732_KIF11.pdf", "Melting_Curves/meltCurve_P52732_KIF11.pdf")</f>
        <v>Melting_Curves/meltCurve_P52732_KIF11.pdf</v>
      </c>
    </row>
    <row r="2655" spans="1:28" x14ac:dyDescent="0.25">
      <c r="A2655" t="s">
        <v>2659</v>
      </c>
      <c r="B2655">
        <v>0.995954080203443</v>
      </c>
      <c r="C2655">
        <v>0.92550489748726406</v>
      </c>
      <c r="D2655">
        <v>1.0534471611447001</v>
      </c>
      <c r="E2655">
        <v>0.52559169857794596</v>
      </c>
      <c r="F2655">
        <v>0.19505046108576099</v>
      </c>
      <c r="G2655">
        <v>8.0177794698731999E-2</v>
      </c>
      <c r="H2655">
        <v>4.1436302465612702E-2</v>
      </c>
      <c r="I2655">
        <v>4.3574492417404402E-2</v>
      </c>
      <c r="J2655">
        <v>3.6249980292290103E-2</v>
      </c>
      <c r="K2655">
        <v>3.2726523487555198E-2</v>
      </c>
      <c r="L2655">
        <v>1859.946483212</v>
      </c>
      <c r="M2655">
        <v>37.085372573866302</v>
      </c>
      <c r="N2655">
        <v>50.290425947530302</v>
      </c>
      <c r="O2655">
        <v>50.007942901854697</v>
      </c>
      <c r="P2655">
        <v>-0.17647080177882199</v>
      </c>
      <c r="Q2655">
        <v>4.8151232508128299E-2</v>
      </c>
      <c r="R2655">
        <v>0.99121845459996405</v>
      </c>
      <c r="S2655" t="s">
        <v>9461</v>
      </c>
      <c r="T2655" t="s">
        <v>13610</v>
      </c>
      <c r="U2655" t="s">
        <v>13610</v>
      </c>
      <c r="V2655" t="s">
        <v>13610</v>
      </c>
      <c r="W2655" t="s">
        <v>16213</v>
      </c>
      <c r="X2655">
        <v>6</v>
      </c>
      <c r="Y2655" t="s">
        <v>22865</v>
      </c>
      <c r="Z2655" t="s">
        <v>29510</v>
      </c>
      <c r="AA2655">
        <v>0.37413708162740988</v>
      </c>
      <c r="AB2655" t="str">
        <f>HYPERLINK("Melting_Curves/meltCurve_P52735_3_VAV2.pdf", "Melting_Curves/meltCurve_P52735_3_VAV2.pdf")</f>
        <v>Melting_Curves/meltCurve_P52735_3_VAV2.pdf</v>
      </c>
    </row>
    <row r="2656" spans="1:28" x14ac:dyDescent="0.25">
      <c r="A2656" t="s">
        <v>2660</v>
      </c>
      <c r="B2656">
        <v>0.995954080203443</v>
      </c>
      <c r="C2656">
        <v>0.82867460152683603</v>
      </c>
      <c r="D2656">
        <v>0.83709417324371205</v>
      </c>
      <c r="E2656">
        <v>0.65512339351427495</v>
      </c>
      <c r="F2656">
        <v>0.53487513960729105</v>
      </c>
      <c r="G2656">
        <v>0.38557583532697898</v>
      </c>
      <c r="H2656">
        <v>0.33532608112019702</v>
      </c>
      <c r="I2656">
        <v>0.326145349112685</v>
      </c>
      <c r="J2656">
        <v>0.39285036050648597</v>
      </c>
      <c r="K2656">
        <v>0.30779301266014703</v>
      </c>
      <c r="L2656">
        <v>597.53251241043199</v>
      </c>
      <c r="M2656">
        <v>12.0255692558486</v>
      </c>
      <c r="N2656">
        <v>53.7204080048202</v>
      </c>
      <c r="O2656">
        <v>48.3743020098565</v>
      </c>
      <c r="P2656">
        <v>-4.36862482726951E-2</v>
      </c>
      <c r="Q2656">
        <v>0.29723522338651698</v>
      </c>
      <c r="R2656">
        <v>0.97260567478361803</v>
      </c>
      <c r="S2656" t="s">
        <v>9462</v>
      </c>
      <c r="T2656" t="s">
        <v>13610</v>
      </c>
      <c r="U2656" t="s">
        <v>13610</v>
      </c>
      <c r="V2656" t="s">
        <v>13610</v>
      </c>
      <c r="W2656" t="s">
        <v>16214</v>
      </c>
      <c r="X2656">
        <v>11</v>
      </c>
      <c r="Y2656" t="s">
        <v>22866</v>
      </c>
      <c r="Z2656" t="s">
        <v>29511</v>
      </c>
      <c r="AA2656">
        <v>0.54888678360983378</v>
      </c>
      <c r="AB2656" t="str">
        <f>HYPERLINK("Melting_Curves/meltCurve_P52739_2_ZNF131.pdf", "Melting_Curves/meltCurve_P52739_2_ZNF131.pdf")</f>
        <v>Melting_Curves/meltCurve_P52739_2_ZNF131.pdf</v>
      </c>
    </row>
    <row r="2657" spans="1:28" x14ac:dyDescent="0.25">
      <c r="A2657" t="s">
        <v>2661</v>
      </c>
      <c r="B2657">
        <v>0.995954080203443</v>
      </c>
      <c r="C2657">
        <v>0.881526198592821</v>
      </c>
      <c r="D2657">
        <v>0.85621711086225805</v>
      </c>
      <c r="E2657">
        <v>0.70161005454050895</v>
      </c>
      <c r="F2657">
        <v>0.59732281460788705</v>
      </c>
      <c r="G2657">
        <v>0.42107813072019201</v>
      </c>
      <c r="H2657">
        <v>0.35610267365317999</v>
      </c>
      <c r="I2657">
        <v>0.41711480786383798</v>
      </c>
      <c r="J2657">
        <v>0.48029670956430398</v>
      </c>
      <c r="K2657">
        <v>0.47061608088747198</v>
      </c>
      <c r="L2657">
        <v>751.71783018876295</v>
      </c>
      <c r="M2657">
        <v>15.245246096155601</v>
      </c>
      <c r="N2657">
        <v>55.646579561656701</v>
      </c>
      <c r="O2657">
        <v>48.483290121252203</v>
      </c>
      <c r="P2657">
        <v>-4.6233173299077397E-2</v>
      </c>
      <c r="Q2657">
        <v>0.41192843586862898</v>
      </c>
      <c r="R2657">
        <v>0.95044119867571097</v>
      </c>
      <c r="S2657" t="s">
        <v>9463</v>
      </c>
      <c r="T2657" t="s">
        <v>13610</v>
      </c>
      <c r="U2657" t="s">
        <v>13610</v>
      </c>
      <c r="V2657" t="s">
        <v>13610</v>
      </c>
      <c r="W2657" t="s">
        <v>16215</v>
      </c>
      <c r="X2657">
        <v>7</v>
      </c>
      <c r="Y2657" t="s">
        <v>22867</v>
      </c>
      <c r="Z2657" t="s">
        <v>29512</v>
      </c>
      <c r="AA2657">
        <v>0.60832169601816755</v>
      </c>
      <c r="AB2657" t="str">
        <f>HYPERLINK("Melting_Curves/meltCurve_P52747_2_ZNF143.pdf", "Melting_Curves/meltCurve_P52747_2_ZNF143.pdf")</f>
        <v>Melting_Curves/meltCurve_P52747_2_ZNF143.pdf</v>
      </c>
    </row>
    <row r="2658" spans="1:28" x14ac:dyDescent="0.25">
      <c r="A2658" t="s">
        <v>2662</v>
      </c>
      <c r="B2658">
        <v>0.995954080203443</v>
      </c>
      <c r="C2658">
        <v>0.96640454205799697</v>
      </c>
      <c r="D2658">
        <v>0.94943725003405499</v>
      </c>
      <c r="E2658">
        <v>0.87025245523517403</v>
      </c>
      <c r="F2658">
        <v>0.81901302033859202</v>
      </c>
      <c r="G2658">
        <v>0.61845168553136898</v>
      </c>
      <c r="H2658">
        <v>0.55039338844897601</v>
      </c>
      <c r="I2658">
        <v>0.65794374795356603</v>
      </c>
      <c r="J2658">
        <v>0.67980301972320101</v>
      </c>
      <c r="K2658">
        <v>0.75701780487490899</v>
      </c>
      <c r="L2658">
        <v>1311.19659108669</v>
      </c>
      <c r="M2658">
        <v>25.473320977228699</v>
      </c>
      <c r="O2658">
        <v>51.159256096803801</v>
      </c>
      <c r="P2658">
        <v>-4.32774904926055E-2</v>
      </c>
      <c r="Q2658">
        <v>0.65233959750970305</v>
      </c>
      <c r="R2658">
        <v>0.85475128928627697</v>
      </c>
      <c r="S2658" t="s">
        <v>9464</v>
      </c>
      <c r="T2658" t="s">
        <v>13610</v>
      </c>
      <c r="U2658" t="s">
        <v>13610</v>
      </c>
      <c r="V2658" t="s">
        <v>13610</v>
      </c>
      <c r="W2658" t="s">
        <v>16216</v>
      </c>
      <c r="X2658">
        <v>21</v>
      </c>
      <c r="Y2658" t="s">
        <v>22868</v>
      </c>
      <c r="Z2658" t="s">
        <v>29513</v>
      </c>
      <c r="AA2658">
        <v>0.78834369935624637</v>
      </c>
      <c r="AB2658" t="str">
        <f>HYPERLINK("Melting_Curves/meltCurve_P52756_RBM5.pdf", "Melting_Curves/meltCurve_P52756_RBM5.pdf")</f>
        <v>Melting_Curves/meltCurve_P52756_RBM5.pdf</v>
      </c>
    </row>
    <row r="2659" spans="1:28" x14ac:dyDescent="0.25">
      <c r="A2659" t="s">
        <v>2663</v>
      </c>
      <c r="B2659">
        <v>0.995954080203443</v>
      </c>
      <c r="C2659">
        <v>1.20755807812525</v>
      </c>
      <c r="D2659">
        <v>1.292772123747</v>
      </c>
      <c r="E2659">
        <v>1.1540487652560101</v>
      </c>
      <c r="F2659">
        <v>1.1027760042919399</v>
      </c>
      <c r="G2659">
        <v>0.94134481560127603</v>
      </c>
      <c r="H2659">
        <v>0.83679453183038099</v>
      </c>
      <c r="I2659">
        <v>0.87183976566134802</v>
      </c>
      <c r="J2659">
        <v>1.0839879374432599</v>
      </c>
      <c r="K2659">
        <v>0.97178815544461705</v>
      </c>
      <c r="L2659">
        <v>13948.3243983144</v>
      </c>
      <c r="M2659">
        <v>250</v>
      </c>
      <c r="O2659">
        <v>55.789727087861102</v>
      </c>
      <c r="P2659">
        <v>-6.5993134185752006E-2</v>
      </c>
      <c r="Q2659">
        <v>0.941092176824458</v>
      </c>
      <c r="R2659">
        <v>-1.9040645293757302E-2</v>
      </c>
      <c r="S2659" t="s">
        <v>9465</v>
      </c>
      <c r="T2659" t="s">
        <v>13610</v>
      </c>
      <c r="U2659" t="s">
        <v>13610</v>
      </c>
      <c r="V2659" t="s">
        <v>13610</v>
      </c>
      <c r="W2659" t="s">
        <v>16217</v>
      </c>
      <c r="X2659">
        <v>8</v>
      </c>
      <c r="Y2659" t="s">
        <v>22869</v>
      </c>
      <c r="Z2659" t="s">
        <v>29514</v>
      </c>
      <c r="AA2659">
        <v>0.97210957093068529</v>
      </c>
      <c r="AB2659" t="str">
        <f>HYPERLINK("Melting_Curves/meltCurve_P52758_HRSP12.pdf", "Melting_Curves/meltCurve_P52758_HRSP12.pdf")</f>
        <v>Melting_Curves/meltCurve_P52758_HRSP12.pdf</v>
      </c>
    </row>
    <row r="2660" spans="1:28" x14ac:dyDescent="0.25">
      <c r="A2660" t="s">
        <v>2664</v>
      </c>
      <c r="B2660">
        <v>0.995954080203443</v>
      </c>
      <c r="C2660">
        <v>1.03845543565419</v>
      </c>
      <c r="D2660">
        <v>1.08485940583426</v>
      </c>
      <c r="E2660">
        <v>0.97245668471097602</v>
      </c>
      <c r="F2660">
        <v>0.95225657448873902</v>
      </c>
      <c r="G2660">
        <v>0.78590627596634099</v>
      </c>
      <c r="H2660">
        <v>0.400991534487535</v>
      </c>
      <c r="I2660">
        <v>0.116680069125084</v>
      </c>
      <c r="J2660">
        <v>8.8005110505121206E-2</v>
      </c>
      <c r="K2660">
        <v>8.53402199438512E-2</v>
      </c>
      <c r="L2660">
        <v>1696.45842084629</v>
      </c>
      <c r="M2660">
        <v>28.477692472229101</v>
      </c>
      <c r="N2660">
        <v>59.783700677788502</v>
      </c>
      <c r="O2660">
        <v>59.280052643833997</v>
      </c>
      <c r="P2660">
        <v>-0.114325722220764</v>
      </c>
      <c r="Q2660">
        <v>4.8071680174938597E-2</v>
      </c>
      <c r="R2660">
        <v>0.99182252540676796</v>
      </c>
      <c r="S2660" t="s">
        <v>9466</v>
      </c>
      <c r="T2660" t="s">
        <v>13610</v>
      </c>
      <c r="U2660" t="s">
        <v>13610</v>
      </c>
      <c r="V2660" t="s">
        <v>13610</v>
      </c>
      <c r="W2660" t="s">
        <v>16218</v>
      </c>
      <c r="X2660">
        <v>28</v>
      </c>
      <c r="Y2660" t="s">
        <v>22870</v>
      </c>
      <c r="Z2660" t="s">
        <v>29515</v>
      </c>
      <c r="AA2660">
        <v>0.67546533791886043</v>
      </c>
      <c r="AB2660" t="str">
        <f>HYPERLINK("Melting_Curves/meltCurve_P52788_SMS.pdf", "Melting_Curves/meltCurve_P52788_SMS.pdf")</f>
        <v>Melting_Curves/meltCurve_P52788_SMS.pdf</v>
      </c>
    </row>
    <row r="2661" spans="1:28" x14ac:dyDescent="0.25">
      <c r="A2661" t="s">
        <v>2665</v>
      </c>
      <c r="B2661">
        <v>0.995954080203443</v>
      </c>
      <c r="C2661">
        <v>0.80393015373032795</v>
      </c>
      <c r="D2661">
        <v>0.37602275763707999</v>
      </c>
      <c r="E2661">
        <v>0.25695820897481497</v>
      </c>
      <c r="F2661">
        <v>0.12368749147852399</v>
      </c>
      <c r="G2661">
        <v>7.6326645864841294E-2</v>
      </c>
      <c r="H2661">
        <v>5.3792393262890599E-2</v>
      </c>
      <c r="I2661">
        <v>4.9817496623292899E-2</v>
      </c>
      <c r="J2661">
        <v>5.6588779616543801E-2</v>
      </c>
      <c r="K2661">
        <v>5.1706591122666401E-2</v>
      </c>
      <c r="L2661">
        <v>980.18524821100402</v>
      </c>
      <c r="M2661">
        <v>21.691806370214199</v>
      </c>
      <c r="N2661">
        <v>45.489831903670101</v>
      </c>
      <c r="O2661">
        <v>44.808113844484097</v>
      </c>
      <c r="P2661">
        <v>-0.112888920823574</v>
      </c>
      <c r="Q2661">
        <v>6.7257029218316805E-2</v>
      </c>
      <c r="R2661">
        <v>0.98419937598918406</v>
      </c>
      <c r="S2661" t="s">
        <v>9467</v>
      </c>
      <c r="T2661" t="s">
        <v>13610</v>
      </c>
      <c r="U2661" t="s">
        <v>13610</v>
      </c>
      <c r="V2661" t="s">
        <v>13610</v>
      </c>
      <c r="W2661" t="s">
        <v>16219</v>
      </c>
      <c r="X2661">
        <v>42</v>
      </c>
      <c r="Y2661" t="s">
        <v>22871</v>
      </c>
      <c r="Z2661" t="s">
        <v>29516</v>
      </c>
      <c r="AA2661">
        <v>0.24131376112794151</v>
      </c>
      <c r="AB2661" t="str">
        <f>HYPERLINK("Melting_Curves/meltCurve_P52789_HK2.pdf", "Melting_Curves/meltCurve_P52789_HK2.pdf")</f>
        <v>Melting_Curves/meltCurve_P52789_HK2.pdf</v>
      </c>
    </row>
    <row r="2662" spans="1:28" x14ac:dyDescent="0.25">
      <c r="A2662" t="s">
        <v>2666</v>
      </c>
      <c r="B2662">
        <v>0.995954080203443</v>
      </c>
      <c r="C2662">
        <v>1.06160288022079</v>
      </c>
      <c r="D2662">
        <v>1.0544159521163501</v>
      </c>
      <c r="E2662">
        <v>0.93772797232008098</v>
      </c>
      <c r="F2662">
        <v>0.80271479442123705</v>
      </c>
      <c r="G2662">
        <v>0.58931229738908797</v>
      </c>
      <c r="H2662">
        <v>0.58373295325191998</v>
      </c>
      <c r="I2662">
        <v>0.80500194611304998</v>
      </c>
      <c r="J2662">
        <v>0.85519680869338399</v>
      </c>
      <c r="K2662">
        <v>0.88020519845342804</v>
      </c>
      <c r="L2662">
        <v>2646.7238047465798</v>
      </c>
      <c r="M2662">
        <v>51.601383452407298</v>
      </c>
      <c r="O2662">
        <v>51.214862057482101</v>
      </c>
      <c r="P2662">
        <v>-6.4210351847169306E-2</v>
      </c>
      <c r="Q2662">
        <v>0.74508266041802995</v>
      </c>
      <c r="R2662">
        <v>0.645177812299492</v>
      </c>
      <c r="S2662" t="s">
        <v>9468</v>
      </c>
      <c r="T2662" t="s">
        <v>13610</v>
      </c>
      <c r="U2662" t="s">
        <v>13610</v>
      </c>
      <c r="V2662" t="s">
        <v>13610</v>
      </c>
      <c r="W2662" t="s">
        <v>16220</v>
      </c>
      <c r="X2662">
        <v>6</v>
      </c>
      <c r="Y2662" t="s">
        <v>22872</v>
      </c>
      <c r="Z2662" t="s">
        <v>29517</v>
      </c>
      <c r="AA2662">
        <v>0.84157249072412577</v>
      </c>
      <c r="AB2662" t="str">
        <f>HYPERLINK("Melting_Curves/meltCurve_P52815_MRPL12.pdf", "Melting_Curves/meltCurve_P52815_MRPL12.pdf")</f>
        <v>Melting_Curves/meltCurve_P52815_MRPL12.pdf</v>
      </c>
    </row>
    <row r="2663" spans="1:28" x14ac:dyDescent="0.25">
      <c r="A2663" t="s">
        <v>2667</v>
      </c>
      <c r="B2663">
        <v>0.995954080203443</v>
      </c>
      <c r="C2663">
        <v>0.80589464317287796</v>
      </c>
      <c r="D2663">
        <v>0.59832844278970099</v>
      </c>
      <c r="E2663">
        <v>0.322809367626334</v>
      </c>
      <c r="F2663">
        <v>0.208492404124307</v>
      </c>
      <c r="G2663">
        <v>0.155242597505929</v>
      </c>
      <c r="H2663">
        <v>0.135652737275366</v>
      </c>
      <c r="I2663">
        <v>0.13596465496194399</v>
      </c>
      <c r="J2663">
        <v>0.14692557855463401</v>
      </c>
      <c r="K2663">
        <v>0.14862334183141501</v>
      </c>
      <c r="L2663">
        <v>843.757583646988</v>
      </c>
      <c r="M2663">
        <v>18.2273178650949</v>
      </c>
      <c r="N2663">
        <v>47.107086077481902</v>
      </c>
      <c r="O2663">
        <v>45.744430141282301</v>
      </c>
      <c r="P2663">
        <v>-8.6130064771109405E-2</v>
      </c>
      <c r="Q2663">
        <v>0.13541076106823199</v>
      </c>
      <c r="R2663">
        <v>0.99654746645869097</v>
      </c>
      <c r="S2663" t="s">
        <v>9469</v>
      </c>
      <c r="T2663" t="s">
        <v>13610</v>
      </c>
      <c r="U2663" t="s">
        <v>13610</v>
      </c>
      <c r="V2663" t="s">
        <v>13610</v>
      </c>
      <c r="W2663" t="s">
        <v>16221</v>
      </c>
      <c r="X2663">
        <v>7</v>
      </c>
      <c r="Y2663" t="s">
        <v>22873</v>
      </c>
      <c r="Z2663" t="s">
        <v>29518</v>
      </c>
      <c r="AA2663">
        <v>0.33287302155851978</v>
      </c>
      <c r="AB2663" t="str">
        <f>HYPERLINK("Melting_Curves/meltCurve_P52824_DGKQ.pdf", "Melting_Curves/meltCurve_P52824_DGKQ.pdf")</f>
        <v>Melting_Curves/meltCurve_P52824_DGKQ.pdf</v>
      </c>
    </row>
    <row r="2664" spans="1:28" x14ac:dyDescent="0.25">
      <c r="A2664" t="s">
        <v>2668</v>
      </c>
      <c r="B2664">
        <v>0.995954080203443</v>
      </c>
      <c r="C2664">
        <v>0.98929761407318195</v>
      </c>
      <c r="D2664">
        <v>1.05774284775883</v>
      </c>
      <c r="E2664">
        <v>0.862714389458199</v>
      </c>
      <c r="F2664">
        <v>0.84519908620765705</v>
      </c>
      <c r="G2664">
        <v>0.69425658033306703</v>
      </c>
      <c r="H2664">
        <v>0.47438294759199301</v>
      </c>
      <c r="I2664">
        <v>0.225823990768176</v>
      </c>
      <c r="J2664">
        <v>0.11985878304037299</v>
      </c>
      <c r="K2664">
        <v>0.11201361864020599</v>
      </c>
      <c r="L2664">
        <v>898.01037911998696</v>
      </c>
      <c r="M2664">
        <v>15.045450208124899</v>
      </c>
      <c r="N2664">
        <v>59.686507903635302</v>
      </c>
      <c r="O2664">
        <v>58.661859546808302</v>
      </c>
      <c r="P2664">
        <v>-6.4125789434733599E-2</v>
      </c>
      <c r="Q2664">
        <v>0</v>
      </c>
      <c r="R2664">
        <v>0.98421949788640595</v>
      </c>
      <c r="S2664" t="s">
        <v>9470</v>
      </c>
      <c r="T2664" t="s">
        <v>13610</v>
      </c>
      <c r="U2664" t="s">
        <v>13610</v>
      </c>
      <c r="V2664" t="s">
        <v>13610</v>
      </c>
      <c r="W2664" t="s">
        <v>16222</v>
      </c>
      <c r="X2664">
        <v>43</v>
      </c>
      <c r="Y2664" t="s">
        <v>22874</v>
      </c>
      <c r="Z2664" t="s">
        <v>29519</v>
      </c>
      <c r="AA2664">
        <v>0.66433004570798182</v>
      </c>
      <c r="AB2664" t="str">
        <f>HYPERLINK("Melting_Curves/meltCurve_P52888_THOP1.pdf", "Melting_Curves/meltCurve_P52888_THOP1.pdf")</f>
        <v>Melting_Curves/meltCurve_P52888_THOP1.pdf</v>
      </c>
    </row>
    <row r="2665" spans="1:28" x14ac:dyDescent="0.25">
      <c r="A2665" t="s">
        <v>2669</v>
      </c>
      <c r="B2665">
        <v>0.995954080203443</v>
      </c>
      <c r="C2665">
        <v>1.0320214911218499</v>
      </c>
      <c r="D2665">
        <v>1.00801502924624</v>
      </c>
      <c r="E2665">
        <v>0.99016218381593601</v>
      </c>
      <c r="F2665">
        <v>0.89748390248213195</v>
      </c>
      <c r="G2665">
        <v>0.70615728375268905</v>
      </c>
      <c r="H2665">
        <v>0.3778125555936</v>
      </c>
      <c r="I2665">
        <v>0.14150811704471999</v>
      </c>
      <c r="J2665">
        <v>9.6756220320620007E-2</v>
      </c>
      <c r="K2665">
        <v>9.3096535351137696E-2</v>
      </c>
      <c r="L2665">
        <v>1316.84439953382</v>
      </c>
      <c r="M2665">
        <v>22.3165956354696</v>
      </c>
      <c r="N2665">
        <v>59.229472824709497</v>
      </c>
      <c r="O2665">
        <v>58.539726320140602</v>
      </c>
      <c r="P2665">
        <v>-9.1482612782305198E-2</v>
      </c>
      <c r="Q2665">
        <v>4.0130623009301598E-2</v>
      </c>
      <c r="R2665">
        <v>0.99651509361123103</v>
      </c>
      <c r="S2665" t="s">
        <v>9471</v>
      </c>
      <c r="T2665" t="s">
        <v>13610</v>
      </c>
      <c r="U2665" t="s">
        <v>13610</v>
      </c>
      <c r="V2665" t="s">
        <v>13610</v>
      </c>
      <c r="W2665" t="s">
        <v>16223</v>
      </c>
      <c r="X2665">
        <v>18</v>
      </c>
      <c r="Y2665" t="s">
        <v>22875</v>
      </c>
      <c r="Z2665" t="s">
        <v>29520</v>
      </c>
      <c r="AA2665">
        <v>0.65714559665636707</v>
      </c>
      <c r="AB2665" t="str">
        <f>HYPERLINK("Melting_Curves/meltCurve_P52907_CAPZA1.pdf", "Melting_Curves/meltCurve_P52907_CAPZA1.pdf")</f>
        <v>Melting_Curves/meltCurve_P52907_CAPZA1.pdf</v>
      </c>
    </row>
    <row r="2666" spans="1:28" x14ac:dyDescent="0.25">
      <c r="A2666" t="s">
        <v>2670</v>
      </c>
      <c r="B2666">
        <v>0.995954080203443</v>
      </c>
      <c r="C2666">
        <v>0.86794955737632795</v>
      </c>
      <c r="D2666">
        <v>0.694732026782239</v>
      </c>
      <c r="E2666">
        <v>0.46329554773782</v>
      </c>
      <c r="F2666">
        <v>0.31743970968913698</v>
      </c>
      <c r="G2666">
        <v>0.23074749746047099</v>
      </c>
      <c r="H2666">
        <v>0.21671989779657799</v>
      </c>
      <c r="I2666">
        <v>0.24887973396786001</v>
      </c>
      <c r="J2666">
        <v>0.30565379017987698</v>
      </c>
      <c r="K2666">
        <v>0.31213153104526298</v>
      </c>
      <c r="L2666">
        <v>892.51833741889197</v>
      </c>
      <c r="M2666">
        <v>19.0332883869116</v>
      </c>
      <c r="N2666">
        <v>48.736461822246099</v>
      </c>
      <c r="O2666">
        <v>46.3840549916764</v>
      </c>
      <c r="P2666">
        <v>-7.6259129224247102E-2</v>
      </c>
      <c r="Q2666">
        <v>0.25665653863335303</v>
      </c>
      <c r="R2666">
        <v>0.982859222486831</v>
      </c>
      <c r="S2666" t="s">
        <v>9472</v>
      </c>
      <c r="T2666" t="s">
        <v>13610</v>
      </c>
      <c r="U2666" t="s">
        <v>13610</v>
      </c>
      <c r="V2666" t="s">
        <v>13610</v>
      </c>
      <c r="W2666" t="s">
        <v>16224</v>
      </c>
      <c r="X2666">
        <v>32</v>
      </c>
      <c r="Y2666" t="s">
        <v>22876</v>
      </c>
      <c r="Z2666" t="s">
        <v>29521</v>
      </c>
      <c r="AA2666">
        <v>0.43963747365220501</v>
      </c>
      <c r="AB2666" t="str">
        <f>HYPERLINK("Melting_Curves/meltCurve_P52948_5_NUP98.pdf", "Melting_Curves/meltCurve_P52948_5_NUP98.pdf")</f>
        <v>Melting_Curves/meltCurve_P52948_5_NUP98.pdf</v>
      </c>
    </row>
    <row r="2667" spans="1:28" x14ac:dyDescent="0.25">
      <c r="A2667" t="s">
        <v>2671</v>
      </c>
      <c r="B2667">
        <v>0.995954080203443</v>
      </c>
      <c r="C2667">
        <v>1.10205483139116</v>
      </c>
      <c r="D2667">
        <v>1.13215555690576</v>
      </c>
      <c r="E2667">
        <v>0.91351499045891804</v>
      </c>
      <c r="F2667">
        <v>0.40697957506139898</v>
      </c>
      <c r="G2667">
        <v>0.12384881166726899</v>
      </c>
      <c r="H2667">
        <v>7.9550980978150498E-2</v>
      </c>
      <c r="I2667">
        <v>7.2699536417837093E-2</v>
      </c>
      <c r="J2667">
        <v>7.6205302150112897E-2</v>
      </c>
      <c r="K2667">
        <v>7.4407737215025499E-2</v>
      </c>
      <c r="L2667">
        <v>2504.5083054905799</v>
      </c>
      <c r="M2667">
        <v>47.8379736112595</v>
      </c>
      <c r="N2667">
        <v>52.5481077057714</v>
      </c>
      <c r="O2667">
        <v>52.262740655767502</v>
      </c>
      <c r="P2667">
        <v>-0.21030040184107601</v>
      </c>
      <c r="Q2667">
        <v>8.0992567168335694E-2</v>
      </c>
      <c r="R2667">
        <v>0.98585254123515798</v>
      </c>
      <c r="S2667" t="s">
        <v>9473</v>
      </c>
      <c r="T2667" t="s">
        <v>13610</v>
      </c>
      <c r="U2667" t="s">
        <v>13610</v>
      </c>
      <c r="V2667" t="s">
        <v>13610</v>
      </c>
      <c r="W2667" t="s">
        <v>16225</v>
      </c>
      <c r="X2667">
        <v>15</v>
      </c>
      <c r="Y2667" t="s">
        <v>22877</v>
      </c>
      <c r="Z2667" t="s">
        <v>29522</v>
      </c>
      <c r="AA2667">
        <v>0.46175854577240472</v>
      </c>
      <c r="AB2667" t="str">
        <f>HYPERLINK("Melting_Curves/meltCurve_P53004_BLVRA.pdf", "Melting_Curves/meltCurve_P53004_BLVRA.pdf")</f>
        <v>Melting_Curves/meltCurve_P53004_BLVRA.pdf</v>
      </c>
    </row>
    <row r="2668" spans="1:28" x14ac:dyDescent="0.25">
      <c r="A2668" t="s">
        <v>2672</v>
      </c>
      <c r="B2668">
        <v>0.995954080203443</v>
      </c>
      <c r="C2668">
        <v>0.82015564353258497</v>
      </c>
      <c r="D2668">
        <v>0.58447399183661597</v>
      </c>
      <c r="E2668">
        <v>0.393367606571279</v>
      </c>
      <c r="F2668">
        <v>0.175616969527046</v>
      </c>
      <c r="G2668">
        <v>0.10153887018391899</v>
      </c>
      <c r="H2668">
        <v>7.9275598380808096E-2</v>
      </c>
      <c r="I2668">
        <v>8.6395700314841201E-2</v>
      </c>
      <c r="J2668">
        <v>0.114445072972468</v>
      </c>
      <c r="K2668">
        <v>9.8193652502611195E-2</v>
      </c>
      <c r="L2668">
        <v>757.36664944694905</v>
      </c>
      <c r="M2668">
        <v>16.126715661921299</v>
      </c>
      <c r="N2668">
        <v>47.465285331659402</v>
      </c>
      <c r="O2668">
        <v>46.259158060094201</v>
      </c>
      <c r="P2668">
        <v>-8.0329673851588096E-2</v>
      </c>
      <c r="Q2668">
        <v>7.8374143840491101E-2</v>
      </c>
      <c r="R2668">
        <v>0.98973180208355704</v>
      </c>
      <c r="S2668" t="s">
        <v>9474</v>
      </c>
      <c r="T2668" t="s">
        <v>13610</v>
      </c>
      <c r="U2668" t="s">
        <v>13610</v>
      </c>
      <c r="V2668" t="s">
        <v>13610</v>
      </c>
      <c r="W2668" t="s">
        <v>16226</v>
      </c>
      <c r="X2668">
        <v>5</v>
      </c>
      <c r="Y2668" t="s">
        <v>22878</v>
      </c>
      <c r="Z2668" t="s">
        <v>29523</v>
      </c>
      <c r="AA2668">
        <v>0.31387200791031911</v>
      </c>
      <c r="AB2668" t="str">
        <f>HYPERLINK("Melting_Curves/meltCurve_P53350_PLK1.pdf", "Melting_Curves/meltCurve_P53350_PLK1.pdf")</f>
        <v>Melting_Curves/meltCurve_P53350_PLK1.pdf</v>
      </c>
    </row>
    <row r="2669" spans="1:28" x14ac:dyDescent="0.25">
      <c r="A2669" t="s">
        <v>2673</v>
      </c>
      <c r="B2669">
        <v>0.995954080203443</v>
      </c>
      <c r="C2669">
        <v>0.97300895814840604</v>
      </c>
      <c r="D2669">
        <v>0.95316401104408799</v>
      </c>
      <c r="E2669">
        <v>0.72549923945244599</v>
      </c>
      <c r="F2669">
        <v>0.28590338520993502</v>
      </c>
      <c r="G2669">
        <v>0.10250592132752601</v>
      </c>
      <c r="H2669">
        <v>6.1071672193769001E-2</v>
      </c>
      <c r="I2669">
        <v>5.2478027979440602E-2</v>
      </c>
      <c r="J2669">
        <v>5.7495471939951401E-2</v>
      </c>
      <c r="K2669">
        <v>5.3673505413860401E-2</v>
      </c>
      <c r="L2669">
        <v>1694.6645135486001</v>
      </c>
      <c r="M2669">
        <v>33.052577467025301</v>
      </c>
      <c r="N2669">
        <v>51.458144053327203</v>
      </c>
      <c r="O2669">
        <v>51.0851983190637</v>
      </c>
      <c r="P2669">
        <v>-0.15262867310327999</v>
      </c>
      <c r="Q2669">
        <v>5.6408788470923399E-2</v>
      </c>
      <c r="R2669">
        <v>0.99894759616921602</v>
      </c>
      <c r="S2669" t="s">
        <v>9475</v>
      </c>
      <c r="T2669" t="s">
        <v>13610</v>
      </c>
      <c r="U2669" t="s">
        <v>13610</v>
      </c>
      <c r="V2669" t="s">
        <v>13610</v>
      </c>
      <c r="W2669" t="s">
        <v>16227</v>
      </c>
      <c r="X2669">
        <v>13</v>
      </c>
      <c r="Y2669" t="s">
        <v>22879</v>
      </c>
      <c r="Z2669" t="s">
        <v>29524</v>
      </c>
      <c r="AA2669">
        <v>0.41584836829588129</v>
      </c>
      <c r="AB2669" t="str">
        <f>HYPERLINK("Melting_Curves/meltCurve_P53365_ARFIP2.pdf", "Melting_Curves/meltCurve_P53365_ARFIP2.pdf")</f>
        <v>Melting_Curves/meltCurve_P53365_ARFIP2.pdf</v>
      </c>
    </row>
    <row r="2670" spans="1:28" x14ac:dyDescent="0.25">
      <c r="A2670" t="s">
        <v>2674</v>
      </c>
      <c r="B2670">
        <v>0.995954080203443</v>
      </c>
      <c r="C2670">
        <v>0.99117223848061797</v>
      </c>
      <c r="D2670">
        <v>0.99833331996894603</v>
      </c>
      <c r="E2670">
        <v>0.63656364557283496</v>
      </c>
      <c r="F2670">
        <v>0.26871284730010903</v>
      </c>
      <c r="G2670">
        <v>0.169607174205962</v>
      </c>
      <c r="H2670">
        <v>0.13109336105011399</v>
      </c>
      <c r="I2670">
        <v>0.13488510678798599</v>
      </c>
      <c r="J2670">
        <v>0.15971010867774499</v>
      </c>
      <c r="K2670">
        <v>0.154231727256359</v>
      </c>
      <c r="L2670">
        <v>1911.2335101501301</v>
      </c>
      <c r="M2670">
        <v>37.906404849538603</v>
      </c>
      <c r="N2670">
        <v>50.890819294198401</v>
      </c>
      <c r="O2670">
        <v>50.280072853273403</v>
      </c>
      <c r="P2670">
        <v>-0.16059174901589199</v>
      </c>
      <c r="Q2670">
        <v>0.14794899669621001</v>
      </c>
      <c r="R2670">
        <v>0.99906081925474999</v>
      </c>
      <c r="S2670" t="s">
        <v>9476</v>
      </c>
      <c r="T2670" t="s">
        <v>13610</v>
      </c>
      <c r="U2670" t="s">
        <v>13610</v>
      </c>
      <c r="V2670" t="s">
        <v>13610</v>
      </c>
      <c r="W2670" t="s">
        <v>16228</v>
      </c>
      <c r="X2670">
        <v>14</v>
      </c>
      <c r="Y2670" t="s">
        <v>22880</v>
      </c>
      <c r="Z2670" t="s">
        <v>29525</v>
      </c>
      <c r="AA2670">
        <v>0.44719928820422378</v>
      </c>
      <c r="AB2670" t="str">
        <f>HYPERLINK("Melting_Curves/meltCurve_P53367_2_ARFIP1.pdf", "Melting_Curves/meltCurve_P53367_2_ARFIP1.pdf")</f>
        <v>Melting_Curves/meltCurve_P53367_2_ARFIP1.pdf</v>
      </c>
    </row>
    <row r="2671" spans="1:28" x14ac:dyDescent="0.25">
      <c r="A2671" t="s">
        <v>2675</v>
      </c>
      <c r="B2671">
        <v>0.995954080203443</v>
      </c>
      <c r="C2671">
        <v>0.97628781282214805</v>
      </c>
      <c r="D2671">
        <v>0.85990296829823698</v>
      </c>
      <c r="E2671">
        <v>0.75701785338178096</v>
      </c>
      <c r="F2671">
        <v>0.62065719924981799</v>
      </c>
      <c r="G2671">
        <v>0.42832206279801699</v>
      </c>
      <c r="H2671">
        <v>0.25008997825068302</v>
      </c>
      <c r="I2671">
        <v>0.18140582361134899</v>
      </c>
      <c r="J2671">
        <v>0.200896024671878</v>
      </c>
      <c r="K2671">
        <v>0.14118208905385099</v>
      </c>
      <c r="L2671">
        <v>633.97172775895797</v>
      </c>
      <c r="M2671">
        <v>11.672654760832501</v>
      </c>
      <c r="N2671">
        <v>55.090193137157499</v>
      </c>
      <c r="O2671">
        <v>52.7919376710473</v>
      </c>
      <c r="P2671">
        <v>-5.1091864483696701E-2</v>
      </c>
      <c r="Q2671">
        <v>7.5954815704445802E-2</v>
      </c>
      <c r="R2671">
        <v>0.99508180702440396</v>
      </c>
      <c r="S2671" t="s">
        <v>9477</v>
      </c>
      <c r="T2671" t="s">
        <v>13610</v>
      </c>
      <c r="U2671" t="s">
        <v>13610</v>
      </c>
      <c r="V2671" t="s">
        <v>13610</v>
      </c>
      <c r="W2671" t="s">
        <v>16229</v>
      </c>
      <c r="X2671">
        <v>1</v>
      </c>
      <c r="Y2671" t="s">
        <v>22881</v>
      </c>
      <c r="Z2671" t="s">
        <v>29526</v>
      </c>
      <c r="AA2671">
        <v>0.54074862845446103</v>
      </c>
      <c r="AB2671" t="str">
        <f>HYPERLINK("Melting_Curves/meltCurve_P53370_2_NUDT6.pdf", "Melting_Curves/meltCurve_P53370_2_NUDT6.pdf")</f>
        <v>Melting_Curves/meltCurve_P53370_2_NUDT6.pdf</v>
      </c>
    </row>
    <row r="2672" spans="1:28" x14ac:dyDescent="0.25">
      <c r="A2672" t="s">
        <v>2676</v>
      </c>
      <c r="B2672">
        <v>0.995954080203443</v>
      </c>
      <c r="C2672">
        <v>1.01056068288636</v>
      </c>
      <c r="D2672">
        <v>0.86856391358649698</v>
      </c>
      <c r="E2672">
        <v>0.549414795314631</v>
      </c>
      <c r="F2672">
        <v>0.23599695041527299</v>
      </c>
      <c r="G2672">
        <v>0.122637220522352</v>
      </c>
      <c r="H2672">
        <v>7.6356126420398504E-2</v>
      </c>
      <c r="I2672">
        <v>5.7292205957150601E-2</v>
      </c>
      <c r="J2672">
        <v>6.2285916226829698E-2</v>
      </c>
      <c r="K2672">
        <v>5.1556414757536501E-2</v>
      </c>
      <c r="L2672">
        <v>1166.5588946974401</v>
      </c>
      <c r="M2672">
        <v>23.319529191799099</v>
      </c>
      <c r="N2672">
        <v>50.285494723530903</v>
      </c>
      <c r="O2672">
        <v>49.6614588259838</v>
      </c>
      <c r="P2672">
        <v>-0.110714777398704</v>
      </c>
      <c r="Q2672">
        <v>5.6900355015718801E-2</v>
      </c>
      <c r="R2672">
        <v>0.99835218500882295</v>
      </c>
      <c r="S2672" t="s">
        <v>9478</v>
      </c>
      <c r="T2672" t="s">
        <v>13610</v>
      </c>
      <c r="U2672" t="s">
        <v>13610</v>
      </c>
      <c r="V2672" t="s">
        <v>13610</v>
      </c>
      <c r="W2672" t="s">
        <v>16230</v>
      </c>
      <c r="X2672">
        <v>5</v>
      </c>
      <c r="Y2672" t="s">
        <v>22882</v>
      </c>
      <c r="Z2672" t="s">
        <v>29527</v>
      </c>
      <c r="AA2672">
        <v>0.38174493125683973</v>
      </c>
      <c r="AB2672" t="str">
        <f>HYPERLINK("Melting_Curves/meltCurve_P53384_2_NUBP1.pdf", "Melting_Curves/meltCurve_P53384_2_NUBP1.pdf")</f>
        <v>Melting_Curves/meltCurve_P53384_2_NUBP1.pdf</v>
      </c>
    </row>
    <row r="2673" spans="1:28" x14ac:dyDescent="0.25">
      <c r="A2673" t="s">
        <v>2677</v>
      </c>
      <c r="B2673">
        <v>0.995954080203443</v>
      </c>
      <c r="C2673">
        <v>0.75774496771136202</v>
      </c>
      <c r="D2673">
        <v>0.34320312656331498</v>
      </c>
      <c r="E2673">
        <v>0.24972700070200601</v>
      </c>
      <c r="F2673">
        <v>0.175281053151882</v>
      </c>
      <c r="G2673">
        <v>0.11850023366275</v>
      </c>
      <c r="H2673">
        <v>9.9251757623403505E-2</v>
      </c>
      <c r="I2673">
        <v>0.108876223597315</v>
      </c>
      <c r="J2673">
        <v>0.12220094704213801</v>
      </c>
      <c r="K2673">
        <v>0.11498044256048499</v>
      </c>
      <c r="L2673">
        <v>1191.60645444037</v>
      </c>
      <c r="M2673">
        <v>26.841983964774698</v>
      </c>
      <c r="N2673">
        <v>44.896862948788197</v>
      </c>
      <c r="O2673">
        <v>44.149198859267699</v>
      </c>
      <c r="P2673">
        <v>-0.13224314504720899</v>
      </c>
      <c r="Q2673">
        <v>0.12996492880889701</v>
      </c>
      <c r="R2673">
        <v>0.98664921041540499</v>
      </c>
      <c r="S2673" t="s">
        <v>9479</v>
      </c>
      <c r="T2673" t="s">
        <v>13610</v>
      </c>
      <c r="U2673" t="s">
        <v>13610</v>
      </c>
      <c r="V2673" t="s">
        <v>13610</v>
      </c>
      <c r="W2673" t="s">
        <v>16231</v>
      </c>
      <c r="X2673">
        <v>6</v>
      </c>
      <c r="Y2673" t="s">
        <v>22883</v>
      </c>
      <c r="Z2673" t="s">
        <v>29528</v>
      </c>
      <c r="AA2673">
        <v>0.26523443916845241</v>
      </c>
      <c r="AB2673" t="str">
        <f>HYPERLINK("Melting_Curves/meltCurve_P53582_METAP1.pdf", "Melting_Curves/meltCurve_P53582_METAP1.pdf")</f>
        <v>Melting_Curves/meltCurve_P53582_METAP1.pdf</v>
      </c>
    </row>
    <row r="2674" spans="1:28" x14ac:dyDescent="0.25">
      <c r="A2674" t="s">
        <v>2678</v>
      </c>
      <c r="B2674">
        <v>0.995954080203443</v>
      </c>
      <c r="C2674">
        <v>0.84844854298063999</v>
      </c>
      <c r="D2674">
        <v>0.68698616165830295</v>
      </c>
      <c r="E2674">
        <v>0.30369321390029402</v>
      </c>
      <c r="F2674">
        <v>0.14378397048507699</v>
      </c>
      <c r="G2674">
        <v>9.1041693551641503E-2</v>
      </c>
      <c r="H2674">
        <v>6.7037829411853003E-2</v>
      </c>
      <c r="I2674">
        <v>6.7203181573161505E-2</v>
      </c>
      <c r="J2674">
        <v>7.3680331671436505E-2</v>
      </c>
      <c r="K2674">
        <v>6.4373284444616902E-2</v>
      </c>
      <c r="L2674">
        <v>932.81375388584502</v>
      </c>
      <c r="M2674">
        <v>19.701404119553501</v>
      </c>
      <c r="N2674">
        <v>47.654203214508001</v>
      </c>
      <c r="O2674">
        <v>46.867858926811202</v>
      </c>
      <c r="P2674">
        <v>-9.88375614826036E-2</v>
      </c>
      <c r="Q2674">
        <v>5.9530002308355902E-2</v>
      </c>
      <c r="R2674">
        <v>0.99714663875932597</v>
      </c>
      <c r="S2674" t="s">
        <v>9480</v>
      </c>
      <c r="T2674" t="s">
        <v>13610</v>
      </c>
      <c r="U2674" t="s">
        <v>13610</v>
      </c>
      <c r="V2674" t="s">
        <v>13610</v>
      </c>
      <c r="W2674" t="s">
        <v>16232</v>
      </c>
      <c r="X2674">
        <v>7</v>
      </c>
      <c r="Y2674" t="s">
        <v>22884</v>
      </c>
      <c r="Z2674" t="s">
        <v>29529</v>
      </c>
      <c r="AA2674">
        <v>0.30391775165872081</v>
      </c>
      <c r="AB2674" t="str">
        <f>HYPERLINK("Melting_Curves/meltCurve_P53597_SUCLG1.pdf", "Melting_Curves/meltCurve_P53597_SUCLG1.pdf")</f>
        <v>Melting_Curves/meltCurve_P53597_SUCLG1.pdf</v>
      </c>
    </row>
    <row r="2675" spans="1:28" x14ac:dyDescent="0.25">
      <c r="A2675" t="s">
        <v>2679</v>
      </c>
      <c r="B2675">
        <v>0.995954080203443</v>
      </c>
      <c r="C2675">
        <v>0.96877005268586902</v>
      </c>
      <c r="D2675">
        <v>1.0943423376781001</v>
      </c>
      <c r="E2675">
        <v>0.76549365675823799</v>
      </c>
      <c r="F2675">
        <v>0.35428867630735</v>
      </c>
      <c r="G2675">
        <v>0.131564821995938</v>
      </c>
      <c r="H2675">
        <v>8.5773030121844507E-2</v>
      </c>
      <c r="I2675">
        <v>7.6994648647060002E-2</v>
      </c>
      <c r="J2675">
        <v>8.6704488283597905E-2</v>
      </c>
      <c r="K2675">
        <v>7.2112065542587298E-2</v>
      </c>
      <c r="L2675">
        <v>1811.8077504129899</v>
      </c>
      <c r="M2675">
        <v>35.076247016041698</v>
      </c>
      <c r="N2675">
        <v>51.922039222509</v>
      </c>
      <c r="O2675">
        <v>51.486406058275499</v>
      </c>
      <c r="P2675">
        <v>-0.15618559185193101</v>
      </c>
      <c r="Q2675">
        <v>8.2980235629161098E-2</v>
      </c>
      <c r="R2675">
        <v>0.99252824314541199</v>
      </c>
      <c r="S2675" t="s">
        <v>9481</v>
      </c>
      <c r="T2675" t="s">
        <v>13610</v>
      </c>
      <c r="U2675" t="s">
        <v>13610</v>
      </c>
      <c r="V2675" t="s">
        <v>13610</v>
      </c>
      <c r="W2675" t="s">
        <v>16233</v>
      </c>
      <c r="X2675">
        <v>18</v>
      </c>
      <c r="Y2675" t="s">
        <v>22885</v>
      </c>
      <c r="Z2675" t="s">
        <v>29530</v>
      </c>
      <c r="AA2675">
        <v>0.4434561763885278</v>
      </c>
      <c r="AB2675" t="str">
        <f>HYPERLINK("Melting_Curves/meltCurve_P53602_MVD.pdf", "Melting_Curves/meltCurve_P53602_MVD.pdf")</f>
        <v>Melting_Curves/meltCurve_P53602_MVD.pdf</v>
      </c>
    </row>
    <row r="2676" spans="1:28" x14ac:dyDescent="0.25">
      <c r="A2676" t="s">
        <v>2680</v>
      </c>
      <c r="B2676">
        <v>0.995954080203443</v>
      </c>
      <c r="C2676">
        <v>1.03016630509865</v>
      </c>
      <c r="D2676">
        <v>1.0016886156840601</v>
      </c>
      <c r="E2676">
        <v>0.69784260434376499</v>
      </c>
      <c r="F2676">
        <v>0.336542357117246</v>
      </c>
      <c r="G2676">
        <v>0.146667005642762</v>
      </c>
      <c r="H2676">
        <v>9.01725545383327E-2</v>
      </c>
      <c r="I2676">
        <v>8.1827112330062707E-2</v>
      </c>
      <c r="J2676">
        <v>8.0209403688860606E-2</v>
      </c>
      <c r="K2676">
        <v>8.37527819069602E-2</v>
      </c>
      <c r="L2676">
        <v>1525.75373415073</v>
      </c>
      <c r="M2676">
        <v>29.7624737238237</v>
      </c>
      <c r="N2676">
        <v>51.5877403128612</v>
      </c>
      <c r="O2676">
        <v>51.034580173883498</v>
      </c>
      <c r="P2676">
        <v>-0.133388985688314</v>
      </c>
      <c r="Q2676">
        <v>8.5102246794335895E-2</v>
      </c>
      <c r="R2676">
        <v>0.99844823082052803</v>
      </c>
      <c r="S2676" t="s">
        <v>9482</v>
      </c>
      <c r="T2676" t="s">
        <v>13610</v>
      </c>
      <c r="U2676" t="s">
        <v>13610</v>
      </c>
      <c r="V2676" t="s">
        <v>13610</v>
      </c>
      <c r="W2676" t="s">
        <v>16234</v>
      </c>
      <c r="X2676">
        <v>10</v>
      </c>
      <c r="Y2676" t="s">
        <v>22886</v>
      </c>
      <c r="Z2676" t="s">
        <v>29531</v>
      </c>
      <c r="AA2676">
        <v>0.43449611820417672</v>
      </c>
      <c r="AB2676" t="str">
        <f>HYPERLINK("Melting_Curves/meltCurve_P53609_PGGT1B.pdf", "Melting_Curves/meltCurve_P53609_PGGT1B.pdf")</f>
        <v>Melting_Curves/meltCurve_P53609_PGGT1B.pdf</v>
      </c>
    </row>
    <row r="2677" spans="1:28" x14ac:dyDescent="0.25">
      <c r="A2677" t="s">
        <v>2681</v>
      </c>
      <c r="B2677">
        <v>0.995954080203443</v>
      </c>
      <c r="C2677">
        <v>1.0019771846560399</v>
      </c>
      <c r="D2677">
        <v>0.93277468525954799</v>
      </c>
      <c r="E2677">
        <v>0.64953391032043895</v>
      </c>
      <c r="F2677">
        <v>0.25599947905084403</v>
      </c>
      <c r="G2677">
        <v>0.136779982245716</v>
      </c>
      <c r="H2677">
        <v>8.1615290566584203E-2</v>
      </c>
      <c r="I2677">
        <v>6.7313973476894495E-2</v>
      </c>
      <c r="J2677">
        <v>7.7592180395180801E-2</v>
      </c>
      <c r="K2677">
        <v>7.4386838961305699E-2</v>
      </c>
      <c r="L2677">
        <v>1507.2341145683699</v>
      </c>
      <c r="M2677">
        <v>29.723432729706701</v>
      </c>
      <c r="N2677">
        <v>50.993995775070502</v>
      </c>
      <c r="O2677">
        <v>50.480767690570602</v>
      </c>
      <c r="P2677">
        <v>-0.13592390079967101</v>
      </c>
      <c r="Q2677">
        <v>7.6621625345249397E-2</v>
      </c>
      <c r="R2677">
        <v>0.99859916853156605</v>
      </c>
      <c r="S2677" t="s">
        <v>9483</v>
      </c>
      <c r="T2677" t="s">
        <v>13610</v>
      </c>
      <c r="U2677" t="s">
        <v>13610</v>
      </c>
      <c r="V2677" t="s">
        <v>13610</v>
      </c>
      <c r="W2677" t="s">
        <v>16235</v>
      </c>
      <c r="X2677">
        <v>5</v>
      </c>
      <c r="Y2677" t="s">
        <v>22887</v>
      </c>
      <c r="Z2677" t="s">
        <v>29532</v>
      </c>
      <c r="AA2677">
        <v>0.41211149680577702</v>
      </c>
      <c r="AB2677" t="str">
        <f>HYPERLINK("Melting_Curves/meltCurve_P53611_RABGGTB.pdf", "Melting_Curves/meltCurve_P53611_RABGGTB.pdf")</f>
        <v>Melting_Curves/meltCurve_P53611_RABGGTB.pdf</v>
      </c>
    </row>
    <row r="2678" spans="1:28" x14ac:dyDescent="0.25">
      <c r="A2678" t="s">
        <v>2682</v>
      </c>
      <c r="B2678">
        <v>0.995954080203443</v>
      </c>
      <c r="C2678">
        <v>0.77743854693721104</v>
      </c>
      <c r="D2678">
        <v>0.56743242409635297</v>
      </c>
      <c r="E2678">
        <v>0.59806595515355698</v>
      </c>
      <c r="F2678">
        <v>0.25853861791909</v>
      </c>
      <c r="G2678">
        <v>0.13841896717671301</v>
      </c>
      <c r="H2678">
        <v>7.6853156335343398E-2</v>
      </c>
      <c r="I2678">
        <v>6.3823718501835894E-2</v>
      </c>
      <c r="J2678">
        <v>6.3879818008713896E-2</v>
      </c>
      <c r="K2678">
        <v>6.1412339195278401E-2</v>
      </c>
      <c r="L2678">
        <v>528.66805111359702</v>
      </c>
      <c r="M2678">
        <v>10.809416553827701</v>
      </c>
      <c r="N2678">
        <v>48.908083440791401</v>
      </c>
      <c r="O2678">
        <v>47.323452989696101</v>
      </c>
      <c r="P2678">
        <v>-5.7124515322271197E-2</v>
      </c>
      <c r="Q2678">
        <v>0</v>
      </c>
      <c r="R2678">
        <v>0.95654040816337305</v>
      </c>
      <c r="S2678" t="s">
        <v>9484</v>
      </c>
      <c r="T2678" t="s">
        <v>13610</v>
      </c>
      <c r="U2678" t="s">
        <v>13610</v>
      </c>
      <c r="V2678" t="s">
        <v>13610</v>
      </c>
      <c r="W2678" t="s">
        <v>15894</v>
      </c>
      <c r="X2678">
        <v>47</v>
      </c>
      <c r="Y2678" t="s">
        <v>22888</v>
      </c>
      <c r="Z2678" t="s">
        <v>29533</v>
      </c>
      <c r="AA2678">
        <v>0.34072477618963259</v>
      </c>
      <c r="AB2678" t="str">
        <f>HYPERLINK("Melting_Curves/meltCurve_P53618_COPB1.pdf", "Melting_Curves/meltCurve_P53618_COPB1.pdf")</f>
        <v>Melting_Curves/meltCurve_P53618_COPB1.pdf</v>
      </c>
    </row>
    <row r="2679" spans="1:28" x14ac:dyDescent="0.25">
      <c r="A2679" t="s">
        <v>2683</v>
      </c>
      <c r="B2679">
        <v>0.995954080203443</v>
      </c>
      <c r="C2679">
        <v>0.68164662524990305</v>
      </c>
      <c r="D2679">
        <v>0.4458296092465</v>
      </c>
      <c r="E2679">
        <v>0.55969444981287397</v>
      </c>
      <c r="F2679">
        <v>0.17244839208951901</v>
      </c>
      <c r="G2679">
        <v>7.3360096065804306E-2</v>
      </c>
      <c r="H2679">
        <v>4.6332645788649901E-2</v>
      </c>
      <c r="I2679">
        <v>4.0467540108823502E-2</v>
      </c>
      <c r="J2679">
        <v>4.25148065737685E-2</v>
      </c>
      <c r="K2679">
        <v>4.1242316227403097E-2</v>
      </c>
      <c r="L2679">
        <v>522.28120616386298</v>
      </c>
      <c r="M2679">
        <v>11.0771009894545</v>
      </c>
      <c r="N2679">
        <v>47.149631620504898</v>
      </c>
      <c r="O2679">
        <v>45.6912200971963</v>
      </c>
      <c r="P2679">
        <v>-6.06284125615442E-2</v>
      </c>
      <c r="Q2679">
        <v>0</v>
      </c>
      <c r="R2679">
        <v>0.91818320766181605</v>
      </c>
      <c r="S2679" t="s">
        <v>9485</v>
      </c>
      <c r="T2679" t="s">
        <v>13610</v>
      </c>
      <c r="U2679" t="s">
        <v>13610</v>
      </c>
      <c r="V2679" t="s">
        <v>13610</v>
      </c>
      <c r="W2679" t="s">
        <v>16236</v>
      </c>
      <c r="X2679">
        <v>58</v>
      </c>
      <c r="Y2679" t="s">
        <v>22889</v>
      </c>
      <c r="Z2679" t="s">
        <v>29534</v>
      </c>
      <c r="AA2679">
        <v>0.2861786163684007</v>
      </c>
      <c r="AB2679" t="str">
        <f>HYPERLINK("Melting_Curves/meltCurve_P53621_COPA.pdf", "Melting_Curves/meltCurve_P53621_COPA.pdf")</f>
        <v>Melting_Curves/meltCurve_P53621_COPA.pdf</v>
      </c>
    </row>
    <row r="2680" spans="1:28" x14ac:dyDescent="0.25">
      <c r="A2680" t="s">
        <v>2684</v>
      </c>
      <c r="B2680">
        <v>0.995954080203443</v>
      </c>
      <c r="C2680">
        <v>1.0786550562680599</v>
      </c>
      <c r="D2680">
        <v>0.85509269523987996</v>
      </c>
      <c r="E2680">
        <v>0.87035623001061002</v>
      </c>
      <c r="F2680">
        <v>0.68451649196938102</v>
      </c>
      <c r="G2680">
        <v>0.43544195941470998</v>
      </c>
      <c r="H2680">
        <v>0.25885040603829201</v>
      </c>
      <c r="I2680">
        <v>0.21642765776781001</v>
      </c>
      <c r="J2680">
        <v>0.18058702798198401</v>
      </c>
      <c r="K2680">
        <v>0.13044137678890499</v>
      </c>
      <c r="L2680">
        <v>825.74725643264605</v>
      </c>
      <c r="M2680">
        <v>15.001077931887799</v>
      </c>
      <c r="N2680">
        <v>55.949200654656799</v>
      </c>
      <c r="O2680">
        <v>54.095444641125503</v>
      </c>
      <c r="P2680">
        <v>-6.1876962929698E-2</v>
      </c>
      <c r="Q2680">
        <v>0.10755117740796</v>
      </c>
      <c r="R2680">
        <v>0.98325494192193397</v>
      </c>
      <c r="S2680" t="s">
        <v>9486</v>
      </c>
      <c r="T2680" t="s">
        <v>13610</v>
      </c>
      <c r="U2680" t="s">
        <v>13610</v>
      </c>
      <c r="V2680" t="s">
        <v>13610</v>
      </c>
      <c r="W2680" t="s">
        <v>16237</v>
      </c>
      <c r="X2680">
        <v>12</v>
      </c>
      <c r="Y2680" t="s">
        <v>22890</v>
      </c>
      <c r="Z2680" t="s">
        <v>29535</v>
      </c>
      <c r="AA2680">
        <v>0.57229073550294107</v>
      </c>
      <c r="AB2680" t="str">
        <f>HYPERLINK("Melting_Curves/meltCurve_P53634_CTSC.pdf", "Melting_Curves/meltCurve_P53634_CTSC.pdf")</f>
        <v>Melting_Curves/meltCurve_P53634_CTSC.pdf</v>
      </c>
    </row>
    <row r="2681" spans="1:28" x14ac:dyDescent="0.25">
      <c r="A2681" t="s">
        <v>2685</v>
      </c>
      <c r="B2681">
        <v>0.995954080203443</v>
      </c>
      <c r="C2681">
        <v>0.97273969222963097</v>
      </c>
      <c r="D2681">
        <v>0.70349346533936297</v>
      </c>
      <c r="E2681">
        <v>0.42991540384466997</v>
      </c>
      <c r="F2681">
        <v>0.27141881210167501</v>
      </c>
      <c r="G2681">
        <v>0.19921194870990799</v>
      </c>
      <c r="H2681">
        <v>0.15181882589006701</v>
      </c>
      <c r="I2681">
        <v>0.143785501366503</v>
      </c>
      <c r="J2681">
        <v>0.15591117075233901</v>
      </c>
      <c r="K2681">
        <v>0.15306274054205199</v>
      </c>
      <c r="L2681">
        <v>929.41747266248103</v>
      </c>
      <c r="M2681">
        <v>19.3701986599627</v>
      </c>
      <c r="N2681">
        <v>48.877164069631398</v>
      </c>
      <c r="O2681">
        <v>47.479204321084701</v>
      </c>
      <c r="P2681">
        <v>-8.6763585796901493E-2</v>
      </c>
      <c r="Q2681">
        <v>0.14935021066260601</v>
      </c>
      <c r="R2681">
        <v>0.99545563526192504</v>
      </c>
      <c r="S2681" t="s">
        <v>9487</v>
      </c>
      <c r="T2681" t="s">
        <v>13610</v>
      </c>
      <c r="U2681" t="s">
        <v>13610</v>
      </c>
      <c r="V2681" t="s">
        <v>13610</v>
      </c>
      <c r="W2681" t="s">
        <v>16238</v>
      </c>
      <c r="X2681">
        <v>3</v>
      </c>
      <c r="Y2681" t="s">
        <v>22891</v>
      </c>
      <c r="Z2681" t="s">
        <v>29536</v>
      </c>
      <c r="AA2681">
        <v>0.38861646950589268</v>
      </c>
      <c r="AB2681" t="str">
        <f>HYPERLINK("Melting_Curves/meltCurve_P53667_4_LIMK1.pdf", "Melting_Curves/meltCurve_P53667_4_LIMK1.pdf")</f>
        <v>Melting_Curves/meltCurve_P53667_4_LIMK1.pdf</v>
      </c>
    </row>
    <row r="2682" spans="1:28" x14ac:dyDescent="0.25">
      <c r="A2682" t="s">
        <v>2686</v>
      </c>
      <c r="B2682">
        <v>0.995954080203443</v>
      </c>
      <c r="C2682">
        <v>1.0783888884370201</v>
      </c>
      <c r="D2682">
        <v>1.00930745316713</v>
      </c>
      <c r="E2682">
        <v>1.0116580461373099</v>
      </c>
      <c r="F2682">
        <v>7.5798893795657005E-2</v>
      </c>
      <c r="G2682">
        <v>6.2088572208539701E-2</v>
      </c>
      <c r="H2682">
        <v>3.03964545687656E-2</v>
      </c>
      <c r="I2682">
        <v>3.1436962613339899E-2</v>
      </c>
      <c r="J2682">
        <v>3.4832809450293697E-2</v>
      </c>
      <c r="K2682">
        <v>3.4840598216246098E-2</v>
      </c>
      <c r="L2682">
        <v>13079.564982424399</v>
      </c>
      <c r="M2682">
        <v>250</v>
      </c>
      <c r="N2682">
        <v>52.335137110753799</v>
      </c>
      <c r="O2682">
        <v>52.314891735475697</v>
      </c>
      <c r="P2682">
        <v>-1.14843150839701</v>
      </c>
      <c r="Q2682">
        <v>3.8718507782871399E-2</v>
      </c>
      <c r="R2682">
        <v>0.99692849796888905</v>
      </c>
      <c r="S2682" t="s">
        <v>9488</v>
      </c>
      <c r="T2682" t="s">
        <v>13610</v>
      </c>
      <c r="U2682" t="s">
        <v>13610</v>
      </c>
      <c r="V2682" t="s">
        <v>13610</v>
      </c>
      <c r="W2682" t="s">
        <v>16239</v>
      </c>
      <c r="X2682">
        <v>20</v>
      </c>
      <c r="Y2682" t="s">
        <v>22892</v>
      </c>
      <c r="Z2682" t="s">
        <v>29537</v>
      </c>
      <c r="AA2682">
        <v>0.43351728002716677</v>
      </c>
      <c r="AB2682" t="str">
        <f>HYPERLINK("Melting_Curves/meltCurve_P53675_2_CLTCL1.pdf", "Melting_Curves/meltCurve_P53675_2_CLTCL1.pdf")</f>
        <v>Melting_Curves/meltCurve_P53675_2_CLTCL1.pdf</v>
      </c>
    </row>
    <row r="2683" spans="1:28" x14ac:dyDescent="0.25">
      <c r="A2683" t="s">
        <v>2687</v>
      </c>
      <c r="B2683">
        <v>0.995954080203443</v>
      </c>
      <c r="C2683">
        <v>0.92266151955588105</v>
      </c>
      <c r="D2683">
        <v>0.78723906862661297</v>
      </c>
      <c r="E2683">
        <v>0.69123427350788902</v>
      </c>
      <c r="F2683">
        <v>0.49412836171565</v>
      </c>
      <c r="G2683">
        <v>0.350409979078661</v>
      </c>
      <c r="H2683">
        <v>0.26447221030488699</v>
      </c>
      <c r="I2683">
        <v>0.19284764832108101</v>
      </c>
      <c r="J2683">
        <v>0.14352614879178299</v>
      </c>
      <c r="K2683">
        <v>0.13378225493893101</v>
      </c>
      <c r="L2683">
        <v>539.73503413613503</v>
      </c>
      <c r="M2683">
        <v>10.2551156219898</v>
      </c>
      <c r="N2683">
        <v>53.322435877699299</v>
      </c>
      <c r="O2683">
        <v>50.747334731686202</v>
      </c>
      <c r="P2683">
        <v>-4.7395200614986699E-2</v>
      </c>
      <c r="Q2683">
        <v>6.22758682944047E-2</v>
      </c>
      <c r="R2683">
        <v>0.99511936795220302</v>
      </c>
      <c r="S2683" t="s">
        <v>9489</v>
      </c>
      <c r="T2683" t="s">
        <v>13610</v>
      </c>
      <c r="U2683" t="s">
        <v>13610</v>
      </c>
      <c r="V2683" t="s">
        <v>13610</v>
      </c>
      <c r="W2683" t="s">
        <v>16240</v>
      </c>
      <c r="X2683">
        <v>12</v>
      </c>
      <c r="Y2683" t="s">
        <v>22893</v>
      </c>
      <c r="Z2683" t="s">
        <v>29538</v>
      </c>
      <c r="AA2683">
        <v>0.48966483130378552</v>
      </c>
      <c r="AB2683" t="str">
        <f>HYPERLINK("Melting_Curves/meltCurve_P53677_AP3M2.pdf", "Melting_Curves/meltCurve_P53677_AP3M2.pdf")</f>
        <v>Melting_Curves/meltCurve_P53677_AP3M2.pdf</v>
      </c>
    </row>
    <row r="2684" spans="1:28" x14ac:dyDescent="0.25">
      <c r="A2684" t="s">
        <v>2688</v>
      </c>
      <c r="B2684">
        <v>0.995954080203443</v>
      </c>
      <c r="C2684">
        <v>0.90764778759890397</v>
      </c>
      <c r="D2684">
        <v>0.75935433058159296</v>
      </c>
      <c r="E2684">
        <v>0.78961722622093899</v>
      </c>
      <c r="F2684">
        <v>0.47350645549498999</v>
      </c>
      <c r="G2684">
        <v>0.254541569994362</v>
      </c>
      <c r="H2684">
        <v>0.12575240519675299</v>
      </c>
      <c r="I2684">
        <v>9.2546087288515502E-2</v>
      </c>
      <c r="J2684">
        <v>0.113158095800486</v>
      </c>
      <c r="K2684">
        <v>8.8476457200309805E-2</v>
      </c>
      <c r="L2684">
        <v>681.55630458336498</v>
      </c>
      <c r="M2684">
        <v>12.969074431563399</v>
      </c>
      <c r="N2684">
        <v>52.763075847700001</v>
      </c>
      <c r="O2684">
        <v>51.350019834657203</v>
      </c>
      <c r="P2684">
        <v>-6.1558413862093299E-2</v>
      </c>
      <c r="Q2684">
        <v>2.5231199863528501E-2</v>
      </c>
      <c r="R2684">
        <v>0.97327830707332497</v>
      </c>
      <c r="S2684" t="s">
        <v>9490</v>
      </c>
      <c r="T2684" t="s">
        <v>13610</v>
      </c>
      <c r="U2684" t="s">
        <v>13610</v>
      </c>
      <c r="V2684" t="s">
        <v>13610</v>
      </c>
      <c r="W2684" t="s">
        <v>16241</v>
      </c>
      <c r="X2684">
        <v>5</v>
      </c>
      <c r="Y2684" t="s">
        <v>22894</v>
      </c>
      <c r="Z2684" t="s">
        <v>29539</v>
      </c>
      <c r="AA2684">
        <v>0.4591573932122896</v>
      </c>
      <c r="AB2684" t="str">
        <f>HYPERLINK("Melting_Curves/meltCurve_P53680_AP2S1.pdf", "Melting_Curves/meltCurve_P53680_AP2S1.pdf")</f>
        <v>Melting_Curves/meltCurve_P53680_AP2S1.pdf</v>
      </c>
    </row>
    <row r="2685" spans="1:28" x14ac:dyDescent="0.25">
      <c r="A2685" t="s">
        <v>2689</v>
      </c>
      <c r="B2685">
        <v>0.995954080203443</v>
      </c>
      <c r="C2685">
        <v>0.95428711417240097</v>
      </c>
      <c r="D2685">
        <v>0.89530344206231904</v>
      </c>
      <c r="E2685">
        <v>0.84210260676175697</v>
      </c>
      <c r="F2685">
        <v>0.80838701716938799</v>
      </c>
      <c r="G2685">
        <v>0.62194637281725096</v>
      </c>
      <c r="H2685">
        <v>0.60794721056544698</v>
      </c>
      <c r="I2685">
        <v>0.76576662202229795</v>
      </c>
      <c r="J2685">
        <v>0.87318963365737301</v>
      </c>
      <c r="K2685">
        <v>0.82356825082907603</v>
      </c>
      <c r="L2685">
        <v>933.81221403969801</v>
      </c>
      <c r="M2685">
        <v>19.771609135610198</v>
      </c>
      <c r="O2685">
        <v>46.7547642727652</v>
      </c>
      <c r="P2685">
        <v>-2.6773504730634001E-2</v>
      </c>
      <c r="Q2685">
        <v>0.74675884875714804</v>
      </c>
      <c r="R2685">
        <v>0.57069849035971898</v>
      </c>
      <c r="S2685" t="s">
        <v>9491</v>
      </c>
      <c r="T2685" t="s">
        <v>13610</v>
      </c>
      <c r="U2685" t="s">
        <v>13610</v>
      </c>
      <c r="V2685" t="s">
        <v>13610</v>
      </c>
      <c r="W2685" t="s">
        <v>16242</v>
      </c>
      <c r="X2685">
        <v>2</v>
      </c>
      <c r="Y2685" t="s">
        <v>22895</v>
      </c>
      <c r="Z2685" t="s">
        <v>29540</v>
      </c>
      <c r="AA2685">
        <v>0.81155860304027549</v>
      </c>
      <c r="AB2685" t="str">
        <f>HYPERLINK("Melting_Curves/meltCurve_P53701_HCCS.pdf", "Melting_Curves/meltCurve_P53701_HCCS.pdf")</f>
        <v>Melting_Curves/meltCurve_P53701_HCCS.pdf</v>
      </c>
    </row>
    <row r="2686" spans="1:28" x14ac:dyDescent="0.25">
      <c r="A2686" t="s">
        <v>2690</v>
      </c>
      <c r="B2686">
        <v>0.995954080203443</v>
      </c>
      <c r="C2686">
        <v>0.91823695798227301</v>
      </c>
      <c r="D2686">
        <v>1.0262661160050901</v>
      </c>
      <c r="E2686">
        <v>0.80630208359948297</v>
      </c>
      <c r="F2686">
        <v>0.56549300626890497</v>
      </c>
      <c r="G2686">
        <v>0.131748937503155</v>
      </c>
      <c r="H2686">
        <v>7.6004886807431102E-2</v>
      </c>
      <c r="I2686">
        <v>5.7670786051539497E-2</v>
      </c>
      <c r="J2686">
        <v>6.7081393526868094E-2</v>
      </c>
      <c r="K2686">
        <v>5.9360476714431197E-2</v>
      </c>
      <c r="L2686">
        <v>1467.24444579128</v>
      </c>
      <c r="M2686">
        <v>27.674751772879102</v>
      </c>
      <c r="N2686">
        <v>53.222037291284003</v>
      </c>
      <c r="O2686">
        <v>52.742932049455099</v>
      </c>
      <c r="P2686">
        <v>-0.124559108878584</v>
      </c>
      <c r="Q2686">
        <v>5.0462503462098303E-2</v>
      </c>
      <c r="R2686">
        <v>0.99217414137254401</v>
      </c>
      <c r="S2686" t="s">
        <v>9492</v>
      </c>
      <c r="T2686" t="s">
        <v>13610</v>
      </c>
      <c r="U2686" t="s">
        <v>13610</v>
      </c>
      <c r="V2686" t="s">
        <v>13610</v>
      </c>
      <c r="W2686" t="s">
        <v>16243</v>
      </c>
      <c r="X2686">
        <v>11</v>
      </c>
      <c r="Y2686" t="s">
        <v>22896</v>
      </c>
      <c r="Z2686" t="s">
        <v>29541</v>
      </c>
      <c r="AA2686">
        <v>0.46968595652064632</v>
      </c>
      <c r="AB2686" t="str">
        <f>HYPERLINK("Melting_Curves/meltCurve_P53778_MAPK12.pdf", "Melting_Curves/meltCurve_P53778_MAPK12.pdf")</f>
        <v>Melting_Curves/meltCurve_P53778_MAPK12.pdf</v>
      </c>
    </row>
    <row r="2687" spans="1:28" x14ac:dyDescent="0.25">
      <c r="A2687" t="s">
        <v>2691</v>
      </c>
      <c r="B2687">
        <v>0.995954080203443</v>
      </c>
      <c r="C2687">
        <v>0.89985630827065899</v>
      </c>
      <c r="D2687">
        <v>0.74104396713732301</v>
      </c>
      <c r="E2687">
        <v>0.69690284034598804</v>
      </c>
      <c r="F2687">
        <v>0.57315906907490699</v>
      </c>
      <c r="G2687">
        <v>0.404096973505082</v>
      </c>
      <c r="H2687">
        <v>0.33741596200774698</v>
      </c>
      <c r="I2687">
        <v>0.34505659188932303</v>
      </c>
      <c r="J2687">
        <v>0.30219753027195401</v>
      </c>
      <c r="K2687">
        <v>0.38912500310049303</v>
      </c>
      <c r="L2687">
        <v>560.05197740329197</v>
      </c>
      <c r="M2687">
        <v>11.204399114796299</v>
      </c>
      <c r="N2687">
        <v>54.2990124661628</v>
      </c>
      <c r="O2687">
        <v>48.472071318835297</v>
      </c>
      <c r="P2687">
        <v>-4.0770114207098002E-2</v>
      </c>
      <c r="Q2687">
        <v>0.294708829824819</v>
      </c>
      <c r="R2687">
        <v>0.96956521127057704</v>
      </c>
      <c r="S2687" t="s">
        <v>9493</v>
      </c>
      <c r="T2687" t="s">
        <v>13610</v>
      </c>
      <c r="U2687" t="s">
        <v>13610</v>
      </c>
      <c r="V2687" t="s">
        <v>13610</v>
      </c>
      <c r="W2687" t="s">
        <v>16244</v>
      </c>
      <c r="X2687">
        <v>1</v>
      </c>
      <c r="Y2687" t="s">
        <v>22897</v>
      </c>
      <c r="Z2687" t="s">
        <v>29542</v>
      </c>
      <c r="AA2687">
        <v>0.556588175057526</v>
      </c>
      <c r="AB2687" t="str">
        <f>HYPERLINK("Melting_Curves/meltCurve_P53794_SLC5A3.pdf", "Melting_Curves/meltCurve_P53794_SLC5A3.pdf")</f>
        <v>Melting_Curves/meltCurve_P53794_SLC5A3.pdf</v>
      </c>
    </row>
    <row r="2688" spans="1:28" x14ac:dyDescent="0.25">
      <c r="A2688" t="s">
        <v>2692</v>
      </c>
      <c r="B2688">
        <v>0.995954080203443</v>
      </c>
      <c r="C2688">
        <v>0.836509206016117</v>
      </c>
      <c r="D2688">
        <v>0.72407221371118502</v>
      </c>
      <c r="E2688">
        <v>0.80497440036438705</v>
      </c>
      <c r="F2688">
        <v>0.54862564535122504</v>
      </c>
      <c r="G2688">
        <v>0.324244971462325</v>
      </c>
      <c r="H2688">
        <v>0.253980370463537</v>
      </c>
      <c r="I2688">
        <v>0.26768800429892198</v>
      </c>
      <c r="J2688">
        <v>0.28134818454987398</v>
      </c>
      <c r="K2688">
        <v>0.263986489816805</v>
      </c>
      <c r="L2688">
        <v>523.606932569832</v>
      </c>
      <c r="M2688">
        <v>10.1454288142158</v>
      </c>
      <c r="N2688">
        <v>53.862227559187801</v>
      </c>
      <c r="O2688">
        <v>49.725413628951898</v>
      </c>
      <c r="P2688">
        <v>-4.2209881729738399E-2</v>
      </c>
      <c r="Q2688">
        <v>0.172853795585898</v>
      </c>
      <c r="R2688">
        <v>0.93253323746207295</v>
      </c>
      <c r="S2688" t="s">
        <v>9494</v>
      </c>
      <c r="T2688" t="s">
        <v>13610</v>
      </c>
      <c r="U2688" t="s">
        <v>13610</v>
      </c>
      <c r="V2688" t="s">
        <v>13610</v>
      </c>
      <c r="W2688" t="s">
        <v>16245</v>
      </c>
      <c r="X2688">
        <v>2</v>
      </c>
      <c r="Y2688" t="s">
        <v>22898</v>
      </c>
      <c r="Z2688" t="s">
        <v>29543</v>
      </c>
      <c r="AA2688">
        <v>0.52500561568005299</v>
      </c>
      <c r="AB2688" t="str">
        <f>HYPERLINK("Melting_Curves/meltCurve_P53803_POLR2K.pdf", "Melting_Curves/meltCurve_P53803_POLR2K.pdf")</f>
        <v>Melting_Curves/meltCurve_P53803_POLR2K.pdf</v>
      </c>
    </row>
    <row r="2689" spans="1:28" x14ac:dyDescent="0.25">
      <c r="A2689" t="s">
        <v>2693</v>
      </c>
      <c r="B2689">
        <v>0.995954080203443</v>
      </c>
      <c r="C2689">
        <v>0.98731464763011501</v>
      </c>
      <c r="D2689">
        <v>0.88146627548845102</v>
      </c>
      <c r="E2689">
        <v>0.57434799807659997</v>
      </c>
      <c r="F2689">
        <v>0.22115138242612201</v>
      </c>
      <c r="G2689">
        <v>0.12980431854081501</v>
      </c>
      <c r="H2689">
        <v>5.4905783023527097E-2</v>
      </c>
      <c r="I2689">
        <v>3.3617391462769097E-2</v>
      </c>
      <c r="J2689">
        <v>3.4563321610289001E-2</v>
      </c>
      <c r="K2689">
        <v>3.4019361029591501E-2</v>
      </c>
      <c r="L2689">
        <v>1173.19322006268</v>
      </c>
      <c r="M2689">
        <v>23.3384640708097</v>
      </c>
      <c r="N2689">
        <v>50.432165319974501</v>
      </c>
      <c r="O2689">
        <v>49.903952834723</v>
      </c>
      <c r="P2689">
        <v>-0.112658729248186</v>
      </c>
      <c r="Q2689">
        <v>3.6437597424969298E-2</v>
      </c>
      <c r="R2689">
        <v>0.99753243778603096</v>
      </c>
      <c r="S2689" t="s">
        <v>9495</v>
      </c>
      <c r="T2689" t="s">
        <v>13610</v>
      </c>
      <c r="U2689" t="s">
        <v>13610</v>
      </c>
      <c r="V2689" t="s">
        <v>13610</v>
      </c>
      <c r="W2689" t="s">
        <v>16246</v>
      </c>
      <c r="X2689">
        <v>3</v>
      </c>
      <c r="Y2689" t="s">
        <v>22899</v>
      </c>
      <c r="Z2689" t="s">
        <v>29544</v>
      </c>
      <c r="AA2689">
        <v>0.37615787440028592</v>
      </c>
      <c r="AB2689" t="str">
        <f>HYPERLINK("Melting_Curves/meltCurve_P53805_RCAN1.pdf", "Melting_Curves/meltCurve_P53805_RCAN1.pdf")</f>
        <v>Melting_Curves/meltCurve_P53805_RCAN1.pdf</v>
      </c>
    </row>
    <row r="2690" spans="1:28" x14ac:dyDescent="0.25">
      <c r="A2690" t="s">
        <v>2694</v>
      </c>
      <c r="B2690">
        <v>0.995954080203443</v>
      </c>
      <c r="C2690">
        <v>0.99774085924035705</v>
      </c>
      <c r="D2690">
        <v>1.0566480037292401</v>
      </c>
      <c r="E2690">
        <v>0.88132659584682205</v>
      </c>
      <c r="F2690">
        <v>0.93595761154080603</v>
      </c>
      <c r="G2690">
        <v>0.73253104201593</v>
      </c>
      <c r="H2690">
        <v>0.63507859998565797</v>
      </c>
      <c r="I2690">
        <v>0.69816168557879998</v>
      </c>
      <c r="J2690">
        <v>0.949521949592949</v>
      </c>
      <c r="K2690">
        <v>0.86194382525975199</v>
      </c>
      <c r="L2690">
        <v>1544.9772341488001</v>
      </c>
      <c r="M2690">
        <v>29.6324075038759</v>
      </c>
      <c r="O2690">
        <v>51.902374560877398</v>
      </c>
      <c r="P2690">
        <v>-3.1574369708100201E-2</v>
      </c>
      <c r="Q2690">
        <v>0.77878632325331898</v>
      </c>
      <c r="R2690">
        <v>0.54809585126746696</v>
      </c>
      <c r="S2690" t="s">
        <v>9496</v>
      </c>
      <c r="T2690" t="s">
        <v>13610</v>
      </c>
      <c r="U2690" t="s">
        <v>13610</v>
      </c>
      <c r="V2690" t="s">
        <v>13610</v>
      </c>
      <c r="W2690" t="s">
        <v>16247</v>
      </c>
      <c r="X2690">
        <v>11</v>
      </c>
      <c r="Y2690" t="s">
        <v>22900</v>
      </c>
      <c r="Z2690" t="s">
        <v>29545</v>
      </c>
      <c r="AA2690">
        <v>0.86974147560416293</v>
      </c>
      <c r="AB2690" t="str">
        <f>HYPERLINK("Melting_Curves/meltCurve_P53814_5_SMTN.pdf", "Melting_Curves/meltCurve_P53814_5_SMTN.pdf")</f>
        <v>Melting_Curves/meltCurve_P53814_5_SMTN.pdf</v>
      </c>
    </row>
    <row r="2691" spans="1:28" x14ac:dyDescent="0.25">
      <c r="A2691" t="s">
        <v>2695</v>
      </c>
      <c r="B2691">
        <v>0.995954080203443</v>
      </c>
      <c r="C2691">
        <v>1.2082697831123199</v>
      </c>
      <c r="D2691">
        <v>1.3689843823605199</v>
      </c>
      <c r="E2691">
        <v>1.36907460214219</v>
      </c>
      <c r="F2691">
        <v>1.212472491944</v>
      </c>
      <c r="G2691">
        <v>0.98058836889721401</v>
      </c>
      <c r="H2691">
        <v>1.02984813861199</v>
      </c>
      <c r="I2691">
        <v>1.1836551970942499</v>
      </c>
      <c r="J2691">
        <v>1.31670692078213</v>
      </c>
      <c r="K2691">
        <v>1.43966010934211</v>
      </c>
      <c r="L2691">
        <v>86.1000124502918</v>
      </c>
      <c r="M2691">
        <v>1.28995290181222</v>
      </c>
      <c r="Q2691">
        <v>1.5</v>
      </c>
      <c r="R2691">
        <v>5.5975542506320301E-2</v>
      </c>
      <c r="S2691" t="s">
        <v>9497</v>
      </c>
      <c r="T2691" t="s">
        <v>13610</v>
      </c>
      <c r="U2691" t="s">
        <v>13610</v>
      </c>
      <c r="V2691" t="s">
        <v>13610</v>
      </c>
      <c r="W2691" t="s">
        <v>16248</v>
      </c>
      <c r="X2691">
        <v>5</v>
      </c>
      <c r="Y2691" t="s">
        <v>22901</v>
      </c>
      <c r="Z2691" t="s">
        <v>29546</v>
      </c>
      <c r="AA2691">
        <v>1.211507673667223</v>
      </c>
      <c r="AB2691" t="str">
        <f>HYPERLINK("Melting_Curves/meltCurve_P53985_SLC16A1.pdf", "Melting_Curves/meltCurve_P53985_SLC16A1.pdf")</f>
        <v>Melting_Curves/meltCurve_P53985_SLC16A1.pdf</v>
      </c>
    </row>
    <row r="2692" spans="1:28" x14ac:dyDescent="0.25">
      <c r="A2692" t="s">
        <v>2696</v>
      </c>
      <c r="B2692">
        <v>0.995954080203443</v>
      </c>
      <c r="C2692">
        <v>0.97544207653755399</v>
      </c>
      <c r="D2692">
        <v>0.98600082573987202</v>
      </c>
      <c r="E2692">
        <v>0.74250543426693705</v>
      </c>
      <c r="F2692">
        <v>0.27206496215368398</v>
      </c>
      <c r="G2692">
        <v>0.113146595849707</v>
      </c>
      <c r="H2692">
        <v>7.2954607186661094E-2</v>
      </c>
      <c r="I2692">
        <v>6.9289466422057203E-2</v>
      </c>
      <c r="J2692">
        <v>8.7378768173983004E-2</v>
      </c>
      <c r="K2692">
        <v>7.49493699472491E-2</v>
      </c>
      <c r="L2692">
        <v>1973.51841894005</v>
      </c>
      <c r="M2692">
        <v>38.535585247288203</v>
      </c>
      <c r="N2692">
        <v>51.441970635907701</v>
      </c>
      <c r="O2692">
        <v>51.075550872180202</v>
      </c>
      <c r="P2692">
        <v>-0.17374875905558601</v>
      </c>
      <c r="Q2692">
        <v>7.8847018944115194E-2</v>
      </c>
      <c r="R2692">
        <v>0.99931368302386703</v>
      </c>
      <c r="S2692" t="s">
        <v>9498</v>
      </c>
      <c r="T2692" t="s">
        <v>13610</v>
      </c>
      <c r="U2692" t="s">
        <v>13610</v>
      </c>
      <c r="V2692" t="s">
        <v>13610</v>
      </c>
      <c r="W2692" t="s">
        <v>16249</v>
      </c>
      <c r="X2692">
        <v>9</v>
      </c>
      <c r="Y2692" t="s">
        <v>22902</v>
      </c>
      <c r="Z2692" t="s">
        <v>29547</v>
      </c>
      <c r="AA2692">
        <v>0.42665439250188059</v>
      </c>
      <c r="AB2692" t="str">
        <f>HYPERLINK("Melting_Curves/meltCurve_P53990_2_IST1.pdf", "Melting_Curves/meltCurve_P53990_2_IST1.pdf")</f>
        <v>Melting_Curves/meltCurve_P53990_2_IST1.pdf</v>
      </c>
    </row>
    <row r="2693" spans="1:28" x14ac:dyDescent="0.25">
      <c r="A2693" t="s">
        <v>2697</v>
      </c>
      <c r="B2693">
        <v>0.995954080203443</v>
      </c>
      <c r="C2693">
        <v>0.95357025410389995</v>
      </c>
      <c r="D2693">
        <v>0.81620108438907601</v>
      </c>
      <c r="E2693">
        <v>0.645883519489452</v>
      </c>
      <c r="F2693">
        <v>0.14234420861964101</v>
      </c>
      <c r="G2693">
        <v>8.6462334217601397E-2</v>
      </c>
      <c r="H2693">
        <v>5.67754124396899E-2</v>
      </c>
      <c r="I2693">
        <v>5.2321278186409602E-2</v>
      </c>
      <c r="J2693">
        <v>5.84278995242715E-2</v>
      </c>
      <c r="K2693">
        <v>5.6024023872164201E-2</v>
      </c>
      <c r="L2693">
        <v>1433.00075327132</v>
      </c>
      <c r="M2693">
        <v>28.488127274596401</v>
      </c>
      <c r="N2693">
        <v>50.471423802319897</v>
      </c>
      <c r="O2693">
        <v>50.0557910182497</v>
      </c>
      <c r="P2693">
        <v>-0.13578346445889</v>
      </c>
      <c r="Q2693">
        <v>4.5680663218506702E-2</v>
      </c>
      <c r="R2693">
        <v>0.98000522467937301</v>
      </c>
      <c r="S2693" t="s">
        <v>9499</v>
      </c>
      <c r="T2693" t="s">
        <v>13610</v>
      </c>
      <c r="U2693" t="s">
        <v>13610</v>
      </c>
      <c r="V2693" t="s">
        <v>13610</v>
      </c>
      <c r="W2693" t="s">
        <v>16250</v>
      </c>
      <c r="X2693">
        <v>35</v>
      </c>
      <c r="Y2693" t="s">
        <v>22903</v>
      </c>
      <c r="Z2693" t="s">
        <v>29548</v>
      </c>
      <c r="AA2693">
        <v>0.37996718300554788</v>
      </c>
      <c r="AB2693" t="str">
        <f>HYPERLINK("Melting_Curves/meltCurve_P53992_SEC24C.pdf", "Melting_Curves/meltCurve_P53992_SEC24C.pdf")</f>
        <v>Melting_Curves/meltCurve_P53992_SEC24C.pdf</v>
      </c>
    </row>
    <row r="2694" spans="1:28" x14ac:dyDescent="0.25">
      <c r="A2694" t="s">
        <v>2698</v>
      </c>
      <c r="B2694">
        <v>0.995954080203443</v>
      </c>
      <c r="C2694">
        <v>0.89362294790383601</v>
      </c>
      <c r="D2694">
        <v>0.95777895244896405</v>
      </c>
      <c r="E2694">
        <v>0.79511347176055802</v>
      </c>
      <c r="F2694">
        <v>0.52377254685570795</v>
      </c>
      <c r="G2694">
        <v>0.26521528853794601</v>
      </c>
      <c r="H2694">
        <v>0.18724327079238801</v>
      </c>
      <c r="I2694">
        <v>0.19277233120289</v>
      </c>
      <c r="J2694">
        <v>0.32280141084386599</v>
      </c>
      <c r="K2694">
        <v>0.28668520917589302</v>
      </c>
      <c r="L2694">
        <v>1489.45464933977</v>
      </c>
      <c r="M2694">
        <v>28.7443807598784</v>
      </c>
      <c r="N2694">
        <v>53.026732831684399</v>
      </c>
      <c r="O2694">
        <v>51.568398389575997</v>
      </c>
      <c r="P2694">
        <v>-0.105845572361378</v>
      </c>
      <c r="Q2694">
        <v>0.240443690228095</v>
      </c>
      <c r="R2694">
        <v>0.97218288226345795</v>
      </c>
      <c r="S2694" t="s">
        <v>9500</v>
      </c>
      <c r="T2694" t="s">
        <v>13610</v>
      </c>
      <c r="U2694" t="s">
        <v>13610</v>
      </c>
      <c r="V2694" t="s">
        <v>13610</v>
      </c>
      <c r="W2694" t="s">
        <v>16251</v>
      </c>
      <c r="X2694">
        <v>11</v>
      </c>
      <c r="Y2694" t="s">
        <v>22904</v>
      </c>
      <c r="Z2694" t="s">
        <v>29549</v>
      </c>
      <c r="AA2694">
        <v>0.54490626128529063</v>
      </c>
      <c r="AB2694" t="str">
        <f>HYPERLINK("Melting_Curves/meltCurve_P53999_SUB1.pdf", "Melting_Curves/meltCurve_P53999_SUB1.pdf")</f>
        <v>Melting_Curves/meltCurve_P53999_SUB1.pdf</v>
      </c>
    </row>
    <row r="2695" spans="1:28" x14ac:dyDescent="0.25">
      <c r="A2695" t="s">
        <v>2699</v>
      </c>
      <c r="B2695">
        <v>0.995954080203443</v>
      </c>
      <c r="C2695">
        <v>0.66648002552687302</v>
      </c>
      <c r="D2695">
        <v>0.41029927328146298</v>
      </c>
      <c r="E2695">
        <v>0.19588367413137101</v>
      </c>
      <c r="F2695">
        <v>9.8972239197254494E-2</v>
      </c>
      <c r="G2695">
        <v>5.44105421346514E-2</v>
      </c>
      <c r="H2695">
        <v>3.7471925714919398E-2</v>
      </c>
      <c r="I2695">
        <v>3.2018694638742101E-2</v>
      </c>
      <c r="J2695">
        <v>3.6758025529842503E-2</v>
      </c>
      <c r="K2695">
        <v>3.3019677700391499E-2</v>
      </c>
      <c r="L2695">
        <v>837.16358664081895</v>
      </c>
      <c r="M2695">
        <v>18.643798194511898</v>
      </c>
      <c r="N2695">
        <v>45.093694789562001</v>
      </c>
      <c r="O2695">
        <v>44.396022635700497</v>
      </c>
      <c r="P2695">
        <v>-0.101011589562178</v>
      </c>
      <c r="Q2695">
        <v>3.7895574195163102E-2</v>
      </c>
      <c r="R2695">
        <v>0.98904369481197896</v>
      </c>
      <c r="S2695" t="s">
        <v>9501</v>
      </c>
      <c r="T2695" t="s">
        <v>13610</v>
      </c>
      <c r="U2695" t="s">
        <v>13610</v>
      </c>
      <c r="V2695" t="s">
        <v>13610</v>
      </c>
      <c r="W2695" t="s">
        <v>16252</v>
      </c>
      <c r="X2695">
        <v>34</v>
      </c>
      <c r="Y2695" t="s">
        <v>22905</v>
      </c>
      <c r="Z2695" t="s">
        <v>29550</v>
      </c>
      <c r="AA2695">
        <v>0.21450774561937999</v>
      </c>
      <c r="AB2695" t="str">
        <f>HYPERLINK("Melting_Curves/meltCurve_P54136_RARS.pdf", "Melting_Curves/meltCurve_P54136_RARS.pdf")</f>
        <v>Melting_Curves/meltCurve_P54136_RARS.pdf</v>
      </c>
    </row>
    <row r="2696" spans="1:28" x14ac:dyDescent="0.25">
      <c r="A2696" t="s">
        <v>2700</v>
      </c>
      <c r="B2696">
        <v>0.995954080203443</v>
      </c>
      <c r="C2696">
        <v>1.0589060076907699</v>
      </c>
      <c r="D2696">
        <v>0.83939957411100896</v>
      </c>
      <c r="E2696">
        <v>0.183736050336959</v>
      </c>
      <c r="F2696">
        <v>5.7938070883699899E-2</v>
      </c>
      <c r="G2696">
        <v>1.6755138540479199E-2</v>
      </c>
      <c r="H2696">
        <v>6.1462372640621104E-3</v>
      </c>
      <c r="I2696">
        <v>0</v>
      </c>
      <c r="J2696">
        <v>5.2689466537101E-3</v>
      </c>
      <c r="K2696">
        <v>4.8019317075604197E-3</v>
      </c>
      <c r="L2696">
        <v>1853.9948518901599</v>
      </c>
      <c r="M2696">
        <v>38.610576310637597</v>
      </c>
      <c r="N2696">
        <v>48.042857358502999</v>
      </c>
      <c r="O2696">
        <v>47.8895321056103</v>
      </c>
      <c r="P2696">
        <v>-0.19955180579976101</v>
      </c>
      <c r="Q2696">
        <v>9.9687069791801197E-3</v>
      </c>
      <c r="R2696">
        <v>0.99704324828426205</v>
      </c>
      <c r="S2696" t="s">
        <v>9502</v>
      </c>
      <c r="T2696" t="s">
        <v>13610</v>
      </c>
      <c r="U2696" t="s">
        <v>13610</v>
      </c>
      <c r="V2696" t="s">
        <v>13610</v>
      </c>
      <c r="W2696" t="s">
        <v>16253</v>
      </c>
      <c r="X2696">
        <v>31</v>
      </c>
      <c r="Y2696" t="s">
        <v>22905</v>
      </c>
      <c r="Z2696" t="s">
        <v>29551</v>
      </c>
      <c r="AA2696">
        <v>0.2781059031690154</v>
      </c>
      <c r="AB2696" t="str">
        <f>HYPERLINK("Melting_Curves/meltCurve_P54136_2_RARS.pdf", "Melting_Curves/meltCurve_P54136_2_RARS.pdf")</f>
        <v>Melting_Curves/meltCurve_P54136_2_RARS.pdf</v>
      </c>
    </row>
    <row r="2697" spans="1:28" x14ac:dyDescent="0.25">
      <c r="A2697" t="s">
        <v>2701</v>
      </c>
      <c r="B2697">
        <v>0.995954080203443</v>
      </c>
      <c r="C2697">
        <v>0.90737495393268097</v>
      </c>
      <c r="D2697">
        <v>0.77376110708958201</v>
      </c>
      <c r="E2697">
        <v>0.62763095655123102</v>
      </c>
      <c r="F2697">
        <v>0.40658583496148898</v>
      </c>
      <c r="G2697">
        <v>0.26650573380329101</v>
      </c>
      <c r="H2697">
        <v>0.12754987590802699</v>
      </c>
      <c r="I2697">
        <v>9.6887863494768994E-2</v>
      </c>
      <c r="J2697">
        <v>0.10486035589008599</v>
      </c>
      <c r="K2697">
        <v>0.100015594827989</v>
      </c>
      <c r="L2697">
        <v>632.65843092378202</v>
      </c>
      <c r="M2697">
        <v>12.374713129897099</v>
      </c>
      <c r="N2697">
        <v>51.512932742030202</v>
      </c>
      <c r="O2697">
        <v>49.845031695898001</v>
      </c>
      <c r="P2697">
        <v>-5.93179563420968E-2</v>
      </c>
      <c r="Q2697">
        <v>4.4479554740939897E-2</v>
      </c>
      <c r="R2697">
        <v>0.99491252000062103</v>
      </c>
      <c r="S2697" t="s">
        <v>9503</v>
      </c>
      <c r="T2697" t="s">
        <v>13610</v>
      </c>
      <c r="U2697" t="s">
        <v>13610</v>
      </c>
      <c r="V2697" t="s">
        <v>13610</v>
      </c>
      <c r="W2697" t="s">
        <v>16254</v>
      </c>
      <c r="X2697">
        <v>21</v>
      </c>
      <c r="Y2697" t="s">
        <v>22906</v>
      </c>
      <c r="Z2697" t="s">
        <v>29552</v>
      </c>
      <c r="AA2697">
        <v>0.42841777385461011</v>
      </c>
      <c r="AB2697" t="str">
        <f>HYPERLINK("Melting_Curves/meltCurve_P54198_HIRA.pdf", "Melting_Curves/meltCurve_P54198_HIRA.pdf")</f>
        <v>Melting_Curves/meltCurve_P54198_HIRA.pdf</v>
      </c>
    </row>
    <row r="2698" spans="1:28" x14ac:dyDescent="0.25">
      <c r="A2698" t="s">
        <v>2702</v>
      </c>
      <c r="B2698">
        <v>0.995954080203443</v>
      </c>
      <c r="C2698">
        <v>0.73561817203751401</v>
      </c>
      <c r="D2698">
        <v>0.83533922520904402</v>
      </c>
      <c r="E2698">
        <v>0.74184783422452505</v>
      </c>
      <c r="F2698">
        <v>0.83172986838590801</v>
      </c>
      <c r="G2698">
        <v>0.68260607181335298</v>
      </c>
      <c r="H2698">
        <v>0.68640179704815596</v>
      </c>
      <c r="I2698">
        <v>0.96220577829477905</v>
      </c>
      <c r="J2698">
        <v>1.1607771026948399</v>
      </c>
      <c r="K2698">
        <v>1.1210208718885299</v>
      </c>
      <c r="L2698">
        <v>10139.9562574922</v>
      </c>
      <c r="M2698">
        <v>250</v>
      </c>
      <c r="O2698">
        <v>40.557229477281297</v>
      </c>
      <c r="P2698">
        <v>-0.21274004595679</v>
      </c>
      <c r="Q2698">
        <v>0.86194965037990601</v>
      </c>
      <c r="R2698">
        <v>5.8215239411375401E-2</v>
      </c>
      <c r="S2698" t="s">
        <v>9504</v>
      </c>
      <c r="T2698" t="s">
        <v>13610</v>
      </c>
      <c r="U2698" t="s">
        <v>13610</v>
      </c>
      <c r="V2698" t="s">
        <v>13610</v>
      </c>
      <c r="W2698" t="s">
        <v>16255</v>
      </c>
      <c r="X2698">
        <v>7</v>
      </c>
      <c r="Y2698" t="s">
        <v>22907</v>
      </c>
      <c r="Z2698" t="s">
        <v>29553</v>
      </c>
      <c r="AA2698">
        <v>0.86455706713731595</v>
      </c>
      <c r="AB2698" t="str">
        <f>HYPERLINK("Melting_Curves/meltCurve_P54259_ATN1.pdf", "Melting_Curves/meltCurve_P54259_ATN1.pdf")</f>
        <v>Melting_Curves/meltCurve_P54259_ATN1.pdf</v>
      </c>
    </row>
    <row r="2699" spans="1:28" x14ac:dyDescent="0.25">
      <c r="A2699" t="s">
        <v>2703</v>
      </c>
      <c r="B2699">
        <v>0.995954080203443</v>
      </c>
      <c r="C2699">
        <v>1.07883207551395</v>
      </c>
      <c r="D2699">
        <v>1.0879433285167399</v>
      </c>
      <c r="E2699">
        <v>0.95714196620827496</v>
      </c>
      <c r="F2699">
        <v>0.63684267493076996</v>
      </c>
      <c r="G2699">
        <v>0.239162872540022</v>
      </c>
      <c r="H2699">
        <v>0.14602885743510999</v>
      </c>
      <c r="I2699">
        <v>0.119174678566799</v>
      </c>
      <c r="J2699">
        <v>0.13478104458293699</v>
      </c>
      <c r="K2699">
        <v>0.119723122204149</v>
      </c>
      <c r="L2699">
        <v>1909.0287658341299</v>
      </c>
      <c r="M2699">
        <v>35.619983722037702</v>
      </c>
      <c r="N2699">
        <v>54.047620979021801</v>
      </c>
      <c r="O2699">
        <v>53.426246141845098</v>
      </c>
      <c r="P2699">
        <v>-0.145156160908575</v>
      </c>
      <c r="Q2699">
        <v>0.12912681543531401</v>
      </c>
      <c r="R2699">
        <v>0.99106004919830804</v>
      </c>
      <c r="S2699" t="s">
        <v>9505</v>
      </c>
      <c r="T2699" t="s">
        <v>13610</v>
      </c>
      <c r="U2699" t="s">
        <v>13610</v>
      </c>
      <c r="V2699" t="s">
        <v>13610</v>
      </c>
      <c r="W2699" t="s">
        <v>16256</v>
      </c>
      <c r="X2699">
        <v>6</v>
      </c>
      <c r="Y2699" t="s">
        <v>22908</v>
      </c>
      <c r="Z2699" t="s">
        <v>29554</v>
      </c>
      <c r="AA2699">
        <v>0.52781789913109534</v>
      </c>
      <c r="AB2699" t="str">
        <f>HYPERLINK("Melting_Curves/meltCurve_P54274_2_TERF1.pdf", "Melting_Curves/meltCurve_P54274_2_TERF1.pdf")</f>
        <v>Melting_Curves/meltCurve_P54274_2_TERF1.pdf</v>
      </c>
    </row>
    <row r="2700" spans="1:28" x14ac:dyDescent="0.25">
      <c r="A2700" t="s">
        <v>2704</v>
      </c>
      <c r="B2700">
        <v>0.995954080203443</v>
      </c>
      <c r="C2700">
        <v>0.89233128103565795</v>
      </c>
      <c r="D2700">
        <v>0.79595288857478097</v>
      </c>
      <c r="E2700">
        <v>0.74309669020278701</v>
      </c>
      <c r="F2700">
        <v>0.61428778805823603</v>
      </c>
      <c r="G2700">
        <v>0.36677397318275901</v>
      </c>
      <c r="H2700">
        <v>0.217553022738841</v>
      </c>
      <c r="I2700">
        <v>0.187620987710201</v>
      </c>
      <c r="J2700">
        <v>0.19473759404000199</v>
      </c>
      <c r="K2700">
        <v>0.18677655651338401</v>
      </c>
      <c r="L2700">
        <v>567.77676775615305</v>
      </c>
      <c r="M2700">
        <v>10.6356446750139</v>
      </c>
      <c r="N2700">
        <v>54.276147080523202</v>
      </c>
      <c r="O2700">
        <v>51.600782118056699</v>
      </c>
      <c r="P2700">
        <v>-4.7415677989632803E-2</v>
      </c>
      <c r="Q2700">
        <v>8.0169743635464599E-2</v>
      </c>
      <c r="R2700">
        <v>0.98119802530635902</v>
      </c>
      <c r="S2700" t="s">
        <v>9506</v>
      </c>
      <c r="T2700" t="s">
        <v>13610</v>
      </c>
      <c r="U2700" t="s">
        <v>13610</v>
      </c>
      <c r="V2700" t="s">
        <v>13610</v>
      </c>
      <c r="W2700" t="s">
        <v>16257</v>
      </c>
      <c r="X2700">
        <v>20</v>
      </c>
      <c r="Y2700" t="s">
        <v>22909</v>
      </c>
      <c r="Z2700" t="s">
        <v>29555</v>
      </c>
      <c r="AA2700">
        <v>0.51908366072174483</v>
      </c>
      <c r="AB2700" t="str">
        <f>HYPERLINK("Melting_Curves/meltCurve_P54277_3_PMS1.pdf", "Melting_Curves/meltCurve_P54277_3_PMS1.pdf")</f>
        <v>Melting_Curves/meltCurve_P54277_3_PMS1.pdf</v>
      </c>
    </row>
    <row r="2701" spans="1:28" x14ac:dyDescent="0.25">
      <c r="A2701" t="s">
        <v>2705</v>
      </c>
      <c r="B2701">
        <v>0.995954080203443</v>
      </c>
      <c r="C2701">
        <v>0.918660769787639</v>
      </c>
      <c r="D2701">
        <v>0.77304199566160203</v>
      </c>
      <c r="E2701">
        <v>0.50178953545749505</v>
      </c>
      <c r="F2701">
        <v>0.22729071786402699</v>
      </c>
      <c r="G2701">
        <v>0.12509755726902999</v>
      </c>
      <c r="H2701">
        <v>0.110489968415559</v>
      </c>
      <c r="I2701">
        <v>9.5678724616734004E-2</v>
      </c>
      <c r="J2701">
        <v>0.123949859501959</v>
      </c>
      <c r="K2701">
        <v>0.103608248504601</v>
      </c>
      <c r="L2701">
        <v>926.54225593753597</v>
      </c>
      <c r="M2701">
        <v>18.935314770935399</v>
      </c>
      <c r="N2701">
        <v>49.457495054846099</v>
      </c>
      <c r="O2701">
        <v>48.396021671524103</v>
      </c>
      <c r="P2701">
        <v>-8.8904528692911294E-2</v>
      </c>
      <c r="Q2701">
        <v>9.1126589498682894E-2</v>
      </c>
      <c r="R2701">
        <v>0.995206361981679</v>
      </c>
      <c r="S2701" t="s">
        <v>9507</v>
      </c>
      <c r="T2701" t="s">
        <v>13610</v>
      </c>
      <c r="U2701" t="s">
        <v>13610</v>
      </c>
      <c r="V2701" t="s">
        <v>13610</v>
      </c>
      <c r="W2701" t="s">
        <v>16258</v>
      </c>
      <c r="X2701">
        <v>18</v>
      </c>
      <c r="Y2701" t="s">
        <v>22910</v>
      </c>
      <c r="Z2701" t="s">
        <v>29556</v>
      </c>
      <c r="AA2701">
        <v>0.37596368964473142</v>
      </c>
      <c r="AB2701" t="str">
        <f>HYPERLINK("Melting_Curves/meltCurve_P54278_PMS2.pdf", "Melting_Curves/meltCurve_P54278_PMS2.pdf")</f>
        <v>Melting_Curves/meltCurve_P54278_PMS2.pdf</v>
      </c>
    </row>
    <row r="2702" spans="1:28" x14ac:dyDescent="0.25">
      <c r="A2702" t="s">
        <v>2706</v>
      </c>
      <c r="B2702">
        <v>0.995954080203443</v>
      </c>
      <c r="C2702">
        <v>0.87829995017985196</v>
      </c>
      <c r="D2702">
        <v>0.52653861345239095</v>
      </c>
      <c r="E2702">
        <v>0.24886854364662001</v>
      </c>
      <c r="F2702">
        <v>0.12675713042478301</v>
      </c>
      <c r="G2702">
        <v>7.6676801752136398E-2</v>
      </c>
      <c r="H2702">
        <v>5.2646767537054703E-2</v>
      </c>
      <c r="I2702">
        <v>4.7877320867822197E-2</v>
      </c>
      <c r="J2702">
        <v>5.4523090844674299E-2</v>
      </c>
      <c r="K2702">
        <v>5.0032717182463902E-2</v>
      </c>
      <c r="L2702">
        <v>975.07077605478298</v>
      </c>
      <c r="M2702">
        <v>21.0455998431806</v>
      </c>
      <c r="N2702">
        <v>46.587332257916302</v>
      </c>
      <c r="O2702">
        <v>45.919106188595698</v>
      </c>
      <c r="P2702">
        <v>-0.10832612990238</v>
      </c>
      <c r="Q2702">
        <v>5.4603923116092502E-2</v>
      </c>
      <c r="R2702">
        <v>0.99673016549186599</v>
      </c>
      <c r="S2702" t="s">
        <v>9508</v>
      </c>
      <c r="T2702" t="s">
        <v>13610</v>
      </c>
      <c r="U2702" t="s">
        <v>13610</v>
      </c>
      <c r="V2702" t="s">
        <v>13610</v>
      </c>
      <c r="W2702" t="s">
        <v>16259</v>
      </c>
      <c r="X2702">
        <v>50</v>
      </c>
      <c r="Y2702" t="s">
        <v>22911</v>
      </c>
      <c r="Z2702" t="s">
        <v>29557</v>
      </c>
      <c r="AA2702">
        <v>0.26686482713222481</v>
      </c>
      <c r="AB2702" t="str">
        <f>HYPERLINK("Melting_Curves/meltCurve_P54577_YARS.pdf", "Melting_Curves/meltCurve_P54577_YARS.pdf")</f>
        <v>Melting_Curves/meltCurve_P54577_YARS.pdf</v>
      </c>
    </row>
    <row r="2703" spans="1:28" x14ac:dyDescent="0.25">
      <c r="A2703" t="s">
        <v>2707</v>
      </c>
      <c r="B2703">
        <v>0.995954080203443</v>
      </c>
      <c r="C2703">
        <v>0.91958365750645199</v>
      </c>
      <c r="D2703">
        <v>0.907630266738499</v>
      </c>
      <c r="E2703">
        <v>0.782760343082886</v>
      </c>
      <c r="F2703">
        <v>0.218234746727445</v>
      </c>
      <c r="G2703">
        <v>0.113706933229118</v>
      </c>
      <c r="H2703">
        <v>6.9888666012276099E-2</v>
      </c>
      <c r="I2703">
        <v>5.5450748676826103E-2</v>
      </c>
      <c r="J2703">
        <v>6.5904136656085396E-2</v>
      </c>
      <c r="K2703">
        <v>5.5439566556302201E-2</v>
      </c>
      <c r="L2703">
        <v>2407.1245721589498</v>
      </c>
      <c r="M2703">
        <v>47.000290123875502</v>
      </c>
      <c r="N2703">
        <v>51.377595042963499</v>
      </c>
      <c r="O2703">
        <v>51.122639939133698</v>
      </c>
      <c r="P2703">
        <v>-0.21396758538406299</v>
      </c>
      <c r="Q2703">
        <v>6.9063088947178802E-2</v>
      </c>
      <c r="R2703">
        <v>0.98994324769549402</v>
      </c>
      <c r="S2703" t="s">
        <v>9509</v>
      </c>
      <c r="T2703" t="s">
        <v>13610</v>
      </c>
      <c r="U2703" t="s">
        <v>13610</v>
      </c>
      <c r="V2703" t="s">
        <v>13610</v>
      </c>
      <c r="W2703" t="s">
        <v>16260</v>
      </c>
      <c r="X2703">
        <v>34</v>
      </c>
      <c r="Y2703" t="s">
        <v>22912</v>
      </c>
      <c r="Z2703" t="s">
        <v>29558</v>
      </c>
      <c r="AA2703">
        <v>0.41946315332642259</v>
      </c>
      <c r="AB2703" t="str">
        <f>HYPERLINK("Melting_Curves/meltCurve_P54578_USP14.pdf", "Melting_Curves/meltCurve_P54578_USP14.pdf")</f>
        <v>Melting_Curves/meltCurve_P54578_USP14.pdf</v>
      </c>
    </row>
    <row r="2704" spans="1:28" x14ac:dyDescent="0.25">
      <c r="A2704" t="s">
        <v>2708</v>
      </c>
      <c r="B2704">
        <v>0.995954080203443</v>
      </c>
      <c r="C2704">
        <v>0.89498060270470303</v>
      </c>
      <c r="D2704">
        <v>0.80320921868110096</v>
      </c>
      <c r="E2704">
        <v>0.64454428323162105</v>
      </c>
      <c r="F2704">
        <v>0.31373636602361699</v>
      </c>
      <c r="G2704">
        <v>0.12007646785580101</v>
      </c>
      <c r="H2704">
        <v>5.1277840934683398E-2</v>
      </c>
      <c r="I2704">
        <v>3.9240931896678398E-2</v>
      </c>
      <c r="J2704">
        <v>3.6031046623585798E-2</v>
      </c>
      <c r="K2704">
        <v>3.09524447954608E-2</v>
      </c>
      <c r="L2704">
        <v>813.33019087755895</v>
      </c>
      <c r="M2704">
        <v>15.9944727769875</v>
      </c>
      <c r="N2704">
        <v>50.852867760674698</v>
      </c>
      <c r="O2704">
        <v>50.0757290195507</v>
      </c>
      <c r="P2704">
        <v>-7.98304542292331E-2</v>
      </c>
      <c r="Q2704">
        <v>3.4110329462960797E-4</v>
      </c>
      <c r="R2704">
        <v>0.99062040307938803</v>
      </c>
      <c r="S2704" t="s">
        <v>9510</v>
      </c>
      <c r="T2704" t="s">
        <v>13610</v>
      </c>
      <c r="U2704" t="s">
        <v>13610</v>
      </c>
      <c r="V2704" t="s">
        <v>13610</v>
      </c>
      <c r="W2704" t="s">
        <v>16261</v>
      </c>
      <c r="X2704">
        <v>12</v>
      </c>
      <c r="Y2704" t="s">
        <v>22913</v>
      </c>
      <c r="Z2704" t="s">
        <v>29559</v>
      </c>
      <c r="AA2704">
        <v>0.38271467252943953</v>
      </c>
      <c r="AB2704" t="str">
        <f>HYPERLINK("Melting_Curves/meltCurve_P54619_2_PRKAG1.pdf", "Melting_Curves/meltCurve_P54619_2_PRKAG1.pdf")</f>
        <v>Melting_Curves/meltCurve_P54619_2_PRKAG1.pdf</v>
      </c>
    </row>
    <row r="2705" spans="1:28" x14ac:dyDescent="0.25">
      <c r="A2705" t="s">
        <v>2709</v>
      </c>
      <c r="B2705">
        <v>0.995954080203443</v>
      </c>
      <c r="C2705">
        <v>1.0906247787054599</v>
      </c>
      <c r="D2705">
        <v>1.10625461109222</v>
      </c>
      <c r="E2705">
        <v>1.0006096873796799</v>
      </c>
      <c r="F2705">
        <v>0.91732320477139995</v>
      </c>
      <c r="G2705">
        <v>0.696373999900322</v>
      </c>
      <c r="H2705">
        <v>0.36674020475789998</v>
      </c>
      <c r="I2705">
        <v>0.193973672428807</v>
      </c>
      <c r="J2705">
        <v>0.147326320581706</v>
      </c>
      <c r="K2705">
        <v>0.12302936410547299</v>
      </c>
      <c r="L2705">
        <v>1387.7592536042</v>
      </c>
      <c r="M2705">
        <v>23.669985957798701</v>
      </c>
      <c r="N2705">
        <v>59.188387675388697</v>
      </c>
      <c r="O2705">
        <v>58.215835682362297</v>
      </c>
      <c r="P2705">
        <v>-9.1469535957881098E-2</v>
      </c>
      <c r="Q2705">
        <v>0.100145566565114</v>
      </c>
      <c r="R2705">
        <v>0.98654604285986003</v>
      </c>
      <c r="S2705" t="s">
        <v>9511</v>
      </c>
      <c r="T2705" t="s">
        <v>13610</v>
      </c>
      <c r="U2705" t="s">
        <v>13610</v>
      </c>
      <c r="V2705" t="s">
        <v>13610</v>
      </c>
      <c r="W2705" t="s">
        <v>16262</v>
      </c>
      <c r="X2705">
        <v>13</v>
      </c>
      <c r="Y2705" t="s">
        <v>22914</v>
      </c>
      <c r="Z2705" t="s">
        <v>29560</v>
      </c>
      <c r="AA2705">
        <v>0.66702462788869721</v>
      </c>
      <c r="AB2705" t="str">
        <f>HYPERLINK("Melting_Curves/meltCurve_P54687_4_BCAT1.pdf", "Melting_Curves/meltCurve_P54687_4_BCAT1.pdf")</f>
        <v>Melting_Curves/meltCurve_P54687_4_BCAT1.pdf</v>
      </c>
    </row>
    <row r="2706" spans="1:28" x14ac:dyDescent="0.25">
      <c r="A2706" t="s">
        <v>2710</v>
      </c>
      <c r="B2706">
        <v>0.995954080203443</v>
      </c>
      <c r="C2706">
        <v>0.90964953304149498</v>
      </c>
      <c r="D2706">
        <v>0.90187576817138004</v>
      </c>
      <c r="E2706">
        <v>0.94179957010747195</v>
      </c>
      <c r="F2706">
        <v>0.36208084576232502</v>
      </c>
      <c r="G2706">
        <v>0.159078115472229</v>
      </c>
      <c r="H2706">
        <v>0.154455595820332</v>
      </c>
      <c r="I2706">
        <v>0.113428580782094</v>
      </c>
      <c r="J2706">
        <v>0.109348377990256</v>
      </c>
      <c r="K2706">
        <v>0.10307555478837301</v>
      </c>
      <c r="L2706">
        <v>3135.15207629935</v>
      </c>
      <c r="M2706">
        <v>60.138171352325898</v>
      </c>
      <c r="N2706">
        <v>52.386676921624797</v>
      </c>
      <c r="O2706">
        <v>52.074928709574301</v>
      </c>
      <c r="P2706">
        <v>-0.252175389917703</v>
      </c>
      <c r="Q2706">
        <v>0.12654411476129299</v>
      </c>
      <c r="R2706">
        <v>0.98625960234348498</v>
      </c>
      <c r="S2706" t="s">
        <v>9512</v>
      </c>
      <c r="T2706" t="s">
        <v>13610</v>
      </c>
      <c r="U2706" t="s">
        <v>13610</v>
      </c>
      <c r="V2706" t="s">
        <v>13610</v>
      </c>
      <c r="W2706" t="s">
        <v>16263</v>
      </c>
      <c r="X2706">
        <v>2</v>
      </c>
      <c r="Y2706" t="s">
        <v>22915</v>
      </c>
      <c r="Z2706" t="s">
        <v>29561</v>
      </c>
      <c r="AA2706">
        <v>0.48116971265442721</v>
      </c>
      <c r="AB2706" t="str">
        <f>HYPERLINK("Melting_Curves/meltCurve_P54709_ATP1B3.pdf", "Melting_Curves/meltCurve_P54709_ATP1B3.pdf")</f>
        <v>Melting_Curves/meltCurve_P54709_ATP1B3.pdf</v>
      </c>
    </row>
    <row r="2707" spans="1:28" x14ac:dyDescent="0.25">
      <c r="A2707" t="s">
        <v>2711</v>
      </c>
      <c r="B2707">
        <v>0.995954080203443</v>
      </c>
      <c r="C2707">
        <v>0.948654666267439</v>
      </c>
      <c r="D2707">
        <v>1.0472628962594499</v>
      </c>
      <c r="E2707">
        <v>0.89117107888006597</v>
      </c>
      <c r="F2707">
        <v>0.93126078976770799</v>
      </c>
      <c r="G2707">
        <v>0.74881017089561097</v>
      </c>
      <c r="H2707">
        <v>0.78032308960486796</v>
      </c>
      <c r="I2707">
        <v>0.91589873985940895</v>
      </c>
      <c r="J2707">
        <v>1.0692132155187599</v>
      </c>
      <c r="K2707">
        <v>1.0411041559138601</v>
      </c>
      <c r="L2707">
        <v>12002.286799445499</v>
      </c>
      <c r="M2707">
        <v>250</v>
      </c>
      <c r="O2707">
        <v>48.006076043602903</v>
      </c>
      <c r="P2707">
        <v>-0.115725901362617</v>
      </c>
      <c r="Q2707">
        <v>0.91111125942748705</v>
      </c>
      <c r="R2707">
        <v>0.146057592751619</v>
      </c>
      <c r="S2707" t="s">
        <v>9513</v>
      </c>
      <c r="T2707" t="s">
        <v>13610</v>
      </c>
      <c r="U2707" t="s">
        <v>13610</v>
      </c>
      <c r="V2707" t="s">
        <v>13610</v>
      </c>
      <c r="W2707" t="s">
        <v>16264</v>
      </c>
      <c r="X2707">
        <v>21</v>
      </c>
      <c r="Y2707" t="s">
        <v>22916</v>
      </c>
      <c r="Z2707" t="s">
        <v>29562</v>
      </c>
      <c r="AA2707">
        <v>0.93484951569122754</v>
      </c>
      <c r="AB2707" t="str">
        <f>HYPERLINK("Melting_Curves/meltCurve_P54727_RAD23B.pdf", "Melting_Curves/meltCurve_P54727_RAD23B.pdf")</f>
        <v>Melting_Curves/meltCurve_P54727_RAD23B.pdf</v>
      </c>
    </row>
    <row r="2708" spans="1:28" x14ac:dyDescent="0.25">
      <c r="A2708" t="s">
        <v>2712</v>
      </c>
      <c r="B2708">
        <v>0.995954080203443</v>
      </c>
      <c r="C2708">
        <v>0.88686606736938101</v>
      </c>
      <c r="D2708">
        <v>0.82024641312805502</v>
      </c>
      <c r="E2708">
        <v>0.83064975603222402</v>
      </c>
      <c r="F2708">
        <v>0.68073413824538498</v>
      </c>
      <c r="G2708">
        <v>0.48689396071049101</v>
      </c>
      <c r="H2708">
        <v>0.20654899112410799</v>
      </c>
      <c r="I2708">
        <v>0.115912256734597</v>
      </c>
      <c r="J2708">
        <v>0.103275461455373</v>
      </c>
      <c r="K2708">
        <v>0.102456905325862</v>
      </c>
      <c r="L2708">
        <v>681.76331180025204</v>
      </c>
      <c r="M2708">
        <v>12.241371973112599</v>
      </c>
      <c r="N2708">
        <v>55.693388137542399</v>
      </c>
      <c r="O2708">
        <v>54.269667037562002</v>
      </c>
      <c r="P2708">
        <v>-5.6403993287490399E-2</v>
      </c>
      <c r="Q2708">
        <v>0</v>
      </c>
      <c r="R2708">
        <v>0.97398847528659804</v>
      </c>
      <c r="S2708" t="s">
        <v>9514</v>
      </c>
      <c r="T2708" t="s">
        <v>13610</v>
      </c>
      <c r="U2708" t="s">
        <v>13610</v>
      </c>
      <c r="V2708" t="s">
        <v>13610</v>
      </c>
      <c r="W2708" t="s">
        <v>16265</v>
      </c>
      <c r="X2708">
        <v>17</v>
      </c>
      <c r="Y2708" t="s">
        <v>22917</v>
      </c>
      <c r="Z2708" t="s">
        <v>29563</v>
      </c>
      <c r="AA2708">
        <v>0.54426885342559794</v>
      </c>
      <c r="AB2708" t="str">
        <f>HYPERLINK("Melting_Curves/meltCurve_P54802_NAGLU.pdf", "Melting_Curves/meltCurve_P54802_NAGLU.pdf")</f>
        <v>Melting_Curves/meltCurve_P54802_NAGLU.pdf</v>
      </c>
    </row>
    <row r="2709" spans="1:28" x14ac:dyDescent="0.25">
      <c r="A2709" t="s">
        <v>2713</v>
      </c>
      <c r="B2709">
        <v>0.995954080203443</v>
      </c>
      <c r="C2709">
        <v>0.830245256771172</v>
      </c>
      <c r="D2709">
        <v>0.56803357782191999</v>
      </c>
      <c r="E2709">
        <v>0.31868928767384302</v>
      </c>
      <c r="F2709">
        <v>0.14588272221020701</v>
      </c>
      <c r="G2709">
        <v>8.7394314531369199E-2</v>
      </c>
      <c r="H2709">
        <v>5.8860084736261802E-2</v>
      </c>
      <c r="I2709">
        <v>5.1009650593821301E-2</v>
      </c>
      <c r="J2709">
        <v>5.6229179764059403E-2</v>
      </c>
      <c r="K2709">
        <v>5.71382448268015E-2</v>
      </c>
      <c r="L2709">
        <v>805.44074655428199</v>
      </c>
      <c r="M2709">
        <v>17.214261586139799</v>
      </c>
      <c r="N2709">
        <v>47.063499844335603</v>
      </c>
      <c r="O2709">
        <v>46.171439169561197</v>
      </c>
      <c r="P2709">
        <v>-8.8763744543566003E-2</v>
      </c>
      <c r="Q2709">
        <v>4.7741319242595899E-2</v>
      </c>
      <c r="R2709">
        <v>0.99637672012517298</v>
      </c>
      <c r="S2709" t="s">
        <v>9515</v>
      </c>
      <c r="T2709" t="s">
        <v>13610</v>
      </c>
      <c r="U2709" t="s">
        <v>13610</v>
      </c>
      <c r="V2709" t="s">
        <v>13610</v>
      </c>
      <c r="W2709" t="s">
        <v>16266</v>
      </c>
      <c r="X2709">
        <v>25</v>
      </c>
      <c r="Y2709" t="s">
        <v>22918</v>
      </c>
      <c r="Z2709" t="s">
        <v>29564</v>
      </c>
      <c r="AA2709">
        <v>0.28281973681594269</v>
      </c>
      <c r="AB2709" t="str">
        <f>HYPERLINK("Melting_Curves/meltCurve_P54886_2_ALDH18A1.pdf", "Melting_Curves/meltCurve_P54886_2_ALDH18A1.pdf")</f>
        <v>Melting_Curves/meltCurve_P54886_2_ALDH18A1.pdf</v>
      </c>
    </row>
    <row r="2710" spans="1:28" x14ac:dyDescent="0.25">
      <c r="A2710" t="s">
        <v>2714</v>
      </c>
      <c r="B2710">
        <v>0.995954080203443</v>
      </c>
      <c r="C2710">
        <v>0.95423256866390604</v>
      </c>
      <c r="D2710">
        <v>0.84669132352638599</v>
      </c>
      <c r="E2710">
        <v>0.81722739460882698</v>
      </c>
      <c r="F2710">
        <v>0.59893937668090003</v>
      </c>
      <c r="G2710">
        <v>0.179242340203117</v>
      </c>
      <c r="H2710">
        <v>0.10260882596915299</v>
      </c>
      <c r="I2710">
        <v>9.0865039999600897E-2</v>
      </c>
      <c r="J2710">
        <v>0.10239903625524301</v>
      </c>
      <c r="K2710">
        <v>9.2286862200955402E-2</v>
      </c>
      <c r="L2710">
        <v>1206.9868721951</v>
      </c>
      <c r="M2710">
        <v>22.71771337197</v>
      </c>
      <c r="N2710">
        <v>53.491317339571502</v>
      </c>
      <c r="O2710">
        <v>52.723228427718702</v>
      </c>
      <c r="P2710">
        <v>-0.10005663397898799</v>
      </c>
      <c r="Q2710">
        <v>7.1173249783408499E-2</v>
      </c>
      <c r="R2710">
        <v>0.98288459029570696</v>
      </c>
      <c r="S2710" t="s">
        <v>9516</v>
      </c>
      <c r="T2710" t="s">
        <v>13610</v>
      </c>
      <c r="U2710" t="s">
        <v>13610</v>
      </c>
      <c r="V2710" t="s">
        <v>13610</v>
      </c>
      <c r="W2710" t="s">
        <v>16267</v>
      </c>
      <c r="X2710">
        <v>21</v>
      </c>
      <c r="Y2710" t="s">
        <v>22919</v>
      </c>
      <c r="Z2710" t="s">
        <v>29565</v>
      </c>
      <c r="AA2710">
        <v>0.48788985913297822</v>
      </c>
      <c r="AB2710" t="str">
        <f>HYPERLINK("Melting_Curves/meltCurve_P54920_NAPA.pdf", "Melting_Curves/meltCurve_P54920_NAPA.pdf")</f>
        <v>Melting_Curves/meltCurve_P54920_NAPA.pdf</v>
      </c>
    </row>
    <row r="2711" spans="1:28" x14ac:dyDescent="0.25">
      <c r="A2711" t="s">
        <v>2715</v>
      </c>
      <c r="B2711">
        <v>0.995954080203443</v>
      </c>
      <c r="C2711">
        <v>0.96508737270712996</v>
      </c>
      <c r="D2711">
        <v>0.97054505260242496</v>
      </c>
      <c r="E2711">
        <v>0.68908826196595696</v>
      </c>
      <c r="F2711">
        <v>0.314352417415033</v>
      </c>
      <c r="G2711">
        <v>0.18384738635603901</v>
      </c>
      <c r="H2711">
        <v>0.12129343165039699</v>
      </c>
      <c r="I2711">
        <v>0.109387280900911</v>
      </c>
      <c r="J2711">
        <v>0.13046459613880401</v>
      </c>
      <c r="K2711">
        <v>0.112679824109748</v>
      </c>
      <c r="L2711">
        <v>1555.4335343790699</v>
      </c>
      <c r="M2711">
        <v>30.534567761584199</v>
      </c>
      <c r="N2711">
        <v>51.409129658886499</v>
      </c>
      <c r="O2711">
        <v>50.723096673668501</v>
      </c>
      <c r="P2711">
        <v>-0.132201382294513</v>
      </c>
      <c r="Q2711">
        <v>0.12156969206358501</v>
      </c>
      <c r="R2711">
        <v>0.99825208849723701</v>
      </c>
      <c r="S2711" t="s">
        <v>9517</v>
      </c>
      <c r="T2711" t="s">
        <v>13610</v>
      </c>
      <c r="U2711" t="s">
        <v>13610</v>
      </c>
      <c r="V2711" t="s">
        <v>13610</v>
      </c>
      <c r="W2711" t="s">
        <v>16268</v>
      </c>
      <c r="X2711">
        <v>9</v>
      </c>
      <c r="Y2711" t="s">
        <v>22920</v>
      </c>
      <c r="Z2711" t="s">
        <v>29566</v>
      </c>
      <c r="AA2711">
        <v>0.44723215918115289</v>
      </c>
      <c r="AB2711" t="str">
        <f>HYPERLINK("Melting_Curves/meltCurve_P54922_ADPRH.pdf", "Melting_Curves/meltCurve_P54922_ADPRH.pdf")</f>
        <v>Melting_Curves/meltCurve_P54922_ADPRH.pdf</v>
      </c>
    </row>
    <row r="2712" spans="1:28" x14ac:dyDescent="0.25">
      <c r="A2712" t="s">
        <v>2716</v>
      </c>
      <c r="B2712">
        <v>0.995954080203443</v>
      </c>
      <c r="C2712">
        <v>0.98437996139723904</v>
      </c>
      <c r="D2712">
        <v>0.92338673858458198</v>
      </c>
      <c r="E2712">
        <v>0.87723803859215199</v>
      </c>
      <c r="F2712">
        <v>0.77721990410628194</v>
      </c>
      <c r="G2712">
        <v>0.48101159667666799</v>
      </c>
      <c r="H2712">
        <v>0.43319048579418101</v>
      </c>
      <c r="I2712">
        <v>0.48527442219115102</v>
      </c>
      <c r="J2712">
        <v>0.60967518587828695</v>
      </c>
      <c r="K2712">
        <v>0.52654551091106805</v>
      </c>
      <c r="L2712">
        <v>1641.1725063305601</v>
      </c>
      <c r="M2712">
        <v>31.161628787679302</v>
      </c>
      <c r="O2712">
        <v>52.450987817942902</v>
      </c>
      <c r="P2712">
        <v>-7.3973626719871496E-2</v>
      </c>
      <c r="Q2712">
        <v>0.50195570334148598</v>
      </c>
      <c r="R2712">
        <v>0.93031947884740096</v>
      </c>
      <c r="S2712" t="s">
        <v>9518</v>
      </c>
      <c r="T2712" t="s">
        <v>13610</v>
      </c>
      <c r="U2712" t="s">
        <v>13610</v>
      </c>
      <c r="V2712" t="s">
        <v>13610</v>
      </c>
      <c r="W2712" t="s">
        <v>16269</v>
      </c>
      <c r="X2712">
        <v>5</v>
      </c>
      <c r="Y2712" t="s">
        <v>22921</v>
      </c>
      <c r="Z2712" t="s">
        <v>29567</v>
      </c>
      <c r="AA2712">
        <v>0.71521992250756461</v>
      </c>
      <c r="AB2712" t="str">
        <f>HYPERLINK("Melting_Curves/meltCurve_P55008_AIF1.pdf", "Melting_Curves/meltCurve_P55008_AIF1.pdf")</f>
        <v>Melting_Curves/meltCurve_P55008_AIF1.pdf</v>
      </c>
    </row>
    <row r="2713" spans="1:28" x14ac:dyDescent="0.25">
      <c r="A2713" t="s">
        <v>2717</v>
      </c>
      <c r="B2713">
        <v>0.995954080203443</v>
      </c>
      <c r="C2713">
        <v>1.01090078704272</v>
      </c>
      <c r="D2713">
        <v>0.93666714366519399</v>
      </c>
      <c r="E2713">
        <v>0.60054384904991098</v>
      </c>
      <c r="F2713">
        <v>0.203547622412943</v>
      </c>
      <c r="G2713">
        <v>0.12190132461832</v>
      </c>
      <c r="H2713">
        <v>7.8180502336360605E-2</v>
      </c>
      <c r="I2713">
        <v>6.7397247152614706E-2</v>
      </c>
      <c r="J2713">
        <v>8.0933817720313495E-2</v>
      </c>
      <c r="K2713">
        <v>7.1144133153127107E-2</v>
      </c>
      <c r="L2713">
        <v>1675.86842433377</v>
      </c>
      <c r="M2713">
        <v>33.2990378408822</v>
      </c>
      <c r="N2713">
        <v>50.582201107156997</v>
      </c>
      <c r="O2713">
        <v>50.1473637435166</v>
      </c>
      <c r="P2713">
        <v>-0.153208824962561</v>
      </c>
      <c r="Q2713">
        <v>7.7092176942240007E-2</v>
      </c>
      <c r="R2713">
        <v>0.99863942320983001</v>
      </c>
      <c r="S2713" t="s">
        <v>9519</v>
      </c>
      <c r="T2713" t="s">
        <v>13610</v>
      </c>
      <c r="U2713" t="s">
        <v>13610</v>
      </c>
      <c r="V2713" t="s">
        <v>13610</v>
      </c>
      <c r="W2713" t="s">
        <v>16270</v>
      </c>
      <c r="X2713">
        <v>17</v>
      </c>
      <c r="Y2713" t="s">
        <v>22922</v>
      </c>
      <c r="Z2713" t="s">
        <v>29568</v>
      </c>
      <c r="AA2713">
        <v>0.39946274070205151</v>
      </c>
      <c r="AB2713" t="str">
        <f>HYPERLINK("Melting_Curves/meltCurve_P55010_EIF5.pdf", "Melting_Curves/meltCurve_P55010_EIF5.pdf")</f>
        <v>Melting_Curves/meltCurve_P55010_EIF5.pdf</v>
      </c>
    </row>
    <row r="2714" spans="1:28" x14ac:dyDescent="0.25">
      <c r="A2714" t="s">
        <v>2718</v>
      </c>
      <c r="B2714">
        <v>0.995954080203443</v>
      </c>
      <c r="C2714">
        <v>0.87576711776752503</v>
      </c>
      <c r="D2714">
        <v>0.77155082461472002</v>
      </c>
      <c r="E2714">
        <v>0.776673343261995</v>
      </c>
      <c r="F2714">
        <v>0.63349181393252196</v>
      </c>
      <c r="G2714">
        <v>0.45531707371253799</v>
      </c>
      <c r="H2714">
        <v>0.29607459909480999</v>
      </c>
      <c r="I2714">
        <v>0.27422515318240598</v>
      </c>
      <c r="J2714">
        <v>0.34962386247714999</v>
      </c>
      <c r="K2714">
        <v>0.32385246088138397</v>
      </c>
      <c r="L2714">
        <v>517.371939783568</v>
      </c>
      <c r="M2714">
        <v>9.8587859307328394</v>
      </c>
      <c r="N2714">
        <v>55.717284539896497</v>
      </c>
      <c r="O2714">
        <v>50.455908054414003</v>
      </c>
      <c r="P2714">
        <v>-3.8213384125374998E-2</v>
      </c>
      <c r="Q2714">
        <v>0.218118263696673</v>
      </c>
      <c r="R2714">
        <v>0.95405850474902898</v>
      </c>
      <c r="S2714" t="s">
        <v>9520</v>
      </c>
      <c r="T2714" t="s">
        <v>13610</v>
      </c>
      <c r="U2714" t="s">
        <v>13610</v>
      </c>
      <c r="V2714" t="s">
        <v>13610</v>
      </c>
      <c r="W2714" t="s">
        <v>16271</v>
      </c>
      <c r="X2714">
        <v>15</v>
      </c>
      <c r="Y2714" t="s">
        <v>22923</v>
      </c>
      <c r="Z2714" t="s">
        <v>29569</v>
      </c>
      <c r="AA2714">
        <v>0.57203655943066245</v>
      </c>
      <c r="AB2714" t="str">
        <f>HYPERLINK("Melting_Curves/meltCurve_P55036_PSMD4.pdf", "Melting_Curves/meltCurve_P55036_PSMD4.pdf")</f>
        <v>Melting_Curves/meltCurve_P55036_PSMD4.pdf</v>
      </c>
    </row>
    <row r="2715" spans="1:28" x14ac:dyDescent="0.25">
      <c r="A2715" t="s">
        <v>2719</v>
      </c>
      <c r="B2715">
        <v>0.995954080203443</v>
      </c>
      <c r="C2715">
        <v>0.96101017508072895</v>
      </c>
      <c r="D2715">
        <v>0.96390069109603405</v>
      </c>
      <c r="E2715">
        <v>0.712465360203686</v>
      </c>
      <c r="F2715">
        <v>0.37065743892504799</v>
      </c>
      <c r="G2715">
        <v>0.11728132318206</v>
      </c>
      <c r="H2715">
        <v>7.9032858643211704E-2</v>
      </c>
      <c r="I2715">
        <v>6.6106002459347502E-2</v>
      </c>
      <c r="J2715">
        <v>7.6892922510977402E-2</v>
      </c>
      <c r="K2715">
        <v>7.3639113563558803E-2</v>
      </c>
      <c r="L2715">
        <v>1393.1752975714101</v>
      </c>
      <c r="M2715">
        <v>27.045670265898799</v>
      </c>
      <c r="N2715">
        <v>51.785113223759801</v>
      </c>
      <c r="O2715">
        <v>51.232803060420103</v>
      </c>
      <c r="P2715">
        <v>-0.12320172383955801</v>
      </c>
      <c r="Q2715">
        <v>6.6481622840670704E-2</v>
      </c>
      <c r="R2715">
        <v>0.99898079306949095</v>
      </c>
      <c r="S2715" t="s">
        <v>9521</v>
      </c>
      <c r="T2715" t="s">
        <v>13610</v>
      </c>
      <c r="U2715" t="s">
        <v>13610</v>
      </c>
      <c r="V2715" t="s">
        <v>13610</v>
      </c>
      <c r="W2715" t="s">
        <v>16272</v>
      </c>
      <c r="X2715">
        <v>20</v>
      </c>
      <c r="Y2715" t="s">
        <v>22924</v>
      </c>
      <c r="Z2715" t="s">
        <v>29570</v>
      </c>
      <c r="AA2715">
        <v>0.4319713655092452</v>
      </c>
      <c r="AB2715" t="str">
        <f>HYPERLINK("Melting_Curves/meltCurve_P55039_DRG2.pdf", "Melting_Curves/meltCurve_P55039_DRG2.pdf")</f>
        <v>Melting_Curves/meltCurve_P55039_DRG2.pdf</v>
      </c>
    </row>
    <row r="2716" spans="1:28" x14ac:dyDescent="0.25">
      <c r="A2716" t="s">
        <v>2720</v>
      </c>
      <c r="B2716">
        <v>0.995954080203443</v>
      </c>
      <c r="C2716">
        <v>1.0002652088608801</v>
      </c>
      <c r="D2716">
        <v>0.96872176526332598</v>
      </c>
      <c r="E2716">
        <v>0.867506986287502</v>
      </c>
      <c r="F2716">
        <v>0.72838018570825103</v>
      </c>
      <c r="G2716">
        <v>0.47870939409234398</v>
      </c>
      <c r="H2716">
        <v>0.39394656561135399</v>
      </c>
      <c r="I2716">
        <v>0.43780708396116402</v>
      </c>
      <c r="J2716">
        <v>0.58750816900393399</v>
      </c>
      <c r="K2716">
        <v>0.49469119494318098</v>
      </c>
      <c r="L2716">
        <v>1567.17853135671</v>
      </c>
      <c r="M2716">
        <v>29.910675252429701</v>
      </c>
      <c r="N2716">
        <v>57.952399608354099</v>
      </c>
      <c r="O2716">
        <v>52.162767323622397</v>
      </c>
      <c r="P2716">
        <v>-7.5748231875771704E-2</v>
      </c>
      <c r="Q2716">
        <v>0.471598575540217</v>
      </c>
      <c r="R2716">
        <v>0.951269551733955</v>
      </c>
      <c r="S2716" t="s">
        <v>9522</v>
      </c>
      <c r="T2716" t="s">
        <v>13610</v>
      </c>
      <c r="U2716" t="s">
        <v>13610</v>
      </c>
      <c r="V2716" t="s">
        <v>13610</v>
      </c>
      <c r="W2716" t="s">
        <v>16273</v>
      </c>
      <c r="X2716">
        <v>1</v>
      </c>
      <c r="Y2716" t="s">
        <v>22925</v>
      </c>
      <c r="Z2716" t="s">
        <v>29571</v>
      </c>
      <c r="AA2716">
        <v>0.69333826846079694</v>
      </c>
      <c r="AB2716" t="str">
        <f>HYPERLINK("Melting_Curves/meltCurve_P55058_3_PLTP.pdf", "Melting_Curves/meltCurve_P55058_3_PLTP.pdf")</f>
        <v>Melting_Curves/meltCurve_P55058_3_PLTP.pdf</v>
      </c>
    </row>
    <row r="2717" spans="1:28" x14ac:dyDescent="0.25">
      <c r="A2717" t="s">
        <v>2721</v>
      </c>
      <c r="B2717">
        <v>0.995954080203443</v>
      </c>
      <c r="C2717">
        <v>0.91993510075320595</v>
      </c>
      <c r="D2717">
        <v>0.91739668095931703</v>
      </c>
      <c r="E2717">
        <v>0.78150756711423697</v>
      </c>
      <c r="F2717">
        <v>0.15009975344520601</v>
      </c>
      <c r="G2717">
        <v>8.4380731239356896E-2</v>
      </c>
      <c r="H2717">
        <v>5.6418449224925601E-2</v>
      </c>
      <c r="I2717">
        <v>5.2420405394493698E-2</v>
      </c>
      <c r="J2717">
        <v>5.9235806794307698E-2</v>
      </c>
      <c r="K2717">
        <v>5.2840202517586102E-2</v>
      </c>
      <c r="L2717">
        <v>2988.98133453111</v>
      </c>
      <c r="M2717">
        <v>58.598590598937399</v>
      </c>
      <c r="N2717">
        <v>51.119439744452897</v>
      </c>
      <c r="O2717">
        <v>50.948430734612401</v>
      </c>
      <c r="P2717">
        <v>-0.27026202670530902</v>
      </c>
      <c r="Q2717">
        <v>6.0085246542920398E-2</v>
      </c>
      <c r="R2717">
        <v>0.99186741791576905</v>
      </c>
      <c r="S2717" t="s">
        <v>9523</v>
      </c>
      <c r="T2717" t="s">
        <v>13610</v>
      </c>
      <c r="U2717" t="s">
        <v>13610</v>
      </c>
      <c r="V2717" t="s">
        <v>13610</v>
      </c>
      <c r="W2717" t="s">
        <v>16274</v>
      </c>
      <c r="X2717">
        <v>42</v>
      </c>
      <c r="Y2717" t="s">
        <v>22926</v>
      </c>
      <c r="Z2717" t="s">
        <v>29572</v>
      </c>
      <c r="AA2717">
        <v>0.4065002993769154</v>
      </c>
      <c r="AB2717" t="str">
        <f>HYPERLINK("Melting_Curves/meltCurve_P55060_3_CSE1L.pdf", "Melting_Curves/meltCurve_P55060_3_CSE1L.pdf")</f>
        <v>Melting_Curves/meltCurve_P55060_3_CSE1L.pdf</v>
      </c>
    </row>
    <row r="2718" spans="1:28" x14ac:dyDescent="0.25">
      <c r="A2718" t="s">
        <v>2722</v>
      </c>
      <c r="B2718">
        <v>0.995954080203443</v>
      </c>
      <c r="C2718">
        <v>0.79589297138516102</v>
      </c>
      <c r="D2718">
        <v>0.43120873108852897</v>
      </c>
      <c r="E2718">
        <v>1.0743770955791101</v>
      </c>
      <c r="F2718">
        <v>0.58966116104034805</v>
      </c>
      <c r="G2718">
        <v>0.62057795253270898</v>
      </c>
      <c r="H2718">
        <v>0.24405926758160801</v>
      </c>
      <c r="I2718">
        <v>0.216134582630511</v>
      </c>
      <c r="J2718">
        <v>6.6127387972232402E-2</v>
      </c>
      <c r="K2718">
        <v>5.0640045414055E-2</v>
      </c>
      <c r="L2718">
        <v>507.95167921849998</v>
      </c>
      <c r="M2718">
        <v>9.1152493056493906</v>
      </c>
      <c r="N2718">
        <v>55.725483984087496</v>
      </c>
      <c r="O2718">
        <v>53.2398949594714</v>
      </c>
      <c r="P2718">
        <v>-4.2832341903350099E-2</v>
      </c>
      <c r="Q2718">
        <v>0</v>
      </c>
      <c r="R2718">
        <v>0.68798054022713595</v>
      </c>
      <c r="S2718" t="s">
        <v>9524</v>
      </c>
      <c r="T2718" t="s">
        <v>13610</v>
      </c>
      <c r="U2718" t="s">
        <v>13610</v>
      </c>
      <c r="V2718" t="s">
        <v>13610</v>
      </c>
      <c r="W2718" t="s">
        <v>16275</v>
      </c>
      <c r="X2718">
        <v>58</v>
      </c>
      <c r="Y2718" t="s">
        <v>22927</v>
      </c>
      <c r="Z2718" t="s">
        <v>29573</v>
      </c>
      <c r="AA2718">
        <v>0.54667701922352563</v>
      </c>
      <c r="AB2718" t="str">
        <f>HYPERLINK("Melting_Curves/meltCurve_P55072_VCP.pdf", "Melting_Curves/meltCurve_P55072_VCP.pdf")</f>
        <v>Melting_Curves/meltCurve_P55072_VCP.pdf</v>
      </c>
    </row>
    <row r="2719" spans="1:28" x14ac:dyDescent="0.25">
      <c r="A2719" t="s">
        <v>2723</v>
      </c>
      <c r="B2719">
        <v>0.995954080203443</v>
      </c>
      <c r="C2719">
        <v>0.96428052831491395</v>
      </c>
      <c r="D2719">
        <v>1.03200479394096</v>
      </c>
      <c r="E2719">
        <v>0.91004151275756895</v>
      </c>
      <c r="F2719">
        <v>0.97319529524349002</v>
      </c>
      <c r="G2719">
        <v>0.82956054899577703</v>
      </c>
      <c r="H2719">
        <v>0.91719895732789003</v>
      </c>
      <c r="I2719">
        <v>1.23946231363037</v>
      </c>
      <c r="J2719">
        <v>1.4457625990257199</v>
      </c>
      <c r="K2719">
        <v>1.4017602501131501</v>
      </c>
      <c r="L2719">
        <v>15000</v>
      </c>
      <c r="M2719">
        <v>234.63678882685201</v>
      </c>
      <c r="O2719">
        <v>63.923953521629997</v>
      </c>
      <c r="P2719">
        <v>0.388864659593189</v>
      </c>
      <c r="Q2719">
        <v>1.4237658560830799</v>
      </c>
      <c r="R2719">
        <v>0.88410532247238105</v>
      </c>
      <c r="S2719" t="s">
        <v>9525</v>
      </c>
      <c r="T2719" t="s">
        <v>13610</v>
      </c>
      <c r="U2719" t="s">
        <v>13610</v>
      </c>
      <c r="V2719" t="s">
        <v>13610</v>
      </c>
      <c r="W2719" t="s">
        <v>16276</v>
      </c>
      <c r="X2719">
        <v>19</v>
      </c>
      <c r="Y2719" t="s">
        <v>22928</v>
      </c>
      <c r="Z2719" t="s">
        <v>29574</v>
      </c>
      <c r="AA2719">
        <v>1.085707844023851</v>
      </c>
      <c r="AB2719" t="str">
        <f>HYPERLINK("Melting_Curves/meltCurve_P55081_MFAP1.pdf", "Melting_Curves/meltCurve_P55081_MFAP1.pdf")</f>
        <v>Melting_Curves/meltCurve_P55081_MFAP1.pdf</v>
      </c>
    </row>
    <row r="2720" spans="1:28" x14ac:dyDescent="0.25">
      <c r="A2720" t="s">
        <v>2724</v>
      </c>
      <c r="B2720">
        <v>0.995954080203443</v>
      </c>
      <c r="C2720">
        <v>0.98296289279689897</v>
      </c>
      <c r="D2720">
        <v>0.98319173815762695</v>
      </c>
      <c r="E2720">
        <v>0.90240886970822098</v>
      </c>
      <c r="F2720">
        <v>0.87665557638999103</v>
      </c>
      <c r="G2720">
        <v>0.67338217951025203</v>
      </c>
      <c r="H2720">
        <v>0.63880884879688604</v>
      </c>
      <c r="I2720">
        <v>0.74420926938347298</v>
      </c>
      <c r="J2720">
        <v>0.96757815325019803</v>
      </c>
      <c r="K2720">
        <v>0.80864854823210797</v>
      </c>
      <c r="L2720">
        <v>1630.4535360592199</v>
      </c>
      <c r="M2720">
        <v>31.930927574401501</v>
      </c>
      <c r="O2720">
        <v>50.862866944938098</v>
      </c>
      <c r="P2720">
        <v>-3.5824700655971597E-2</v>
      </c>
      <c r="Q2720">
        <v>0.77174008495947999</v>
      </c>
      <c r="R2720">
        <v>0.54893958975036095</v>
      </c>
      <c r="S2720" t="s">
        <v>9526</v>
      </c>
      <c r="T2720" t="s">
        <v>13610</v>
      </c>
      <c r="U2720" t="s">
        <v>13610</v>
      </c>
      <c r="V2720" t="s">
        <v>13610</v>
      </c>
      <c r="W2720" t="s">
        <v>16277</v>
      </c>
      <c r="X2720">
        <v>13</v>
      </c>
      <c r="Y2720" t="s">
        <v>22929</v>
      </c>
      <c r="Z2720" t="s">
        <v>29575</v>
      </c>
      <c r="AA2720">
        <v>0.85717402886208638</v>
      </c>
      <c r="AB2720" t="str">
        <f>HYPERLINK("Melting_Curves/meltCurve_P55145_MANF.pdf", "Melting_Curves/meltCurve_P55145_MANF.pdf")</f>
        <v>Melting_Curves/meltCurve_P55145_MANF.pdf</v>
      </c>
    </row>
    <row r="2721" spans="1:28" x14ac:dyDescent="0.25">
      <c r="A2721" t="s">
        <v>2725</v>
      </c>
      <c r="B2721">
        <v>0.995954080203443</v>
      </c>
      <c r="C2721">
        <v>0.85796657772281604</v>
      </c>
      <c r="D2721">
        <v>0.65939630801645799</v>
      </c>
      <c r="E2721">
        <v>0.58899840454471297</v>
      </c>
      <c r="F2721">
        <v>0.123048874474879</v>
      </c>
      <c r="G2721">
        <v>6.8527757099793501E-2</v>
      </c>
      <c r="H2721">
        <v>5.2354331685437301E-2</v>
      </c>
      <c r="I2721">
        <v>4.6646909547747403E-2</v>
      </c>
      <c r="J2721">
        <v>5.6020275618016598E-2</v>
      </c>
      <c r="K2721">
        <v>5.1309722665148098E-2</v>
      </c>
      <c r="L2721">
        <v>749.759240593095</v>
      </c>
      <c r="M2721">
        <v>15.346229951867601</v>
      </c>
      <c r="N2721">
        <v>48.947418238201102</v>
      </c>
      <c r="O2721">
        <v>48.049193019309598</v>
      </c>
      <c r="P2721">
        <v>-7.8728725542142303E-2</v>
      </c>
      <c r="Q2721">
        <v>1.40895073182056E-2</v>
      </c>
      <c r="R2721">
        <v>0.960129070812067</v>
      </c>
      <c r="S2721" t="s">
        <v>9527</v>
      </c>
      <c r="T2721" t="s">
        <v>13610</v>
      </c>
      <c r="U2721" t="s">
        <v>13610</v>
      </c>
      <c r="V2721" t="s">
        <v>13610</v>
      </c>
      <c r="W2721" t="s">
        <v>16278</v>
      </c>
      <c r="X2721">
        <v>12</v>
      </c>
      <c r="Y2721" t="s">
        <v>22930</v>
      </c>
      <c r="Z2721" t="s">
        <v>29576</v>
      </c>
      <c r="AA2721">
        <v>0.32856334841183121</v>
      </c>
      <c r="AB2721" t="str">
        <f>HYPERLINK("Melting_Curves/meltCurve_P55160_NCKAP1L.pdf", "Melting_Curves/meltCurve_P55160_NCKAP1L.pdf")</f>
        <v>Melting_Curves/meltCurve_P55160_NCKAP1L.pdf</v>
      </c>
    </row>
    <row r="2722" spans="1:28" x14ac:dyDescent="0.25">
      <c r="A2722" t="s">
        <v>2726</v>
      </c>
      <c r="B2722">
        <v>0.995954080203443</v>
      </c>
      <c r="C2722">
        <v>0.88118310477372197</v>
      </c>
      <c r="D2722">
        <v>0.85401098002964304</v>
      </c>
      <c r="E2722">
        <v>0.80501533199873099</v>
      </c>
      <c r="F2722">
        <v>0.69813416404027095</v>
      </c>
      <c r="G2722">
        <v>0.46842083075171598</v>
      </c>
      <c r="H2722">
        <v>0.35822578721195703</v>
      </c>
      <c r="I2722">
        <v>0.33683345499289602</v>
      </c>
      <c r="J2722">
        <v>0.430599132610055</v>
      </c>
      <c r="K2722">
        <v>0.38499416017801302</v>
      </c>
      <c r="L2722">
        <v>650.79146218590802</v>
      </c>
      <c r="M2722">
        <v>12.409992845837399</v>
      </c>
      <c r="N2722">
        <v>57.219755312975202</v>
      </c>
      <c r="O2722">
        <v>51.135065273225898</v>
      </c>
      <c r="P2722">
        <v>-4.11056775732302E-2</v>
      </c>
      <c r="Q2722">
        <v>0.322643777877752</v>
      </c>
      <c r="R2722">
        <v>0.95185721514841504</v>
      </c>
      <c r="S2722" t="s">
        <v>9528</v>
      </c>
      <c r="T2722" t="s">
        <v>13610</v>
      </c>
      <c r="U2722" t="s">
        <v>13610</v>
      </c>
      <c r="V2722" t="s">
        <v>13610</v>
      </c>
      <c r="W2722" t="s">
        <v>16279</v>
      </c>
      <c r="X2722">
        <v>77</v>
      </c>
      <c r="Y2722" t="s">
        <v>21243</v>
      </c>
      <c r="Z2722" t="s">
        <v>29577</v>
      </c>
      <c r="AA2722">
        <v>0.62283305026706026</v>
      </c>
      <c r="AB2722" t="str">
        <f>HYPERLINK("Melting_Curves/meltCurve_P55196_3_MLLT4.pdf", "Melting_Curves/meltCurve_P55196_3_MLLT4.pdf")</f>
        <v>Melting_Curves/meltCurve_P55196_3_MLLT4.pdf</v>
      </c>
    </row>
    <row r="2723" spans="1:28" x14ac:dyDescent="0.25">
      <c r="A2723" t="s">
        <v>2727</v>
      </c>
      <c r="B2723">
        <v>0.995954080203443</v>
      </c>
      <c r="C2723">
        <v>0.91486363174450602</v>
      </c>
      <c r="D2723">
        <v>0.79421226151812896</v>
      </c>
      <c r="E2723">
        <v>0.65495140019684905</v>
      </c>
      <c r="F2723">
        <v>0.452334563612381</v>
      </c>
      <c r="G2723">
        <v>0.33547628046468297</v>
      </c>
      <c r="H2723">
        <v>0.29011144029399599</v>
      </c>
      <c r="I2723">
        <v>0.30350557265991701</v>
      </c>
      <c r="J2723">
        <v>0.35049279993364502</v>
      </c>
      <c r="K2723">
        <v>0.33609985900794298</v>
      </c>
      <c r="L2723">
        <v>781.73955423559005</v>
      </c>
      <c r="M2723">
        <v>15.919035083073901</v>
      </c>
      <c r="N2723">
        <v>52.106559849642501</v>
      </c>
      <c r="O2723">
        <v>48.351885658104301</v>
      </c>
      <c r="P2723">
        <v>-5.7619796305091897E-2</v>
      </c>
      <c r="Q2723">
        <v>0.30000706924680998</v>
      </c>
      <c r="R2723">
        <v>0.98501136636252695</v>
      </c>
      <c r="S2723" t="s">
        <v>9529</v>
      </c>
      <c r="T2723" t="s">
        <v>13610</v>
      </c>
      <c r="U2723" t="s">
        <v>13610</v>
      </c>
      <c r="V2723" t="s">
        <v>13610</v>
      </c>
      <c r="W2723" t="s">
        <v>16280</v>
      </c>
      <c r="X2723">
        <v>2</v>
      </c>
      <c r="Y2723" t="s">
        <v>22931</v>
      </c>
      <c r="Z2723" t="s">
        <v>29578</v>
      </c>
      <c r="AA2723">
        <v>0.52788381253080285</v>
      </c>
      <c r="AB2723" t="str">
        <f>HYPERLINK("Melting_Curves/meltCurve_P55198_MLLT6.pdf", "Melting_Curves/meltCurve_P55198_MLLT6.pdf")</f>
        <v>Melting_Curves/meltCurve_P55198_MLLT6.pdf</v>
      </c>
    </row>
    <row r="2724" spans="1:28" x14ac:dyDescent="0.25">
      <c r="A2724" t="s">
        <v>2728</v>
      </c>
      <c r="B2724">
        <v>0.995954080203443</v>
      </c>
      <c r="C2724">
        <v>1.02934910171084</v>
      </c>
      <c r="D2724">
        <v>1.0424614361622599</v>
      </c>
      <c r="E2724">
        <v>0.88898945659497197</v>
      </c>
      <c r="F2724">
        <v>0.79106536727487997</v>
      </c>
      <c r="G2724">
        <v>0.51347193430420102</v>
      </c>
      <c r="H2724">
        <v>0.37243489944776598</v>
      </c>
      <c r="I2724">
        <v>0.39516891598415499</v>
      </c>
      <c r="J2724">
        <v>0.44048668203493202</v>
      </c>
      <c r="K2724">
        <v>0.44822224241304198</v>
      </c>
      <c r="L2724">
        <v>1521.0729452447999</v>
      </c>
      <c r="M2724">
        <v>28.267025040075701</v>
      </c>
      <c r="N2724">
        <v>57.261917117500197</v>
      </c>
      <c r="O2724">
        <v>53.543703567554097</v>
      </c>
      <c r="P2724">
        <v>-7.8003316333773706E-2</v>
      </c>
      <c r="Q2724">
        <v>0.40898598123783297</v>
      </c>
      <c r="R2724">
        <v>0.98317321754952103</v>
      </c>
      <c r="S2724" t="s">
        <v>9530</v>
      </c>
      <c r="T2724" t="s">
        <v>13610</v>
      </c>
      <c r="U2724" t="s">
        <v>13610</v>
      </c>
      <c r="V2724" t="s">
        <v>13610</v>
      </c>
      <c r="W2724" t="s">
        <v>16281</v>
      </c>
      <c r="X2724">
        <v>21</v>
      </c>
      <c r="Y2724" t="s">
        <v>22932</v>
      </c>
      <c r="Z2724" t="s">
        <v>29579</v>
      </c>
      <c r="AA2724">
        <v>0.68540924593226671</v>
      </c>
      <c r="AB2724" t="str">
        <f>HYPERLINK("Melting_Curves/meltCurve_P55199_ELL.pdf", "Melting_Curves/meltCurve_P55199_ELL.pdf")</f>
        <v>Melting_Curves/meltCurve_P55199_ELL.pdf</v>
      </c>
    </row>
    <row r="2725" spans="1:28" x14ac:dyDescent="0.25">
      <c r="A2725" t="s">
        <v>2729</v>
      </c>
      <c r="B2725">
        <v>0.995954080203443</v>
      </c>
      <c r="C2725">
        <v>0.94408644967510702</v>
      </c>
      <c r="D2725">
        <v>0.80481728410981901</v>
      </c>
      <c r="E2725">
        <v>0.52653971821394896</v>
      </c>
      <c r="F2725">
        <v>0.20656455344462801</v>
      </c>
      <c r="G2725">
        <v>0.11786004004508401</v>
      </c>
      <c r="H2725">
        <v>7.4255262321290497E-2</v>
      </c>
      <c r="I2725">
        <v>7.2405478851606406E-2</v>
      </c>
      <c r="J2725">
        <v>9.6465694038685795E-2</v>
      </c>
      <c r="K2725">
        <v>7.8083526697017402E-2</v>
      </c>
      <c r="L2725">
        <v>1016.58869807667</v>
      </c>
      <c r="M2725">
        <v>20.579358210837601</v>
      </c>
      <c r="N2725">
        <v>49.747725680692703</v>
      </c>
      <c r="O2725">
        <v>48.939115741999103</v>
      </c>
      <c r="P2725">
        <v>-9.8058923375135498E-2</v>
      </c>
      <c r="Q2725">
        <v>6.7263918000793801E-2</v>
      </c>
      <c r="R2725">
        <v>0.99518937464180202</v>
      </c>
      <c r="S2725" t="s">
        <v>9531</v>
      </c>
      <c r="T2725" t="s">
        <v>13610</v>
      </c>
      <c r="U2725" t="s">
        <v>13610</v>
      </c>
      <c r="V2725" t="s">
        <v>13610</v>
      </c>
      <c r="W2725" t="s">
        <v>16282</v>
      </c>
      <c r="X2725">
        <v>5</v>
      </c>
      <c r="Y2725" t="s">
        <v>22933</v>
      </c>
      <c r="Z2725" t="s">
        <v>29580</v>
      </c>
      <c r="AA2725">
        <v>0.37177359023560841</v>
      </c>
      <c r="AB2725" t="str">
        <f>HYPERLINK("Melting_Curves/meltCurve_P55211_CASP9.pdf", "Melting_Curves/meltCurve_P55211_CASP9.pdf")</f>
        <v>Melting_Curves/meltCurve_P55211_CASP9.pdf</v>
      </c>
    </row>
    <row r="2726" spans="1:28" x14ac:dyDescent="0.25">
      <c r="A2726" t="s">
        <v>2730</v>
      </c>
      <c r="B2726">
        <v>0.995954080203443</v>
      </c>
      <c r="C2726">
        <v>0.98804217022372298</v>
      </c>
      <c r="D2726">
        <v>0.92392325909322304</v>
      </c>
      <c r="E2726">
        <v>0.81023571534466599</v>
      </c>
      <c r="F2726">
        <v>0.70748757313940802</v>
      </c>
      <c r="G2726">
        <v>0.51907497966312999</v>
      </c>
      <c r="H2726">
        <v>0.43449126644795999</v>
      </c>
      <c r="I2726">
        <v>0.48722303159452202</v>
      </c>
      <c r="J2726">
        <v>0.58537940143774503</v>
      </c>
      <c r="K2726">
        <v>0.40446840970286602</v>
      </c>
      <c r="L2726">
        <v>950.01867170458399</v>
      </c>
      <c r="M2726">
        <v>18.365578260744599</v>
      </c>
      <c r="N2726">
        <v>60.210093484234903</v>
      </c>
      <c r="O2726">
        <v>51.126626455399901</v>
      </c>
      <c r="P2726">
        <v>-4.8282454043788101E-2</v>
      </c>
      <c r="Q2726">
        <v>0.46238415120429499</v>
      </c>
      <c r="R2726">
        <v>0.95149177011546204</v>
      </c>
      <c r="S2726" t="s">
        <v>9532</v>
      </c>
      <c r="T2726" t="s">
        <v>13610</v>
      </c>
      <c r="U2726" t="s">
        <v>13610</v>
      </c>
      <c r="V2726" t="s">
        <v>13610</v>
      </c>
      <c r="W2726" t="s">
        <v>16283</v>
      </c>
      <c r="X2726">
        <v>22</v>
      </c>
      <c r="Y2726" t="s">
        <v>22934</v>
      </c>
      <c r="Z2726" t="s">
        <v>29581</v>
      </c>
      <c r="AA2726">
        <v>0.6812299854070728</v>
      </c>
      <c r="AB2726" t="str">
        <f>HYPERLINK("Melting_Curves/meltCurve_P55212_CASP6.pdf", "Melting_Curves/meltCurve_P55212_CASP6.pdf")</f>
        <v>Melting_Curves/meltCurve_P55212_CASP6.pdf</v>
      </c>
    </row>
    <row r="2727" spans="1:28" x14ac:dyDescent="0.25">
      <c r="A2727" t="s">
        <v>2731</v>
      </c>
      <c r="B2727">
        <v>0.995954080203443</v>
      </c>
      <c r="C2727">
        <v>1.0719227832331999</v>
      </c>
      <c r="D2727">
        <v>1.07453925746178</v>
      </c>
      <c r="E2727">
        <v>0.86475117737516305</v>
      </c>
      <c r="F2727">
        <v>0.44760402309991298</v>
      </c>
      <c r="G2727">
        <v>0.13856091532509901</v>
      </c>
      <c r="H2727">
        <v>8.6309522156069907E-2</v>
      </c>
      <c r="I2727">
        <v>7.2406749031682996E-2</v>
      </c>
      <c r="J2727">
        <v>8.3017534451959099E-2</v>
      </c>
      <c r="K2727">
        <v>7.4112778125400097E-2</v>
      </c>
      <c r="L2727">
        <v>1936.28715058132</v>
      </c>
      <c r="M2727">
        <v>36.930417674843603</v>
      </c>
      <c r="N2727">
        <v>52.679575068363803</v>
      </c>
      <c r="O2727">
        <v>52.277673708223702</v>
      </c>
      <c r="P2727">
        <v>-0.162469602467466</v>
      </c>
      <c r="Q2727">
        <v>8.0052995605296606E-2</v>
      </c>
      <c r="R2727">
        <v>0.99365819106498698</v>
      </c>
      <c r="S2727" t="s">
        <v>9533</v>
      </c>
      <c r="T2727" t="s">
        <v>13610</v>
      </c>
      <c r="U2727" t="s">
        <v>13610</v>
      </c>
      <c r="V2727" t="s">
        <v>13610</v>
      </c>
      <c r="W2727" t="s">
        <v>16284</v>
      </c>
      <c r="X2727">
        <v>23</v>
      </c>
      <c r="Y2727" t="s">
        <v>22935</v>
      </c>
      <c r="Z2727" t="s">
        <v>29582</v>
      </c>
      <c r="AA2727">
        <v>0.46514958751271968</v>
      </c>
      <c r="AB2727" t="str">
        <f>HYPERLINK("Melting_Curves/meltCurve_P55263_ADK.pdf", "Melting_Curves/meltCurve_P55263_ADK.pdf")</f>
        <v>Melting_Curves/meltCurve_P55263_ADK.pdf</v>
      </c>
    </row>
    <row r="2728" spans="1:28" x14ac:dyDescent="0.25">
      <c r="A2728" t="s">
        <v>2732</v>
      </c>
      <c r="B2728">
        <v>0.995954080203443</v>
      </c>
      <c r="C2728">
        <v>0.79244575315298804</v>
      </c>
      <c r="D2728">
        <v>0.94937828227816501</v>
      </c>
      <c r="E2728">
        <v>0.80207168904829496</v>
      </c>
      <c r="F2728">
        <v>0.62952435837734999</v>
      </c>
      <c r="G2728">
        <v>0.294077410622824</v>
      </c>
      <c r="H2728">
        <v>0.220669288056526</v>
      </c>
      <c r="I2728">
        <v>0.238368536154664</v>
      </c>
      <c r="J2728">
        <v>0.27145893946798499</v>
      </c>
      <c r="K2728">
        <v>0.26302750426534999</v>
      </c>
      <c r="L2728">
        <v>1198.5364328466201</v>
      </c>
      <c r="M2728">
        <v>22.797160791526899</v>
      </c>
      <c r="N2728">
        <v>54.038790399493898</v>
      </c>
      <c r="O2728">
        <v>52.174408913536197</v>
      </c>
      <c r="P2728">
        <v>-8.4060175489311495E-2</v>
      </c>
      <c r="Q2728">
        <v>0.23048225042626599</v>
      </c>
      <c r="R2728">
        <v>0.94478840046410495</v>
      </c>
      <c r="S2728" t="s">
        <v>9534</v>
      </c>
      <c r="T2728" t="s">
        <v>13610</v>
      </c>
      <c r="U2728" t="s">
        <v>13610</v>
      </c>
      <c r="V2728" t="s">
        <v>13610</v>
      </c>
      <c r="W2728" t="s">
        <v>16285</v>
      </c>
      <c r="X2728">
        <v>45</v>
      </c>
      <c r="Y2728" t="s">
        <v>22936</v>
      </c>
      <c r="Z2728" t="s">
        <v>29583</v>
      </c>
      <c r="AA2728">
        <v>0.56140400952088898</v>
      </c>
      <c r="AB2728" t="str">
        <f>HYPERLINK("Melting_Curves/meltCurve_P55265_5_ADAR.pdf", "Melting_Curves/meltCurve_P55265_5_ADAR.pdf")</f>
        <v>Melting_Curves/meltCurve_P55265_5_ADAR.pdf</v>
      </c>
    </row>
    <row r="2729" spans="1:28" x14ac:dyDescent="0.25">
      <c r="A2729" t="s">
        <v>2733</v>
      </c>
      <c r="B2729">
        <v>0.995954080203443</v>
      </c>
      <c r="C2729">
        <v>0.83974410863036597</v>
      </c>
      <c r="D2729">
        <v>0.83917419186995301</v>
      </c>
      <c r="E2729">
        <v>0.99560414640137196</v>
      </c>
      <c r="F2729">
        <v>0.61428865399097499</v>
      </c>
      <c r="G2729">
        <v>0.31379733234435703</v>
      </c>
      <c r="H2729">
        <v>0.218154949205313</v>
      </c>
      <c r="I2729">
        <v>0.14119539529695699</v>
      </c>
      <c r="J2729">
        <v>5.52944379367293E-2</v>
      </c>
      <c r="K2729">
        <v>5.3071819815147997E-2</v>
      </c>
      <c r="L2729">
        <v>1076.4991701603999</v>
      </c>
      <c r="M2729">
        <v>19.736386513397001</v>
      </c>
      <c r="N2729">
        <v>54.9172281639594</v>
      </c>
      <c r="O2729">
        <v>53.993178033458001</v>
      </c>
      <c r="P2729">
        <v>-8.5649513551945305E-2</v>
      </c>
      <c r="Q2729">
        <v>6.2780656743155E-2</v>
      </c>
      <c r="R2729">
        <v>0.95043850159948196</v>
      </c>
      <c r="S2729" t="s">
        <v>9535</v>
      </c>
      <c r="T2729" t="s">
        <v>13610</v>
      </c>
      <c r="U2729" t="s">
        <v>13610</v>
      </c>
      <c r="V2729" t="s">
        <v>13610</v>
      </c>
      <c r="W2729" t="s">
        <v>16286</v>
      </c>
      <c r="X2729">
        <v>2</v>
      </c>
      <c r="Y2729" t="s">
        <v>22937</v>
      </c>
      <c r="Z2729" t="s">
        <v>29584</v>
      </c>
      <c r="AA2729">
        <v>0.53001451204064254</v>
      </c>
      <c r="AB2729" t="str">
        <f>HYPERLINK("Melting_Curves/meltCurve_P55273_CDKN2D.pdf", "Melting_Curves/meltCurve_P55273_CDKN2D.pdf")</f>
        <v>Melting_Curves/meltCurve_P55273_CDKN2D.pdf</v>
      </c>
    </row>
    <row r="2730" spans="1:28" x14ac:dyDescent="0.25">
      <c r="A2730" t="s">
        <v>2734</v>
      </c>
      <c r="B2730">
        <v>0.995954080203443</v>
      </c>
      <c r="C2730">
        <v>0.984518604323663</v>
      </c>
      <c r="D2730">
        <v>0.90481375349543902</v>
      </c>
      <c r="E2730">
        <v>0.86716570957758099</v>
      </c>
      <c r="F2730">
        <v>0.83520458574256295</v>
      </c>
      <c r="G2730">
        <v>0.61422170855997704</v>
      </c>
      <c r="H2730">
        <v>0.52517832861135505</v>
      </c>
      <c r="I2730">
        <v>0.58251094312461305</v>
      </c>
      <c r="J2730">
        <v>0.70309759681919803</v>
      </c>
      <c r="K2730">
        <v>0.652148134404404</v>
      </c>
      <c r="L2730">
        <v>1079.5521950090899</v>
      </c>
      <c r="M2730">
        <v>20.756533941216102</v>
      </c>
      <c r="O2730">
        <v>51.534709055760402</v>
      </c>
      <c r="P2730">
        <v>-3.9586527020970298E-2</v>
      </c>
      <c r="Q2730">
        <v>0.60686648429507295</v>
      </c>
      <c r="R2730">
        <v>0.87342022895074201</v>
      </c>
      <c r="S2730" t="s">
        <v>9536</v>
      </c>
      <c r="T2730" t="s">
        <v>13610</v>
      </c>
      <c r="U2730" t="s">
        <v>13610</v>
      </c>
      <c r="V2730" t="s">
        <v>13610</v>
      </c>
      <c r="W2730" t="s">
        <v>16287</v>
      </c>
      <c r="X2730">
        <v>8</v>
      </c>
      <c r="Y2730" t="s">
        <v>22938</v>
      </c>
      <c r="Z2730" t="s">
        <v>29585</v>
      </c>
      <c r="AA2730">
        <v>0.7693416182670999</v>
      </c>
      <c r="AB2730" t="str">
        <f>HYPERLINK("Melting_Curves/meltCurve_P55327_2_TPD52.pdf", "Melting_Curves/meltCurve_P55327_2_TPD52.pdf")</f>
        <v>Melting_Curves/meltCurve_P55327_2_TPD52.pdf</v>
      </c>
    </row>
    <row r="2731" spans="1:28" x14ac:dyDescent="0.25">
      <c r="A2731" t="s">
        <v>2735</v>
      </c>
      <c r="B2731">
        <v>0.995954080203443</v>
      </c>
      <c r="C2731">
        <v>0.99168129336309696</v>
      </c>
      <c r="D2731">
        <v>0.90250203325365297</v>
      </c>
      <c r="E2731">
        <v>0.68033146032033698</v>
      </c>
      <c r="F2731">
        <v>0.410551413648226</v>
      </c>
      <c r="G2731">
        <v>0.26711254523029798</v>
      </c>
      <c r="H2731">
        <v>0.17933283719658299</v>
      </c>
      <c r="I2731">
        <v>0.188899347983187</v>
      </c>
      <c r="J2731">
        <v>0.19154014035338701</v>
      </c>
      <c r="K2731">
        <v>0.21823678023719301</v>
      </c>
      <c r="L2731">
        <v>1110.91197520533</v>
      </c>
      <c r="M2731">
        <v>21.866962672599399</v>
      </c>
      <c r="N2731">
        <v>51.919142195275001</v>
      </c>
      <c r="O2731">
        <v>50.384062422023</v>
      </c>
      <c r="P2731">
        <v>-8.8159541585316303E-2</v>
      </c>
      <c r="Q2731">
        <v>0.187498675573184</v>
      </c>
      <c r="R2731">
        <v>0.99756821769679804</v>
      </c>
      <c r="S2731" t="s">
        <v>9537</v>
      </c>
      <c r="T2731" t="s">
        <v>13610</v>
      </c>
      <c r="U2731" t="s">
        <v>13610</v>
      </c>
      <c r="V2731" t="s">
        <v>13610</v>
      </c>
      <c r="W2731" t="s">
        <v>16288</v>
      </c>
      <c r="X2731">
        <v>3</v>
      </c>
      <c r="Y2731" t="s">
        <v>22939</v>
      </c>
      <c r="Z2731" t="s">
        <v>29586</v>
      </c>
      <c r="AA2731">
        <v>0.48960216037127952</v>
      </c>
      <c r="AB2731" t="str">
        <f>HYPERLINK("Melting_Curves/meltCurve_P55347_2_PKNOX1.pdf", "Melting_Curves/meltCurve_P55347_2_PKNOX1.pdf")</f>
        <v>Melting_Curves/meltCurve_P55347_2_PKNOX1.pdf</v>
      </c>
    </row>
    <row r="2732" spans="1:28" x14ac:dyDescent="0.25">
      <c r="A2732" t="s">
        <v>2736</v>
      </c>
      <c r="B2732">
        <v>0.995954080203443</v>
      </c>
      <c r="C2732">
        <v>1.03905743901008</v>
      </c>
      <c r="D2732">
        <v>0.93761619741381097</v>
      </c>
      <c r="E2732">
        <v>0.92605986560048603</v>
      </c>
      <c r="F2732">
        <v>0.581409393370938</v>
      </c>
      <c r="G2732">
        <v>0.23170746984508001</v>
      </c>
      <c r="H2732">
        <v>0.101254929752512</v>
      </c>
      <c r="I2732">
        <v>6.3522696389076302E-2</v>
      </c>
      <c r="J2732">
        <v>8.7231520718566394E-2</v>
      </c>
      <c r="K2732">
        <v>7.5290271014311294E-2</v>
      </c>
      <c r="L2732">
        <v>1532.8766782147</v>
      </c>
      <c r="M2732">
        <v>28.635143722831199</v>
      </c>
      <c r="N2732">
        <v>53.835210746384902</v>
      </c>
      <c r="O2732">
        <v>53.272284926549602</v>
      </c>
      <c r="P2732">
        <v>-0.124353263048591</v>
      </c>
      <c r="Q2732">
        <v>7.4629533000204404E-2</v>
      </c>
      <c r="R2732">
        <v>0.99584986074469395</v>
      </c>
      <c r="S2732" t="s">
        <v>9538</v>
      </c>
      <c r="T2732" t="s">
        <v>13610</v>
      </c>
      <c r="U2732" t="s">
        <v>13610</v>
      </c>
      <c r="V2732" t="s">
        <v>13610</v>
      </c>
      <c r="W2732" t="s">
        <v>16289</v>
      </c>
      <c r="X2732">
        <v>13</v>
      </c>
      <c r="Y2732" t="s">
        <v>22940</v>
      </c>
      <c r="Z2732" t="s">
        <v>29587</v>
      </c>
      <c r="AA2732">
        <v>0.49862560187195187</v>
      </c>
      <c r="AB2732" t="str">
        <f>HYPERLINK("Melting_Curves/meltCurve_P55735_SEC13.pdf", "Melting_Curves/meltCurve_P55735_SEC13.pdf")</f>
        <v>Melting_Curves/meltCurve_P55735_SEC13.pdf</v>
      </c>
    </row>
    <row r="2733" spans="1:28" x14ac:dyDescent="0.25">
      <c r="A2733" t="s">
        <v>2737</v>
      </c>
      <c r="B2733">
        <v>0.995954080203443</v>
      </c>
      <c r="C2733">
        <v>0.82131818607862594</v>
      </c>
      <c r="D2733">
        <v>0.60329597067219198</v>
      </c>
      <c r="E2733">
        <v>0.43587054766385902</v>
      </c>
      <c r="F2733">
        <v>0.184297099916994</v>
      </c>
      <c r="G2733">
        <v>0.103868366119845</v>
      </c>
      <c r="H2733">
        <v>5.6726780385882303E-2</v>
      </c>
      <c r="I2733">
        <v>4.2961573755192703E-2</v>
      </c>
      <c r="J2733">
        <v>4.6152641290603202E-2</v>
      </c>
      <c r="K2733">
        <v>3.7624868794977603E-2</v>
      </c>
      <c r="L2733">
        <v>668.47865391437801</v>
      </c>
      <c r="M2733">
        <v>13.962411813331</v>
      </c>
      <c r="N2733">
        <v>48.003025585199303</v>
      </c>
      <c r="O2733">
        <v>46.926992391300701</v>
      </c>
      <c r="P2733">
        <v>-7.3055039685513704E-2</v>
      </c>
      <c r="Q2733">
        <v>1.7993468968685099E-2</v>
      </c>
      <c r="R2733">
        <v>0.99029022876252404</v>
      </c>
      <c r="S2733" t="s">
        <v>9539</v>
      </c>
      <c r="T2733" t="s">
        <v>13610</v>
      </c>
      <c r="U2733" t="s">
        <v>13610</v>
      </c>
      <c r="V2733" t="s">
        <v>13610</v>
      </c>
      <c r="W2733" t="s">
        <v>16290</v>
      </c>
      <c r="X2733">
        <v>6</v>
      </c>
      <c r="Y2733" t="s">
        <v>22941</v>
      </c>
      <c r="Z2733" t="s">
        <v>29588</v>
      </c>
      <c r="AA2733">
        <v>0.3050913944407953</v>
      </c>
      <c r="AB2733" t="str">
        <f>HYPERLINK("Melting_Curves/meltCurve_P55769_NHP2L1.pdf", "Melting_Curves/meltCurve_P55769_NHP2L1.pdf")</f>
        <v>Melting_Curves/meltCurve_P55769_NHP2L1.pdf</v>
      </c>
    </row>
    <row r="2734" spans="1:28" x14ac:dyDescent="0.25">
      <c r="A2734" t="s">
        <v>2738</v>
      </c>
      <c r="B2734">
        <v>0.995954080203443</v>
      </c>
      <c r="C2734">
        <v>0.96813873532919303</v>
      </c>
      <c r="D2734">
        <v>0.99663204920866599</v>
      </c>
      <c r="E2734">
        <v>0.89872379642852696</v>
      </c>
      <c r="F2734">
        <v>0.89247309689499099</v>
      </c>
      <c r="G2734">
        <v>0.58861691280880002</v>
      </c>
      <c r="H2734">
        <v>0.70003893834046704</v>
      </c>
      <c r="I2734">
        <v>0.71970431269352197</v>
      </c>
      <c r="J2734">
        <v>0.86587794793589601</v>
      </c>
      <c r="K2734">
        <v>0.50536657073140301</v>
      </c>
      <c r="L2734">
        <v>7320.2087247079498</v>
      </c>
      <c r="M2734">
        <v>137.418523287558</v>
      </c>
      <c r="O2734">
        <v>53.2581809387123</v>
      </c>
      <c r="P2734">
        <v>-0.209050828228833</v>
      </c>
      <c r="Q2734">
        <v>0.67591956181225998</v>
      </c>
      <c r="R2734">
        <v>0.68416999139051204</v>
      </c>
      <c r="S2734" t="s">
        <v>9540</v>
      </c>
      <c r="T2734" t="s">
        <v>13610</v>
      </c>
      <c r="U2734" t="s">
        <v>13610</v>
      </c>
      <c r="V2734" t="s">
        <v>13610</v>
      </c>
      <c r="W2734" t="s">
        <v>16291</v>
      </c>
      <c r="X2734">
        <v>1</v>
      </c>
      <c r="Y2734" t="s">
        <v>22942</v>
      </c>
      <c r="Z2734" t="s">
        <v>29589</v>
      </c>
      <c r="AA2734">
        <v>0.81936549352534749</v>
      </c>
      <c r="AB2734" t="str">
        <f>HYPERLINK("Melting_Curves/meltCurve_P55771_PAX9.pdf", "Melting_Curves/meltCurve_P55771_PAX9.pdf")</f>
        <v>Melting_Curves/meltCurve_P55771_PAX9.pdf</v>
      </c>
    </row>
    <row r="2735" spans="1:28" x14ac:dyDescent="0.25">
      <c r="A2735" t="s">
        <v>2739</v>
      </c>
      <c r="B2735">
        <v>0.995954080203443</v>
      </c>
      <c r="C2735">
        <v>1.00193697687471</v>
      </c>
      <c r="D2735">
        <v>1.09886926023071</v>
      </c>
      <c r="E2735">
        <v>0.96938908779736899</v>
      </c>
      <c r="F2735">
        <v>0.98010950283503095</v>
      </c>
      <c r="G2735">
        <v>0.76299421736338102</v>
      </c>
      <c r="H2735">
        <v>0.72555594074960805</v>
      </c>
      <c r="I2735">
        <v>0.83248605228041195</v>
      </c>
      <c r="J2735">
        <v>1.15937853518344</v>
      </c>
      <c r="K2735">
        <v>1.0307130308613</v>
      </c>
      <c r="L2735">
        <v>13322.3435433369</v>
      </c>
      <c r="M2735">
        <v>250</v>
      </c>
      <c r="O2735">
        <v>53.285964010689099</v>
      </c>
      <c r="P2735">
        <v>-0.114681280152176</v>
      </c>
      <c r="Q2735">
        <v>0.902225559051411</v>
      </c>
      <c r="R2735">
        <v>0.16121003813319401</v>
      </c>
      <c r="S2735" t="s">
        <v>9541</v>
      </c>
      <c r="T2735" t="s">
        <v>13610</v>
      </c>
      <c r="U2735" t="s">
        <v>13610</v>
      </c>
      <c r="V2735" t="s">
        <v>13610</v>
      </c>
      <c r="W2735" t="s">
        <v>16292</v>
      </c>
      <c r="X2735">
        <v>7</v>
      </c>
      <c r="Y2735" t="s">
        <v>22943</v>
      </c>
      <c r="Z2735" t="s">
        <v>29590</v>
      </c>
      <c r="AA2735">
        <v>0.94554674079338119</v>
      </c>
      <c r="AB2735" t="str">
        <f>HYPERLINK("Melting_Curves/meltCurve_P55789_GFER.pdf", "Melting_Curves/meltCurve_P55789_GFER.pdf")</f>
        <v>Melting_Curves/meltCurve_P55789_GFER.pdf</v>
      </c>
    </row>
    <row r="2736" spans="1:28" x14ac:dyDescent="0.25">
      <c r="A2736" t="s">
        <v>2740</v>
      </c>
      <c r="B2736">
        <v>0.995954080203443</v>
      </c>
      <c r="C2736">
        <v>0.94621821739650303</v>
      </c>
      <c r="D2736">
        <v>0.70096390637059403</v>
      </c>
      <c r="E2736">
        <v>0.458224043537376</v>
      </c>
      <c r="F2736">
        <v>0.28164314646546401</v>
      </c>
      <c r="G2736">
        <v>0.166223901653136</v>
      </c>
      <c r="H2736">
        <v>0.13317327713385299</v>
      </c>
      <c r="I2736">
        <v>0.139122342686225</v>
      </c>
      <c r="J2736">
        <v>0.17403084296339</v>
      </c>
      <c r="K2736">
        <v>0.17165029696644801</v>
      </c>
      <c r="L2736">
        <v>880.11779135606298</v>
      </c>
      <c r="M2736">
        <v>18.298031877818701</v>
      </c>
      <c r="N2736">
        <v>49.008908141358198</v>
      </c>
      <c r="O2736">
        <v>47.535597666521298</v>
      </c>
      <c r="P2736">
        <v>-8.2378281101869399E-2</v>
      </c>
      <c r="Q2736">
        <v>0.14401291701656199</v>
      </c>
      <c r="R2736">
        <v>0.99383750218927303</v>
      </c>
      <c r="S2736" t="s">
        <v>9542</v>
      </c>
      <c r="T2736" t="s">
        <v>13610</v>
      </c>
      <c r="U2736" t="s">
        <v>13610</v>
      </c>
      <c r="V2736" t="s">
        <v>13610</v>
      </c>
      <c r="W2736" t="s">
        <v>16293</v>
      </c>
      <c r="X2736">
        <v>12</v>
      </c>
      <c r="Y2736" t="s">
        <v>22944</v>
      </c>
      <c r="Z2736" t="s">
        <v>29591</v>
      </c>
      <c r="AA2736">
        <v>0.38973587111658392</v>
      </c>
      <c r="AB2736" t="str">
        <f>HYPERLINK("Melting_Curves/meltCurve_P55795_HNRNPH2.pdf", "Melting_Curves/meltCurve_P55795_HNRNPH2.pdf")</f>
        <v>Melting_Curves/meltCurve_P55795_HNRNPH2.pdf</v>
      </c>
    </row>
    <row r="2737" spans="1:28" x14ac:dyDescent="0.25">
      <c r="A2737" t="s">
        <v>2741</v>
      </c>
      <c r="B2737">
        <v>0.995954080203443</v>
      </c>
      <c r="C2737">
        <v>0.96864457842259999</v>
      </c>
      <c r="D2737">
        <v>1.17960415309038</v>
      </c>
      <c r="E2737">
        <v>0.97377801179937895</v>
      </c>
      <c r="F2737">
        <v>1.21312300878173</v>
      </c>
      <c r="G2737">
        <v>1.0538948336915499</v>
      </c>
      <c r="H2737">
        <v>1.08326243917071</v>
      </c>
      <c r="I2737">
        <v>1.4007772052704399</v>
      </c>
      <c r="J2737">
        <v>1.66216836418339</v>
      </c>
      <c r="K2737">
        <v>1.6322985203299101</v>
      </c>
      <c r="L2737">
        <v>4460.5486990048903</v>
      </c>
      <c r="M2737">
        <v>71.367913101822793</v>
      </c>
      <c r="O2737">
        <v>62.451738726608099</v>
      </c>
      <c r="P2737">
        <v>0.14284615857688901</v>
      </c>
      <c r="Q2737">
        <v>1.5</v>
      </c>
      <c r="R2737">
        <v>0.79367017243012306</v>
      </c>
      <c r="S2737" t="s">
        <v>9543</v>
      </c>
      <c r="T2737" t="s">
        <v>13610</v>
      </c>
      <c r="U2737" t="s">
        <v>13610</v>
      </c>
      <c r="V2737" t="s">
        <v>13610</v>
      </c>
      <c r="W2737" t="s">
        <v>16294</v>
      </c>
      <c r="X2737">
        <v>3</v>
      </c>
      <c r="Y2737" t="s">
        <v>22945</v>
      </c>
      <c r="Z2737" t="s">
        <v>29592</v>
      </c>
      <c r="AA2737">
        <v>1.1243217293821639</v>
      </c>
      <c r="AB2737" t="str">
        <f>HYPERLINK("Melting_Curves/meltCurve_P55854_SUMO3.pdf", "Melting_Curves/meltCurve_P55854_SUMO3.pdf")</f>
        <v>Melting_Curves/meltCurve_P55854_SUMO3.pdf</v>
      </c>
    </row>
    <row r="2738" spans="1:28" x14ac:dyDescent="0.25">
      <c r="A2738" t="s">
        <v>2742</v>
      </c>
      <c r="B2738">
        <v>0.995954080203443</v>
      </c>
      <c r="C2738">
        <v>0.88365965815407599</v>
      </c>
      <c r="D2738">
        <v>0.61458578895877103</v>
      </c>
      <c r="E2738">
        <v>0.41977261513261899</v>
      </c>
      <c r="F2738">
        <v>0.19614855541309101</v>
      </c>
      <c r="G2738">
        <v>0.111894402501533</v>
      </c>
      <c r="H2738">
        <v>6.9930684042719696E-2</v>
      </c>
      <c r="I2738">
        <v>5.5340896064977801E-2</v>
      </c>
      <c r="J2738">
        <v>6.3101416455782197E-2</v>
      </c>
      <c r="K2738">
        <v>5.6107878390933001E-2</v>
      </c>
      <c r="L2738">
        <v>745.31351256516098</v>
      </c>
      <c r="M2738">
        <v>15.5730963167923</v>
      </c>
      <c r="N2738">
        <v>48.142288204319101</v>
      </c>
      <c r="O2738">
        <v>47.0906964597716</v>
      </c>
      <c r="P2738">
        <v>-7.9063639406135103E-2</v>
      </c>
      <c r="Q2738">
        <v>4.3776785427527103E-2</v>
      </c>
      <c r="R2738">
        <v>0.99330308565451297</v>
      </c>
      <c r="S2738" t="s">
        <v>9544</v>
      </c>
      <c r="T2738" t="s">
        <v>13610</v>
      </c>
      <c r="U2738" t="s">
        <v>13610</v>
      </c>
      <c r="V2738" t="s">
        <v>13610</v>
      </c>
      <c r="W2738" t="s">
        <v>16295</v>
      </c>
      <c r="X2738">
        <v>35</v>
      </c>
      <c r="Y2738" t="s">
        <v>22946</v>
      </c>
      <c r="Z2738" t="s">
        <v>29593</v>
      </c>
      <c r="AA2738">
        <v>0.3172559795819781</v>
      </c>
      <c r="AB2738" t="str">
        <f>HYPERLINK("Melting_Curves/meltCurve_P55884_EIF3B.pdf", "Melting_Curves/meltCurve_P55884_EIF3B.pdf")</f>
        <v>Melting_Curves/meltCurve_P55884_EIF3B.pdf</v>
      </c>
    </row>
    <row r="2739" spans="1:28" x14ac:dyDescent="0.25">
      <c r="A2739" t="s">
        <v>2743</v>
      </c>
      <c r="B2739">
        <v>0.995954080203443</v>
      </c>
      <c r="C2739">
        <v>0.95194931535100502</v>
      </c>
      <c r="D2739">
        <v>0.98837162907439102</v>
      </c>
      <c r="E2739">
        <v>0.83553724820950004</v>
      </c>
      <c r="F2739">
        <v>0.87301872555543003</v>
      </c>
      <c r="G2739">
        <v>0.65267008727318399</v>
      </c>
      <c r="H2739">
        <v>0.59524797971932297</v>
      </c>
      <c r="I2739">
        <v>0.65700243051821505</v>
      </c>
      <c r="J2739">
        <v>0.78997298242861902</v>
      </c>
      <c r="K2739">
        <v>0.62501312650446295</v>
      </c>
      <c r="L2739">
        <v>1031.47746609721</v>
      </c>
      <c r="M2739">
        <v>19.925361512924599</v>
      </c>
      <c r="O2739">
        <v>51.254099689103299</v>
      </c>
      <c r="P2739">
        <v>-3.3278609322121899E-2</v>
      </c>
      <c r="Q2739">
        <v>0.657600427578793</v>
      </c>
      <c r="R2739">
        <v>0.82466605812966598</v>
      </c>
      <c r="S2739" t="s">
        <v>9545</v>
      </c>
      <c r="T2739" t="s">
        <v>13610</v>
      </c>
      <c r="U2739" t="s">
        <v>13610</v>
      </c>
      <c r="V2739" t="s">
        <v>13610</v>
      </c>
      <c r="W2739" t="s">
        <v>16296</v>
      </c>
      <c r="X2739">
        <v>12</v>
      </c>
      <c r="Y2739" t="s">
        <v>22947</v>
      </c>
      <c r="Z2739" t="s">
        <v>29594</v>
      </c>
      <c r="AA2739">
        <v>0.79667650985217431</v>
      </c>
      <c r="AB2739" t="str">
        <f>HYPERLINK("Melting_Curves/meltCurve_P55957_BID.pdf", "Melting_Curves/meltCurve_P55957_BID.pdf")</f>
        <v>Melting_Curves/meltCurve_P55957_BID.pdf</v>
      </c>
    </row>
    <row r="2740" spans="1:28" x14ac:dyDescent="0.25">
      <c r="A2740" t="s">
        <v>2744</v>
      </c>
      <c r="B2740">
        <v>0.995954080203443</v>
      </c>
      <c r="C2740">
        <v>0.942475157267196</v>
      </c>
      <c r="D2740">
        <v>0.97894883038285696</v>
      </c>
      <c r="E2740">
        <v>0.88184420740361902</v>
      </c>
      <c r="F2740">
        <v>0.90054927140952001</v>
      </c>
      <c r="G2740">
        <v>0.75013567698008998</v>
      </c>
      <c r="H2740">
        <v>0.72632107836359305</v>
      </c>
      <c r="I2740">
        <v>0.910413040577568</v>
      </c>
      <c r="J2740">
        <v>1.01195957514482</v>
      </c>
      <c r="K2740">
        <v>1.03355447863517</v>
      </c>
      <c r="L2740">
        <v>4499.6632213702796</v>
      </c>
      <c r="M2740">
        <v>96.361524720321796</v>
      </c>
      <c r="O2740">
        <v>46.675540650372803</v>
      </c>
      <c r="P2740">
        <v>-5.7908424514014602E-2</v>
      </c>
      <c r="Q2740">
        <v>0.88780140785238604</v>
      </c>
      <c r="R2740">
        <v>0.13352725913074301</v>
      </c>
      <c r="S2740" t="s">
        <v>9546</v>
      </c>
      <c r="T2740" t="s">
        <v>13610</v>
      </c>
      <c r="U2740" t="s">
        <v>13610</v>
      </c>
      <c r="V2740" t="s">
        <v>13610</v>
      </c>
      <c r="W2740" t="s">
        <v>16297</v>
      </c>
      <c r="X2740">
        <v>7</v>
      </c>
      <c r="Y2740" t="s">
        <v>22948</v>
      </c>
      <c r="Z2740" t="s">
        <v>29595</v>
      </c>
      <c r="AA2740">
        <v>0.91290476047521552</v>
      </c>
      <c r="AB2740" t="str">
        <f>HYPERLINK("Melting_Curves/meltCurve_P56181_2_NDUFV3.pdf", "Melting_Curves/meltCurve_P56181_2_NDUFV3.pdf")</f>
        <v>Melting_Curves/meltCurve_P56181_2_NDUFV3.pdf</v>
      </c>
    </row>
    <row r="2741" spans="1:28" x14ac:dyDescent="0.25">
      <c r="A2741" t="s">
        <v>2745</v>
      </c>
      <c r="B2741">
        <v>0.995954080203443</v>
      </c>
      <c r="C2741">
        <v>0.74661860680494796</v>
      </c>
      <c r="D2741">
        <v>0.54145436297250205</v>
      </c>
      <c r="E2741">
        <v>0.38174956272295701</v>
      </c>
      <c r="F2741">
        <v>0.35061300260017098</v>
      </c>
      <c r="G2741">
        <v>0.30060751189394902</v>
      </c>
      <c r="H2741">
        <v>0.29305385110201898</v>
      </c>
      <c r="I2741">
        <v>0.365257437293182</v>
      </c>
      <c r="J2741">
        <v>0.406548423821808</v>
      </c>
      <c r="K2741">
        <v>0.387847264364583</v>
      </c>
      <c r="L2741">
        <v>1095.0314317822999</v>
      </c>
      <c r="M2741">
        <v>24.862190162869499</v>
      </c>
      <c r="N2741">
        <v>46.287420014170898</v>
      </c>
      <c r="O2741">
        <v>43.762088178059301</v>
      </c>
      <c r="P2741">
        <v>-9.2299966243018602E-2</v>
      </c>
      <c r="Q2741">
        <v>0.35014868971282498</v>
      </c>
      <c r="R2741">
        <v>0.96856267544717101</v>
      </c>
      <c r="S2741" t="s">
        <v>9547</v>
      </c>
      <c r="T2741" t="s">
        <v>13610</v>
      </c>
      <c r="U2741" t="s">
        <v>13610</v>
      </c>
      <c r="V2741" t="s">
        <v>13610</v>
      </c>
      <c r="W2741" t="s">
        <v>16298</v>
      </c>
      <c r="X2741">
        <v>12</v>
      </c>
      <c r="Y2741" t="s">
        <v>22949</v>
      </c>
      <c r="Z2741" t="s">
        <v>29596</v>
      </c>
      <c r="AA2741">
        <v>0.44523486831745052</v>
      </c>
      <c r="AB2741" t="str">
        <f>HYPERLINK("Melting_Curves/meltCurve_P56182_RRP1.pdf", "Melting_Curves/meltCurve_P56182_RRP1.pdf")</f>
        <v>Melting_Curves/meltCurve_P56182_RRP1.pdf</v>
      </c>
    </row>
    <row r="2742" spans="1:28" x14ac:dyDescent="0.25">
      <c r="A2742" t="s">
        <v>2746</v>
      </c>
      <c r="B2742">
        <v>0.995954080203443</v>
      </c>
      <c r="C2742">
        <v>0.67356227490226805</v>
      </c>
      <c r="D2742">
        <v>0.36820492163656598</v>
      </c>
      <c r="E2742">
        <v>0.21279182731499399</v>
      </c>
      <c r="F2742">
        <v>0.115080751404324</v>
      </c>
      <c r="G2742">
        <v>6.6351854797667004E-2</v>
      </c>
      <c r="H2742">
        <v>4.9773959111273199E-2</v>
      </c>
      <c r="I2742">
        <v>4.71512086130337E-2</v>
      </c>
      <c r="J2742">
        <v>5.4551387086002497E-2</v>
      </c>
      <c r="K2742">
        <v>5.0520136473150998E-2</v>
      </c>
      <c r="L2742">
        <v>896.67461284182696</v>
      </c>
      <c r="M2742">
        <v>20.105580735595399</v>
      </c>
      <c r="N2742">
        <v>44.882928584849502</v>
      </c>
      <c r="O2742">
        <v>44.164125999677502</v>
      </c>
      <c r="P2742">
        <v>-0.10700245945407499</v>
      </c>
      <c r="Q2742">
        <v>5.98591488485739E-2</v>
      </c>
      <c r="R2742">
        <v>0.98718448812842097</v>
      </c>
      <c r="S2742" t="s">
        <v>9548</v>
      </c>
      <c r="T2742" t="s">
        <v>13610</v>
      </c>
      <c r="U2742" t="s">
        <v>13610</v>
      </c>
      <c r="V2742" t="s">
        <v>13610</v>
      </c>
      <c r="W2742" t="s">
        <v>16299</v>
      </c>
      <c r="X2742">
        <v>34</v>
      </c>
      <c r="Y2742" t="s">
        <v>22950</v>
      </c>
      <c r="Z2742" t="s">
        <v>29597</v>
      </c>
      <c r="AA2742">
        <v>0.22047729880500039</v>
      </c>
      <c r="AB2742" t="str">
        <f>HYPERLINK("Melting_Curves/meltCurve_P56192_MARS.pdf", "Melting_Curves/meltCurve_P56192_MARS.pdf")</f>
        <v>Melting_Curves/meltCurve_P56192_MARS.pdf</v>
      </c>
    </row>
    <row r="2743" spans="1:28" x14ac:dyDescent="0.25">
      <c r="A2743" t="s">
        <v>2747</v>
      </c>
      <c r="B2743">
        <v>0.995954080203443</v>
      </c>
      <c r="C2743">
        <v>0.96045275060964996</v>
      </c>
      <c r="D2743">
        <v>1.0061264426463099</v>
      </c>
      <c r="E2743">
        <v>0.88764548118071795</v>
      </c>
      <c r="F2743">
        <v>0.86008263445389599</v>
      </c>
      <c r="G2743">
        <v>0.68383634293579998</v>
      </c>
      <c r="H2743">
        <v>0.66085774725115798</v>
      </c>
      <c r="I2743">
        <v>0.89706673295319395</v>
      </c>
      <c r="J2743">
        <v>0.80139963836656003</v>
      </c>
      <c r="K2743">
        <v>1.01523793657961</v>
      </c>
      <c r="L2743">
        <v>2090.7589995940298</v>
      </c>
      <c r="M2743">
        <v>42.124962422355502</v>
      </c>
      <c r="O2743">
        <v>49.5208622383198</v>
      </c>
      <c r="P2743">
        <v>-3.8955038654694699E-2</v>
      </c>
      <c r="Q2743">
        <v>0.81682279592812501</v>
      </c>
      <c r="R2743">
        <v>0.38256547420480802</v>
      </c>
      <c r="S2743" t="s">
        <v>9549</v>
      </c>
      <c r="T2743" t="s">
        <v>13610</v>
      </c>
      <c r="U2743" t="s">
        <v>13610</v>
      </c>
      <c r="V2743" t="s">
        <v>13610</v>
      </c>
      <c r="W2743" t="s">
        <v>16300</v>
      </c>
      <c r="X2743">
        <v>5</v>
      </c>
      <c r="Y2743" t="s">
        <v>22951</v>
      </c>
      <c r="Z2743" t="s">
        <v>29598</v>
      </c>
      <c r="AA2743">
        <v>0.87620315511252278</v>
      </c>
      <c r="AB2743" t="str">
        <f>HYPERLINK("Melting_Curves/meltCurve_P56211_ARPP19.pdf", "Melting_Curves/meltCurve_P56211_ARPP19.pdf")</f>
        <v>Melting_Curves/meltCurve_P56211_ARPP19.pdf</v>
      </c>
    </row>
    <row r="2744" spans="1:28" x14ac:dyDescent="0.25">
      <c r="A2744" t="s">
        <v>2748</v>
      </c>
      <c r="B2744">
        <v>0.995954080203443</v>
      </c>
      <c r="C2744">
        <v>0.976647257407949</v>
      </c>
      <c r="D2744">
        <v>0.98670263363511501</v>
      </c>
      <c r="E2744">
        <v>0.94526740659699804</v>
      </c>
      <c r="F2744">
        <v>0.88779390523021795</v>
      </c>
      <c r="G2744">
        <v>0.55220304357240102</v>
      </c>
      <c r="H2744">
        <v>0.574818805328562</v>
      </c>
      <c r="I2744">
        <v>0.70302410535030702</v>
      </c>
      <c r="J2744">
        <v>0.84267650062798805</v>
      </c>
      <c r="K2744">
        <v>0.86743653858289804</v>
      </c>
      <c r="L2744">
        <v>11130.8428700402</v>
      </c>
      <c r="M2744">
        <v>209.54461815473101</v>
      </c>
      <c r="O2744">
        <v>53.114364121600197</v>
      </c>
      <c r="P2744">
        <v>-0.28796524693448</v>
      </c>
      <c r="Q2744">
        <v>0.70803180896029005</v>
      </c>
      <c r="R2744">
        <v>0.64283129562984298</v>
      </c>
      <c r="S2744" t="s">
        <v>9550</v>
      </c>
      <c r="T2744" t="s">
        <v>13610</v>
      </c>
      <c r="U2744" t="s">
        <v>13610</v>
      </c>
      <c r="V2744" t="s">
        <v>13610</v>
      </c>
      <c r="W2744" t="s">
        <v>16301</v>
      </c>
      <c r="X2744">
        <v>5</v>
      </c>
      <c r="Y2744" t="s">
        <v>22952</v>
      </c>
      <c r="Z2744" t="s">
        <v>29599</v>
      </c>
      <c r="AA2744">
        <v>0.83575020954370072</v>
      </c>
      <c r="AB2744" t="str">
        <f>HYPERLINK("Melting_Curves/meltCurve_P56277_CMC4.pdf", "Melting_Curves/meltCurve_P56277_CMC4.pdf")</f>
        <v>Melting_Curves/meltCurve_P56277_CMC4.pdf</v>
      </c>
    </row>
    <row r="2745" spans="1:28" x14ac:dyDescent="0.25">
      <c r="A2745" t="s">
        <v>2749</v>
      </c>
      <c r="B2745">
        <v>0.995954080203443</v>
      </c>
      <c r="C2745">
        <v>0.75309890472516405</v>
      </c>
      <c r="D2745">
        <v>0.37152669707989899</v>
      </c>
      <c r="E2745">
        <v>0.31914206698630698</v>
      </c>
      <c r="F2745">
        <v>0.20882223533904001</v>
      </c>
      <c r="G2745">
        <v>0.117695144895957</v>
      </c>
      <c r="H2745">
        <v>8.7422596433192001E-2</v>
      </c>
      <c r="I2745">
        <v>8.0931430834600096E-2</v>
      </c>
      <c r="J2745">
        <v>8.1253275282403906E-2</v>
      </c>
      <c r="K2745">
        <v>7.8927917987261606E-2</v>
      </c>
      <c r="L2745">
        <v>807.57511624773997</v>
      </c>
      <c r="M2745">
        <v>17.9182210206638</v>
      </c>
      <c r="N2745">
        <v>45.624843121439298</v>
      </c>
      <c r="O2745">
        <v>44.519926475281999</v>
      </c>
      <c r="P2745">
        <v>-9.0774013458647704E-2</v>
      </c>
      <c r="Q2745">
        <v>9.7890488846114301E-2</v>
      </c>
      <c r="R2745">
        <v>0.96932689334742705</v>
      </c>
      <c r="S2745" t="s">
        <v>9551</v>
      </c>
      <c r="T2745" t="s">
        <v>13610</v>
      </c>
      <c r="U2745" t="s">
        <v>13610</v>
      </c>
      <c r="V2745" t="s">
        <v>13610</v>
      </c>
      <c r="W2745" t="s">
        <v>16302</v>
      </c>
      <c r="X2745">
        <v>4</v>
      </c>
      <c r="Y2745" t="s">
        <v>22953</v>
      </c>
      <c r="Z2745" t="s">
        <v>29600</v>
      </c>
      <c r="AA2745">
        <v>0.26985303051855392</v>
      </c>
      <c r="AB2745" t="str">
        <f>HYPERLINK("Melting_Curves/meltCurve_P56282_3_POLE2.pdf", "Melting_Curves/meltCurve_P56282_3_POLE2.pdf")</f>
        <v>Melting_Curves/meltCurve_P56282_3_POLE2.pdf</v>
      </c>
    </row>
    <row r="2746" spans="1:28" x14ac:dyDescent="0.25">
      <c r="A2746" t="s">
        <v>2750</v>
      </c>
      <c r="B2746">
        <v>0.995954080203443</v>
      </c>
      <c r="C2746">
        <v>0.95843374073381504</v>
      </c>
      <c r="D2746">
        <v>0.80898684189403602</v>
      </c>
      <c r="E2746">
        <v>0.75026952486768905</v>
      </c>
      <c r="F2746">
        <v>0.37798965628435199</v>
      </c>
      <c r="G2746">
        <v>0.210748589050054</v>
      </c>
      <c r="H2746">
        <v>0.12639429960057499</v>
      </c>
      <c r="I2746">
        <v>7.9009419810412401E-2</v>
      </c>
      <c r="J2746">
        <v>6.1989960172664803E-2</v>
      </c>
      <c r="K2746">
        <v>5.8801217026706702E-2</v>
      </c>
      <c r="L2746">
        <v>833.03174487801698</v>
      </c>
      <c r="M2746">
        <v>16.080520523299601</v>
      </c>
      <c r="N2746">
        <v>52.059129612704503</v>
      </c>
      <c r="O2746">
        <v>51.022517640439297</v>
      </c>
      <c r="P2746">
        <v>-7.5809214049172097E-2</v>
      </c>
      <c r="Q2746">
        <v>3.79221977535696E-2</v>
      </c>
      <c r="R2746">
        <v>0.98649094305363005</v>
      </c>
      <c r="S2746" t="s">
        <v>9552</v>
      </c>
      <c r="T2746" t="s">
        <v>13610</v>
      </c>
      <c r="U2746" t="s">
        <v>13610</v>
      </c>
      <c r="V2746" t="s">
        <v>13610</v>
      </c>
      <c r="W2746" t="s">
        <v>16303</v>
      </c>
      <c r="X2746">
        <v>3</v>
      </c>
      <c r="Y2746" t="s">
        <v>22954</v>
      </c>
      <c r="Z2746" t="s">
        <v>29601</v>
      </c>
      <c r="AA2746">
        <v>0.43585010131888408</v>
      </c>
      <c r="AB2746" t="str">
        <f>HYPERLINK("Melting_Curves/meltCurve_P56377_AP1S2.pdf", "Melting_Curves/meltCurve_P56377_AP1S2.pdf")</f>
        <v>Melting_Curves/meltCurve_P56377_AP1S2.pdf</v>
      </c>
    </row>
    <row r="2747" spans="1:28" x14ac:dyDescent="0.25">
      <c r="A2747" t="s">
        <v>2751</v>
      </c>
      <c r="B2747">
        <v>0.995954080203443</v>
      </c>
      <c r="C2747">
        <v>0.99527456624863397</v>
      </c>
      <c r="D2747">
        <v>0.83727418319553004</v>
      </c>
      <c r="E2747">
        <v>0.89612120756224001</v>
      </c>
      <c r="F2747">
        <v>0.74437752573695004</v>
      </c>
      <c r="G2747">
        <v>0.450382495850563</v>
      </c>
      <c r="H2747">
        <v>0.46529831612775002</v>
      </c>
      <c r="I2747">
        <v>0.54757463882930202</v>
      </c>
      <c r="J2747">
        <v>0.70408869886274905</v>
      </c>
      <c r="K2747">
        <v>0.63141499279810798</v>
      </c>
      <c r="L2747">
        <v>1876.0477593979101</v>
      </c>
      <c r="M2747">
        <v>36.143634037881597</v>
      </c>
      <c r="O2747">
        <v>51.747219729718601</v>
      </c>
      <c r="P2747">
        <v>-7.6538086256325299E-2</v>
      </c>
      <c r="Q2747">
        <v>0.56167984077570998</v>
      </c>
      <c r="R2747">
        <v>0.78905021662197306</v>
      </c>
      <c r="S2747" t="s">
        <v>9553</v>
      </c>
      <c r="T2747" t="s">
        <v>13610</v>
      </c>
      <c r="U2747" t="s">
        <v>13610</v>
      </c>
      <c r="V2747" t="s">
        <v>13610</v>
      </c>
      <c r="W2747" t="s">
        <v>16304</v>
      </c>
      <c r="X2747">
        <v>1</v>
      </c>
      <c r="Y2747" t="s">
        <v>22955</v>
      </c>
      <c r="Z2747" t="s">
        <v>29602</v>
      </c>
      <c r="AA2747">
        <v>0.73755209359527774</v>
      </c>
      <c r="AB2747" t="str">
        <f>HYPERLINK("Melting_Curves/meltCurve_P56385_ATP5I.pdf", "Melting_Curves/meltCurve_P56385_ATP5I.pdf")</f>
        <v>Melting_Curves/meltCurve_P56385_ATP5I.pdf</v>
      </c>
    </row>
    <row r="2748" spans="1:28" x14ac:dyDescent="0.25">
      <c r="A2748" t="s">
        <v>2752</v>
      </c>
      <c r="B2748">
        <v>0.995954080203443</v>
      </c>
      <c r="C2748">
        <v>0.98192740598578798</v>
      </c>
      <c r="D2748">
        <v>1.01737593583872</v>
      </c>
      <c r="E2748">
        <v>0.87653667121766998</v>
      </c>
      <c r="F2748">
        <v>0.81535292600346398</v>
      </c>
      <c r="G2748">
        <v>0.62110035044358003</v>
      </c>
      <c r="H2748">
        <v>0.53965289417334905</v>
      </c>
      <c r="I2748">
        <v>0.62831239673134898</v>
      </c>
      <c r="J2748">
        <v>0.67799559234071904</v>
      </c>
      <c r="K2748">
        <v>0.70562960429347898</v>
      </c>
      <c r="L2748">
        <v>1515.24503697776</v>
      </c>
      <c r="M2748">
        <v>29.0899357881928</v>
      </c>
      <c r="O2748">
        <v>51.843998420438901</v>
      </c>
      <c r="P2748">
        <v>-5.1602509981743698E-2</v>
      </c>
      <c r="Q2748">
        <v>0.63213934209454703</v>
      </c>
      <c r="R2748">
        <v>0.916837932348889</v>
      </c>
      <c r="S2748" t="s">
        <v>9554</v>
      </c>
      <c r="T2748" t="s">
        <v>13610</v>
      </c>
      <c r="U2748" t="s">
        <v>13610</v>
      </c>
      <c r="V2748" t="s">
        <v>13610</v>
      </c>
      <c r="W2748" t="s">
        <v>16305</v>
      </c>
      <c r="X2748">
        <v>21</v>
      </c>
      <c r="Y2748" t="s">
        <v>22956</v>
      </c>
      <c r="Z2748" t="s">
        <v>29603</v>
      </c>
      <c r="AA2748">
        <v>0.78286765009786541</v>
      </c>
      <c r="AB2748" t="str">
        <f>HYPERLINK("Melting_Curves/meltCurve_P56524_HDAC4.pdf", "Melting_Curves/meltCurve_P56524_HDAC4.pdf")</f>
        <v>Melting_Curves/meltCurve_P56524_HDAC4.pdf</v>
      </c>
    </row>
    <row r="2749" spans="1:28" x14ac:dyDescent="0.25">
      <c r="A2749" t="s">
        <v>2753</v>
      </c>
      <c r="B2749">
        <v>0.995954080203443</v>
      </c>
      <c r="C2749">
        <v>1.0430834640831499</v>
      </c>
      <c r="D2749">
        <v>0.96004713390464802</v>
      </c>
      <c r="E2749">
        <v>0.89506003616001795</v>
      </c>
      <c r="F2749">
        <v>0.79632228047996501</v>
      </c>
      <c r="G2749">
        <v>0.50264357513984204</v>
      </c>
      <c r="H2749">
        <v>0.21769181611945601</v>
      </c>
      <c r="I2749">
        <v>0.12243954238923201</v>
      </c>
      <c r="J2749">
        <v>9.93943432901956E-2</v>
      </c>
      <c r="K2749">
        <v>9.3377115603311994E-2</v>
      </c>
      <c r="L2749">
        <v>1079.7330155396101</v>
      </c>
      <c r="M2749">
        <v>19.124512751314501</v>
      </c>
      <c r="N2749">
        <v>56.780535477018098</v>
      </c>
      <c r="O2749">
        <v>55.851635209984501</v>
      </c>
      <c r="P2749">
        <v>-8.1201978243738898E-2</v>
      </c>
      <c r="Q2749">
        <v>5.1460885972865203E-2</v>
      </c>
      <c r="R2749">
        <v>0.99643381263222497</v>
      </c>
      <c r="S2749" t="s">
        <v>9555</v>
      </c>
      <c r="T2749" t="s">
        <v>13610</v>
      </c>
      <c r="U2749" t="s">
        <v>13610</v>
      </c>
      <c r="V2749" t="s">
        <v>13610</v>
      </c>
      <c r="W2749" t="s">
        <v>16306</v>
      </c>
      <c r="X2749">
        <v>8</v>
      </c>
      <c r="Y2749" t="s">
        <v>22957</v>
      </c>
      <c r="Z2749" t="s">
        <v>29604</v>
      </c>
      <c r="AA2749">
        <v>0.58448626372719537</v>
      </c>
      <c r="AB2749" t="str">
        <f>HYPERLINK("Melting_Curves/meltCurve_P56537_EIF6.pdf", "Melting_Curves/meltCurve_P56537_EIF6.pdf")</f>
        <v>Melting_Curves/meltCurve_P56537_EIF6.pdf</v>
      </c>
    </row>
    <row r="2750" spans="1:28" x14ac:dyDescent="0.25">
      <c r="A2750" t="s">
        <v>2754</v>
      </c>
      <c r="B2750">
        <v>0.995954080203443</v>
      </c>
      <c r="C2750">
        <v>1.30635839553976</v>
      </c>
      <c r="D2750">
        <v>1.20197690431243</v>
      </c>
      <c r="E2750">
        <v>1.1751445653914501</v>
      </c>
      <c r="F2750">
        <v>0.66561461524530097</v>
      </c>
      <c r="G2750">
        <v>0.45036431596207199</v>
      </c>
      <c r="H2750">
        <v>0.27265561871584199</v>
      </c>
      <c r="I2750">
        <v>0.26627446683711897</v>
      </c>
      <c r="J2750">
        <v>0.289927592164476</v>
      </c>
      <c r="K2750">
        <v>0.32090998414043398</v>
      </c>
      <c r="L2750">
        <v>13251.7466246767</v>
      </c>
      <c r="M2750">
        <v>250</v>
      </c>
      <c r="N2750">
        <v>53.224525608821097</v>
      </c>
      <c r="O2750">
        <v>53.003596963384801</v>
      </c>
      <c r="P2750">
        <v>-0.80180130764369095</v>
      </c>
      <c r="Q2750">
        <v>0.32002637993613398</v>
      </c>
      <c r="R2750">
        <v>0.88779556903975598</v>
      </c>
      <c r="S2750" t="s">
        <v>9556</v>
      </c>
      <c r="T2750" t="s">
        <v>13610</v>
      </c>
      <c r="U2750" t="s">
        <v>13610</v>
      </c>
      <c r="V2750" t="s">
        <v>13610</v>
      </c>
      <c r="W2750" t="s">
        <v>16307</v>
      </c>
      <c r="X2750">
        <v>2</v>
      </c>
      <c r="Y2750" t="s">
        <v>22958</v>
      </c>
      <c r="Z2750" t="s">
        <v>29605</v>
      </c>
      <c r="AA2750">
        <v>0.61490322531372632</v>
      </c>
      <c r="AB2750" t="str">
        <f>HYPERLINK("Melting_Curves/meltCurve_P56597_NME5.pdf", "Melting_Curves/meltCurve_P56597_NME5.pdf")</f>
        <v>Melting_Curves/meltCurve_P56597_NME5.pdf</v>
      </c>
    </row>
    <row r="2751" spans="1:28" x14ac:dyDescent="0.25">
      <c r="A2751" t="s">
        <v>2755</v>
      </c>
      <c r="B2751">
        <v>0.995954080203443</v>
      </c>
      <c r="C2751">
        <v>0.96432756346642001</v>
      </c>
      <c r="D2751">
        <v>0.94922392609859396</v>
      </c>
      <c r="E2751">
        <v>0.88887027769626104</v>
      </c>
      <c r="F2751">
        <v>0.90569473732465899</v>
      </c>
      <c r="G2751">
        <v>0.68978674646938498</v>
      </c>
      <c r="H2751">
        <v>0.72051512784147898</v>
      </c>
      <c r="I2751">
        <v>0.84303893587091105</v>
      </c>
      <c r="J2751">
        <v>1.12087780091801</v>
      </c>
      <c r="K2751">
        <v>1.03242588315882</v>
      </c>
      <c r="L2751">
        <v>1240.99239710905</v>
      </c>
      <c r="M2751">
        <v>27.2210275478764</v>
      </c>
      <c r="O2751">
        <v>45.345566489464701</v>
      </c>
      <c r="P2751">
        <v>-1.7271837624982501E-2</v>
      </c>
      <c r="Q2751">
        <v>0.88491342026411202</v>
      </c>
      <c r="R2751">
        <v>9.5062765677430106E-2</v>
      </c>
      <c r="S2751" t="s">
        <v>9557</v>
      </c>
      <c r="T2751" t="s">
        <v>13610</v>
      </c>
      <c r="U2751" t="s">
        <v>13610</v>
      </c>
      <c r="V2751" t="s">
        <v>13610</v>
      </c>
      <c r="W2751" t="s">
        <v>16308</v>
      </c>
      <c r="X2751">
        <v>9</v>
      </c>
      <c r="Y2751" t="s">
        <v>22959</v>
      </c>
      <c r="Z2751" t="s">
        <v>29606</v>
      </c>
      <c r="AA2751">
        <v>0.90724877443373864</v>
      </c>
      <c r="AB2751" t="str">
        <f>HYPERLINK("Melting_Curves/meltCurve_P56645_PER3.pdf", "Melting_Curves/meltCurve_P56645_PER3.pdf")</f>
        <v>Melting_Curves/meltCurve_P56645_PER3.pdf</v>
      </c>
    </row>
    <row r="2752" spans="1:28" x14ac:dyDescent="0.25">
      <c r="A2752" t="s">
        <v>2756</v>
      </c>
      <c r="B2752">
        <v>0.995954080203443</v>
      </c>
      <c r="C2752">
        <v>0.97950644812986498</v>
      </c>
      <c r="D2752">
        <v>0.93765221814614996</v>
      </c>
      <c r="E2752">
        <v>0.81611404235962304</v>
      </c>
      <c r="F2752">
        <v>0.71914844498645603</v>
      </c>
      <c r="G2752">
        <v>0.53334879415776304</v>
      </c>
      <c r="H2752">
        <v>0.48154726775638901</v>
      </c>
      <c r="I2752">
        <v>0.53906703920932197</v>
      </c>
      <c r="J2752">
        <v>0.63588818775811196</v>
      </c>
      <c r="K2752">
        <v>0.59569489006899901</v>
      </c>
      <c r="L2752">
        <v>1191.8578301703999</v>
      </c>
      <c r="M2752">
        <v>23.440133339951</v>
      </c>
      <c r="O2752">
        <v>50.481144442440403</v>
      </c>
      <c r="P2752">
        <v>-5.18021713961428E-2</v>
      </c>
      <c r="Q2752">
        <v>0.55375893493063599</v>
      </c>
      <c r="R2752">
        <v>0.94052313277192301</v>
      </c>
      <c r="S2752" t="s">
        <v>9558</v>
      </c>
      <c r="T2752" t="s">
        <v>13610</v>
      </c>
      <c r="U2752" t="s">
        <v>13610</v>
      </c>
      <c r="V2752" t="s">
        <v>13610</v>
      </c>
      <c r="W2752" t="s">
        <v>16309</v>
      </c>
      <c r="X2752">
        <v>14</v>
      </c>
      <c r="Y2752" t="s">
        <v>22960</v>
      </c>
      <c r="Z2752" t="s">
        <v>29607</v>
      </c>
      <c r="AA2752">
        <v>0.71967079948040613</v>
      </c>
      <c r="AB2752" t="str">
        <f>HYPERLINK("Melting_Curves/meltCurve_P56945_5_BCAR1.pdf", "Melting_Curves/meltCurve_P56945_5_BCAR1.pdf")</f>
        <v>Melting_Curves/meltCurve_P56945_5_BCAR1.pdf</v>
      </c>
    </row>
    <row r="2753" spans="1:28" x14ac:dyDescent="0.25">
      <c r="A2753" t="s">
        <v>2757</v>
      </c>
      <c r="B2753">
        <v>0.995954080203443</v>
      </c>
      <c r="C2753">
        <v>1.0050834200876</v>
      </c>
      <c r="D2753">
        <v>0.98615952238669502</v>
      </c>
      <c r="E2753">
        <v>0.71801756891989699</v>
      </c>
      <c r="F2753">
        <v>0.46688670950059402</v>
      </c>
      <c r="G2753">
        <v>0.20813741764403099</v>
      </c>
      <c r="H2753">
        <v>0.11386740979801301</v>
      </c>
      <c r="I2753">
        <v>0.11006082532847</v>
      </c>
      <c r="J2753">
        <v>0.11832431677177201</v>
      </c>
      <c r="K2753">
        <v>0.130821886633364</v>
      </c>
      <c r="L2753">
        <v>1214.19899304823</v>
      </c>
      <c r="M2753">
        <v>23.389153382736001</v>
      </c>
      <c r="N2753">
        <v>52.4644080605065</v>
      </c>
      <c r="O2753">
        <v>51.537882844334597</v>
      </c>
      <c r="P2753">
        <v>-0.10109279855832901</v>
      </c>
      <c r="Q2753">
        <v>0.10898560162926201</v>
      </c>
      <c r="R2753">
        <v>0.99810056084667798</v>
      </c>
      <c r="S2753" t="s">
        <v>9559</v>
      </c>
      <c r="T2753" t="s">
        <v>13610</v>
      </c>
      <c r="U2753" t="s">
        <v>13610</v>
      </c>
      <c r="V2753" t="s">
        <v>13610</v>
      </c>
      <c r="W2753" t="s">
        <v>16310</v>
      </c>
      <c r="X2753">
        <v>7</v>
      </c>
      <c r="Y2753" t="s">
        <v>22961</v>
      </c>
      <c r="Z2753" t="s">
        <v>29608</v>
      </c>
      <c r="AA2753">
        <v>0.4720364895738135</v>
      </c>
      <c r="AB2753" t="str">
        <f>HYPERLINK("Melting_Curves/meltCurve_P56962_STX17.pdf", "Melting_Curves/meltCurve_P56962_STX17.pdf")</f>
        <v>Melting_Curves/meltCurve_P56962_STX17.pdf</v>
      </c>
    </row>
    <row r="2754" spans="1:28" x14ac:dyDescent="0.25">
      <c r="A2754" t="s">
        <v>2758</v>
      </c>
      <c r="B2754">
        <v>0.995954080203443</v>
      </c>
      <c r="C2754">
        <v>1.0060092179739</v>
      </c>
      <c r="D2754">
        <v>0.88099365962464005</v>
      </c>
      <c r="E2754">
        <v>0.62369493632644901</v>
      </c>
      <c r="F2754">
        <v>0.26630482866578697</v>
      </c>
      <c r="G2754">
        <v>0.148731609754715</v>
      </c>
      <c r="H2754">
        <v>0.101605236442513</v>
      </c>
      <c r="I2754">
        <v>0.102102700260518</v>
      </c>
      <c r="J2754">
        <v>0.10762668565983299</v>
      </c>
      <c r="K2754">
        <v>0.11883935247291599</v>
      </c>
      <c r="L2754">
        <v>1298.30975864997</v>
      </c>
      <c r="M2754">
        <v>25.787634524550199</v>
      </c>
      <c r="N2754">
        <v>50.795049569032301</v>
      </c>
      <c r="O2754">
        <v>50.046385627356401</v>
      </c>
      <c r="P2754">
        <v>-0.115695723085146</v>
      </c>
      <c r="Q2754">
        <v>0.10188218882927</v>
      </c>
      <c r="R2754">
        <v>0.99660365668365603</v>
      </c>
      <c r="S2754" t="s">
        <v>9560</v>
      </c>
      <c r="T2754" t="s">
        <v>13610</v>
      </c>
      <c r="U2754" t="s">
        <v>13610</v>
      </c>
      <c r="V2754" t="s">
        <v>13610</v>
      </c>
      <c r="W2754" t="s">
        <v>16311</v>
      </c>
      <c r="X2754">
        <v>5</v>
      </c>
      <c r="Y2754" t="s">
        <v>22962</v>
      </c>
      <c r="Z2754" t="s">
        <v>29609</v>
      </c>
      <c r="AA2754">
        <v>0.41919144973133221</v>
      </c>
      <c r="AB2754" t="str">
        <f>HYPERLINK("Melting_Curves/meltCurve_P57060_RWDD2B.pdf", "Melting_Curves/meltCurve_P57060_RWDD2B.pdf")</f>
        <v>Melting_Curves/meltCurve_P57060_RWDD2B.pdf</v>
      </c>
    </row>
    <row r="2755" spans="1:28" x14ac:dyDescent="0.25">
      <c r="A2755" t="s">
        <v>2759</v>
      </c>
      <c r="B2755">
        <v>0.995954080203443</v>
      </c>
      <c r="C2755">
        <v>1.0180507853275</v>
      </c>
      <c r="D2755">
        <v>0.60978067759521803</v>
      </c>
      <c r="E2755">
        <v>0.33656002635478</v>
      </c>
      <c r="F2755">
        <v>0.15238628148377101</v>
      </c>
      <c r="G2755">
        <v>8.1896646201483E-2</v>
      </c>
      <c r="H2755">
        <v>5.0538651978149801E-2</v>
      </c>
      <c r="I2755">
        <v>4.1131512083566697E-2</v>
      </c>
      <c r="J2755">
        <v>4.6820824419355297E-2</v>
      </c>
      <c r="K2755">
        <v>4.0173583917590697E-2</v>
      </c>
      <c r="L2755">
        <v>1000.26769109987</v>
      </c>
      <c r="M2755">
        <v>21.027273872403399</v>
      </c>
      <c r="N2755">
        <v>47.792678511966201</v>
      </c>
      <c r="O2755">
        <v>47.1460529141739</v>
      </c>
      <c r="P2755">
        <v>-0.106300959607159</v>
      </c>
      <c r="Q2755">
        <v>4.6660055016385003E-2</v>
      </c>
      <c r="R2755">
        <v>0.98649690240333199</v>
      </c>
      <c r="S2755" t="s">
        <v>9561</v>
      </c>
      <c r="T2755" t="s">
        <v>13610</v>
      </c>
      <c r="U2755" t="s">
        <v>13610</v>
      </c>
      <c r="V2755" t="s">
        <v>13610</v>
      </c>
      <c r="W2755" t="s">
        <v>16312</v>
      </c>
      <c r="X2755">
        <v>14</v>
      </c>
      <c r="Y2755" t="s">
        <v>22963</v>
      </c>
      <c r="Z2755" t="s">
        <v>29610</v>
      </c>
      <c r="AA2755">
        <v>0.29950395251093442</v>
      </c>
      <c r="AB2755" t="str">
        <f>HYPERLINK("Melting_Curves/meltCurve_P57076_C21orf59.pdf", "Melting_Curves/meltCurve_P57076_C21orf59.pdf")</f>
        <v>Melting_Curves/meltCurve_P57076_C21orf59.pdf</v>
      </c>
    </row>
    <row r="2756" spans="1:28" x14ac:dyDescent="0.25">
      <c r="A2756" t="s">
        <v>2760</v>
      </c>
      <c r="B2756">
        <v>0.995954080203443</v>
      </c>
      <c r="C2756">
        <v>1.04426911596495</v>
      </c>
      <c r="D2756">
        <v>0.96456990468056003</v>
      </c>
      <c r="E2756">
        <v>0.92546899638555502</v>
      </c>
      <c r="F2756">
        <v>0.70723311736696104</v>
      </c>
      <c r="G2756">
        <v>0.215279423463901</v>
      </c>
      <c r="H2756">
        <v>9.1975793175187601E-2</v>
      </c>
      <c r="I2756">
        <v>6.7826773842628293E-2</v>
      </c>
      <c r="J2756">
        <v>7.4046726131460905E-2</v>
      </c>
      <c r="K2756">
        <v>5.7618778035276798E-2</v>
      </c>
      <c r="L2756">
        <v>1747.7858494239399</v>
      </c>
      <c r="M2756">
        <v>32.2369446577692</v>
      </c>
      <c r="N2756">
        <v>54.444037922302002</v>
      </c>
      <c r="O2756">
        <v>54.0095065547834</v>
      </c>
      <c r="P2756">
        <v>-0.13982907097470701</v>
      </c>
      <c r="Q2756">
        <v>6.2930819674658495E-2</v>
      </c>
      <c r="R2756">
        <v>0.99797483202043102</v>
      </c>
      <c r="S2756" t="s">
        <v>9562</v>
      </c>
      <c r="T2756" t="s">
        <v>13610</v>
      </c>
      <c r="U2756" t="s">
        <v>13610</v>
      </c>
      <c r="V2756" t="s">
        <v>13610</v>
      </c>
      <c r="W2756" t="s">
        <v>16313</v>
      </c>
      <c r="X2756">
        <v>17</v>
      </c>
      <c r="Y2756" t="s">
        <v>22964</v>
      </c>
      <c r="Z2756" t="s">
        <v>29611</v>
      </c>
      <c r="AA2756">
        <v>0.51237180669226567</v>
      </c>
      <c r="AB2756" t="str">
        <f>HYPERLINK("Melting_Curves/meltCurve_P57081_WDR4.pdf", "Melting_Curves/meltCurve_P57081_WDR4.pdf")</f>
        <v>Melting_Curves/meltCurve_P57081_WDR4.pdf</v>
      </c>
    </row>
    <row r="2757" spans="1:28" x14ac:dyDescent="0.25">
      <c r="A2757" t="s">
        <v>2761</v>
      </c>
      <c r="B2757">
        <v>0.995954080203443</v>
      </c>
      <c r="C2757">
        <v>0.78306519625785498</v>
      </c>
      <c r="D2757">
        <v>0.57620238358441001</v>
      </c>
      <c r="E2757">
        <v>0.66911565683289598</v>
      </c>
      <c r="F2757">
        <v>0.26298164664722901</v>
      </c>
      <c r="G2757">
        <v>0.16085481467000701</v>
      </c>
      <c r="H2757">
        <v>0.113675939403314</v>
      </c>
      <c r="I2757">
        <v>8.1662304862886503E-2</v>
      </c>
      <c r="J2757">
        <v>0</v>
      </c>
      <c r="K2757">
        <v>5.2525191223973498E-2</v>
      </c>
      <c r="L2757">
        <v>529.54379542944298</v>
      </c>
      <c r="M2757">
        <v>10.708940612631499</v>
      </c>
      <c r="N2757">
        <v>49.448760355683902</v>
      </c>
      <c r="O2757">
        <v>47.818017629635797</v>
      </c>
      <c r="P2757">
        <v>-5.6008943090202601E-2</v>
      </c>
      <c r="Q2757">
        <v>0</v>
      </c>
      <c r="R2757">
        <v>0.93923042393976497</v>
      </c>
      <c r="S2757" t="s">
        <v>9563</v>
      </c>
      <c r="T2757" t="s">
        <v>13610</v>
      </c>
      <c r="U2757" t="s">
        <v>13610</v>
      </c>
      <c r="V2757" t="s">
        <v>13610</v>
      </c>
      <c r="W2757" t="s">
        <v>16314</v>
      </c>
      <c r="X2757">
        <v>2</v>
      </c>
      <c r="Y2757" t="s">
        <v>22965</v>
      </c>
      <c r="Z2757" t="s">
        <v>29612</v>
      </c>
      <c r="AA2757">
        <v>0.35769289621299699</v>
      </c>
      <c r="AB2757" t="str">
        <f>HYPERLINK("Melting_Curves/meltCurve_P57088_TMEM33.pdf", "Melting_Curves/meltCurve_P57088_TMEM33.pdf")</f>
        <v>Melting_Curves/meltCurve_P57088_TMEM33.pdf</v>
      </c>
    </row>
    <row r="2758" spans="1:28" x14ac:dyDescent="0.25">
      <c r="A2758" t="s">
        <v>2762</v>
      </c>
      <c r="B2758">
        <v>0.995954080203443</v>
      </c>
      <c r="C2758">
        <v>0.79821260088331802</v>
      </c>
      <c r="D2758">
        <v>0.65627744530094201</v>
      </c>
      <c r="E2758">
        <v>0.63941197237925096</v>
      </c>
      <c r="F2758">
        <v>0.43393004918369099</v>
      </c>
      <c r="G2758">
        <v>0.29439703864000499</v>
      </c>
      <c r="H2758">
        <v>0.18038938846043101</v>
      </c>
      <c r="I2758">
        <v>0.19296312353839801</v>
      </c>
      <c r="J2758">
        <v>0.241688299820741</v>
      </c>
      <c r="K2758">
        <v>0.21350627227351399</v>
      </c>
      <c r="L2758">
        <v>502.37637706513101</v>
      </c>
      <c r="M2758">
        <v>10.182264786156701</v>
      </c>
      <c r="N2758">
        <v>51.024586569647603</v>
      </c>
      <c r="O2758">
        <v>47.548854502681898</v>
      </c>
      <c r="P2758">
        <v>-4.5908244729390403E-2</v>
      </c>
      <c r="Q2758">
        <v>0.14286492740736201</v>
      </c>
      <c r="R2758">
        <v>0.96063240354152202</v>
      </c>
      <c r="S2758" t="s">
        <v>9564</v>
      </c>
      <c r="T2758" t="s">
        <v>13610</v>
      </c>
      <c r="U2758" t="s">
        <v>13610</v>
      </c>
      <c r="V2758" t="s">
        <v>13610</v>
      </c>
      <c r="W2758" t="s">
        <v>16315</v>
      </c>
      <c r="X2758">
        <v>1</v>
      </c>
      <c r="Y2758" t="s">
        <v>22966</v>
      </c>
      <c r="Z2758" t="s">
        <v>29613</v>
      </c>
      <c r="AA2758">
        <v>0.44946796976760439</v>
      </c>
      <c r="AB2758" t="str">
        <f>HYPERLINK("Melting_Curves/meltCurve_P57105_SYNJ2BP.pdf", "Melting_Curves/meltCurve_P57105_SYNJ2BP.pdf")</f>
        <v>Melting_Curves/meltCurve_P57105_SYNJ2BP.pdf</v>
      </c>
    </row>
    <row r="2759" spans="1:28" x14ac:dyDescent="0.25">
      <c r="A2759" t="s">
        <v>2763</v>
      </c>
      <c r="B2759">
        <v>0.995954080203443</v>
      </c>
      <c r="C2759">
        <v>0.923262696444624</v>
      </c>
      <c r="D2759">
        <v>0.96387846933749299</v>
      </c>
      <c r="E2759">
        <v>0.81745006276490195</v>
      </c>
      <c r="F2759">
        <v>0.76209141125582203</v>
      </c>
      <c r="G2759">
        <v>0.491858284224862</v>
      </c>
      <c r="H2759">
        <v>0.46880738668001398</v>
      </c>
      <c r="I2759">
        <v>0.54235271298685594</v>
      </c>
      <c r="J2759">
        <v>0.55871430946284895</v>
      </c>
      <c r="K2759">
        <v>0.57682216234813699</v>
      </c>
      <c r="L2759">
        <v>1211.4032461786301</v>
      </c>
      <c r="M2759">
        <v>23.461996047799001</v>
      </c>
      <c r="O2759">
        <v>51.261863209802101</v>
      </c>
      <c r="P2759">
        <v>-5.4598052815115899E-2</v>
      </c>
      <c r="Q2759">
        <v>0.52284545740396504</v>
      </c>
      <c r="R2759">
        <v>0.93139388612403695</v>
      </c>
      <c r="S2759" t="s">
        <v>9565</v>
      </c>
      <c r="T2759" t="s">
        <v>13610</v>
      </c>
      <c r="U2759" t="s">
        <v>13610</v>
      </c>
      <c r="V2759" t="s">
        <v>13610</v>
      </c>
      <c r="W2759" t="s">
        <v>16316</v>
      </c>
      <c r="X2759">
        <v>7</v>
      </c>
      <c r="Y2759" t="s">
        <v>22967</v>
      </c>
      <c r="Z2759" t="s">
        <v>29614</v>
      </c>
      <c r="AA2759">
        <v>0.71276823572292836</v>
      </c>
      <c r="AB2759" t="str">
        <f>HYPERLINK("Melting_Curves/meltCurve_P57682_KLF3.pdf", "Melting_Curves/meltCurve_P57682_KLF3.pdf")</f>
        <v>Melting_Curves/meltCurve_P57682_KLF3.pdf</v>
      </c>
    </row>
    <row r="2760" spans="1:28" x14ac:dyDescent="0.25">
      <c r="A2760" t="s">
        <v>2764</v>
      </c>
      <c r="B2760">
        <v>0.995954080203443</v>
      </c>
      <c r="C2760">
        <v>0.95962356119423797</v>
      </c>
      <c r="D2760">
        <v>0.49763574087760898</v>
      </c>
      <c r="E2760">
        <v>0.30606049231916799</v>
      </c>
      <c r="F2760">
        <v>0.17647573220131599</v>
      </c>
      <c r="G2760">
        <v>7.6524256601727306E-2</v>
      </c>
      <c r="H2760">
        <v>4.6889988552888701E-2</v>
      </c>
      <c r="I2760">
        <v>4.2030326654716503E-2</v>
      </c>
      <c r="J2760">
        <v>4.4283780366880299E-2</v>
      </c>
      <c r="K2760">
        <v>3.9616763026317801E-2</v>
      </c>
      <c r="L2760">
        <v>919.65578404677296</v>
      </c>
      <c r="M2760">
        <v>19.677232306093298</v>
      </c>
      <c r="N2760">
        <v>46.992678738802297</v>
      </c>
      <c r="O2760">
        <v>46.262372595543503</v>
      </c>
      <c r="P2760">
        <v>-0.100941453966072</v>
      </c>
      <c r="Q2760">
        <v>5.0754905480578899E-2</v>
      </c>
      <c r="R2760">
        <v>0.97992341772333202</v>
      </c>
      <c r="S2760" t="s">
        <v>9566</v>
      </c>
      <c r="T2760" t="s">
        <v>13610</v>
      </c>
      <c r="U2760" t="s">
        <v>13610</v>
      </c>
      <c r="V2760" t="s">
        <v>13610</v>
      </c>
      <c r="W2760" t="s">
        <v>16317</v>
      </c>
      <c r="X2760">
        <v>30</v>
      </c>
      <c r="Y2760" t="s">
        <v>22968</v>
      </c>
      <c r="Z2760" t="s">
        <v>29615</v>
      </c>
      <c r="AA2760">
        <v>0.27850170417113829</v>
      </c>
      <c r="AB2760" t="str">
        <f>HYPERLINK("Melting_Curves/meltCurve_P57737_3_CORO7.pdf", "Melting_Curves/meltCurve_P57737_3_CORO7.pdf")</f>
        <v>Melting_Curves/meltCurve_P57737_3_CORO7.pdf</v>
      </c>
    </row>
    <row r="2761" spans="1:28" x14ac:dyDescent="0.25">
      <c r="A2761" t="s">
        <v>2765</v>
      </c>
      <c r="B2761">
        <v>0.995954080203443</v>
      </c>
      <c r="C2761">
        <v>0.80995417163771599</v>
      </c>
      <c r="D2761">
        <v>0.62570171948620801</v>
      </c>
      <c r="E2761">
        <v>0.37813589777874601</v>
      </c>
      <c r="F2761">
        <v>0.226532934166222</v>
      </c>
      <c r="G2761">
        <v>0.14525916786660201</v>
      </c>
      <c r="H2761">
        <v>0.12071606092044999</v>
      </c>
      <c r="I2761">
        <v>0.130002159423349</v>
      </c>
      <c r="J2761">
        <v>0.15887041199445701</v>
      </c>
      <c r="K2761">
        <v>0.140986944260165</v>
      </c>
      <c r="L2761">
        <v>774.78398453309001</v>
      </c>
      <c r="M2761">
        <v>16.5453976356856</v>
      </c>
      <c r="N2761">
        <v>47.6536668273855</v>
      </c>
      <c r="O2761">
        <v>46.159740486710199</v>
      </c>
      <c r="P2761">
        <v>-7.8444881933481397E-2</v>
      </c>
      <c r="Q2761">
        <v>0.12465183078506301</v>
      </c>
      <c r="R2761">
        <v>0.99375588038014595</v>
      </c>
      <c r="S2761" t="s">
        <v>9567</v>
      </c>
      <c r="T2761" t="s">
        <v>13610</v>
      </c>
      <c r="U2761" t="s">
        <v>13610</v>
      </c>
      <c r="V2761" t="s">
        <v>13610</v>
      </c>
      <c r="W2761" t="s">
        <v>16318</v>
      </c>
      <c r="X2761">
        <v>12</v>
      </c>
      <c r="Y2761" t="s">
        <v>22969</v>
      </c>
      <c r="Z2761" t="s">
        <v>29616</v>
      </c>
      <c r="AA2761">
        <v>0.34343172362413971</v>
      </c>
      <c r="AB2761" t="str">
        <f>HYPERLINK("Melting_Curves/meltCurve_P57740_NUP107.pdf", "Melting_Curves/meltCurve_P57740_NUP107.pdf")</f>
        <v>Melting_Curves/meltCurve_P57740_NUP107.pdf</v>
      </c>
    </row>
    <row r="2762" spans="1:28" x14ac:dyDescent="0.25">
      <c r="A2762" t="s">
        <v>2766</v>
      </c>
      <c r="B2762">
        <v>0.995954080203443</v>
      </c>
      <c r="C2762">
        <v>0.96876731181863696</v>
      </c>
      <c r="D2762">
        <v>0.79362907513290404</v>
      </c>
      <c r="E2762">
        <v>0.61113218505130495</v>
      </c>
      <c r="F2762">
        <v>0.40724223500713902</v>
      </c>
      <c r="G2762">
        <v>0.234349182275505</v>
      </c>
      <c r="H2762">
        <v>0.18600321627757399</v>
      </c>
      <c r="I2762">
        <v>0.21222944623077999</v>
      </c>
      <c r="J2762">
        <v>0.225250458819752</v>
      </c>
      <c r="K2762">
        <v>0.204216983485078</v>
      </c>
      <c r="L2762">
        <v>847.60769715907202</v>
      </c>
      <c r="M2762">
        <v>17.029447027844501</v>
      </c>
      <c r="N2762">
        <v>51.171504533219803</v>
      </c>
      <c r="O2762">
        <v>49.101923322545197</v>
      </c>
      <c r="P2762">
        <v>-7.0577279213546604E-2</v>
      </c>
      <c r="Q2762">
        <v>0.18605297599515999</v>
      </c>
      <c r="R2762">
        <v>0.99273027346519904</v>
      </c>
      <c r="S2762" t="s">
        <v>9568</v>
      </c>
      <c r="T2762" t="s">
        <v>13610</v>
      </c>
      <c r="U2762" t="s">
        <v>13610</v>
      </c>
      <c r="V2762" t="s">
        <v>13610</v>
      </c>
      <c r="W2762" t="s">
        <v>16319</v>
      </c>
      <c r="X2762">
        <v>5</v>
      </c>
      <c r="Y2762" t="s">
        <v>22970</v>
      </c>
      <c r="Z2762" t="s">
        <v>29617</v>
      </c>
      <c r="AA2762">
        <v>0.46668492412947549</v>
      </c>
      <c r="AB2762" t="str">
        <f>HYPERLINK("Melting_Curves/meltCurve_P57764_GSDMD.pdf", "Melting_Curves/meltCurve_P57764_GSDMD.pdf")</f>
        <v>Melting_Curves/meltCurve_P57764_GSDMD.pdf</v>
      </c>
    </row>
    <row r="2763" spans="1:28" x14ac:dyDescent="0.25">
      <c r="A2763" t="s">
        <v>2767</v>
      </c>
      <c r="B2763">
        <v>0.995954080203443</v>
      </c>
      <c r="C2763">
        <v>1.05065611096571</v>
      </c>
      <c r="D2763">
        <v>0.98803624348498498</v>
      </c>
      <c r="E2763">
        <v>0.88575844749701105</v>
      </c>
      <c r="F2763">
        <v>0.66917620510407805</v>
      </c>
      <c r="G2763">
        <v>0.27079608941161398</v>
      </c>
      <c r="H2763">
        <v>0.172976279996268</v>
      </c>
      <c r="I2763">
        <v>0.119321313373149</v>
      </c>
      <c r="J2763">
        <v>0.115761843748697</v>
      </c>
      <c r="K2763">
        <v>0.138689036602618</v>
      </c>
      <c r="L2763">
        <v>1451.5261260684799</v>
      </c>
      <c r="M2763">
        <v>26.947332895962401</v>
      </c>
      <c r="N2763">
        <v>54.425808840083199</v>
      </c>
      <c r="O2763">
        <v>53.571258327867397</v>
      </c>
      <c r="P2763">
        <v>-0.11051800500561</v>
      </c>
      <c r="Q2763">
        <v>0.121169884177437</v>
      </c>
      <c r="R2763">
        <v>0.99731380477349996</v>
      </c>
      <c r="S2763" t="s">
        <v>9569</v>
      </c>
      <c r="T2763" t="s">
        <v>13610</v>
      </c>
      <c r="U2763" t="s">
        <v>13610</v>
      </c>
      <c r="V2763" t="s">
        <v>13610</v>
      </c>
      <c r="W2763" t="s">
        <v>16320</v>
      </c>
      <c r="X2763">
        <v>4</v>
      </c>
      <c r="Y2763" t="s">
        <v>22971</v>
      </c>
      <c r="Z2763" t="s">
        <v>29618</v>
      </c>
      <c r="AA2763">
        <v>0.53441774192540781</v>
      </c>
      <c r="AB2763" t="str">
        <f>HYPERLINK("Melting_Curves/meltCurve_P57768_SNX16.pdf", "Melting_Curves/meltCurve_P57768_SNX16.pdf")</f>
        <v>Melting_Curves/meltCurve_P57768_SNX16.pdf</v>
      </c>
    </row>
    <row r="2764" spans="1:28" x14ac:dyDescent="0.25">
      <c r="A2764" t="s">
        <v>2768</v>
      </c>
      <c r="B2764">
        <v>0.995954080203443</v>
      </c>
      <c r="C2764">
        <v>0.81451116623486197</v>
      </c>
      <c r="D2764">
        <v>0.47153116096993403</v>
      </c>
      <c r="E2764">
        <v>0.26234072768684602</v>
      </c>
      <c r="F2764">
        <v>0.15850879096027501</v>
      </c>
      <c r="G2764">
        <v>9.3894493419418801E-2</v>
      </c>
      <c r="H2764">
        <v>7.1340040737186194E-2</v>
      </c>
      <c r="I2764">
        <v>6.6204409937841199E-2</v>
      </c>
      <c r="J2764">
        <v>8.5578847700807301E-2</v>
      </c>
      <c r="K2764">
        <v>7.7790665964805703E-2</v>
      </c>
      <c r="L2764">
        <v>902.19203651305804</v>
      </c>
      <c r="M2764">
        <v>19.7279074134692</v>
      </c>
      <c r="N2764">
        <v>46.1386749098846</v>
      </c>
      <c r="O2764">
        <v>45.269642853909502</v>
      </c>
      <c r="P2764">
        <v>-0.100251538854534</v>
      </c>
      <c r="Q2764">
        <v>7.98425394903437E-2</v>
      </c>
      <c r="R2764">
        <v>0.99367050546438396</v>
      </c>
      <c r="S2764" t="s">
        <v>9570</v>
      </c>
      <c r="T2764" t="s">
        <v>13610</v>
      </c>
      <c r="U2764" t="s">
        <v>13610</v>
      </c>
      <c r="V2764" t="s">
        <v>13610</v>
      </c>
      <c r="W2764" t="s">
        <v>16321</v>
      </c>
      <c r="X2764">
        <v>14</v>
      </c>
      <c r="Y2764" t="s">
        <v>22972</v>
      </c>
      <c r="Z2764" t="s">
        <v>29619</v>
      </c>
      <c r="AA2764">
        <v>0.27062832749660681</v>
      </c>
      <c r="AB2764" t="str">
        <f>HYPERLINK("Melting_Curves/meltCurve_P57772_EEFSEC.pdf", "Melting_Curves/meltCurve_P57772_EEFSEC.pdf")</f>
        <v>Melting_Curves/meltCurve_P57772_EEFSEC.pdf</v>
      </c>
    </row>
    <row r="2765" spans="1:28" x14ac:dyDescent="0.25">
      <c r="A2765" t="s">
        <v>2769</v>
      </c>
      <c r="B2765">
        <v>0.995954080203443</v>
      </c>
      <c r="C2765">
        <v>0.97990665984974401</v>
      </c>
      <c r="D2765">
        <v>0.73993726805888305</v>
      </c>
      <c r="E2765">
        <v>0.29544140804135099</v>
      </c>
      <c r="F2765">
        <v>0.14978673886596999</v>
      </c>
      <c r="G2765">
        <v>8.7584169257331604E-2</v>
      </c>
      <c r="H2765">
        <v>6.4126424227165899E-2</v>
      </c>
      <c r="I2765">
        <v>6.1338736761839999E-2</v>
      </c>
      <c r="J2765">
        <v>6.6913281502571906E-2</v>
      </c>
      <c r="K2765">
        <v>6.1791737183658602E-2</v>
      </c>
      <c r="L2765">
        <v>1217.3447137067501</v>
      </c>
      <c r="M2765">
        <v>25.457328737901101</v>
      </c>
      <c r="N2765">
        <v>48.085564012073299</v>
      </c>
      <c r="O2765">
        <v>47.526884372312601</v>
      </c>
      <c r="P2765">
        <v>-0.125100145861088</v>
      </c>
      <c r="Q2765">
        <v>6.5802110691174795E-2</v>
      </c>
      <c r="R2765">
        <v>0.99917477348429995</v>
      </c>
      <c r="S2765" t="s">
        <v>9571</v>
      </c>
      <c r="T2765" t="s">
        <v>13610</v>
      </c>
      <c r="U2765" t="s">
        <v>13610</v>
      </c>
      <c r="V2765" t="s">
        <v>13610</v>
      </c>
      <c r="W2765" t="s">
        <v>16322</v>
      </c>
      <c r="X2765">
        <v>17</v>
      </c>
      <c r="Y2765" t="s">
        <v>22973</v>
      </c>
      <c r="Z2765" t="s">
        <v>29620</v>
      </c>
      <c r="AA2765">
        <v>0.31723455869590772</v>
      </c>
      <c r="AB2765" t="str">
        <f>HYPERLINK("Melting_Curves/meltCurve_P58004_SESN2.pdf", "Melting_Curves/meltCurve_P58004_SESN2.pdf")</f>
        <v>Melting_Curves/meltCurve_P58004_SESN2.pdf</v>
      </c>
    </row>
    <row r="2766" spans="1:28" x14ac:dyDescent="0.25">
      <c r="A2766" t="s">
        <v>2770</v>
      </c>
      <c r="B2766">
        <v>0.995954080203443</v>
      </c>
      <c r="C2766">
        <v>0.76009733692470405</v>
      </c>
      <c r="D2766">
        <v>0.61364037419019501</v>
      </c>
      <c r="E2766">
        <v>0.583360068118012</v>
      </c>
      <c r="F2766">
        <v>0.51491706184629604</v>
      </c>
      <c r="G2766">
        <v>0.388404494769863</v>
      </c>
      <c r="H2766">
        <v>0.29532658449402399</v>
      </c>
      <c r="I2766">
        <v>0.30127696552060701</v>
      </c>
      <c r="J2766">
        <v>0.19855761117906801</v>
      </c>
      <c r="K2766">
        <v>0.16365645049997199</v>
      </c>
      <c r="L2766">
        <v>337.38216853125601</v>
      </c>
      <c r="M2766">
        <v>6.5244703382153304</v>
      </c>
      <c r="N2766">
        <v>52.412193273997097</v>
      </c>
      <c r="O2766">
        <v>47.497032486303901</v>
      </c>
      <c r="P2766">
        <v>-3.2983642722063701E-2</v>
      </c>
      <c r="Q2766">
        <v>4.1834410059308699E-2</v>
      </c>
      <c r="R2766">
        <v>0.95426806853629997</v>
      </c>
      <c r="S2766" t="s">
        <v>9572</v>
      </c>
      <c r="T2766" t="s">
        <v>13610</v>
      </c>
      <c r="U2766" t="s">
        <v>13610</v>
      </c>
      <c r="V2766" t="s">
        <v>13610</v>
      </c>
      <c r="W2766" t="s">
        <v>16323</v>
      </c>
      <c r="X2766">
        <v>15</v>
      </c>
      <c r="Y2766" t="s">
        <v>22974</v>
      </c>
      <c r="Z2766" t="s">
        <v>29621</v>
      </c>
      <c r="AA2766">
        <v>0.47116446190004402</v>
      </c>
      <c r="AB2766" t="str">
        <f>HYPERLINK("Melting_Curves/meltCurve_P58107_EPPK1.pdf", "Melting_Curves/meltCurve_P58107_EPPK1.pdf")</f>
        <v>Melting_Curves/meltCurve_P58107_EPPK1.pdf</v>
      </c>
    </row>
    <row r="2767" spans="1:28" x14ac:dyDescent="0.25">
      <c r="A2767" t="s">
        <v>2771</v>
      </c>
      <c r="B2767">
        <v>0.995954080203443</v>
      </c>
      <c r="C2767">
        <v>0.86329007548653502</v>
      </c>
      <c r="D2767">
        <v>1.2005507108439699</v>
      </c>
      <c r="E2767">
        <v>0.88127823090245305</v>
      </c>
      <c r="F2767">
        <v>1.4244372246918</v>
      </c>
      <c r="G2767">
        <v>1.2461767927415399</v>
      </c>
      <c r="H2767">
        <v>1.5478681968526899</v>
      </c>
      <c r="I2767">
        <v>2.0865722345417801</v>
      </c>
      <c r="J2767">
        <v>2.2486996391760501</v>
      </c>
      <c r="K2767">
        <v>2.5412165366513402</v>
      </c>
      <c r="L2767">
        <v>13158.5341337059</v>
      </c>
      <c r="M2767">
        <v>250</v>
      </c>
      <c r="O2767">
        <v>52.630783659094803</v>
      </c>
      <c r="P2767">
        <v>0.59375914517223605</v>
      </c>
      <c r="Q2767">
        <v>1.5</v>
      </c>
      <c r="R2767">
        <v>0.333388010309486</v>
      </c>
      <c r="S2767" t="s">
        <v>9573</v>
      </c>
      <c r="T2767" t="s">
        <v>13610</v>
      </c>
      <c r="U2767" t="s">
        <v>13610</v>
      </c>
      <c r="V2767" t="s">
        <v>13610</v>
      </c>
      <c r="W2767" t="s">
        <v>16324</v>
      </c>
      <c r="X2767">
        <v>1</v>
      </c>
      <c r="Y2767" t="s">
        <v>22975</v>
      </c>
      <c r="Z2767" t="s">
        <v>29622</v>
      </c>
      <c r="AA2767">
        <v>1.289384871707715</v>
      </c>
      <c r="AB2767" t="str">
        <f>HYPERLINK("Melting_Curves/meltCurve_P58335_2_ANTXR2.pdf", "Melting_Curves/meltCurve_P58335_2_ANTXR2.pdf")</f>
        <v>Melting_Curves/meltCurve_P58335_2_ANTXR2.pdf</v>
      </c>
    </row>
    <row r="2768" spans="1:28" x14ac:dyDescent="0.25">
      <c r="A2768" t="s">
        <v>2772</v>
      </c>
      <c r="B2768">
        <v>0.995954080203443</v>
      </c>
      <c r="C2768">
        <v>1.0664072688030199</v>
      </c>
      <c r="D2768">
        <v>1.18084362660524</v>
      </c>
      <c r="E2768">
        <v>1.0713415107817801</v>
      </c>
      <c r="F2768">
        <v>0.95970742831352795</v>
      </c>
      <c r="G2768">
        <v>0.40874706429024499</v>
      </c>
      <c r="H2768">
        <v>0.186886894540055</v>
      </c>
      <c r="I2768">
        <v>0.177598823081732</v>
      </c>
      <c r="J2768">
        <v>0.21892033587870599</v>
      </c>
      <c r="K2768">
        <v>0.23576180085663501</v>
      </c>
      <c r="L2768">
        <v>3221.65958394783</v>
      </c>
      <c r="M2768">
        <v>57.594151464476496</v>
      </c>
      <c r="N2768">
        <v>56.4491812585742</v>
      </c>
      <c r="O2768">
        <v>55.869951485454898</v>
      </c>
      <c r="P2768">
        <v>-0.205291179012104</v>
      </c>
      <c r="Q2768">
        <v>0.20341893253702201</v>
      </c>
      <c r="R2768">
        <v>0.97358649978229805</v>
      </c>
      <c r="S2768" t="s">
        <v>9574</v>
      </c>
      <c r="T2768" t="s">
        <v>13610</v>
      </c>
      <c r="U2768" t="s">
        <v>13610</v>
      </c>
      <c r="V2768" t="s">
        <v>13610</v>
      </c>
      <c r="W2768" t="s">
        <v>16325</v>
      </c>
      <c r="X2768">
        <v>8</v>
      </c>
      <c r="Y2768" t="s">
        <v>22976</v>
      </c>
      <c r="Z2768" t="s">
        <v>29623</v>
      </c>
      <c r="AA2768">
        <v>0.6280754039210954</v>
      </c>
      <c r="AB2768" t="str">
        <f>HYPERLINK("Melting_Curves/meltCurve_P58546_MTPN.pdf", "Melting_Curves/meltCurve_P58546_MTPN.pdf")</f>
        <v>Melting_Curves/meltCurve_P58546_MTPN.pdf</v>
      </c>
    </row>
    <row r="2769" spans="1:28" x14ac:dyDescent="0.25">
      <c r="A2769" t="s">
        <v>2773</v>
      </c>
      <c r="B2769">
        <v>0.995954080203443</v>
      </c>
      <c r="C2769">
        <v>0.92004621368985595</v>
      </c>
      <c r="D2769">
        <v>0.718324966449022</v>
      </c>
      <c r="E2769">
        <v>0.46323387608409899</v>
      </c>
      <c r="F2769">
        <v>0.27746791247274399</v>
      </c>
      <c r="G2769">
        <v>0.20097855544718801</v>
      </c>
      <c r="H2769">
        <v>0.173758860234698</v>
      </c>
      <c r="I2769">
        <v>0.18536891389337801</v>
      </c>
      <c r="J2769">
        <v>0.170492842035744</v>
      </c>
      <c r="K2769">
        <v>0.205380153182082</v>
      </c>
      <c r="L2769">
        <v>889.042552387005</v>
      </c>
      <c r="M2769">
        <v>18.555566998889201</v>
      </c>
      <c r="N2769">
        <v>49.039415825050398</v>
      </c>
      <c r="O2769">
        <v>47.366364688092197</v>
      </c>
      <c r="P2769">
        <v>-8.0940139827283999E-2</v>
      </c>
      <c r="Q2769">
        <v>0.17358011207173099</v>
      </c>
      <c r="R2769">
        <v>0.99676207989064303</v>
      </c>
      <c r="S2769" t="s">
        <v>9575</v>
      </c>
      <c r="T2769" t="s">
        <v>13610</v>
      </c>
      <c r="U2769" t="s">
        <v>13610</v>
      </c>
      <c r="V2769" t="s">
        <v>13610</v>
      </c>
      <c r="W2769" t="s">
        <v>16326</v>
      </c>
      <c r="X2769">
        <v>5</v>
      </c>
      <c r="Y2769" t="s">
        <v>22977</v>
      </c>
      <c r="Z2769" t="s">
        <v>29624</v>
      </c>
      <c r="AA2769">
        <v>0.40533918409556718</v>
      </c>
      <c r="AB2769" t="str">
        <f>HYPERLINK("Melting_Curves/meltCurve_P59780_AP3S2.pdf", "Melting_Curves/meltCurve_P59780_AP3S2.pdf")</f>
        <v>Melting_Curves/meltCurve_P59780_AP3S2.pdf</v>
      </c>
    </row>
    <row r="2770" spans="1:28" x14ac:dyDescent="0.25">
      <c r="A2770" t="s">
        <v>2774</v>
      </c>
      <c r="B2770">
        <v>0.995954080203443</v>
      </c>
      <c r="C2770">
        <v>0.85887187373766005</v>
      </c>
      <c r="D2770">
        <v>1.35411538365524</v>
      </c>
      <c r="E2770">
        <v>0.92964799783489005</v>
      </c>
      <c r="F2770">
        <v>1.3993558343072201</v>
      </c>
      <c r="G2770">
        <v>1.2544520689833401</v>
      </c>
      <c r="H2770">
        <v>1.3398200106121601</v>
      </c>
      <c r="I2770">
        <v>1.6811424992705499</v>
      </c>
      <c r="J2770">
        <v>1.9637417864362801</v>
      </c>
      <c r="K2770">
        <v>1.94127884193501</v>
      </c>
      <c r="L2770">
        <v>1162.2928739638701</v>
      </c>
      <c r="M2770">
        <v>21.9261233516904</v>
      </c>
      <c r="O2770">
        <v>52.574470173187699</v>
      </c>
      <c r="P2770">
        <v>5.2132288666205298E-2</v>
      </c>
      <c r="Q2770">
        <v>1.5</v>
      </c>
      <c r="R2770">
        <v>0.50666492698588605</v>
      </c>
      <c r="S2770" t="s">
        <v>9576</v>
      </c>
      <c r="T2770" t="s">
        <v>13610</v>
      </c>
      <c r="U2770" t="s">
        <v>13610</v>
      </c>
      <c r="V2770" t="s">
        <v>13610</v>
      </c>
      <c r="W2770" t="s">
        <v>16327</v>
      </c>
      <c r="X2770">
        <v>3</v>
      </c>
      <c r="Y2770" t="s">
        <v>22978</v>
      </c>
      <c r="Z2770" t="s">
        <v>29625</v>
      </c>
      <c r="AA2770">
        <v>1.277318921528978</v>
      </c>
      <c r="AB2770" t="str">
        <f>HYPERLINK("Melting_Curves/meltCurve_P59817_ZNF280A.pdf", "Melting_Curves/meltCurve_P59817_ZNF280A.pdf")</f>
        <v>Melting_Curves/meltCurve_P59817_ZNF280A.pdf</v>
      </c>
    </row>
    <row r="2771" spans="1:28" x14ac:dyDescent="0.25">
      <c r="A2771" t="s">
        <v>2775</v>
      </c>
      <c r="B2771">
        <v>0.995954080203443</v>
      </c>
      <c r="C2771">
        <v>0.90229020895295897</v>
      </c>
      <c r="D2771">
        <v>0.80854716851142205</v>
      </c>
      <c r="E2771">
        <v>0.68302473365976002</v>
      </c>
      <c r="F2771">
        <v>0.44772314274175601</v>
      </c>
      <c r="G2771">
        <v>0.267454285243441</v>
      </c>
      <c r="H2771">
        <v>0.215533617190868</v>
      </c>
      <c r="I2771">
        <v>0.28625409875389402</v>
      </c>
      <c r="J2771">
        <v>0.31130897121854201</v>
      </c>
      <c r="K2771">
        <v>0.32746131420524999</v>
      </c>
      <c r="L2771">
        <v>844.90311936289504</v>
      </c>
      <c r="M2771">
        <v>17.008000326679198</v>
      </c>
      <c r="N2771">
        <v>51.9350456327454</v>
      </c>
      <c r="O2771">
        <v>49.005305943203403</v>
      </c>
      <c r="P2771">
        <v>-6.4095152523676396E-2</v>
      </c>
      <c r="Q2771">
        <v>0.26133378160044701</v>
      </c>
      <c r="R2771">
        <v>0.96730226782268403</v>
      </c>
      <c r="S2771" t="s">
        <v>9577</v>
      </c>
      <c r="T2771" t="s">
        <v>13610</v>
      </c>
      <c r="U2771" t="s">
        <v>13610</v>
      </c>
      <c r="V2771" t="s">
        <v>13610</v>
      </c>
      <c r="W2771" t="s">
        <v>16328</v>
      </c>
      <c r="X2771">
        <v>5</v>
      </c>
      <c r="Y2771" t="s">
        <v>22979</v>
      </c>
      <c r="Z2771" t="s">
        <v>29626</v>
      </c>
      <c r="AA2771">
        <v>0.51370068815167014</v>
      </c>
      <c r="AB2771" t="str">
        <f>HYPERLINK("Melting_Curves/meltCurve_P59923_ZNF445.pdf", "Melting_Curves/meltCurve_P59923_ZNF445.pdf")</f>
        <v>Melting_Curves/meltCurve_P59923_ZNF445.pdf</v>
      </c>
    </row>
    <row r="2772" spans="1:28" x14ac:dyDescent="0.25">
      <c r="A2772" t="s">
        <v>2776</v>
      </c>
      <c r="B2772">
        <v>0.995954080203443</v>
      </c>
      <c r="C2772">
        <v>0.86996353925589998</v>
      </c>
      <c r="D2772">
        <v>0.73649079739875301</v>
      </c>
      <c r="E2772">
        <v>0.84355848536664002</v>
      </c>
      <c r="F2772">
        <v>0.561423638553459</v>
      </c>
      <c r="G2772">
        <v>0.36115855768778299</v>
      </c>
      <c r="H2772">
        <v>0.132353156456293</v>
      </c>
      <c r="I2772">
        <v>4.99944873640457E-2</v>
      </c>
      <c r="J2772">
        <v>4.26372685177255E-2</v>
      </c>
      <c r="K2772">
        <v>3.82699182299584E-2</v>
      </c>
      <c r="L2772">
        <v>713.80759909515405</v>
      </c>
      <c r="M2772">
        <v>13.2556304245748</v>
      </c>
      <c r="N2772">
        <v>53.849389779159502</v>
      </c>
      <c r="O2772">
        <v>52.6680989744629</v>
      </c>
      <c r="P2772">
        <v>-6.2930888935860796E-2</v>
      </c>
      <c r="Q2772">
        <v>0</v>
      </c>
      <c r="R2772">
        <v>0.95682016379839696</v>
      </c>
      <c r="S2772" t="s">
        <v>9578</v>
      </c>
      <c r="T2772" t="s">
        <v>13610</v>
      </c>
      <c r="U2772" t="s">
        <v>13610</v>
      </c>
      <c r="V2772" t="s">
        <v>13610</v>
      </c>
      <c r="W2772" t="s">
        <v>16329</v>
      </c>
      <c r="X2772">
        <v>12</v>
      </c>
      <c r="Y2772" t="s">
        <v>22980</v>
      </c>
      <c r="Z2772" t="s">
        <v>29627</v>
      </c>
      <c r="AA2772">
        <v>0.48557121371083611</v>
      </c>
      <c r="AB2772" t="str">
        <f>HYPERLINK("Melting_Curves/meltCurve_P59998_ARPC4.pdf", "Melting_Curves/meltCurve_P59998_ARPC4.pdf")</f>
        <v>Melting_Curves/meltCurve_P59998_ARPC4.pdf</v>
      </c>
    </row>
    <row r="2773" spans="1:28" x14ac:dyDescent="0.25">
      <c r="A2773" t="s">
        <v>2777</v>
      </c>
      <c r="B2773">
        <v>0.995954080203443</v>
      </c>
      <c r="C2773">
        <v>0.97553105867427203</v>
      </c>
      <c r="D2773">
        <v>1.1914092719262299</v>
      </c>
      <c r="E2773">
        <v>0.98873071359686204</v>
      </c>
      <c r="F2773">
        <v>1.03215213788783</v>
      </c>
      <c r="G2773">
        <v>0.868133629456592</v>
      </c>
      <c r="H2773">
        <v>0.52536642459054606</v>
      </c>
      <c r="I2773">
        <v>0.205628461286673</v>
      </c>
      <c r="J2773">
        <v>0.115437863965519</v>
      </c>
      <c r="K2773">
        <v>0.106937559403527</v>
      </c>
      <c r="L2773">
        <v>1932.2305508249699</v>
      </c>
      <c r="M2773">
        <v>31.8313202396285</v>
      </c>
      <c r="N2773">
        <v>61.026930422044501</v>
      </c>
      <c r="O2773">
        <v>60.4641076711439</v>
      </c>
      <c r="P2773">
        <v>-0.12135894039115599</v>
      </c>
      <c r="Q2773">
        <v>7.7911660902886704E-2</v>
      </c>
      <c r="R2773">
        <v>0.97421678740098605</v>
      </c>
      <c r="S2773" t="s">
        <v>9579</v>
      </c>
      <c r="T2773" t="s">
        <v>13610</v>
      </c>
      <c r="U2773" t="s">
        <v>13610</v>
      </c>
      <c r="V2773" t="s">
        <v>13610</v>
      </c>
      <c r="W2773" t="s">
        <v>16330</v>
      </c>
      <c r="X2773">
        <v>22</v>
      </c>
      <c r="Y2773" t="s">
        <v>22981</v>
      </c>
      <c r="Z2773" t="s">
        <v>29628</v>
      </c>
      <c r="AA2773">
        <v>0.71914198896696746</v>
      </c>
      <c r="AB2773" t="str">
        <f>HYPERLINK("Melting_Curves/meltCurve_P60174_1_TPI1.pdf", "Melting_Curves/meltCurve_P60174_1_TPI1.pdf")</f>
        <v>Melting_Curves/meltCurve_P60174_1_TPI1.pdf</v>
      </c>
    </row>
    <row r="2774" spans="1:28" x14ac:dyDescent="0.25">
      <c r="A2774" t="s">
        <v>2778</v>
      </c>
      <c r="B2774">
        <v>0.995954080203443</v>
      </c>
      <c r="C2774">
        <v>0.73295680473619695</v>
      </c>
      <c r="D2774">
        <v>0.45696271630393998</v>
      </c>
      <c r="E2774">
        <v>0.242521369768779</v>
      </c>
      <c r="F2774">
        <v>0.14136889676006101</v>
      </c>
      <c r="G2774">
        <v>8.6251584231289799E-2</v>
      </c>
      <c r="H2774">
        <v>6.05990458135326E-2</v>
      </c>
      <c r="I2774">
        <v>6.2440881833434797E-2</v>
      </c>
      <c r="J2774">
        <v>6.9333356400914994E-2</v>
      </c>
      <c r="K2774">
        <v>6.3698425943695305E-2</v>
      </c>
      <c r="L2774">
        <v>831.12262513937003</v>
      </c>
      <c r="M2774">
        <v>18.314353806029899</v>
      </c>
      <c r="N2774">
        <v>45.734448978123702</v>
      </c>
      <c r="O2774">
        <v>44.850251372351003</v>
      </c>
      <c r="P2774">
        <v>-9.5352586034092704E-2</v>
      </c>
      <c r="Q2774">
        <v>6.60021206771257E-2</v>
      </c>
      <c r="R2774">
        <v>0.99268125451509603</v>
      </c>
      <c r="S2774" t="s">
        <v>9580</v>
      </c>
      <c r="T2774" t="s">
        <v>13610</v>
      </c>
      <c r="U2774" t="s">
        <v>13610</v>
      </c>
      <c r="V2774" t="s">
        <v>13610</v>
      </c>
      <c r="W2774" t="s">
        <v>16331</v>
      </c>
      <c r="X2774">
        <v>12</v>
      </c>
      <c r="Y2774" t="s">
        <v>22982</v>
      </c>
      <c r="Z2774" t="s">
        <v>29629</v>
      </c>
      <c r="AA2774">
        <v>0.25213513919779612</v>
      </c>
      <c r="AB2774" t="str">
        <f>HYPERLINK("Melting_Curves/meltCurve_P60228_EIF3E.pdf", "Melting_Curves/meltCurve_P60228_EIF3E.pdf")</f>
        <v>Melting_Curves/meltCurve_P60228_EIF3E.pdf</v>
      </c>
    </row>
    <row r="2775" spans="1:28" x14ac:dyDescent="0.25">
      <c r="A2775" t="s">
        <v>2779</v>
      </c>
      <c r="B2775">
        <v>0.995954080203443</v>
      </c>
      <c r="C2775">
        <v>0.96854023531363098</v>
      </c>
      <c r="D2775">
        <v>0.99225875722146195</v>
      </c>
      <c r="E2775">
        <v>0.93732385925737205</v>
      </c>
      <c r="F2775">
        <v>0.84052680676065195</v>
      </c>
      <c r="G2775">
        <v>0.46731748832808301</v>
      </c>
      <c r="H2775">
        <v>0.44811166059231899</v>
      </c>
      <c r="I2775">
        <v>0.60927662555080297</v>
      </c>
      <c r="J2775">
        <v>0.65263699541465403</v>
      </c>
      <c r="K2775">
        <v>0.70427197060401003</v>
      </c>
      <c r="L2775">
        <v>8959.9676725113804</v>
      </c>
      <c r="M2775">
        <v>168.551266948067</v>
      </c>
      <c r="O2775">
        <v>53.151225280464899</v>
      </c>
      <c r="P2775">
        <v>-0.33588749328377598</v>
      </c>
      <c r="Q2775">
        <v>0.57632280892183996</v>
      </c>
      <c r="R2775">
        <v>0.86239820854882498</v>
      </c>
      <c r="S2775" t="s">
        <v>9581</v>
      </c>
      <c r="T2775" t="s">
        <v>13610</v>
      </c>
      <c r="U2775" t="s">
        <v>13610</v>
      </c>
      <c r="V2775" t="s">
        <v>13610</v>
      </c>
      <c r="W2775" t="s">
        <v>16332</v>
      </c>
      <c r="X2775">
        <v>3</v>
      </c>
      <c r="Y2775" t="s">
        <v>22983</v>
      </c>
      <c r="Z2775" t="s">
        <v>29630</v>
      </c>
      <c r="AA2775">
        <v>0.76224461017279199</v>
      </c>
      <c r="AB2775" t="str">
        <f>HYPERLINK("Melting_Curves/meltCurve_P60468_SEC61B.pdf", "Melting_Curves/meltCurve_P60468_SEC61B.pdf")</f>
        <v>Melting_Curves/meltCurve_P60468_SEC61B.pdf</v>
      </c>
    </row>
    <row r="2776" spans="1:28" x14ac:dyDescent="0.25">
      <c r="A2776" t="s">
        <v>2780</v>
      </c>
      <c r="B2776">
        <v>0.995954080203443</v>
      </c>
      <c r="C2776">
        <v>0.95049763728310599</v>
      </c>
      <c r="D2776">
        <v>0.83300364375477298</v>
      </c>
      <c r="E2776">
        <v>0.72578000512146301</v>
      </c>
      <c r="F2776">
        <v>0.58155908975658799</v>
      </c>
      <c r="G2776">
        <v>0.43316481287693998</v>
      </c>
      <c r="H2776">
        <v>0.24140839227944</v>
      </c>
      <c r="I2776">
        <v>0.16362469222017401</v>
      </c>
      <c r="J2776">
        <v>0.136614537643304</v>
      </c>
      <c r="K2776">
        <v>0.104843395289832</v>
      </c>
      <c r="L2776">
        <v>552.95499561338295</v>
      </c>
      <c r="M2776">
        <v>10.111032918115299</v>
      </c>
      <c r="N2776">
        <v>54.688279589823097</v>
      </c>
      <c r="O2776">
        <v>52.678358010062297</v>
      </c>
      <c r="P2776">
        <v>-4.80071311938269E-2</v>
      </c>
      <c r="Q2776">
        <v>0</v>
      </c>
      <c r="R2776">
        <v>0.99628599956485497</v>
      </c>
      <c r="S2776" t="s">
        <v>9582</v>
      </c>
      <c r="T2776" t="s">
        <v>13610</v>
      </c>
      <c r="U2776" t="s">
        <v>13610</v>
      </c>
      <c r="V2776" t="s">
        <v>13610</v>
      </c>
      <c r="W2776" t="s">
        <v>16333</v>
      </c>
      <c r="X2776">
        <v>16</v>
      </c>
      <c r="Y2776" t="s">
        <v>22984</v>
      </c>
      <c r="Z2776" t="s">
        <v>29631</v>
      </c>
      <c r="AA2776">
        <v>0.51672652106990735</v>
      </c>
      <c r="AB2776" t="str">
        <f>HYPERLINK("Melting_Curves/meltCurve_P60510_PPP4C.pdf", "Melting_Curves/meltCurve_P60510_PPP4C.pdf")</f>
        <v>Melting_Curves/meltCurve_P60510_PPP4C.pdf</v>
      </c>
    </row>
    <row r="2777" spans="1:28" x14ac:dyDescent="0.25">
      <c r="A2777" t="s">
        <v>2781</v>
      </c>
      <c r="B2777">
        <v>0.995954080203443</v>
      </c>
      <c r="C2777">
        <v>0.99489593285917899</v>
      </c>
      <c r="D2777">
        <v>0.96665585580390501</v>
      </c>
      <c r="E2777">
        <v>0.77784341939524004</v>
      </c>
      <c r="F2777">
        <v>0.633071524326969</v>
      </c>
      <c r="G2777">
        <v>0.347694477454983</v>
      </c>
      <c r="H2777">
        <v>0.14947681018783099</v>
      </c>
      <c r="I2777">
        <v>8.3187624178297795E-2</v>
      </c>
      <c r="J2777">
        <v>6.5798613305252496E-2</v>
      </c>
      <c r="K2777">
        <v>6.15823305134265E-2</v>
      </c>
      <c r="L2777">
        <v>879.283007406715</v>
      </c>
      <c r="M2777">
        <v>16.1574803111695</v>
      </c>
      <c r="N2777">
        <v>54.547657702754101</v>
      </c>
      <c r="O2777">
        <v>53.6064391425029</v>
      </c>
      <c r="P2777">
        <v>-7.3955153809829297E-2</v>
      </c>
      <c r="Q2777">
        <v>1.8616024995427902E-2</v>
      </c>
      <c r="R2777">
        <v>0.99828767538512297</v>
      </c>
      <c r="S2777" t="s">
        <v>9583</v>
      </c>
      <c r="T2777" t="s">
        <v>13610</v>
      </c>
      <c r="U2777" t="s">
        <v>13610</v>
      </c>
      <c r="V2777" t="s">
        <v>13610</v>
      </c>
      <c r="W2777" t="s">
        <v>16334</v>
      </c>
      <c r="X2777">
        <v>7</v>
      </c>
      <c r="Y2777" t="s">
        <v>22985</v>
      </c>
      <c r="Z2777" t="s">
        <v>29632</v>
      </c>
      <c r="AA2777">
        <v>0.5082694283087793</v>
      </c>
      <c r="AB2777" t="str">
        <f>HYPERLINK("Melting_Curves/meltCurve_P60520_GABARAPL2.pdf", "Melting_Curves/meltCurve_P60520_GABARAPL2.pdf")</f>
        <v>Melting_Curves/meltCurve_P60520_GABARAPL2.pdf</v>
      </c>
    </row>
    <row r="2778" spans="1:28" x14ac:dyDescent="0.25">
      <c r="A2778" t="s">
        <v>2782</v>
      </c>
      <c r="B2778">
        <v>0.995954080203443</v>
      </c>
      <c r="C2778">
        <v>0.90737613588911603</v>
      </c>
      <c r="D2778">
        <v>0.90589046863790901</v>
      </c>
      <c r="E2778">
        <v>0.44998412105348201</v>
      </c>
      <c r="F2778">
        <v>0.18760210165367</v>
      </c>
      <c r="G2778">
        <v>0.111957213562824</v>
      </c>
      <c r="H2778">
        <v>7.3015057783946402E-2</v>
      </c>
      <c r="I2778">
        <v>7.5897147558798006E-2</v>
      </c>
      <c r="J2778">
        <v>9.0085093263809896E-2</v>
      </c>
      <c r="K2778">
        <v>7.2625823107038995E-2</v>
      </c>
      <c r="L2778">
        <v>1350.1704961061801</v>
      </c>
      <c r="M2778">
        <v>27.389836522078301</v>
      </c>
      <c r="N2778">
        <v>49.599283731966203</v>
      </c>
      <c r="O2778">
        <v>49.034077563131497</v>
      </c>
      <c r="P2778">
        <v>-0.12883487926815801</v>
      </c>
      <c r="Q2778">
        <v>7.7433270598477294E-2</v>
      </c>
      <c r="R2778">
        <v>0.99514596192085403</v>
      </c>
      <c r="S2778" t="s">
        <v>9584</v>
      </c>
      <c r="T2778" t="s">
        <v>13610</v>
      </c>
      <c r="U2778" t="s">
        <v>13610</v>
      </c>
      <c r="V2778" t="s">
        <v>13610</v>
      </c>
      <c r="W2778" t="s">
        <v>16335</v>
      </c>
      <c r="X2778">
        <v>4</v>
      </c>
      <c r="Y2778" t="s">
        <v>22986</v>
      </c>
      <c r="Z2778" t="s">
        <v>29633</v>
      </c>
      <c r="AA2778">
        <v>0.3700592728837474</v>
      </c>
      <c r="AB2778" t="str">
        <f>HYPERLINK("Melting_Curves/meltCurve_P60604_2_UBE2G2.pdf", "Melting_Curves/meltCurve_P60604_2_UBE2G2.pdf")</f>
        <v>Melting_Curves/meltCurve_P60604_2_UBE2G2.pdf</v>
      </c>
    </row>
    <row r="2779" spans="1:28" x14ac:dyDescent="0.25">
      <c r="A2779" t="s">
        <v>2783</v>
      </c>
      <c r="B2779">
        <v>0.995954080203443</v>
      </c>
      <c r="C2779">
        <v>0.88955545304679395</v>
      </c>
      <c r="D2779">
        <v>0.78393150927813704</v>
      </c>
      <c r="E2779">
        <v>0.87443566129257799</v>
      </c>
      <c r="F2779">
        <v>0.80698434525399398</v>
      </c>
      <c r="G2779">
        <v>0.61321519478211095</v>
      </c>
      <c r="H2779">
        <v>0.56501948765958798</v>
      </c>
      <c r="I2779">
        <v>0.62460810830837499</v>
      </c>
      <c r="J2779">
        <v>0.80711852869491896</v>
      </c>
      <c r="K2779">
        <v>0.79244102647126302</v>
      </c>
      <c r="L2779">
        <v>573.14410863260605</v>
      </c>
      <c r="M2779">
        <v>12.434072533492101</v>
      </c>
      <c r="O2779">
        <v>44.951087021204401</v>
      </c>
      <c r="P2779">
        <v>-2.14429050230137E-2</v>
      </c>
      <c r="Q2779">
        <v>0.68998761793609398</v>
      </c>
      <c r="R2779">
        <v>0.536566471853271</v>
      </c>
      <c r="S2779" t="s">
        <v>9585</v>
      </c>
      <c r="T2779" t="s">
        <v>13610</v>
      </c>
      <c r="U2779" t="s">
        <v>13610</v>
      </c>
      <c r="V2779" t="s">
        <v>13610</v>
      </c>
      <c r="W2779" t="s">
        <v>16336</v>
      </c>
      <c r="X2779">
        <v>9</v>
      </c>
      <c r="Y2779" t="s">
        <v>22987</v>
      </c>
      <c r="Z2779" t="s">
        <v>29634</v>
      </c>
      <c r="AA2779">
        <v>0.76605573167188035</v>
      </c>
      <c r="AB2779" t="str">
        <f>HYPERLINK("Melting_Curves/meltCurve_P60660_2_MYL6.pdf", "Melting_Curves/meltCurve_P60660_2_MYL6.pdf")</f>
        <v>Melting_Curves/meltCurve_P60660_2_MYL6.pdf</v>
      </c>
    </row>
    <row r="2780" spans="1:28" x14ac:dyDescent="0.25">
      <c r="A2780" t="s">
        <v>2784</v>
      </c>
      <c r="B2780">
        <v>0.995954080203443</v>
      </c>
      <c r="C2780">
        <v>0.96349226139633004</v>
      </c>
      <c r="D2780">
        <v>0.88069265554541198</v>
      </c>
      <c r="E2780">
        <v>0.77563616145115999</v>
      </c>
      <c r="F2780">
        <v>0.428061808217297</v>
      </c>
      <c r="G2780">
        <v>0.13440811647446099</v>
      </c>
      <c r="H2780">
        <v>9.3798223259923597E-2</v>
      </c>
      <c r="I2780">
        <v>8.4259615329500603E-2</v>
      </c>
      <c r="J2780">
        <v>0.10150220929085101</v>
      </c>
      <c r="K2780">
        <v>0.111851138299633</v>
      </c>
      <c r="L2780">
        <v>1350.5638442627301</v>
      </c>
      <c r="M2780">
        <v>26.0189548646349</v>
      </c>
      <c r="N2780">
        <v>52.281345428866999</v>
      </c>
      <c r="O2780">
        <v>51.603213178735899</v>
      </c>
      <c r="P2780">
        <v>-0.115339878891998</v>
      </c>
      <c r="Q2780">
        <v>8.4999357559529198E-2</v>
      </c>
      <c r="R2780">
        <v>0.99211501941269298</v>
      </c>
      <c r="S2780" t="s">
        <v>9586</v>
      </c>
      <c r="T2780" t="s">
        <v>13610</v>
      </c>
      <c r="U2780" t="s">
        <v>13610</v>
      </c>
      <c r="V2780" t="s">
        <v>13610</v>
      </c>
      <c r="W2780" t="s">
        <v>16337</v>
      </c>
      <c r="X2780">
        <v>8</v>
      </c>
      <c r="Y2780" t="s">
        <v>22988</v>
      </c>
      <c r="Z2780" t="s">
        <v>29635</v>
      </c>
      <c r="AA2780">
        <v>0.45588471351180082</v>
      </c>
      <c r="AB2780" t="str">
        <f>HYPERLINK("Melting_Curves/meltCurve_P60763_RAC3.pdf", "Melting_Curves/meltCurve_P60763_RAC3.pdf")</f>
        <v>Melting_Curves/meltCurve_P60763_RAC3.pdf</v>
      </c>
    </row>
    <row r="2781" spans="1:28" x14ac:dyDescent="0.25">
      <c r="A2781" t="s">
        <v>2785</v>
      </c>
      <c r="B2781">
        <v>0.995954080203443</v>
      </c>
      <c r="C2781">
        <v>0.97824521975855105</v>
      </c>
      <c r="D2781">
        <v>0.83783098342470197</v>
      </c>
      <c r="E2781">
        <v>0.49772770259430299</v>
      </c>
      <c r="F2781">
        <v>0.162982489539648</v>
      </c>
      <c r="G2781">
        <v>8.8433003747088207E-2</v>
      </c>
      <c r="H2781">
        <v>5.7468943315911999E-2</v>
      </c>
      <c r="I2781">
        <v>5.13066200274645E-2</v>
      </c>
      <c r="J2781">
        <v>6.0385632560890301E-2</v>
      </c>
      <c r="K2781">
        <v>5.2463811833598897E-2</v>
      </c>
      <c r="L2781">
        <v>1199.0320289399201</v>
      </c>
      <c r="M2781">
        <v>24.247201452650401</v>
      </c>
      <c r="N2781">
        <v>49.656319726559097</v>
      </c>
      <c r="O2781">
        <v>49.1176536827167</v>
      </c>
      <c r="P2781">
        <v>-0.117510747881318</v>
      </c>
      <c r="Q2781">
        <v>4.7846473450664798E-2</v>
      </c>
      <c r="R2781">
        <v>0.99729243342340301</v>
      </c>
      <c r="S2781" t="s">
        <v>9587</v>
      </c>
      <c r="T2781" t="s">
        <v>13610</v>
      </c>
      <c r="U2781" t="s">
        <v>13610</v>
      </c>
      <c r="V2781" t="s">
        <v>13610</v>
      </c>
      <c r="W2781" t="s">
        <v>16338</v>
      </c>
      <c r="X2781">
        <v>28</v>
      </c>
      <c r="Y2781" t="s">
        <v>22989</v>
      </c>
      <c r="Z2781" t="s">
        <v>29636</v>
      </c>
      <c r="AA2781">
        <v>0.35679508467978688</v>
      </c>
      <c r="AB2781" t="str">
        <f>HYPERLINK("Melting_Curves/meltCurve_P60842_EIF4A1.pdf", "Melting_Curves/meltCurve_P60842_EIF4A1.pdf")</f>
        <v>Melting_Curves/meltCurve_P60842_EIF4A1.pdf</v>
      </c>
    </row>
    <row r="2782" spans="1:28" x14ac:dyDescent="0.25">
      <c r="A2782" t="s">
        <v>2786</v>
      </c>
      <c r="B2782">
        <v>0.995954080203443</v>
      </c>
      <c r="C2782">
        <v>0.84333909495886705</v>
      </c>
      <c r="D2782">
        <v>0.63458320136119495</v>
      </c>
      <c r="E2782">
        <v>0.38778332131264798</v>
      </c>
      <c r="F2782">
        <v>0.194364282076394</v>
      </c>
      <c r="G2782">
        <v>0.105168728279524</v>
      </c>
      <c r="H2782">
        <v>7.2491342875436598E-2</v>
      </c>
      <c r="I2782">
        <v>6.98020633982529E-2</v>
      </c>
      <c r="J2782">
        <v>0.1045114658329</v>
      </c>
      <c r="K2782">
        <v>7.7022472293366201E-2</v>
      </c>
      <c r="L2782">
        <v>772.18434275600703</v>
      </c>
      <c r="M2782">
        <v>16.264853623694901</v>
      </c>
      <c r="N2782">
        <v>47.887133825357601</v>
      </c>
      <c r="O2782">
        <v>46.775397515140803</v>
      </c>
      <c r="P2782">
        <v>-8.1267161216804898E-2</v>
      </c>
      <c r="Q2782">
        <v>6.5218135063666902E-2</v>
      </c>
      <c r="R2782">
        <v>0.99515824147477205</v>
      </c>
      <c r="S2782" t="s">
        <v>9588</v>
      </c>
      <c r="T2782" t="s">
        <v>13610</v>
      </c>
      <c r="U2782" t="s">
        <v>13610</v>
      </c>
      <c r="V2782" t="s">
        <v>13610</v>
      </c>
      <c r="W2782" t="s">
        <v>16339</v>
      </c>
      <c r="X2782">
        <v>4</v>
      </c>
      <c r="Y2782" t="s">
        <v>22990</v>
      </c>
      <c r="Z2782" t="s">
        <v>29637</v>
      </c>
      <c r="AA2782">
        <v>0.31907318975310778</v>
      </c>
      <c r="AB2782" t="str">
        <f>HYPERLINK("Melting_Curves/meltCurve_P60866_RPS20.pdf", "Melting_Curves/meltCurve_P60866_RPS20.pdf")</f>
        <v>Melting_Curves/meltCurve_P60866_RPS20.pdf</v>
      </c>
    </row>
    <row r="2783" spans="1:28" x14ac:dyDescent="0.25">
      <c r="A2783" t="s">
        <v>2787</v>
      </c>
      <c r="B2783">
        <v>0.995954080203443</v>
      </c>
      <c r="C2783">
        <v>0.84816239126008897</v>
      </c>
      <c r="D2783">
        <v>0.78311450591087595</v>
      </c>
      <c r="E2783">
        <v>0.95773782496349302</v>
      </c>
      <c r="F2783">
        <v>0.77796306147676797</v>
      </c>
      <c r="G2783">
        <v>0.498144937122318</v>
      </c>
      <c r="H2783">
        <v>0.184008937730884</v>
      </c>
      <c r="I2783">
        <v>9.4186530366376406E-2</v>
      </c>
      <c r="J2783">
        <v>8.2357767754013697E-2</v>
      </c>
      <c r="K2783">
        <v>7.0309937994308805E-2</v>
      </c>
      <c r="L2783">
        <v>1049.3150382189201</v>
      </c>
      <c r="M2783">
        <v>18.571369272606699</v>
      </c>
      <c r="N2783">
        <v>56.623482851431497</v>
      </c>
      <c r="O2783">
        <v>55.858859412929696</v>
      </c>
      <c r="P2783">
        <v>-8.1494479453441807E-2</v>
      </c>
      <c r="Q2783">
        <v>1.9568228063288999E-2</v>
      </c>
      <c r="R2783">
        <v>0.94942308305892698</v>
      </c>
      <c r="S2783" t="s">
        <v>9589</v>
      </c>
      <c r="T2783" t="s">
        <v>13610</v>
      </c>
      <c r="U2783" t="s">
        <v>13610</v>
      </c>
      <c r="V2783" t="s">
        <v>13610</v>
      </c>
      <c r="W2783" t="s">
        <v>16340</v>
      </c>
      <c r="X2783">
        <v>19</v>
      </c>
      <c r="Y2783" t="s">
        <v>22991</v>
      </c>
      <c r="Z2783" t="s">
        <v>29638</v>
      </c>
      <c r="AA2783">
        <v>0.57236715130227001</v>
      </c>
      <c r="AB2783" t="str">
        <f>HYPERLINK("Melting_Curves/meltCurve_P60891_PRPS1.pdf", "Melting_Curves/meltCurve_P60891_PRPS1.pdf")</f>
        <v>Melting_Curves/meltCurve_P60891_PRPS1.pdf</v>
      </c>
    </row>
    <row r="2784" spans="1:28" x14ac:dyDescent="0.25">
      <c r="A2784" t="s">
        <v>2788</v>
      </c>
      <c r="B2784">
        <v>0.995954080203443</v>
      </c>
      <c r="C2784">
        <v>0.67767439356852199</v>
      </c>
      <c r="D2784">
        <v>0.51836619582820698</v>
      </c>
      <c r="E2784">
        <v>0.83768786458378297</v>
      </c>
      <c r="F2784">
        <v>0.68748658990947897</v>
      </c>
      <c r="G2784">
        <v>0.60068546691271496</v>
      </c>
      <c r="H2784">
        <v>0.30631507633807598</v>
      </c>
      <c r="I2784">
        <v>0.34373490260193201</v>
      </c>
      <c r="J2784">
        <v>0.153687195360453</v>
      </c>
      <c r="K2784">
        <v>0.47986129984224402</v>
      </c>
      <c r="L2784">
        <v>249.76667861080699</v>
      </c>
      <c r="M2784">
        <v>4.37879224190094</v>
      </c>
      <c r="N2784">
        <v>57.040084299152802</v>
      </c>
      <c r="O2784">
        <v>48.113055921463598</v>
      </c>
      <c r="P2784">
        <v>-2.29704664831306E-2</v>
      </c>
      <c r="Q2784">
        <v>0</v>
      </c>
      <c r="R2784">
        <v>0.61908781205176</v>
      </c>
      <c r="S2784" t="s">
        <v>9590</v>
      </c>
      <c r="T2784" t="s">
        <v>13610</v>
      </c>
      <c r="U2784" t="s">
        <v>13610</v>
      </c>
      <c r="V2784" t="s">
        <v>13610</v>
      </c>
      <c r="W2784" t="s">
        <v>16341</v>
      </c>
      <c r="X2784">
        <v>20</v>
      </c>
      <c r="Y2784" t="s">
        <v>22992</v>
      </c>
      <c r="Z2784" t="s">
        <v>29639</v>
      </c>
      <c r="AA2784">
        <v>0.55873839692728466</v>
      </c>
      <c r="AB2784" t="str">
        <f>HYPERLINK("Melting_Curves/meltCurve_P60900_PSMA6.pdf", "Melting_Curves/meltCurve_P60900_PSMA6.pdf")</f>
        <v>Melting_Curves/meltCurve_P60900_PSMA6.pdf</v>
      </c>
    </row>
    <row r="2785" spans="1:28" x14ac:dyDescent="0.25">
      <c r="A2785" t="s">
        <v>2789</v>
      </c>
      <c r="B2785">
        <v>0.995954080203443</v>
      </c>
      <c r="C2785">
        <v>1.0650896399115599</v>
      </c>
      <c r="D2785">
        <v>1.1577074972802901</v>
      </c>
      <c r="E2785">
        <v>1.0138970100781299</v>
      </c>
      <c r="F2785">
        <v>0.88220636675423403</v>
      </c>
      <c r="G2785">
        <v>0.200595801536534</v>
      </c>
      <c r="H2785">
        <v>0.102412384454759</v>
      </c>
      <c r="I2785">
        <v>8.97175274231823E-2</v>
      </c>
      <c r="J2785">
        <v>9.6830101915268599E-2</v>
      </c>
      <c r="K2785">
        <v>9.1324263698869507E-2</v>
      </c>
      <c r="L2785">
        <v>2973.8027772988598</v>
      </c>
      <c r="M2785">
        <v>54.1935716388383</v>
      </c>
      <c r="N2785">
        <v>55.085593890123398</v>
      </c>
      <c r="O2785">
        <v>54.7991411269089</v>
      </c>
      <c r="P2785">
        <v>-0.223978092195876</v>
      </c>
      <c r="Q2785">
        <v>9.4076918356254993E-2</v>
      </c>
      <c r="R2785">
        <v>0.98597119038352898</v>
      </c>
      <c r="S2785" t="s">
        <v>9591</v>
      </c>
      <c r="T2785" t="s">
        <v>13610</v>
      </c>
      <c r="U2785" t="s">
        <v>13610</v>
      </c>
      <c r="V2785" t="s">
        <v>13610</v>
      </c>
      <c r="W2785" t="s">
        <v>16342</v>
      </c>
      <c r="X2785">
        <v>10</v>
      </c>
      <c r="Y2785" t="s">
        <v>22993</v>
      </c>
      <c r="Z2785" t="s">
        <v>29640</v>
      </c>
      <c r="AA2785">
        <v>0.54508963892859652</v>
      </c>
      <c r="AB2785" t="str">
        <f>HYPERLINK("Melting_Curves/meltCurve_P60953_CDC42.pdf", "Melting_Curves/meltCurve_P60953_CDC42.pdf")</f>
        <v>Melting_Curves/meltCurve_P60953_CDC42.pdf</v>
      </c>
    </row>
    <row r="2786" spans="1:28" x14ac:dyDescent="0.25">
      <c r="A2786" t="s">
        <v>2790</v>
      </c>
      <c r="B2786">
        <v>0.995954080203443</v>
      </c>
      <c r="C2786">
        <v>0.87870212841276296</v>
      </c>
      <c r="D2786">
        <v>0.93597728500340305</v>
      </c>
      <c r="E2786">
        <v>0.78846569440801395</v>
      </c>
      <c r="F2786">
        <v>0.59201419305974401</v>
      </c>
      <c r="G2786">
        <v>0.17969298478937801</v>
      </c>
      <c r="H2786">
        <v>0.15950247341444401</v>
      </c>
      <c r="I2786">
        <v>0.16970639466567999</v>
      </c>
      <c r="J2786">
        <v>0.19623940749843899</v>
      </c>
      <c r="K2786">
        <v>0.174955362207872</v>
      </c>
      <c r="L2786">
        <v>1355.7473239793101</v>
      </c>
      <c r="M2786">
        <v>25.801525923745</v>
      </c>
      <c r="N2786">
        <v>53.317510732920397</v>
      </c>
      <c r="O2786">
        <v>52.232642076027297</v>
      </c>
      <c r="P2786">
        <v>-0.104240057115621</v>
      </c>
      <c r="Q2786">
        <v>0.155915171311237</v>
      </c>
      <c r="R2786">
        <v>0.97618333940468005</v>
      </c>
      <c r="S2786" t="s">
        <v>9592</v>
      </c>
      <c r="T2786" t="s">
        <v>13610</v>
      </c>
      <c r="U2786" t="s">
        <v>13610</v>
      </c>
      <c r="V2786" t="s">
        <v>13610</v>
      </c>
      <c r="W2786" t="s">
        <v>16343</v>
      </c>
      <c r="X2786">
        <v>9</v>
      </c>
      <c r="Y2786" t="s">
        <v>22993</v>
      </c>
      <c r="Z2786" t="s">
        <v>29641</v>
      </c>
      <c r="AA2786">
        <v>0.51618172573738219</v>
      </c>
      <c r="AB2786" t="str">
        <f>HYPERLINK("Melting_Curves/meltCurve_P60953_1_CDC42.pdf", "Melting_Curves/meltCurve_P60953_1_CDC42.pdf")</f>
        <v>Melting_Curves/meltCurve_P60953_1_CDC42.pdf</v>
      </c>
    </row>
    <row r="2787" spans="1:28" x14ac:dyDescent="0.25">
      <c r="A2787" t="s">
        <v>2791</v>
      </c>
      <c r="B2787">
        <v>0.995954080203443</v>
      </c>
      <c r="C2787">
        <v>1.0000684647448499</v>
      </c>
      <c r="D2787">
        <v>1.0311013899078501</v>
      </c>
      <c r="E2787">
        <v>0.855003200274154</v>
      </c>
      <c r="F2787">
        <v>0.53199382368916404</v>
      </c>
      <c r="G2787">
        <v>0.16114212306078901</v>
      </c>
      <c r="H2787">
        <v>0.100592521251366</v>
      </c>
      <c r="I2787">
        <v>9.2777974534471397E-2</v>
      </c>
      <c r="J2787">
        <v>0.10525750628278401</v>
      </c>
      <c r="K2787">
        <v>9.7558845435175998E-2</v>
      </c>
      <c r="L2787">
        <v>1689.61243509102</v>
      </c>
      <c r="M2787">
        <v>31.9904399436715</v>
      </c>
      <c r="N2787">
        <v>53.158814434196302</v>
      </c>
      <c r="O2787">
        <v>52.611088857193998</v>
      </c>
      <c r="P2787">
        <v>-0.13785210029653799</v>
      </c>
      <c r="Q2787">
        <v>9.3165414932284293E-2</v>
      </c>
      <c r="R2787">
        <v>0.99866586429731297</v>
      </c>
      <c r="S2787" t="s">
        <v>9593</v>
      </c>
      <c r="T2787" t="s">
        <v>13610</v>
      </c>
      <c r="U2787" t="s">
        <v>13610</v>
      </c>
      <c r="V2787" t="s">
        <v>13610</v>
      </c>
      <c r="W2787" t="s">
        <v>16344</v>
      </c>
      <c r="X2787">
        <v>13</v>
      </c>
      <c r="Y2787" t="s">
        <v>22994</v>
      </c>
      <c r="Z2787" t="s">
        <v>29642</v>
      </c>
      <c r="AA2787">
        <v>0.4857377141304971</v>
      </c>
      <c r="AB2787" t="str">
        <f>HYPERLINK("Melting_Curves/meltCurve_P60981_2_DSTN.pdf", "Melting_Curves/meltCurve_P60981_2_DSTN.pdf")</f>
        <v>Melting_Curves/meltCurve_P60981_2_DSTN.pdf</v>
      </c>
    </row>
    <row r="2788" spans="1:28" x14ac:dyDescent="0.25">
      <c r="A2788" t="s">
        <v>2792</v>
      </c>
      <c r="B2788">
        <v>0.995954080203443</v>
      </c>
      <c r="C2788">
        <v>1.0379944042403599</v>
      </c>
      <c r="D2788">
        <v>1.1659387602042699</v>
      </c>
      <c r="E2788">
        <v>1.00935385223173</v>
      </c>
      <c r="F2788">
        <v>1.02246035851677</v>
      </c>
      <c r="G2788">
        <v>0.77222463670925301</v>
      </c>
      <c r="H2788">
        <v>0.70245753622195295</v>
      </c>
      <c r="I2788">
        <v>0.742826800546878</v>
      </c>
      <c r="J2788">
        <v>0.76234473639070699</v>
      </c>
      <c r="K2788">
        <v>0.56313571770937698</v>
      </c>
      <c r="L2788">
        <v>14190.025612094199</v>
      </c>
      <c r="M2788">
        <v>250</v>
      </c>
      <c r="O2788">
        <v>56.756470198824701</v>
      </c>
      <c r="P2788">
        <v>-0.33840723856093802</v>
      </c>
      <c r="Q2788">
        <v>0.692691194864124</v>
      </c>
      <c r="R2788">
        <v>0.83850051509064405</v>
      </c>
      <c r="S2788" t="s">
        <v>9594</v>
      </c>
      <c r="T2788" t="s">
        <v>13610</v>
      </c>
      <c r="U2788" t="s">
        <v>13610</v>
      </c>
      <c r="V2788" t="s">
        <v>13610</v>
      </c>
      <c r="W2788" t="s">
        <v>16345</v>
      </c>
      <c r="X2788">
        <v>8</v>
      </c>
      <c r="Y2788" t="s">
        <v>22995</v>
      </c>
      <c r="Z2788" t="s">
        <v>29643</v>
      </c>
      <c r="AA2788">
        <v>0.86440604209127714</v>
      </c>
      <c r="AB2788" t="str">
        <f>HYPERLINK("Melting_Curves/meltCurve_P60983_GMFB.pdf", "Melting_Curves/meltCurve_P60983_GMFB.pdf")</f>
        <v>Melting_Curves/meltCurve_P60983_GMFB.pdf</v>
      </c>
    </row>
    <row r="2789" spans="1:28" x14ac:dyDescent="0.25">
      <c r="A2789" t="s">
        <v>2793</v>
      </c>
      <c r="B2789">
        <v>0.995954080203443</v>
      </c>
      <c r="C2789">
        <v>0.94137511275328001</v>
      </c>
      <c r="D2789">
        <v>1.0160438744946001</v>
      </c>
      <c r="E2789">
        <v>0.85313603891268297</v>
      </c>
      <c r="F2789">
        <v>0.84419277906354795</v>
      </c>
      <c r="G2789">
        <v>0.39745577110269298</v>
      </c>
      <c r="H2789">
        <v>0.124432193132685</v>
      </c>
      <c r="I2789">
        <v>0.10698719669225</v>
      </c>
      <c r="J2789">
        <v>0.10623990736111399</v>
      </c>
      <c r="K2789">
        <v>9.3561510280910296E-2</v>
      </c>
      <c r="L2789">
        <v>1482.3740202333499</v>
      </c>
      <c r="M2789">
        <v>26.658281197554299</v>
      </c>
      <c r="N2789">
        <v>55.9711697391675</v>
      </c>
      <c r="O2789">
        <v>55.296417714015099</v>
      </c>
      <c r="P2789">
        <v>-0.11091763782481801</v>
      </c>
      <c r="Q2789">
        <v>7.9717742717549098E-2</v>
      </c>
      <c r="R2789">
        <v>0.98871784446758504</v>
      </c>
      <c r="S2789" t="s">
        <v>9595</v>
      </c>
      <c r="T2789" t="s">
        <v>13610</v>
      </c>
      <c r="U2789" t="s">
        <v>13610</v>
      </c>
      <c r="V2789" t="s">
        <v>13610</v>
      </c>
      <c r="W2789" t="s">
        <v>16346</v>
      </c>
      <c r="X2789">
        <v>8</v>
      </c>
      <c r="Y2789" t="s">
        <v>22996</v>
      </c>
      <c r="Z2789" t="s">
        <v>29644</v>
      </c>
      <c r="AA2789">
        <v>0.56605455568795715</v>
      </c>
      <c r="AB2789" t="str">
        <f>HYPERLINK("Melting_Curves/meltCurve_P61006_RAB8A.pdf", "Melting_Curves/meltCurve_P61006_RAB8A.pdf")</f>
        <v>Melting_Curves/meltCurve_P61006_RAB8A.pdf</v>
      </c>
    </row>
    <row r="2790" spans="1:28" x14ac:dyDescent="0.25">
      <c r="A2790" t="s">
        <v>2794</v>
      </c>
      <c r="B2790">
        <v>0.995954080203443</v>
      </c>
      <c r="C2790">
        <v>0.83969078449759305</v>
      </c>
      <c r="D2790">
        <v>0.82119486277646503</v>
      </c>
      <c r="E2790">
        <v>0.73809870570164204</v>
      </c>
      <c r="F2790">
        <v>0.42945277920532998</v>
      </c>
      <c r="G2790">
        <v>0.24738249446389199</v>
      </c>
      <c r="H2790">
        <v>0.211040364132593</v>
      </c>
      <c r="I2790">
        <v>0.24589626202588699</v>
      </c>
      <c r="J2790">
        <v>0.30072802398922899</v>
      </c>
      <c r="K2790">
        <v>0.32689887255737998</v>
      </c>
      <c r="L2790">
        <v>853.64744080489902</v>
      </c>
      <c r="M2790">
        <v>17.038786390658501</v>
      </c>
      <c r="N2790">
        <v>52.124131451658499</v>
      </c>
      <c r="O2790">
        <v>49.4254118594625</v>
      </c>
      <c r="P2790">
        <v>-6.5333157626608407E-2</v>
      </c>
      <c r="Q2790">
        <v>0.24198339343304201</v>
      </c>
      <c r="R2790">
        <v>0.93974814687732899</v>
      </c>
      <c r="S2790" t="s">
        <v>9596</v>
      </c>
      <c r="T2790" t="s">
        <v>13610</v>
      </c>
      <c r="U2790" t="s">
        <v>13610</v>
      </c>
      <c r="V2790" t="s">
        <v>13610</v>
      </c>
      <c r="W2790" t="s">
        <v>16347</v>
      </c>
      <c r="X2790">
        <v>2</v>
      </c>
      <c r="Y2790" t="s">
        <v>22997</v>
      </c>
      <c r="Z2790" t="s">
        <v>29645</v>
      </c>
      <c r="AA2790">
        <v>0.5114960711719666</v>
      </c>
      <c r="AB2790" t="str">
        <f>HYPERLINK("Melting_Curves/meltCurve_P61009_SPCS3.pdf", "Melting_Curves/meltCurve_P61009_SPCS3.pdf")</f>
        <v>Melting_Curves/meltCurve_P61009_SPCS3.pdf</v>
      </c>
    </row>
    <row r="2791" spans="1:28" x14ac:dyDescent="0.25">
      <c r="A2791" t="s">
        <v>2795</v>
      </c>
      <c r="B2791">
        <v>0.995954080203443</v>
      </c>
      <c r="C2791">
        <v>0.76595400815381998</v>
      </c>
      <c r="D2791">
        <v>0.45720963611398502</v>
      </c>
      <c r="E2791">
        <v>0.31777096462965798</v>
      </c>
      <c r="F2791">
        <v>0.13003450398892799</v>
      </c>
      <c r="G2791">
        <v>6.8535313971621603E-2</v>
      </c>
      <c r="H2791">
        <v>4.2941144143983201E-2</v>
      </c>
      <c r="I2791">
        <v>3.7633270496234002E-2</v>
      </c>
      <c r="J2791">
        <v>4.2260069058536201E-2</v>
      </c>
      <c r="K2791">
        <v>4.2048775205211199E-2</v>
      </c>
      <c r="L2791">
        <v>742.28645844234904</v>
      </c>
      <c r="M2791">
        <v>16.131118501017699</v>
      </c>
      <c r="N2791">
        <v>46.2277134101397</v>
      </c>
      <c r="O2791">
        <v>45.3260563200636</v>
      </c>
      <c r="P2791">
        <v>-8.5808349450635896E-2</v>
      </c>
      <c r="Q2791">
        <v>3.56381864802175E-2</v>
      </c>
      <c r="R2791">
        <v>0.98598408983311703</v>
      </c>
      <c r="S2791" t="s">
        <v>9597</v>
      </c>
      <c r="T2791" t="s">
        <v>13610</v>
      </c>
      <c r="U2791" t="s">
        <v>13610</v>
      </c>
      <c r="V2791" t="s">
        <v>13610</v>
      </c>
      <c r="W2791" t="s">
        <v>16348</v>
      </c>
      <c r="X2791">
        <v>22</v>
      </c>
      <c r="Y2791" t="s">
        <v>22998</v>
      </c>
      <c r="Z2791" t="s">
        <v>29646</v>
      </c>
      <c r="AA2791">
        <v>0.25310173368076222</v>
      </c>
      <c r="AB2791" t="str">
        <f>HYPERLINK("Melting_Curves/meltCurve_P61011_SRP54.pdf", "Melting_Curves/meltCurve_P61011_SRP54.pdf")</f>
        <v>Melting_Curves/meltCurve_P61011_SRP54.pdf</v>
      </c>
    </row>
    <row r="2792" spans="1:28" x14ac:dyDescent="0.25">
      <c r="A2792" t="s">
        <v>2796</v>
      </c>
      <c r="B2792">
        <v>0.995954080203443</v>
      </c>
      <c r="C2792">
        <v>0.99082124820719297</v>
      </c>
      <c r="D2792">
        <v>0.92029587783102296</v>
      </c>
      <c r="E2792">
        <v>0.88510694640909704</v>
      </c>
      <c r="F2792">
        <v>0.75271457784505402</v>
      </c>
      <c r="G2792">
        <v>0.28216229371611601</v>
      </c>
      <c r="H2792">
        <v>0.16859981687926501</v>
      </c>
      <c r="I2792">
        <v>9.9034705056090397E-2</v>
      </c>
      <c r="J2792">
        <v>0.11344205612732899</v>
      </c>
      <c r="K2792">
        <v>0.109659604167063</v>
      </c>
      <c r="L2792">
        <v>1483.1934754731001</v>
      </c>
      <c r="M2792">
        <v>27.213849218278298</v>
      </c>
      <c r="N2792">
        <v>54.959258321894701</v>
      </c>
      <c r="O2792">
        <v>54.209672880109601</v>
      </c>
      <c r="P2792">
        <v>-0.11277509354918</v>
      </c>
      <c r="Q2792">
        <v>0.10142180798138099</v>
      </c>
      <c r="R2792">
        <v>0.99298545411191896</v>
      </c>
      <c r="S2792" t="s">
        <v>9598</v>
      </c>
      <c r="T2792" t="s">
        <v>13610</v>
      </c>
      <c r="U2792" t="s">
        <v>13610</v>
      </c>
      <c r="V2792" t="s">
        <v>13610</v>
      </c>
      <c r="W2792" t="s">
        <v>16349</v>
      </c>
      <c r="X2792">
        <v>5</v>
      </c>
      <c r="Y2792" t="s">
        <v>22999</v>
      </c>
      <c r="Z2792" t="s">
        <v>29647</v>
      </c>
      <c r="AA2792">
        <v>0.54290659228450655</v>
      </c>
      <c r="AB2792" t="str">
        <f>HYPERLINK("Melting_Curves/meltCurve_P61018_RAB4B.pdf", "Melting_Curves/meltCurve_P61018_RAB4B.pdf")</f>
        <v>Melting_Curves/meltCurve_P61018_RAB4B.pdf</v>
      </c>
    </row>
    <row r="2793" spans="1:28" x14ac:dyDescent="0.25">
      <c r="A2793" t="s">
        <v>2797</v>
      </c>
      <c r="B2793">
        <v>0.995954080203443</v>
      </c>
      <c r="C2793">
        <v>0.98941132482420302</v>
      </c>
      <c r="D2793">
        <v>0.95435441361584405</v>
      </c>
      <c r="E2793">
        <v>0.88525380937091303</v>
      </c>
      <c r="F2793">
        <v>0.74101977546868203</v>
      </c>
      <c r="G2793">
        <v>0.42615081859794901</v>
      </c>
      <c r="H2793">
        <v>0.18206907387179999</v>
      </c>
      <c r="I2793">
        <v>8.3717104905429399E-2</v>
      </c>
      <c r="J2793">
        <v>6.7611240674383094E-2</v>
      </c>
      <c r="K2793">
        <v>6.8020939690514107E-2</v>
      </c>
      <c r="L2793">
        <v>1038.98340142596</v>
      </c>
      <c r="M2793">
        <v>18.630799953219999</v>
      </c>
      <c r="N2793">
        <v>55.925372271389797</v>
      </c>
      <c r="O2793">
        <v>55.136404334464302</v>
      </c>
      <c r="P2793">
        <v>-8.2308562264132801E-2</v>
      </c>
      <c r="Q2793">
        <v>2.56987975767504E-2</v>
      </c>
      <c r="R2793">
        <v>0.99858208258266401</v>
      </c>
      <c r="S2793" t="s">
        <v>9599</v>
      </c>
      <c r="T2793" t="s">
        <v>13610</v>
      </c>
      <c r="U2793" t="s">
        <v>13610</v>
      </c>
      <c r="V2793" t="s">
        <v>13610</v>
      </c>
      <c r="W2793" t="s">
        <v>16350</v>
      </c>
      <c r="X2793">
        <v>12</v>
      </c>
      <c r="Y2793" t="s">
        <v>23000</v>
      </c>
      <c r="Z2793" t="s">
        <v>29648</v>
      </c>
      <c r="AA2793">
        <v>0.5516847798833584</v>
      </c>
      <c r="AB2793" t="str">
        <f>HYPERLINK("Melting_Curves/meltCurve_P61019_RAB2A.pdf", "Melting_Curves/meltCurve_P61019_RAB2A.pdf")</f>
        <v>Melting_Curves/meltCurve_P61019_RAB2A.pdf</v>
      </c>
    </row>
    <row r="2794" spans="1:28" x14ac:dyDescent="0.25">
      <c r="A2794" t="s">
        <v>2798</v>
      </c>
      <c r="B2794">
        <v>0.995954080203443</v>
      </c>
      <c r="C2794">
        <v>1.0571653826385501</v>
      </c>
      <c r="D2794">
        <v>1.0411685036284599</v>
      </c>
      <c r="E2794">
        <v>0.95984973550384001</v>
      </c>
      <c r="F2794">
        <v>0.88187766327955497</v>
      </c>
      <c r="G2794">
        <v>0.57996458533178596</v>
      </c>
      <c r="H2794">
        <v>0.113647393288326</v>
      </c>
      <c r="I2794">
        <v>0.101728588747138</v>
      </c>
      <c r="J2794">
        <v>8.3026403061804005E-2</v>
      </c>
      <c r="K2794">
        <v>8.6068220148184396E-2</v>
      </c>
      <c r="L2794">
        <v>1886.36464389906</v>
      </c>
      <c r="M2794">
        <v>33.0396064304406</v>
      </c>
      <c r="N2794">
        <v>57.3429313105921</v>
      </c>
      <c r="O2794">
        <v>56.886100820495898</v>
      </c>
      <c r="P2794">
        <v>-0.135501481091993</v>
      </c>
      <c r="Q2794">
        <v>6.6802847296818305E-2</v>
      </c>
      <c r="R2794">
        <v>0.99268595338557297</v>
      </c>
      <c r="S2794" t="s">
        <v>9600</v>
      </c>
      <c r="T2794" t="s">
        <v>13610</v>
      </c>
      <c r="U2794" t="s">
        <v>13610</v>
      </c>
      <c r="V2794" t="s">
        <v>13610</v>
      </c>
      <c r="W2794" t="s">
        <v>16351</v>
      </c>
      <c r="X2794">
        <v>9</v>
      </c>
      <c r="Y2794" t="s">
        <v>23001</v>
      </c>
      <c r="Z2794" t="s">
        <v>29649</v>
      </c>
      <c r="AA2794">
        <v>0.60376420843555045</v>
      </c>
      <c r="AB2794" t="str">
        <f>HYPERLINK("Melting_Curves/meltCurve_P61020_RAB5B.pdf", "Melting_Curves/meltCurve_P61020_RAB5B.pdf")</f>
        <v>Melting_Curves/meltCurve_P61020_RAB5B.pdf</v>
      </c>
    </row>
    <row r="2795" spans="1:28" x14ac:dyDescent="0.25">
      <c r="A2795" t="s">
        <v>2799</v>
      </c>
      <c r="B2795">
        <v>0.995954080203443</v>
      </c>
      <c r="C2795">
        <v>0.86246485356361002</v>
      </c>
      <c r="D2795">
        <v>0.73818482481375702</v>
      </c>
      <c r="E2795">
        <v>0.63638885447982896</v>
      </c>
      <c r="F2795">
        <v>0.52538398088510896</v>
      </c>
      <c r="G2795">
        <v>0.30750567298481701</v>
      </c>
      <c r="H2795">
        <v>0.26395544544718402</v>
      </c>
      <c r="I2795">
        <v>0.32634857891679098</v>
      </c>
      <c r="J2795">
        <v>0.36004658865269901</v>
      </c>
      <c r="K2795">
        <v>0.34603104178336702</v>
      </c>
      <c r="L2795">
        <v>630.07819926406205</v>
      </c>
      <c r="M2795">
        <v>12.9419084552362</v>
      </c>
      <c r="N2795">
        <v>52.239287467235897</v>
      </c>
      <c r="O2795">
        <v>47.566683683279102</v>
      </c>
      <c r="P2795">
        <v>-4.8117838085302102E-2</v>
      </c>
      <c r="Q2795">
        <v>0.292718039237018</v>
      </c>
      <c r="R2795">
        <v>0.95964462585788601</v>
      </c>
      <c r="S2795" t="s">
        <v>9601</v>
      </c>
      <c r="T2795" t="s">
        <v>13610</v>
      </c>
      <c r="U2795" t="s">
        <v>13610</v>
      </c>
      <c r="V2795" t="s">
        <v>13610</v>
      </c>
      <c r="W2795" t="s">
        <v>16352</v>
      </c>
      <c r="X2795">
        <v>3</v>
      </c>
      <c r="Y2795" t="s">
        <v>23002</v>
      </c>
      <c r="Z2795" t="s">
        <v>29650</v>
      </c>
      <c r="AA2795">
        <v>0.52069754482552078</v>
      </c>
      <c r="AB2795" t="str">
        <f>HYPERLINK("Melting_Curves/meltCurve_P61024_CKS1B.pdf", "Melting_Curves/meltCurve_P61024_CKS1B.pdf")</f>
        <v>Melting_Curves/meltCurve_P61024_CKS1B.pdf</v>
      </c>
    </row>
    <row r="2796" spans="1:28" x14ac:dyDescent="0.25">
      <c r="A2796" t="s">
        <v>2800</v>
      </c>
      <c r="B2796">
        <v>0.995954080203443</v>
      </c>
      <c r="C2796">
        <v>0.99749157636319297</v>
      </c>
      <c r="D2796">
        <v>1.25243592975844</v>
      </c>
      <c r="E2796">
        <v>0.97281943461091003</v>
      </c>
      <c r="F2796">
        <v>1.0484965545659599</v>
      </c>
      <c r="G2796">
        <v>0.49250820768851</v>
      </c>
      <c r="H2796">
        <v>0.10778318671640399</v>
      </c>
      <c r="I2796">
        <v>8.8605443375628506E-2</v>
      </c>
      <c r="J2796">
        <v>7.9893813646220099E-2</v>
      </c>
      <c r="K2796">
        <v>7.7987545814066805E-2</v>
      </c>
      <c r="L2796">
        <v>8776.7877472877408</v>
      </c>
      <c r="M2796">
        <v>154.206903418503</v>
      </c>
      <c r="N2796">
        <v>56.987718618837299</v>
      </c>
      <c r="O2796">
        <v>56.906109636105299</v>
      </c>
      <c r="P2796">
        <v>-0.61746662877606495</v>
      </c>
      <c r="Q2796">
        <v>8.8559330877560294E-2</v>
      </c>
      <c r="R2796">
        <v>0.96847322742583897</v>
      </c>
      <c r="S2796" t="s">
        <v>9602</v>
      </c>
      <c r="T2796" t="s">
        <v>13610</v>
      </c>
      <c r="U2796" t="s">
        <v>13610</v>
      </c>
      <c r="V2796" t="s">
        <v>13610</v>
      </c>
      <c r="W2796" t="s">
        <v>16353</v>
      </c>
      <c r="X2796">
        <v>9</v>
      </c>
      <c r="Y2796" t="s">
        <v>23003</v>
      </c>
      <c r="Z2796" t="s">
        <v>29651</v>
      </c>
      <c r="AA2796">
        <v>0.60271939148863929</v>
      </c>
      <c r="AB2796" t="str">
        <f>HYPERLINK("Melting_Curves/meltCurve_P61026_RAB10.pdf", "Melting_Curves/meltCurve_P61026_RAB10.pdf")</f>
        <v>Melting_Curves/meltCurve_P61026_RAB10.pdf</v>
      </c>
    </row>
    <row r="2797" spans="1:28" x14ac:dyDescent="0.25">
      <c r="A2797" t="s">
        <v>2801</v>
      </c>
      <c r="B2797">
        <v>0.995954080203443</v>
      </c>
      <c r="C2797">
        <v>1.05476556078131</v>
      </c>
      <c r="D2797">
        <v>1.0253696589589101</v>
      </c>
      <c r="E2797">
        <v>0.811631941317981</v>
      </c>
      <c r="F2797">
        <v>0.41912333336298102</v>
      </c>
      <c r="G2797">
        <v>0.22947983828076701</v>
      </c>
      <c r="H2797">
        <v>0.10959225277292101</v>
      </c>
      <c r="I2797">
        <v>5.64303227681495E-2</v>
      </c>
      <c r="J2797">
        <v>5.7816352714462699E-2</v>
      </c>
      <c r="K2797">
        <v>4.4256287265242701E-2</v>
      </c>
      <c r="L2797">
        <v>1367.23888363482</v>
      </c>
      <c r="M2797">
        <v>26.095861309312699</v>
      </c>
      <c r="N2797">
        <v>52.682565699808698</v>
      </c>
      <c r="O2797">
        <v>52.088174087221603</v>
      </c>
      <c r="P2797">
        <v>-0.116880223560603</v>
      </c>
      <c r="Q2797">
        <v>6.6823908203660395E-2</v>
      </c>
      <c r="R2797">
        <v>0.99232505068266597</v>
      </c>
      <c r="S2797" t="s">
        <v>9603</v>
      </c>
      <c r="T2797" t="s">
        <v>13610</v>
      </c>
      <c r="U2797" t="s">
        <v>13610</v>
      </c>
      <c r="V2797" t="s">
        <v>13610</v>
      </c>
      <c r="W2797" t="s">
        <v>16354</v>
      </c>
      <c r="X2797">
        <v>6</v>
      </c>
      <c r="Y2797" t="s">
        <v>23004</v>
      </c>
      <c r="Z2797" t="s">
        <v>29652</v>
      </c>
      <c r="AA2797">
        <v>0.46019225682741371</v>
      </c>
      <c r="AB2797" t="str">
        <f>HYPERLINK("Melting_Curves/meltCurve_P61077_UBE2D3.pdf", "Melting_Curves/meltCurve_P61077_UBE2D3.pdf")</f>
        <v>Melting_Curves/meltCurve_P61077_UBE2D3.pdf</v>
      </c>
    </row>
    <row r="2798" spans="1:28" x14ac:dyDescent="0.25">
      <c r="A2798" t="s">
        <v>2802</v>
      </c>
      <c r="B2798">
        <v>0.995954080203443</v>
      </c>
      <c r="C2798">
        <v>1.01418927737533</v>
      </c>
      <c r="D2798">
        <v>1.0618053382185499</v>
      </c>
      <c r="E2798">
        <v>0.896917099160218</v>
      </c>
      <c r="F2798">
        <v>0.80188686121156105</v>
      </c>
      <c r="G2798">
        <v>0.26808081564092401</v>
      </c>
      <c r="H2798">
        <v>0.120652952941199</v>
      </c>
      <c r="I2798">
        <v>0.10821863482194299</v>
      </c>
      <c r="J2798">
        <v>0.12722117715315401</v>
      </c>
      <c r="K2798">
        <v>0.111938422100959</v>
      </c>
      <c r="L2798">
        <v>1940.1515695620301</v>
      </c>
      <c r="M2798">
        <v>35.490990117182903</v>
      </c>
      <c r="N2798">
        <v>55.0464136952587</v>
      </c>
      <c r="O2798">
        <v>54.493348773170801</v>
      </c>
      <c r="P2798">
        <v>-0.145116457549473</v>
      </c>
      <c r="Q2798">
        <v>0.108747863139547</v>
      </c>
      <c r="R2798">
        <v>0.99388853179218295</v>
      </c>
      <c r="S2798" t="s">
        <v>9604</v>
      </c>
      <c r="T2798" t="s">
        <v>13610</v>
      </c>
      <c r="U2798" t="s">
        <v>13610</v>
      </c>
      <c r="V2798" t="s">
        <v>13610</v>
      </c>
      <c r="W2798" t="s">
        <v>16355</v>
      </c>
      <c r="X2798">
        <v>11</v>
      </c>
      <c r="Y2798" t="s">
        <v>23005</v>
      </c>
      <c r="Z2798" t="s">
        <v>29653</v>
      </c>
      <c r="AA2798">
        <v>0.54870763760551711</v>
      </c>
      <c r="AB2798" t="str">
        <f>HYPERLINK("Melting_Curves/meltCurve_P61081_UBE2M.pdf", "Melting_Curves/meltCurve_P61081_UBE2M.pdf")</f>
        <v>Melting_Curves/meltCurve_P61081_UBE2M.pdf</v>
      </c>
    </row>
    <row r="2799" spans="1:28" x14ac:dyDescent="0.25">
      <c r="A2799" t="s">
        <v>2803</v>
      </c>
      <c r="B2799">
        <v>0.995954080203443</v>
      </c>
      <c r="C2799">
        <v>1.1040452894495301</v>
      </c>
      <c r="D2799">
        <v>1.16742530698251</v>
      </c>
      <c r="E2799">
        <v>1.0345737610637</v>
      </c>
      <c r="F2799">
        <v>0.90039508378049704</v>
      </c>
      <c r="G2799">
        <v>0.46325786108818301</v>
      </c>
      <c r="H2799">
        <v>0.10816196700781</v>
      </c>
      <c r="I2799">
        <v>8.3438902455276506E-2</v>
      </c>
      <c r="J2799">
        <v>8.5628846817238494E-2</v>
      </c>
      <c r="K2799">
        <v>7.7475028426448697E-2</v>
      </c>
      <c r="L2799">
        <v>2082.0223261546698</v>
      </c>
      <c r="M2799">
        <v>36.887346711874798</v>
      </c>
      <c r="N2799">
        <v>56.682997137348003</v>
      </c>
      <c r="O2799">
        <v>56.277610582631297</v>
      </c>
      <c r="P2799">
        <v>-0.152004117975157</v>
      </c>
      <c r="Q2799">
        <v>7.2375296378788895E-2</v>
      </c>
      <c r="R2799">
        <v>0.97984666319594405</v>
      </c>
      <c r="S2799" t="s">
        <v>9605</v>
      </c>
      <c r="T2799" t="s">
        <v>13610</v>
      </c>
      <c r="U2799" t="s">
        <v>13610</v>
      </c>
      <c r="V2799" t="s">
        <v>13610</v>
      </c>
      <c r="W2799" t="s">
        <v>16356</v>
      </c>
      <c r="X2799">
        <v>16</v>
      </c>
      <c r="Y2799" t="s">
        <v>23006</v>
      </c>
      <c r="Z2799" t="s">
        <v>29654</v>
      </c>
      <c r="AA2799">
        <v>0.58499971110185589</v>
      </c>
      <c r="AB2799" t="str">
        <f>HYPERLINK("Melting_Curves/meltCurve_P61086_UBE2K.pdf", "Melting_Curves/meltCurve_P61086_UBE2K.pdf")</f>
        <v>Melting_Curves/meltCurve_P61086_UBE2K.pdf</v>
      </c>
    </row>
    <row r="2800" spans="1:28" x14ac:dyDescent="0.25">
      <c r="A2800" t="s">
        <v>2804</v>
      </c>
      <c r="B2800">
        <v>0.995954080203443</v>
      </c>
      <c r="C2800">
        <v>0.89795282477427896</v>
      </c>
      <c r="D2800">
        <v>1.07079059536372</v>
      </c>
      <c r="E2800">
        <v>0.87669755342810496</v>
      </c>
      <c r="F2800">
        <v>0.748246752273386</v>
      </c>
      <c r="G2800">
        <v>0.25498874616041201</v>
      </c>
      <c r="H2800">
        <v>8.24507041311969E-2</v>
      </c>
      <c r="I2800">
        <v>6.13908940267942E-2</v>
      </c>
      <c r="J2800">
        <v>6.8708800304715406E-2</v>
      </c>
      <c r="K2800">
        <v>5.9218766355702702E-2</v>
      </c>
      <c r="L2800">
        <v>1593.25710276167</v>
      </c>
      <c r="M2800">
        <v>29.188776400005601</v>
      </c>
      <c r="N2800">
        <v>54.790839297182004</v>
      </c>
      <c r="O2800">
        <v>54.3302972096754</v>
      </c>
      <c r="P2800">
        <v>-0.12732473693545299</v>
      </c>
      <c r="Q2800">
        <v>5.2027334693875597E-2</v>
      </c>
      <c r="R2800">
        <v>0.98790034108581903</v>
      </c>
      <c r="S2800" t="s">
        <v>9606</v>
      </c>
      <c r="T2800" t="s">
        <v>13610</v>
      </c>
      <c r="U2800" t="s">
        <v>13610</v>
      </c>
      <c r="V2800" t="s">
        <v>13610</v>
      </c>
      <c r="W2800" t="s">
        <v>16357</v>
      </c>
      <c r="X2800">
        <v>13</v>
      </c>
      <c r="Y2800" t="s">
        <v>23007</v>
      </c>
      <c r="Z2800" t="s">
        <v>29655</v>
      </c>
      <c r="AA2800">
        <v>0.51948710828578348</v>
      </c>
      <c r="AB2800" t="str">
        <f>HYPERLINK("Melting_Curves/meltCurve_P61088_UBE2N.pdf", "Melting_Curves/meltCurve_P61088_UBE2N.pdf")</f>
        <v>Melting_Curves/meltCurve_P61088_UBE2N.pdf</v>
      </c>
    </row>
    <row r="2801" spans="1:28" x14ac:dyDescent="0.25">
      <c r="A2801" t="s">
        <v>2805</v>
      </c>
      <c r="B2801">
        <v>0.995954080203443</v>
      </c>
      <c r="C2801">
        <v>0.93573719785758502</v>
      </c>
      <c r="D2801">
        <v>0.93596301474405597</v>
      </c>
      <c r="E2801">
        <v>0.79494298802195396</v>
      </c>
      <c r="F2801">
        <v>0.71387605243783103</v>
      </c>
      <c r="G2801">
        <v>0.31007512091020001</v>
      </c>
      <c r="H2801">
        <v>9.7559633978600901E-2</v>
      </c>
      <c r="I2801">
        <v>7.9874348153495103E-2</v>
      </c>
      <c r="J2801">
        <v>7.6266243242891704E-2</v>
      </c>
      <c r="K2801">
        <v>7.1568962787304402E-2</v>
      </c>
      <c r="L2801">
        <v>1049.2741387450999</v>
      </c>
      <c r="M2801">
        <v>19.253483022647501</v>
      </c>
      <c r="N2801">
        <v>54.694270675211598</v>
      </c>
      <c r="O2801">
        <v>53.9201944124938</v>
      </c>
      <c r="P2801">
        <v>-8.6290331788615296E-2</v>
      </c>
      <c r="Q2801">
        <v>3.3397752513882703E-2</v>
      </c>
      <c r="R2801">
        <v>0.98903157934489805</v>
      </c>
      <c r="S2801" t="s">
        <v>9607</v>
      </c>
      <c r="T2801" t="s">
        <v>13610</v>
      </c>
      <c r="U2801" t="s">
        <v>13610</v>
      </c>
      <c r="V2801" t="s">
        <v>13610</v>
      </c>
      <c r="W2801" t="s">
        <v>16358</v>
      </c>
      <c r="X2801">
        <v>16</v>
      </c>
      <c r="Y2801" t="s">
        <v>23008</v>
      </c>
      <c r="Z2801" t="s">
        <v>29656</v>
      </c>
      <c r="AA2801">
        <v>0.51432294288173586</v>
      </c>
      <c r="AB2801" t="str">
        <f>HYPERLINK("Melting_Curves/meltCurve_P61106_RAB14.pdf", "Melting_Curves/meltCurve_P61106_RAB14.pdf")</f>
        <v>Melting_Curves/meltCurve_P61106_RAB14.pdf</v>
      </c>
    </row>
    <row r="2802" spans="1:28" x14ac:dyDescent="0.25">
      <c r="A2802" t="s">
        <v>2806</v>
      </c>
      <c r="B2802">
        <v>0.995954080203443</v>
      </c>
      <c r="C2802">
        <v>0.88848871418216901</v>
      </c>
      <c r="D2802">
        <v>1.1134690331894399</v>
      </c>
      <c r="E2802">
        <v>0.85132683944264798</v>
      </c>
      <c r="F2802">
        <v>1.1654789781085499</v>
      </c>
      <c r="G2802">
        <v>1.2091661984397399</v>
      </c>
      <c r="H2802">
        <v>1.0036631117555399</v>
      </c>
      <c r="I2802">
        <v>0.85738811102212797</v>
      </c>
      <c r="J2802">
        <v>0.60325141042459796</v>
      </c>
      <c r="K2802">
        <v>0.59306818060942601</v>
      </c>
      <c r="L2802">
        <v>6467.4713731007796</v>
      </c>
      <c r="M2802">
        <v>100.438987507042</v>
      </c>
      <c r="O2802">
        <v>64.366525448818805</v>
      </c>
      <c r="P2802">
        <v>-0.15835520366442099</v>
      </c>
      <c r="Q2802">
        <v>0.59407102914288001</v>
      </c>
      <c r="R2802">
        <v>0.71092927027493502</v>
      </c>
      <c r="S2802" t="s">
        <v>9608</v>
      </c>
      <c r="T2802" t="s">
        <v>13610</v>
      </c>
      <c r="U2802" t="s">
        <v>13610</v>
      </c>
      <c r="V2802" t="s">
        <v>13610</v>
      </c>
      <c r="W2802" t="s">
        <v>16359</v>
      </c>
      <c r="X2802">
        <v>6</v>
      </c>
      <c r="Y2802" t="s">
        <v>23009</v>
      </c>
      <c r="Z2802" t="s">
        <v>29657</v>
      </c>
      <c r="AA2802">
        <v>0.92440007173869343</v>
      </c>
      <c r="AB2802" t="str">
        <f>HYPERLINK("Melting_Curves/meltCurve_P61129_ZC3H6.pdf", "Melting_Curves/meltCurve_P61129_ZC3H6.pdf")</f>
        <v>Melting_Curves/meltCurve_P61129_ZC3H6.pdf</v>
      </c>
    </row>
    <row r="2803" spans="1:28" x14ac:dyDescent="0.25">
      <c r="A2803" t="s">
        <v>2807</v>
      </c>
      <c r="B2803">
        <v>0.995954080203443</v>
      </c>
      <c r="C2803">
        <v>0.91110961425215498</v>
      </c>
      <c r="D2803">
        <v>0.827652861711756</v>
      </c>
      <c r="E2803">
        <v>0.87286764794347405</v>
      </c>
      <c r="F2803">
        <v>0.66462411016035805</v>
      </c>
      <c r="G2803">
        <v>0.45924958212429401</v>
      </c>
      <c r="H2803">
        <v>0.173485953580058</v>
      </c>
      <c r="I2803">
        <v>7.9069503573535996E-2</v>
      </c>
      <c r="J2803">
        <v>8.0424363878268207E-2</v>
      </c>
      <c r="K2803">
        <v>7.5116754222353893E-2</v>
      </c>
      <c r="L2803">
        <v>796.32259485527902</v>
      </c>
      <c r="M2803">
        <v>14.342292128718601</v>
      </c>
      <c r="N2803">
        <v>55.5226867114146</v>
      </c>
      <c r="O2803">
        <v>54.476746368852098</v>
      </c>
      <c r="P2803">
        <v>-6.5826338829694506E-2</v>
      </c>
      <c r="Q2803">
        <v>0</v>
      </c>
      <c r="R2803">
        <v>0.97713406556470905</v>
      </c>
      <c r="S2803" t="s">
        <v>9609</v>
      </c>
      <c r="T2803" t="s">
        <v>13610</v>
      </c>
      <c r="U2803" t="s">
        <v>13610</v>
      </c>
      <c r="V2803" t="s">
        <v>13610</v>
      </c>
      <c r="W2803" t="s">
        <v>16360</v>
      </c>
      <c r="X2803">
        <v>24</v>
      </c>
      <c r="Y2803" t="s">
        <v>23010</v>
      </c>
      <c r="Z2803" t="s">
        <v>29658</v>
      </c>
      <c r="AA2803">
        <v>0.53671980793089757</v>
      </c>
      <c r="AB2803" t="str">
        <f>HYPERLINK("Melting_Curves/meltCurve_P61158_ACTR3.pdf", "Melting_Curves/meltCurve_P61158_ACTR3.pdf")</f>
        <v>Melting_Curves/meltCurve_P61158_ACTR3.pdf</v>
      </c>
    </row>
    <row r="2804" spans="1:28" x14ac:dyDescent="0.25">
      <c r="A2804" t="s">
        <v>2808</v>
      </c>
      <c r="B2804">
        <v>0.995954080203443</v>
      </c>
      <c r="C2804">
        <v>0.87306267418767702</v>
      </c>
      <c r="D2804">
        <v>0.753162539880321</v>
      </c>
      <c r="E2804">
        <v>0.81724576120888703</v>
      </c>
      <c r="F2804">
        <v>0.57632676562955398</v>
      </c>
      <c r="G2804">
        <v>0.37583497264488602</v>
      </c>
      <c r="H2804">
        <v>0.142370102534985</v>
      </c>
      <c r="I2804">
        <v>7.1379167891758605E-2</v>
      </c>
      <c r="J2804">
        <v>7.1159696655077306E-2</v>
      </c>
      <c r="K2804">
        <v>6.77935442616769E-2</v>
      </c>
      <c r="L2804">
        <v>661.34446600700403</v>
      </c>
      <c r="M2804">
        <v>12.258729906665099</v>
      </c>
      <c r="N2804">
        <v>53.948856619084999</v>
      </c>
      <c r="O2804">
        <v>52.573484013408297</v>
      </c>
      <c r="P2804">
        <v>-5.8306248392787703E-2</v>
      </c>
      <c r="Q2804">
        <v>0</v>
      </c>
      <c r="R2804">
        <v>0.96521771426220704</v>
      </c>
      <c r="S2804" t="s">
        <v>9610</v>
      </c>
      <c r="T2804" t="s">
        <v>13610</v>
      </c>
      <c r="U2804" t="s">
        <v>13610</v>
      </c>
      <c r="V2804" t="s">
        <v>13610</v>
      </c>
      <c r="W2804" t="s">
        <v>16361</v>
      </c>
      <c r="X2804">
        <v>19</v>
      </c>
      <c r="Y2804" t="s">
        <v>23011</v>
      </c>
      <c r="Z2804" t="s">
        <v>29659</v>
      </c>
      <c r="AA2804">
        <v>0.4906806889736392</v>
      </c>
      <c r="AB2804" t="str">
        <f>HYPERLINK("Melting_Curves/meltCurve_P61160_ACTR2.pdf", "Melting_Curves/meltCurve_P61160_ACTR2.pdf")</f>
        <v>Melting_Curves/meltCurve_P61160_ACTR2.pdf</v>
      </c>
    </row>
    <row r="2805" spans="1:28" x14ac:dyDescent="0.25">
      <c r="A2805" t="s">
        <v>2809</v>
      </c>
      <c r="B2805">
        <v>0.995954080203443</v>
      </c>
      <c r="C2805">
        <v>0.71564847437048196</v>
      </c>
      <c r="D2805">
        <v>0.52658503368610499</v>
      </c>
      <c r="E2805">
        <v>0.80369030516442796</v>
      </c>
      <c r="F2805">
        <v>0.38798938995742199</v>
      </c>
      <c r="G2805">
        <v>0.18629628241138699</v>
      </c>
      <c r="H2805">
        <v>7.9422214262312094E-2</v>
      </c>
      <c r="I2805">
        <v>5.3786692303389498E-2</v>
      </c>
      <c r="J2805">
        <v>6.2253968163795602E-2</v>
      </c>
      <c r="K2805">
        <v>5.1640326877145197E-2</v>
      </c>
      <c r="L2805">
        <v>483.341111763257</v>
      </c>
      <c r="M2805">
        <v>9.6260780296425708</v>
      </c>
      <c r="N2805">
        <v>50.2116404217102</v>
      </c>
      <c r="O2805">
        <v>48.188173004991199</v>
      </c>
      <c r="P2805">
        <v>-4.9968138069394902E-2</v>
      </c>
      <c r="Q2805">
        <v>0</v>
      </c>
      <c r="R2805">
        <v>0.86635127825667002</v>
      </c>
      <c r="S2805" t="s">
        <v>9611</v>
      </c>
      <c r="T2805" t="s">
        <v>13610</v>
      </c>
      <c r="U2805" t="s">
        <v>13610</v>
      </c>
      <c r="V2805" t="s">
        <v>13610</v>
      </c>
      <c r="W2805" t="s">
        <v>16362</v>
      </c>
      <c r="X2805">
        <v>18</v>
      </c>
      <c r="Y2805" t="s">
        <v>23012</v>
      </c>
      <c r="Z2805" t="s">
        <v>29660</v>
      </c>
      <c r="AA2805">
        <v>0.38711262953024722</v>
      </c>
      <c r="AB2805" t="str">
        <f>HYPERLINK("Melting_Curves/meltCurve_P61163_ACTR1A.pdf", "Melting_Curves/meltCurve_P61163_ACTR1A.pdf")</f>
        <v>Melting_Curves/meltCurve_P61163_ACTR1A.pdf</v>
      </c>
    </row>
    <row r="2806" spans="1:28" x14ac:dyDescent="0.25">
      <c r="A2806" t="s">
        <v>2810</v>
      </c>
      <c r="B2806">
        <v>0.995954080203443</v>
      </c>
      <c r="C2806">
        <v>0.82734759177295303</v>
      </c>
      <c r="D2806">
        <v>0.72626936616095905</v>
      </c>
      <c r="E2806">
        <v>0.87904319137518505</v>
      </c>
      <c r="F2806">
        <v>0.654778807416459</v>
      </c>
      <c r="G2806">
        <v>0.31094119898160699</v>
      </c>
      <c r="H2806">
        <v>9.6629379112421906E-2</v>
      </c>
      <c r="I2806">
        <v>5.9513180761912102E-2</v>
      </c>
      <c r="J2806">
        <v>5.9619848689918001E-2</v>
      </c>
      <c r="K2806">
        <v>5.7391747141110498E-2</v>
      </c>
      <c r="L2806">
        <v>835.94819718693805</v>
      </c>
      <c r="M2806">
        <v>15.3761773728056</v>
      </c>
      <c r="N2806">
        <v>54.366451314597803</v>
      </c>
      <c r="O2806">
        <v>53.471771253398202</v>
      </c>
      <c r="P2806">
        <v>-7.1895818412686205E-2</v>
      </c>
      <c r="Q2806">
        <v>0</v>
      </c>
      <c r="R2806">
        <v>0.93471277883180903</v>
      </c>
      <c r="S2806" t="s">
        <v>9612</v>
      </c>
      <c r="T2806" t="s">
        <v>13610</v>
      </c>
      <c r="U2806" t="s">
        <v>13610</v>
      </c>
      <c r="V2806" t="s">
        <v>13610</v>
      </c>
      <c r="W2806" t="s">
        <v>16363</v>
      </c>
      <c r="X2806">
        <v>25</v>
      </c>
      <c r="Y2806" t="s">
        <v>23013</v>
      </c>
      <c r="Z2806" t="s">
        <v>29661</v>
      </c>
      <c r="AA2806">
        <v>0.49839070336109093</v>
      </c>
      <c r="AB2806" t="str">
        <f>HYPERLINK("Melting_Curves/meltCurve_P61201_COPS2.pdf", "Melting_Curves/meltCurve_P61201_COPS2.pdf")</f>
        <v>Melting_Curves/meltCurve_P61201_COPS2.pdf</v>
      </c>
    </row>
    <row r="2807" spans="1:28" x14ac:dyDescent="0.25">
      <c r="A2807" t="s">
        <v>2811</v>
      </c>
      <c r="B2807">
        <v>0.995954080203443</v>
      </c>
      <c r="C2807">
        <v>0.70040946023459605</v>
      </c>
      <c r="D2807">
        <v>0.67864605331452399</v>
      </c>
      <c r="E2807">
        <v>0.84989030629623297</v>
      </c>
      <c r="F2807">
        <v>0.99386653166307004</v>
      </c>
      <c r="G2807">
        <v>0.666211819166177</v>
      </c>
      <c r="H2807">
        <v>0.51612857796538902</v>
      </c>
      <c r="I2807">
        <v>0.58226379290659103</v>
      </c>
      <c r="J2807">
        <v>0.59107303813274503</v>
      </c>
      <c r="K2807">
        <v>0.54824944153976696</v>
      </c>
      <c r="L2807">
        <v>183.33802396316</v>
      </c>
      <c r="M2807">
        <v>2.4380073446601598</v>
      </c>
      <c r="O2807">
        <v>50.048089453662399</v>
      </c>
      <c r="P2807">
        <v>-1.2844180579520499E-2</v>
      </c>
      <c r="Q2807">
        <v>0</v>
      </c>
      <c r="R2807">
        <v>0.47505244795796098</v>
      </c>
      <c r="S2807" t="s">
        <v>9613</v>
      </c>
      <c r="T2807" t="s">
        <v>13610</v>
      </c>
      <c r="U2807" t="s">
        <v>13610</v>
      </c>
      <c r="V2807" t="s">
        <v>13610</v>
      </c>
      <c r="W2807" t="s">
        <v>16364</v>
      </c>
      <c r="X2807">
        <v>3</v>
      </c>
      <c r="Y2807" t="s">
        <v>23014</v>
      </c>
      <c r="Z2807" t="s">
        <v>29662</v>
      </c>
      <c r="AA2807">
        <v>0.71406167443411406</v>
      </c>
      <c r="AB2807" t="str">
        <f>HYPERLINK("Melting_Curves/meltCurve_P61218_POLR2F.pdf", "Melting_Curves/meltCurve_P61218_POLR2F.pdf")</f>
        <v>Melting_Curves/meltCurve_P61218_POLR2F.pdf</v>
      </c>
    </row>
    <row r="2808" spans="1:28" x14ac:dyDescent="0.25">
      <c r="A2808" t="s">
        <v>2812</v>
      </c>
      <c r="B2808">
        <v>0.995954080203443</v>
      </c>
      <c r="C2808">
        <v>1.0542629384442199</v>
      </c>
      <c r="D2808">
        <v>1.0804200016113801</v>
      </c>
      <c r="E2808">
        <v>0.97874661579400102</v>
      </c>
      <c r="F2808">
        <v>0.87131720488034003</v>
      </c>
      <c r="G2808">
        <v>0.57580511476989105</v>
      </c>
      <c r="H2808">
        <v>0.17078552295190899</v>
      </c>
      <c r="I2808">
        <v>7.6239514454633506E-2</v>
      </c>
      <c r="J2808">
        <v>6.9333338562006602E-2</v>
      </c>
      <c r="K2808">
        <v>6.1620544061149203E-2</v>
      </c>
      <c r="L2808">
        <v>1577.87101157342</v>
      </c>
      <c r="M2808">
        <v>27.556436211113699</v>
      </c>
      <c r="N2808">
        <v>57.441795290843501</v>
      </c>
      <c r="O2808">
        <v>56.960630719420202</v>
      </c>
      <c r="P2808">
        <v>-0.115885572871154</v>
      </c>
      <c r="Q2808">
        <v>4.1842201596433599E-2</v>
      </c>
      <c r="R2808">
        <v>0.99327701584653405</v>
      </c>
      <c r="S2808" t="s">
        <v>9614</v>
      </c>
      <c r="T2808" t="s">
        <v>13610</v>
      </c>
      <c r="U2808" t="s">
        <v>13610</v>
      </c>
      <c r="V2808" t="s">
        <v>13610</v>
      </c>
      <c r="W2808" t="s">
        <v>16365</v>
      </c>
      <c r="X2808">
        <v>36</v>
      </c>
      <c r="Y2808" t="s">
        <v>21091</v>
      </c>
      <c r="Z2808" t="s">
        <v>29663</v>
      </c>
      <c r="AA2808">
        <v>0.60044030871039666</v>
      </c>
      <c r="AB2808" t="str">
        <f>HYPERLINK("Melting_Curves/meltCurve_P61221_ABCE1.pdf", "Melting_Curves/meltCurve_P61221_ABCE1.pdf")</f>
        <v>Melting_Curves/meltCurve_P61221_ABCE1.pdf</v>
      </c>
    </row>
    <row r="2809" spans="1:28" x14ac:dyDescent="0.25">
      <c r="A2809" t="s">
        <v>2813</v>
      </c>
      <c r="B2809">
        <v>0.995954080203443</v>
      </c>
      <c r="C2809">
        <v>1.0357603187091899</v>
      </c>
      <c r="D2809">
        <v>1.03157270754842</v>
      </c>
      <c r="E2809">
        <v>0.949830088293528</v>
      </c>
      <c r="F2809">
        <v>0.82325305313743102</v>
      </c>
      <c r="G2809">
        <v>0.463596794800615</v>
      </c>
      <c r="H2809">
        <v>0.213169007102919</v>
      </c>
      <c r="I2809">
        <v>0.13937008414308499</v>
      </c>
      <c r="J2809">
        <v>0.125697383237792</v>
      </c>
      <c r="K2809">
        <v>9.5338120452036906E-2</v>
      </c>
      <c r="L2809">
        <v>1352.03081505415</v>
      </c>
      <c r="M2809">
        <v>24.0979664181461</v>
      </c>
      <c r="N2809">
        <v>56.614847215071102</v>
      </c>
      <c r="O2809">
        <v>55.723514849629602</v>
      </c>
      <c r="P2809">
        <v>-9.7581000975510701E-2</v>
      </c>
      <c r="Q2809">
        <v>9.7438883328899495E-2</v>
      </c>
      <c r="R2809">
        <v>0.99816211918031195</v>
      </c>
      <c r="S2809" t="s">
        <v>9615</v>
      </c>
      <c r="T2809" t="s">
        <v>13610</v>
      </c>
      <c r="U2809" t="s">
        <v>13610</v>
      </c>
      <c r="V2809" t="s">
        <v>13610</v>
      </c>
      <c r="W2809" t="s">
        <v>16366</v>
      </c>
      <c r="X2809">
        <v>11</v>
      </c>
      <c r="Y2809" t="s">
        <v>23015</v>
      </c>
      <c r="Z2809" t="s">
        <v>29664</v>
      </c>
      <c r="AA2809">
        <v>0.59076582365351049</v>
      </c>
      <c r="AB2809" t="str">
        <f>HYPERLINK("Melting_Curves/meltCurve_P61224_RAP1B.pdf", "Melting_Curves/meltCurve_P61224_RAP1B.pdf")</f>
        <v>Melting_Curves/meltCurve_P61224_RAP1B.pdf</v>
      </c>
    </row>
    <row r="2810" spans="1:28" x14ac:dyDescent="0.25">
      <c r="A2810" t="s">
        <v>2814</v>
      </c>
      <c r="B2810">
        <v>0.995954080203443</v>
      </c>
      <c r="C2810">
        <v>0.92013512830989996</v>
      </c>
      <c r="D2810">
        <v>0.84152325900107905</v>
      </c>
      <c r="E2810">
        <v>0.85877540926734197</v>
      </c>
      <c r="F2810">
        <v>0.48814316876695701</v>
      </c>
      <c r="G2810">
        <v>0.24492171765704299</v>
      </c>
      <c r="H2810">
        <v>0.174209170030212</v>
      </c>
      <c r="I2810">
        <v>8.2893077526326006E-2</v>
      </c>
      <c r="J2810">
        <v>8.42654272782217E-2</v>
      </c>
      <c r="K2810">
        <v>9.5697334730516198E-2</v>
      </c>
      <c r="L2810">
        <v>1002.1634119886101</v>
      </c>
      <c r="M2810">
        <v>18.9500998406062</v>
      </c>
      <c r="N2810">
        <v>53.327153830407603</v>
      </c>
      <c r="O2810">
        <v>52.305975391214602</v>
      </c>
      <c r="P2810">
        <v>-8.3982848527314802E-2</v>
      </c>
      <c r="Q2810">
        <v>7.2801115223159601E-2</v>
      </c>
      <c r="R2810">
        <v>0.97907637666094705</v>
      </c>
      <c r="S2810" t="s">
        <v>9616</v>
      </c>
      <c r="T2810" t="s">
        <v>13610</v>
      </c>
      <c r="U2810" t="s">
        <v>13610</v>
      </c>
      <c r="V2810" t="s">
        <v>13610</v>
      </c>
      <c r="W2810" t="s">
        <v>16367</v>
      </c>
      <c r="X2810">
        <v>3</v>
      </c>
      <c r="Y2810" t="s">
        <v>23016</v>
      </c>
      <c r="Z2810" t="s">
        <v>29665</v>
      </c>
      <c r="AA2810">
        <v>0.4849963682189079</v>
      </c>
      <c r="AB2810" t="str">
        <f>HYPERLINK("Melting_Curves/meltCurve_P61225_RAP2B.pdf", "Melting_Curves/meltCurve_P61225_RAP2B.pdf")</f>
        <v>Melting_Curves/meltCurve_P61225_RAP2B.pdf</v>
      </c>
    </row>
    <row r="2811" spans="1:28" x14ac:dyDescent="0.25">
      <c r="A2811" t="s">
        <v>2815</v>
      </c>
      <c r="B2811">
        <v>0.995954080203443</v>
      </c>
      <c r="C2811">
        <v>0.87863849544023997</v>
      </c>
      <c r="D2811">
        <v>0.78880770448448501</v>
      </c>
      <c r="E2811">
        <v>0.72684342065344498</v>
      </c>
      <c r="F2811">
        <v>0.60093326235437305</v>
      </c>
      <c r="G2811">
        <v>0.40517994619179099</v>
      </c>
      <c r="H2811">
        <v>0.33605814693763297</v>
      </c>
      <c r="I2811">
        <v>0.39577739288985703</v>
      </c>
      <c r="J2811">
        <v>0.43194201610001498</v>
      </c>
      <c r="K2811">
        <v>0.41581516370620902</v>
      </c>
      <c r="L2811">
        <v>615.24875731604902</v>
      </c>
      <c r="M2811">
        <v>12.387617412335899</v>
      </c>
      <c r="N2811">
        <v>55.344759738190099</v>
      </c>
      <c r="O2811">
        <v>48.425369181214698</v>
      </c>
      <c r="P2811">
        <v>-4.0956061780200601E-2</v>
      </c>
      <c r="Q2811">
        <v>0.35971873419947298</v>
      </c>
      <c r="R2811">
        <v>0.95284538635182803</v>
      </c>
      <c r="S2811" t="s">
        <v>9617</v>
      </c>
      <c r="T2811" t="s">
        <v>13610</v>
      </c>
      <c r="U2811" t="s">
        <v>13610</v>
      </c>
      <c r="V2811" t="s">
        <v>13610</v>
      </c>
      <c r="W2811" t="s">
        <v>16368</v>
      </c>
      <c r="X2811">
        <v>4</v>
      </c>
      <c r="Y2811" t="s">
        <v>23017</v>
      </c>
      <c r="Z2811" t="s">
        <v>29666</v>
      </c>
      <c r="AA2811">
        <v>0.58749804614364687</v>
      </c>
      <c r="AB2811" t="str">
        <f>HYPERLINK("Melting_Curves/meltCurve_P61244_2_MAX.pdf", "Melting_Curves/meltCurve_P61244_2_MAX.pdf")</f>
        <v>Melting_Curves/meltCurve_P61244_2_MAX.pdf</v>
      </c>
    </row>
    <row r="2812" spans="1:28" x14ac:dyDescent="0.25">
      <c r="A2812" t="s">
        <v>2816</v>
      </c>
      <c r="B2812">
        <v>0.995954080203443</v>
      </c>
      <c r="C2812">
        <v>0.80019651682427995</v>
      </c>
      <c r="D2812">
        <v>0.62581108306650601</v>
      </c>
      <c r="E2812">
        <v>0.41613390233946002</v>
      </c>
      <c r="F2812">
        <v>0.29280669937432102</v>
      </c>
      <c r="G2812">
        <v>0.16631883764469499</v>
      </c>
      <c r="H2812">
        <v>0.10521972536199101</v>
      </c>
      <c r="I2812">
        <v>0.102647644959614</v>
      </c>
      <c r="J2812">
        <v>0.1191851919803</v>
      </c>
      <c r="K2812">
        <v>0.113216190240031</v>
      </c>
      <c r="L2812">
        <v>639.41700704785296</v>
      </c>
      <c r="M2812">
        <v>13.4399820908228</v>
      </c>
      <c r="N2812">
        <v>48.262316943716797</v>
      </c>
      <c r="O2812">
        <v>46.559505536188801</v>
      </c>
      <c r="P2812">
        <v>-6.5896292304249801E-2</v>
      </c>
      <c r="Q2812">
        <v>8.7015890864637097E-2</v>
      </c>
      <c r="R2812">
        <v>0.99247686742375096</v>
      </c>
      <c r="S2812" t="s">
        <v>9618</v>
      </c>
      <c r="T2812" t="s">
        <v>13610</v>
      </c>
      <c r="U2812" t="s">
        <v>13610</v>
      </c>
      <c r="V2812" t="s">
        <v>13610</v>
      </c>
      <c r="W2812" t="s">
        <v>16369</v>
      </c>
      <c r="X2812">
        <v>21</v>
      </c>
      <c r="Y2812" t="s">
        <v>23018</v>
      </c>
      <c r="Z2812" t="s">
        <v>29667</v>
      </c>
      <c r="AA2812">
        <v>0.34735375224494808</v>
      </c>
      <c r="AB2812" t="str">
        <f>HYPERLINK("Melting_Curves/meltCurve_P61247_RPS3A.pdf", "Melting_Curves/meltCurve_P61247_RPS3A.pdf")</f>
        <v>Melting_Curves/meltCurve_P61247_RPS3A.pdf</v>
      </c>
    </row>
    <row r="2813" spans="1:28" x14ac:dyDescent="0.25">
      <c r="A2813" t="s">
        <v>2817</v>
      </c>
      <c r="B2813">
        <v>0.995954080203443</v>
      </c>
      <c r="C2813">
        <v>0.84886401902430397</v>
      </c>
      <c r="D2813">
        <v>0.75979912253442905</v>
      </c>
      <c r="E2813">
        <v>0.51812860676264005</v>
      </c>
      <c r="F2813">
        <v>0.30332394706228899</v>
      </c>
      <c r="G2813">
        <v>0.174185101841135</v>
      </c>
      <c r="H2813">
        <v>0.123595324670719</v>
      </c>
      <c r="I2813">
        <v>0.13760248233979999</v>
      </c>
      <c r="J2813">
        <v>0.14765742773939999</v>
      </c>
      <c r="K2813">
        <v>0.14653998414774899</v>
      </c>
      <c r="L2813">
        <v>745.35020784162703</v>
      </c>
      <c r="M2813">
        <v>15.2541665392582</v>
      </c>
      <c r="N2813">
        <v>49.6930546662757</v>
      </c>
      <c r="O2813">
        <v>48.045418528828002</v>
      </c>
      <c r="P2813">
        <v>-7.0444895846783706E-2</v>
      </c>
      <c r="Q2813">
        <v>0.112574422402522</v>
      </c>
      <c r="R2813">
        <v>0.99192863458012803</v>
      </c>
      <c r="S2813" t="s">
        <v>9619</v>
      </c>
      <c r="T2813" t="s">
        <v>13610</v>
      </c>
      <c r="U2813" t="s">
        <v>13610</v>
      </c>
      <c r="V2813" t="s">
        <v>13610</v>
      </c>
      <c r="W2813" t="s">
        <v>16370</v>
      </c>
      <c r="X2813">
        <v>9</v>
      </c>
      <c r="Y2813" t="s">
        <v>23019</v>
      </c>
      <c r="Z2813" t="s">
        <v>29668</v>
      </c>
      <c r="AA2813">
        <v>0.39604629079446491</v>
      </c>
      <c r="AB2813" t="str">
        <f>HYPERLINK("Melting_Curves/meltCurve_P61254_RPL26.pdf", "Melting_Curves/meltCurve_P61254_RPL26.pdf")</f>
        <v>Melting_Curves/meltCurve_P61254_RPL26.pdf</v>
      </c>
    </row>
    <row r="2814" spans="1:28" x14ac:dyDescent="0.25">
      <c r="A2814" t="s">
        <v>2818</v>
      </c>
      <c r="B2814">
        <v>0.995954080203443</v>
      </c>
      <c r="C2814">
        <v>0.94895376808980403</v>
      </c>
      <c r="D2814">
        <v>0.92831027670675503</v>
      </c>
      <c r="E2814">
        <v>0.90496921647259099</v>
      </c>
      <c r="F2814">
        <v>0.74821248859761402</v>
      </c>
      <c r="G2814">
        <v>0.59725574158559902</v>
      </c>
      <c r="H2814">
        <v>0.44264043171144801</v>
      </c>
      <c r="I2814">
        <v>0.45076603560839201</v>
      </c>
      <c r="J2814">
        <v>0.49297697439006799</v>
      </c>
      <c r="K2814">
        <v>0.50666939175641501</v>
      </c>
      <c r="L2814">
        <v>1106.4433767316</v>
      </c>
      <c r="M2814">
        <v>20.7529164431167</v>
      </c>
      <c r="N2814">
        <v>60.956742433545799</v>
      </c>
      <c r="O2814">
        <v>52.827442480868903</v>
      </c>
      <c r="P2814">
        <v>-5.2748241899886902E-2</v>
      </c>
      <c r="Q2814">
        <v>0.462923420571066</v>
      </c>
      <c r="R2814">
        <v>0.97442354207955695</v>
      </c>
      <c r="S2814" t="s">
        <v>9620</v>
      </c>
      <c r="T2814" t="s">
        <v>13610</v>
      </c>
      <c r="U2814" t="s">
        <v>13610</v>
      </c>
      <c r="V2814" t="s">
        <v>13610</v>
      </c>
      <c r="W2814" t="s">
        <v>16371</v>
      </c>
      <c r="X2814">
        <v>21</v>
      </c>
      <c r="Y2814" t="s">
        <v>23020</v>
      </c>
      <c r="Z2814" t="s">
        <v>29669</v>
      </c>
      <c r="AA2814">
        <v>0.70821472387281204</v>
      </c>
      <c r="AB2814" t="str">
        <f>HYPERLINK("Melting_Curves/meltCurve_P61289_PSME3.pdf", "Melting_Curves/meltCurve_P61289_PSME3.pdf")</f>
        <v>Melting_Curves/meltCurve_P61289_PSME3.pdf</v>
      </c>
    </row>
    <row r="2815" spans="1:28" x14ac:dyDescent="0.25">
      <c r="A2815" t="s">
        <v>2819</v>
      </c>
      <c r="B2815">
        <v>0.995954080203443</v>
      </c>
      <c r="C2815">
        <v>1.01939338136498</v>
      </c>
      <c r="D2815">
        <v>0.99084593470904303</v>
      </c>
      <c r="E2815">
        <v>0.72521590088031196</v>
      </c>
      <c r="F2815">
        <v>0.25579013440961301</v>
      </c>
      <c r="G2815">
        <v>0.101783776787811</v>
      </c>
      <c r="H2815">
        <v>6.4988179392351006E-2</v>
      </c>
      <c r="I2815">
        <v>5.63697688779283E-2</v>
      </c>
      <c r="J2815">
        <v>6.0358694224055202E-2</v>
      </c>
      <c r="K2815">
        <v>5.00896162402708E-2</v>
      </c>
      <c r="L2815">
        <v>1933.12808122053</v>
      </c>
      <c r="M2815">
        <v>37.787868205325097</v>
      </c>
      <c r="N2815">
        <v>51.336066870320799</v>
      </c>
      <c r="O2815">
        <v>51.014736363251203</v>
      </c>
      <c r="P2815">
        <v>-0.17376974188823299</v>
      </c>
      <c r="Q2815">
        <v>6.1625395046671999E-2</v>
      </c>
      <c r="R2815">
        <v>0.99939111202740705</v>
      </c>
      <c r="S2815" t="s">
        <v>9621</v>
      </c>
      <c r="T2815" t="s">
        <v>13610</v>
      </c>
      <c r="U2815" t="s">
        <v>13610</v>
      </c>
      <c r="V2815" t="s">
        <v>13610</v>
      </c>
      <c r="W2815" t="s">
        <v>16372</v>
      </c>
      <c r="X2815">
        <v>10</v>
      </c>
      <c r="Y2815" t="s">
        <v>23021</v>
      </c>
      <c r="Z2815" t="s">
        <v>29670</v>
      </c>
      <c r="AA2815">
        <v>0.41433914748435458</v>
      </c>
      <c r="AB2815" t="str">
        <f>HYPERLINK("Melting_Curves/meltCurve_P61326_MAGOH.pdf", "Melting_Curves/meltCurve_P61326_MAGOH.pdf")</f>
        <v>Melting_Curves/meltCurve_P61326_MAGOH.pdf</v>
      </c>
    </row>
    <row r="2816" spans="1:28" x14ac:dyDescent="0.25">
      <c r="A2816" t="s">
        <v>2820</v>
      </c>
      <c r="B2816">
        <v>0.995954080203443</v>
      </c>
      <c r="C2816">
        <v>0.93554027654129901</v>
      </c>
      <c r="D2816">
        <v>0.84984932393093404</v>
      </c>
      <c r="E2816">
        <v>0.71051606895598196</v>
      </c>
      <c r="F2816">
        <v>0.23571794219147499</v>
      </c>
      <c r="G2816">
        <v>0.117209252946073</v>
      </c>
      <c r="H2816">
        <v>8.0604205090475403E-2</v>
      </c>
      <c r="I2816">
        <v>6.9536824778580406E-2</v>
      </c>
      <c r="J2816">
        <v>7.7408137941629707E-2</v>
      </c>
      <c r="K2816">
        <v>7.11580029139149E-2</v>
      </c>
      <c r="L2816">
        <v>1576.40068872797</v>
      </c>
      <c r="M2816">
        <v>30.9757058256649</v>
      </c>
      <c r="N2816">
        <v>51.143823263310502</v>
      </c>
      <c r="O2816">
        <v>50.680823703796499</v>
      </c>
      <c r="P2816">
        <v>-0.141972785786147</v>
      </c>
      <c r="Q2816">
        <v>7.0851710903097595E-2</v>
      </c>
      <c r="R2816">
        <v>0.98485905377018501</v>
      </c>
      <c r="S2816" t="s">
        <v>9622</v>
      </c>
      <c r="T2816" t="s">
        <v>13610</v>
      </c>
      <c r="U2816" t="s">
        <v>13610</v>
      </c>
      <c r="V2816" t="s">
        <v>13610</v>
      </c>
      <c r="W2816" t="s">
        <v>16373</v>
      </c>
      <c r="X2816">
        <v>5</v>
      </c>
      <c r="Y2816" t="s">
        <v>23022</v>
      </c>
      <c r="Z2816" t="s">
        <v>29671</v>
      </c>
      <c r="AA2816">
        <v>0.41364836723376652</v>
      </c>
      <c r="AB2816" t="str">
        <f>HYPERLINK("Melting_Curves/meltCurve_P61353_RPL27.pdf", "Melting_Curves/meltCurve_P61353_RPL27.pdf")</f>
        <v>Melting_Curves/meltCurve_P61353_RPL27.pdf</v>
      </c>
    </row>
    <row r="2817" spans="1:28" x14ac:dyDescent="0.25">
      <c r="A2817" t="s">
        <v>2821</v>
      </c>
      <c r="B2817">
        <v>0.995954080203443</v>
      </c>
      <c r="C2817">
        <v>0.96861079118944504</v>
      </c>
      <c r="D2817">
        <v>0.93174518283827201</v>
      </c>
      <c r="E2817">
        <v>0.81247260314593095</v>
      </c>
      <c r="F2817">
        <v>0.718106782496716</v>
      </c>
      <c r="G2817">
        <v>0.49176898635633198</v>
      </c>
      <c r="H2817">
        <v>0.470103541087104</v>
      </c>
      <c r="I2817">
        <v>0.519328983252763</v>
      </c>
      <c r="J2817">
        <v>0.98825729569971899</v>
      </c>
      <c r="K2817">
        <v>0.58648953662539505</v>
      </c>
      <c r="L2817">
        <v>1416.57502613817</v>
      </c>
      <c r="M2817">
        <v>28.376215645156702</v>
      </c>
      <c r="O2817">
        <v>49.675254227062098</v>
      </c>
      <c r="P2817">
        <v>-5.4811305075666401E-2</v>
      </c>
      <c r="Q2817">
        <v>0.61619359769072202</v>
      </c>
      <c r="R2817">
        <v>0.54949890485424202</v>
      </c>
      <c r="S2817" t="s">
        <v>9623</v>
      </c>
      <c r="T2817" t="s">
        <v>13610</v>
      </c>
      <c r="U2817" t="s">
        <v>13610</v>
      </c>
      <c r="V2817" t="s">
        <v>13610</v>
      </c>
      <c r="W2817" t="s">
        <v>16374</v>
      </c>
      <c r="X2817">
        <v>8</v>
      </c>
      <c r="Y2817" t="s">
        <v>23023</v>
      </c>
      <c r="Z2817" t="s">
        <v>29672</v>
      </c>
      <c r="AA2817">
        <v>0.7457747354258305</v>
      </c>
      <c r="AB2817" t="str">
        <f>HYPERLINK("Melting_Curves/meltCurve_P61457_PCBD1.pdf", "Melting_Curves/meltCurve_P61457_PCBD1.pdf")</f>
        <v>Melting_Curves/meltCurve_P61457_PCBD1.pdf</v>
      </c>
    </row>
    <row r="2818" spans="1:28" x14ac:dyDescent="0.25">
      <c r="A2818" t="s">
        <v>2822</v>
      </c>
      <c r="B2818">
        <v>0.995954080203443</v>
      </c>
      <c r="C2818">
        <v>1.00023792706373</v>
      </c>
      <c r="D2818">
        <v>1.11418771360001</v>
      </c>
      <c r="E2818">
        <v>0.88513873025836998</v>
      </c>
      <c r="F2818">
        <v>0.78527033432733495</v>
      </c>
      <c r="G2818">
        <v>0.348989602179058</v>
      </c>
      <c r="H2818">
        <v>0.17564178137452399</v>
      </c>
      <c r="I2818">
        <v>0.120831282334931</v>
      </c>
      <c r="J2818">
        <v>0.114233130316284</v>
      </c>
      <c r="K2818">
        <v>0.10194279042957299</v>
      </c>
      <c r="L2818">
        <v>1449.02611242535</v>
      </c>
      <c r="M2818">
        <v>26.3254055942663</v>
      </c>
      <c r="N2818">
        <v>55.526384692719198</v>
      </c>
      <c r="O2818">
        <v>54.728206181144202</v>
      </c>
      <c r="P2818">
        <v>-0.107938853749957</v>
      </c>
      <c r="Q2818">
        <v>0.10242824344712501</v>
      </c>
      <c r="R2818">
        <v>0.98889809545407104</v>
      </c>
      <c r="S2818" t="s">
        <v>9624</v>
      </c>
      <c r="T2818" t="s">
        <v>13610</v>
      </c>
      <c r="U2818" t="s">
        <v>13610</v>
      </c>
      <c r="V2818" t="s">
        <v>13610</v>
      </c>
      <c r="W2818" t="s">
        <v>16375</v>
      </c>
      <c r="X2818">
        <v>11</v>
      </c>
      <c r="Y2818" t="s">
        <v>23024</v>
      </c>
      <c r="Z2818" t="s">
        <v>29673</v>
      </c>
      <c r="AA2818">
        <v>0.56007393492867863</v>
      </c>
      <c r="AB2818" t="str">
        <f>HYPERLINK("Melting_Curves/meltCurve_P61586_RHOA.pdf", "Melting_Curves/meltCurve_P61586_RHOA.pdf")</f>
        <v>Melting_Curves/meltCurve_P61586_RHOA.pdf</v>
      </c>
    </row>
    <row r="2819" spans="1:28" x14ac:dyDescent="0.25">
      <c r="A2819" t="s">
        <v>2823</v>
      </c>
      <c r="B2819">
        <v>0.995954080203443</v>
      </c>
      <c r="C2819">
        <v>0.98001423888911998</v>
      </c>
      <c r="D2819">
        <v>0.86273171250362801</v>
      </c>
      <c r="E2819">
        <v>0.845861444594318</v>
      </c>
      <c r="F2819">
        <v>0.30469507494641701</v>
      </c>
      <c r="G2819">
        <v>0.152973007265333</v>
      </c>
      <c r="H2819">
        <v>9.6465787192906494E-2</v>
      </c>
      <c r="I2819">
        <v>9.0846154335460394E-2</v>
      </c>
      <c r="J2819">
        <v>7.6523516707526995E-2</v>
      </c>
      <c r="K2819">
        <v>8.5579392234724702E-2</v>
      </c>
      <c r="L2819">
        <v>2298.9712761410101</v>
      </c>
      <c r="M2819">
        <v>44.505373459549403</v>
      </c>
      <c r="N2819">
        <v>51.904501860748397</v>
      </c>
      <c r="O2819">
        <v>51.552071885245702</v>
      </c>
      <c r="P2819">
        <v>-0.19512177064196001</v>
      </c>
      <c r="Q2819">
        <v>9.5936787583517397E-2</v>
      </c>
      <c r="R2819">
        <v>0.98639503875640699</v>
      </c>
      <c r="S2819" t="s">
        <v>9625</v>
      </c>
      <c r="T2819" t="s">
        <v>13610</v>
      </c>
      <c r="U2819" t="s">
        <v>13610</v>
      </c>
      <c r="V2819" t="s">
        <v>13610</v>
      </c>
      <c r="W2819" t="s">
        <v>16376</v>
      </c>
      <c r="X2819">
        <v>5</v>
      </c>
      <c r="Y2819" t="s">
        <v>23025</v>
      </c>
      <c r="Z2819" t="s">
        <v>29674</v>
      </c>
      <c r="AA2819">
        <v>0.44979996780814518</v>
      </c>
      <c r="AB2819" t="str">
        <f>HYPERLINK("Melting_Curves/meltCurve_P61599_NAA20.pdf", "Melting_Curves/meltCurve_P61599_NAA20.pdf")</f>
        <v>Melting_Curves/meltCurve_P61599_NAA20.pdf</v>
      </c>
    </row>
    <row r="2820" spans="1:28" x14ac:dyDescent="0.25">
      <c r="A2820" t="s">
        <v>2824</v>
      </c>
      <c r="B2820">
        <v>0.995954080203443</v>
      </c>
      <c r="C2820">
        <v>1.1354247413106699</v>
      </c>
      <c r="D2820">
        <v>1.09715916427557</v>
      </c>
      <c r="E2820">
        <v>1.01175387907584</v>
      </c>
      <c r="F2820">
        <v>0.87284134041137396</v>
      </c>
      <c r="G2820">
        <v>0.56875311677954699</v>
      </c>
      <c r="H2820">
        <v>0.42804520514788702</v>
      </c>
      <c r="I2820">
        <v>0.338355362085209</v>
      </c>
      <c r="J2820">
        <v>0.35329627300755001</v>
      </c>
      <c r="K2820">
        <v>0.25343000323422898</v>
      </c>
      <c r="L2820">
        <v>1423.0978686845799</v>
      </c>
      <c r="M2820">
        <v>25.320211059352001</v>
      </c>
      <c r="N2820">
        <v>58.392706409425301</v>
      </c>
      <c r="O2820">
        <v>55.856966640872898</v>
      </c>
      <c r="P2820">
        <v>-7.8598752408440095E-2</v>
      </c>
      <c r="Q2820">
        <v>0.30644626007364401</v>
      </c>
      <c r="R2820">
        <v>0.96680346039882803</v>
      </c>
      <c r="S2820" t="s">
        <v>9626</v>
      </c>
      <c r="T2820" t="s">
        <v>13610</v>
      </c>
      <c r="U2820" t="s">
        <v>13610</v>
      </c>
      <c r="V2820" t="s">
        <v>13610</v>
      </c>
      <c r="W2820" t="s">
        <v>16377</v>
      </c>
      <c r="X2820">
        <v>7</v>
      </c>
      <c r="Y2820" t="s">
        <v>23026</v>
      </c>
      <c r="Z2820" t="s">
        <v>29675</v>
      </c>
      <c r="AA2820">
        <v>0.68727539279094141</v>
      </c>
      <c r="AB2820" t="str">
        <f>HYPERLINK("Melting_Curves/meltCurve_P61601_NCALD.pdf", "Melting_Curves/meltCurve_P61601_NCALD.pdf")</f>
        <v>Melting_Curves/meltCurve_P61601_NCALD.pdf</v>
      </c>
    </row>
    <row r="2821" spans="1:28" x14ac:dyDescent="0.25">
      <c r="A2821" t="s">
        <v>2825</v>
      </c>
      <c r="B2821">
        <v>0.995954080203443</v>
      </c>
      <c r="C2821">
        <v>1.02614477369227</v>
      </c>
      <c r="D2821">
        <v>1.0430544272451401</v>
      </c>
      <c r="E2821">
        <v>0.94419280269580297</v>
      </c>
      <c r="F2821">
        <v>0.87062256179043895</v>
      </c>
      <c r="G2821">
        <v>0.69075431604495097</v>
      </c>
      <c r="H2821">
        <v>0.64453914091662101</v>
      </c>
      <c r="I2821">
        <v>0.69515098494693095</v>
      </c>
      <c r="J2821">
        <v>0.94286117184762797</v>
      </c>
      <c r="K2821">
        <v>0.83223537816479498</v>
      </c>
      <c r="L2821">
        <v>2351.4234005888102</v>
      </c>
      <c r="M2821">
        <v>44.913400906757097</v>
      </c>
      <c r="O2821">
        <v>52.251115289623598</v>
      </c>
      <c r="P2821">
        <v>-5.1079895606921999E-2</v>
      </c>
      <c r="Q2821">
        <v>0.76229999698001705</v>
      </c>
      <c r="R2821">
        <v>0.66350274066321802</v>
      </c>
      <c r="S2821" t="s">
        <v>9627</v>
      </c>
      <c r="T2821" t="s">
        <v>13610</v>
      </c>
      <c r="U2821" t="s">
        <v>13610</v>
      </c>
      <c r="V2821" t="s">
        <v>13610</v>
      </c>
      <c r="W2821" t="s">
        <v>16378</v>
      </c>
      <c r="X2821">
        <v>12</v>
      </c>
      <c r="Y2821" t="s">
        <v>23027</v>
      </c>
      <c r="Z2821" t="s">
        <v>29676</v>
      </c>
      <c r="AA2821">
        <v>0.86087069187875165</v>
      </c>
      <c r="AB2821" t="str">
        <f>HYPERLINK("Melting_Curves/meltCurve_P61604_HSPE1.pdf", "Melting_Curves/meltCurve_P61604_HSPE1.pdf")</f>
        <v>Melting_Curves/meltCurve_P61604_HSPE1.pdf</v>
      </c>
    </row>
    <row r="2822" spans="1:28" x14ac:dyDescent="0.25">
      <c r="A2822" t="s">
        <v>2826</v>
      </c>
      <c r="B2822">
        <v>0.995954080203443</v>
      </c>
      <c r="C2822">
        <v>0.93730963360274699</v>
      </c>
      <c r="D2822">
        <v>0.78547578512657801</v>
      </c>
      <c r="E2822">
        <v>0.88128026667229398</v>
      </c>
      <c r="F2822">
        <v>0.34415824297966702</v>
      </c>
      <c r="G2822">
        <v>9.4853190846639401E-2</v>
      </c>
      <c r="H2822">
        <v>6.2140361048041097E-2</v>
      </c>
      <c r="I2822">
        <v>8.7031959978419102E-2</v>
      </c>
      <c r="J2822">
        <v>0.124409686629568</v>
      </c>
      <c r="K2822">
        <v>0.108155124494375</v>
      </c>
      <c r="L2822">
        <v>2441.1558444094298</v>
      </c>
      <c r="M2822">
        <v>47.008041543581903</v>
      </c>
      <c r="N2822">
        <v>52.157120847127203</v>
      </c>
      <c r="O2822">
        <v>51.836882282593699</v>
      </c>
      <c r="P2822">
        <v>-0.20577879749345299</v>
      </c>
      <c r="Q2822">
        <v>9.2332366340995106E-2</v>
      </c>
      <c r="R2822">
        <v>0.96508679098417505</v>
      </c>
      <c r="S2822" t="s">
        <v>9628</v>
      </c>
      <c r="T2822" t="s">
        <v>13610</v>
      </c>
      <c r="U2822" t="s">
        <v>13610</v>
      </c>
      <c r="V2822" t="s">
        <v>13610</v>
      </c>
      <c r="W2822" t="s">
        <v>16379</v>
      </c>
      <c r="X2822">
        <v>2</v>
      </c>
      <c r="Y2822" t="s">
        <v>23028</v>
      </c>
      <c r="Z2822" t="s">
        <v>29677</v>
      </c>
      <c r="AA2822">
        <v>0.45565339413811751</v>
      </c>
      <c r="AB2822" t="str">
        <f>HYPERLINK("Melting_Curves/meltCurve_P61619_SEC61A1.pdf", "Melting_Curves/meltCurve_P61619_SEC61A1.pdf")</f>
        <v>Melting_Curves/meltCurve_P61619_SEC61A1.pdf</v>
      </c>
    </row>
    <row r="2823" spans="1:28" x14ac:dyDescent="0.25">
      <c r="A2823" t="s">
        <v>2827</v>
      </c>
      <c r="B2823">
        <v>0.995954080203443</v>
      </c>
      <c r="C2823">
        <v>0.99337094724477304</v>
      </c>
      <c r="D2823">
        <v>0.86774165632334699</v>
      </c>
      <c r="E2823">
        <v>0.77834730508369199</v>
      </c>
      <c r="F2823">
        <v>0.56266728498725005</v>
      </c>
      <c r="G2823">
        <v>0.487819405439051</v>
      </c>
      <c r="H2823">
        <v>0.35187955271417298</v>
      </c>
      <c r="I2823">
        <v>0.21109539453105799</v>
      </c>
      <c r="J2823">
        <v>0.16964603800632899</v>
      </c>
      <c r="K2823">
        <v>0.16257833444847899</v>
      </c>
      <c r="L2823">
        <v>553.65951329054303</v>
      </c>
      <c r="M2823">
        <v>10.0118530930239</v>
      </c>
      <c r="N2823">
        <v>55.843687880439198</v>
      </c>
      <c r="O2823">
        <v>53.229995906928501</v>
      </c>
      <c r="P2823">
        <v>-4.4861368920469602E-2</v>
      </c>
      <c r="Q2823">
        <v>4.6404375000508799E-2</v>
      </c>
      <c r="R2823">
        <v>0.98899040529030302</v>
      </c>
      <c r="S2823" t="s">
        <v>9629</v>
      </c>
      <c r="T2823" t="s">
        <v>13610</v>
      </c>
      <c r="U2823" t="s">
        <v>13610</v>
      </c>
      <c r="V2823" t="s">
        <v>13610</v>
      </c>
      <c r="W2823" t="s">
        <v>16380</v>
      </c>
      <c r="X2823">
        <v>17</v>
      </c>
      <c r="Y2823" t="s">
        <v>23029</v>
      </c>
      <c r="Z2823" t="s">
        <v>29678</v>
      </c>
      <c r="AA2823">
        <v>0.55609403940691571</v>
      </c>
      <c r="AB2823" t="str">
        <f>HYPERLINK("Melting_Curves/meltCurve_P61758_VBP1.pdf", "Melting_Curves/meltCurve_P61758_VBP1.pdf")</f>
        <v>Melting_Curves/meltCurve_P61758_VBP1.pdf</v>
      </c>
    </row>
    <row r="2824" spans="1:28" x14ac:dyDescent="0.25">
      <c r="A2824" t="s">
        <v>2828</v>
      </c>
      <c r="B2824">
        <v>0.995954080203443</v>
      </c>
      <c r="C2824">
        <v>0.98589189291979296</v>
      </c>
      <c r="D2824">
        <v>0.87974355444691998</v>
      </c>
      <c r="E2824">
        <v>0.35555410901888201</v>
      </c>
      <c r="F2824">
        <v>0.181372906072058</v>
      </c>
      <c r="G2824">
        <v>0.11795189072812701</v>
      </c>
      <c r="H2824">
        <v>7.8831701558288794E-2</v>
      </c>
      <c r="I2824">
        <v>9.0197444118446102E-2</v>
      </c>
      <c r="J2824">
        <v>9.3252499581845297E-2</v>
      </c>
      <c r="K2824">
        <v>9.3404975733377804E-2</v>
      </c>
      <c r="L2824">
        <v>1514.5596270062899</v>
      </c>
      <c r="M2824">
        <v>31.130772204516798</v>
      </c>
      <c r="N2824">
        <v>48.982387484373398</v>
      </c>
      <c r="O2824">
        <v>48.452094385667301</v>
      </c>
      <c r="P2824">
        <v>-0.145396642446253</v>
      </c>
      <c r="Q2824">
        <v>9.4820793855966895E-2</v>
      </c>
      <c r="R2824">
        <v>0.99915457539643204</v>
      </c>
      <c r="S2824" t="s">
        <v>9630</v>
      </c>
      <c r="T2824" t="s">
        <v>13610</v>
      </c>
      <c r="U2824" t="s">
        <v>13610</v>
      </c>
      <c r="V2824" t="s">
        <v>13610</v>
      </c>
      <c r="W2824" t="s">
        <v>16381</v>
      </c>
      <c r="X2824">
        <v>11</v>
      </c>
      <c r="Y2824" t="s">
        <v>23030</v>
      </c>
      <c r="Z2824" t="s">
        <v>29679</v>
      </c>
      <c r="AA2824">
        <v>0.36094483981172998</v>
      </c>
      <c r="AB2824" t="str">
        <f>HYPERLINK("Melting_Curves/meltCurve_P61764_STXBP1.pdf", "Melting_Curves/meltCurve_P61764_STXBP1.pdf")</f>
        <v>Melting_Curves/meltCurve_P61764_STXBP1.pdf</v>
      </c>
    </row>
    <row r="2825" spans="1:28" x14ac:dyDescent="0.25">
      <c r="A2825" t="s">
        <v>2829</v>
      </c>
      <c r="B2825">
        <v>0.995954080203443</v>
      </c>
      <c r="C2825">
        <v>0.92473223712406005</v>
      </c>
      <c r="D2825">
        <v>0.80441360195064604</v>
      </c>
      <c r="E2825">
        <v>0.822311493002293</v>
      </c>
      <c r="F2825">
        <v>0.61057584406322996</v>
      </c>
      <c r="G2825">
        <v>0.51741319991569401</v>
      </c>
      <c r="H2825">
        <v>0.29755938036455898</v>
      </c>
      <c r="I2825">
        <v>8.0617566391306406E-2</v>
      </c>
      <c r="J2825">
        <v>5.3139334799891601E-2</v>
      </c>
      <c r="K2825">
        <v>4.6040171788596602E-2</v>
      </c>
      <c r="L2825">
        <v>665.48085837191297</v>
      </c>
      <c r="M2825">
        <v>11.9877854492293</v>
      </c>
      <c r="N2825">
        <v>55.513233098497103</v>
      </c>
      <c r="O2825">
        <v>54.0361230284012</v>
      </c>
      <c r="P2825">
        <v>-5.5475328659841297E-2</v>
      </c>
      <c r="Q2825">
        <v>0</v>
      </c>
      <c r="R2825">
        <v>0.96697095297440705</v>
      </c>
      <c r="S2825" t="s">
        <v>9631</v>
      </c>
      <c r="T2825" t="s">
        <v>13610</v>
      </c>
      <c r="U2825" t="s">
        <v>13610</v>
      </c>
      <c r="V2825" t="s">
        <v>13610</v>
      </c>
      <c r="W2825" t="s">
        <v>16382</v>
      </c>
      <c r="X2825">
        <v>6</v>
      </c>
      <c r="Y2825" t="s">
        <v>23031</v>
      </c>
      <c r="Z2825" t="s">
        <v>29680</v>
      </c>
      <c r="AA2825">
        <v>0.53905308934787577</v>
      </c>
      <c r="AB2825" t="str">
        <f>HYPERLINK("Melting_Curves/meltCurve_P61923_COPZ1.pdf", "Melting_Curves/meltCurve_P61923_COPZ1.pdf")</f>
        <v>Melting_Curves/meltCurve_P61923_COPZ1.pdf</v>
      </c>
    </row>
    <row r="2826" spans="1:28" x14ac:dyDescent="0.25">
      <c r="A2826" t="s">
        <v>2830</v>
      </c>
      <c r="B2826">
        <v>0.995954080203443</v>
      </c>
      <c r="C2826">
        <v>0.96913438578713096</v>
      </c>
      <c r="D2826">
        <v>1.11228494033105</v>
      </c>
      <c r="E2826">
        <v>0.96952470204175201</v>
      </c>
      <c r="F2826">
        <v>1.1528524793200501</v>
      </c>
      <c r="G2826">
        <v>0.942263943751116</v>
      </c>
      <c r="H2826">
        <v>1.0342677241039699</v>
      </c>
      <c r="I2826">
        <v>1.2726047430489</v>
      </c>
      <c r="J2826">
        <v>1.58503122340096</v>
      </c>
      <c r="K2826">
        <v>1.4809053834499799</v>
      </c>
      <c r="L2826">
        <v>15000</v>
      </c>
      <c r="M2826">
        <v>234.55641026720301</v>
      </c>
      <c r="O2826">
        <v>63.945871398692397</v>
      </c>
      <c r="P2826">
        <v>0.45850591193840401</v>
      </c>
      <c r="Q2826">
        <v>1.5</v>
      </c>
      <c r="R2826">
        <v>0.89153890438775696</v>
      </c>
      <c r="S2826" t="s">
        <v>9632</v>
      </c>
      <c r="T2826" t="s">
        <v>13610</v>
      </c>
      <c r="U2826" t="s">
        <v>13610</v>
      </c>
      <c r="V2826" t="s">
        <v>13610</v>
      </c>
      <c r="W2826" t="s">
        <v>16383</v>
      </c>
      <c r="X2826">
        <v>3</v>
      </c>
      <c r="Y2826" t="s">
        <v>23032</v>
      </c>
      <c r="Z2826" t="s">
        <v>29681</v>
      </c>
      <c r="AA2826">
        <v>1.100761228933772</v>
      </c>
      <c r="AB2826" t="str">
        <f>HYPERLINK("Melting_Curves/meltCurve_P61956_2_SUMO2.pdf", "Melting_Curves/meltCurve_P61956_2_SUMO2.pdf")</f>
        <v>Melting_Curves/meltCurve_P61956_2_SUMO2.pdf</v>
      </c>
    </row>
    <row r="2827" spans="1:28" x14ac:dyDescent="0.25">
      <c r="A2827" t="s">
        <v>2831</v>
      </c>
      <c r="B2827">
        <v>0.995954080203443</v>
      </c>
      <c r="C2827">
        <v>1.0641689010873501</v>
      </c>
      <c r="D2827">
        <v>1.0756400511375801</v>
      </c>
      <c r="E2827">
        <v>0.94786119339998098</v>
      </c>
      <c r="F2827">
        <v>0.83401622512756701</v>
      </c>
      <c r="G2827">
        <v>0.65717720345062802</v>
      </c>
      <c r="H2827">
        <v>0.47307847029328898</v>
      </c>
      <c r="I2827">
        <v>0.40082119182735099</v>
      </c>
      <c r="J2827">
        <v>0.28853737523603701</v>
      </c>
      <c r="K2827">
        <v>0.28349547701202299</v>
      </c>
      <c r="L2827">
        <v>931.32383127050105</v>
      </c>
      <c r="M2827">
        <v>16.111158770948101</v>
      </c>
      <c r="N2827">
        <v>60.243041297870697</v>
      </c>
      <c r="O2827">
        <v>56.937558141480601</v>
      </c>
      <c r="P2827">
        <v>-5.3807559944558797E-2</v>
      </c>
      <c r="Q2827">
        <v>0.239424726842558</v>
      </c>
      <c r="R2827">
        <v>0.98455757521138199</v>
      </c>
      <c r="S2827" t="s">
        <v>9633</v>
      </c>
      <c r="T2827" t="s">
        <v>13610</v>
      </c>
      <c r="U2827" t="s">
        <v>13610</v>
      </c>
      <c r="V2827" t="s">
        <v>13610</v>
      </c>
      <c r="W2827" t="s">
        <v>16384</v>
      </c>
      <c r="X2827">
        <v>4</v>
      </c>
      <c r="Y2827" t="s">
        <v>23033</v>
      </c>
      <c r="Z2827" t="s">
        <v>29682</v>
      </c>
      <c r="AA2827">
        <v>0.70117520972933522</v>
      </c>
      <c r="AB2827" t="str">
        <f>HYPERLINK("Melting_Curves/meltCurve_P61960_UFM1.pdf", "Melting_Curves/meltCurve_P61960_UFM1.pdf")</f>
        <v>Melting_Curves/meltCurve_P61960_UFM1.pdf</v>
      </c>
    </row>
    <row r="2828" spans="1:28" x14ac:dyDescent="0.25">
      <c r="A2828" t="s">
        <v>2832</v>
      </c>
      <c r="B2828">
        <v>0.995954080203443</v>
      </c>
      <c r="C2828">
        <v>0.895365166083262</v>
      </c>
      <c r="D2828">
        <v>0.82261908374983095</v>
      </c>
      <c r="E2828">
        <v>0.63578319692685703</v>
      </c>
      <c r="F2828">
        <v>0.37924358780753098</v>
      </c>
      <c r="G2828">
        <v>0.170011838387153</v>
      </c>
      <c r="H2828">
        <v>8.1378307947656506E-2</v>
      </c>
      <c r="I2828">
        <v>6.5801157587425399E-2</v>
      </c>
      <c r="J2828">
        <v>6.6897960935005801E-2</v>
      </c>
      <c r="K2828">
        <v>5.4920775628363103E-2</v>
      </c>
      <c r="L2828">
        <v>759.19109345507002</v>
      </c>
      <c r="M2828">
        <v>14.8532837527188</v>
      </c>
      <c r="N2828">
        <v>51.264463061222202</v>
      </c>
      <c r="O2828">
        <v>50.2130104533517</v>
      </c>
      <c r="P2828">
        <v>-7.2368052842480907E-2</v>
      </c>
      <c r="Q2828">
        <v>2.1512596781198799E-2</v>
      </c>
      <c r="R2828">
        <v>0.99489922638581696</v>
      </c>
      <c r="S2828" t="s">
        <v>9634</v>
      </c>
      <c r="T2828" t="s">
        <v>13610</v>
      </c>
      <c r="U2828" t="s">
        <v>13610</v>
      </c>
      <c r="V2828" t="s">
        <v>13610</v>
      </c>
      <c r="W2828" t="s">
        <v>16385</v>
      </c>
      <c r="X2828">
        <v>10</v>
      </c>
      <c r="Y2828" t="s">
        <v>23034</v>
      </c>
      <c r="Z2828" t="s">
        <v>29683</v>
      </c>
      <c r="AA2828">
        <v>0.40685867383425711</v>
      </c>
      <c r="AB2828" t="str">
        <f>HYPERLINK("Melting_Curves/meltCurve_P61962_DCAF7.pdf", "Melting_Curves/meltCurve_P61962_DCAF7.pdf")</f>
        <v>Melting_Curves/meltCurve_P61962_DCAF7.pdf</v>
      </c>
    </row>
    <row r="2829" spans="1:28" x14ac:dyDescent="0.25">
      <c r="A2829" t="s">
        <v>2833</v>
      </c>
      <c r="B2829">
        <v>0.995954080203443</v>
      </c>
      <c r="C2829">
        <v>0.87295722702310696</v>
      </c>
      <c r="D2829">
        <v>0.76677395570101103</v>
      </c>
      <c r="E2829">
        <v>0.70830403167390898</v>
      </c>
      <c r="F2829">
        <v>0.56740542324487298</v>
      </c>
      <c r="G2829">
        <v>0.42295619615269098</v>
      </c>
      <c r="H2829">
        <v>0.325917486224296</v>
      </c>
      <c r="I2829">
        <v>0.30186723975271701</v>
      </c>
      <c r="J2829">
        <v>0.26051043808466001</v>
      </c>
      <c r="K2829">
        <v>0.16587476783062699</v>
      </c>
      <c r="L2829">
        <v>415.49472865504299</v>
      </c>
      <c r="M2829">
        <v>7.6641012069044896</v>
      </c>
      <c r="N2829">
        <v>55.046064577744097</v>
      </c>
      <c r="O2829">
        <v>50.892190888670299</v>
      </c>
      <c r="P2829">
        <v>-3.56346407743897E-2</v>
      </c>
      <c r="Q2829">
        <v>5.4750579538103097E-2</v>
      </c>
      <c r="R2829">
        <v>0.98802633451579502</v>
      </c>
      <c r="S2829" t="s">
        <v>9635</v>
      </c>
      <c r="T2829" t="s">
        <v>13610</v>
      </c>
      <c r="U2829" t="s">
        <v>13610</v>
      </c>
      <c r="V2829" t="s">
        <v>13610</v>
      </c>
      <c r="W2829" t="s">
        <v>16386</v>
      </c>
      <c r="X2829">
        <v>11</v>
      </c>
      <c r="Y2829" t="s">
        <v>23035</v>
      </c>
      <c r="Z2829" t="s">
        <v>29684</v>
      </c>
      <c r="AA2829">
        <v>0.5338861321609204</v>
      </c>
      <c r="AB2829" t="str">
        <f>HYPERLINK("Melting_Curves/meltCurve_P61964_WDR5.pdf", "Melting_Curves/meltCurve_P61964_WDR5.pdf")</f>
        <v>Melting_Curves/meltCurve_P61964_WDR5.pdf</v>
      </c>
    </row>
    <row r="2830" spans="1:28" x14ac:dyDescent="0.25">
      <c r="A2830" t="s">
        <v>2834</v>
      </c>
      <c r="B2830">
        <v>0.995954080203443</v>
      </c>
      <c r="C2830">
        <v>0.91357934502184801</v>
      </c>
      <c r="D2830">
        <v>0.76389360463690603</v>
      </c>
      <c r="E2830">
        <v>0.73892025020090901</v>
      </c>
      <c r="F2830">
        <v>0.367319109549815</v>
      </c>
      <c r="G2830">
        <v>0.216786753042707</v>
      </c>
      <c r="H2830">
        <v>0.108036745496345</v>
      </c>
      <c r="I2830">
        <v>8.0021963799514498E-2</v>
      </c>
      <c r="J2830">
        <v>0.101966578341373</v>
      </c>
      <c r="K2830">
        <v>8.2818028308123001E-2</v>
      </c>
      <c r="L2830">
        <v>731.67773247998002</v>
      </c>
      <c r="M2830">
        <v>14.228103591544</v>
      </c>
      <c r="N2830">
        <v>51.731088013788302</v>
      </c>
      <c r="O2830">
        <v>50.440961473397998</v>
      </c>
      <c r="P2830">
        <v>-6.7678606526872603E-2</v>
      </c>
      <c r="Q2830">
        <v>4.03921644295894E-2</v>
      </c>
      <c r="R2830">
        <v>0.97734785864213602</v>
      </c>
      <c r="S2830" t="s">
        <v>9636</v>
      </c>
      <c r="T2830" t="s">
        <v>13610</v>
      </c>
      <c r="U2830" t="s">
        <v>13610</v>
      </c>
      <c r="V2830" t="s">
        <v>13610</v>
      </c>
      <c r="W2830" t="s">
        <v>16387</v>
      </c>
      <c r="X2830">
        <v>4</v>
      </c>
      <c r="Y2830" t="s">
        <v>23036</v>
      </c>
      <c r="Z2830" t="s">
        <v>29685</v>
      </c>
      <c r="AA2830">
        <v>0.42960778148324502</v>
      </c>
      <c r="AB2830" t="str">
        <f>HYPERLINK("Melting_Curves/meltCurve_P61966_AP1S1.pdf", "Melting_Curves/meltCurve_P61966_AP1S1.pdf")</f>
        <v>Melting_Curves/meltCurve_P61966_AP1S1.pdf</v>
      </c>
    </row>
    <row r="2831" spans="1:28" x14ac:dyDescent="0.25">
      <c r="A2831" t="s">
        <v>2835</v>
      </c>
      <c r="B2831">
        <v>0.995954080203443</v>
      </c>
      <c r="C2831">
        <v>0.99813026492335499</v>
      </c>
      <c r="D2831">
        <v>0.93039596532242597</v>
      </c>
      <c r="E2831">
        <v>0.88114613726783697</v>
      </c>
      <c r="F2831">
        <v>0.77123869342323703</v>
      </c>
      <c r="G2831">
        <v>0.58379357638908702</v>
      </c>
      <c r="H2831">
        <v>0.44015269836343301</v>
      </c>
      <c r="I2831">
        <v>0.392107318028805</v>
      </c>
      <c r="J2831">
        <v>0.32087788846864501</v>
      </c>
      <c r="K2831">
        <v>0.17015298388616601</v>
      </c>
      <c r="L2831">
        <v>549.56819909069998</v>
      </c>
      <c r="M2831">
        <v>9.1802786186558603</v>
      </c>
      <c r="N2831">
        <v>59.929230144737197</v>
      </c>
      <c r="O2831">
        <v>57.228825647094602</v>
      </c>
      <c r="P2831">
        <v>-3.9930904118109498E-2</v>
      </c>
      <c r="Q2831">
        <v>4.97154409548796E-3</v>
      </c>
      <c r="R2831">
        <v>0.99116257557496101</v>
      </c>
      <c r="S2831" t="s">
        <v>9637</v>
      </c>
      <c r="T2831" t="s">
        <v>13610</v>
      </c>
      <c r="U2831" t="s">
        <v>13610</v>
      </c>
      <c r="V2831" t="s">
        <v>13610</v>
      </c>
      <c r="W2831" t="s">
        <v>16388</v>
      </c>
      <c r="X2831">
        <v>6</v>
      </c>
      <c r="Y2831" t="s">
        <v>23037</v>
      </c>
      <c r="Z2831" t="s">
        <v>29686</v>
      </c>
      <c r="AA2831">
        <v>0.65717263791474034</v>
      </c>
      <c r="AB2831" t="str">
        <f>HYPERLINK("Melting_Curves/meltCurve_P61970_NUTF2.pdf", "Melting_Curves/meltCurve_P61970_NUTF2.pdf")</f>
        <v>Melting_Curves/meltCurve_P61970_NUTF2.pdf</v>
      </c>
    </row>
    <row r="2832" spans="1:28" x14ac:dyDescent="0.25">
      <c r="A2832" t="s">
        <v>2836</v>
      </c>
      <c r="B2832">
        <v>0.995954080203443</v>
      </c>
      <c r="C2832">
        <v>0.96758378943215895</v>
      </c>
      <c r="D2832">
        <v>1.1250875768273001</v>
      </c>
      <c r="E2832">
        <v>0.91980863472234098</v>
      </c>
      <c r="F2832">
        <v>0.77033465940883095</v>
      </c>
      <c r="G2832">
        <v>0.461013337801297</v>
      </c>
      <c r="H2832">
        <v>0.34092956251651402</v>
      </c>
      <c r="I2832">
        <v>0.33342707052988002</v>
      </c>
      <c r="J2832">
        <v>0.42623281314363498</v>
      </c>
      <c r="K2832">
        <v>0.38369854212614102</v>
      </c>
      <c r="L2832">
        <v>1773.82301421788</v>
      </c>
      <c r="M2832">
        <v>32.966311456335198</v>
      </c>
      <c r="N2832">
        <v>56.0811609177035</v>
      </c>
      <c r="O2832">
        <v>53.610306473808798</v>
      </c>
      <c r="P2832">
        <v>-9.70586678281046E-2</v>
      </c>
      <c r="Q2832">
        <v>0.368649830963512</v>
      </c>
      <c r="R2832">
        <v>0.97160168624355103</v>
      </c>
      <c r="S2832" t="s">
        <v>9638</v>
      </c>
      <c r="T2832" t="s">
        <v>13610</v>
      </c>
      <c r="U2832" t="s">
        <v>13610</v>
      </c>
      <c r="V2832" t="s">
        <v>13610</v>
      </c>
      <c r="W2832" t="s">
        <v>16389</v>
      </c>
      <c r="X2832">
        <v>28</v>
      </c>
      <c r="Y2832" t="s">
        <v>23038</v>
      </c>
      <c r="Z2832" t="s">
        <v>29687</v>
      </c>
      <c r="AA2832">
        <v>0.6626633278203542</v>
      </c>
      <c r="AB2832" t="str">
        <f>HYPERLINK("Melting_Curves/meltCurve_P61978_3_HNRNPK.pdf", "Melting_Curves/meltCurve_P61978_3_HNRNPK.pdf")</f>
        <v>Melting_Curves/meltCurve_P61978_3_HNRNPK.pdf</v>
      </c>
    </row>
    <row r="2833" spans="1:28" x14ac:dyDescent="0.25">
      <c r="A2833" t="s">
        <v>2837</v>
      </c>
      <c r="B2833">
        <v>0.995954080203443</v>
      </c>
      <c r="C2833">
        <v>0.94974142978137299</v>
      </c>
      <c r="D2833">
        <v>1.0026513818042599</v>
      </c>
      <c r="E2833">
        <v>0.93936057791048</v>
      </c>
      <c r="F2833">
        <v>0.94902770603832398</v>
      </c>
      <c r="G2833">
        <v>0.63525530649207496</v>
      </c>
      <c r="H2833">
        <v>0.29256069722507799</v>
      </c>
      <c r="I2833">
        <v>0.17183272819352799</v>
      </c>
      <c r="J2833">
        <v>0.11639221419174001</v>
      </c>
      <c r="K2833">
        <v>8.9756250959599895E-2</v>
      </c>
      <c r="L2833">
        <v>1450.00844557088</v>
      </c>
      <c r="M2833">
        <v>24.989130102354899</v>
      </c>
      <c r="N2833">
        <v>58.453808893866999</v>
      </c>
      <c r="O2833">
        <v>57.657800704149601</v>
      </c>
      <c r="P2833">
        <v>-9.9288847109982106E-2</v>
      </c>
      <c r="Q2833">
        <v>8.3649669906251001E-2</v>
      </c>
      <c r="R2833">
        <v>0.99626211767967798</v>
      </c>
      <c r="S2833" t="s">
        <v>9639</v>
      </c>
      <c r="T2833" t="s">
        <v>13610</v>
      </c>
      <c r="U2833" t="s">
        <v>13610</v>
      </c>
      <c r="V2833" t="s">
        <v>13610</v>
      </c>
      <c r="W2833" t="s">
        <v>16390</v>
      </c>
      <c r="X2833">
        <v>24</v>
      </c>
      <c r="Y2833" t="s">
        <v>23039</v>
      </c>
      <c r="Z2833" t="s">
        <v>29688</v>
      </c>
      <c r="AA2833">
        <v>0.64220689728298275</v>
      </c>
      <c r="AB2833" t="str">
        <f>HYPERLINK("Melting_Curves/meltCurve_P61981_YWHAG.pdf", "Melting_Curves/meltCurve_P61981_YWHAG.pdf")</f>
        <v>Melting_Curves/meltCurve_P61981_YWHAG.pdf</v>
      </c>
    </row>
    <row r="2834" spans="1:28" x14ac:dyDescent="0.25">
      <c r="A2834" t="s">
        <v>2838</v>
      </c>
      <c r="B2834">
        <v>0.995954080203443</v>
      </c>
      <c r="C2834">
        <v>0.948847282769825</v>
      </c>
      <c r="D2834">
        <v>1.0674619851553699</v>
      </c>
      <c r="E2834">
        <v>0.70991231804960397</v>
      </c>
      <c r="F2834">
        <v>0.43124105780267002</v>
      </c>
      <c r="G2834">
        <v>0.17621526112625999</v>
      </c>
      <c r="H2834">
        <v>9.7091525915341897E-2</v>
      </c>
      <c r="I2834">
        <v>8.91806384291568E-2</v>
      </c>
      <c r="J2834">
        <v>0.101560076090065</v>
      </c>
      <c r="K2834">
        <v>9.1581470366370904E-2</v>
      </c>
      <c r="L2834">
        <v>1363.4282813606301</v>
      </c>
      <c r="M2834">
        <v>26.318476243084302</v>
      </c>
      <c r="N2834">
        <v>52.205366532732199</v>
      </c>
      <c r="O2834">
        <v>51.508652789570597</v>
      </c>
      <c r="P2834">
        <v>-0.116065456010922</v>
      </c>
      <c r="Q2834">
        <v>9.1389404537603303E-2</v>
      </c>
      <c r="R2834">
        <v>0.99106662258912803</v>
      </c>
      <c r="S2834" t="s">
        <v>9640</v>
      </c>
      <c r="T2834" t="s">
        <v>13610</v>
      </c>
      <c r="U2834" t="s">
        <v>13610</v>
      </c>
      <c r="V2834" t="s">
        <v>13610</v>
      </c>
      <c r="W2834" t="s">
        <v>16391</v>
      </c>
      <c r="X2834">
        <v>7</v>
      </c>
      <c r="Y2834" t="s">
        <v>23040</v>
      </c>
      <c r="Z2834" t="s">
        <v>29689</v>
      </c>
      <c r="AA2834">
        <v>0.45641905696866308</v>
      </c>
      <c r="AB2834" t="str">
        <f>HYPERLINK("Melting_Curves/meltCurve_P62070_RRAS2.pdf", "Melting_Curves/meltCurve_P62070_RRAS2.pdf")</f>
        <v>Melting_Curves/meltCurve_P62070_RRAS2.pdf</v>
      </c>
    </row>
    <row r="2835" spans="1:28" x14ac:dyDescent="0.25">
      <c r="A2835" t="s">
        <v>2839</v>
      </c>
      <c r="B2835">
        <v>0.995954080203443</v>
      </c>
      <c r="C2835">
        <v>0.96013060189394395</v>
      </c>
      <c r="D2835">
        <v>0.91385243093332202</v>
      </c>
      <c r="E2835">
        <v>0.84787332946834104</v>
      </c>
      <c r="F2835">
        <v>0.76344775275878296</v>
      </c>
      <c r="G2835">
        <v>0.56843589372760905</v>
      </c>
      <c r="H2835">
        <v>0.54166143153426904</v>
      </c>
      <c r="I2835">
        <v>0.62964725827062396</v>
      </c>
      <c r="J2835">
        <v>0.79294404210845504</v>
      </c>
      <c r="K2835">
        <v>0.71416624139356699</v>
      </c>
      <c r="L2835">
        <v>1149.1133736849599</v>
      </c>
      <c r="M2835">
        <v>23.0026579470759</v>
      </c>
      <c r="O2835">
        <v>49.582719507827598</v>
      </c>
      <c r="P2835">
        <v>-4.0326205170486698E-2</v>
      </c>
      <c r="Q2835">
        <v>0.65231053112347903</v>
      </c>
      <c r="R2835">
        <v>0.7700242263282</v>
      </c>
      <c r="S2835" t="s">
        <v>9641</v>
      </c>
      <c r="T2835" t="s">
        <v>13610</v>
      </c>
      <c r="U2835" t="s">
        <v>13610</v>
      </c>
      <c r="V2835" t="s">
        <v>13610</v>
      </c>
      <c r="W2835" t="s">
        <v>16392</v>
      </c>
      <c r="X2835">
        <v>7</v>
      </c>
      <c r="Y2835" t="s">
        <v>23041</v>
      </c>
      <c r="Z2835" t="s">
        <v>29690</v>
      </c>
      <c r="AA2835">
        <v>0.77136421113615627</v>
      </c>
      <c r="AB2835" t="str">
        <f>HYPERLINK("Melting_Curves/meltCurve_P62072_TIMM10.pdf", "Melting_Curves/meltCurve_P62072_TIMM10.pdf")</f>
        <v>Melting_Curves/meltCurve_P62072_TIMM10.pdf</v>
      </c>
    </row>
    <row r="2836" spans="1:28" x14ac:dyDescent="0.25">
      <c r="A2836" t="s">
        <v>2840</v>
      </c>
      <c r="B2836">
        <v>0.995954080203443</v>
      </c>
      <c r="C2836">
        <v>0.79105938624139704</v>
      </c>
      <c r="D2836">
        <v>0.51906562577962201</v>
      </c>
      <c r="E2836">
        <v>0.31901495619926801</v>
      </c>
      <c r="F2836">
        <v>0.211623464601497</v>
      </c>
      <c r="G2836">
        <v>0.119639703581104</v>
      </c>
      <c r="H2836">
        <v>7.4636117646447897E-2</v>
      </c>
      <c r="I2836">
        <v>7.3104036515300105E-2</v>
      </c>
      <c r="J2836">
        <v>6.4360049811063899E-2</v>
      </c>
      <c r="K2836">
        <v>7.9909070433099499E-2</v>
      </c>
      <c r="L2836">
        <v>727.22058739821603</v>
      </c>
      <c r="M2836">
        <v>15.6844745319998</v>
      </c>
      <c r="N2836">
        <v>46.809555148765803</v>
      </c>
      <c r="O2836">
        <v>45.631542115200197</v>
      </c>
      <c r="P2836">
        <v>-7.9998545727131595E-2</v>
      </c>
      <c r="Q2836">
        <v>6.9105587462149995E-2</v>
      </c>
      <c r="R2836">
        <v>0.99177768256863696</v>
      </c>
      <c r="S2836" t="s">
        <v>9642</v>
      </c>
      <c r="T2836" t="s">
        <v>13610</v>
      </c>
      <c r="U2836" t="s">
        <v>13610</v>
      </c>
      <c r="V2836" t="s">
        <v>13610</v>
      </c>
      <c r="W2836" t="s">
        <v>16393</v>
      </c>
      <c r="X2836">
        <v>9</v>
      </c>
      <c r="Y2836" t="s">
        <v>23042</v>
      </c>
      <c r="Z2836" t="s">
        <v>29691</v>
      </c>
      <c r="AA2836">
        <v>0.29066979264295317</v>
      </c>
      <c r="AB2836" t="str">
        <f>HYPERLINK("Melting_Curves/meltCurve_P62081_RPS7.pdf", "Melting_Curves/meltCurve_P62081_RPS7.pdf")</f>
        <v>Melting_Curves/meltCurve_P62081_RPS7.pdf</v>
      </c>
    </row>
    <row r="2837" spans="1:28" x14ac:dyDescent="0.25">
      <c r="A2837" t="s">
        <v>2841</v>
      </c>
      <c r="B2837">
        <v>0.995954080203443</v>
      </c>
      <c r="C2837">
        <v>0.91383237179814802</v>
      </c>
      <c r="D2837">
        <v>0.70644182208481798</v>
      </c>
      <c r="E2837">
        <v>0.63563270263273697</v>
      </c>
      <c r="F2837">
        <v>0.39907690131844398</v>
      </c>
      <c r="G2837">
        <v>0.214058081195281</v>
      </c>
      <c r="H2837">
        <v>0.103880857673128</v>
      </c>
      <c r="I2837">
        <v>6.7564674642832098E-2</v>
      </c>
      <c r="J2837">
        <v>6.57647880299808E-2</v>
      </c>
      <c r="K2837">
        <v>5.7004658964322601E-2</v>
      </c>
      <c r="L2837">
        <v>603.45996244310504</v>
      </c>
      <c r="M2837">
        <v>11.8031690829042</v>
      </c>
      <c r="N2837">
        <v>51.126943840570398</v>
      </c>
      <c r="O2837">
        <v>49.725581448586802</v>
      </c>
      <c r="P2837">
        <v>-5.9356788871047401E-2</v>
      </c>
      <c r="Q2837">
        <v>0</v>
      </c>
      <c r="R2837">
        <v>0.98846611659471095</v>
      </c>
      <c r="S2837" t="s">
        <v>9643</v>
      </c>
      <c r="T2837" t="s">
        <v>13610</v>
      </c>
      <c r="U2837" t="s">
        <v>13610</v>
      </c>
      <c r="V2837" t="s">
        <v>13610</v>
      </c>
      <c r="W2837" t="s">
        <v>16394</v>
      </c>
      <c r="X2837">
        <v>21</v>
      </c>
      <c r="Y2837" t="s">
        <v>23043</v>
      </c>
      <c r="Z2837" t="s">
        <v>29692</v>
      </c>
      <c r="AA2837">
        <v>0.40402085051059061</v>
      </c>
      <c r="AB2837" t="str">
        <f>HYPERLINK("Melting_Curves/meltCurve_P62136_PPP1CA.pdf", "Melting_Curves/meltCurve_P62136_PPP1CA.pdf")</f>
        <v>Melting_Curves/meltCurve_P62136_PPP1CA.pdf</v>
      </c>
    </row>
    <row r="2838" spans="1:28" x14ac:dyDescent="0.25">
      <c r="A2838" t="s">
        <v>2842</v>
      </c>
      <c r="B2838">
        <v>0.995954080203443</v>
      </c>
      <c r="C2838">
        <v>0.88797357878860395</v>
      </c>
      <c r="D2838">
        <v>0.788662835286567</v>
      </c>
      <c r="E2838">
        <v>0.586674763845628</v>
      </c>
      <c r="F2838">
        <v>0.40237120784475899</v>
      </c>
      <c r="G2838">
        <v>0.215644888135092</v>
      </c>
      <c r="H2838">
        <v>0.12871756767618101</v>
      </c>
      <c r="I2838">
        <v>0.111582186505197</v>
      </c>
      <c r="J2838">
        <v>0.11035765093703501</v>
      </c>
      <c r="K2838">
        <v>0.11304915148106399</v>
      </c>
      <c r="L2838">
        <v>672.96463520093698</v>
      </c>
      <c r="M2838">
        <v>13.328406857003101</v>
      </c>
      <c r="N2838">
        <v>51.044978044927703</v>
      </c>
      <c r="O2838">
        <v>49.395037071368002</v>
      </c>
      <c r="P2838">
        <v>-6.2925907869658002E-2</v>
      </c>
      <c r="Q2838">
        <v>6.7336958401456107E-2</v>
      </c>
      <c r="R2838">
        <v>0.99649157871100802</v>
      </c>
      <c r="S2838" t="s">
        <v>9644</v>
      </c>
      <c r="T2838" t="s">
        <v>13610</v>
      </c>
      <c r="U2838" t="s">
        <v>13610</v>
      </c>
      <c r="V2838" t="s">
        <v>13610</v>
      </c>
      <c r="W2838" t="s">
        <v>16395</v>
      </c>
      <c r="X2838">
        <v>17</v>
      </c>
      <c r="Y2838" t="s">
        <v>23044</v>
      </c>
      <c r="Z2838" t="s">
        <v>29693</v>
      </c>
      <c r="AA2838">
        <v>0.42013358773414611</v>
      </c>
      <c r="AB2838" t="str">
        <f>HYPERLINK("Melting_Curves/meltCurve_P62140_PPP1CB.pdf", "Melting_Curves/meltCurve_P62140_PPP1CB.pdf")</f>
        <v>Melting_Curves/meltCurve_P62140_PPP1CB.pdf</v>
      </c>
    </row>
    <row r="2839" spans="1:28" x14ac:dyDescent="0.25">
      <c r="A2839" t="s">
        <v>2843</v>
      </c>
      <c r="B2839">
        <v>0.995954080203443</v>
      </c>
      <c r="C2839">
        <v>0.98907414461370402</v>
      </c>
      <c r="D2839">
        <v>1.0557492155057699</v>
      </c>
      <c r="E2839">
        <v>0.97455893445520303</v>
      </c>
      <c r="F2839">
        <v>1.0695981701314099</v>
      </c>
      <c r="G2839">
        <v>0.84428826383722999</v>
      </c>
      <c r="H2839">
        <v>0.910908209462159</v>
      </c>
      <c r="I2839">
        <v>1.0037239587661899</v>
      </c>
      <c r="J2839">
        <v>1.53833712634793</v>
      </c>
      <c r="K2839">
        <v>1.2162459377538699</v>
      </c>
      <c r="L2839">
        <v>15000</v>
      </c>
      <c r="M2839">
        <v>230.77465229934299</v>
      </c>
      <c r="O2839">
        <v>64.993591724810301</v>
      </c>
      <c r="P2839">
        <v>0.33493764819921101</v>
      </c>
      <c r="Q2839">
        <v>1.3773170145972999</v>
      </c>
      <c r="R2839">
        <v>0.72796064657160198</v>
      </c>
      <c r="S2839" t="s">
        <v>9645</v>
      </c>
      <c r="T2839" t="s">
        <v>13610</v>
      </c>
      <c r="U2839" t="s">
        <v>13610</v>
      </c>
      <c r="V2839" t="s">
        <v>13610</v>
      </c>
      <c r="W2839" t="s">
        <v>16396</v>
      </c>
      <c r="X2839">
        <v>13</v>
      </c>
      <c r="Y2839" t="s">
        <v>23045</v>
      </c>
      <c r="Z2839" t="s">
        <v>29694</v>
      </c>
      <c r="AA2839">
        <v>1.0628548621638261</v>
      </c>
      <c r="AB2839" t="str">
        <f>HYPERLINK("Melting_Curves/meltCurve_P62158_CALM1.pdf", "Melting_Curves/meltCurve_P62158_CALM1.pdf")</f>
        <v>Melting_Curves/meltCurve_P62158_CALM1.pdf</v>
      </c>
    </row>
    <row r="2840" spans="1:28" x14ac:dyDescent="0.25">
      <c r="A2840" t="s">
        <v>2844</v>
      </c>
      <c r="B2840">
        <v>0.995954080203443</v>
      </c>
      <c r="C2840">
        <v>0.85617388083857504</v>
      </c>
      <c r="D2840">
        <v>0.64074657982772298</v>
      </c>
      <c r="E2840">
        <v>0.52162167206515397</v>
      </c>
      <c r="F2840">
        <v>0.37973739814486202</v>
      </c>
      <c r="G2840">
        <v>0.24989322043503701</v>
      </c>
      <c r="H2840">
        <v>0.174955370226516</v>
      </c>
      <c r="I2840">
        <v>0.17653633276345701</v>
      </c>
      <c r="J2840">
        <v>0.20211230437333599</v>
      </c>
      <c r="K2840">
        <v>0.178103893505832</v>
      </c>
      <c r="L2840">
        <v>605.48419120215794</v>
      </c>
      <c r="M2840">
        <v>12.5545267855586</v>
      </c>
      <c r="N2840">
        <v>49.671773437574899</v>
      </c>
      <c r="O2840">
        <v>47.053782726504899</v>
      </c>
      <c r="P2840">
        <v>-5.65195826584289E-2</v>
      </c>
      <c r="Q2840">
        <v>0.152840319059035</v>
      </c>
      <c r="R2840">
        <v>0.98705863131458704</v>
      </c>
      <c r="S2840" t="s">
        <v>9646</v>
      </c>
      <c r="T2840" t="s">
        <v>13610</v>
      </c>
      <c r="U2840" t="s">
        <v>13610</v>
      </c>
      <c r="V2840" t="s">
        <v>13610</v>
      </c>
      <c r="W2840" t="s">
        <v>16397</v>
      </c>
      <c r="X2840">
        <v>5</v>
      </c>
      <c r="Y2840" t="s">
        <v>23046</v>
      </c>
      <c r="Z2840" t="s">
        <v>29695</v>
      </c>
      <c r="AA2840">
        <v>0.41534696305471402</v>
      </c>
      <c r="AB2840" t="str">
        <f>HYPERLINK("Melting_Curves/meltCurve_P62166_NCS1.pdf", "Melting_Curves/meltCurve_P62166_NCS1.pdf")</f>
        <v>Melting_Curves/meltCurve_P62166_NCS1.pdf</v>
      </c>
    </row>
    <row r="2841" spans="1:28" x14ac:dyDescent="0.25">
      <c r="A2841" t="s">
        <v>2845</v>
      </c>
      <c r="B2841">
        <v>0.995954080203443</v>
      </c>
      <c r="C2841">
        <v>0.66460849070083505</v>
      </c>
      <c r="D2841">
        <v>0.42352078945726102</v>
      </c>
      <c r="E2841">
        <v>0.45233089615160199</v>
      </c>
      <c r="F2841">
        <v>0.17602936395445801</v>
      </c>
      <c r="G2841">
        <v>9.2887755075161504E-2</v>
      </c>
      <c r="H2841">
        <v>5.0985331531858802E-2</v>
      </c>
      <c r="I2841">
        <v>3.8537173284432201E-2</v>
      </c>
      <c r="J2841">
        <v>4.23313248648403E-2</v>
      </c>
      <c r="K2841">
        <v>4.0163628500167102E-2</v>
      </c>
      <c r="L2841">
        <v>542.43341996029699</v>
      </c>
      <c r="M2841">
        <v>11.693152841095401</v>
      </c>
      <c r="N2841">
        <v>46.484734374613403</v>
      </c>
      <c r="O2841">
        <v>45.094518711506097</v>
      </c>
      <c r="P2841">
        <v>-6.4071517408572407E-2</v>
      </c>
      <c r="Q2841">
        <v>1.18983169615618E-2</v>
      </c>
      <c r="R2841">
        <v>0.94537121363005705</v>
      </c>
      <c r="S2841" t="s">
        <v>9647</v>
      </c>
      <c r="T2841" t="s">
        <v>13610</v>
      </c>
      <c r="U2841" t="s">
        <v>13610</v>
      </c>
      <c r="V2841" t="s">
        <v>13610</v>
      </c>
      <c r="W2841" t="s">
        <v>16398</v>
      </c>
      <c r="X2841">
        <v>29</v>
      </c>
      <c r="Y2841" t="s">
        <v>23047</v>
      </c>
      <c r="Z2841" t="s">
        <v>29696</v>
      </c>
      <c r="AA2841">
        <v>0.26796630494386697</v>
      </c>
      <c r="AB2841" t="str">
        <f>HYPERLINK("Melting_Curves/meltCurve_P62191_PSMC1.pdf", "Melting_Curves/meltCurve_P62191_PSMC1.pdf")</f>
        <v>Melting_Curves/meltCurve_P62191_PSMC1.pdf</v>
      </c>
    </row>
    <row r="2842" spans="1:28" x14ac:dyDescent="0.25">
      <c r="A2842" t="s">
        <v>2846</v>
      </c>
      <c r="B2842">
        <v>0.995954080203443</v>
      </c>
      <c r="C2842">
        <v>0.62160017702015602</v>
      </c>
      <c r="D2842">
        <v>0.37476270628228497</v>
      </c>
      <c r="E2842">
        <v>0.49184417480242798</v>
      </c>
      <c r="F2842">
        <v>0.19580291019979101</v>
      </c>
      <c r="G2842">
        <v>0.101018208405021</v>
      </c>
      <c r="H2842">
        <v>5.96383096609489E-2</v>
      </c>
      <c r="I2842">
        <v>5.0676311641952902E-2</v>
      </c>
      <c r="J2842">
        <v>5.68877581178669E-2</v>
      </c>
      <c r="K2842">
        <v>4.8685296838438898E-2</v>
      </c>
      <c r="L2842">
        <v>505.24474989738098</v>
      </c>
      <c r="M2842">
        <v>10.9633979544514</v>
      </c>
      <c r="N2842">
        <v>46.258671718968003</v>
      </c>
      <c r="O2842">
        <v>44.631034314374801</v>
      </c>
      <c r="P2842">
        <v>-6.0191572696456599E-2</v>
      </c>
      <c r="Q2842">
        <v>2.0196836936637701E-2</v>
      </c>
      <c r="R2842">
        <v>0.91039771697243299</v>
      </c>
      <c r="S2842" t="s">
        <v>9648</v>
      </c>
      <c r="T2842" t="s">
        <v>13610</v>
      </c>
      <c r="U2842" t="s">
        <v>13610</v>
      </c>
      <c r="V2842" t="s">
        <v>13610</v>
      </c>
      <c r="W2842" t="s">
        <v>16399</v>
      </c>
      <c r="X2842">
        <v>28</v>
      </c>
      <c r="Y2842" t="s">
        <v>23048</v>
      </c>
      <c r="Z2842" t="s">
        <v>29697</v>
      </c>
      <c r="AA2842">
        <v>0.27101950623108478</v>
      </c>
      <c r="AB2842" t="str">
        <f>HYPERLINK("Melting_Curves/meltCurve_P62195_2_PSMC5.pdf", "Melting_Curves/meltCurve_P62195_2_PSMC5.pdf")</f>
        <v>Melting_Curves/meltCurve_P62195_2_PSMC5.pdf</v>
      </c>
    </row>
    <row r="2843" spans="1:28" x14ac:dyDescent="0.25">
      <c r="A2843" t="s">
        <v>2847</v>
      </c>
      <c r="B2843">
        <v>0.995954080203443</v>
      </c>
      <c r="C2843">
        <v>0.86381462945464205</v>
      </c>
      <c r="D2843">
        <v>0.75398501030300802</v>
      </c>
      <c r="E2843">
        <v>0.66706466523126295</v>
      </c>
      <c r="F2843">
        <v>0.41535214991143699</v>
      </c>
      <c r="G2843">
        <v>0.21856424736865199</v>
      </c>
      <c r="H2843">
        <v>0.101768231991301</v>
      </c>
      <c r="I2843">
        <v>7.7516314307832596E-2</v>
      </c>
      <c r="J2843">
        <v>8.8803272355105906E-2</v>
      </c>
      <c r="K2843">
        <v>7.5689383760910001E-2</v>
      </c>
      <c r="L2843">
        <v>605.06169650127299</v>
      </c>
      <c r="M2843">
        <v>11.758505123512</v>
      </c>
      <c r="N2843">
        <v>51.494319923719203</v>
      </c>
      <c r="O2843">
        <v>50.036695532623497</v>
      </c>
      <c r="P2843">
        <v>-5.8517835422835299E-2</v>
      </c>
      <c r="Q2843">
        <v>4.2014305977829004E-3</v>
      </c>
      <c r="R2843">
        <v>0.98655681104860704</v>
      </c>
      <c r="S2843" t="s">
        <v>9649</v>
      </c>
      <c r="T2843" t="s">
        <v>13610</v>
      </c>
      <c r="U2843" t="s">
        <v>13610</v>
      </c>
      <c r="V2843" t="s">
        <v>13610</v>
      </c>
      <c r="W2843" t="s">
        <v>16400</v>
      </c>
      <c r="X2843">
        <v>13</v>
      </c>
      <c r="Y2843" t="s">
        <v>23049</v>
      </c>
      <c r="Z2843" t="s">
        <v>29698</v>
      </c>
      <c r="AA2843">
        <v>0.416960407642742</v>
      </c>
      <c r="AB2843" t="str">
        <f>HYPERLINK("Melting_Curves/meltCurve_P62241_RPS8.pdf", "Melting_Curves/meltCurve_P62241_RPS8.pdf")</f>
        <v>Melting_Curves/meltCurve_P62241_RPS8.pdf</v>
      </c>
    </row>
    <row r="2844" spans="1:28" x14ac:dyDescent="0.25">
      <c r="A2844" t="s">
        <v>2848</v>
      </c>
      <c r="B2844">
        <v>0.995954080203443</v>
      </c>
      <c r="C2844">
        <v>0.73953002420519098</v>
      </c>
      <c r="D2844">
        <v>0.43869512029008201</v>
      </c>
      <c r="E2844">
        <v>0.436720340626359</v>
      </c>
      <c r="F2844">
        <v>0.27486935197861101</v>
      </c>
      <c r="G2844">
        <v>0.127863276872237</v>
      </c>
      <c r="H2844">
        <v>7.7008364202918803E-2</v>
      </c>
      <c r="I2844">
        <v>7.7777908019971698E-2</v>
      </c>
      <c r="J2844">
        <v>0.100010818885096</v>
      </c>
      <c r="K2844">
        <v>9.7442652229056806E-2</v>
      </c>
      <c r="L2844">
        <v>575.69322242014402</v>
      </c>
      <c r="M2844">
        <v>12.399299029666601</v>
      </c>
      <c r="N2844">
        <v>46.989005665840203</v>
      </c>
      <c r="O2844">
        <v>45.271403426531201</v>
      </c>
      <c r="P2844">
        <v>-6.3786340224276997E-2</v>
      </c>
      <c r="Q2844">
        <v>6.8629665471725596E-2</v>
      </c>
      <c r="R2844">
        <v>0.95553063923770398</v>
      </c>
      <c r="S2844" t="s">
        <v>9650</v>
      </c>
      <c r="T2844" t="s">
        <v>13610</v>
      </c>
      <c r="U2844" t="s">
        <v>13610</v>
      </c>
      <c r="V2844" t="s">
        <v>13610</v>
      </c>
      <c r="W2844" t="s">
        <v>16401</v>
      </c>
      <c r="X2844">
        <v>8</v>
      </c>
      <c r="Y2844" t="s">
        <v>23050</v>
      </c>
      <c r="Z2844" t="s">
        <v>29699</v>
      </c>
      <c r="AA2844">
        <v>0.30668892714886742</v>
      </c>
      <c r="AB2844" t="str">
        <f>HYPERLINK("Melting_Curves/meltCurve_P62249_RPS16.pdf", "Melting_Curves/meltCurve_P62249_RPS16.pdf")</f>
        <v>Melting_Curves/meltCurve_P62249_RPS16.pdf</v>
      </c>
    </row>
    <row r="2845" spans="1:28" x14ac:dyDescent="0.25">
      <c r="A2845" t="s">
        <v>2849</v>
      </c>
      <c r="B2845">
        <v>0.995954080203443</v>
      </c>
      <c r="C2845">
        <v>1.0472930528849</v>
      </c>
      <c r="D2845">
        <v>1.13551466655894</v>
      </c>
      <c r="E2845">
        <v>1.0033932582874701</v>
      </c>
      <c r="F2845">
        <v>0.90436250768944604</v>
      </c>
      <c r="G2845">
        <v>0.52847302385066197</v>
      </c>
      <c r="H2845">
        <v>0.187317879764478</v>
      </c>
      <c r="I2845">
        <v>0.103038391177787</v>
      </c>
      <c r="J2845">
        <v>0.106536310877722</v>
      </c>
      <c r="K2845">
        <v>8.6079341294150999E-2</v>
      </c>
      <c r="L2845">
        <v>1767.3208787288399</v>
      </c>
      <c r="M2845">
        <v>31.080482275172901</v>
      </c>
      <c r="N2845">
        <v>57.212492394061798</v>
      </c>
      <c r="O2845">
        <v>56.628879525866601</v>
      </c>
      <c r="P2845">
        <v>-0.12533972660745499</v>
      </c>
      <c r="Q2845">
        <v>8.6525371433307005E-2</v>
      </c>
      <c r="R2845">
        <v>0.98828490361051502</v>
      </c>
      <c r="S2845" t="s">
        <v>9651</v>
      </c>
      <c r="T2845" t="s">
        <v>13610</v>
      </c>
      <c r="U2845" t="s">
        <v>13610</v>
      </c>
      <c r="V2845" t="s">
        <v>13610</v>
      </c>
      <c r="W2845" t="s">
        <v>16402</v>
      </c>
      <c r="X2845">
        <v>6</v>
      </c>
      <c r="Y2845" t="s">
        <v>23051</v>
      </c>
      <c r="Z2845" t="s">
        <v>29700</v>
      </c>
      <c r="AA2845">
        <v>0.60569571710783821</v>
      </c>
      <c r="AB2845" t="str">
        <f>HYPERLINK("Melting_Curves/meltCurve_P62253_UBE2G1.pdf", "Melting_Curves/meltCurve_P62253_UBE2G1.pdf")</f>
        <v>Melting_Curves/meltCurve_P62253_UBE2G1.pdf</v>
      </c>
    </row>
    <row r="2846" spans="1:28" x14ac:dyDescent="0.25">
      <c r="A2846" t="s">
        <v>2850</v>
      </c>
      <c r="B2846">
        <v>0.995954080203443</v>
      </c>
      <c r="C2846">
        <v>0.96082472100128002</v>
      </c>
      <c r="D2846">
        <v>1.0068787830160699</v>
      </c>
      <c r="E2846">
        <v>0.91843163098667302</v>
      </c>
      <c r="F2846">
        <v>0.80650019710946697</v>
      </c>
      <c r="G2846">
        <v>0.38901033158896398</v>
      </c>
      <c r="H2846">
        <v>0.14631697022220799</v>
      </c>
      <c r="I2846">
        <v>9.3905558961258601E-2</v>
      </c>
      <c r="J2846">
        <v>9.3304125063032706E-2</v>
      </c>
      <c r="K2846">
        <v>8.3424683880574793E-2</v>
      </c>
      <c r="L2846">
        <v>1447.70063798411</v>
      </c>
      <c r="M2846">
        <v>26.064930877824199</v>
      </c>
      <c r="N2846">
        <v>55.883376472196097</v>
      </c>
      <c r="O2846">
        <v>55.218243300220699</v>
      </c>
      <c r="P2846">
        <v>-0.109326854545178</v>
      </c>
      <c r="Q2846">
        <v>7.3580037309388294E-2</v>
      </c>
      <c r="R2846">
        <v>0.99803539271779995</v>
      </c>
      <c r="S2846" t="s">
        <v>9652</v>
      </c>
      <c r="T2846" t="s">
        <v>13610</v>
      </c>
      <c r="U2846" t="s">
        <v>13610</v>
      </c>
      <c r="V2846" t="s">
        <v>13610</v>
      </c>
      <c r="W2846" t="s">
        <v>16403</v>
      </c>
      <c r="X2846">
        <v>6</v>
      </c>
      <c r="Y2846" t="s">
        <v>23052</v>
      </c>
      <c r="Z2846" t="s">
        <v>29701</v>
      </c>
      <c r="AA2846">
        <v>0.56148071258401511</v>
      </c>
      <c r="AB2846" t="str">
        <f>HYPERLINK("Melting_Curves/meltCurve_P62256_UBE2H.pdf", "Melting_Curves/meltCurve_P62256_UBE2H.pdf")</f>
        <v>Melting_Curves/meltCurve_P62256_UBE2H.pdf</v>
      </c>
    </row>
    <row r="2847" spans="1:28" x14ac:dyDescent="0.25">
      <c r="A2847" t="s">
        <v>2851</v>
      </c>
      <c r="B2847">
        <v>0.995954080203443</v>
      </c>
      <c r="C2847">
        <v>1.1031046915945699</v>
      </c>
      <c r="D2847">
        <v>1.12595736033189</v>
      </c>
      <c r="E2847">
        <v>1.06982124545974</v>
      </c>
      <c r="F2847">
        <v>1.00752033928678</v>
      </c>
      <c r="G2847">
        <v>0.85354395303185204</v>
      </c>
      <c r="H2847">
        <v>0.38970223564698703</v>
      </c>
      <c r="I2847">
        <v>0.13817641549214199</v>
      </c>
      <c r="J2847">
        <v>9.0137679882822702E-2</v>
      </c>
      <c r="K2847">
        <v>7.34925364428205E-2</v>
      </c>
      <c r="L2847">
        <v>2112.3836453384902</v>
      </c>
      <c r="M2847">
        <v>35.299135084866499</v>
      </c>
      <c r="N2847">
        <v>60.0791654736759</v>
      </c>
      <c r="O2847">
        <v>59.6512788579576</v>
      </c>
      <c r="P2847">
        <v>-0.138331473688585</v>
      </c>
      <c r="Q2847">
        <v>6.4949200571200197E-2</v>
      </c>
      <c r="R2847">
        <v>0.982718801397924</v>
      </c>
      <c r="S2847" t="s">
        <v>9653</v>
      </c>
      <c r="T2847" t="s">
        <v>13610</v>
      </c>
      <c r="U2847" t="s">
        <v>13610</v>
      </c>
      <c r="V2847" t="s">
        <v>13610</v>
      </c>
      <c r="W2847" t="s">
        <v>16404</v>
      </c>
      <c r="X2847">
        <v>29</v>
      </c>
      <c r="Y2847" t="s">
        <v>23053</v>
      </c>
      <c r="Z2847" t="s">
        <v>29702</v>
      </c>
      <c r="AA2847">
        <v>0.68792212704705069</v>
      </c>
      <c r="AB2847" t="str">
        <f>HYPERLINK("Melting_Curves/meltCurve_P62258_YWHAE.pdf", "Melting_Curves/meltCurve_P62258_YWHAE.pdf")</f>
        <v>Melting_Curves/meltCurve_P62258_YWHAE.pdf</v>
      </c>
    </row>
    <row r="2848" spans="1:28" x14ac:dyDescent="0.25">
      <c r="A2848" t="s">
        <v>2852</v>
      </c>
      <c r="B2848">
        <v>0.995954080203443</v>
      </c>
      <c r="C2848">
        <v>0.71198393504691904</v>
      </c>
      <c r="D2848">
        <v>0.45058882875123002</v>
      </c>
      <c r="E2848">
        <v>0.39160180248295501</v>
      </c>
      <c r="F2848">
        <v>0.25363625104739101</v>
      </c>
      <c r="G2848">
        <v>0.15037760083005</v>
      </c>
      <c r="H2848">
        <v>0.10571294661459001</v>
      </c>
      <c r="I2848">
        <v>9.8030765440353496E-2</v>
      </c>
      <c r="J2848">
        <v>9.7032237461431997E-2</v>
      </c>
      <c r="K2848">
        <v>9.8174317880562301E-2</v>
      </c>
      <c r="L2848">
        <v>611.44110266716905</v>
      </c>
      <c r="M2848">
        <v>13.3244052943583</v>
      </c>
      <c r="N2848">
        <v>46.5908888629058</v>
      </c>
      <c r="O2848">
        <v>44.892156121160603</v>
      </c>
      <c r="P2848">
        <v>-6.74639890628142E-2</v>
      </c>
      <c r="Q2848">
        <v>9.0956150675248496E-2</v>
      </c>
      <c r="R2848">
        <v>0.96830240819491498</v>
      </c>
      <c r="S2848" t="s">
        <v>9654</v>
      </c>
      <c r="T2848" t="s">
        <v>13610</v>
      </c>
      <c r="U2848" t="s">
        <v>13610</v>
      </c>
      <c r="V2848" t="s">
        <v>13610</v>
      </c>
      <c r="W2848" t="s">
        <v>16405</v>
      </c>
      <c r="X2848">
        <v>8</v>
      </c>
      <c r="Y2848" t="s">
        <v>23054</v>
      </c>
      <c r="Z2848" t="s">
        <v>29703</v>
      </c>
      <c r="AA2848">
        <v>0.30354518507154549</v>
      </c>
      <c r="AB2848" t="str">
        <f>HYPERLINK("Melting_Curves/meltCurve_P62263_RPS14.pdf", "Melting_Curves/meltCurve_P62263_RPS14.pdf")</f>
        <v>Melting_Curves/meltCurve_P62263_RPS14.pdf</v>
      </c>
    </row>
    <row r="2849" spans="1:28" x14ac:dyDescent="0.25">
      <c r="A2849" t="s">
        <v>2853</v>
      </c>
      <c r="B2849">
        <v>0.995954080203443</v>
      </c>
      <c r="C2849">
        <v>0.67767105814839901</v>
      </c>
      <c r="D2849">
        <v>0.46396848216091502</v>
      </c>
      <c r="E2849">
        <v>0.422660356007727</v>
      </c>
      <c r="F2849">
        <v>0.27166032307727001</v>
      </c>
      <c r="G2849">
        <v>0.13379439961115699</v>
      </c>
      <c r="H2849">
        <v>0.10133337089527999</v>
      </c>
      <c r="I2849">
        <v>0.10080956678245501</v>
      </c>
      <c r="J2849">
        <v>0.121384739084479</v>
      </c>
      <c r="K2849">
        <v>0.110309905011163</v>
      </c>
      <c r="L2849">
        <v>571.424059791795</v>
      </c>
      <c r="M2849">
        <v>12.4263700067362</v>
      </c>
      <c r="N2849">
        <v>46.730547551969799</v>
      </c>
      <c r="O2849">
        <v>44.842603798759399</v>
      </c>
      <c r="P2849">
        <v>-6.3060076620963607E-2</v>
      </c>
      <c r="Q2849">
        <v>8.9941161367416506E-2</v>
      </c>
      <c r="R2849">
        <v>0.95765941019406597</v>
      </c>
      <c r="S2849" t="s">
        <v>9655</v>
      </c>
      <c r="T2849" t="s">
        <v>13610</v>
      </c>
      <c r="U2849" t="s">
        <v>13610</v>
      </c>
      <c r="V2849" t="s">
        <v>13610</v>
      </c>
      <c r="W2849" t="s">
        <v>16406</v>
      </c>
      <c r="X2849">
        <v>8</v>
      </c>
      <c r="Y2849" t="s">
        <v>23055</v>
      </c>
      <c r="Z2849" t="s">
        <v>29704</v>
      </c>
      <c r="AA2849">
        <v>0.31031978102281521</v>
      </c>
      <c r="AB2849" t="str">
        <f>HYPERLINK("Melting_Curves/meltCurve_P62269_RPS18.pdf", "Melting_Curves/meltCurve_P62269_RPS18.pdf")</f>
        <v>Melting_Curves/meltCurve_P62269_RPS18.pdf</v>
      </c>
    </row>
    <row r="2850" spans="1:28" x14ac:dyDescent="0.25">
      <c r="A2850" t="s">
        <v>2854</v>
      </c>
      <c r="B2850">
        <v>0.995954080203443</v>
      </c>
      <c r="C2850">
        <v>0.78338291100106705</v>
      </c>
      <c r="D2850">
        <v>0.59878301121494804</v>
      </c>
      <c r="E2850">
        <v>0.43059470252642201</v>
      </c>
      <c r="F2850">
        <v>0.22264936469011001</v>
      </c>
      <c r="G2850">
        <v>0.146895377239358</v>
      </c>
      <c r="H2850">
        <v>0.103785409033155</v>
      </c>
      <c r="I2850">
        <v>0.10952558876324001</v>
      </c>
      <c r="J2850">
        <v>0.181954111000807</v>
      </c>
      <c r="K2850">
        <v>0.179987170260624</v>
      </c>
      <c r="L2850">
        <v>717.02399602124103</v>
      </c>
      <c r="M2850">
        <v>15.3398844691799</v>
      </c>
      <c r="N2850">
        <v>47.655376569421001</v>
      </c>
      <c r="O2850">
        <v>45.969707357028597</v>
      </c>
      <c r="P2850">
        <v>-7.2809981517200403E-2</v>
      </c>
      <c r="Q2850">
        <v>0.12730931505429199</v>
      </c>
      <c r="R2850">
        <v>0.97854891951919898</v>
      </c>
      <c r="S2850" t="s">
        <v>9656</v>
      </c>
      <c r="T2850" t="s">
        <v>13610</v>
      </c>
      <c r="U2850" t="s">
        <v>13610</v>
      </c>
      <c r="V2850" t="s">
        <v>13610</v>
      </c>
      <c r="W2850" t="s">
        <v>16407</v>
      </c>
      <c r="X2850">
        <v>4</v>
      </c>
      <c r="Y2850" t="s">
        <v>23056</v>
      </c>
      <c r="Z2850" t="s">
        <v>29705</v>
      </c>
      <c r="AA2850">
        <v>0.34645559001735449</v>
      </c>
      <c r="AB2850" t="str">
        <f>HYPERLINK("Melting_Curves/meltCurve_P62273_RPS29.pdf", "Melting_Curves/meltCurve_P62273_RPS29.pdf")</f>
        <v>Melting_Curves/meltCurve_P62273_RPS29.pdf</v>
      </c>
    </row>
    <row r="2851" spans="1:28" x14ac:dyDescent="0.25">
      <c r="A2851" t="s">
        <v>2855</v>
      </c>
      <c r="B2851">
        <v>0.995954080203443</v>
      </c>
      <c r="C2851">
        <v>0.84774065520415698</v>
      </c>
      <c r="D2851">
        <v>0.63332504830760195</v>
      </c>
      <c r="E2851">
        <v>0.56327597662797702</v>
      </c>
      <c r="F2851">
        <v>0.30223809829217102</v>
      </c>
      <c r="G2851">
        <v>0.14531565648884701</v>
      </c>
      <c r="H2851">
        <v>9.2053390349904299E-2</v>
      </c>
      <c r="I2851">
        <v>8.3983974312668394E-2</v>
      </c>
      <c r="J2851">
        <v>8.2714229824032204E-2</v>
      </c>
      <c r="K2851">
        <v>9.4148709098580002E-2</v>
      </c>
      <c r="L2851">
        <v>601.83157291787404</v>
      </c>
      <c r="M2851">
        <v>12.2529612491983</v>
      </c>
      <c r="N2851">
        <v>49.428396292376902</v>
      </c>
      <c r="O2851">
        <v>47.863909081086803</v>
      </c>
      <c r="P2851">
        <v>-6.16371780632744E-2</v>
      </c>
      <c r="Q2851">
        <v>3.7117490403084402E-2</v>
      </c>
      <c r="R2851">
        <v>0.98044493062874705</v>
      </c>
      <c r="S2851" t="s">
        <v>9657</v>
      </c>
      <c r="T2851" t="s">
        <v>13610</v>
      </c>
      <c r="U2851" t="s">
        <v>13610</v>
      </c>
      <c r="V2851" t="s">
        <v>13610</v>
      </c>
      <c r="W2851" t="s">
        <v>16408</v>
      </c>
      <c r="X2851">
        <v>9</v>
      </c>
      <c r="Y2851" t="s">
        <v>23057</v>
      </c>
      <c r="Z2851" t="s">
        <v>29706</v>
      </c>
      <c r="AA2851">
        <v>0.36366488021343307</v>
      </c>
      <c r="AB2851" t="str">
        <f>HYPERLINK("Melting_Curves/meltCurve_P62277_RPS13.pdf", "Melting_Curves/meltCurve_P62277_RPS13.pdf")</f>
        <v>Melting_Curves/meltCurve_P62277_RPS13.pdf</v>
      </c>
    </row>
    <row r="2852" spans="1:28" x14ac:dyDescent="0.25">
      <c r="A2852" t="s">
        <v>2856</v>
      </c>
      <c r="B2852">
        <v>0.995954080203443</v>
      </c>
      <c r="C2852">
        <v>0.61212377158320996</v>
      </c>
      <c r="D2852">
        <v>0.46086982263321102</v>
      </c>
      <c r="E2852">
        <v>0.42267158686441397</v>
      </c>
      <c r="F2852">
        <v>0.29624256594985798</v>
      </c>
      <c r="G2852">
        <v>0.16248771575984899</v>
      </c>
      <c r="H2852">
        <v>0.12294468587629299</v>
      </c>
      <c r="I2852">
        <v>0.122653157097892</v>
      </c>
      <c r="J2852">
        <v>0.137525109411855</v>
      </c>
      <c r="K2852">
        <v>0.13485434709053101</v>
      </c>
      <c r="L2852">
        <v>546.17408198113105</v>
      </c>
      <c r="M2852">
        <v>12.016006800712001</v>
      </c>
      <c r="N2852">
        <v>46.463711507387103</v>
      </c>
      <c r="O2852">
        <v>44.249832060975997</v>
      </c>
      <c r="P2852">
        <v>-6.0100156448850903E-2</v>
      </c>
      <c r="Q2852">
        <v>0.11491892748294399</v>
      </c>
      <c r="R2852">
        <v>0.93934435943322303</v>
      </c>
      <c r="S2852" t="s">
        <v>9658</v>
      </c>
      <c r="T2852" t="s">
        <v>13610</v>
      </c>
      <c r="U2852" t="s">
        <v>13610</v>
      </c>
      <c r="V2852" t="s">
        <v>13610</v>
      </c>
      <c r="W2852" t="s">
        <v>16409</v>
      </c>
      <c r="X2852">
        <v>8</v>
      </c>
      <c r="Y2852" t="s">
        <v>23058</v>
      </c>
      <c r="Z2852" t="s">
        <v>29707</v>
      </c>
      <c r="AA2852">
        <v>0.31802349731163371</v>
      </c>
      <c r="AB2852" t="str">
        <f>HYPERLINK("Melting_Curves/meltCurve_P62280_RPS11.pdf", "Melting_Curves/meltCurve_P62280_RPS11.pdf")</f>
        <v>Melting_Curves/meltCurve_P62280_RPS11.pdf</v>
      </c>
    </row>
    <row r="2853" spans="1:28" x14ac:dyDescent="0.25">
      <c r="A2853" t="s">
        <v>2857</v>
      </c>
      <c r="B2853">
        <v>0.995954080203443</v>
      </c>
      <c r="C2853">
        <v>0.94266679818849597</v>
      </c>
      <c r="D2853">
        <v>0.765243789836352</v>
      </c>
      <c r="E2853">
        <v>0.94305066134529303</v>
      </c>
      <c r="F2853">
        <v>0.63419204086518899</v>
      </c>
      <c r="G2853">
        <v>0.454605091436111</v>
      </c>
      <c r="H2853">
        <v>0.26531218485462599</v>
      </c>
      <c r="I2853">
        <v>0.20964956490103401</v>
      </c>
      <c r="J2853">
        <v>0.172679470032297</v>
      </c>
      <c r="K2853">
        <v>0.120104582391069</v>
      </c>
      <c r="L2853">
        <v>631.17499590927503</v>
      </c>
      <c r="M2853">
        <v>11.2824660602384</v>
      </c>
      <c r="N2853">
        <v>56.173419652897898</v>
      </c>
      <c r="O2853">
        <v>54.2719374228435</v>
      </c>
      <c r="P2853">
        <v>-5.0812190238866899E-2</v>
      </c>
      <c r="Q2853">
        <v>2.2613584813887099E-2</v>
      </c>
      <c r="R2853">
        <v>0.95562051038388296</v>
      </c>
      <c r="S2853" t="s">
        <v>9659</v>
      </c>
      <c r="T2853" t="s">
        <v>13610</v>
      </c>
      <c r="U2853" t="s">
        <v>13610</v>
      </c>
      <c r="V2853" t="s">
        <v>13610</v>
      </c>
      <c r="W2853" t="s">
        <v>16410</v>
      </c>
      <c r="X2853">
        <v>4</v>
      </c>
      <c r="Y2853" t="s">
        <v>23059</v>
      </c>
      <c r="Z2853" t="s">
        <v>29708</v>
      </c>
      <c r="AA2853">
        <v>0.5625657654307854</v>
      </c>
      <c r="AB2853" t="str">
        <f>HYPERLINK("Melting_Curves/meltCurve_P62304_SNRPE.pdf", "Melting_Curves/meltCurve_P62304_SNRPE.pdf")</f>
        <v>Melting_Curves/meltCurve_P62304_SNRPE.pdf</v>
      </c>
    </row>
    <row r="2854" spans="1:28" x14ac:dyDescent="0.25">
      <c r="A2854" t="s">
        <v>2858</v>
      </c>
      <c r="B2854">
        <v>0.995954080203443</v>
      </c>
      <c r="C2854">
        <v>0.95579788540978705</v>
      </c>
      <c r="D2854">
        <v>0.91192499621655099</v>
      </c>
      <c r="E2854">
        <v>1.09779408649308</v>
      </c>
      <c r="F2854">
        <v>0.90022995397983496</v>
      </c>
      <c r="G2854">
        <v>0.706436875529736</v>
      </c>
      <c r="H2854">
        <v>0.50699195572224198</v>
      </c>
      <c r="I2854">
        <v>0.53300710061527401</v>
      </c>
      <c r="J2854">
        <v>0.58220055885150301</v>
      </c>
      <c r="K2854">
        <v>0.45190715365888701</v>
      </c>
      <c r="L2854">
        <v>1872.6951933969999</v>
      </c>
      <c r="M2854">
        <v>33.408950242731201</v>
      </c>
      <c r="O2854">
        <v>55.854008908507303</v>
      </c>
      <c r="P2854">
        <v>-7.3165751287903397E-2</v>
      </c>
      <c r="Q2854">
        <v>0.51071995885536803</v>
      </c>
      <c r="R2854">
        <v>0.93464447276149498</v>
      </c>
      <c r="S2854" t="s">
        <v>9660</v>
      </c>
      <c r="T2854" t="s">
        <v>13610</v>
      </c>
      <c r="U2854" t="s">
        <v>13610</v>
      </c>
      <c r="V2854" t="s">
        <v>13610</v>
      </c>
      <c r="W2854" t="s">
        <v>16411</v>
      </c>
      <c r="X2854">
        <v>3</v>
      </c>
      <c r="Y2854" t="s">
        <v>23060</v>
      </c>
      <c r="Z2854" t="s">
        <v>29709</v>
      </c>
      <c r="AA2854">
        <v>0.77521454836752945</v>
      </c>
      <c r="AB2854" t="str">
        <f>HYPERLINK("Melting_Curves/meltCurve_P62306_SNRPF.pdf", "Melting_Curves/meltCurve_P62306_SNRPF.pdf")</f>
        <v>Melting_Curves/meltCurve_P62306_SNRPF.pdf</v>
      </c>
    </row>
    <row r="2855" spans="1:28" x14ac:dyDescent="0.25">
      <c r="A2855" t="s">
        <v>2859</v>
      </c>
      <c r="B2855">
        <v>0.995954080203443</v>
      </c>
      <c r="C2855">
        <v>0.92304279634250297</v>
      </c>
      <c r="D2855">
        <v>0.79498350877492796</v>
      </c>
      <c r="E2855">
        <v>0.936544174923026</v>
      </c>
      <c r="F2855">
        <v>0.64706705403140197</v>
      </c>
      <c r="G2855">
        <v>0.47045640981557302</v>
      </c>
      <c r="H2855">
        <v>0.28131143869416098</v>
      </c>
      <c r="I2855">
        <v>0.248410837025448</v>
      </c>
      <c r="J2855">
        <v>0.19668608321171099</v>
      </c>
      <c r="K2855">
        <v>0.14280848361524501</v>
      </c>
      <c r="L2855">
        <v>627.91534932398895</v>
      </c>
      <c r="M2855">
        <v>11.2199488852585</v>
      </c>
      <c r="N2855">
        <v>56.508805086273703</v>
      </c>
      <c r="O2855">
        <v>54.274740556743502</v>
      </c>
      <c r="P2855">
        <v>-4.9048108869636502E-2</v>
      </c>
      <c r="Q2855">
        <v>5.1246594598063001E-2</v>
      </c>
      <c r="R2855">
        <v>0.96154705869386403</v>
      </c>
      <c r="S2855" t="s">
        <v>9661</v>
      </c>
      <c r="T2855" t="s">
        <v>13610</v>
      </c>
      <c r="U2855" t="s">
        <v>13610</v>
      </c>
      <c r="V2855" t="s">
        <v>13610</v>
      </c>
      <c r="W2855" t="s">
        <v>16412</v>
      </c>
      <c r="X2855">
        <v>4</v>
      </c>
      <c r="Y2855" t="s">
        <v>23061</v>
      </c>
      <c r="Z2855" t="s">
        <v>29710</v>
      </c>
      <c r="AA2855">
        <v>0.5760031401603467</v>
      </c>
      <c r="AB2855" t="str">
        <f>HYPERLINK("Melting_Curves/meltCurve_P62308_SNRPG.pdf", "Melting_Curves/meltCurve_P62308_SNRPG.pdf")</f>
        <v>Melting_Curves/meltCurve_P62308_SNRPG.pdf</v>
      </c>
    </row>
    <row r="2856" spans="1:28" x14ac:dyDescent="0.25">
      <c r="A2856" t="s">
        <v>2860</v>
      </c>
      <c r="B2856">
        <v>0.995954080203443</v>
      </c>
      <c r="C2856">
        <v>1.0970991021421901</v>
      </c>
      <c r="D2856">
        <v>1.0758717769255799</v>
      </c>
      <c r="E2856">
        <v>1.0566375658684899</v>
      </c>
      <c r="F2856">
        <v>0.97188598307200202</v>
      </c>
      <c r="G2856">
        <v>0.74577978350197205</v>
      </c>
      <c r="H2856">
        <v>0.58773035653979799</v>
      </c>
      <c r="I2856">
        <v>0.59026387413315395</v>
      </c>
      <c r="J2856">
        <v>0.76930511997145701</v>
      </c>
      <c r="K2856">
        <v>0.54809778139076504</v>
      </c>
      <c r="L2856">
        <v>3215.7464016335798</v>
      </c>
      <c r="M2856">
        <v>57.199013409185198</v>
      </c>
      <c r="O2856">
        <v>56.1517176894681</v>
      </c>
      <c r="P2856">
        <v>-9.5901929018019305E-2</v>
      </c>
      <c r="Q2856">
        <v>0.62341620814384902</v>
      </c>
      <c r="R2856">
        <v>0.88880700178737904</v>
      </c>
      <c r="S2856" t="s">
        <v>9662</v>
      </c>
      <c r="T2856" t="s">
        <v>13610</v>
      </c>
      <c r="U2856" t="s">
        <v>13610</v>
      </c>
      <c r="V2856" t="s">
        <v>13610</v>
      </c>
      <c r="W2856" t="s">
        <v>16413</v>
      </c>
      <c r="X2856">
        <v>4</v>
      </c>
      <c r="Y2856" t="s">
        <v>23062</v>
      </c>
      <c r="Z2856" t="s">
        <v>29711</v>
      </c>
      <c r="AA2856">
        <v>0.82773883608804999</v>
      </c>
      <c r="AB2856" t="str">
        <f>HYPERLINK("Melting_Curves/meltCurve_P62310_LSM3.pdf", "Melting_Curves/meltCurve_P62310_LSM3.pdf")</f>
        <v>Melting_Curves/meltCurve_P62310_LSM3.pdf</v>
      </c>
    </row>
    <row r="2857" spans="1:28" x14ac:dyDescent="0.25">
      <c r="A2857" t="s">
        <v>2861</v>
      </c>
      <c r="B2857">
        <v>0.995954080203443</v>
      </c>
      <c r="C2857">
        <v>1.0307454710150401</v>
      </c>
      <c r="D2857">
        <v>1.1423408944689299</v>
      </c>
      <c r="E2857">
        <v>1.0483109468452101</v>
      </c>
      <c r="F2857">
        <v>1.02975664210409</v>
      </c>
      <c r="G2857">
        <v>0.814598427364705</v>
      </c>
      <c r="H2857">
        <v>0.63875552814280701</v>
      </c>
      <c r="I2857">
        <v>0.55694226900529198</v>
      </c>
      <c r="J2857">
        <v>0.62360708113124297</v>
      </c>
      <c r="K2857">
        <v>0.36882351109134598</v>
      </c>
      <c r="L2857">
        <v>1299.76877822406</v>
      </c>
      <c r="M2857">
        <v>21.844014169612699</v>
      </c>
      <c r="N2857">
        <v>66.930048958294606</v>
      </c>
      <c r="O2857">
        <v>59.0103333734438</v>
      </c>
      <c r="P2857">
        <v>-5.0370015321482803E-2</v>
      </c>
      <c r="Q2857">
        <v>0.45572575374222002</v>
      </c>
      <c r="R2857">
        <v>0.90749263938042701</v>
      </c>
      <c r="S2857" t="s">
        <v>9663</v>
      </c>
      <c r="T2857" t="s">
        <v>13610</v>
      </c>
      <c r="U2857" t="s">
        <v>13610</v>
      </c>
      <c r="V2857" t="s">
        <v>13610</v>
      </c>
      <c r="W2857" t="s">
        <v>16414</v>
      </c>
      <c r="X2857">
        <v>8</v>
      </c>
      <c r="Y2857" t="s">
        <v>23063</v>
      </c>
      <c r="Z2857" t="s">
        <v>29712</v>
      </c>
      <c r="AA2857">
        <v>0.81434985366480239</v>
      </c>
      <c r="AB2857" t="str">
        <f>HYPERLINK("Melting_Curves/meltCurve_P62312_LSM6.pdf", "Melting_Curves/meltCurve_P62312_LSM6.pdf")</f>
        <v>Melting_Curves/meltCurve_P62312_LSM6.pdf</v>
      </c>
    </row>
    <row r="2858" spans="1:28" x14ac:dyDescent="0.25">
      <c r="A2858" t="s">
        <v>2862</v>
      </c>
      <c r="B2858">
        <v>0.995954080203443</v>
      </c>
      <c r="C2858">
        <v>0.85959719703255799</v>
      </c>
      <c r="D2858">
        <v>0.74144835201654102</v>
      </c>
      <c r="E2858">
        <v>0.86099863628666296</v>
      </c>
      <c r="F2858">
        <v>0.65429942757194703</v>
      </c>
      <c r="G2858">
        <v>0.45629618883397899</v>
      </c>
      <c r="H2858">
        <v>0.256943680933576</v>
      </c>
      <c r="I2858">
        <v>0.19169405382695701</v>
      </c>
      <c r="J2858">
        <v>0.173930605717564</v>
      </c>
      <c r="K2858">
        <v>0.12161507313606</v>
      </c>
      <c r="L2858">
        <v>531.97681151917902</v>
      </c>
      <c r="M2858">
        <v>9.5558755342415402</v>
      </c>
      <c r="N2858">
        <v>55.670127722967202</v>
      </c>
      <c r="O2858">
        <v>53.395818205627997</v>
      </c>
      <c r="P2858">
        <v>-4.4766628174944999E-2</v>
      </c>
      <c r="Q2858">
        <v>0</v>
      </c>
      <c r="R2858">
        <v>0.95431376743081198</v>
      </c>
      <c r="S2858" t="s">
        <v>9664</v>
      </c>
      <c r="T2858" t="s">
        <v>13610</v>
      </c>
      <c r="U2858" t="s">
        <v>13610</v>
      </c>
      <c r="V2858" t="s">
        <v>13610</v>
      </c>
      <c r="W2858" t="s">
        <v>16415</v>
      </c>
      <c r="X2858">
        <v>5</v>
      </c>
      <c r="Y2858" t="s">
        <v>23064</v>
      </c>
      <c r="Z2858" t="s">
        <v>29713</v>
      </c>
      <c r="AA2858">
        <v>0.5451586324348523</v>
      </c>
      <c r="AB2858" t="str">
        <f>HYPERLINK("Melting_Curves/meltCurve_P62314_SNRPD1.pdf", "Melting_Curves/meltCurve_P62314_SNRPD1.pdf")</f>
        <v>Melting_Curves/meltCurve_P62314_SNRPD1.pdf</v>
      </c>
    </row>
    <row r="2859" spans="1:28" x14ac:dyDescent="0.25">
      <c r="A2859" t="s">
        <v>2863</v>
      </c>
      <c r="B2859">
        <v>0.995954080203443</v>
      </c>
      <c r="C2859">
        <v>0.93078465690461298</v>
      </c>
      <c r="D2859">
        <v>0.85362355360924203</v>
      </c>
      <c r="E2859">
        <v>1.0474361120331099</v>
      </c>
      <c r="F2859">
        <v>0.85316742150071301</v>
      </c>
      <c r="G2859">
        <v>0.71180508284312605</v>
      </c>
      <c r="H2859">
        <v>0.42933156090248498</v>
      </c>
      <c r="I2859">
        <v>0.37689205968311601</v>
      </c>
      <c r="J2859">
        <v>0.31662121471688698</v>
      </c>
      <c r="K2859">
        <v>0.25137934328809802</v>
      </c>
      <c r="L2859">
        <v>1070.5047652001699</v>
      </c>
      <c r="M2859">
        <v>18.412421368361901</v>
      </c>
      <c r="N2859">
        <v>60.243108674564198</v>
      </c>
      <c r="O2859">
        <v>57.4675621321378</v>
      </c>
      <c r="P2859">
        <v>-6.1113754126287001E-2</v>
      </c>
      <c r="Q2859">
        <v>0.23705852299777</v>
      </c>
      <c r="R2859">
        <v>0.95707781484270504</v>
      </c>
      <c r="S2859" t="s">
        <v>9665</v>
      </c>
      <c r="T2859" t="s">
        <v>13610</v>
      </c>
      <c r="U2859" t="s">
        <v>13610</v>
      </c>
      <c r="V2859" t="s">
        <v>13610</v>
      </c>
      <c r="W2859" t="s">
        <v>16416</v>
      </c>
      <c r="X2859">
        <v>14</v>
      </c>
      <c r="Y2859" t="s">
        <v>23065</v>
      </c>
      <c r="Z2859" t="s">
        <v>29714</v>
      </c>
      <c r="AA2859">
        <v>0.70751760623107662</v>
      </c>
      <c r="AB2859" t="str">
        <f>HYPERLINK("Melting_Curves/meltCurve_P62316_SNRPD2.pdf", "Melting_Curves/meltCurve_P62316_SNRPD2.pdf")</f>
        <v>Melting_Curves/meltCurve_P62316_SNRPD2.pdf</v>
      </c>
    </row>
    <row r="2860" spans="1:28" x14ac:dyDescent="0.25">
      <c r="A2860" t="s">
        <v>2864</v>
      </c>
      <c r="B2860">
        <v>0.995954080203443</v>
      </c>
      <c r="C2860">
        <v>1.0519979265836701</v>
      </c>
      <c r="D2860">
        <v>1.21481112372934</v>
      </c>
      <c r="E2860">
        <v>1.0742358387513899</v>
      </c>
      <c r="F2860">
        <v>1.27153779990765</v>
      </c>
      <c r="G2860">
        <v>1.09311825721617</v>
      </c>
      <c r="H2860">
        <v>1.1808476961202801</v>
      </c>
      <c r="I2860">
        <v>1.3684349680255601</v>
      </c>
      <c r="J2860">
        <v>1.5014635675972701</v>
      </c>
      <c r="K2860">
        <v>1.4350091458130201</v>
      </c>
      <c r="L2860">
        <v>404.94519201782202</v>
      </c>
      <c r="M2860">
        <v>7.0681701581104202</v>
      </c>
      <c r="O2860">
        <v>53.2355435630611</v>
      </c>
      <c r="P2860">
        <v>1.6626151371733001E-2</v>
      </c>
      <c r="Q2860">
        <v>1.5</v>
      </c>
      <c r="R2860">
        <v>0.66097755964985805</v>
      </c>
      <c r="S2860" t="s">
        <v>9666</v>
      </c>
      <c r="T2860" t="s">
        <v>13610</v>
      </c>
      <c r="U2860" t="s">
        <v>13610</v>
      </c>
      <c r="V2860" t="s">
        <v>13610</v>
      </c>
      <c r="W2860" t="s">
        <v>16417</v>
      </c>
      <c r="X2860">
        <v>10</v>
      </c>
      <c r="Y2860" t="s">
        <v>23066</v>
      </c>
      <c r="Z2860" t="s">
        <v>29715</v>
      </c>
      <c r="AA2860">
        <v>1.208865127419068</v>
      </c>
      <c r="AB2860" t="str">
        <f>HYPERLINK("Melting_Curves/meltCurve_P62328_TMSB4X.pdf", "Melting_Curves/meltCurve_P62328_TMSB4X.pdf")</f>
        <v>Melting_Curves/meltCurve_P62328_TMSB4X.pdf</v>
      </c>
    </row>
    <row r="2861" spans="1:28" x14ac:dyDescent="0.25">
      <c r="A2861" t="s">
        <v>2865</v>
      </c>
      <c r="B2861">
        <v>0.995954080203443</v>
      </c>
      <c r="C2861">
        <v>1.01119963044657</v>
      </c>
      <c r="D2861">
        <v>0.88388431730416905</v>
      </c>
      <c r="E2861">
        <v>0.67574546808243596</v>
      </c>
      <c r="F2861">
        <v>0.29615066891969599</v>
      </c>
      <c r="G2861">
        <v>0.14040764288834201</v>
      </c>
      <c r="H2861">
        <v>8.6666666259914593E-2</v>
      </c>
      <c r="I2861">
        <v>6.3588740373739697E-2</v>
      </c>
      <c r="J2861">
        <v>8.6893228988983606E-2</v>
      </c>
      <c r="K2861">
        <v>7.3799586025348904E-2</v>
      </c>
      <c r="L2861">
        <v>1269.77167162248</v>
      </c>
      <c r="M2861">
        <v>24.936656135941799</v>
      </c>
      <c r="N2861">
        <v>51.235207093379202</v>
      </c>
      <c r="O2861">
        <v>50.595809145503402</v>
      </c>
      <c r="P2861">
        <v>-0.114451482435597</v>
      </c>
      <c r="Q2861">
        <v>7.1136614960722003E-2</v>
      </c>
      <c r="R2861">
        <v>0.99604048024444003</v>
      </c>
      <c r="S2861" t="s">
        <v>9667</v>
      </c>
      <c r="T2861" t="s">
        <v>13610</v>
      </c>
      <c r="U2861" t="s">
        <v>13610</v>
      </c>
      <c r="V2861" t="s">
        <v>13610</v>
      </c>
      <c r="W2861" t="s">
        <v>16418</v>
      </c>
      <c r="X2861">
        <v>3</v>
      </c>
      <c r="Y2861" t="s">
        <v>23067</v>
      </c>
      <c r="Z2861" t="s">
        <v>29716</v>
      </c>
      <c r="AA2861">
        <v>0.41766533328375682</v>
      </c>
      <c r="AB2861" t="str">
        <f>HYPERLINK("Melting_Curves/meltCurve_P62330_ARF6.pdf", "Melting_Curves/meltCurve_P62330_ARF6.pdf")</f>
        <v>Melting_Curves/meltCurve_P62330_ARF6.pdf</v>
      </c>
    </row>
    <row r="2862" spans="1:28" x14ac:dyDescent="0.25">
      <c r="A2862" t="s">
        <v>2866</v>
      </c>
      <c r="B2862">
        <v>0.995954080203443</v>
      </c>
      <c r="C2862">
        <v>0.68087438168773196</v>
      </c>
      <c r="D2862">
        <v>0.38621597705056598</v>
      </c>
      <c r="E2862">
        <v>0.36833520534242298</v>
      </c>
      <c r="F2862">
        <v>0.15331854173429699</v>
      </c>
      <c r="G2862">
        <v>8.1866827266144998E-2</v>
      </c>
      <c r="H2862">
        <v>4.9080944817982003E-2</v>
      </c>
      <c r="I2862">
        <v>3.9367900339210699E-2</v>
      </c>
      <c r="J2862">
        <v>4.2617865480190802E-2</v>
      </c>
      <c r="K2862">
        <v>4.0201139650475497E-2</v>
      </c>
      <c r="L2862">
        <v>641.86568629681096</v>
      </c>
      <c r="M2862">
        <v>14.092364921116801</v>
      </c>
      <c r="N2862">
        <v>45.794925004625398</v>
      </c>
      <c r="O2862">
        <v>44.6593179845325</v>
      </c>
      <c r="P2862">
        <v>-7.6001157166396605E-2</v>
      </c>
      <c r="Q2862">
        <v>3.6720335331049202E-2</v>
      </c>
      <c r="R2862">
        <v>0.96022266171403803</v>
      </c>
      <c r="S2862" t="s">
        <v>9668</v>
      </c>
      <c r="T2862" t="s">
        <v>13610</v>
      </c>
      <c r="U2862" t="s">
        <v>13610</v>
      </c>
      <c r="V2862" t="s">
        <v>13610</v>
      </c>
      <c r="W2862" t="s">
        <v>16419</v>
      </c>
      <c r="X2862">
        <v>31</v>
      </c>
      <c r="Y2862" t="s">
        <v>23068</v>
      </c>
      <c r="Z2862" t="s">
        <v>29717</v>
      </c>
      <c r="AA2862">
        <v>0.2481682686377549</v>
      </c>
      <c r="AB2862" t="str">
        <f>HYPERLINK("Melting_Curves/meltCurve_P62333_PSMC6.pdf", "Melting_Curves/meltCurve_P62333_PSMC6.pdf")</f>
        <v>Melting_Curves/meltCurve_P62333_PSMC6.pdf</v>
      </c>
    </row>
    <row r="2863" spans="1:28" x14ac:dyDescent="0.25">
      <c r="A2863" t="s">
        <v>2867</v>
      </c>
      <c r="B2863">
        <v>0.995954080203443</v>
      </c>
      <c r="C2863">
        <v>1.0360247636536799</v>
      </c>
      <c r="D2863">
        <v>0.98315796833154001</v>
      </c>
      <c r="E2863">
        <v>0.70073136974926697</v>
      </c>
      <c r="F2863">
        <v>0.27981888119667903</v>
      </c>
      <c r="G2863">
        <v>0.12976074263487</v>
      </c>
      <c r="H2863">
        <v>8.4065776049844596E-2</v>
      </c>
      <c r="I2863">
        <v>7.9174639443892206E-2</v>
      </c>
      <c r="J2863">
        <v>7.8778343825311598E-2</v>
      </c>
      <c r="K2863">
        <v>7.0459856792186998E-2</v>
      </c>
      <c r="L2863">
        <v>1744.3722057733401</v>
      </c>
      <c r="M2863">
        <v>34.165724858152501</v>
      </c>
      <c r="N2863">
        <v>51.323527117106103</v>
      </c>
      <c r="O2863">
        <v>50.882242264409498</v>
      </c>
      <c r="P2863">
        <v>-0.15418438030287401</v>
      </c>
      <c r="Q2863">
        <v>8.1510330353023505E-2</v>
      </c>
      <c r="R2863">
        <v>0.99872289729936403</v>
      </c>
      <c r="S2863" t="s">
        <v>9669</v>
      </c>
      <c r="T2863" t="s">
        <v>13610</v>
      </c>
      <c r="U2863" t="s">
        <v>13610</v>
      </c>
      <c r="V2863" t="s">
        <v>13610</v>
      </c>
      <c r="W2863" t="s">
        <v>16420</v>
      </c>
      <c r="X2863">
        <v>7</v>
      </c>
      <c r="Y2863" t="s">
        <v>23069</v>
      </c>
      <c r="Z2863" t="s">
        <v>29718</v>
      </c>
      <c r="AA2863">
        <v>0.42446284616210678</v>
      </c>
      <c r="AB2863" t="str">
        <f>HYPERLINK("Melting_Curves/meltCurve_P62380_TBPL1.pdf", "Melting_Curves/meltCurve_P62380_TBPL1.pdf")</f>
        <v>Melting_Curves/meltCurve_P62380_TBPL1.pdf</v>
      </c>
    </row>
    <row r="2864" spans="1:28" x14ac:dyDescent="0.25">
      <c r="A2864" t="s">
        <v>2868</v>
      </c>
      <c r="B2864">
        <v>0.995954080203443</v>
      </c>
      <c r="C2864">
        <v>0.88298309562698596</v>
      </c>
      <c r="D2864">
        <v>0.65603774778645396</v>
      </c>
      <c r="E2864">
        <v>0.46675135709358501</v>
      </c>
      <c r="F2864">
        <v>0.28728731597606899</v>
      </c>
      <c r="G2864">
        <v>0.17407475971115899</v>
      </c>
      <c r="H2864">
        <v>0.12809090030195699</v>
      </c>
      <c r="I2864">
        <v>0.13086533882325099</v>
      </c>
      <c r="J2864">
        <v>0.15385764830704099</v>
      </c>
      <c r="K2864">
        <v>0.15664465515541601</v>
      </c>
      <c r="L2864">
        <v>739.13552782754596</v>
      </c>
      <c r="M2864">
        <v>15.4298837236738</v>
      </c>
      <c r="N2864">
        <v>48.816035986077203</v>
      </c>
      <c r="O2864">
        <v>47.119861526516097</v>
      </c>
      <c r="P2864">
        <v>-7.1608919885721198E-2</v>
      </c>
      <c r="Q2864">
        <v>0.12536001448263501</v>
      </c>
      <c r="R2864">
        <v>0.99294220084876705</v>
      </c>
      <c r="S2864" t="s">
        <v>9670</v>
      </c>
      <c r="T2864" t="s">
        <v>13610</v>
      </c>
      <c r="U2864" t="s">
        <v>13610</v>
      </c>
      <c r="V2864" t="s">
        <v>13610</v>
      </c>
      <c r="W2864" t="s">
        <v>16421</v>
      </c>
      <c r="X2864">
        <v>15</v>
      </c>
      <c r="Y2864" t="s">
        <v>23070</v>
      </c>
      <c r="Z2864" t="s">
        <v>29719</v>
      </c>
      <c r="AA2864">
        <v>0.37713576881536348</v>
      </c>
      <c r="AB2864" t="str">
        <f>HYPERLINK("Melting_Curves/meltCurve_P62424_RPL7A.pdf", "Melting_Curves/meltCurve_P62424_RPL7A.pdf")</f>
        <v>Melting_Curves/meltCurve_P62424_RPL7A.pdf</v>
      </c>
    </row>
    <row r="2865" spans="1:28" x14ac:dyDescent="0.25">
      <c r="A2865" t="s">
        <v>2869</v>
      </c>
      <c r="B2865">
        <v>0.995954080203443</v>
      </c>
      <c r="C2865">
        <v>0.92825926500727296</v>
      </c>
      <c r="D2865">
        <v>0.846017684818961</v>
      </c>
      <c r="E2865">
        <v>0.938559719192125</v>
      </c>
      <c r="F2865">
        <v>0.84542553293080303</v>
      </c>
      <c r="G2865">
        <v>0.59403034048376802</v>
      </c>
      <c r="H2865">
        <v>0.388407542436636</v>
      </c>
      <c r="I2865">
        <v>0.20504723760677501</v>
      </c>
      <c r="J2865">
        <v>7.5699904815521399E-2</v>
      </c>
      <c r="K2865">
        <v>6.2593266076313603E-2</v>
      </c>
      <c r="L2865">
        <v>907.02060738578598</v>
      </c>
      <c r="M2865">
        <v>15.4967524843946</v>
      </c>
      <c r="N2865">
        <v>58.529721915865501</v>
      </c>
      <c r="O2865">
        <v>57.581057925011201</v>
      </c>
      <c r="P2865">
        <v>-6.7288317437238204E-2</v>
      </c>
      <c r="Q2865">
        <v>0</v>
      </c>
      <c r="R2865">
        <v>0.97751165922170102</v>
      </c>
      <c r="S2865" t="s">
        <v>9671</v>
      </c>
      <c r="T2865" t="s">
        <v>13610</v>
      </c>
      <c r="U2865" t="s">
        <v>13610</v>
      </c>
      <c r="V2865" t="s">
        <v>13610</v>
      </c>
      <c r="W2865" t="s">
        <v>16422</v>
      </c>
      <c r="X2865">
        <v>7</v>
      </c>
      <c r="Y2865" t="s">
        <v>23071</v>
      </c>
      <c r="Z2865" t="s">
        <v>29720</v>
      </c>
      <c r="AA2865">
        <v>0.6296237049372817</v>
      </c>
      <c r="AB2865" t="str">
        <f>HYPERLINK("Melting_Curves/meltCurve_P62487_POLR2G.pdf", "Melting_Curves/meltCurve_P62487_POLR2G.pdf")</f>
        <v>Melting_Curves/meltCurve_P62487_POLR2G.pdf</v>
      </c>
    </row>
    <row r="2866" spans="1:28" x14ac:dyDescent="0.25">
      <c r="A2866" t="s">
        <v>2870</v>
      </c>
      <c r="B2866">
        <v>0.995954080203443</v>
      </c>
      <c r="C2866">
        <v>1.0696582659165701</v>
      </c>
      <c r="D2866">
        <v>1.0780097226863199</v>
      </c>
      <c r="E2866">
        <v>0.84881839003780002</v>
      </c>
      <c r="F2866">
        <v>0.22230333367983399</v>
      </c>
      <c r="G2866">
        <v>0.118589658229422</v>
      </c>
      <c r="H2866">
        <v>8.5079236681367507E-2</v>
      </c>
      <c r="I2866">
        <v>8.0841856360728007E-2</v>
      </c>
      <c r="J2866">
        <v>9.0782324972133996E-2</v>
      </c>
      <c r="K2866">
        <v>8.5552691272811093E-2</v>
      </c>
      <c r="L2866">
        <v>3002.5754945112499</v>
      </c>
      <c r="M2866">
        <v>58.432774820449403</v>
      </c>
      <c r="N2866">
        <v>51.563489235433799</v>
      </c>
      <c r="O2866">
        <v>51.3250468426913</v>
      </c>
      <c r="P2866">
        <v>-0.25857744922853498</v>
      </c>
      <c r="Q2866">
        <v>9.1503480241984195E-2</v>
      </c>
      <c r="R2866">
        <v>0.99382589736753701</v>
      </c>
      <c r="S2866" t="s">
        <v>9672</v>
      </c>
      <c r="T2866" t="s">
        <v>13610</v>
      </c>
      <c r="U2866" t="s">
        <v>13610</v>
      </c>
      <c r="V2866" t="s">
        <v>13610</v>
      </c>
      <c r="W2866" t="s">
        <v>16423</v>
      </c>
      <c r="X2866">
        <v>19</v>
      </c>
      <c r="Y2866" t="s">
        <v>23072</v>
      </c>
      <c r="Z2866" t="s">
        <v>29721</v>
      </c>
      <c r="AA2866">
        <v>0.43778719630098839</v>
      </c>
      <c r="AB2866" t="str">
        <f>HYPERLINK("Melting_Curves/meltCurve_P62495_ETF1.pdf", "Melting_Curves/meltCurve_P62495_ETF1.pdf")</f>
        <v>Melting_Curves/meltCurve_P62495_ETF1.pdf</v>
      </c>
    </row>
    <row r="2867" spans="1:28" x14ac:dyDescent="0.25">
      <c r="A2867" t="s">
        <v>2871</v>
      </c>
      <c r="B2867">
        <v>0.995954080203443</v>
      </c>
      <c r="C2867">
        <v>1.0116767220544001</v>
      </c>
      <c r="D2867">
        <v>1.12672927042587</v>
      </c>
      <c r="E2867">
        <v>0.97019051491306696</v>
      </c>
      <c r="F2867">
        <v>1.07477481760333</v>
      </c>
      <c r="G2867">
        <v>0.85225524094697203</v>
      </c>
      <c r="H2867">
        <v>0.88225883453315801</v>
      </c>
      <c r="I2867">
        <v>1.0163223490103399</v>
      </c>
      <c r="J2867">
        <v>1.41795200933169</v>
      </c>
      <c r="K2867">
        <v>1.20823818932111</v>
      </c>
      <c r="L2867">
        <v>15000</v>
      </c>
      <c r="M2867">
        <v>231.534427005895</v>
      </c>
      <c r="O2867">
        <v>64.780362677582204</v>
      </c>
      <c r="P2867">
        <v>0.27978247590386202</v>
      </c>
      <c r="Q2867">
        <v>1.3131181232771301</v>
      </c>
      <c r="R2867">
        <v>0.67280553962554301</v>
      </c>
      <c r="S2867" t="s">
        <v>9673</v>
      </c>
      <c r="T2867" t="s">
        <v>13610</v>
      </c>
      <c r="U2867" t="s">
        <v>13610</v>
      </c>
      <c r="V2867" t="s">
        <v>13610</v>
      </c>
      <c r="W2867" t="s">
        <v>16424</v>
      </c>
      <c r="X2867">
        <v>14</v>
      </c>
      <c r="Y2867" t="s">
        <v>23073</v>
      </c>
      <c r="Z2867" t="s">
        <v>29722</v>
      </c>
      <c r="AA2867">
        <v>1.05438696024247</v>
      </c>
      <c r="AB2867" t="str">
        <f>HYPERLINK("Melting_Curves/meltCurve_P62633_2_CNBP.pdf", "Melting_Curves/meltCurve_P62633_2_CNBP.pdf")</f>
        <v>Melting_Curves/meltCurve_P62633_2_CNBP.pdf</v>
      </c>
    </row>
    <row r="2868" spans="1:28" x14ac:dyDescent="0.25">
      <c r="A2868" t="s">
        <v>2872</v>
      </c>
      <c r="B2868">
        <v>0.995954080203443</v>
      </c>
      <c r="C2868">
        <v>0.95673476651657396</v>
      </c>
      <c r="D2868">
        <v>0.99118135138379904</v>
      </c>
      <c r="E2868">
        <v>0.88239662160335497</v>
      </c>
      <c r="F2868">
        <v>1.2284853339522399</v>
      </c>
      <c r="G2868">
        <v>0.93401900296024298</v>
      </c>
      <c r="H2868">
        <v>0.91666923573392101</v>
      </c>
      <c r="I2868">
        <v>1.0535771274521</v>
      </c>
      <c r="J2868">
        <v>1.2535816529610799</v>
      </c>
      <c r="K2868">
        <v>1.21721726173402</v>
      </c>
      <c r="L2868">
        <v>15000</v>
      </c>
      <c r="M2868">
        <v>233.15324362531001</v>
      </c>
      <c r="O2868">
        <v>64.330635745058302</v>
      </c>
      <c r="P2868">
        <v>0.21329758386835701</v>
      </c>
      <c r="Q2868">
        <v>1.2354085911521799</v>
      </c>
      <c r="R2868">
        <v>0.54355290625436403</v>
      </c>
      <c r="S2868" t="s">
        <v>9674</v>
      </c>
      <c r="T2868" t="s">
        <v>13610</v>
      </c>
      <c r="U2868" t="s">
        <v>13610</v>
      </c>
      <c r="V2868" t="s">
        <v>13610</v>
      </c>
      <c r="W2868" t="s">
        <v>16425</v>
      </c>
      <c r="X2868">
        <v>14</v>
      </c>
      <c r="Y2868" t="s">
        <v>23073</v>
      </c>
      <c r="Z2868" t="s">
        <v>29723</v>
      </c>
      <c r="AA2868">
        <v>1.044419531933823</v>
      </c>
      <c r="AB2868" t="str">
        <f>HYPERLINK("Melting_Curves/meltCurve_P62633_3_CNBP.pdf", "Melting_Curves/meltCurve_P62633_3_CNBP.pdf")</f>
        <v>Melting_Curves/meltCurve_P62633_3_CNBP.pdf</v>
      </c>
    </row>
    <row r="2869" spans="1:28" x14ac:dyDescent="0.25">
      <c r="A2869" t="s">
        <v>2873</v>
      </c>
      <c r="B2869">
        <v>0.995954080203443</v>
      </c>
      <c r="C2869">
        <v>1.0510227988287</v>
      </c>
      <c r="D2869">
        <v>1.09107655034662</v>
      </c>
      <c r="E2869">
        <v>1.0538648241648201</v>
      </c>
      <c r="F2869">
        <v>1.0603070006331199</v>
      </c>
      <c r="G2869">
        <v>0.72052459156562199</v>
      </c>
      <c r="H2869">
        <v>0.77914242200440398</v>
      </c>
      <c r="I2869">
        <v>0.86497201666456802</v>
      </c>
      <c r="J2869">
        <v>1.2990567095298799</v>
      </c>
      <c r="K2869">
        <v>1.0513195535476001</v>
      </c>
      <c r="L2869">
        <v>1941.03398221819</v>
      </c>
      <c r="M2869">
        <v>28.923859896583998</v>
      </c>
      <c r="O2869">
        <v>66.790084721062598</v>
      </c>
      <c r="P2869">
        <v>1.6935552885368899E-2</v>
      </c>
      <c r="Q2869">
        <v>1.15642700675057</v>
      </c>
      <c r="R2869">
        <v>9.5026838599423402E-2</v>
      </c>
      <c r="S2869" t="s">
        <v>9675</v>
      </c>
      <c r="T2869" t="s">
        <v>13610</v>
      </c>
      <c r="U2869" t="s">
        <v>13610</v>
      </c>
      <c r="V2869" t="s">
        <v>13610</v>
      </c>
      <c r="W2869" t="s">
        <v>16426</v>
      </c>
      <c r="X2869">
        <v>14</v>
      </c>
      <c r="Y2869" t="s">
        <v>23073</v>
      </c>
      <c r="Z2869" t="s">
        <v>29724</v>
      </c>
      <c r="AA2869">
        <v>1.0174628836091471</v>
      </c>
      <c r="AB2869" t="str">
        <f>HYPERLINK("Melting_Curves/meltCurve_P62633_4_CNBP.pdf", "Melting_Curves/meltCurve_P62633_4_CNBP.pdf")</f>
        <v>Melting_Curves/meltCurve_P62633_4_CNBP.pdf</v>
      </c>
    </row>
    <row r="2870" spans="1:28" x14ac:dyDescent="0.25">
      <c r="A2870" t="s">
        <v>2874</v>
      </c>
      <c r="B2870">
        <v>0.995954080203443</v>
      </c>
      <c r="C2870">
        <v>1.0659550150436099</v>
      </c>
      <c r="D2870">
        <v>0.89513446413808595</v>
      </c>
      <c r="E2870">
        <v>0.90288791244454703</v>
      </c>
      <c r="F2870">
        <v>0.77251068839327697</v>
      </c>
      <c r="G2870">
        <v>0.47541075790501602</v>
      </c>
      <c r="H2870">
        <v>0.45934460424142798</v>
      </c>
      <c r="I2870">
        <v>0.59482912188735304</v>
      </c>
      <c r="J2870">
        <v>0.59795852753745704</v>
      </c>
      <c r="K2870">
        <v>0.65738026469799604</v>
      </c>
      <c r="L2870">
        <v>2043.3093162703899</v>
      </c>
      <c r="M2870">
        <v>38.966513844598701</v>
      </c>
      <c r="O2870">
        <v>52.300036817175801</v>
      </c>
      <c r="P2870">
        <v>-8.2464667329096894E-2</v>
      </c>
      <c r="Q2870">
        <v>0.557271661070741</v>
      </c>
      <c r="R2870">
        <v>0.87819810378586904</v>
      </c>
      <c r="S2870" t="s">
        <v>9676</v>
      </c>
      <c r="T2870" t="s">
        <v>13610</v>
      </c>
      <c r="U2870" t="s">
        <v>13610</v>
      </c>
      <c r="V2870" t="s">
        <v>13610</v>
      </c>
      <c r="W2870" t="s">
        <v>16427</v>
      </c>
      <c r="X2870">
        <v>13</v>
      </c>
      <c r="Y2870" t="s">
        <v>23073</v>
      </c>
      <c r="Z2870" t="s">
        <v>29725</v>
      </c>
      <c r="AA2870">
        <v>0.74251066820484402</v>
      </c>
      <c r="AB2870" t="str">
        <f>HYPERLINK("Melting_Curves/meltCurve_P62633_5_CNBP.pdf", "Melting_Curves/meltCurve_P62633_5_CNBP.pdf")</f>
        <v>Melting_Curves/meltCurve_P62633_5_CNBP.pdf</v>
      </c>
    </row>
    <row r="2871" spans="1:28" x14ac:dyDescent="0.25">
      <c r="A2871" t="s">
        <v>2875</v>
      </c>
      <c r="B2871">
        <v>0.995954080203443</v>
      </c>
      <c r="C2871">
        <v>0.64091565880314805</v>
      </c>
      <c r="D2871">
        <v>0.448985864239972</v>
      </c>
      <c r="E2871">
        <v>0.54572504205724504</v>
      </c>
      <c r="F2871">
        <v>0.20683062194559701</v>
      </c>
      <c r="G2871">
        <v>0.15808001338581101</v>
      </c>
      <c r="H2871">
        <v>0.165636319890655</v>
      </c>
      <c r="I2871">
        <v>0.10586545826682001</v>
      </c>
      <c r="J2871">
        <v>0.136900900744205</v>
      </c>
      <c r="K2871">
        <v>0.170025259199267</v>
      </c>
      <c r="L2871">
        <v>541.71512821351496</v>
      </c>
      <c r="M2871">
        <v>11.829372531763999</v>
      </c>
      <c r="N2871">
        <v>46.854696843826098</v>
      </c>
      <c r="O2871">
        <v>44.5442032657837</v>
      </c>
      <c r="P2871">
        <v>-5.86078329927767E-2</v>
      </c>
      <c r="Q2871">
        <v>0.117460217730936</v>
      </c>
      <c r="R2871">
        <v>0.89975036900951499</v>
      </c>
      <c r="S2871" t="s">
        <v>9677</v>
      </c>
      <c r="T2871" t="s">
        <v>13610</v>
      </c>
      <c r="U2871" t="s">
        <v>13610</v>
      </c>
      <c r="V2871" t="s">
        <v>13610</v>
      </c>
      <c r="W2871" t="s">
        <v>16428</v>
      </c>
      <c r="X2871">
        <v>4</v>
      </c>
      <c r="Y2871" t="s">
        <v>23074</v>
      </c>
      <c r="Z2871" t="s">
        <v>29726</v>
      </c>
      <c r="AA2871">
        <v>0.32990135161915951</v>
      </c>
      <c r="AB2871" t="str">
        <f>HYPERLINK("Melting_Curves/meltCurve_P62699_YPEL5.pdf", "Melting_Curves/meltCurve_P62699_YPEL5.pdf")</f>
        <v>Melting_Curves/meltCurve_P62699_YPEL5.pdf</v>
      </c>
    </row>
    <row r="2872" spans="1:28" x14ac:dyDescent="0.25">
      <c r="A2872" t="s">
        <v>2876</v>
      </c>
      <c r="B2872">
        <v>0.995954080203443</v>
      </c>
      <c r="C2872">
        <v>0.73300129361046096</v>
      </c>
      <c r="D2872">
        <v>0.38115539375426799</v>
      </c>
      <c r="E2872">
        <v>0.311674148804018</v>
      </c>
      <c r="F2872">
        <v>0.15979916697861599</v>
      </c>
      <c r="G2872">
        <v>7.6447108417372206E-2</v>
      </c>
      <c r="H2872">
        <v>5.0938730905207098E-2</v>
      </c>
      <c r="I2872">
        <v>3.8627650061671598E-2</v>
      </c>
      <c r="J2872">
        <v>4.4137723609078E-2</v>
      </c>
      <c r="K2872">
        <v>4.0876939279618801E-2</v>
      </c>
      <c r="L2872">
        <v>740.02858489819698</v>
      </c>
      <c r="M2872">
        <v>16.3018561512567</v>
      </c>
      <c r="N2872">
        <v>45.682574984061098</v>
      </c>
      <c r="O2872">
        <v>44.728739824292497</v>
      </c>
      <c r="P2872">
        <v>-8.6683371659351902E-2</v>
      </c>
      <c r="Q2872">
        <v>4.8708223395154703E-2</v>
      </c>
      <c r="R2872">
        <v>0.97389408851797199</v>
      </c>
      <c r="S2872" t="s">
        <v>9678</v>
      </c>
      <c r="T2872" t="s">
        <v>13610</v>
      </c>
      <c r="U2872" t="s">
        <v>13610</v>
      </c>
      <c r="V2872" t="s">
        <v>13610</v>
      </c>
      <c r="W2872" t="s">
        <v>16429</v>
      </c>
      <c r="X2872">
        <v>12</v>
      </c>
      <c r="Y2872" t="s">
        <v>23075</v>
      </c>
      <c r="Z2872" t="s">
        <v>29727</v>
      </c>
      <c r="AA2872">
        <v>0.24433128534675561</v>
      </c>
      <c r="AB2872" t="str">
        <f>HYPERLINK("Melting_Curves/meltCurve_P62701_RPS4X.pdf", "Melting_Curves/meltCurve_P62701_RPS4X.pdf")</f>
        <v>Melting_Curves/meltCurve_P62701_RPS4X.pdf</v>
      </c>
    </row>
    <row r="2873" spans="1:28" x14ac:dyDescent="0.25">
      <c r="A2873" t="s">
        <v>2877</v>
      </c>
      <c r="B2873">
        <v>0.995954080203443</v>
      </c>
      <c r="C2873">
        <v>0.94484459743946803</v>
      </c>
      <c r="D2873">
        <v>0.85181194562003304</v>
      </c>
      <c r="E2873">
        <v>0.83838838380122205</v>
      </c>
      <c r="F2873">
        <v>0.73637859093029001</v>
      </c>
      <c r="G2873">
        <v>0.45827752294590401</v>
      </c>
      <c r="H2873">
        <v>0.26007692672236798</v>
      </c>
      <c r="I2873">
        <v>0.12404033205086901</v>
      </c>
      <c r="J2873">
        <v>8.6727511323137205E-2</v>
      </c>
      <c r="K2873">
        <v>8.3236199728954699E-2</v>
      </c>
      <c r="L2873">
        <v>752.11130157664195</v>
      </c>
      <c r="M2873">
        <v>13.384601258222901</v>
      </c>
      <c r="N2873">
        <v>56.192282900703503</v>
      </c>
      <c r="O2873">
        <v>54.982397881548302</v>
      </c>
      <c r="P2873">
        <v>-6.0868169252469698E-2</v>
      </c>
      <c r="Q2873">
        <v>0</v>
      </c>
      <c r="R2873">
        <v>0.98771652324759995</v>
      </c>
      <c r="S2873" t="s">
        <v>9679</v>
      </c>
      <c r="T2873" t="s">
        <v>13610</v>
      </c>
      <c r="U2873" t="s">
        <v>13610</v>
      </c>
      <c r="V2873" t="s">
        <v>13610</v>
      </c>
      <c r="W2873" t="s">
        <v>16430</v>
      </c>
      <c r="X2873">
        <v>19</v>
      </c>
      <c r="Y2873" t="s">
        <v>23076</v>
      </c>
      <c r="Z2873" t="s">
        <v>29728</v>
      </c>
      <c r="AA2873">
        <v>0.55855471938069479</v>
      </c>
      <c r="AB2873" t="str">
        <f>HYPERLINK("Melting_Curves/meltCurve_P62714_PPP2CB.pdf", "Melting_Curves/meltCurve_P62714_PPP2CB.pdf")</f>
        <v>Melting_Curves/meltCurve_P62714_PPP2CB.pdf</v>
      </c>
    </row>
    <row r="2874" spans="1:28" x14ac:dyDescent="0.25">
      <c r="A2874" t="s">
        <v>2878</v>
      </c>
      <c r="B2874">
        <v>0.995954080203443</v>
      </c>
      <c r="C2874">
        <v>1.00293755837777</v>
      </c>
      <c r="D2874">
        <v>0.95499263597067796</v>
      </c>
      <c r="E2874">
        <v>0.88653508434315098</v>
      </c>
      <c r="F2874">
        <v>0.91932102939342597</v>
      </c>
      <c r="G2874">
        <v>0.87065955296938702</v>
      </c>
      <c r="H2874">
        <v>0.97919870474515303</v>
      </c>
      <c r="I2874">
        <v>1.42007919446167</v>
      </c>
      <c r="J2874">
        <v>1.42462782058698</v>
      </c>
      <c r="K2874">
        <v>1.63867791345808</v>
      </c>
      <c r="L2874">
        <v>15000</v>
      </c>
      <c r="M2874">
        <v>236.03424317027699</v>
      </c>
      <c r="O2874">
        <v>63.545539163488499</v>
      </c>
      <c r="P2874">
        <v>0.46430136544352002</v>
      </c>
      <c r="Q2874">
        <v>1.5</v>
      </c>
      <c r="R2874">
        <v>0.90712617668842399</v>
      </c>
      <c r="S2874" t="s">
        <v>9680</v>
      </c>
      <c r="T2874" t="s">
        <v>13610</v>
      </c>
      <c r="U2874" t="s">
        <v>13610</v>
      </c>
      <c r="V2874" t="s">
        <v>13610</v>
      </c>
      <c r="W2874" t="s">
        <v>16431</v>
      </c>
      <c r="X2874">
        <v>11</v>
      </c>
      <c r="Y2874" t="s">
        <v>23077</v>
      </c>
      <c r="Z2874" t="s">
        <v>29729</v>
      </c>
      <c r="AA2874">
        <v>1.1074357555245331</v>
      </c>
      <c r="AB2874" t="str">
        <f>HYPERLINK("Melting_Curves/meltCurve_P62750_RPL23A.pdf", "Melting_Curves/meltCurve_P62750_RPL23A.pdf")</f>
        <v>Melting_Curves/meltCurve_P62750_RPL23A.pdf</v>
      </c>
    </row>
    <row r="2875" spans="1:28" x14ac:dyDescent="0.25">
      <c r="A2875" t="s">
        <v>2879</v>
      </c>
      <c r="B2875">
        <v>0.995954080203443</v>
      </c>
      <c r="C2875">
        <v>0.94132701327476898</v>
      </c>
      <c r="D2875">
        <v>0.80180216531336301</v>
      </c>
      <c r="E2875">
        <v>0.75251064632045905</v>
      </c>
      <c r="F2875">
        <v>0.42387530326268902</v>
      </c>
      <c r="G2875">
        <v>0.24469888559792899</v>
      </c>
      <c r="H2875">
        <v>0.19628852117624901</v>
      </c>
      <c r="I2875">
        <v>0.24876988434490299</v>
      </c>
      <c r="J2875">
        <v>0.30229582405005401</v>
      </c>
      <c r="K2875">
        <v>0.28262102310956499</v>
      </c>
      <c r="L2875">
        <v>998.590333351803</v>
      </c>
      <c r="M2875">
        <v>19.7785664405076</v>
      </c>
      <c r="N2875">
        <v>52.165024345645101</v>
      </c>
      <c r="O2875">
        <v>49.980884521823903</v>
      </c>
      <c r="P2875">
        <v>-7.5664120294479997E-2</v>
      </c>
      <c r="Q2875">
        <v>0.23520624396254</v>
      </c>
      <c r="R2875">
        <v>0.96066510939989802</v>
      </c>
      <c r="S2875" t="s">
        <v>9681</v>
      </c>
      <c r="T2875" t="s">
        <v>13610</v>
      </c>
      <c r="U2875" t="s">
        <v>13610</v>
      </c>
      <c r="V2875" t="s">
        <v>13610</v>
      </c>
      <c r="W2875" t="s">
        <v>16432</v>
      </c>
      <c r="X2875">
        <v>14</v>
      </c>
      <c r="Y2875" t="s">
        <v>23078</v>
      </c>
      <c r="Z2875" t="s">
        <v>29730</v>
      </c>
      <c r="AA2875">
        <v>0.51344974451410075</v>
      </c>
      <c r="AB2875" t="str">
        <f>HYPERLINK("Melting_Curves/meltCurve_P62753_RPS6.pdf", "Melting_Curves/meltCurve_P62753_RPS6.pdf")</f>
        <v>Melting_Curves/meltCurve_P62753_RPS6.pdf</v>
      </c>
    </row>
    <row r="2876" spans="1:28" x14ac:dyDescent="0.25">
      <c r="A2876" t="s">
        <v>2880</v>
      </c>
      <c r="B2876">
        <v>0.995954080203443</v>
      </c>
      <c r="C2876">
        <v>0.88353826246398603</v>
      </c>
      <c r="D2876">
        <v>0.66829500076009896</v>
      </c>
      <c r="E2876">
        <v>0.362787508269521</v>
      </c>
      <c r="F2876">
        <v>0.170025803979546</v>
      </c>
      <c r="G2876">
        <v>9.2377739902042205E-2</v>
      </c>
      <c r="H2876">
        <v>6.1812982516071799E-2</v>
      </c>
      <c r="I2876">
        <v>5.11351281520332E-2</v>
      </c>
      <c r="J2876">
        <v>5.7088473433410003E-2</v>
      </c>
      <c r="K2876">
        <v>5.5872136922092003E-2</v>
      </c>
      <c r="L2876">
        <v>853.06148658785901</v>
      </c>
      <c r="M2876">
        <v>17.8602110542415</v>
      </c>
      <c r="N2876">
        <v>48.020227062238597</v>
      </c>
      <c r="O2876">
        <v>47.176524061258</v>
      </c>
      <c r="P2876">
        <v>-9.03364081752355E-2</v>
      </c>
      <c r="Q2876">
        <v>4.5578825512369699E-2</v>
      </c>
      <c r="R2876">
        <v>0.998730566592407</v>
      </c>
      <c r="S2876" t="s">
        <v>9682</v>
      </c>
      <c r="T2876" t="s">
        <v>13610</v>
      </c>
      <c r="U2876" t="s">
        <v>13610</v>
      </c>
      <c r="V2876" t="s">
        <v>13610</v>
      </c>
      <c r="W2876" t="s">
        <v>16433</v>
      </c>
      <c r="X2876">
        <v>9</v>
      </c>
      <c r="Y2876" t="s">
        <v>23079</v>
      </c>
      <c r="Z2876" t="s">
        <v>29731</v>
      </c>
      <c r="AA2876">
        <v>0.30990491571230788</v>
      </c>
      <c r="AB2876" t="str">
        <f>HYPERLINK("Melting_Curves/meltCurve_P62805_HIST1H4A.pdf", "Melting_Curves/meltCurve_P62805_HIST1H4A.pdf")</f>
        <v>Melting_Curves/meltCurve_P62805_HIST1H4A.pdf</v>
      </c>
    </row>
    <row r="2877" spans="1:28" x14ac:dyDescent="0.25">
      <c r="A2877" t="s">
        <v>2881</v>
      </c>
      <c r="B2877">
        <v>0.995954080203443</v>
      </c>
      <c r="C2877">
        <v>1.0201324079626399</v>
      </c>
      <c r="D2877">
        <v>1.0213511902314401</v>
      </c>
      <c r="E2877">
        <v>0.92591584833946405</v>
      </c>
      <c r="F2877">
        <v>0.819797996212001</v>
      </c>
      <c r="G2877">
        <v>0.33839664228021998</v>
      </c>
      <c r="H2877">
        <v>0.111106541328613</v>
      </c>
      <c r="I2877">
        <v>9.1661084909274798E-2</v>
      </c>
      <c r="J2877">
        <v>9.44018162086111E-2</v>
      </c>
      <c r="K2877">
        <v>8.2267505339449196E-2</v>
      </c>
      <c r="L2877">
        <v>1717.50779302614</v>
      </c>
      <c r="M2877">
        <v>31.071337341741099</v>
      </c>
      <c r="N2877">
        <v>55.583765728066602</v>
      </c>
      <c r="O2877">
        <v>55.048821341469498</v>
      </c>
      <c r="P2877">
        <v>-0.12996651935571299</v>
      </c>
      <c r="Q2877">
        <v>7.8962957131101297E-2</v>
      </c>
      <c r="R2877">
        <v>0.99819846131459899</v>
      </c>
      <c r="S2877" t="s">
        <v>9683</v>
      </c>
      <c r="T2877" t="s">
        <v>13610</v>
      </c>
      <c r="U2877" t="s">
        <v>13610</v>
      </c>
      <c r="V2877" t="s">
        <v>13610</v>
      </c>
      <c r="W2877" t="s">
        <v>16434</v>
      </c>
      <c r="X2877">
        <v>13</v>
      </c>
      <c r="Y2877" t="s">
        <v>23080</v>
      </c>
      <c r="Z2877" t="s">
        <v>29732</v>
      </c>
      <c r="AA2877">
        <v>0.55369339329504708</v>
      </c>
      <c r="AB2877" t="str">
        <f>HYPERLINK("Melting_Curves/meltCurve_P62820_RAB1A.pdf", "Melting_Curves/meltCurve_P62820_RAB1A.pdf")</f>
        <v>Melting_Curves/meltCurve_P62820_RAB1A.pdf</v>
      </c>
    </row>
    <row r="2878" spans="1:28" x14ac:dyDescent="0.25">
      <c r="A2878" t="s">
        <v>2882</v>
      </c>
      <c r="B2878">
        <v>0.995954080203443</v>
      </c>
      <c r="C2878">
        <v>0.97524098333840503</v>
      </c>
      <c r="D2878">
        <v>1.0436005197688401</v>
      </c>
      <c r="E2878">
        <v>0.86052764136828896</v>
      </c>
      <c r="F2878">
        <v>0.80229894577779703</v>
      </c>
      <c r="G2878">
        <v>0.50843251724313898</v>
      </c>
      <c r="H2878">
        <v>0.191447801739135</v>
      </c>
      <c r="I2878">
        <v>7.3567989646295406E-2</v>
      </c>
      <c r="J2878">
        <v>7.1205921695842597E-2</v>
      </c>
      <c r="K2878">
        <v>6.7583172788790294E-2</v>
      </c>
      <c r="L2878">
        <v>1095.9643568009801</v>
      </c>
      <c r="M2878">
        <v>19.355799896411899</v>
      </c>
      <c r="N2878">
        <v>56.715464189030001</v>
      </c>
      <c r="O2878">
        <v>56.028017603563697</v>
      </c>
      <c r="P2878">
        <v>-8.5014248935895403E-2</v>
      </c>
      <c r="Q2878">
        <v>1.56948494663618E-2</v>
      </c>
      <c r="R2878">
        <v>0.99243101917403298</v>
      </c>
      <c r="S2878" t="s">
        <v>9684</v>
      </c>
      <c r="T2878" t="s">
        <v>13610</v>
      </c>
      <c r="U2878" t="s">
        <v>13610</v>
      </c>
      <c r="V2878" t="s">
        <v>13610</v>
      </c>
      <c r="W2878" t="s">
        <v>16435</v>
      </c>
      <c r="X2878">
        <v>14</v>
      </c>
      <c r="Y2878" t="s">
        <v>23081</v>
      </c>
      <c r="Z2878" t="s">
        <v>29733</v>
      </c>
      <c r="AA2878">
        <v>0.57388573642840335</v>
      </c>
      <c r="AB2878" t="str">
        <f>HYPERLINK("Melting_Curves/meltCurve_P62826_RAN.pdf", "Melting_Curves/meltCurve_P62826_RAN.pdf")</f>
        <v>Melting_Curves/meltCurve_P62826_RAN.pdf</v>
      </c>
    </row>
    <row r="2879" spans="1:28" x14ac:dyDescent="0.25">
      <c r="A2879" t="s">
        <v>2883</v>
      </c>
      <c r="B2879">
        <v>0.995954080203443</v>
      </c>
      <c r="C2879">
        <v>0.84381933844257295</v>
      </c>
      <c r="D2879">
        <v>0.54706433301433899</v>
      </c>
      <c r="E2879">
        <v>0.32140088329771099</v>
      </c>
      <c r="F2879">
        <v>0.19878107595435601</v>
      </c>
      <c r="G2879">
        <v>0.13042452903774901</v>
      </c>
      <c r="H2879">
        <v>0.108977056479914</v>
      </c>
      <c r="I2879">
        <v>0.12731986116897301</v>
      </c>
      <c r="J2879">
        <v>0.12793794089376401</v>
      </c>
      <c r="K2879">
        <v>0.14652581214820701</v>
      </c>
      <c r="L2879">
        <v>891.062683450245</v>
      </c>
      <c r="M2879">
        <v>19.299116511037798</v>
      </c>
      <c r="N2879">
        <v>46.871263986078503</v>
      </c>
      <c r="O2879">
        <v>45.683989498418498</v>
      </c>
      <c r="P2879">
        <v>-9.2391167752784706E-2</v>
      </c>
      <c r="Q2879">
        <v>0.125215844375933</v>
      </c>
      <c r="R2879">
        <v>0.99490595642691404</v>
      </c>
      <c r="S2879" t="s">
        <v>9685</v>
      </c>
      <c r="T2879" t="s">
        <v>13610</v>
      </c>
      <c r="U2879" t="s">
        <v>13610</v>
      </c>
      <c r="V2879" t="s">
        <v>13610</v>
      </c>
      <c r="W2879" t="s">
        <v>16436</v>
      </c>
      <c r="X2879">
        <v>7</v>
      </c>
      <c r="Y2879" t="s">
        <v>23082</v>
      </c>
      <c r="Z2879" t="s">
        <v>29734</v>
      </c>
      <c r="AA2879">
        <v>0.31966007671632829</v>
      </c>
      <c r="AB2879" t="str">
        <f>HYPERLINK("Melting_Curves/meltCurve_P62829_RPL23.pdf", "Melting_Curves/meltCurve_P62829_RPL23.pdf")</f>
        <v>Melting_Curves/meltCurve_P62829_RPL23.pdf</v>
      </c>
    </row>
    <row r="2880" spans="1:28" x14ac:dyDescent="0.25">
      <c r="A2880" t="s">
        <v>2884</v>
      </c>
      <c r="B2880">
        <v>0.995954080203443</v>
      </c>
      <c r="C2880">
        <v>0.97194252505726197</v>
      </c>
      <c r="D2880">
        <v>0.89467134430448303</v>
      </c>
      <c r="E2880">
        <v>0.84848590999238005</v>
      </c>
      <c r="F2880">
        <v>0.56420441894636297</v>
      </c>
      <c r="G2880">
        <v>0.26969233167971302</v>
      </c>
      <c r="H2880">
        <v>0.131378760342648</v>
      </c>
      <c r="I2880">
        <v>8.9468360558406304E-2</v>
      </c>
      <c r="J2880">
        <v>7.7793528323050101E-2</v>
      </c>
      <c r="K2880">
        <v>6.9216187827225994E-2</v>
      </c>
      <c r="L2880">
        <v>1054.9869197062601</v>
      </c>
      <c r="M2880">
        <v>19.712847660045799</v>
      </c>
      <c r="N2880">
        <v>53.844330501406603</v>
      </c>
      <c r="O2880">
        <v>52.9761198188626</v>
      </c>
      <c r="P2880">
        <v>-8.7788134118995997E-2</v>
      </c>
      <c r="Q2880">
        <v>5.6348551449097901E-2</v>
      </c>
      <c r="R2880">
        <v>0.995408907237887</v>
      </c>
      <c r="S2880" t="s">
        <v>9686</v>
      </c>
      <c r="T2880" t="s">
        <v>13610</v>
      </c>
      <c r="U2880" t="s">
        <v>13610</v>
      </c>
      <c r="V2880" t="s">
        <v>13610</v>
      </c>
      <c r="W2880" t="s">
        <v>16437</v>
      </c>
      <c r="X2880">
        <v>10</v>
      </c>
      <c r="Y2880" t="s">
        <v>23083</v>
      </c>
      <c r="Z2880" t="s">
        <v>29735</v>
      </c>
      <c r="AA2880">
        <v>0.49477216722038853</v>
      </c>
      <c r="AB2880" t="str">
        <f>HYPERLINK("Melting_Curves/meltCurve_P62834_RAP1A.pdf", "Melting_Curves/meltCurve_P62834_RAP1A.pdf")</f>
        <v>Melting_Curves/meltCurve_P62834_RAP1A.pdf</v>
      </c>
    </row>
    <row r="2881" spans="1:28" x14ac:dyDescent="0.25">
      <c r="A2881" t="s">
        <v>2885</v>
      </c>
      <c r="B2881">
        <v>0.995954080203443</v>
      </c>
      <c r="C2881">
        <v>0.92209368514608203</v>
      </c>
      <c r="D2881">
        <v>1.2801143711424701</v>
      </c>
      <c r="E2881">
        <v>0.94816912336079195</v>
      </c>
      <c r="F2881">
        <v>1.07749987763965</v>
      </c>
      <c r="G2881">
        <v>0.89465456356544504</v>
      </c>
      <c r="H2881">
        <v>0.42283401334870102</v>
      </c>
      <c r="I2881">
        <v>0.13545980609376099</v>
      </c>
      <c r="J2881">
        <v>8.2511576697708394E-2</v>
      </c>
      <c r="K2881">
        <v>8.6626109917907604E-2</v>
      </c>
      <c r="L2881">
        <v>2417.4067945235402</v>
      </c>
      <c r="M2881">
        <v>40.167711018437799</v>
      </c>
      <c r="N2881">
        <v>60.414471463548999</v>
      </c>
      <c r="O2881">
        <v>60.0342471566155</v>
      </c>
      <c r="P2881">
        <v>-0.15533193718848601</v>
      </c>
      <c r="Q2881">
        <v>7.1371840067853506E-2</v>
      </c>
      <c r="R2881">
        <v>0.94933740881331596</v>
      </c>
      <c r="S2881" t="s">
        <v>9687</v>
      </c>
      <c r="T2881" t="s">
        <v>13610</v>
      </c>
      <c r="U2881" t="s">
        <v>13610</v>
      </c>
      <c r="V2881" t="s">
        <v>13610</v>
      </c>
      <c r="W2881" t="s">
        <v>16438</v>
      </c>
      <c r="X2881">
        <v>6</v>
      </c>
      <c r="Y2881" t="s">
        <v>23084</v>
      </c>
      <c r="Z2881" t="s">
        <v>29736</v>
      </c>
      <c r="AA2881">
        <v>0.69971031189602395</v>
      </c>
      <c r="AB2881" t="str">
        <f>HYPERLINK("Melting_Curves/meltCurve_P62837_UBE2D2.pdf", "Melting_Curves/meltCurve_P62837_UBE2D2.pdf")</f>
        <v>Melting_Curves/meltCurve_P62837_UBE2D2.pdf</v>
      </c>
    </row>
    <row r="2882" spans="1:28" x14ac:dyDescent="0.25">
      <c r="A2882" t="s">
        <v>2886</v>
      </c>
      <c r="B2882">
        <v>0.995954080203443</v>
      </c>
      <c r="C2882">
        <v>0.72043965080202599</v>
      </c>
      <c r="D2882">
        <v>0.41912005292113702</v>
      </c>
      <c r="E2882">
        <v>0.349907766116068</v>
      </c>
      <c r="F2882">
        <v>0.16524063207815801</v>
      </c>
      <c r="G2882">
        <v>8.3288473283713596E-2</v>
      </c>
      <c r="H2882">
        <v>5.5132658205708403E-2</v>
      </c>
      <c r="I2882">
        <v>4.7299071749371903E-2</v>
      </c>
      <c r="J2882">
        <v>5.3388679415312203E-2</v>
      </c>
      <c r="K2882">
        <v>4.9270127000485303E-2</v>
      </c>
      <c r="L2882">
        <v>674.70216128884294</v>
      </c>
      <c r="M2882">
        <v>14.746321284452501</v>
      </c>
      <c r="N2882">
        <v>46.052195715823203</v>
      </c>
      <c r="O2882">
        <v>44.937241730649603</v>
      </c>
      <c r="P2882">
        <v>-7.8310543051815201E-2</v>
      </c>
      <c r="Q2882">
        <v>4.5544062465171099E-2</v>
      </c>
      <c r="R2882">
        <v>0.97350353374667897</v>
      </c>
      <c r="S2882" t="s">
        <v>9688</v>
      </c>
      <c r="T2882" t="s">
        <v>13610</v>
      </c>
      <c r="U2882" t="s">
        <v>13610</v>
      </c>
      <c r="V2882" t="s">
        <v>13610</v>
      </c>
      <c r="W2882" t="s">
        <v>16439</v>
      </c>
      <c r="X2882">
        <v>3</v>
      </c>
      <c r="Y2882" t="s">
        <v>23085</v>
      </c>
      <c r="Z2882" t="s">
        <v>29737</v>
      </c>
      <c r="AA2882">
        <v>0.25811491707122253</v>
      </c>
      <c r="AB2882" t="str">
        <f>HYPERLINK("Melting_Curves/meltCurve_P62847_2_RPS24.pdf", "Melting_Curves/meltCurve_P62847_2_RPS24.pdf")</f>
        <v>Melting_Curves/meltCurve_P62847_2_RPS24.pdf</v>
      </c>
    </row>
    <row r="2883" spans="1:28" x14ac:dyDescent="0.25">
      <c r="A2883" t="s">
        <v>2887</v>
      </c>
      <c r="B2883">
        <v>0.995954080203443</v>
      </c>
      <c r="C2883">
        <v>1.0825589225468899</v>
      </c>
      <c r="D2883">
        <v>0.91428983907333095</v>
      </c>
      <c r="E2883">
        <v>0.79267174431699405</v>
      </c>
      <c r="F2883">
        <v>0.44143508072733501</v>
      </c>
      <c r="G2883">
        <v>0.21883977176977501</v>
      </c>
      <c r="H2883">
        <v>0.10494137492087099</v>
      </c>
      <c r="I2883">
        <v>9.0403774832449796E-2</v>
      </c>
      <c r="J2883">
        <v>0.104051792242857</v>
      </c>
      <c r="K2883">
        <v>0.114120263459443</v>
      </c>
      <c r="L2883">
        <v>1291.5570106855801</v>
      </c>
      <c r="M2883">
        <v>24.761650666892699</v>
      </c>
      <c r="N2883">
        <v>52.619016203144</v>
      </c>
      <c r="O2883">
        <v>51.822943676005302</v>
      </c>
      <c r="P2883">
        <v>-0.107842294045742</v>
      </c>
      <c r="Q2883">
        <v>9.7212515670018998E-2</v>
      </c>
      <c r="R2883">
        <v>0.99180151046045295</v>
      </c>
      <c r="S2883" t="s">
        <v>9689</v>
      </c>
      <c r="T2883" t="s">
        <v>13610</v>
      </c>
      <c r="U2883" t="s">
        <v>13610</v>
      </c>
      <c r="V2883" t="s">
        <v>13610</v>
      </c>
      <c r="W2883" t="s">
        <v>16440</v>
      </c>
      <c r="X2883">
        <v>4</v>
      </c>
      <c r="Y2883" t="s">
        <v>23086</v>
      </c>
      <c r="Z2883" t="s">
        <v>29738</v>
      </c>
      <c r="AA2883">
        <v>0.47153642356733733</v>
      </c>
      <c r="AB2883" t="str">
        <f>HYPERLINK("Melting_Curves/meltCurve_P62851_RPS25.pdf", "Melting_Curves/meltCurve_P62851_RPS25.pdf")</f>
        <v>Melting_Curves/meltCurve_P62851_RPS25.pdf</v>
      </c>
    </row>
    <row r="2884" spans="1:28" x14ac:dyDescent="0.25">
      <c r="A2884" t="s">
        <v>2888</v>
      </c>
      <c r="B2884">
        <v>0.995954080203443</v>
      </c>
      <c r="C2884">
        <v>0.67585111078308402</v>
      </c>
      <c r="D2884">
        <v>0.473146577108985</v>
      </c>
      <c r="E2884">
        <v>0.59093637560277201</v>
      </c>
      <c r="F2884">
        <v>0.34512130679556602</v>
      </c>
      <c r="G2884">
        <v>0.16750407876946899</v>
      </c>
      <c r="H2884">
        <v>0.12868841639707701</v>
      </c>
      <c r="I2884">
        <v>9.8463036965041398E-2</v>
      </c>
      <c r="J2884">
        <v>0.125227039692549</v>
      </c>
      <c r="K2884">
        <v>0.14190405063105699</v>
      </c>
      <c r="L2884">
        <v>441.16824106917301</v>
      </c>
      <c r="M2884">
        <v>9.2384132116998003</v>
      </c>
      <c r="N2884">
        <v>48.314974019289401</v>
      </c>
      <c r="O2884">
        <v>45.6760909936784</v>
      </c>
      <c r="P2884">
        <v>-4.8023498082410097E-2</v>
      </c>
      <c r="Q2884">
        <v>5.0883102605009098E-2</v>
      </c>
      <c r="R2884">
        <v>0.90825575905891798</v>
      </c>
      <c r="S2884" t="s">
        <v>9690</v>
      </c>
      <c r="T2884" t="s">
        <v>13610</v>
      </c>
      <c r="U2884" t="s">
        <v>13610</v>
      </c>
      <c r="V2884" t="s">
        <v>13610</v>
      </c>
      <c r="W2884" t="s">
        <v>16441</v>
      </c>
      <c r="X2884">
        <v>3</v>
      </c>
      <c r="Y2884" t="s">
        <v>23087</v>
      </c>
      <c r="Z2884" t="s">
        <v>29739</v>
      </c>
      <c r="AA2884">
        <v>0.35401647283190851</v>
      </c>
      <c r="AB2884" t="str">
        <f>HYPERLINK("Melting_Curves/meltCurve_P62854_RPS26.pdf", "Melting_Curves/meltCurve_P62854_RPS26.pdf")</f>
        <v>Melting_Curves/meltCurve_P62854_RPS26.pdf</v>
      </c>
    </row>
    <row r="2885" spans="1:28" x14ac:dyDescent="0.25">
      <c r="A2885" t="s">
        <v>2889</v>
      </c>
      <c r="B2885">
        <v>0.995954080203443</v>
      </c>
      <c r="C2885">
        <v>0.90425898108082003</v>
      </c>
      <c r="D2885">
        <v>0.934433655066361</v>
      </c>
      <c r="E2885">
        <v>0.82553303985659998</v>
      </c>
      <c r="F2885">
        <v>0.76396427659905197</v>
      </c>
      <c r="G2885">
        <v>0.55251460281575204</v>
      </c>
      <c r="H2885">
        <v>0.54564467533536598</v>
      </c>
      <c r="I2885">
        <v>0.60492441487573301</v>
      </c>
      <c r="J2885">
        <v>0.84241309047652602</v>
      </c>
      <c r="K2885">
        <v>0.75105347202077199</v>
      </c>
      <c r="L2885">
        <v>1093.5682580380101</v>
      </c>
      <c r="M2885">
        <v>22.207483489424099</v>
      </c>
      <c r="O2885">
        <v>48.849147800138802</v>
      </c>
      <c r="P2885">
        <v>-3.8120152244499099E-2</v>
      </c>
      <c r="Q2885">
        <v>0.66460010240925604</v>
      </c>
      <c r="R2885">
        <v>0.63736238590105898</v>
      </c>
      <c r="S2885" t="s">
        <v>9691</v>
      </c>
      <c r="T2885" t="s">
        <v>13610</v>
      </c>
      <c r="U2885" t="s">
        <v>13610</v>
      </c>
      <c r="V2885" t="s">
        <v>13610</v>
      </c>
      <c r="W2885" t="s">
        <v>16442</v>
      </c>
      <c r="X2885">
        <v>5</v>
      </c>
      <c r="Y2885" t="s">
        <v>23088</v>
      </c>
      <c r="Z2885" t="s">
        <v>29740</v>
      </c>
      <c r="AA2885">
        <v>0.77173190156162841</v>
      </c>
      <c r="AB2885" t="str">
        <f>HYPERLINK("Melting_Curves/meltCurve_P62857_RPS28.pdf", "Melting_Curves/meltCurve_P62857_RPS28.pdf")</f>
        <v>Melting_Curves/meltCurve_P62857_RPS28.pdf</v>
      </c>
    </row>
    <row r="2886" spans="1:28" x14ac:dyDescent="0.25">
      <c r="A2886" t="s">
        <v>2890</v>
      </c>
      <c r="B2886">
        <v>0.995954080203443</v>
      </c>
      <c r="C2886">
        <v>1.06303669907833</v>
      </c>
      <c r="D2886">
        <v>0.944629402453384</v>
      </c>
      <c r="E2886">
        <v>0.92135749777665799</v>
      </c>
      <c r="F2886">
        <v>0.73987060018043604</v>
      </c>
      <c r="G2886">
        <v>0.60480520714752695</v>
      </c>
      <c r="H2886">
        <v>0.50342925514759995</v>
      </c>
      <c r="I2886">
        <v>0.596800802289572</v>
      </c>
      <c r="J2886">
        <v>0.67782599905472396</v>
      </c>
      <c r="K2886">
        <v>0.68380883238697798</v>
      </c>
      <c r="L2886">
        <v>1975.3074203133499</v>
      </c>
      <c r="M2886">
        <v>38.081072876013799</v>
      </c>
      <c r="O2886">
        <v>51.728686237875699</v>
      </c>
      <c r="P2886">
        <v>-7.1455879885544707E-2</v>
      </c>
      <c r="Q2886">
        <v>0.61174314178043598</v>
      </c>
      <c r="R2886">
        <v>0.91354104750116405</v>
      </c>
      <c r="S2886" t="s">
        <v>9692</v>
      </c>
      <c r="T2886" t="s">
        <v>13610</v>
      </c>
      <c r="U2886" t="s">
        <v>13610</v>
      </c>
      <c r="V2886" t="s">
        <v>13610</v>
      </c>
      <c r="W2886" t="s">
        <v>16443</v>
      </c>
      <c r="X2886">
        <v>1</v>
      </c>
      <c r="Y2886" t="s">
        <v>23089</v>
      </c>
      <c r="Z2886" t="s">
        <v>29741</v>
      </c>
      <c r="AA2886">
        <v>0.7669138679076466</v>
      </c>
      <c r="AB2886" t="str">
        <f>HYPERLINK("Melting_Curves/meltCurve_P62861_FAU.pdf", "Melting_Curves/meltCurve_P62861_FAU.pdf")</f>
        <v>Melting_Curves/meltCurve_P62861_FAU.pdf</v>
      </c>
    </row>
    <row r="2887" spans="1:28" x14ac:dyDescent="0.25">
      <c r="A2887" t="s">
        <v>2891</v>
      </c>
      <c r="B2887">
        <v>0.995954080203443</v>
      </c>
      <c r="C2887">
        <v>0.81990944513374098</v>
      </c>
      <c r="D2887">
        <v>0.74495020367400899</v>
      </c>
      <c r="E2887">
        <v>0.73287347633515798</v>
      </c>
      <c r="F2887">
        <v>0.294168331299831</v>
      </c>
      <c r="G2887">
        <v>0.11839591803143699</v>
      </c>
      <c r="H2887">
        <v>8.0503251336752402E-2</v>
      </c>
      <c r="I2887">
        <v>6.7604768408471003E-2</v>
      </c>
      <c r="J2887">
        <v>7.5961122214438903E-2</v>
      </c>
      <c r="K2887">
        <v>5.5804243288716603E-2</v>
      </c>
      <c r="L2887">
        <v>703.31091314892399</v>
      </c>
      <c r="M2887">
        <v>13.8498982882824</v>
      </c>
      <c r="N2887">
        <v>50.850380688913603</v>
      </c>
      <c r="O2887">
        <v>49.757415328487198</v>
      </c>
      <c r="P2887">
        <v>-6.8944685048241305E-2</v>
      </c>
      <c r="Q2887">
        <v>9.3688738402579897E-3</v>
      </c>
      <c r="R2887">
        <v>0.95434400432361899</v>
      </c>
      <c r="S2887" t="s">
        <v>9693</v>
      </c>
      <c r="T2887" t="s">
        <v>13610</v>
      </c>
      <c r="U2887" t="s">
        <v>13610</v>
      </c>
      <c r="V2887" t="s">
        <v>13610</v>
      </c>
      <c r="W2887" t="s">
        <v>16444</v>
      </c>
      <c r="X2887">
        <v>4</v>
      </c>
      <c r="Y2887" t="s">
        <v>23090</v>
      </c>
      <c r="Z2887" t="s">
        <v>29742</v>
      </c>
      <c r="AA2887">
        <v>0.3916419042881919</v>
      </c>
      <c r="AB2887" t="str">
        <f>HYPERLINK("Melting_Curves/meltCurve_P62873_GNB1.pdf", "Melting_Curves/meltCurve_P62873_GNB1.pdf")</f>
        <v>Melting_Curves/meltCurve_P62873_GNB1.pdf</v>
      </c>
    </row>
    <row r="2888" spans="1:28" x14ac:dyDescent="0.25">
      <c r="A2888" t="s">
        <v>2892</v>
      </c>
      <c r="B2888">
        <v>0.995954080203443</v>
      </c>
      <c r="C2888">
        <v>0.73387333940674004</v>
      </c>
      <c r="D2888">
        <v>0.64204715736906104</v>
      </c>
      <c r="E2888">
        <v>0.64537435282332101</v>
      </c>
      <c r="F2888">
        <v>0.55000899610925702</v>
      </c>
      <c r="G2888">
        <v>0.36714012748043301</v>
      </c>
      <c r="H2888">
        <v>0.32644235680185801</v>
      </c>
      <c r="I2888">
        <v>0.305217641489894</v>
      </c>
      <c r="J2888">
        <v>0.55950384472802095</v>
      </c>
      <c r="K2888">
        <v>0.31364937099847101</v>
      </c>
      <c r="L2888">
        <v>484.49382160823501</v>
      </c>
      <c r="M2888">
        <v>10.388177543397401</v>
      </c>
      <c r="N2888">
        <v>52.599694938022701</v>
      </c>
      <c r="O2888">
        <v>45.009930328156599</v>
      </c>
      <c r="P2888">
        <v>-3.7755154786252E-2</v>
      </c>
      <c r="Q2888">
        <v>0.34593198468517</v>
      </c>
      <c r="R2888">
        <v>0.81936729543016595</v>
      </c>
      <c r="S2888" t="s">
        <v>9694</v>
      </c>
      <c r="T2888" t="s">
        <v>13610</v>
      </c>
      <c r="U2888" t="s">
        <v>13610</v>
      </c>
      <c r="V2888" t="s">
        <v>13610</v>
      </c>
      <c r="W2888" t="s">
        <v>16445</v>
      </c>
      <c r="X2888">
        <v>2</v>
      </c>
      <c r="Y2888" t="s">
        <v>23091</v>
      </c>
      <c r="Z2888" t="s">
        <v>29743</v>
      </c>
      <c r="AA2888">
        <v>0.52705504610216447</v>
      </c>
      <c r="AB2888" t="str">
        <f>HYPERLINK("Melting_Curves/meltCurve_P62877_RBX1.pdf", "Melting_Curves/meltCurve_P62877_RBX1.pdf")</f>
        <v>Melting_Curves/meltCurve_P62877_RBX1.pdf</v>
      </c>
    </row>
    <row r="2889" spans="1:28" x14ac:dyDescent="0.25">
      <c r="A2889" t="s">
        <v>2893</v>
      </c>
      <c r="B2889">
        <v>0.995954080203443</v>
      </c>
      <c r="C2889">
        <v>0.79164677899219504</v>
      </c>
      <c r="D2889">
        <v>0.61199467408931996</v>
      </c>
      <c r="E2889">
        <v>0.67437219960412897</v>
      </c>
      <c r="F2889">
        <v>0.343552905108232</v>
      </c>
      <c r="G2889">
        <v>0.16581863550984099</v>
      </c>
      <c r="H2889">
        <v>9.7542028880329701E-2</v>
      </c>
      <c r="I2889">
        <v>8.7553458073391294E-2</v>
      </c>
      <c r="J2889">
        <v>0.106954803718789</v>
      </c>
      <c r="K2889">
        <v>9.7120250650262405E-2</v>
      </c>
      <c r="L2889">
        <v>510.85437233594303</v>
      </c>
      <c r="M2889">
        <v>10.2090091958766</v>
      </c>
      <c r="N2889">
        <v>50.1066973955622</v>
      </c>
      <c r="O2889">
        <v>48.233550247241801</v>
      </c>
      <c r="P2889">
        <v>-5.2578748726885401E-2</v>
      </c>
      <c r="Q2889">
        <v>6.7907673925898197E-3</v>
      </c>
      <c r="R2889">
        <v>0.94746492530652804</v>
      </c>
      <c r="S2889" t="s">
        <v>9695</v>
      </c>
      <c r="T2889" t="s">
        <v>13610</v>
      </c>
      <c r="U2889" t="s">
        <v>13610</v>
      </c>
      <c r="V2889" t="s">
        <v>13610</v>
      </c>
      <c r="W2889" t="s">
        <v>16446</v>
      </c>
      <c r="X2889">
        <v>5</v>
      </c>
      <c r="Y2889" t="s">
        <v>23092</v>
      </c>
      <c r="Z2889" t="s">
        <v>29744</v>
      </c>
      <c r="AA2889">
        <v>0.38267404617898138</v>
      </c>
      <c r="AB2889" t="str">
        <f>HYPERLINK("Melting_Curves/meltCurve_P62906_RPL10A.pdf", "Melting_Curves/meltCurve_P62906_RPL10A.pdf")</f>
        <v>Melting_Curves/meltCurve_P62906_RPL10A.pdf</v>
      </c>
    </row>
    <row r="2890" spans="1:28" x14ac:dyDescent="0.25">
      <c r="A2890" t="s">
        <v>2894</v>
      </c>
      <c r="B2890">
        <v>0.995954080203443</v>
      </c>
      <c r="C2890">
        <v>0.57624632479150295</v>
      </c>
      <c r="D2890">
        <v>0.34654505544654202</v>
      </c>
      <c r="E2890">
        <v>0.367223925246695</v>
      </c>
      <c r="F2890">
        <v>0.18046345910553299</v>
      </c>
      <c r="G2890">
        <v>9.6753510391540898E-2</v>
      </c>
      <c r="H2890">
        <v>7.8510561297823495E-2</v>
      </c>
      <c r="I2890">
        <v>9.1939615165883101E-2</v>
      </c>
      <c r="J2890">
        <v>8.8979138934628998E-2</v>
      </c>
      <c r="K2890">
        <v>9.1673953970503694E-2</v>
      </c>
      <c r="L2890">
        <v>706.06690725699502</v>
      </c>
      <c r="M2890">
        <v>15.960406826407301</v>
      </c>
      <c r="N2890">
        <v>44.853794073706901</v>
      </c>
      <c r="O2890">
        <v>43.561647020284703</v>
      </c>
      <c r="P2890">
        <v>-8.2599709235690794E-2</v>
      </c>
      <c r="Q2890">
        <v>9.8295207399692802E-2</v>
      </c>
      <c r="R2890">
        <v>0.93290357374649702</v>
      </c>
      <c r="S2890" t="s">
        <v>9696</v>
      </c>
      <c r="T2890" t="s">
        <v>13610</v>
      </c>
      <c r="U2890" t="s">
        <v>13610</v>
      </c>
      <c r="V2890" t="s">
        <v>13610</v>
      </c>
      <c r="W2890" t="s">
        <v>16447</v>
      </c>
      <c r="X2890">
        <v>6</v>
      </c>
      <c r="Y2890" t="s">
        <v>23093</v>
      </c>
      <c r="Z2890" t="s">
        <v>29745</v>
      </c>
      <c r="AA2890">
        <v>0.25354138784134322</v>
      </c>
      <c r="AB2890" t="str">
        <f>HYPERLINK("Melting_Curves/meltCurve_P62913_2_RPL11.pdf", "Melting_Curves/meltCurve_P62913_2_RPL11.pdf")</f>
        <v>Melting_Curves/meltCurve_P62913_2_RPL11.pdf</v>
      </c>
    </row>
    <row r="2891" spans="1:28" x14ac:dyDescent="0.25">
      <c r="A2891" t="s">
        <v>2895</v>
      </c>
      <c r="B2891">
        <v>0.995954080203443</v>
      </c>
      <c r="C2891">
        <v>0.99162325131422402</v>
      </c>
      <c r="D2891">
        <v>0.90030068218942905</v>
      </c>
      <c r="E2891">
        <v>0.78228726350863498</v>
      </c>
      <c r="F2891">
        <v>0.31670225706329302</v>
      </c>
      <c r="G2891">
        <v>0.10284877203607599</v>
      </c>
      <c r="H2891">
        <v>6.5653620177701905E-2</v>
      </c>
      <c r="I2891">
        <v>5.3029322450746701E-2</v>
      </c>
      <c r="J2891">
        <v>6.0936516580242003E-2</v>
      </c>
      <c r="K2891">
        <v>5.6146496502127698E-2</v>
      </c>
      <c r="L2891">
        <v>1755.5383457103901</v>
      </c>
      <c r="M2891">
        <v>34.023786262098199</v>
      </c>
      <c r="N2891">
        <v>51.784765358362002</v>
      </c>
      <c r="O2891">
        <v>51.420115522552102</v>
      </c>
      <c r="P2891">
        <v>-0.15583945657536399</v>
      </c>
      <c r="Q2891">
        <v>5.7923637730042402E-2</v>
      </c>
      <c r="R2891">
        <v>0.99515852816431805</v>
      </c>
      <c r="S2891" t="s">
        <v>9697</v>
      </c>
      <c r="T2891" t="s">
        <v>13610</v>
      </c>
      <c r="U2891" t="s">
        <v>13610</v>
      </c>
      <c r="V2891" t="s">
        <v>13610</v>
      </c>
      <c r="W2891" t="s">
        <v>16448</v>
      </c>
      <c r="X2891">
        <v>15</v>
      </c>
      <c r="Y2891" t="s">
        <v>23094</v>
      </c>
      <c r="Z2891" t="s">
        <v>29746</v>
      </c>
      <c r="AA2891">
        <v>0.42676121810087497</v>
      </c>
      <c r="AB2891" t="str">
        <f>HYPERLINK("Melting_Curves/meltCurve_P62937_PPIA.pdf", "Melting_Curves/meltCurve_P62937_PPIA.pdf")</f>
        <v>Melting_Curves/meltCurve_P62937_PPIA.pdf</v>
      </c>
    </row>
    <row r="2892" spans="1:28" x14ac:dyDescent="0.25">
      <c r="A2892" t="s">
        <v>2896</v>
      </c>
      <c r="B2892">
        <v>0.995954080203443</v>
      </c>
      <c r="C2892">
        <v>0.92818635175255704</v>
      </c>
      <c r="D2892">
        <v>0.88957052825546301</v>
      </c>
      <c r="E2892">
        <v>0.81844494617391195</v>
      </c>
      <c r="F2892">
        <v>0.77407405921897598</v>
      </c>
      <c r="G2892">
        <v>0.54456299642631001</v>
      </c>
      <c r="H2892">
        <v>0.46698727889755098</v>
      </c>
      <c r="I2892">
        <v>0.463316226037919</v>
      </c>
      <c r="J2892">
        <v>0.45041481307466702</v>
      </c>
      <c r="K2892">
        <v>0.37714035708827298</v>
      </c>
      <c r="L2892">
        <v>565.73481035452596</v>
      </c>
      <c r="M2892">
        <v>10.3854834753131</v>
      </c>
      <c r="N2892">
        <v>60.8621153824175</v>
      </c>
      <c r="O2892">
        <v>52.5700241839413</v>
      </c>
      <c r="P2892">
        <v>-3.3009867113383003E-2</v>
      </c>
      <c r="Q2892">
        <v>0.33191378594781601</v>
      </c>
      <c r="R2892">
        <v>0.97908329090425605</v>
      </c>
      <c r="S2892" t="s">
        <v>9698</v>
      </c>
      <c r="T2892" t="s">
        <v>13610</v>
      </c>
      <c r="U2892" t="s">
        <v>13610</v>
      </c>
      <c r="V2892" t="s">
        <v>13610</v>
      </c>
      <c r="W2892" t="s">
        <v>16449</v>
      </c>
      <c r="X2892">
        <v>7</v>
      </c>
      <c r="Y2892" t="s">
        <v>23095</v>
      </c>
      <c r="Z2892" t="s">
        <v>29747</v>
      </c>
      <c r="AA2892">
        <v>0.67266951690836907</v>
      </c>
      <c r="AB2892" t="str">
        <f>HYPERLINK("Melting_Curves/meltCurve_P62942_FKBP1A.pdf", "Melting_Curves/meltCurve_P62942_FKBP1A.pdf")</f>
        <v>Melting_Curves/meltCurve_P62942_FKBP1A.pdf</v>
      </c>
    </row>
    <row r="2893" spans="1:28" x14ac:dyDescent="0.25">
      <c r="A2893" t="s">
        <v>2897</v>
      </c>
      <c r="B2893">
        <v>0.995954080203443</v>
      </c>
      <c r="C2893">
        <v>0.86076544746799</v>
      </c>
      <c r="D2893">
        <v>0.98576911099500397</v>
      </c>
      <c r="E2893">
        <v>0.76673381658215101</v>
      </c>
      <c r="F2893">
        <v>0.710577044090273</v>
      </c>
      <c r="G2893">
        <v>0.61869474683363901</v>
      </c>
      <c r="H2893">
        <v>0.64718362817310604</v>
      </c>
      <c r="I2893">
        <v>0.65408628711682404</v>
      </c>
      <c r="J2893">
        <v>0.66476356225031097</v>
      </c>
      <c r="K2893">
        <v>0.80182587299342001</v>
      </c>
      <c r="L2893">
        <v>1727.0972748203001</v>
      </c>
      <c r="M2893">
        <v>35.429867757062503</v>
      </c>
      <c r="O2893">
        <v>48.592415164342597</v>
      </c>
      <c r="P2893">
        <v>-5.8517983995290401E-2</v>
      </c>
      <c r="Q2893">
        <v>0.67896909601685396</v>
      </c>
      <c r="R2893">
        <v>0.76778286501431503</v>
      </c>
      <c r="S2893" t="s">
        <v>9699</v>
      </c>
      <c r="T2893" t="s">
        <v>13610</v>
      </c>
      <c r="U2893" t="s">
        <v>13610</v>
      </c>
      <c r="V2893" t="s">
        <v>13610</v>
      </c>
      <c r="W2893" t="s">
        <v>16450</v>
      </c>
      <c r="X2893">
        <v>12</v>
      </c>
      <c r="Y2893" t="s">
        <v>23096</v>
      </c>
      <c r="Z2893" t="s">
        <v>29748</v>
      </c>
      <c r="AA2893">
        <v>0.77395622141633846</v>
      </c>
      <c r="AB2893" t="str">
        <f>HYPERLINK("Melting_Curves/meltCurve_P62979_RPS27A.pdf", "Melting_Curves/meltCurve_P62979_RPS27A.pdf")</f>
        <v>Melting_Curves/meltCurve_P62979_RPS27A.pdf</v>
      </c>
    </row>
    <row r="2894" spans="1:28" x14ac:dyDescent="0.25">
      <c r="A2894" t="s">
        <v>2898</v>
      </c>
      <c r="B2894">
        <v>0.995954080203443</v>
      </c>
      <c r="C2894">
        <v>1.0068341075274601</v>
      </c>
      <c r="D2894">
        <v>1.06026862775521</v>
      </c>
      <c r="E2894">
        <v>0.89885078187080902</v>
      </c>
      <c r="F2894">
        <v>0.85165362241201303</v>
      </c>
      <c r="G2894">
        <v>0.477866825816193</v>
      </c>
      <c r="H2894">
        <v>0.174750401233745</v>
      </c>
      <c r="I2894">
        <v>0.13643748393657101</v>
      </c>
      <c r="J2894">
        <v>0.14198529678111499</v>
      </c>
      <c r="K2894">
        <v>0.132008194807232</v>
      </c>
      <c r="L2894">
        <v>1483.6165584231801</v>
      </c>
      <c r="M2894">
        <v>26.467956125585498</v>
      </c>
      <c r="N2894">
        <v>56.608611121068797</v>
      </c>
      <c r="O2894">
        <v>55.7362710987436</v>
      </c>
      <c r="P2894">
        <v>-0.10514704422736799</v>
      </c>
      <c r="Q2894">
        <v>0.114334131366386</v>
      </c>
      <c r="R2894">
        <v>0.99317118638047297</v>
      </c>
      <c r="S2894" t="s">
        <v>9700</v>
      </c>
      <c r="T2894" t="s">
        <v>13610</v>
      </c>
      <c r="U2894" t="s">
        <v>13610</v>
      </c>
      <c r="V2894" t="s">
        <v>13610</v>
      </c>
      <c r="W2894" t="s">
        <v>16451</v>
      </c>
      <c r="X2894">
        <v>16</v>
      </c>
      <c r="Y2894" t="s">
        <v>23097</v>
      </c>
      <c r="Z2894" t="s">
        <v>29749</v>
      </c>
      <c r="AA2894">
        <v>0.59564178568450687</v>
      </c>
      <c r="AB2894" t="str">
        <f>HYPERLINK("Melting_Curves/meltCurve_P62993_GRB2.pdf", "Melting_Curves/meltCurve_P62993_GRB2.pdf")</f>
        <v>Melting_Curves/meltCurve_P62993_GRB2.pdf</v>
      </c>
    </row>
    <row r="2895" spans="1:28" x14ac:dyDescent="0.25">
      <c r="A2895" t="s">
        <v>2899</v>
      </c>
      <c r="B2895">
        <v>0.995954080203443</v>
      </c>
      <c r="C2895">
        <v>0.91320960350222502</v>
      </c>
      <c r="D2895">
        <v>0.79056208373026005</v>
      </c>
      <c r="E2895">
        <v>0.79506393525822605</v>
      </c>
      <c r="F2895">
        <v>0.47380198769750198</v>
      </c>
      <c r="G2895">
        <v>0.22651526956548099</v>
      </c>
      <c r="H2895">
        <v>0.168201384027552</v>
      </c>
      <c r="I2895">
        <v>0.15114606113408699</v>
      </c>
      <c r="J2895">
        <v>0.175818797769172</v>
      </c>
      <c r="K2895">
        <v>0.148403021982594</v>
      </c>
      <c r="L2895">
        <v>836.02799892211306</v>
      </c>
      <c r="M2895">
        <v>16.119032357621201</v>
      </c>
      <c r="N2895">
        <v>52.737357289516197</v>
      </c>
      <c r="O2895">
        <v>51.087330462372798</v>
      </c>
      <c r="P2895">
        <v>-6.9662691477796496E-2</v>
      </c>
      <c r="Q2895">
        <v>0.11691754894627999</v>
      </c>
      <c r="R2895">
        <v>0.97111501309600501</v>
      </c>
      <c r="S2895" t="s">
        <v>9701</v>
      </c>
      <c r="T2895" t="s">
        <v>13610</v>
      </c>
      <c r="U2895" t="s">
        <v>13610</v>
      </c>
      <c r="V2895" t="s">
        <v>13610</v>
      </c>
      <c r="W2895" t="s">
        <v>16452</v>
      </c>
      <c r="X2895">
        <v>4</v>
      </c>
      <c r="Y2895" t="s">
        <v>23098</v>
      </c>
      <c r="Z2895" t="s">
        <v>29750</v>
      </c>
      <c r="AA2895">
        <v>0.4839035583826739</v>
      </c>
      <c r="AB2895" t="str">
        <f>HYPERLINK("Melting_Curves/meltCurve_P62995_3_TRA2B.pdf", "Melting_Curves/meltCurve_P62995_3_TRA2B.pdf")</f>
        <v>Melting_Curves/meltCurve_P62995_3_TRA2B.pdf</v>
      </c>
    </row>
    <row r="2896" spans="1:28" x14ac:dyDescent="0.25">
      <c r="A2896" t="s">
        <v>2900</v>
      </c>
      <c r="B2896">
        <v>0.995954080203443</v>
      </c>
      <c r="C2896">
        <v>1.06272616232294</v>
      </c>
      <c r="D2896">
        <v>1.0796404032314499</v>
      </c>
      <c r="E2896">
        <v>0.92326172543612905</v>
      </c>
      <c r="F2896">
        <v>0.88825119951609399</v>
      </c>
      <c r="G2896">
        <v>0.234360180283814</v>
      </c>
      <c r="H2896">
        <v>8.1442750296060198E-2</v>
      </c>
      <c r="I2896">
        <v>6.3416250419624107E-2</v>
      </c>
      <c r="J2896">
        <v>6.8951756667570294E-2</v>
      </c>
      <c r="K2896">
        <v>6.18409245443979E-2</v>
      </c>
      <c r="L2896">
        <v>2557.9176950383198</v>
      </c>
      <c r="M2896">
        <v>46.3579397532718</v>
      </c>
      <c r="N2896">
        <v>55.3439826850815</v>
      </c>
      <c r="O2896">
        <v>55.075170043591299</v>
      </c>
      <c r="P2896">
        <v>-0.196739326037178</v>
      </c>
      <c r="Q2896">
        <v>6.5062906785196301E-2</v>
      </c>
      <c r="R2896">
        <v>0.992456501525945</v>
      </c>
      <c r="S2896" t="s">
        <v>9702</v>
      </c>
      <c r="T2896" t="s">
        <v>13610</v>
      </c>
      <c r="U2896" t="s">
        <v>13610</v>
      </c>
      <c r="V2896" t="s">
        <v>13610</v>
      </c>
      <c r="W2896" t="s">
        <v>16453</v>
      </c>
      <c r="X2896">
        <v>10</v>
      </c>
      <c r="Y2896" t="s">
        <v>23099</v>
      </c>
      <c r="Z2896" t="s">
        <v>29751</v>
      </c>
      <c r="AA2896">
        <v>0.54071096614297287</v>
      </c>
      <c r="AB2896" t="str">
        <f>HYPERLINK("Melting_Curves/meltCurve_P63000_RAC1.pdf", "Melting_Curves/meltCurve_P63000_RAC1.pdf")</f>
        <v>Melting_Curves/meltCurve_P63000_RAC1.pdf</v>
      </c>
    </row>
    <row r="2897" spans="1:28" x14ac:dyDescent="0.25">
      <c r="A2897" t="s">
        <v>2901</v>
      </c>
      <c r="B2897">
        <v>0.995954080203443</v>
      </c>
      <c r="C2897">
        <v>0.91875185203846499</v>
      </c>
      <c r="D2897">
        <v>0.82134027747548699</v>
      </c>
      <c r="E2897">
        <v>0.80050181687025601</v>
      </c>
      <c r="F2897">
        <v>0.51874551120747303</v>
      </c>
      <c r="G2897">
        <v>0.23227364428141201</v>
      </c>
      <c r="H2897">
        <v>0.100828739481636</v>
      </c>
      <c r="I2897">
        <v>7.58028221797961E-2</v>
      </c>
      <c r="J2897">
        <v>8.2058148287558794E-2</v>
      </c>
      <c r="K2897">
        <v>7.0209050410605101E-2</v>
      </c>
      <c r="L2897">
        <v>859.946882587917</v>
      </c>
      <c r="M2897">
        <v>16.244101589862801</v>
      </c>
      <c r="N2897">
        <v>53.137276861145402</v>
      </c>
      <c r="O2897">
        <v>52.156227369242799</v>
      </c>
      <c r="P2897">
        <v>-7.5579145844517998E-2</v>
      </c>
      <c r="Q2897">
        <v>2.93998568853228E-2</v>
      </c>
      <c r="R2897">
        <v>0.98413160118103005</v>
      </c>
      <c r="S2897" t="s">
        <v>9703</v>
      </c>
      <c r="T2897" t="s">
        <v>13610</v>
      </c>
      <c r="U2897" t="s">
        <v>13610</v>
      </c>
      <c r="V2897" t="s">
        <v>13610</v>
      </c>
      <c r="W2897" t="s">
        <v>16454</v>
      </c>
      <c r="X2897">
        <v>46</v>
      </c>
      <c r="Y2897" t="s">
        <v>23100</v>
      </c>
      <c r="Z2897" t="s">
        <v>29752</v>
      </c>
      <c r="AA2897">
        <v>0.46667860363277869</v>
      </c>
      <c r="AB2897" t="str">
        <f>HYPERLINK("Melting_Curves/meltCurve_P63010_AP2B1.pdf", "Melting_Curves/meltCurve_P63010_AP2B1.pdf")</f>
        <v>Melting_Curves/meltCurve_P63010_AP2B1.pdf</v>
      </c>
    </row>
    <row r="2898" spans="1:28" x14ac:dyDescent="0.25">
      <c r="A2898" t="s">
        <v>2902</v>
      </c>
      <c r="B2898">
        <v>0.995954080203443</v>
      </c>
      <c r="C2898">
        <v>0.93092741495125397</v>
      </c>
      <c r="D2898">
        <v>0.79456296409096305</v>
      </c>
      <c r="E2898">
        <v>0.60102093637800302</v>
      </c>
      <c r="F2898">
        <v>0.40227145081638699</v>
      </c>
      <c r="G2898">
        <v>0.23685485909110099</v>
      </c>
      <c r="H2898">
        <v>0.17706194125747701</v>
      </c>
      <c r="I2898">
        <v>0.18428755692599699</v>
      </c>
      <c r="J2898">
        <v>0.21369040755925101</v>
      </c>
      <c r="K2898">
        <v>0.18647943202381601</v>
      </c>
      <c r="L2898">
        <v>788.45370543630099</v>
      </c>
      <c r="M2898">
        <v>15.832570020621599</v>
      </c>
      <c r="N2898">
        <v>51.095778851051499</v>
      </c>
      <c r="O2898">
        <v>49.025319970553298</v>
      </c>
      <c r="P2898">
        <v>-6.7388404315585099E-2</v>
      </c>
      <c r="Q2898">
        <v>0.16539935893003099</v>
      </c>
      <c r="R2898">
        <v>0.99474879531145699</v>
      </c>
      <c r="S2898" t="s">
        <v>9704</v>
      </c>
      <c r="T2898" t="s">
        <v>13610</v>
      </c>
      <c r="U2898" t="s">
        <v>13610</v>
      </c>
      <c r="V2898" t="s">
        <v>13610</v>
      </c>
      <c r="W2898" t="s">
        <v>16455</v>
      </c>
      <c r="X2898">
        <v>4</v>
      </c>
      <c r="Y2898" t="s">
        <v>23101</v>
      </c>
      <c r="Z2898" t="s">
        <v>29753</v>
      </c>
      <c r="AA2898">
        <v>0.45618256824624093</v>
      </c>
      <c r="AB2898" t="str">
        <f>HYPERLINK("Melting_Curves/meltCurve_P63092_3_GNAS.pdf", "Melting_Curves/meltCurve_P63092_3_GNAS.pdf")</f>
        <v>Melting_Curves/meltCurve_P63092_3_GNAS.pdf</v>
      </c>
    </row>
    <row r="2899" spans="1:28" x14ac:dyDescent="0.25">
      <c r="A2899" t="s">
        <v>2903</v>
      </c>
      <c r="B2899">
        <v>0.995954080203443</v>
      </c>
      <c r="C2899">
        <v>0.92732825931322405</v>
      </c>
      <c r="D2899">
        <v>1.04089632726945</v>
      </c>
      <c r="E2899">
        <v>0.93298826471058305</v>
      </c>
      <c r="F2899">
        <v>0.96875063898758496</v>
      </c>
      <c r="G2899">
        <v>0.708858602552631</v>
      </c>
      <c r="H2899">
        <v>0.25574763728405903</v>
      </c>
      <c r="I2899">
        <v>9.8762832814981494E-2</v>
      </c>
      <c r="J2899">
        <v>8.7717946238965394E-2</v>
      </c>
      <c r="K2899">
        <v>7.9280969674067794E-2</v>
      </c>
      <c r="L2899">
        <v>1907.7349433890199</v>
      </c>
      <c r="M2899">
        <v>32.684991631208099</v>
      </c>
      <c r="N2899">
        <v>58.628794682756002</v>
      </c>
      <c r="O2899">
        <v>58.150121811643899</v>
      </c>
      <c r="P2899">
        <v>-0.130989770411409</v>
      </c>
      <c r="Q2899">
        <v>6.7824682898446398E-2</v>
      </c>
      <c r="R2899">
        <v>0.99293682686042695</v>
      </c>
      <c r="S2899" t="s">
        <v>9705</v>
      </c>
      <c r="T2899" t="s">
        <v>13610</v>
      </c>
      <c r="U2899" t="s">
        <v>13610</v>
      </c>
      <c r="V2899" t="s">
        <v>13610</v>
      </c>
      <c r="W2899" t="s">
        <v>16456</v>
      </c>
      <c r="X2899">
        <v>25</v>
      </c>
      <c r="Y2899" t="s">
        <v>23102</v>
      </c>
      <c r="Z2899" t="s">
        <v>29754</v>
      </c>
      <c r="AA2899">
        <v>0.64382515025049158</v>
      </c>
      <c r="AB2899" t="str">
        <f>HYPERLINK("Melting_Curves/meltCurve_P63104_YWHAZ.pdf", "Melting_Curves/meltCurve_P63104_YWHAZ.pdf")</f>
        <v>Melting_Curves/meltCurve_P63104_YWHAZ.pdf</v>
      </c>
    </row>
    <row r="2900" spans="1:28" x14ac:dyDescent="0.25">
      <c r="A2900" t="s">
        <v>2904</v>
      </c>
      <c r="B2900">
        <v>0.995954080203443</v>
      </c>
      <c r="C2900">
        <v>0.93478884647429905</v>
      </c>
      <c r="D2900">
        <v>0.90645785667357903</v>
      </c>
      <c r="E2900">
        <v>0.858695951119268</v>
      </c>
      <c r="F2900">
        <v>0.65496561484707105</v>
      </c>
      <c r="G2900">
        <v>0.26944916602038299</v>
      </c>
      <c r="H2900">
        <v>0.11507594711547101</v>
      </c>
      <c r="I2900">
        <v>0.103583527495265</v>
      </c>
      <c r="J2900">
        <v>0.114892207333421</v>
      </c>
      <c r="K2900">
        <v>0.10516213023838</v>
      </c>
      <c r="L2900">
        <v>1257.8138727998</v>
      </c>
      <c r="M2900">
        <v>23.360180810683602</v>
      </c>
      <c r="N2900">
        <v>54.286892626349903</v>
      </c>
      <c r="O2900">
        <v>53.454424513993601</v>
      </c>
      <c r="P2900">
        <v>-9.9782605453447901E-2</v>
      </c>
      <c r="Q2900">
        <v>8.6697447230356703E-2</v>
      </c>
      <c r="R2900">
        <v>0.99132701300250403</v>
      </c>
      <c r="S2900" t="s">
        <v>9706</v>
      </c>
      <c r="T2900" t="s">
        <v>13610</v>
      </c>
      <c r="U2900" t="s">
        <v>13610</v>
      </c>
      <c r="V2900" t="s">
        <v>13610</v>
      </c>
      <c r="W2900" t="s">
        <v>16457</v>
      </c>
      <c r="X2900">
        <v>20</v>
      </c>
      <c r="Y2900" t="s">
        <v>23103</v>
      </c>
      <c r="Z2900" t="s">
        <v>29755</v>
      </c>
      <c r="AA2900">
        <v>0.51771451425269677</v>
      </c>
      <c r="AB2900" t="str">
        <f>HYPERLINK("Melting_Curves/meltCurve_P63151_PPP2R2A.pdf", "Melting_Curves/meltCurve_P63151_PPP2R2A.pdf")</f>
        <v>Melting_Curves/meltCurve_P63151_PPP2R2A.pdf</v>
      </c>
    </row>
    <row r="2901" spans="1:28" x14ac:dyDescent="0.25">
      <c r="A2901" t="s">
        <v>2905</v>
      </c>
      <c r="B2901">
        <v>0.995954080203443</v>
      </c>
      <c r="C2901">
        <v>0.95971740156497598</v>
      </c>
      <c r="D2901">
        <v>1.00096460906915</v>
      </c>
      <c r="E2901">
        <v>0.81357718487231001</v>
      </c>
      <c r="F2901">
        <v>0.77734107155756604</v>
      </c>
      <c r="G2901">
        <v>0.59195436136971502</v>
      </c>
      <c r="H2901">
        <v>0.59665290544296001</v>
      </c>
      <c r="I2901">
        <v>0.70655638971977297</v>
      </c>
      <c r="J2901">
        <v>0.85571354777741904</v>
      </c>
      <c r="K2901">
        <v>0.821937468219059</v>
      </c>
      <c r="L2901">
        <v>2007.9316769249101</v>
      </c>
      <c r="M2901">
        <v>40.709910379707999</v>
      </c>
      <c r="O2901">
        <v>49.204353400221898</v>
      </c>
      <c r="P2901">
        <v>-5.7701555774514399E-2</v>
      </c>
      <c r="Q2901">
        <v>0.72103478387271402</v>
      </c>
      <c r="R2901">
        <v>0.67806798013938197</v>
      </c>
      <c r="S2901" t="s">
        <v>9707</v>
      </c>
      <c r="T2901" t="s">
        <v>13610</v>
      </c>
      <c r="U2901" t="s">
        <v>13610</v>
      </c>
      <c r="V2901" t="s">
        <v>13610</v>
      </c>
      <c r="W2901" t="s">
        <v>16458</v>
      </c>
      <c r="X2901">
        <v>6</v>
      </c>
      <c r="Y2901" t="s">
        <v>23104</v>
      </c>
      <c r="Z2901" t="s">
        <v>29756</v>
      </c>
      <c r="AA2901">
        <v>0.80864571739479119</v>
      </c>
      <c r="AB2901" t="str">
        <f>HYPERLINK("Melting_Curves/meltCurve_P63165_SUMO1.pdf", "Melting_Curves/meltCurve_P63165_SUMO1.pdf")</f>
        <v>Melting_Curves/meltCurve_P63165_SUMO1.pdf</v>
      </c>
    </row>
    <row r="2902" spans="1:28" x14ac:dyDescent="0.25">
      <c r="A2902" t="s">
        <v>2906</v>
      </c>
      <c r="B2902">
        <v>0.995954080203443</v>
      </c>
      <c r="C2902">
        <v>0.91066360475180796</v>
      </c>
      <c r="D2902">
        <v>1.10755409092799</v>
      </c>
      <c r="E2902">
        <v>0.61518050041420302</v>
      </c>
      <c r="F2902">
        <v>0.43392547938067699</v>
      </c>
      <c r="G2902">
        <v>0.261977018302885</v>
      </c>
      <c r="H2902">
        <v>0.15407780906759799</v>
      </c>
      <c r="I2902">
        <v>0.13827105937064099</v>
      </c>
      <c r="J2902">
        <v>0.111650111789071</v>
      </c>
      <c r="K2902">
        <v>0.10410611847329899</v>
      </c>
      <c r="L2902">
        <v>1165.7630071497999</v>
      </c>
      <c r="M2902">
        <v>22.7027220066025</v>
      </c>
      <c r="N2902">
        <v>52.0236839682034</v>
      </c>
      <c r="O2902">
        <v>50.955634809129201</v>
      </c>
      <c r="P2902">
        <v>-9.7183585044086002E-2</v>
      </c>
      <c r="Q2902">
        <v>0.127514046102253</v>
      </c>
      <c r="R2902">
        <v>0.96892741099020696</v>
      </c>
      <c r="S2902" t="s">
        <v>9708</v>
      </c>
      <c r="T2902" t="s">
        <v>13610</v>
      </c>
      <c r="U2902" t="s">
        <v>13610</v>
      </c>
      <c r="V2902" t="s">
        <v>13610</v>
      </c>
      <c r="W2902" t="s">
        <v>16459</v>
      </c>
      <c r="X2902">
        <v>6</v>
      </c>
      <c r="Y2902" t="s">
        <v>23105</v>
      </c>
      <c r="Z2902" t="s">
        <v>29757</v>
      </c>
      <c r="AA2902">
        <v>0.46711030174337842</v>
      </c>
      <c r="AB2902" t="str">
        <f>HYPERLINK("Melting_Curves/meltCurve_P63167_DYNLL1.pdf", "Melting_Curves/meltCurve_P63167_DYNLL1.pdf")</f>
        <v>Melting_Curves/meltCurve_P63167_DYNLL1.pdf</v>
      </c>
    </row>
    <row r="2903" spans="1:28" x14ac:dyDescent="0.25">
      <c r="A2903" t="s">
        <v>2907</v>
      </c>
      <c r="B2903">
        <v>0.995954080203443</v>
      </c>
      <c r="C2903">
        <v>1.0615614365479999</v>
      </c>
      <c r="D2903">
        <v>1.1408244821207201</v>
      </c>
      <c r="E2903">
        <v>0.84761591417387405</v>
      </c>
      <c r="F2903">
        <v>0.57601069779516101</v>
      </c>
      <c r="G2903">
        <v>0.34876135443947698</v>
      </c>
      <c r="H2903">
        <v>0.239489473114289</v>
      </c>
      <c r="I2903">
        <v>0.230832354522364</v>
      </c>
      <c r="J2903">
        <v>0.28081190225866198</v>
      </c>
      <c r="K2903">
        <v>0.27966632615959702</v>
      </c>
      <c r="L2903">
        <v>1632.0927084613099</v>
      </c>
      <c r="M2903">
        <v>31.086474630839799</v>
      </c>
      <c r="N2903">
        <v>53.7757109445865</v>
      </c>
      <c r="O2903">
        <v>52.285881973571399</v>
      </c>
      <c r="P2903">
        <v>-0.109902712804598</v>
      </c>
      <c r="Q2903">
        <v>0.260601074785967</v>
      </c>
      <c r="R2903">
        <v>0.97575426391354703</v>
      </c>
      <c r="S2903" t="s">
        <v>9709</v>
      </c>
      <c r="T2903" t="s">
        <v>13610</v>
      </c>
      <c r="U2903" t="s">
        <v>13610</v>
      </c>
      <c r="V2903" t="s">
        <v>13610</v>
      </c>
      <c r="W2903" t="s">
        <v>16460</v>
      </c>
      <c r="X2903">
        <v>13</v>
      </c>
      <c r="Y2903" t="s">
        <v>23106</v>
      </c>
      <c r="Z2903" t="s">
        <v>29758</v>
      </c>
      <c r="AA2903">
        <v>0.57316326097039683</v>
      </c>
      <c r="AB2903" t="str">
        <f>HYPERLINK("Melting_Curves/meltCurve_P63241_EIF5A.pdf", "Melting_Curves/meltCurve_P63241_EIF5A.pdf")</f>
        <v>Melting_Curves/meltCurve_P63241_EIF5A.pdf</v>
      </c>
    </row>
    <row r="2904" spans="1:28" x14ac:dyDescent="0.25">
      <c r="A2904" t="s">
        <v>2908</v>
      </c>
      <c r="B2904">
        <v>0.995954080203443</v>
      </c>
      <c r="C2904">
        <v>0.87820028250828397</v>
      </c>
      <c r="D2904">
        <v>0.56460435228946104</v>
      </c>
      <c r="E2904">
        <v>0.2940881802709</v>
      </c>
      <c r="F2904">
        <v>0.137860758486611</v>
      </c>
      <c r="G2904">
        <v>8.1026695649309699E-2</v>
      </c>
      <c r="H2904">
        <v>6.1886640861361301E-2</v>
      </c>
      <c r="I2904">
        <v>5.5558643890491803E-2</v>
      </c>
      <c r="J2904">
        <v>6.3163475531366003E-2</v>
      </c>
      <c r="K2904">
        <v>5.7291131185089203E-2</v>
      </c>
      <c r="L2904">
        <v>908.177142501106</v>
      </c>
      <c r="M2904">
        <v>19.438651812772601</v>
      </c>
      <c r="N2904">
        <v>47.010361354273599</v>
      </c>
      <c r="O2904">
        <v>46.2341485936252</v>
      </c>
      <c r="P2904">
        <v>-9.9170881026690402E-2</v>
      </c>
      <c r="Q2904">
        <v>5.6536578605429703E-2</v>
      </c>
      <c r="R2904">
        <v>0.99692967348509998</v>
      </c>
      <c r="S2904" t="s">
        <v>9710</v>
      </c>
      <c r="T2904" t="s">
        <v>13610</v>
      </c>
      <c r="U2904" t="s">
        <v>13610</v>
      </c>
      <c r="V2904" t="s">
        <v>13610</v>
      </c>
      <c r="W2904" t="s">
        <v>16461</v>
      </c>
      <c r="X2904">
        <v>15</v>
      </c>
      <c r="Y2904" t="s">
        <v>23107</v>
      </c>
      <c r="Z2904" t="s">
        <v>29759</v>
      </c>
      <c r="AA2904">
        <v>0.28277700347377888</v>
      </c>
      <c r="AB2904" t="str">
        <f>HYPERLINK("Melting_Curves/meltCurve_P63244_GNB2L1.pdf", "Melting_Curves/meltCurve_P63244_GNB2L1.pdf")</f>
        <v>Melting_Curves/meltCurve_P63244_GNB2L1.pdf</v>
      </c>
    </row>
    <row r="2905" spans="1:28" x14ac:dyDescent="0.25">
      <c r="A2905" t="s">
        <v>2909</v>
      </c>
      <c r="B2905">
        <v>0.995954080203443</v>
      </c>
      <c r="C2905">
        <v>0.87898297803528003</v>
      </c>
      <c r="D2905">
        <v>0.79725150528148703</v>
      </c>
      <c r="E2905">
        <v>0.67907357783817701</v>
      </c>
      <c r="F2905">
        <v>0.28809366348266402</v>
      </c>
      <c r="G2905">
        <v>0.104455862487599</v>
      </c>
      <c r="H2905">
        <v>7.1533327956423101E-2</v>
      </c>
      <c r="I2905">
        <v>6.3619768408510996E-2</v>
      </c>
      <c r="J2905">
        <v>7.3389819497797507E-2</v>
      </c>
      <c r="K2905">
        <v>6.67231493708417E-2</v>
      </c>
      <c r="L2905">
        <v>890.08655175130696</v>
      </c>
      <c r="M2905">
        <v>17.581004279914499</v>
      </c>
      <c r="N2905">
        <v>50.842316004509797</v>
      </c>
      <c r="O2905">
        <v>49.986351384636301</v>
      </c>
      <c r="P2905">
        <v>-8.4789784187927E-2</v>
      </c>
      <c r="Q2905">
        <v>3.5754189817230497E-2</v>
      </c>
      <c r="R2905">
        <v>0.97900036779708199</v>
      </c>
      <c r="S2905" t="s">
        <v>9711</v>
      </c>
      <c r="T2905" t="s">
        <v>13610</v>
      </c>
      <c r="U2905" t="s">
        <v>13610</v>
      </c>
      <c r="V2905" t="s">
        <v>13610</v>
      </c>
      <c r="W2905" t="s">
        <v>16462</v>
      </c>
      <c r="X2905">
        <v>31</v>
      </c>
      <c r="Y2905" t="s">
        <v>23108</v>
      </c>
      <c r="Z2905" t="s">
        <v>29760</v>
      </c>
      <c r="AA2905">
        <v>0.39438287326807198</v>
      </c>
      <c r="AB2905" t="str">
        <f>HYPERLINK("Melting_Curves/meltCurve_P63261_ACTG1.pdf", "Melting_Curves/meltCurve_P63261_ACTG1.pdf")</f>
        <v>Melting_Curves/meltCurve_P63261_ACTG1.pdf</v>
      </c>
    </row>
    <row r="2906" spans="1:28" x14ac:dyDescent="0.25">
      <c r="A2906" t="s">
        <v>2910</v>
      </c>
      <c r="B2906">
        <v>0.995954080203443</v>
      </c>
      <c r="C2906">
        <v>0.91107339942643695</v>
      </c>
      <c r="D2906">
        <v>0.83459486516334802</v>
      </c>
      <c r="E2906">
        <v>0.55718541835033097</v>
      </c>
      <c r="F2906">
        <v>0.17919661718806701</v>
      </c>
      <c r="G2906">
        <v>9.1144940180712106E-2</v>
      </c>
      <c r="H2906">
        <v>4.7367335567843297E-2</v>
      </c>
      <c r="I2906">
        <v>4.3564759038299899E-2</v>
      </c>
      <c r="J2906">
        <v>5.3544369064884398E-2</v>
      </c>
      <c r="K2906">
        <v>4.7272288659449102E-2</v>
      </c>
      <c r="L2906">
        <v>1079.66320433635</v>
      </c>
      <c r="M2906">
        <v>21.681287174526101</v>
      </c>
      <c r="N2906">
        <v>49.961425387191198</v>
      </c>
      <c r="O2906">
        <v>49.379185907278497</v>
      </c>
      <c r="P2906">
        <v>-0.105992227716879</v>
      </c>
      <c r="Q2906">
        <v>3.4432580338614502E-2</v>
      </c>
      <c r="R2906">
        <v>0.991705560119575</v>
      </c>
      <c r="S2906" t="s">
        <v>9712</v>
      </c>
      <c r="T2906" t="s">
        <v>13610</v>
      </c>
      <c r="U2906" t="s">
        <v>13610</v>
      </c>
      <c r="V2906" t="s">
        <v>13610</v>
      </c>
      <c r="W2906" t="s">
        <v>16463</v>
      </c>
      <c r="X2906">
        <v>3</v>
      </c>
      <c r="Y2906" t="s">
        <v>23109</v>
      </c>
      <c r="Z2906" t="s">
        <v>29761</v>
      </c>
      <c r="AA2906">
        <v>0.36122031905754087</v>
      </c>
      <c r="AB2906" t="str">
        <f>HYPERLINK("Melting_Curves/meltCurve_P63272_SUPT4H1.pdf", "Melting_Curves/meltCurve_P63272_SUPT4H1.pdf")</f>
        <v>Melting_Curves/meltCurve_P63272_SUPT4H1.pdf</v>
      </c>
    </row>
    <row r="2907" spans="1:28" x14ac:dyDescent="0.25">
      <c r="A2907" t="s">
        <v>2911</v>
      </c>
      <c r="B2907">
        <v>0.995954080203443</v>
      </c>
      <c r="C2907">
        <v>1.0237277579517801</v>
      </c>
      <c r="D2907">
        <v>1.0107264649602401</v>
      </c>
      <c r="E2907">
        <v>0.87073759900256198</v>
      </c>
      <c r="F2907">
        <v>0.55906399801646101</v>
      </c>
      <c r="G2907">
        <v>0.13803813967098</v>
      </c>
      <c r="H2907">
        <v>7.1914400091476705E-2</v>
      </c>
      <c r="I2907">
        <v>5.6358486537524101E-2</v>
      </c>
      <c r="J2907">
        <v>6.8137933190888095E-2</v>
      </c>
      <c r="K2907">
        <v>6.0509350766528698E-2</v>
      </c>
      <c r="L2907">
        <v>1707.3916881943601</v>
      </c>
      <c r="M2907">
        <v>32.136853076735598</v>
      </c>
      <c r="N2907">
        <v>53.329210200228701</v>
      </c>
      <c r="O2907">
        <v>52.924309116258797</v>
      </c>
      <c r="P2907">
        <v>-0.143170529689916</v>
      </c>
      <c r="Q2907">
        <v>5.6887614005738198E-2</v>
      </c>
      <c r="R2907">
        <v>0.99905848794241303</v>
      </c>
      <c r="S2907" t="s">
        <v>9713</v>
      </c>
      <c r="T2907" t="s">
        <v>13610</v>
      </c>
      <c r="U2907" t="s">
        <v>13610</v>
      </c>
      <c r="V2907" t="s">
        <v>13610</v>
      </c>
      <c r="W2907" t="s">
        <v>16464</v>
      </c>
      <c r="X2907">
        <v>10</v>
      </c>
      <c r="Y2907" t="s">
        <v>23110</v>
      </c>
      <c r="Z2907" t="s">
        <v>29762</v>
      </c>
      <c r="AA2907">
        <v>0.4749699013278727</v>
      </c>
      <c r="AB2907" t="str">
        <f>HYPERLINK("Melting_Curves/meltCurve_P63279_UBE2I.pdf", "Melting_Curves/meltCurve_P63279_UBE2I.pdf")</f>
        <v>Melting_Curves/meltCurve_P63279_UBE2I.pdf</v>
      </c>
    </row>
    <row r="2908" spans="1:28" x14ac:dyDescent="0.25">
      <c r="A2908" t="s">
        <v>2912</v>
      </c>
      <c r="B2908">
        <v>0.995954080203443</v>
      </c>
      <c r="C2908">
        <v>0.79183112559006597</v>
      </c>
      <c r="D2908">
        <v>0.82896409021566497</v>
      </c>
      <c r="E2908">
        <v>0.92245490238757699</v>
      </c>
      <c r="F2908">
        <v>0.86231616063771899</v>
      </c>
      <c r="G2908">
        <v>0.70502608781041198</v>
      </c>
      <c r="H2908">
        <v>0.65112615856790801</v>
      </c>
      <c r="I2908">
        <v>0.59305875732798596</v>
      </c>
      <c r="J2908">
        <v>0.484800032348497</v>
      </c>
      <c r="K2908">
        <v>0.44228195399201597</v>
      </c>
      <c r="L2908">
        <v>321.938933635316</v>
      </c>
      <c r="M2908">
        <v>4.73201899127264</v>
      </c>
      <c r="N2908">
        <v>68.0341597071492</v>
      </c>
      <c r="O2908">
        <v>58.588336848771299</v>
      </c>
      <c r="P2908">
        <v>-2.0341030702022301E-2</v>
      </c>
      <c r="Q2908">
        <v>0</v>
      </c>
      <c r="R2908">
        <v>0.86235975067358805</v>
      </c>
      <c r="S2908" t="s">
        <v>9714</v>
      </c>
      <c r="T2908" t="s">
        <v>13610</v>
      </c>
      <c r="U2908" t="s">
        <v>13610</v>
      </c>
      <c r="V2908" t="s">
        <v>13610</v>
      </c>
      <c r="W2908" t="s">
        <v>16465</v>
      </c>
      <c r="X2908">
        <v>3</v>
      </c>
      <c r="Y2908" t="s">
        <v>23111</v>
      </c>
      <c r="Z2908" t="s">
        <v>29763</v>
      </c>
      <c r="AA2908">
        <v>0.74123004648235691</v>
      </c>
      <c r="AB2908" t="str">
        <f>HYPERLINK("Melting_Curves/meltCurve_P63302_SEPW1.pdf", "Melting_Curves/meltCurve_P63302_SEPW1.pdf")</f>
        <v>Melting_Curves/meltCurve_P63302_SEPW1.pdf</v>
      </c>
    </row>
    <row r="2909" spans="1:28" x14ac:dyDescent="0.25">
      <c r="A2909" t="s">
        <v>2913</v>
      </c>
      <c r="B2909">
        <v>0.995954080203443</v>
      </c>
      <c r="C2909">
        <v>0.92444278547918401</v>
      </c>
      <c r="D2909">
        <v>0.96102587410529605</v>
      </c>
      <c r="E2909">
        <v>0.82793824708191599</v>
      </c>
      <c r="F2909">
        <v>0.96746629906018</v>
      </c>
      <c r="G2909">
        <v>0.65046826931134105</v>
      </c>
      <c r="H2909">
        <v>0.80079408212428604</v>
      </c>
      <c r="I2909">
        <v>0.82940025113398097</v>
      </c>
      <c r="J2909">
        <v>2.0156902369840202</v>
      </c>
      <c r="K2909">
        <v>0.86000132330467305</v>
      </c>
      <c r="L2909">
        <v>4147.7231855364698</v>
      </c>
      <c r="M2909">
        <v>63.888123284055801</v>
      </c>
      <c r="O2909">
        <v>64.858144066296703</v>
      </c>
      <c r="P2909">
        <v>7.19114393036379E-2</v>
      </c>
      <c r="Q2909">
        <v>1.29201302273217</v>
      </c>
      <c r="R2909">
        <v>0.196369960587747</v>
      </c>
      <c r="S2909" t="s">
        <v>9715</v>
      </c>
      <c r="T2909" t="s">
        <v>13610</v>
      </c>
      <c r="U2909" t="s">
        <v>13610</v>
      </c>
      <c r="V2909" t="s">
        <v>13610</v>
      </c>
      <c r="W2909" t="s">
        <v>16466</v>
      </c>
      <c r="X2909">
        <v>6</v>
      </c>
      <c r="Y2909" t="s">
        <v>23112</v>
      </c>
      <c r="Z2909" t="s">
        <v>29764</v>
      </c>
      <c r="AA2909">
        <v>1.04903532052249</v>
      </c>
      <c r="AB2909" t="str">
        <f>HYPERLINK("Melting_Curves/meltCurve_P63313_TMSB10.pdf", "Melting_Curves/meltCurve_P63313_TMSB10.pdf")</f>
        <v>Melting_Curves/meltCurve_P63313_TMSB10.pdf</v>
      </c>
    </row>
    <row r="2910" spans="1:28" x14ac:dyDescent="0.25">
      <c r="A2910" t="s">
        <v>2914</v>
      </c>
      <c r="B2910">
        <v>0.995954080203443</v>
      </c>
      <c r="C2910">
        <v>0.82261083890404496</v>
      </c>
      <c r="D2910">
        <v>0.87143376638866299</v>
      </c>
      <c r="E2910">
        <v>0.83418498546925401</v>
      </c>
      <c r="F2910">
        <v>0.62999412488545403</v>
      </c>
      <c r="G2910">
        <v>0.32742625090210198</v>
      </c>
      <c r="H2910">
        <v>0.15703441393956</v>
      </c>
      <c r="I2910">
        <v>8.4572943860606695E-2</v>
      </c>
      <c r="J2910">
        <v>7.8897289109866098E-2</v>
      </c>
      <c r="K2910">
        <v>6.9650088854700906E-2</v>
      </c>
      <c r="L2910">
        <v>771.93142520730498</v>
      </c>
      <c r="M2910">
        <v>14.1620575618039</v>
      </c>
      <c r="N2910">
        <v>54.507010909359003</v>
      </c>
      <c r="O2910">
        <v>53.454718906116803</v>
      </c>
      <c r="P2910">
        <v>-6.6242250898087801E-2</v>
      </c>
      <c r="Q2910">
        <v>0</v>
      </c>
      <c r="R2910">
        <v>0.973505044013807</v>
      </c>
      <c r="S2910" t="s">
        <v>9716</v>
      </c>
      <c r="T2910" t="s">
        <v>13610</v>
      </c>
      <c r="U2910" t="s">
        <v>13610</v>
      </c>
      <c r="V2910" t="s">
        <v>13610</v>
      </c>
      <c r="W2910" t="s">
        <v>16467</v>
      </c>
      <c r="X2910">
        <v>19</v>
      </c>
      <c r="Y2910" t="s">
        <v>23113</v>
      </c>
      <c r="Z2910" t="s">
        <v>29765</v>
      </c>
      <c r="AA2910">
        <v>0.50480489781446924</v>
      </c>
      <c r="AB2910" t="str">
        <f>HYPERLINK("Melting_Curves/meltCurve_P67775_PPP2CA.pdf", "Melting_Curves/meltCurve_P67775_PPP2CA.pdf")</f>
        <v>Melting_Curves/meltCurve_P67775_PPP2CA.pdf</v>
      </c>
    </row>
    <row r="2911" spans="1:28" x14ac:dyDescent="0.25">
      <c r="A2911" t="s">
        <v>2915</v>
      </c>
      <c r="B2911">
        <v>0.995954080203443</v>
      </c>
      <c r="C2911">
        <v>0.97192988068999298</v>
      </c>
      <c r="D2911">
        <v>0.96140699538139696</v>
      </c>
      <c r="E2911">
        <v>1.05662072016602</v>
      </c>
      <c r="F2911">
        <v>0.84610480122686604</v>
      </c>
      <c r="G2911">
        <v>0.69878705625451498</v>
      </c>
      <c r="H2911">
        <v>0.62333750911486496</v>
      </c>
      <c r="I2911">
        <v>0.78896931156221295</v>
      </c>
      <c r="J2911">
        <v>1.0973624770164601</v>
      </c>
      <c r="K2911">
        <v>1.0819826663345899</v>
      </c>
      <c r="L2911">
        <v>9138.6767278290608</v>
      </c>
      <c r="M2911">
        <v>176.80171277579601</v>
      </c>
      <c r="O2911">
        <v>51.682215308041698</v>
      </c>
      <c r="P2911">
        <v>-0.12303120316977099</v>
      </c>
      <c r="Q2911">
        <v>0.85614330653497905</v>
      </c>
      <c r="R2911">
        <v>0.192129098750174</v>
      </c>
      <c r="S2911" t="s">
        <v>9717</v>
      </c>
      <c r="T2911" t="s">
        <v>13610</v>
      </c>
      <c r="U2911" t="s">
        <v>13610</v>
      </c>
      <c r="V2911" t="s">
        <v>13610</v>
      </c>
      <c r="W2911" t="s">
        <v>16468</v>
      </c>
      <c r="X2911">
        <v>21</v>
      </c>
      <c r="Y2911" t="s">
        <v>23114</v>
      </c>
      <c r="Z2911" t="s">
        <v>29766</v>
      </c>
      <c r="AA2911">
        <v>0.91222003489947423</v>
      </c>
      <c r="AB2911" t="str">
        <f>HYPERLINK("Melting_Curves/meltCurve_P67809_YBX1.pdf", "Melting_Curves/meltCurve_P67809_YBX1.pdf")</f>
        <v>Melting_Curves/meltCurve_P67809_YBX1.pdf</v>
      </c>
    </row>
    <row r="2912" spans="1:28" x14ac:dyDescent="0.25">
      <c r="A2912" t="s">
        <v>2916</v>
      </c>
      <c r="B2912">
        <v>0.995954080203443</v>
      </c>
      <c r="C2912">
        <v>0.80236970886821501</v>
      </c>
      <c r="D2912">
        <v>0.67961864108723402</v>
      </c>
      <c r="E2912">
        <v>0.58217186450127301</v>
      </c>
      <c r="F2912">
        <v>0.35676523906799201</v>
      </c>
      <c r="G2912">
        <v>0.155503433730112</v>
      </c>
      <c r="H2912">
        <v>7.9803040760008104E-2</v>
      </c>
      <c r="I2912">
        <v>6.6095225796523993E-2</v>
      </c>
      <c r="J2912">
        <v>7.1882080250144406E-2</v>
      </c>
      <c r="K2912">
        <v>6.2801979238378103E-2</v>
      </c>
      <c r="L2912">
        <v>557.8303537905</v>
      </c>
      <c r="M2912">
        <v>11.1636317880743</v>
      </c>
      <c r="N2912">
        <v>49.968537507437901</v>
      </c>
      <c r="O2912">
        <v>48.445586666616002</v>
      </c>
      <c r="P2912">
        <v>-5.7627490108789703E-2</v>
      </c>
      <c r="Q2912">
        <v>0</v>
      </c>
      <c r="R2912">
        <v>0.98198052357051901</v>
      </c>
      <c r="S2912" t="s">
        <v>9718</v>
      </c>
      <c r="T2912" t="s">
        <v>13610</v>
      </c>
      <c r="U2912" t="s">
        <v>13610</v>
      </c>
      <c r="V2912" t="s">
        <v>13610</v>
      </c>
      <c r="W2912" t="s">
        <v>16469</v>
      </c>
      <c r="X2912">
        <v>9</v>
      </c>
      <c r="Y2912" t="s">
        <v>23115</v>
      </c>
      <c r="Z2912" t="s">
        <v>29767</v>
      </c>
      <c r="AA2912">
        <v>0.37101014657602549</v>
      </c>
      <c r="AB2912" t="str">
        <f>HYPERLINK("Melting_Curves/meltCurve_P67870_CSNK2B.pdf", "Melting_Curves/meltCurve_P67870_CSNK2B.pdf")</f>
        <v>Melting_Curves/meltCurve_P67870_CSNK2B.pdf</v>
      </c>
    </row>
    <row r="2913" spans="1:28" x14ac:dyDescent="0.25">
      <c r="A2913" t="s">
        <v>2917</v>
      </c>
      <c r="B2913">
        <v>0.995954080203443</v>
      </c>
      <c r="C2913">
        <v>1.0371859456475501</v>
      </c>
      <c r="D2913">
        <v>1.0144727743601201</v>
      </c>
      <c r="E2913">
        <v>0.99325013664537598</v>
      </c>
      <c r="F2913">
        <v>0.99729743312235897</v>
      </c>
      <c r="G2913">
        <v>0.81581017616401996</v>
      </c>
      <c r="H2913">
        <v>0.81760471498779697</v>
      </c>
      <c r="I2913">
        <v>0.96015646880680905</v>
      </c>
      <c r="J2913">
        <v>1.2865002415464799</v>
      </c>
      <c r="K2913">
        <v>1.121636679731</v>
      </c>
      <c r="L2913">
        <v>15000</v>
      </c>
      <c r="M2913">
        <v>229.48043311954399</v>
      </c>
      <c r="O2913">
        <v>65.360087084197502</v>
      </c>
      <c r="P2913">
        <v>0.17918285611586299</v>
      </c>
      <c r="Q2913">
        <v>1.2041377848079</v>
      </c>
      <c r="R2913">
        <v>0.49581439628513602</v>
      </c>
      <c r="S2913" t="s">
        <v>9719</v>
      </c>
      <c r="T2913" t="s">
        <v>13610</v>
      </c>
      <c r="U2913" t="s">
        <v>13610</v>
      </c>
      <c r="V2913" t="s">
        <v>13610</v>
      </c>
      <c r="W2913" t="s">
        <v>16470</v>
      </c>
      <c r="X2913">
        <v>41</v>
      </c>
      <c r="Y2913" t="s">
        <v>21355</v>
      </c>
      <c r="Z2913" t="s">
        <v>29768</v>
      </c>
      <c r="AA2913">
        <v>1.031511153776693</v>
      </c>
      <c r="AB2913" t="str">
        <f>HYPERLINK("Melting_Curves/meltCurve_P67936_TPM4.pdf", "Melting_Curves/meltCurve_P67936_TPM4.pdf")</f>
        <v>Melting_Curves/meltCurve_P67936_TPM4.pdf</v>
      </c>
    </row>
    <row r="2914" spans="1:28" x14ac:dyDescent="0.25">
      <c r="A2914" t="s">
        <v>2918</v>
      </c>
      <c r="B2914">
        <v>0.995954080203443</v>
      </c>
      <c r="C2914">
        <v>0.95314670988558003</v>
      </c>
      <c r="D2914">
        <v>0.726321721300064</v>
      </c>
      <c r="E2914">
        <v>0.68351569864872397</v>
      </c>
      <c r="F2914">
        <v>0.22878701799210699</v>
      </c>
      <c r="G2914">
        <v>7.1371736466857794E-2</v>
      </c>
      <c r="H2914">
        <v>4.5058398992047499E-2</v>
      </c>
      <c r="I2914">
        <v>3.8133512987075097E-2</v>
      </c>
      <c r="J2914">
        <v>4.7315926494300102E-2</v>
      </c>
      <c r="K2914">
        <v>3.9636282990457697E-2</v>
      </c>
      <c r="L2914">
        <v>894.14209414604397</v>
      </c>
      <c r="M2914">
        <v>17.741440280462299</v>
      </c>
      <c r="N2914">
        <v>50.452005382529897</v>
      </c>
      <c r="O2914">
        <v>49.771282176404398</v>
      </c>
      <c r="P2914">
        <v>-8.8289047592461298E-2</v>
      </c>
      <c r="Q2914">
        <v>9.3184984756521302E-3</v>
      </c>
      <c r="R2914">
        <v>0.97028541136854995</v>
      </c>
      <c r="S2914" t="s">
        <v>9720</v>
      </c>
      <c r="T2914" t="s">
        <v>13610</v>
      </c>
      <c r="U2914" t="s">
        <v>13610</v>
      </c>
      <c r="V2914" t="s">
        <v>13610</v>
      </c>
      <c r="W2914" t="s">
        <v>16471</v>
      </c>
      <c r="X2914">
        <v>19</v>
      </c>
      <c r="Y2914" t="s">
        <v>23116</v>
      </c>
      <c r="Z2914" t="s">
        <v>29769</v>
      </c>
      <c r="AA2914">
        <v>0.36997375279575301</v>
      </c>
      <c r="AB2914" t="str">
        <f>HYPERLINK("Melting_Curves/meltCurve_P68032_ACTC1.pdf", "Melting_Curves/meltCurve_P68032_ACTC1.pdf")</f>
        <v>Melting_Curves/meltCurve_P68032_ACTC1.pdf</v>
      </c>
    </row>
    <row r="2915" spans="1:28" x14ac:dyDescent="0.25">
      <c r="A2915" t="s">
        <v>2919</v>
      </c>
      <c r="B2915">
        <v>0.995954080203443</v>
      </c>
      <c r="C2915">
        <v>0.93356356352371095</v>
      </c>
      <c r="D2915">
        <v>1.0692626524504001</v>
      </c>
      <c r="E2915">
        <v>0.93889645525882803</v>
      </c>
      <c r="F2915">
        <v>0.97589609522396203</v>
      </c>
      <c r="G2915">
        <v>0.82626861492381498</v>
      </c>
      <c r="H2915">
        <v>0.58668777616982504</v>
      </c>
      <c r="I2915">
        <v>0.38234040165516398</v>
      </c>
      <c r="J2915">
        <v>0.40218490832007497</v>
      </c>
      <c r="K2915">
        <v>0.24018279798523201</v>
      </c>
      <c r="L2915">
        <v>1203.4052285251</v>
      </c>
      <c r="M2915">
        <v>19.902057659620301</v>
      </c>
      <c r="N2915">
        <v>62.4191982849322</v>
      </c>
      <c r="O2915">
        <v>59.865825146080098</v>
      </c>
      <c r="P2915">
        <v>-6.3853204607852904E-2</v>
      </c>
      <c r="Q2915">
        <v>0.231738150880058</v>
      </c>
      <c r="R2915">
        <v>0.97466953253641497</v>
      </c>
      <c r="S2915" t="s">
        <v>9721</v>
      </c>
      <c r="T2915" t="s">
        <v>13610</v>
      </c>
      <c r="U2915" t="s">
        <v>13610</v>
      </c>
      <c r="V2915" t="s">
        <v>13610</v>
      </c>
      <c r="W2915" t="s">
        <v>16472</v>
      </c>
      <c r="X2915">
        <v>14</v>
      </c>
      <c r="Y2915" t="s">
        <v>23117</v>
      </c>
      <c r="Z2915" t="s">
        <v>29770</v>
      </c>
      <c r="AA2915">
        <v>0.76151441605104642</v>
      </c>
      <c r="AB2915" t="str">
        <f>HYPERLINK("Melting_Curves/meltCurve_P68036_UBE2L3.pdf", "Melting_Curves/meltCurve_P68036_UBE2L3.pdf")</f>
        <v>Melting_Curves/meltCurve_P68036_UBE2L3.pdf</v>
      </c>
    </row>
    <row r="2916" spans="1:28" x14ac:dyDescent="0.25">
      <c r="A2916" t="s">
        <v>2920</v>
      </c>
      <c r="B2916">
        <v>0.995954080203443</v>
      </c>
      <c r="C2916">
        <v>0.79356258942921998</v>
      </c>
      <c r="D2916">
        <v>0.73891516791896805</v>
      </c>
      <c r="E2916">
        <v>0.44767865396336698</v>
      </c>
      <c r="F2916">
        <v>0.20324908067181699</v>
      </c>
      <c r="G2916">
        <v>0.115126903727995</v>
      </c>
      <c r="H2916">
        <v>8.1691463298845204E-2</v>
      </c>
      <c r="I2916">
        <v>7.5846124838209697E-2</v>
      </c>
      <c r="J2916">
        <v>9.2369455414229099E-2</v>
      </c>
      <c r="K2916">
        <v>8.2862677038151603E-2</v>
      </c>
      <c r="L2916">
        <v>745.38799557447305</v>
      </c>
      <c r="M2916">
        <v>15.4321415765605</v>
      </c>
      <c r="N2916">
        <v>48.678674248269097</v>
      </c>
      <c r="O2916">
        <v>47.511743234158303</v>
      </c>
      <c r="P2916">
        <v>-7.6627453891082095E-2</v>
      </c>
      <c r="Q2916">
        <v>5.6417446418921602E-2</v>
      </c>
      <c r="R2916">
        <v>0.98641922187831799</v>
      </c>
      <c r="S2916" t="s">
        <v>9722</v>
      </c>
      <c r="T2916" t="s">
        <v>13610</v>
      </c>
      <c r="U2916" t="s">
        <v>13610</v>
      </c>
      <c r="V2916" t="s">
        <v>13610</v>
      </c>
      <c r="W2916" t="s">
        <v>16473</v>
      </c>
      <c r="X2916">
        <v>35</v>
      </c>
      <c r="Y2916" t="s">
        <v>23118</v>
      </c>
      <c r="Z2916" t="s">
        <v>29771</v>
      </c>
      <c r="AA2916">
        <v>0.34016124717351398</v>
      </c>
      <c r="AB2916" t="str">
        <f>HYPERLINK("Melting_Curves/meltCurve_P68104_EEF1A1.pdf", "Melting_Curves/meltCurve_P68104_EEF1A1.pdf")</f>
        <v>Melting_Curves/meltCurve_P68104_EEF1A1.pdf</v>
      </c>
    </row>
    <row r="2917" spans="1:28" x14ac:dyDescent="0.25">
      <c r="A2917" t="s">
        <v>2921</v>
      </c>
      <c r="B2917">
        <v>0.995954080203443</v>
      </c>
      <c r="C2917">
        <v>0.74196407540156495</v>
      </c>
      <c r="D2917">
        <v>0.48481197433360002</v>
      </c>
      <c r="E2917">
        <v>0.80303080285174799</v>
      </c>
      <c r="F2917">
        <v>0.37226760216159899</v>
      </c>
      <c r="G2917">
        <v>0.18491955036612601</v>
      </c>
      <c r="H2917">
        <v>8.0706636914237198E-2</v>
      </c>
      <c r="I2917">
        <v>3.9427249840099203E-2</v>
      </c>
      <c r="J2917">
        <v>3.7215723357196598E-2</v>
      </c>
      <c r="K2917">
        <v>3.9874409822487501E-2</v>
      </c>
      <c r="L2917">
        <v>489.332735200184</v>
      </c>
      <c r="M2917">
        <v>9.7926018315465502</v>
      </c>
      <c r="N2917">
        <v>49.969636235516298</v>
      </c>
      <c r="O2917">
        <v>48.019500761836703</v>
      </c>
      <c r="P2917">
        <v>-5.1009286400617602E-2</v>
      </c>
      <c r="Q2917">
        <v>0</v>
      </c>
      <c r="R2917">
        <v>0.85941640267492403</v>
      </c>
      <c r="S2917" t="s">
        <v>9723</v>
      </c>
      <c r="T2917" t="s">
        <v>13610</v>
      </c>
      <c r="U2917" t="s">
        <v>13610</v>
      </c>
      <c r="V2917" t="s">
        <v>13610</v>
      </c>
      <c r="W2917" t="s">
        <v>16474</v>
      </c>
      <c r="X2917">
        <v>19</v>
      </c>
      <c r="Y2917" t="s">
        <v>23119</v>
      </c>
      <c r="Z2917" t="s">
        <v>29772</v>
      </c>
      <c r="AA2917">
        <v>0.37894485641947939</v>
      </c>
      <c r="AB2917" t="str">
        <f>HYPERLINK("Melting_Curves/meltCurve_P68133_ACTA1.pdf", "Melting_Curves/meltCurve_P68133_ACTA1.pdf")</f>
        <v>Melting_Curves/meltCurve_P68133_ACTA1.pdf</v>
      </c>
    </row>
    <row r="2918" spans="1:28" x14ac:dyDescent="0.25">
      <c r="A2918" t="s">
        <v>2922</v>
      </c>
      <c r="B2918">
        <v>0.995954080203443</v>
      </c>
      <c r="C2918">
        <v>0.463630481865764</v>
      </c>
      <c r="D2918">
        <v>0.25659831275432798</v>
      </c>
      <c r="E2918">
        <v>0.294613385169881</v>
      </c>
      <c r="F2918">
        <v>0.170201058123292</v>
      </c>
      <c r="G2918">
        <v>8.7833316340973994E-2</v>
      </c>
      <c r="H2918">
        <v>6.2379482842811501E-2</v>
      </c>
      <c r="I2918">
        <v>5.3749032530400198E-2</v>
      </c>
      <c r="J2918">
        <v>5.4577267432576002E-2</v>
      </c>
      <c r="K2918">
        <v>5.6823896231747197E-2</v>
      </c>
      <c r="L2918">
        <v>1382.8159004485301</v>
      </c>
      <c r="M2918">
        <v>32.392923275058102</v>
      </c>
      <c r="N2918">
        <v>43.035502042012801</v>
      </c>
      <c r="O2918">
        <v>42.527109782148202</v>
      </c>
      <c r="P2918">
        <v>-0.16855784089609499</v>
      </c>
      <c r="Q2918">
        <v>0.114838108596699</v>
      </c>
      <c r="R2918">
        <v>0.92164240483905402</v>
      </c>
      <c r="S2918" t="s">
        <v>9724</v>
      </c>
      <c r="T2918" t="s">
        <v>13610</v>
      </c>
      <c r="U2918" t="s">
        <v>13610</v>
      </c>
      <c r="V2918" t="s">
        <v>13610</v>
      </c>
      <c r="W2918" t="s">
        <v>16475</v>
      </c>
      <c r="X2918">
        <v>23</v>
      </c>
      <c r="Y2918" t="s">
        <v>23120</v>
      </c>
      <c r="Z2918" t="s">
        <v>29773</v>
      </c>
      <c r="AA2918">
        <v>0.20163973740511551</v>
      </c>
      <c r="AB2918" t="str">
        <f>HYPERLINK("Melting_Curves/meltCurve_P68363_TUBA1B.pdf", "Melting_Curves/meltCurve_P68363_TUBA1B.pdf")</f>
        <v>Melting_Curves/meltCurve_P68363_TUBA1B.pdf</v>
      </c>
    </row>
    <row r="2919" spans="1:28" x14ac:dyDescent="0.25">
      <c r="A2919" t="s">
        <v>2923</v>
      </c>
      <c r="B2919">
        <v>0.995954080203443</v>
      </c>
      <c r="C2919">
        <v>0.43448165180842802</v>
      </c>
      <c r="D2919">
        <v>0.239932948063628</v>
      </c>
      <c r="E2919">
        <v>0.28799997347823603</v>
      </c>
      <c r="F2919">
        <v>0.15953673364058599</v>
      </c>
      <c r="G2919">
        <v>7.2042147304358206E-2</v>
      </c>
      <c r="H2919">
        <v>4.7246445122153702E-2</v>
      </c>
      <c r="I2919">
        <v>3.7627802520699999E-2</v>
      </c>
      <c r="J2919">
        <v>4.1066208296414303E-2</v>
      </c>
      <c r="K2919">
        <v>3.9085163835673099E-2</v>
      </c>
      <c r="L2919">
        <v>1661.30390177096</v>
      </c>
      <c r="M2919">
        <v>39.084227989075004</v>
      </c>
      <c r="N2919">
        <v>42.768891153158897</v>
      </c>
      <c r="O2919">
        <v>42.394918060233699</v>
      </c>
      <c r="P2919">
        <v>-0.20584431896331401</v>
      </c>
      <c r="Q2919">
        <v>0.106879315330761</v>
      </c>
      <c r="R2919">
        <v>0.91646264400081601</v>
      </c>
      <c r="S2919" t="s">
        <v>9725</v>
      </c>
      <c r="T2919" t="s">
        <v>13610</v>
      </c>
      <c r="U2919" t="s">
        <v>13610</v>
      </c>
      <c r="V2919" t="s">
        <v>13610</v>
      </c>
      <c r="W2919" t="s">
        <v>16476</v>
      </c>
      <c r="X2919">
        <v>25</v>
      </c>
      <c r="Y2919" t="s">
        <v>23121</v>
      </c>
      <c r="Z2919" t="s">
        <v>29774</v>
      </c>
      <c r="AA2919">
        <v>0.1864951476585191</v>
      </c>
      <c r="AB2919" t="str">
        <f>HYPERLINK("Melting_Curves/meltCurve_P68371_TUBB4B.pdf", "Melting_Curves/meltCurve_P68371_TUBB4B.pdf")</f>
        <v>Melting_Curves/meltCurve_P68371_TUBB4B.pdf</v>
      </c>
    </row>
    <row r="2920" spans="1:28" x14ac:dyDescent="0.25">
      <c r="A2920" t="s">
        <v>2924</v>
      </c>
      <c r="B2920">
        <v>0.995954080203443</v>
      </c>
      <c r="C2920">
        <v>0.88540821132418701</v>
      </c>
      <c r="D2920">
        <v>0.94326245135898501</v>
      </c>
      <c r="E2920">
        <v>0.62705333054518297</v>
      </c>
      <c r="F2920">
        <v>0.30762968241189098</v>
      </c>
      <c r="G2920">
        <v>0.17358860763196099</v>
      </c>
      <c r="H2920">
        <v>0.115831456379876</v>
      </c>
      <c r="I2920">
        <v>0.113478557913474</v>
      </c>
      <c r="J2920">
        <v>0.130190835460328</v>
      </c>
      <c r="K2920">
        <v>0.119349435116319</v>
      </c>
      <c r="L2920">
        <v>1276.2539919231899</v>
      </c>
      <c r="M2920">
        <v>25.262084530804</v>
      </c>
      <c r="N2920">
        <v>51.053003167671001</v>
      </c>
      <c r="O2920">
        <v>50.207145100401497</v>
      </c>
      <c r="P2920">
        <v>-0.111223182819824</v>
      </c>
      <c r="Q2920">
        <v>0.115809082812433</v>
      </c>
      <c r="R2920">
        <v>0.99078047288417104</v>
      </c>
      <c r="S2920" t="s">
        <v>9726</v>
      </c>
      <c r="T2920" t="s">
        <v>13610</v>
      </c>
      <c r="U2920" t="s">
        <v>13610</v>
      </c>
      <c r="V2920" t="s">
        <v>13610</v>
      </c>
      <c r="W2920" t="s">
        <v>16477</v>
      </c>
      <c r="X2920">
        <v>6</v>
      </c>
      <c r="Y2920" t="s">
        <v>23122</v>
      </c>
      <c r="Z2920" t="s">
        <v>29775</v>
      </c>
      <c r="AA2920">
        <v>0.43366407053948169</v>
      </c>
      <c r="AB2920" t="str">
        <f>HYPERLINK("Melting_Curves/meltCurve_P68402_PAFAH1B2.pdf", "Melting_Curves/meltCurve_P68402_PAFAH1B2.pdf")</f>
        <v>Melting_Curves/meltCurve_P68402_PAFAH1B2.pdf</v>
      </c>
    </row>
    <row r="2921" spans="1:28" x14ac:dyDescent="0.25">
      <c r="A2921" t="s">
        <v>2925</v>
      </c>
      <c r="B2921">
        <v>0.995954080203443</v>
      </c>
      <c r="C2921">
        <v>0.96834050948458705</v>
      </c>
      <c r="D2921">
        <v>0.87061118815709704</v>
      </c>
      <c r="E2921">
        <v>0.86764766929618897</v>
      </c>
      <c r="F2921">
        <v>0.75189851461618396</v>
      </c>
      <c r="G2921">
        <v>0.49525681859001203</v>
      </c>
      <c r="H2921">
        <v>0.31096830080838</v>
      </c>
      <c r="I2921">
        <v>0.212091299796379</v>
      </c>
      <c r="J2921">
        <v>0.16602575748088</v>
      </c>
      <c r="K2921">
        <v>8.3555611993198706E-2</v>
      </c>
      <c r="L2921">
        <v>685.43888933334904</v>
      </c>
      <c r="M2921">
        <v>11.9916591763241</v>
      </c>
      <c r="N2921">
        <v>57.159634095026597</v>
      </c>
      <c r="O2921">
        <v>55.639638504498002</v>
      </c>
      <c r="P2921">
        <v>-5.3893932752798697E-2</v>
      </c>
      <c r="Q2921">
        <v>0</v>
      </c>
      <c r="R2921">
        <v>0.99254773967292098</v>
      </c>
      <c r="S2921" t="s">
        <v>9727</v>
      </c>
      <c r="T2921" t="s">
        <v>13610</v>
      </c>
      <c r="U2921" t="s">
        <v>13610</v>
      </c>
      <c r="V2921" t="s">
        <v>13610</v>
      </c>
      <c r="W2921" t="s">
        <v>16478</v>
      </c>
      <c r="X2921">
        <v>12</v>
      </c>
      <c r="Y2921" t="s">
        <v>23123</v>
      </c>
      <c r="Z2921" t="s">
        <v>29776</v>
      </c>
      <c r="AA2921">
        <v>0.58819914387801331</v>
      </c>
      <c r="AB2921" t="str">
        <f>HYPERLINK("Melting_Curves/meltCurve_P69891_HBG1.pdf", "Melting_Curves/meltCurve_P69891_HBG1.pdf")</f>
        <v>Melting_Curves/meltCurve_P69891_HBG1.pdf</v>
      </c>
    </row>
    <row r="2922" spans="1:28" x14ac:dyDescent="0.25">
      <c r="A2922" t="s">
        <v>2926</v>
      </c>
      <c r="B2922">
        <v>0.995954080203443</v>
      </c>
      <c r="C2922">
        <v>1.0080024262374101</v>
      </c>
      <c r="D2922">
        <v>1.0024779073513299</v>
      </c>
      <c r="E2922">
        <v>0.91779157044301796</v>
      </c>
      <c r="F2922">
        <v>0.87948074960178102</v>
      </c>
      <c r="G2922">
        <v>0.63926878781405805</v>
      </c>
      <c r="H2922">
        <v>0.42160902892465602</v>
      </c>
      <c r="I2922">
        <v>0.28182854259794199</v>
      </c>
      <c r="J2922">
        <v>0.17636748465819499</v>
      </c>
      <c r="K2922">
        <v>9.2106312699697407E-2</v>
      </c>
      <c r="L2922">
        <v>852.16050483555296</v>
      </c>
      <c r="M2922">
        <v>14.2988203024988</v>
      </c>
      <c r="N2922">
        <v>59.5965604066106</v>
      </c>
      <c r="O2922">
        <v>58.467241990901499</v>
      </c>
      <c r="P2922">
        <v>-6.1147744564712003E-2</v>
      </c>
      <c r="Q2922">
        <v>0</v>
      </c>
      <c r="R2922">
        <v>0.99823639413071796</v>
      </c>
      <c r="S2922" t="s">
        <v>9728</v>
      </c>
      <c r="T2922" t="s">
        <v>13610</v>
      </c>
      <c r="U2922" t="s">
        <v>13610</v>
      </c>
      <c r="V2922" t="s">
        <v>13610</v>
      </c>
      <c r="W2922" t="s">
        <v>16479</v>
      </c>
      <c r="X2922">
        <v>12</v>
      </c>
      <c r="Y2922" t="s">
        <v>23124</v>
      </c>
      <c r="Z2922" t="s">
        <v>29777</v>
      </c>
      <c r="AA2922">
        <v>0.66111022114140572</v>
      </c>
      <c r="AB2922" t="str">
        <f>HYPERLINK("Melting_Curves/meltCurve_P69892_HBG2.pdf", "Melting_Curves/meltCurve_P69892_HBG2.pdf")</f>
        <v>Melting_Curves/meltCurve_P69892_HBG2.pdf</v>
      </c>
    </row>
    <row r="2923" spans="1:28" x14ac:dyDescent="0.25">
      <c r="A2923" t="s">
        <v>2927</v>
      </c>
      <c r="B2923">
        <v>0.995954080203443</v>
      </c>
      <c r="C2923">
        <v>0.93460682136010897</v>
      </c>
      <c r="D2923">
        <v>0.93600433356836499</v>
      </c>
      <c r="E2923">
        <v>0.72908335097481902</v>
      </c>
      <c r="F2923">
        <v>0.78910398198419296</v>
      </c>
      <c r="G2923">
        <v>0.580273515287694</v>
      </c>
      <c r="H2923">
        <v>0.41305647145261998</v>
      </c>
      <c r="I2923">
        <v>0.375999645247869</v>
      </c>
      <c r="J2923">
        <v>0.355862957767271</v>
      </c>
      <c r="K2923">
        <v>0.21493781210503299</v>
      </c>
      <c r="L2923">
        <v>450.50341170510097</v>
      </c>
      <c r="M2923">
        <v>7.5716666001738204</v>
      </c>
      <c r="N2923">
        <v>59.553233580800999</v>
      </c>
      <c r="O2923">
        <v>55.773414813065997</v>
      </c>
      <c r="P2923">
        <v>-3.3868842312345597E-2</v>
      </c>
      <c r="Q2923">
        <v>3.4623060676449401E-3</v>
      </c>
      <c r="R2923">
        <v>0.97371486530274698</v>
      </c>
      <c r="S2923" t="s">
        <v>9729</v>
      </c>
      <c r="T2923" t="s">
        <v>13610</v>
      </c>
      <c r="U2923" t="s">
        <v>13610</v>
      </c>
      <c r="V2923" t="s">
        <v>13610</v>
      </c>
      <c r="W2923" t="s">
        <v>16480</v>
      </c>
      <c r="X2923">
        <v>6</v>
      </c>
      <c r="Y2923" t="s">
        <v>23125</v>
      </c>
      <c r="Z2923" t="s">
        <v>29778</v>
      </c>
      <c r="AA2923">
        <v>0.6380829066270528</v>
      </c>
      <c r="AB2923" t="str">
        <f>HYPERLINK("Melting_Curves/meltCurve_P69905_HBA1.pdf", "Melting_Curves/meltCurve_P69905_HBA1.pdf")</f>
        <v>Melting_Curves/meltCurve_P69905_HBA1.pdf</v>
      </c>
    </row>
    <row r="2924" spans="1:28" x14ac:dyDescent="0.25">
      <c r="A2924" t="s">
        <v>2928</v>
      </c>
      <c r="B2924">
        <v>0.995954080203443</v>
      </c>
      <c r="C2924">
        <v>0.834959614168439</v>
      </c>
      <c r="D2924">
        <v>0.94127141362494005</v>
      </c>
      <c r="E2924">
        <v>0.78895261999996003</v>
      </c>
      <c r="F2924">
        <v>0.87187721990242895</v>
      </c>
      <c r="G2924">
        <v>0.66529935849803001</v>
      </c>
      <c r="H2924">
        <v>0.728678940259601</v>
      </c>
      <c r="I2924">
        <v>0.88254029786765698</v>
      </c>
      <c r="J2924">
        <v>1.20576184012209</v>
      </c>
      <c r="K2924">
        <v>0.91616448789662197</v>
      </c>
      <c r="L2924">
        <v>10137.3210109098</v>
      </c>
      <c r="M2924">
        <v>250</v>
      </c>
      <c r="O2924">
        <v>40.546689168129703</v>
      </c>
      <c r="P2924">
        <v>-0.19944330771768701</v>
      </c>
      <c r="Q2924">
        <v>0.87061174730756896</v>
      </c>
      <c r="R2924">
        <v>6.9340973662427405E-2</v>
      </c>
      <c r="S2924" t="s">
        <v>9730</v>
      </c>
      <c r="T2924" t="s">
        <v>13610</v>
      </c>
      <c r="U2924" t="s">
        <v>13610</v>
      </c>
      <c r="V2924" t="s">
        <v>13610</v>
      </c>
      <c r="W2924" t="s">
        <v>16481</v>
      </c>
      <c r="X2924">
        <v>7</v>
      </c>
      <c r="Y2924" t="s">
        <v>23126</v>
      </c>
      <c r="Z2924" t="s">
        <v>29779</v>
      </c>
      <c r="AA2924">
        <v>0.87301144757399873</v>
      </c>
      <c r="AB2924" t="str">
        <f>HYPERLINK("Melting_Curves/meltCurve_P78312_6_FAM193A.pdf", "Melting_Curves/meltCurve_P78312_6_FAM193A.pdf")</f>
        <v>Melting_Curves/meltCurve_P78312_6_FAM193A.pdf</v>
      </c>
    </row>
    <row r="2925" spans="1:28" x14ac:dyDescent="0.25">
      <c r="A2925" t="s">
        <v>2929</v>
      </c>
      <c r="B2925">
        <v>0.995954080203443</v>
      </c>
      <c r="C2925">
        <v>0.97984012354875905</v>
      </c>
      <c r="D2925">
        <v>0.91113692804019797</v>
      </c>
      <c r="E2925">
        <v>0.84167103091228401</v>
      </c>
      <c r="F2925">
        <v>0.716217513972636</v>
      </c>
      <c r="G2925">
        <v>0.384299023998874</v>
      </c>
      <c r="H2925">
        <v>0.34830698430592599</v>
      </c>
      <c r="I2925">
        <v>0.42773950074063899</v>
      </c>
      <c r="J2925">
        <v>0.50451768620429105</v>
      </c>
      <c r="K2925">
        <v>0.46155109507027697</v>
      </c>
      <c r="L2925">
        <v>1504.1678544440399</v>
      </c>
      <c r="M2925">
        <v>28.773018573200599</v>
      </c>
      <c r="N2925">
        <v>55.834282420771302</v>
      </c>
      <c r="O2925">
        <v>52.026460020816899</v>
      </c>
      <c r="P2925">
        <v>-8.0185910902486293E-2</v>
      </c>
      <c r="Q2925">
        <v>0.420045960442613</v>
      </c>
      <c r="R2925">
        <v>0.94388031869060796</v>
      </c>
      <c r="S2925" t="s">
        <v>9731</v>
      </c>
      <c r="T2925" t="s">
        <v>13610</v>
      </c>
      <c r="U2925" t="s">
        <v>13610</v>
      </c>
      <c r="V2925" t="s">
        <v>13610</v>
      </c>
      <c r="W2925" t="s">
        <v>16482</v>
      </c>
      <c r="X2925">
        <v>11</v>
      </c>
      <c r="Y2925" t="s">
        <v>23127</v>
      </c>
      <c r="Z2925" t="s">
        <v>29780</v>
      </c>
      <c r="AA2925">
        <v>0.66142368272935881</v>
      </c>
      <c r="AB2925" t="str">
        <f>HYPERLINK("Melting_Curves/meltCurve_P78314_SH3BP2.pdf", "Melting_Curves/meltCurve_P78314_SH3BP2.pdf")</f>
        <v>Melting_Curves/meltCurve_P78314_SH3BP2.pdf</v>
      </c>
    </row>
    <row r="2926" spans="1:28" x14ac:dyDescent="0.25">
      <c r="A2926" t="s">
        <v>2930</v>
      </c>
      <c r="B2926">
        <v>0.995954080203443</v>
      </c>
      <c r="C2926">
        <v>0.96064328231794605</v>
      </c>
      <c r="D2926">
        <v>0.89420224114400504</v>
      </c>
      <c r="E2926">
        <v>0.90171980395468598</v>
      </c>
      <c r="F2926">
        <v>0.84938943556588398</v>
      </c>
      <c r="G2926">
        <v>0.46222685665727598</v>
      </c>
      <c r="H2926">
        <v>0.27021138482236101</v>
      </c>
      <c r="I2926">
        <v>0.28925234051674098</v>
      </c>
      <c r="J2926">
        <v>0.34594201400496799</v>
      </c>
      <c r="K2926">
        <v>0.31760187530501799</v>
      </c>
      <c r="L2926">
        <v>1765.1500721848599</v>
      </c>
      <c r="M2926">
        <v>32.191916809869198</v>
      </c>
      <c r="N2926">
        <v>56.427604107318601</v>
      </c>
      <c r="O2926">
        <v>54.6217993960922</v>
      </c>
      <c r="P2926">
        <v>-0.103317391930626</v>
      </c>
      <c r="Q2926">
        <v>0.29878619608377099</v>
      </c>
      <c r="R2926">
        <v>0.97375250337209496</v>
      </c>
      <c r="S2926" t="s">
        <v>9732</v>
      </c>
      <c r="T2926" t="s">
        <v>13610</v>
      </c>
      <c r="U2926" t="s">
        <v>13610</v>
      </c>
      <c r="V2926" t="s">
        <v>13610</v>
      </c>
      <c r="W2926" t="s">
        <v>16483</v>
      </c>
      <c r="X2926">
        <v>17</v>
      </c>
      <c r="Y2926" t="s">
        <v>23128</v>
      </c>
      <c r="Z2926" t="s">
        <v>29781</v>
      </c>
      <c r="AA2926">
        <v>0.64952704553376239</v>
      </c>
      <c r="AB2926" t="str">
        <f>HYPERLINK("Melting_Curves/meltCurve_P78318_IGBP1.pdf", "Melting_Curves/meltCurve_P78318_IGBP1.pdf")</f>
        <v>Melting_Curves/meltCurve_P78318_IGBP1.pdf</v>
      </c>
    </row>
    <row r="2927" spans="1:28" x14ac:dyDescent="0.25">
      <c r="A2927" t="s">
        <v>2931</v>
      </c>
      <c r="B2927">
        <v>0.995954080203443</v>
      </c>
      <c r="C2927">
        <v>0.98862287231224899</v>
      </c>
      <c r="D2927">
        <v>0.97148826296350399</v>
      </c>
      <c r="E2927">
        <v>0.86372372242818096</v>
      </c>
      <c r="F2927">
        <v>0.83224193013518899</v>
      </c>
      <c r="G2927">
        <v>0.66135635401626902</v>
      </c>
      <c r="H2927">
        <v>0.51276067168619499</v>
      </c>
      <c r="I2927">
        <v>0.40448525788628398</v>
      </c>
      <c r="J2927">
        <v>0.14538075696713501</v>
      </c>
      <c r="K2927">
        <v>9.4584020514450806E-2</v>
      </c>
      <c r="L2927">
        <v>744.57084637610001</v>
      </c>
      <c r="M2927">
        <v>12.35346505815</v>
      </c>
      <c r="N2927">
        <v>60.2722267604086</v>
      </c>
      <c r="O2927">
        <v>58.758152756098497</v>
      </c>
      <c r="P2927">
        <v>-5.25719645808988E-2</v>
      </c>
      <c r="Q2927">
        <v>0</v>
      </c>
      <c r="R2927">
        <v>0.97899526381074897</v>
      </c>
      <c r="S2927" t="s">
        <v>9733</v>
      </c>
      <c r="T2927" t="s">
        <v>13610</v>
      </c>
      <c r="U2927" t="s">
        <v>13610</v>
      </c>
      <c r="V2927" t="s">
        <v>13610</v>
      </c>
      <c r="W2927" t="s">
        <v>16484</v>
      </c>
      <c r="X2927">
        <v>14</v>
      </c>
      <c r="Y2927" t="s">
        <v>23129</v>
      </c>
      <c r="Z2927" t="s">
        <v>29782</v>
      </c>
      <c r="AA2927">
        <v>0.67731731878860113</v>
      </c>
      <c r="AB2927" t="str">
        <f>HYPERLINK("Melting_Curves/meltCurve_P78330_PSPH.pdf", "Melting_Curves/meltCurve_P78330_PSPH.pdf")</f>
        <v>Melting_Curves/meltCurve_P78330_PSPH.pdf</v>
      </c>
    </row>
    <row r="2928" spans="1:28" x14ac:dyDescent="0.25">
      <c r="A2928" t="s">
        <v>2932</v>
      </c>
      <c r="B2928">
        <v>0.995954080203443</v>
      </c>
      <c r="C2928">
        <v>0.96615829282717203</v>
      </c>
      <c r="D2928">
        <v>1.0091018775783001</v>
      </c>
      <c r="E2928">
        <v>0.83052681641845005</v>
      </c>
      <c r="F2928">
        <v>0.76957350681923997</v>
      </c>
      <c r="G2928">
        <v>0.57718886095185096</v>
      </c>
      <c r="H2928">
        <v>0.51878189477918601</v>
      </c>
      <c r="I2928">
        <v>0.61404879929684997</v>
      </c>
      <c r="J2928">
        <v>0.68482602812214399</v>
      </c>
      <c r="K2928">
        <v>0.67523963908145701</v>
      </c>
      <c r="L2928">
        <v>1423.8618295675701</v>
      </c>
      <c r="M2928">
        <v>27.887245731700901</v>
      </c>
      <c r="O2928">
        <v>50.797434344919701</v>
      </c>
      <c r="P2928">
        <v>-5.2810115840423402E-2</v>
      </c>
      <c r="Q2928">
        <v>0.615222665729107</v>
      </c>
      <c r="R2928">
        <v>0.90601568902673901</v>
      </c>
      <c r="S2928" t="s">
        <v>9734</v>
      </c>
      <c r="T2928" t="s">
        <v>13610</v>
      </c>
      <c r="U2928" t="s">
        <v>13610</v>
      </c>
      <c r="V2928" t="s">
        <v>13610</v>
      </c>
      <c r="W2928" t="s">
        <v>16485</v>
      </c>
      <c r="X2928">
        <v>51</v>
      </c>
      <c r="Y2928" t="s">
        <v>23130</v>
      </c>
      <c r="Z2928" t="s">
        <v>29783</v>
      </c>
      <c r="AA2928">
        <v>0.75985092683551014</v>
      </c>
      <c r="AB2928" t="str">
        <f>HYPERLINK("Melting_Curves/meltCurve_P78332_RBM6.pdf", "Melting_Curves/meltCurve_P78332_RBM6.pdf")</f>
        <v>Melting_Curves/meltCurve_P78332_RBM6.pdf</v>
      </c>
    </row>
    <row r="2929" spans="1:28" x14ac:dyDescent="0.25">
      <c r="A2929" t="s">
        <v>2933</v>
      </c>
      <c r="B2929">
        <v>0.995954080203443</v>
      </c>
      <c r="C2929">
        <v>0.71940445537200404</v>
      </c>
      <c r="D2929">
        <v>0.75580954231813202</v>
      </c>
      <c r="E2929">
        <v>0.61874156076835596</v>
      </c>
      <c r="F2929">
        <v>0.396837802960123</v>
      </c>
      <c r="G2929">
        <v>0.293965665437873</v>
      </c>
      <c r="H2929">
        <v>0.36578459551582299</v>
      </c>
      <c r="I2929">
        <v>0.42014399708415701</v>
      </c>
      <c r="J2929">
        <v>0.61504159263152203</v>
      </c>
      <c r="K2929">
        <v>0.631485611460742</v>
      </c>
      <c r="L2929">
        <v>770.76656032171604</v>
      </c>
      <c r="M2929">
        <v>17.181771842859199</v>
      </c>
      <c r="N2929">
        <v>52.626644366931501</v>
      </c>
      <c r="O2929">
        <v>44.265103614729</v>
      </c>
      <c r="P2929">
        <v>-5.2365179591024498E-2</v>
      </c>
      <c r="Q2929">
        <v>0.46040192968413302</v>
      </c>
      <c r="R2929">
        <v>0.67490328107073605</v>
      </c>
      <c r="S2929" t="s">
        <v>9735</v>
      </c>
      <c r="T2929" t="s">
        <v>13610</v>
      </c>
      <c r="U2929" t="s">
        <v>13610</v>
      </c>
      <c r="V2929" t="s">
        <v>13610</v>
      </c>
      <c r="W2929" t="s">
        <v>16486</v>
      </c>
      <c r="X2929">
        <v>6</v>
      </c>
      <c r="Y2929" t="s">
        <v>23131</v>
      </c>
      <c r="Z2929" t="s">
        <v>29784</v>
      </c>
      <c r="AA2929">
        <v>0.56093611611500871</v>
      </c>
      <c r="AB2929" t="str">
        <f>HYPERLINK("Melting_Curves/meltCurve_P78337_PITX1.pdf", "Melting_Curves/meltCurve_P78337_PITX1.pdf")</f>
        <v>Melting_Curves/meltCurve_P78337_PITX1.pdf</v>
      </c>
    </row>
    <row r="2930" spans="1:28" x14ac:dyDescent="0.25">
      <c r="A2930" t="s">
        <v>2934</v>
      </c>
      <c r="B2930">
        <v>0.995954080203443</v>
      </c>
      <c r="C2930">
        <v>0.76292886769239698</v>
      </c>
      <c r="D2930">
        <v>0.572898257108446</v>
      </c>
      <c r="E2930">
        <v>0.64664345973062698</v>
      </c>
      <c r="F2930">
        <v>0.41785880526511399</v>
      </c>
      <c r="G2930">
        <v>0.26398874020158303</v>
      </c>
      <c r="H2930">
        <v>0.198997319469466</v>
      </c>
      <c r="I2930">
        <v>0.22330014720886099</v>
      </c>
      <c r="J2930">
        <v>0.28718696526485599</v>
      </c>
      <c r="K2930">
        <v>0.26206096492483699</v>
      </c>
      <c r="L2930">
        <v>501.28878601717298</v>
      </c>
      <c r="M2930">
        <v>10.507737875601</v>
      </c>
      <c r="N2930">
        <v>50.1135250894203</v>
      </c>
      <c r="O2930">
        <v>46.075927510610299</v>
      </c>
      <c r="P2930">
        <v>-4.5734467598299001E-2</v>
      </c>
      <c r="Q2930">
        <v>0.19814885714896499</v>
      </c>
      <c r="R2930">
        <v>0.91713076246902103</v>
      </c>
      <c r="S2930" t="s">
        <v>9736</v>
      </c>
      <c r="T2930" t="s">
        <v>13610</v>
      </c>
      <c r="U2930" t="s">
        <v>13610</v>
      </c>
      <c r="V2930" t="s">
        <v>13610</v>
      </c>
      <c r="W2930" t="s">
        <v>16487</v>
      </c>
      <c r="X2930">
        <v>8</v>
      </c>
      <c r="Y2930" t="s">
        <v>23132</v>
      </c>
      <c r="Z2930" t="s">
        <v>29785</v>
      </c>
      <c r="AA2930">
        <v>0.44430104427587058</v>
      </c>
      <c r="AB2930" t="str">
        <f>HYPERLINK("Melting_Curves/meltCurve_P78345_RPP38.pdf", "Melting_Curves/meltCurve_P78345_RPP38.pdf")</f>
        <v>Melting_Curves/meltCurve_P78345_RPP38.pdf</v>
      </c>
    </row>
    <row r="2931" spans="1:28" x14ac:dyDescent="0.25">
      <c r="A2931" t="s">
        <v>2935</v>
      </c>
      <c r="B2931">
        <v>0.995954080203443</v>
      </c>
      <c r="C2931">
        <v>0.83248063617552803</v>
      </c>
      <c r="D2931">
        <v>0.70062940058339995</v>
      </c>
      <c r="E2931">
        <v>0.77917068026602299</v>
      </c>
      <c r="F2931">
        <v>0.55632430007988298</v>
      </c>
      <c r="G2931">
        <v>0.40687169772683901</v>
      </c>
      <c r="H2931">
        <v>0.25938277228972101</v>
      </c>
      <c r="I2931">
        <v>0.233023784328974</v>
      </c>
      <c r="J2931">
        <v>0.229288123659564</v>
      </c>
      <c r="K2931">
        <v>0.18085498982405901</v>
      </c>
      <c r="L2931">
        <v>406.33110400627902</v>
      </c>
      <c r="M2931">
        <v>7.4759012752349596</v>
      </c>
      <c r="N2931">
        <v>54.466162961706203</v>
      </c>
      <c r="O2931">
        <v>50.870505360898498</v>
      </c>
      <c r="P2931">
        <v>-3.65075993566681E-2</v>
      </c>
      <c r="Q2931">
        <v>7.7655181770659503E-3</v>
      </c>
      <c r="R2931">
        <v>0.957238357320222</v>
      </c>
      <c r="S2931" t="s">
        <v>9737</v>
      </c>
      <c r="T2931" t="s">
        <v>13610</v>
      </c>
      <c r="U2931" t="s">
        <v>13610</v>
      </c>
      <c r="V2931" t="s">
        <v>13610</v>
      </c>
      <c r="W2931" t="s">
        <v>16488</v>
      </c>
      <c r="X2931">
        <v>11</v>
      </c>
      <c r="Y2931" t="s">
        <v>23133</v>
      </c>
      <c r="Z2931" t="s">
        <v>29786</v>
      </c>
      <c r="AA2931">
        <v>0.51448772312098778</v>
      </c>
      <c r="AB2931" t="str">
        <f>HYPERLINK("Melting_Curves/meltCurve_P78346_RPP30.pdf", "Melting_Curves/meltCurve_P78346_RPP30.pdf")</f>
        <v>Melting_Curves/meltCurve_P78346_RPP30.pdf</v>
      </c>
    </row>
    <row r="2932" spans="1:28" x14ac:dyDescent="0.25">
      <c r="A2932" t="s">
        <v>2936</v>
      </c>
      <c r="B2932">
        <v>0.995954080203443</v>
      </c>
      <c r="C2932">
        <v>0.89497764542565905</v>
      </c>
      <c r="D2932">
        <v>0.74887422961301997</v>
      </c>
      <c r="E2932">
        <v>0.55996764076803096</v>
      </c>
      <c r="F2932">
        <v>0.43441729574814397</v>
      </c>
      <c r="G2932">
        <v>0.25137396839592502</v>
      </c>
      <c r="H2932">
        <v>0.15128428084336401</v>
      </c>
      <c r="I2932">
        <v>0.14711221110189401</v>
      </c>
      <c r="J2932">
        <v>0.178629611589325</v>
      </c>
      <c r="K2932">
        <v>0.15379657793726301</v>
      </c>
      <c r="L2932">
        <v>636.48005050223196</v>
      </c>
      <c r="M2932">
        <v>12.752696775105999</v>
      </c>
      <c r="N2932">
        <v>50.950406010615403</v>
      </c>
      <c r="O2932">
        <v>48.729958464655702</v>
      </c>
      <c r="P2932">
        <v>-5.7933041464491901E-2</v>
      </c>
      <c r="Q2932">
        <v>0.11468536002391699</v>
      </c>
      <c r="R2932">
        <v>0.99320931362210596</v>
      </c>
      <c r="S2932" t="s">
        <v>9738</v>
      </c>
      <c r="T2932" t="s">
        <v>13610</v>
      </c>
      <c r="U2932" t="s">
        <v>13610</v>
      </c>
      <c r="V2932" t="s">
        <v>13610</v>
      </c>
      <c r="W2932" t="s">
        <v>16489</v>
      </c>
      <c r="X2932">
        <v>44</v>
      </c>
      <c r="Y2932" t="s">
        <v>23134</v>
      </c>
      <c r="Z2932" t="s">
        <v>29787</v>
      </c>
      <c r="AA2932">
        <v>0.4350649380143834</v>
      </c>
      <c r="AB2932" t="str">
        <f>HYPERLINK("Melting_Curves/meltCurve_P78347_2_GTF2I.pdf", "Melting_Curves/meltCurve_P78347_2_GTF2I.pdf")</f>
        <v>Melting_Curves/meltCurve_P78347_2_GTF2I.pdf</v>
      </c>
    </row>
    <row r="2933" spans="1:28" x14ac:dyDescent="0.25">
      <c r="A2933" t="s">
        <v>2937</v>
      </c>
      <c r="B2933">
        <v>0.995954080203443</v>
      </c>
      <c r="C2933">
        <v>0.90074778824018997</v>
      </c>
      <c r="D2933">
        <v>0.72571022769719595</v>
      </c>
      <c r="E2933">
        <v>0.480950416027983</v>
      </c>
      <c r="F2933">
        <v>0.28673520037846401</v>
      </c>
      <c r="G2933">
        <v>0.174998717739758</v>
      </c>
      <c r="H2933">
        <v>9.2506540735143306E-2</v>
      </c>
      <c r="I2933">
        <v>7.3776548170946504E-2</v>
      </c>
      <c r="J2933">
        <v>6.5059348289592894E-2</v>
      </c>
      <c r="K2933">
        <v>5.1585898161090597E-2</v>
      </c>
      <c r="L2933">
        <v>704.78649749676197</v>
      </c>
      <c r="M2933">
        <v>14.312393246347</v>
      </c>
      <c r="N2933">
        <v>49.542461106810698</v>
      </c>
      <c r="O2933">
        <v>48.311688459316201</v>
      </c>
      <c r="P2933">
        <v>-7.1003323893369497E-2</v>
      </c>
      <c r="Q2933">
        <v>4.1425420090456702E-2</v>
      </c>
      <c r="R2933">
        <v>0.99857964889239403</v>
      </c>
      <c r="S2933" t="s">
        <v>9739</v>
      </c>
      <c r="T2933" t="s">
        <v>13610</v>
      </c>
      <c r="U2933" t="s">
        <v>13610</v>
      </c>
      <c r="V2933" t="s">
        <v>13610</v>
      </c>
      <c r="W2933" t="s">
        <v>16490</v>
      </c>
      <c r="X2933">
        <v>12</v>
      </c>
      <c r="Y2933" t="s">
        <v>23135</v>
      </c>
      <c r="Z2933" t="s">
        <v>29788</v>
      </c>
      <c r="AA2933">
        <v>0.36232484087054789</v>
      </c>
      <c r="AB2933" t="str">
        <f>HYPERLINK("Melting_Curves/meltCurve_P78356_PIP4K2B.pdf", "Melting_Curves/meltCurve_P78356_PIP4K2B.pdf")</f>
        <v>Melting_Curves/meltCurve_P78356_PIP4K2B.pdf</v>
      </c>
    </row>
    <row r="2934" spans="1:28" x14ac:dyDescent="0.25">
      <c r="A2934" t="s">
        <v>2938</v>
      </c>
      <c r="B2934">
        <v>0.995954080203443</v>
      </c>
      <c r="C2934">
        <v>0.82337222508944496</v>
      </c>
      <c r="D2934">
        <v>1.1012001221340699</v>
      </c>
      <c r="E2934">
        <v>0.76386529230435696</v>
      </c>
      <c r="F2934">
        <v>1.0066844377909501</v>
      </c>
      <c r="G2934">
        <v>0.81475042874105896</v>
      </c>
      <c r="H2934">
        <v>0.93762194681996403</v>
      </c>
      <c r="I2934">
        <v>1.3184199711396301</v>
      </c>
      <c r="J2934">
        <v>1.5899952095729499</v>
      </c>
      <c r="K2934">
        <v>1.61035198675224</v>
      </c>
      <c r="L2934">
        <v>15000</v>
      </c>
      <c r="M2934">
        <v>234.93668748137699</v>
      </c>
      <c r="O2934">
        <v>63.842362149047702</v>
      </c>
      <c r="P2934">
        <v>0.45999372523419702</v>
      </c>
      <c r="Q2934">
        <v>1.5</v>
      </c>
      <c r="R2934">
        <v>0.81992413113279095</v>
      </c>
      <c r="S2934" t="s">
        <v>9740</v>
      </c>
      <c r="T2934" t="s">
        <v>13610</v>
      </c>
      <c r="U2934" t="s">
        <v>13610</v>
      </c>
      <c r="V2934" t="s">
        <v>13610</v>
      </c>
      <c r="W2934" t="s">
        <v>16491</v>
      </c>
      <c r="X2934">
        <v>7</v>
      </c>
      <c r="Y2934" t="s">
        <v>23136</v>
      </c>
      <c r="Z2934" t="s">
        <v>29789</v>
      </c>
      <c r="AA2934">
        <v>1.1024867488368659</v>
      </c>
      <c r="AB2934" t="str">
        <f>HYPERLINK("Melting_Curves/meltCurve_P78364_PHC1.pdf", "Melting_Curves/meltCurve_P78364_PHC1.pdf")</f>
        <v>Melting_Curves/meltCurve_P78364_PHC1.pdf</v>
      </c>
    </row>
    <row r="2935" spans="1:28" x14ac:dyDescent="0.25">
      <c r="A2935" t="s">
        <v>2939</v>
      </c>
      <c r="B2935">
        <v>0.995954080203443</v>
      </c>
      <c r="C2935">
        <v>0.63095716205518404</v>
      </c>
      <c r="D2935">
        <v>0.39508499127056401</v>
      </c>
      <c r="E2935">
        <v>0.95187885284083096</v>
      </c>
      <c r="F2935">
        <v>0.65476290603832099</v>
      </c>
      <c r="G2935">
        <v>0.20802983917948301</v>
      </c>
      <c r="H2935">
        <v>8.0133460097640899E-2</v>
      </c>
      <c r="I2935">
        <v>5.6941587731462497E-2</v>
      </c>
      <c r="J2935">
        <v>5.7028449070348798E-2</v>
      </c>
      <c r="K2935">
        <v>5.2615432299027501E-2</v>
      </c>
      <c r="L2935">
        <v>433.311507742164</v>
      </c>
      <c r="M2935">
        <v>8.4439497704195592</v>
      </c>
      <c r="N2935">
        <v>51.316204280862699</v>
      </c>
      <c r="O2935">
        <v>48.680500268657603</v>
      </c>
      <c r="P2935">
        <v>-4.3404186025229399E-2</v>
      </c>
      <c r="Q2935">
        <v>0</v>
      </c>
      <c r="R2935">
        <v>0.68013189881122404</v>
      </c>
      <c r="S2935" t="s">
        <v>9741</v>
      </c>
      <c r="T2935" t="s">
        <v>13610</v>
      </c>
      <c r="U2935" t="s">
        <v>13610</v>
      </c>
      <c r="V2935" t="s">
        <v>13610</v>
      </c>
      <c r="W2935" t="s">
        <v>16492</v>
      </c>
      <c r="X2935">
        <v>36</v>
      </c>
      <c r="Y2935" t="s">
        <v>23137</v>
      </c>
      <c r="Z2935" t="s">
        <v>29790</v>
      </c>
      <c r="AA2935">
        <v>0.42594268152047798</v>
      </c>
      <c r="AB2935" t="str">
        <f>HYPERLINK("Melting_Curves/meltCurve_P78371_CCT2.pdf", "Melting_Curves/meltCurve_P78371_CCT2.pdf")</f>
        <v>Melting_Curves/meltCurve_P78371_CCT2.pdf</v>
      </c>
    </row>
    <row r="2936" spans="1:28" x14ac:dyDescent="0.25">
      <c r="A2936" t="s">
        <v>2940</v>
      </c>
      <c r="B2936">
        <v>0.995954080203443</v>
      </c>
      <c r="C2936">
        <v>0.89481235516270097</v>
      </c>
      <c r="D2936">
        <v>0.58431298906260098</v>
      </c>
      <c r="E2936">
        <v>0.58331180496061397</v>
      </c>
      <c r="F2936">
        <v>0.24378313122088599</v>
      </c>
      <c r="G2936">
        <v>0.12080128478132</v>
      </c>
      <c r="H2936">
        <v>8.0490172049060699E-2</v>
      </c>
      <c r="I2936">
        <v>7.25274243208376E-2</v>
      </c>
      <c r="J2936">
        <v>5.9076151157451302E-2</v>
      </c>
      <c r="K2936">
        <v>4.5387536832906403E-2</v>
      </c>
      <c r="L2936">
        <v>624.76450716870602</v>
      </c>
      <c r="M2936">
        <v>12.733161769951</v>
      </c>
      <c r="N2936">
        <v>49.185039346139597</v>
      </c>
      <c r="O2936">
        <v>47.902957873524599</v>
      </c>
      <c r="P2936">
        <v>-6.5456460756605495E-2</v>
      </c>
      <c r="Q2936">
        <v>1.51832460612399E-2</v>
      </c>
      <c r="R2936">
        <v>0.96715552824069095</v>
      </c>
      <c r="S2936" t="s">
        <v>9742</v>
      </c>
      <c r="T2936" t="s">
        <v>13610</v>
      </c>
      <c r="U2936" t="s">
        <v>13610</v>
      </c>
      <c r="V2936" t="s">
        <v>13610</v>
      </c>
      <c r="W2936" t="s">
        <v>16493</v>
      </c>
      <c r="X2936">
        <v>15</v>
      </c>
      <c r="Y2936" t="s">
        <v>23138</v>
      </c>
      <c r="Z2936" t="s">
        <v>29791</v>
      </c>
      <c r="AA2936">
        <v>0.34537709888282359</v>
      </c>
      <c r="AB2936" t="str">
        <f>HYPERLINK("Melting_Curves/meltCurve_P78406_RAE1.pdf", "Melting_Curves/meltCurve_P78406_RAE1.pdf")</f>
        <v>Melting_Curves/meltCurve_P78406_RAE1.pdf</v>
      </c>
    </row>
    <row r="2937" spans="1:28" x14ac:dyDescent="0.25">
      <c r="A2937" t="s">
        <v>2941</v>
      </c>
      <c r="B2937">
        <v>0.995954080203443</v>
      </c>
      <c r="C2937">
        <v>1.1314527078323799</v>
      </c>
      <c r="D2937">
        <v>1.19124199534607</v>
      </c>
      <c r="E2937">
        <v>1.0702054986751599</v>
      </c>
      <c r="F2937">
        <v>1.01572843455944</v>
      </c>
      <c r="G2937">
        <v>0.84252308977861101</v>
      </c>
      <c r="H2937">
        <v>0.60562723515589501</v>
      </c>
      <c r="I2937">
        <v>0.45226955767413501</v>
      </c>
      <c r="J2937">
        <v>0.25047943914773502</v>
      </c>
      <c r="K2937">
        <v>0.129414839415783</v>
      </c>
      <c r="L2937">
        <v>1160.32826452068</v>
      </c>
      <c r="M2937">
        <v>18.493074969990701</v>
      </c>
      <c r="N2937">
        <v>62.846850853814601</v>
      </c>
      <c r="O2937">
        <v>62.024065309509702</v>
      </c>
      <c r="P2937">
        <v>-7.3431423301588805E-2</v>
      </c>
      <c r="Q2937">
        <v>1.4914854927052801E-2</v>
      </c>
      <c r="R2937">
        <v>0.95042080260799999</v>
      </c>
      <c r="S2937" t="s">
        <v>9743</v>
      </c>
      <c r="T2937" t="s">
        <v>13610</v>
      </c>
      <c r="U2937" t="s">
        <v>13610</v>
      </c>
      <c r="V2937" t="s">
        <v>13610</v>
      </c>
      <c r="W2937" t="s">
        <v>16494</v>
      </c>
      <c r="X2937">
        <v>19</v>
      </c>
      <c r="Y2937" t="s">
        <v>23139</v>
      </c>
      <c r="Z2937" t="s">
        <v>29792</v>
      </c>
      <c r="AA2937">
        <v>0.76045167336724206</v>
      </c>
      <c r="AB2937" t="str">
        <f>HYPERLINK("Melting_Curves/meltCurve_P78417_GSTO1.pdf", "Melting_Curves/meltCurve_P78417_GSTO1.pdf")</f>
        <v>Melting_Curves/meltCurve_P78417_GSTO1.pdf</v>
      </c>
    </row>
    <row r="2938" spans="1:28" x14ac:dyDescent="0.25">
      <c r="A2938" t="s">
        <v>2942</v>
      </c>
      <c r="B2938">
        <v>0.995954080203443</v>
      </c>
      <c r="C2938">
        <v>0.65424093017011797</v>
      </c>
      <c r="D2938">
        <v>0.38835370250864798</v>
      </c>
      <c r="E2938">
        <v>0.22111062024254699</v>
      </c>
      <c r="F2938">
        <v>0.10346828465281201</v>
      </c>
      <c r="G2938">
        <v>5.8029004517452E-2</v>
      </c>
      <c r="H2938">
        <v>4.0340027376506299E-2</v>
      </c>
      <c r="I2938">
        <v>3.5432177479735802E-2</v>
      </c>
      <c r="J2938">
        <v>3.9770030939822801E-2</v>
      </c>
      <c r="K2938">
        <v>3.6717037958797397E-2</v>
      </c>
      <c r="L2938">
        <v>821.85199685108898</v>
      </c>
      <c r="M2938">
        <v>18.357775409958101</v>
      </c>
      <c r="N2938">
        <v>44.9906735221075</v>
      </c>
      <c r="O2938">
        <v>44.247517039973701</v>
      </c>
      <c r="P2938">
        <v>-9.9233764376543507E-2</v>
      </c>
      <c r="Q2938">
        <v>4.3316062191150702E-2</v>
      </c>
      <c r="R2938">
        <v>0.98489238120214095</v>
      </c>
      <c r="S2938" t="s">
        <v>9744</v>
      </c>
      <c r="T2938" t="s">
        <v>13610</v>
      </c>
      <c r="U2938" t="s">
        <v>13610</v>
      </c>
      <c r="V2938" t="s">
        <v>13610</v>
      </c>
      <c r="W2938" t="s">
        <v>16495</v>
      </c>
      <c r="X2938">
        <v>175</v>
      </c>
      <c r="Y2938" t="s">
        <v>23140</v>
      </c>
      <c r="Z2938" t="s">
        <v>29793</v>
      </c>
      <c r="AA2938">
        <v>0.21566060888623731</v>
      </c>
      <c r="AB2938" t="str">
        <f>HYPERLINK("Melting_Curves/meltCurve_P78527_PRKDC.pdf", "Melting_Curves/meltCurve_P78527_PRKDC.pdf")</f>
        <v>Melting_Curves/meltCurve_P78527_PRKDC.pdf</v>
      </c>
    </row>
    <row r="2939" spans="1:28" x14ac:dyDescent="0.25">
      <c r="A2939" t="s">
        <v>2943</v>
      </c>
      <c r="B2939">
        <v>0.995954080203443</v>
      </c>
      <c r="C2939">
        <v>1.17496359566303</v>
      </c>
      <c r="D2939">
        <v>1.10324889462398</v>
      </c>
      <c r="E2939">
        <v>1.0401362320772201</v>
      </c>
      <c r="F2939">
        <v>0.71347669942837499</v>
      </c>
      <c r="G2939">
        <v>0.41951567027195902</v>
      </c>
      <c r="H2939">
        <v>0.15857999820838101</v>
      </c>
      <c r="I2939">
        <v>0.103897951423723</v>
      </c>
      <c r="J2939">
        <v>9.8132724619526004E-2</v>
      </c>
      <c r="K2939">
        <v>8.8986606211758495E-2</v>
      </c>
      <c r="L2939">
        <v>1421.58350498135</v>
      </c>
      <c r="M2939">
        <v>25.654421507825202</v>
      </c>
      <c r="N2939">
        <v>55.817820024084</v>
      </c>
      <c r="O2939">
        <v>55.079399415685202</v>
      </c>
      <c r="P2939">
        <v>-0.10655533494377301</v>
      </c>
      <c r="Q2939">
        <v>8.4924580319923407E-2</v>
      </c>
      <c r="R2939">
        <v>0.97031983938355004</v>
      </c>
      <c r="S2939" t="s">
        <v>9745</v>
      </c>
      <c r="T2939" t="s">
        <v>13610</v>
      </c>
      <c r="U2939" t="s">
        <v>13610</v>
      </c>
      <c r="V2939" t="s">
        <v>13610</v>
      </c>
      <c r="W2939" t="s">
        <v>16496</v>
      </c>
      <c r="X2939">
        <v>8</v>
      </c>
      <c r="Y2939" t="s">
        <v>23141</v>
      </c>
      <c r="Z2939" t="s">
        <v>29794</v>
      </c>
      <c r="AA2939">
        <v>0.56313261512291934</v>
      </c>
      <c r="AB2939" t="str">
        <f>HYPERLINK("Melting_Curves/meltCurve_P78537_BLOC1S1.pdf", "Melting_Curves/meltCurve_P78537_BLOC1S1.pdf")</f>
        <v>Melting_Curves/meltCurve_P78537_BLOC1S1.pdf</v>
      </c>
    </row>
    <row r="2940" spans="1:28" x14ac:dyDescent="0.25">
      <c r="A2940" t="s">
        <v>2944</v>
      </c>
      <c r="B2940">
        <v>0.995954080203443</v>
      </c>
      <c r="C2940">
        <v>0.92336365818409305</v>
      </c>
      <c r="D2940">
        <v>0.64937037463790703</v>
      </c>
      <c r="E2940">
        <v>0.42028652156517998</v>
      </c>
      <c r="F2940">
        <v>0.30382813931172897</v>
      </c>
      <c r="G2940">
        <v>0.21631788264192101</v>
      </c>
      <c r="H2940">
        <v>0.18951236672879199</v>
      </c>
      <c r="I2940">
        <v>0.22127326054025201</v>
      </c>
      <c r="J2940">
        <v>0.25021138233646001</v>
      </c>
      <c r="K2940">
        <v>0.25893027833457499</v>
      </c>
      <c r="L2940">
        <v>958.20363279232402</v>
      </c>
      <c r="M2940">
        <v>20.460982500178702</v>
      </c>
      <c r="N2940">
        <v>48.247505628458597</v>
      </c>
      <c r="O2940">
        <v>46.390326479764603</v>
      </c>
      <c r="P2940">
        <v>-8.5368075865828799E-2</v>
      </c>
      <c r="Q2940">
        <v>0.22581721175484801</v>
      </c>
      <c r="R2940">
        <v>0.99103884625475502</v>
      </c>
      <c r="S2940" t="s">
        <v>9746</v>
      </c>
      <c r="T2940" t="s">
        <v>13610</v>
      </c>
      <c r="U2940" t="s">
        <v>13610</v>
      </c>
      <c r="V2940" t="s">
        <v>13610</v>
      </c>
      <c r="W2940" t="s">
        <v>16497</v>
      </c>
      <c r="X2940">
        <v>5</v>
      </c>
      <c r="Y2940" t="s">
        <v>23142</v>
      </c>
      <c r="Z2940" t="s">
        <v>29795</v>
      </c>
      <c r="AA2940">
        <v>0.41294300220599012</v>
      </c>
      <c r="AB2940" t="str">
        <f>HYPERLINK("Melting_Curves/meltCurve_P78549_NTHL1.pdf", "Melting_Curves/meltCurve_P78549_NTHL1.pdf")</f>
        <v>Melting_Curves/meltCurve_P78549_NTHL1.pdf</v>
      </c>
    </row>
    <row r="2941" spans="1:28" x14ac:dyDescent="0.25">
      <c r="A2941" t="s">
        <v>2945</v>
      </c>
      <c r="B2941">
        <v>0.995954080203443</v>
      </c>
      <c r="C2941">
        <v>0.97966264437654504</v>
      </c>
      <c r="D2941">
        <v>0.99727554463859003</v>
      </c>
      <c r="E2941">
        <v>0.88359511707683103</v>
      </c>
      <c r="F2941">
        <v>0.82467441924791696</v>
      </c>
      <c r="G2941">
        <v>0.64470764445693696</v>
      </c>
      <c r="H2941">
        <v>0.60878122769550502</v>
      </c>
      <c r="I2941">
        <v>0.70848838774564205</v>
      </c>
      <c r="J2941">
        <v>0.86844877099256201</v>
      </c>
      <c r="K2941">
        <v>0.81099886998019399</v>
      </c>
      <c r="L2941">
        <v>1705.7639952438701</v>
      </c>
      <c r="M2941">
        <v>33.608173361314599</v>
      </c>
      <c r="O2941">
        <v>50.575752633980798</v>
      </c>
      <c r="P2941">
        <v>-4.4427774619227402E-2</v>
      </c>
      <c r="Q2941">
        <v>0.73256995218954302</v>
      </c>
      <c r="R2941">
        <v>0.71236605565014899</v>
      </c>
      <c r="S2941" t="s">
        <v>9747</v>
      </c>
      <c r="T2941" t="s">
        <v>13610</v>
      </c>
      <c r="U2941" t="s">
        <v>13610</v>
      </c>
      <c r="V2941" t="s">
        <v>13610</v>
      </c>
      <c r="W2941" t="s">
        <v>16498</v>
      </c>
      <c r="X2941">
        <v>83</v>
      </c>
      <c r="Y2941" t="s">
        <v>23143</v>
      </c>
      <c r="Z2941" t="s">
        <v>29796</v>
      </c>
      <c r="AA2941">
        <v>0.82977125543300734</v>
      </c>
      <c r="AB2941" t="str">
        <f>HYPERLINK("Melting_Curves/meltCurve_P78559_MAP1A.pdf", "Melting_Curves/meltCurve_P78559_MAP1A.pdf")</f>
        <v>Melting_Curves/meltCurve_P78559_MAP1A.pdf</v>
      </c>
    </row>
    <row r="2942" spans="1:28" x14ac:dyDescent="0.25">
      <c r="A2942" t="s">
        <v>2946</v>
      </c>
      <c r="B2942">
        <v>0.995954080203443</v>
      </c>
      <c r="C2942">
        <v>1.05145461714066</v>
      </c>
      <c r="D2942">
        <v>1.07073279835461</v>
      </c>
      <c r="E2942">
        <v>0.43283107262966197</v>
      </c>
      <c r="F2942">
        <v>0.24288384231885601</v>
      </c>
      <c r="G2942">
        <v>0.159727902771231</v>
      </c>
      <c r="H2942">
        <v>0.11762451901757499</v>
      </c>
      <c r="I2942">
        <v>0.12161412657659</v>
      </c>
      <c r="J2942">
        <v>0.115142375263364</v>
      </c>
      <c r="K2942">
        <v>0.11613741928636501</v>
      </c>
      <c r="L2942">
        <v>2733.67919356842</v>
      </c>
      <c r="M2942">
        <v>55.263358686537799</v>
      </c>
      <c r="N2942">
        <v>49.762907939900998</v>
      </c>
      <c r="O2942">
        <v>49.401749318671399</v>
      </c>
      <c r="P2942">
        <v>-0.24043198457250001</v>
      </c>
      <c r="Q2942">
        <v>0.14027999176449599</v>
      </c>
      <c r="R2942">
        <v>0.98822605435264799</v>
      </c>
      <c r="S2942" t="s">
        <v>9748</v>
      </c>
      <c r="T2942" t="s">
        <v>13610</v>
      </c>
      <c r="U2942" t="s">
        <v>13610</v>
      </c>
      <c r="V2942" t="s">
        <v>13610</v>
      </c>
      <c r="W2942" t="s">
        <v>16499</v>
      </c>
      <c r="X2942">
        <v>7</v>
      </c>
      <c r="Y2942" t="s">
        <v>23144</v>
      </c>
      <c r="Z2942" t="s">
        <v>29797</v>
      </c>
      <c r="AA2942">
        <v>0.41309571281728269</v>
      </c>
      <c r="AB2942" t="str">
        <f>HYPERLINK("Melting_Curves/meltCurve_P78560_CRADD.pdf", "Melting_Curves/meltCurve_P78560_CRADD.pdf")</f>
        <v>Melting_Curves/meltCurve_P78560_CRADD.pdf</v>
      </c>
    </row>
    <row r="2943" spans="1:28" x14ac:dyDescent="0.25">
      <c r="A2943" t="s">
        <v>2947</v>
      </c>
      <c r="B2943">
        <v>0.995954080203443</v>
      </c>
      <c r="C2943">
        <v>0.9870179349264</v>
      </c>
      <c r="D2943">
        <v>0.99668283254760204</v>
      </c>
      <c r="E2943">
        <v>0.90537397462722302</v>
      </c>
      <c r="F2943">
        <v>0.74480515590263896</v>
      </c>
      <c r="G2943">
        <v>0.34149909598932898</v>
      </c>
      <c r="H2943">
        <v>0.109483151336981</v>
      </c>
      <c r="I2943">
        <v>9.6824337765349794E-2</v>
      </c>
      <c r="J2943">
        <v>9.3584331689098799E-2</v>
      </c>
      <c r="K2943">
        <v>8.5377712759971705E-2</v>
      </c>
      <c r="L2943">
        <v>1407.19288230237</v>
      </c>
      <c r="M2943">
        <v>25.630130013277299</v>
      </c>
      <c r="N2943">
        <v>55.243273976714804</v>
      </c>
      <c r="O2943">
        <v>54.572900920881402</v>
      </c>
      <c r="P2943">
        <v>-0.10886013900592</v>
      </c>
      <c r="Q2943">
        <v>7.2850629118568794E-2</v>
      </c>
      <c r="R2943">
        <v>0.99872122395560703</v>
      </c>
      <c r="S2943" t="s">
        <v>9749</v>
      </c>
      <c r="T2943" t="s">
        <v>13610</v>
      </c>
      <c r="U2943" t="s">
        <v>13610</v>
      </c>
      <c r="V2943" t="s">
        <v>13610</v>
      </c>
      <c r="W2943" t="s">
        <v>16500</v>
      </c>
      <c r="X2943">
        <v>13</v>
      </c>
      <c r="Y2943" t="s">
        <v>23145</v>
      </c>
      <c r="Z2943" t="s">
        <v>29798</v>
      </c>
      <c r="AA2943">
        <v>0.54166450594691395</v>
      </c>
      <c r="AB2943" t="str">
        <f>HYPERLINK("Melting_Curves/meltCurve_P80217_IFI35.pdf", "Melting_Curves/meltCurve_P80217_IFI35.pdf")</f>
        <v>Melting_Curves/meltCurve_P80217_IFI35.pdf</v>
      </c>
    </row>
    <row r="2944" spans="1:28" x14ac:dyDescent="0.25">
      <c r="A2944" t="s">
        <v>2948</v>
      </c>
      <c r="B2944">
        <v>0.995954080203443</v>
      </c>
      <c r="C2944">
        <v>0.82112165071432297</v>
      </c>
      <c r="D2944">
        <v>2.0234644856865001</v>
      </c>
      <c r="E2944">
        <v>1.2073218668710799</v>
      </c>
      <c r="F2944">
        <v>2.2481877908290699</v>
      </c>
      <c r="G2944">
        <v>2.3938074627782799</v>
      </c>
      <c r="H2944">
        <v>2.5002449582185999</v>
      </c>
      <c r="I2944">
        <v>3.4200851242135801</v>
      </c>
      <c r="J2944">
        <v>3.6188707558348701</v>
      </c>
      <c r="K2944">
        <v>3.7921786669456901</v>
      </c>
      <c r="L2944">
        <v>11076.6984982091</v>
      </c>
      <c r="M2944">
        <v>250</v>
      </c>
      <c r="O2944">
        <v>44.303936140932798</v>
      </c>
      <c r="P2944">
        <v>0.70535457465531004</v>
      </c>
      <c r="Q2944">
        <v>1.5</v>
      </c>
      <c r="R2944">
        <v>-0.55140007456293205</v>
      </c>
      <c r="S2944" t="s">
        <v>9750</v>
      </c>
      <c r="T2944" t="s">
        <v>13610</v>
      </c>
      <c r="U2944" t="s">
        <v>13610</v>
      </c>
      <c r="V2944" t="s">
        <v>13610</v>
      </c>
      <c r="W2944" t="s">
        <v>16501</v>
      </c>
      <c r="X2944">
        <v>3</v>
      </c>
      <c r="Y2944" t="s">
        <v>23146</v>
      </c>
      <c r="Z2944" t="s">
        <v>29799</v>
      </c>
      <c r="AA2944">
        <v>1.428181221252443</v>
      </c>
      <c r="AB2944" t="str">
        <f>HYPERLINK("Melting_Curves/meltCurve_P80297_MT1X.pdf", "Melting_Curves/meltCurve_P80297_MT1X.pdf")</f>
        <v>Melting_Curves/meltCurve_P80297_MT1X.pdf</v>
      </c>
    </row>
    <row r="2945" spans="1:28" x14ac:dyDescent="0.25">
      <c r="A2945" t="s">
        <v>2949</v>
      </c>
      <c r="B2945">
        <v>0.995954080203443</v>
      </c>
      <c r="C2945">
        <v>0.98075816687256101</v>
      </c>
      <c r="D2945">
        <v>0.98638989311205505</v>
      </c>
      <c r="E2945">
        <v>0.87088178548553796</v>
      </c>
      <c r="F2945">
        <v>0.80548347847915802</v>
      </c>
      <c r="G2945">
        <v>0.63104464508638403</v>
      </c>
      <c r="H2945">
        <v>0.57046459922660397</v>
      </c>
      <c r="I2945">
        <v>0.66013086931037701</v>
      </c>
      <c r="J2945">
        <v>0.83168845228608301</v>
      </c>
      <c r="K2945">
        <v>0.79028110274684205</v>
      </c>
      <c r="L2945">
        <v>1595.59361510233</v>
      </c>
      <c r="M2945">
        <v>31.415559988654302</v>
      </c>
      <c r="O2945">
        <v>50.585434674704999</v>
      </c>
      <c r="P2945">
        <v>-4.6527937391289298E-2</v>
      </c>
      <c r="Q2945">
        <v>0.70032382662445702</v>
      </c>
      <c r="R2945">
        <v>0.75029856047563204</v>
      </c>
      <c r="S2945" t="s">
        <v>9751</v>
      </c>
      <c r="T2945" t="s">
        <v>13610</v>
      </c>
      <c r="U2945" t="s">
        <v>13610</v>
      </c>
      <c r="V2945" t="s">
        <v>13610</v>
      </c>
      <c r="W2945" t="s">
        <v>16502</v>
      </c>
      <c r="X2945">
        <v>25</v>
      </c>
      <c r="Y2945" t="s">
        <v>23147</v>
      </c>
      <c r="Z2945" t="s">
        <v>29800</v>
      </c>
      <c r="AA2945">
        <v>0.80981809104304636</v>
      </c>
      <c r="AB2945" t="str">
        <f>HYPERLINK("Melting_Curves/meltCurve_P80303_2_NUCB2.pdf", "Melting_Curves/meltCurve_P80303_2_NUCB2.pdf")</f>
        <v>Melting_Curves/meltCurve_P80303_2_NUCB2.pdf</v>
      </c>
    </row>
    <row r="2946" spans="1:28" x14ac:dyDescent="0.25">
      <c r="A2946" t="s">
        <v>2950</v>
      </c>
      <c r="B2946">
        <v>0.995954080203443</v>
      </c>
      <c r="C2946">
        <v>1.08346654217861</v>
      </c>
      <c r="D2946">
        <v>1.1554478622638999</v>
      </c>
      <c r="E2946">
        <v>0.94693775439375405</v>
      </c>
      <c r="F2946">
        <v>0.96375579284381196</v>
      </c>
      <c r="G2946">
        <v>0.763806544006293</v>
      </c>
      <c r="H2946">
        <v>0.94818159783661304</v>
      </c>
      <c r="I2946">
        <v>1.7813259147099401</v>
      </c>
      <c r="J2946">
        <v>1.25941732402277</v>
      </c>
      <c r="K2946">
        <v>1.1759209969869</v>
      </c>
      <c r="L2946">
        <v>15000</v>
      </c>
      <c r="M2946">
        <v>241.10568585431699</v>
      </c>
      <c r="O2946">
        <v>62.209101087872597</v>
      </c>
      <c r="P2946">
        <v>0.39282041205713097</v>
      </c>
      <c r="Q2946">
        <v>1.4054156515998</v>
      </c>
      <c r="R2946">
        <v>0.54915908955732695</v>
      </c>
      <c r="S2946" t="s">
        <v>9752</v>
      </c>
      <c r="T2946" t="s">
        <v>13610</v>
      </c>
      <c r="U2946" t="s">
        <v>13610</v>
      </c>
      <c r="V2946" t="s">
        <v>13610</v>
      </c>
      <c r="W2946" t="s">
        <v>16503</v>
      </c>
      <c r="X2946">
        <v>5</v>
      </c>
      <c r="Y2946" t="s">
        <v>23148</v>
      </c>
      <c r="Z2946" t="s">
        <v>29801</v>
      </c>
      <c r="AA2946">
        <v>1.105179643096476</v>
      </c>
      <c r="AB2946" t="str">
        <f>HYPERLINK("Melting_Curves/meltCurve_P81605_DCD.pdf", "Melting_Curves/meltCurve_P81605_DCD.pdf")</f>
        <v>Melting_Curves/meltCurve_P81605_DCD.pdf</v>
      </c>
    </row>
    <row r="2947" spans="1:28" x14ac:dyDescent="0.25">
      <c r="A2947" t="s">
        <v>2951</v>
      </c>
      <c r="B2947">
        <v>0.995954080203443</v>
      </c>
      <c r="C2947">
        <v>1.1635976585926999</v>
      </c>
      <c r="D2947">
        <v>1.4880781212681899</v>
      </c>
      <c r="E2947">
        <v>1.3255962853869201</v>
      </c>
      <c r="F2947">
        <v>1.3466556441670401</v>
      </c>
      <c r="G2947">
        <v>1.11223384754548</v>
      </c>
      <c r="H2947">
        <v>1.0619816880714901</v>
      </c>
      <c r="I2947">
        <v>1.2291470118917101</v>
      </c>
      <c r="J2947">
        <v>1.4192366908616001</v>
      </c>
      <c r="K2947">
        <v>1.6022701142981199</v>
      </c>
      <c r="L2947">
        <v>167.3713373786</v>
      </c>
      <c r="M2947">
        <v>3.3519540054725101</v>
      </c>
      <c r="Q2947">
        <v>1.5</v>
      </c>
      <c r="R2947">
        <v>0.16269543314993901</v>
      </c>
      <c r="S2947" t="s">
        <v>9753</v>
      </c>
      <c r="T2947" t="s">
        <v>13610</v>
      </c>
      <c r="U2947" t="s">
        <v>13610</v>
      </c>
      <c r="V2947" t="s">
        <v>13610</v>
      </c>
      <c r="W2947" t="s">
        <v>16504</v>
      </c>
      <c r="X2947">
        <v>4</v>
      </c>
      <c r="Y2947" t="s">
        <v>23149</v>
      </c>
      <c r="Z2947" t="s">
        <v>29802</v>
      </c>
      <c r="AA2947">
        <v>1.277380394241278</v>
      </c>
      <c r="AB2947" t="str">
        <f>HYPERLINK("Melting_Curves/meltCurve_P81877_4_SSBP2.pdf", "Melting_Curves/meltCurve_P81877_4_SSBP2.pdf")</f>
        <v>Melting_Curves/meltCurve_P81877_4_SSBP2.pdf</v>
      </c>
    </row>
    <row r="2948" spans="1:28" x14ac:dyDescent="0.25">
      <c r="A2948" t="s">
        <v>2952</v>
      </c>
      <c r="B2948">
        <v>0.995954080203443</v>
      </c>
      <c r="C2948">
        <v>0.97868065984976005</v>
      </c>
      <c r="D2948">
        <v>1.0333046486208399</v>
      </c>
      <c r="E2948">
        <v>0.88738702919832801</v>
      </c>
      <c r="F2948">
        <v>0.92136571400707201</v>
      </c>
      <c r="G2948">
        <v>0.70773304070266396</v>
      </c>
      <c r="H2948">
        <v>0.65243277627012697</v>
      </c>
      <c r="I2948">
        <v>0.78544698754793596</v>
      </c>
      <c r="J2948">
        <v>0.95530585096939702</v>
      </c>
      <c r="K2948">
        <v>0.91345246430277705</v>
      </c>
      <c r="L2948">
        <v>1576.6279160393599</v>
      </c>
      <c r="M2948">
        <v>31.098613180142699</v>
      </c>
      <c r="O2948">
        <v>50.489464330225402</v>
      </c>
      <c r="P2948">
        <v>-2.9115959718488699E-2</v>
      </c>
      <c r="Q2948">
        <v>0.81091886721861395</v>
      </c>
      <c r="R2948">
        <v>0.463996536669468</v>
      </c>
      <c r="S2948" t="s">
        <v>9754</v>
      </c>
      <c r="T2948" t="s">
        <v>13610</v>
      </c>
      <c r="U2948" t="s">
        <v>13610</v>
      </c>
      <c r="V2948" t="s">
        <v>13610</v>
      </c>
      <c r="W2948" t="s">
        <v>16505</v>
      </c>
      <c r="X2948">
        <v>25</v>
      </c>
      <c r="Y2948" t="s">
        <v>23150</v>
      </c>
      <c r="Z2948" t="s">
        <v>29803</v>
      </c>
      <c r="AA2948">
        <v>0.87944368763417757</v>
      </c>
      <c r="AB2948" t="str">
        <f>HYPERLINK("Melting_Curves/meltCurve_P82094_TMF1.pdf", "Melting_Curves/meltCurve_P82094_TMF1.pdf")</f>
        <v>Melting_Curves/meltCurve_P82094_TMF1.pdf</v>
      </c>
    </row>
    <row r="2949" spans="1:28" x14ac:dyDescent="0.25">
      <c r="A2949" t="s">
        <v>2953</v>
      </c>
      <c r="B2949">
        <v>0.995954080203443</v>
      </c>
      <c r="C2949">
        <v>0.92298915912149304</v>
      </c>
      <c r="D2949">
        <v>0.76853065153061095</v>
      </c>
      <c r="E2949">
        <v>0.74226359104391604</v>
      </c>
      <c r="F2949">
        <v>0.53385599166501396</v>
      </c>
      <c r="G2949">
        <v>0.34184971811312698</v>
      </c>
      <c r="H2949">
        <v>0.32352582578586903</v>
      </c>
      <c r="I2949">
        <v>0.32670527769061403</v>
      </c>
      <c r="J2949">
        <v>0.40863237520382101</v>
      </c>
      <c r="K2949">
        <v>0.355080861314786</v>
      </c>
      <c r="L2949">
        <v>703.01302875834301</v>
      </c>
      <c r="M2949">
        <v>14.111367155652299</v>
      </c>
      <c r="N2949">
        <v>53.709898307445599</v>
      </c>
      <c r="O2949">
        <v>48.8504508589455</v>
      </c>
      <c r="P2949">
        <v>-4.9105689797957E-2</v>
      </c>
      <c r="Q2949">
        <v>0.32011481396591301</v>
      </c>
      <c r="R2949">
        <v>0.95542637489021298</v>
      </c>
      <c r="S2949" t="s">
        <v>9755</v>
      </c>
      <c r="T2949" t="s">
        <v>13610</v>
      </c>
      <c r="U2949" t="s">
        <v>13610</v>
      </c>
      <c r="V2949" t="s">
        <v>13610</v>
      </c>
      <c r="W2949" t="s">
        <v>16506</v>
      </c>
      <c r="X2949">
        <v>2</v>
      </c>
      <c r="Y2949" t="s">
        <v>23151</v>
      </c>
      <c r="Z2949" t="s">
        <v>29804</v>
      </c>
      <c r="AA2949">
        <v>0.56080532205053546</v>
      </c>
      <c r="AB2949" t="str">
        <f>HYPERLINK("Melting_Curves/meltCurve_P82664_MRPS10.pdf", "Melting_Curves/meltCurve_P82664_MRPS10.pdf")</f>
        <v>Melting_Curves/meltCurve_P82664_MRPS10.pdf</v>
      </c>
    </row>
    <row r="2950" spans="1:28" x14ac:dyDescent="0.25">
      <c r="A2950" t="s">
        <v>2954</v>
      </c>
      <c r="B2950">
        <v>0.995954080203443</v>
      </c>
      <c r="C2950">
        <v>0.81814805665822699</v>
      </c>
      <c r="D2950">
        <v>0.65551037783201305</v>
      </c>
      <c r="E2950">
        <v>0.58358725023835001</v>
      </c>
      <c r="F2950">
        <v>0.35092485504226101</v>
      </c>
      <c r="G2950">
        <v>0.21179417137627901</v>
      </c>
      <c r="H2950">
        <v>0.134958559059112</v>
      </c>
      <c r="I2950">
        <v>0.139760798798998</v>
      </c>
      <c r="J2950">
        <v>0.159889843318094</v>
      </c>
      <c r="K2950">
        <v>0.16538983050397299</v>
      </c>
      <c r="L2950">
        <v>575.32694932199502</v>
      </c>
      <c r="M2950">
        <v>11.763810858411199</v>
      </c>
      <c r="N2950">
        <v>49.871468632973802</v>
      </c>
      <c r="O2950">
        <v>47.5574293454575</v>
      </c>
      <c r="P2950">
        <v>-5.5560087745703098E-2</v>
      </c>
      <c r="Q2950">
        <v>0.101785219461884</v>
      </c>
      <c r="R2950">
        <v>0.97678068182967204</v>
      </c>
      <c r="S2950" t="s">
        <v>9756</v>
      </c>
      <c r="T2950" t="s">
        <v>13610</v>
      </c>
      <c r="U2950" t="s">
        <v>13610</v>
      </c>
      <c r="V2950" t="s">
        <v>13610</v>
      </c>
      <c r="W2950" t="s">
        <v>16507</v>
      </c>
      <c r="X2950">
        <v>3</v>
      </c>
      <c r="Y2950" t="s">
        <v>23152</v>
      </c>
      <c r="Z2950" t="s">
        <v>29805</v>
      </c>
      <c r="AA2950">
        <v>0.40275969949353763</v>
      </c>
      <c r="AB2950" t="str">
        <f>HYPERLINK("Melting_Curves/meltCurve_P82673_MRPS35.pdf", "Melting_Curves/meltCurve_P82673_MRPS35.pdf")</f>
        <v>Melting_Curves/meltCurve_P82673_MRPS35.pdf</v>
      </c>
    </row>
    <row r="2951" spans="1:28" x14ac:dyDescent="0.25">
      <c r="A2951" t="s">
        <v>2955</v>
      </c>
      <c r="B2951">
        <v>0.995954080203443</v>
      </c>
      <c r="C2951">
        <v>1.0155983595301801</v>
      </c>
      <c r="D2951">
        <v>0.93843186390418798</v>
      </c>
      <c r="E2951">
        <v>0.93268783046739301</v>
      </c>
      <c r="F2951">
        <v>0.80927897180859099</v>
      </c>
      <c r="G2951">
        <v>0.64719916651841802</v>
      </c>
      <c r="H2951">
        <v>0.56963188207131199</v>
      </c>
      <c r="I2951">
        <v>0.65549051975540595</v>
      </c>
      <c r="J2951">
        <v>0.84273981353956495</v>
      </c>
      <c r="K2951">
        <v>0.84568416416084802</v>
      </c>
      <c r="L2951">
        <v>2102.53657644028</v>
      </c>
      <c r="M2951">
        <v>40.678203076520397</v>
      </c>
      <c r="O2951">
        <v>51.562612756610399</v>
      </c>
      <c r="P2951">
        <v>-5.6510760796906603E-2</v>
      </c>
      <c r="Q2951">
        <v>0.71347438133140295</v>
      </c>
      <c r="R2951">
        <v>0.68617048577964102</v>
      </c>
      <c r="S2951" t="s">
        <v>9757</v>
      </c>
      <c r="T2951" t="s">
        <v>13610</v>
      </c>
      <c r="U2951" t="s">
        <v>13610</v>
      </c>
      <c r="V2951" t="s">
        <v>13610</v>
      </c>
      <c r="W2951" t="s">
        <v>16508</v>
      </c>
      <c r="X2951">
        <v>4</v>
      </c>
      <c r="Y2951" t="s">
        <v>23153</v>
      </c>
      <c r="Z2951" t="s">
        <v>29806</v>
      </c>
      <c r="AA2951">
        <v>0.82608505737654558</v>
      </c>
      <c r="AB2951" t="str">
        <f>HYPERLINK("Melting_Curves/meltCurve_P82909_MRPS36.pdf", "Melting_Curves/meltCurve_P82909_MRPS36.pdf")</f>
        <v>Melting_Curves/meltCurve_P82909_MRPS36.pdf</v>
      </c>
    </row>
    <row r="2952" spans="1:28" x14ac:dyDescent="0.25">
      <c r="A2952" t="s">
        <v>2956</v>
      </c>
      <c r="B2952">
        <v>0.995954080203443</v>
      </c>
      <c r="C2952">
        <v>0.68733439185832901</v>
      </c>
      <c r="D2952">
        <v>0.39969520232425698</v>
      </c>
      <c r="E2952">
        <v>0.35524096846215703</v>
      </c>
      <c r="F2952">
        <v>0.24575895481083401</v>
      </c>
      <c r="G2952">
        <v>0.15923739000753601</v>
      </c>
      <c r="H2952">
        <v>0.12636190016070201</v>
      </c>
      <c r="I2952">
        <v>0.13100369392606301</v>
      </c>
      <c r="J2952">
        <v>0.14751248297292299</v>
      </c>
      <c r="K2952">
        <v>0.17802035305889499</v>
      </c>
      <c r="L2952">
        <v>807.70804058077294</v>
      </c>
      <c r="M2952">
        <v>18.146009479459199</v>
      </c>
      <c r="N2952">
        <v>45.477498488660203</v>
      </c>
      <c r="O2952">
        <v>43.981578221375599</v>
      </c>
      <c r="P2952">
        <v>-8.6655522085238496E-2</v>
      </c>
      <c r="Q2952">
        <v>0.15991110847975001</v>
      </c>
      <c r="R2952">
        <v>0.96376699288242096</v>
      </c>
      <c r="S2952" t="s">
        <v>9758</v>
      </c>
      <c r="T2952" t="s">
        <v>13610</v>
      </c>
      <c r="U2952" t="s">
        <v>13610</v>
      </c>
      <c r="V2952" t="s">
        <v>13610</v>
      </c>
      <c r="W2952" t="s">
        <v>16509</v>
      </c>
      <c r="X2952">
        <v>1</v>
      </c>
      <c r="Y2952" t="s">
        <v>23154</v>
      </c>
      <c r="Z2952" t="s">
        <v>29807</v>
      </c>
      <c r="AA2952">
        <v>0.30513877501337772</v>
      </c>
      <c r="AB2952" t="str">
        <f>HYPERLINK("Melting_Curves/meltCurve_P82912_3_MRPS11.pdf", "Melting_Curves/meltCurve_P82912_3_MRPS11.pdf")</f>
        <v>Melting_Curves/meltCurve_P82912_3_MRPS11.pdf</v>
      </c>
    </row>
    <row r="2953" spans="1:28" x14ac:dyDescent="0.25">
      <c r="A2953" t="s">
        <v>2957</v>
      </c>
      <c r="B2953">
        <v>0.995954080203443</v>
      </c>
      <c r="C2953">
        <v>0.81422296069700695</v>
      </c>
      <c r="D2953">
        <v>0.57137845407709797</v>
      </c>
      <c r="E2953">
        <v>0.42118619132116097</v>
      </c>
      <c r="F2953">
        <v>0.24495647554073899</v>
      </c>
      <c r="G2953">
        <v>0.132046795705965</v>
      </c>
      <c r="H2953">
        <v>8.97306326001579E-2</v>
      </c>
      <c r="I2953">
        <v>9.6980196395982002E-2</v>
      </c>
      <c r="J2953">
        <v>8.1773621444217001E-2</v>
      </c>
      <c r="K2953">
        <v>7.2352262200854695E-2</v>
      </c>
      <c r="L2953">
        <v>646.35581452583403</v>
      </c>
      <c r="M2953">
        <v>13.6324391724858</v>
      </c>
      <c r="N2953">
        <v>47.8742509366447</v>
      </c>
      <c r="O2953">
        <v>46.427739231717197</v>
      </c>
      <c r="P2953">
        <v>-6.8899944522267997E-2</v>
      </c>
      <c r="Q2953">
        <v>6.1532929646530003E-2</v>
      </c>
      <c r="R2953">
        <v>0.98980208135056902</v>
      </c>
      <c r="S2953" t="s">
        <v>9759</v>
      </c>
      <c r="T2953" t="s">
        <v>13610</v>
      </c>
      <c r="U2953" t="s">
        <v>13610</v>
      </c>
      <c r="V2953" t="s">
        <v>13610</v>
      </c>
      <c r="W2953" t="s">
        <v>16510</v>
      </c>
      <c r="X2953">
        <v>5</v>
      </c>
      <c r="Y2953" t="s">
        <v>23155</v>
      </c>
      <c r="Z2953" t="s">
        <v>29808</v>
      </c>
      <c r="AA2953">
        <v>0.32352174898127151</v>
      </c>
      <c r="AB2953" t="str">
        <f>HYPERLINK("Melting_Curves/meltCurve_P82930_MRPS34.pdf", "Melting_Curves/meltCurve_P82930_MRPS34.pdf")</f>
        <v>Melting_Curves/meltCurve_P82930_MRPS34.pdf</v>
      </c>
    </row>
    <row r="2954" spans="1:28" x14ac:dyDescent="0.25">
      <c r="A2954" t="s">
        <v>2958</v>
      </c>
      <c r="B2954">
        <v>0.995954080203443</v>
      </c>
      <c r="C2954">
        <v>0.67911742005636699</v>
      </c>
      <c r="D2954">
        <v>0.50165093792833104</v>
      </c>
      <c r="E2954">
        <v>0.41496295380395498</v>
      </c>
      <c r="F2954">
        <v>0.29377940220239102</v>
      </c>
      <c r="G2954">
        <v>0.16560283082475899</v>
      </c>
      <c r="H2954">
        <v>0.13242522348521299</v>
      </c>
      <c r="I2954">
        <v>0.13839593636002101</v>
      </c>
      <c r="J2954">
        <v>0.13222863970024701</v>
      </c>
      <c r="K2954">
        <v>0.13329117593126799</v>
      </c>
      <c r="L2954">
        <v>574.90195478969201</v>
      </c>
      <c r="M2954">
        <v>12.502791653683801</v>
      </c>
      <c r="N2954">
        <v>46.979026856801099</v>
      </c>
      <c r="O2954">
        <v>44.853126581726997</v>
      </c>
      <c r="P2954">
        <v>-6.1578665692256597E-2</v>
      </c>
      <c r="Q2954">
        <v>0.116540611212816</v>
      </c>
      <c r="R2954">
        <v>0.96584345477059697</v>
      </c>
      <c r="S2954" t="s">
        <v>9760</v>
      </c>
      <c r="T2954" t="s">
        <v>13610</v>
      </c>
      <c r="U2954" t="s">
        <v>13610</v>
      </c>
      <c r="V2954" t="s">
        <v>13610</v>
      </c>
      <c r="W2954" t="s">
        <v>16511</v>
      </c>
      <c r="X2954">
        <v>3</v>
      </c>
      <c r="Y2954" t="s">
        <v>23156</v>
      </c>
      <c r="Z2954" t="s">
        <v>29809</v>
      </c>
      <c r="AA2954">
        <v>0.32996374441571741</v>
      </c>
      <c r="AB2954" t="str">
        <f>HYPERLINK("Melting_Curves/meltCurve_P82933_MRPS9.pdf", "Melting_Curves/meltCurve_P82933_MRPS9.pdf")</f>
        <v>Melting_Curves/meltCurve_P82933_MRPS9.pdf</v>
      </c>
    </row>
    <row r="2955" spans="1:28" x14ac:dyDescent="0.25">
      <c r="A2955" t="s">
        <v>2959</v>
      </c>
      <c r="B2955">
        <v>0.995954080203443</v>
      </c>
      <c r="C2955">
        <v>1.1249520371839601</v>
      </c>
      <c r="D2955">
        <v>1.14280983484103</v>
      </c>
      <c r="E2955">
        <v>1.1489371490104601</v>
      </c>
      <c r="F2955">
        <v>1.07515809036055</v>
      </c>
      <c r="G2955">
        <v>0.98575181742182005</v>
      </c>
      <c r="H2955">
        <v>0.95426552117397001</v>
      </c>
      <c r="I2955">
        <v>1.22466552102043</v>
      </c>
      <c r="J2955">
        <v>1.14529689136819</v>
      </c>
      <c r="K2955">
        <v>1.44639506105592</v>
      </c>
      <c r="L2955">
        <v>1854.54659419312</v>
      </c>
      <c r="M2955">
        <v>27.6871451934358</v>
      </c>
      <c r="O2955">
        <v>66.635715292118206</v>
      </c>
      <c r="P2955">
        <v>5.1937970800494698E-2</v>
      </c>
      <c r="Q2955">
        <v>1.5</v>
      </c>
      <c r="R2955">
        <v>0.45811767337107701</v>
      </c>
      <c r="S2955" t="s">
        <v>9761</v>
      </c>
      <c r="T2955" t="s">
        <v>13610</v>
      </c>
      <c r="U2955" t="s">
        <v>13610</v>
      </c>
      <c r="V2955" t="s">
        <v>13610</v>
      </c>
      <c r="W2955" t="s">
        <v>16512</v>
      </c>
      <c r="X2955">
        <v>19</v>
      </c>
      <c r="Y2955" t="s">
        <v>23157</v>
      </c>
      <c r="Z2955" t="s">
        <v>29810</v>
      </c>
      <c r="AA2955">
        <v>1.058145478044429</v>
      </c>
      <c r="AB2955" t="str">
        <f>HYPERLINK("Melting_Curves/meltCurve_P82970_HMGN5.pdf", "Melting_Curves/meltCurve_P82970_HMGN5.pdf")</f>
        <v>Melting_Curves/meltCurve_P82970_HMGN5.pdf</v>
      </c>
    </row>
    <row r="2956" spans="1:28" x14ac:dyDescent="0.25">
      <c r="A2956" t="s">
        <v>2960</v>
      </c>
      <c r="B2956">
        <v>0.995954080203443</v>
      </c>
      <c r="C2956">
        <v>0.98270770543865105</v>
      </c>
      <c r="D2956">
        <v>0.98244005803849299</v>
      </c>
      <c r="E2956">
        <v>0.92033185909341897</v>
      </c>
      <c r="F2956">
        <v>1.01119094153003</v>
      </c>
      <c r="G2956">
        <v>0.77280859961915804</v>
      </c>
      <c r="H2956">
        <v>0.82077903462431001</v>
      </c>
      <c r="I2956">
        <v>1.00563339380432</v>
      </c>
      <c r="J2956">
        <v>1.4214062123783</v>
      </c>
      <c r="K2956">
        <v>1.2251494937396501</v>
      </c>
      <c r="L2956">
        <v>15000</v>
      </c>
      <c r="M2956">
        <v>230.83077172287099</v>
      </c>
      <c r="O2956">
        <v>64.977799671259305</v>
      </c>
      <c r="P2956">
        <v>0.28716029573768798</v>
      </c>
      <c r="Q2956">
        <v>1.32333717116887</v>
      </c>
      <c r="R2956">
        <v>0.65272732189419502</v>
      </c>
      <c r="S2956" t="s">
        <v>9762</v>
      </c>
      <c r="T2956" t="s">
        <v>13610</v>
      </c>
      <c r="U2956" t="s">
        <v>13610</v>
      </c>
      <c r="V2956" t="s">
        <v>13610</v>
      </c>
      <c r="W2956" t="s">
        <v>16513</v>
      </c>
      <c r="X2956">
        <v>13</v>
      </c>
      <c r="Y2956" t="s">
        <v>23158</v>
      </c>
      <c r="Z2956" t="s">
        <v>29811</v>
      </c>
      <c r="AA2956">
        <v>1.054033048611233</v>
      </c>
      <c r="AB2956" t="str">
        <f>HYPERLINK("Melting_Curves/meltCurve_P82979_SARNP.pdf", "Melting_Curves/meltCurve_P82979_SARNP.pdf")</f>
        <v>Melting_Curves/meltCurve_P82979_SARNP.pdf</v>
      </c>
    </row>
    <row r="2957" spans="1:28" x14ac:dyDescent="0.25">
      <c r="A2957" t="s">
        <v>2961</v>
      </c>
      <c r="B2957">
        <v>0.995954080203443</v>
      </c>
      <c r="C2957">
        <v>0.82896195921460603</v>
      </c>
      <c r="D2957">
        <v>0.89086754917219102</v>
      </c>
      <c r="E2957">
        <v>0.65761469591067101</v>
      </c>
      <c r="F2957">
        <v>0.79454482450322705</v>
      </c>
      <c r="G2957">
        <v>0.48914533963494899</v>
      </c>
      <c r="H2957">
        <v>0.27928202454099599</v>
      </c>
      <c r="I2957">
        <v>0.16161293045974601</v>
      </c>
      <c r="J2957">
        <v>0.18557673098544</v>
      </c>
      <c r="K2957">
        <v>0.15752357755980101</v>
      </c>
      <c r="L2957">
        <v>526.83388482822602</v>
      </c>
      <c r="M2957">
        <v>9.3872995442477496</v>
      </c>
      <c r="N2957">
        <v>56.121985065089099</v>
      </c>
      <c r="O2957">
        <v>53.751860777959799</v>
      </c>
      <c r="P2957">
        <v>-4.3687374655966102E-2</v>
      </c>
      <c r="Q2957">
        <v>0</v>
      </c>
      <c r="R2957">
        <v>0.93945230344646502</v>
      </c>
      <c r="S2957" t="s">
        <v>9763</v>
      </c>
      <c r="T2957" t="s">
        <v>13610</v>
      </c>
      <c r="U2957" t="s">
        <v>13610</v>
      </c>
      <c r="V2957" t="s">
        <v>13610</v>
      </c>
      <c r="W2957" t="s">
        <v>16514</v>
      </c>
      <c r="X2957">
        <v>4</v>
      </c>
      <c r="Y2957" t="s">
        <v>23159</v>
      </c>
      <c r="Z2957" t="s">
        <v>29812</v>
      </c>
      <c r="AA2957">
        <v>0.55768099523863379</v>
      </c>
      <c r="AB2957" t="str">
        <f>HYPERLINK("Melting_Curves/meltCurve_P82980_RBP5.pdf", "Melting_Curves/meltCurve_P82980_RBP5.pdf")</f>
        <v>Melting_Curves/meltCurve_P82980_RBP5.pdf</v>
      </c>
    </row>
    <row r="2958" spans="1:28" x14ac:dyDescent="0.25">
      <c r="A2958" t="s">
        <v>2962</v>
      </c>
      <c r="B2958">
        <v>0.995954080203443</v>
      </c>
      <c r="C2958">
        <v>1.0339800037984299</v>
      </c>
      <c r="D2958">
        <v>0.934361250069907</v>
      </c>
      <c r="E2958">
        <v>0.902164314943808</v>
      </c>
      <c r="F2958">
        <v>0.85983133811770895</v>
      </c>
      <c r="G2958">
        <v>0.66188589561389499</v>
      </c>
      <c r="H2958">
        <v>0.49526279572818899</v>
      </c>
      <c r="I2958">
        <v>0.52200982015081598</v>
      </c>
      <c r="J2958">
        <v>0.40632055978195603</v>
      </c>
      <c r="K2958">
        <v>0.374746655274389</v>
      </c>
      <c r="L2958">
        <v>754.43638287792203</v>
      </c>
      <c r="M2958">
        <v>13.1875185130299</v>
      </c>
      <c r="N2958">
        <v>62.342620325342601</v>
      </c>
      <c r="O2958">
        <v>55.940868108086597</v>
      </c>
      <c r="P2958">
        <v>-3.9420645674756401E-2</v>
      </c>
      <c r="Q2958">
        <v>0.331229226132498</v>
      </c>
      <c r="R2958">
        <v>0.98283037669047801</v>
      </c>
      <c r="S2958" t="s">
        <v>9764</v>
      </c>
      <c r="T2958" t="s">
        <v>13610</v>
      </c>
      <c r="U2958" t="s">
        <v>13610</v>
      </c>
      <c r="V2958" t="s">
        <v>13610</v>
      </c>
      <c r="W2958" t="s">
        <v>16515</v>
      </c>
      <c r="X2958">
        <v>5</v>
      </c>
      <c r="Y2958" t="s">
        <v>23160</v>
      </c>
      <c r="Z2958" t="s">
        <v>29813</v>
      </c>
      <c r="AA2958">
        <v>0.72556026290405073</v>
      </c>
      <c r="AB2958" t="str">
        <f>HYPERLINK("Melting_Curves/meltCurve_P83369_LSM11.pdf", "Melting_Curves/meltCurve_P83369_LSM11.pdf")</f>
        <v>Melting_Curves/meltCurve_P83369_LSM11.pdf</v>
      </c>
    </row>
    <row r="2959" spans="1:28" x14ac:dyDescent="0.25">
      <c r="A2959" t="s">
        <v>2963</v>
      </c>
      <c r="B2959">
        <v>0.995954080203443</v>
      </c>
      <c r="C2959">
        <v>0.765394626751984</v>
      </c>
      <c r="D2959">
        <v>0.47244437661104999</v>
      </c>
      <c r="E2959">
        <v>0.26020491401414397</v>
      </c>
      <c r="F2959">
        <v>0.143039999403789</v>
      </c>
      <c r="G2959">
        <v>8.3302503410820697E-2</v>
      </c>
      <c r="H2959">
        <v>6.4522772881960205E-2</v>
      </c>
      <c r="I2959">
        <v>6.2531850687110604E-2</v>
      </c>
      <c r="J2959">
        <v>7.1212397632275395E-2</v>
      </c>
      <c r="K2959">
        <v>6.2877343747741204E-2</v>
      </c>
      <c r="L2959">
        <v>834.19022920336295</v>
      </c>
      <c r="M2959">
        <v>18.272206715636699</v>
      </c>
      <c r="N2959">
        <v>46.0060401720241</v>
      </c>
      <c r="O2959">
        <v>45.117222821606902</v>
      </c>
      <c r="P2959">
        <v>-9.4638472520034003E-2</v>
      </c>
      <c r="Q2959">
        <v>6.53287687132897E-2</v>
      </c>
      <c r="R2959">
        <v>0.99374941879553802</v>
      </c>
      <c r="S2959" t="s">
        <v>9765</v>
      </c>
      <c r="T2959" t="s">
        <v>13610</v>
      </c>
      <c r="U2959" t="s">
        <v>13610</v>
      </c>
      <c r="V2959" t="s">
        <v>13610</v>
      </c>
      <c r="W2959" t="s">
        <v>16516</v>
      </c>
      <c r="X2959">
        <v>18</v>
      </c>
      <c r="Y2959" t="s">
        <v>23161</v>
      </c>
      <c r="Z2959" t="s">
        <v>29814</v>
      </c>
      <c r="AA2959">
        <v>0.2597184514696686</v>
      </c>
      <c r="AB2959" t="str">
        <f>HYPERLINK("Melting_Curves/meltCurve_P83436_COG7.pdf", "Melting_Curves/meltCurve_P83436_COG7.pdf")</f>
        <v>Melting_Curves/meltCurve_P83436_COG7.pdf</v>
      </c>
    </row>
    <row r="2960" spans="1:28" x14ac:dyDescent="0.25">
      <c r="A2960" t="s">
        <v>2964</v>
      </c>
      <c r="B2960">
        <v>0.995954080203443</v>
      </c>
      <c r="C2960">
        <v>0.831349946058072</v>
      </c>
      <c r="D2960">
        <v>1.01451857805213</v>
      </c>
      <c r="E2960">
        <v>0.78724719567172197</v>
      </c>
      <c r="F2960">
        <v>0.77211002968467601</v>
      </c>
      <c r="G2960">
        <v>0.71684225439028204</v>
      </c>
      <c r="H2960">
        <v>0.68667743036777296</v>
      </c>
      <c r="I2960">
        <v>1.02414309435512</v>
      </c>
      <c r="J2960">
        <v>0.86244001210789101</v>
      </c>
      <c r="K2960">
        <v>1.1148634787537</v>
      </c>
      <c r="L2960">
        <v>10138.2078565348</v>
      </c>
      <c r="M2960">
        <v>250</v>
      </c>
      <c r="O2960">
        <v>40.550236327600203</v>
      </c>
      <c r="P2960">
        <v>-0.20376098055208899</v>
      </c>
      <c r="Q2960">
        <v>0.86779910554790196</v>
      </c>
      <c r="R2960">
        <v>7.6040468067067199E-2</v>
      </c>
      <c r="S2960" t="s">
        <v>9766</v>
      </c>
      <c r="T2960" t="s">
        <v>13610</v>
      </c>
      <c r="U2960" t="s">
        <v>13610</v>
      </c>
      <c r="V2960" t="s">
        <v>13610</v>
      </c>
      <c r="W2960" t="s">
        <v>16517</v>
      </c>
      <c r="X2960">
        <v>6</v>
      </c>
      <c r="Y2960" t="s">
        <v>23162</v>
      </c>
      <c r="Z2960" t="s">
        <v>29815</v>
      </c>
      <c r="AA2960">
        <v>0.87026612828128191</v>
      </c>
      <c r="AB2960" t="str">
        <f>HYPERLINK("Melting_Curves/meltCurve_P83881_RPL36A.pdf", "Melting_Curves/meltCurve_P83881_RPL36A.pdf")</f>
        <v>Melting_Curves/meltCurve_P83881_RPL36A.pdf</v>
      </c>
    </row>
    <row r="2961" spans="1:28" x14ac:dyDescent="0.25">
      <c r="A2961" t="s">
        <v>2965</v>
      </c>
      <c r="B2961">
        <v>0.995954080203443</v>
      </c>
      <c r="C2961">
        <v>0.99638544923509298</v>
      </c>
      <c r="D2961">
        <v>0.967338829681057</v>
      </c>
      <c r="E2961">
        <v>0.89046879789693301</v>
      </c>
      <c r="F2961">
        <v>0.858147597104577</v>
      </c>
      <c r="G2961">
        <v>0.60640073088189395</v>
      </c>
      <c r="H2961">
        <v>0.50970900551750498</v>
      </c>
      <c r="I2961">
        <v>0.52214825868080295</v>
      </c>
      <c r="J2961">
        <v>0.66940438902117505</v>
      </c>
      <c r="K2961">
        <v>0.57603761195674497</v>
      </c>
      <c r="L2961">
        <v>1583.1516043997401</v>
      </c>
      <c r="M2961">
        <v>29.5641485682088</v>
      </c>
      <c r="O2961">
        <v>53.306508186198101</v>
      </c>
      <c r="P2961">
        <v>-6.0432879987580998E-2</v>
      </c>
      <c r="Q2961">
        <v>0.56414197913826103</v>
      </c>
      <c r="R2961">
        <v>0.93348312467487005</v>
      </c>
      <c r="S2961" t="s">
        <v>9767</v>
      </c>
      <c r="T2961" t="s">
        <v>13610</v>
      </c>
      <c r="U2961" t="s">
        <v>13610</v>
      </c>
      <c r="V2961" t="s">
        <v>13610</v>
      </c>
      <c r="W2961" t="s">
        <v>16518</v>
      </c>
      <c r="X2961">
        <v>7</v>
      </c>
      <c r="Y2961" t="s">
        <v>23163</v>
      </c>
      <c r="Z2961" t="s">
        <v>29816</v>
      </c>
      <c r="AA2961">
        <v>0.76392976850827599</v>
      </c>
      <c r="AB2961" t="str">
        <f>HYPERLINK("Melting_Curves/meltCurve_P83916_CBX1.pdf", "Melting_Curves/meltCurve_P83916_CBX1.pdf")</f>
        <v>Melting_Curves/meltCurve_P83916_CBX1.pdf</v>
      </c>
    </row>
    <row r="2962" spans="1:28" x14ac:dyDescent="0.25">
      <c r="A2962" t="s">
        <v>2966</v>
      </c>
      <c r="B2962">
        <v>0.995954080203443</v>
      </c>
      <c r="C2962">
        <v>0.96926367469701902</v>
      </c>
      <c r="D2962">
        <v>0.85175207610239101</v>
      </c>
      <c r="E2962">
        <v>0.39834157174415902</v>
      </c>
      <c r="F2962">
        <v>0.19307373109145401</v>
      </c>
      <c r="G2962">
        <v>0.11702420162204601</v>
      </c>
      <c r="H2962">
        <v>9.2016847383251096E-2</v>
      </c>
      <c r="I2962">
        <v>7.4705810782597096E-2</v>
      </c>
      <c r="J2962">
        <v>7.5907462729448594E-2</v>
      </c>
      <c r="K2962">
        <v>7.1059062850087701E-2</v>
      </c>
      <c r="L2962">
        <v>1255.3457891933599</v>
      </c>
      <c r="M2962">
        <v>25.7036140626997</v>
      </c>
      <c r="N2962">
        <v>49.172289301698498</v>
      </c>
      <c r="O2962">
        <v>48.5465530237256</v>
      </c>
      <c r="P2962">
        <v>-0.12179348829028</v>
      </c>
      <c r="Q2962">
        <v>7.9883505425669493E-2</v>
      </c>
      <c r="R2962">
        <v>0.99957301068817594</v>
      </c>
      <c r="S2962" t="s">
        <v>9768</v>
      </c>
      <c r="T2962" t="s">
        <v>13610</v>
      </c>
      <c r="U2962" t="s">
        <v>13610</v>
      </c>
      <c r="V2962" t="s">
        <v>13610</v>
      </c>
      <c r="W2962" t="s">
        <v>16519</v>
      </c>
      <c r="X2962">
        <v>17</v>
      </c>
      <c r="Y2962" t="s">
        <v>23164</v>
      </c>
      <c r="Z2962" t="s">
        <v>29817</v>
      </c>
      <c r="AA2962">
        <v>0.35867996626119858</v>
      </c>
      <c r="AB2962" t="str">
        <f>HYPERLINK("Melting_Curves/meltCurve_P84022_SMAD3.pdf", "Melting_Curves/meltCurve_P84022_SMAD3.pdf")</f>
        <v>Melting_Curves/meltCurve_P84022_SMAD3.pdf</v>
      </c>
    </row>
    <row r="2963" spans="1:28" x14ac:dyDescent="0.25">
      <c r="A2963" t="s">
        <v>2967</v>
      </c>
      <c r="B2963">
        <v>0.995954080203443</v>
      </c>
      <c r="C2963">
        <v>1.06514228912528</v>
      </c>
      <c r="D2963">
        <v>1.04190550235463</v>
      </c>
      <c r="E2963">
        <v>0.98690545101984195</v>
      </c>
      <c r="F2963">
        <v>0.821686615983093</v>
      </c>
      <c r="G2963">
        <v>0.51197938142773503</v>
      </c>
      <c r="H2963">
        <v>0.25441306146766202</v>
      </c>
      <c r="I2963">
        <v>0.122730282758072</v>
      </c>
      <c r="J2963">
        <v>7.3271413901161903E-2</v>
      </c>
      <c r="K2963">
        <v>6.0862537092835699E-2</v>
      </c>
      <c r="L2963">
        <v>1207.21813980816</v>
      </c>
      <c r="M2963">
        <v>21.1798547464035</v>
      </c>
      <c r="N2963">
        <v>57.235709639104201</v>
      </c>
      <c r="O2963">
        <v>56.497587418264402</v>
      </c>
      <c r="P2963">
        <v>-8.9783179638951702E-2</v>
      </c>
      <c r="Q2963">
        <v>4.2032751879706599E-2</v>
      </c>
      <c r="R2963">
        <v>0.994831508404599</v>
      </c>
      <c r="S2963" t="s">
        <v>9769</v>
      </c>
      <c r="T2963" t="s">
        <v>13610</v>
      </c>
      <c r="U2963" t="s">
        <v>13610</v>
      </c>
      <c r="V2963" t="s">
        <v>13610</v>
      </c>
      <c r="W2963" t="s">
        <v>16520</v>
      </c>
      <c r="X2963">
        <v>13</v>
      </c>
      <c r="Y2963" t="s">
        <v>23165</v>
      </c>
      <c r="Z2963" t="s">
        <v>29818</v>
      </c>
      <c r="AA2963">
        <v>0.5957549786233256</v>
      </c>
      <c r="AB2963" t="str">
        <f>HYPERLINK("Melting_Curves/meltCurve_P84077_ARF1.pdf", "Melting_Curves/meltCurve_P84077_ARF1.pdf")</f>
        <v>Melting_Curves/meltCurve_P84077_ARF1.pdf</v>
      </c>
    </row>
    <row r="2964" spans="1:28" x14ac:dyDescent="0.25">
      <c r="A2964" t="s">
        <v>2968</v>
      </c>
      <c r="B2964">
        <v>0.995954080203443</v>
      </c>
      <c r="C2964">
        <v>1.13600047426198</v>
      </c>
      <c r="D2964">
        <v>1.2651813581979101</v>
      </c>
      <c r="E2964">
        <v>0.95334341485100804</v>
      </c>
      <c r="F2964">
        <v>0.67302135777326699</v>
      </c>
      <c r="G2964">
        <v>0.196607006709235</v>
      </c>
      <c r="H2964">
        <v>9.0066218847170101E-2</v>
      </c>
      <c r="I2964">
        <v>7.3487590289272695E-2</v>
      </c>
      <c r="J2964">
        <v>8.2804482037107302E-2</v>
      </c>
      <c r="K2964">
        <v>7.0556489594774799E-2</v>
      </c>
      <c r="L2964">
        <v>1999.00408354247</v>
      </c>
      <c r="M2964">
        <v>37.0824583535681</v>
      </c>
      <c r="N2964">
        <v>54.151744684829197</v>
      </c>
      <c r="O2964">
        <v>53.750955011449904</v>
      </c>
      <c r="P2964">
        <v>-0.15916659286349699</v>
      </c>
      <c r="Q2964">
        <v>7.71559725484086E-2</v>
      </c>
      <c r="R2964">
        <v>0.95989109987826804</v>
      </c>
      <c r="S2964" t="s">
        <v>9770</v>
      </c>
      <c r="T2964" t="s">
        <v>13610</v>
      </c>
      <c r="U2964" t="s">
        <v>13610</v>
      </c>
      <c r="V2964" t="s">
        <v>13610</v>
      </c>
      <c r="W2964" t="s">
        <v>16521</v>
      </c>
      <c r="X2964">
        <v>11</v>
      </c>
      <c r="Y2964" t="s">
        <v>23166</v>
      </c>
      <c r="Z2964" t="s">
        <v>29819</v>
      </c>
      <c r="AA2964">
        <v>0.5089477249577995</v>
      </c>
      <c r="AB2964" t="str">
        <f>HYPERLINK("Melting_Curves/meltCurve_P84085_ARF5.pdf", "Melting_Curves/meltCurve_P84085_ARF5.pdf")</f>
        <v>Melting_Curves/meltCurve_P84085_ARF5.pdf</v>
      </c>
    </row>
    <row r="2965" spans="1:28" x14ac:dyDescent="0.25">
      <c r="A2965" t="s">
        <v>2969</v>
      </c>
      <c r="B2965">
        <v>0.995954080203443</v>
      </c>
      <c r="C2965">
        <v>0.81180283876290305</v>
      </c>
      <c r="D2965">
        <v>0.80936053644922501</v>
      </c>
      <c r="E2965">
        <v>0.83701450514313003</v>
      </c>
      <c r="F2965">
        <v>0.74778382594785897</v>
      </c>
      <c r="G2965">
        <v>0.59065172847007996</v>
      </c>
      <c r="H2965">
        <v>0.39698000097817598</v>
      </c>
      <c r="I2965">
        <v>0.29733293657128501</v>
      </c>
      <c r="J2965">
        <v>0.26153913632276699</v>
      </c>
      <c r="K2965">
        <v>0.20150173929552201</v>
      </c>
      <c r="L2965">
        <v>456.74996914772697</v>
      </c>
      <c r="M2965">
        <v>7.8212362982050703</v>
      </c>
      <c r="N2965">
        <v>58.398693061418001</v>
      </c>
      <c r="O2965">
        <v>54.950099267057503</v>
      </c>
      <c r="P2965">
        <v>-3.5627142286757799E-2</v>
      </c>
      <c r="Q2965">
        <v>0</v>
      </c>
      <c r="R2965">
        <v>0.95271015633983602</v>
      </c>
      <c r="S2965" t="s">
        <v>9771</v>
      </c>
      <c r="T2965" t="s">
        <v>13610</v>
      </c>
      <c r="U2965" t="s">
        <v>13610</v>
      </c>
      <c r="V2965" t="s">
        <v>13610</v>
      </c>
      <c r="W2965" t="s">
        <v>16522</v>
      </c>
      <c r="X2965">
        <v>7</v>
      </c>
      <c r="Y2965" t="s">
        <v>23167</v>
      </c>
      <c r="Z2965" t="s">
        <v>29820</v>
      </c>
      <c r="AA2965">
        <v>0.61245154101331445</v>
      </c>
      <c r="AB2965" t="str">
        <f>HYPERLINK("Melting_Curves/meltCurve_P84090_ERH.pdf", "Melting_Curves/meltCurve_P84090_ERH.pdf")</f>
        <v>Melting_Curves/meltCurve_P84090_ERH.pdf</v>
      </c>
    </row>
    <row r="2966" spans="1:28" x14ac:dyDescent="0.25">
      <c r="A2966" t="s">
        <v>2970</v>
      </c>
      <c r="B2966">
        <v>0.995954080203443</v>
      </c>
      <c r="C2966">
        <v>1.0719726603025801</v>
      </c>
      <c r="D2966">
        <v>1.0241039267791501</v>
      </c>
      <c r="E2966">
        <v>0.75633697352572105</v>
      </c>
      <c r="F2966">
        <v>0.328309872601113</v>
      </c>
      <c r="G2966">
        <v>0.123117354372432</v>
      </c>
      <c r="H2966">
        <v>6.0755602414582902E-2</v>
      </c>
      <c r="I2966">
        <v>4.0232627182724703E-2</v>
      </c>
      <c r="J2966">
        <v>4.1260801988443098E-2</v>
      </c>
      <c r="K2966">
        <v>3.8755151730867299E-2</v>
      </c>
      <c r="L2966">
        <v>1698.34998129992</v>
      </c>
      <c r="M2966">
        <v>32.8859507835028</v>
      </c>
      <c r="N2966">
        <v>51.808050108687297</v>
      </c>
      <c r="O2966">
        <v>51.4537924864578</v>
      </c>
      <c r="P2966">
        <v>-0.15186736301759601</v>
      </c>
      <c r="Q2966">
        <v>4.9549576751039201E-2</v>
      </c>
      <c r="R2966">
        <v>0.995512028585266</v>
      </c>
      <c r="S2966" t="s">
        <v>9772</v>
      </c>
      <c r="T2966" t="s">
        <v>13610</v>
      </c>
      <c r="U2966" t="s">
        <v>13610</v>
      </c>
      <c r="V2966" t="s">
        <v>13610</v>
      </c>
      <c r="W2966" t="s">
        <v>16523</v>
      </c>
      <c r="X2966">
        <v>8</v>
      </c>
      <c r="Y2966" t="s">
        <v>23168</v>
      </c>
      <c r="Z2966" t="s">
        <v>29821</v>
      </c>
      <c r="AA2966">
        <v>0.42346614920748898</v>
      </c>
      <c r="AB2966" t="str">
        <f>HYPERLINK("Melting_Curves/meltCurve_P84095_RHOG.pdf", "Melting_Curves/meltCurve_P84095_RHOG.pdf")</f>
        <v>Melting_Curves/meltCurve_P84095_RHOG.pdf</v>
      </c>
    </row>
    <row r="2967" spans="1:28" x14ac:dyDescent="0.25">
      <c r="A2967" t="s">
        <v>2971</v>
      </c>
      <c r="B2967">
        <v>0.995954080203443</v>
      </c>
      <c r="C2967">
        <v>0.72819527678492701</v>
      </c>
      <c r="D2967">
        <v>0.85045705747620204</v>
      </c>
      <c r="E2967">
        <v>0.66108464340398498</v>
      </c>
      <c r="F2967">
        <v>0.73946605130795795</v>
      </c>
      <c r="G2967">
        <v>0.78301864857206804</v>
      </c>
      <c r="H2967">
        <v>0.92820271998111703</v>
      </c>
      <c r="I2967">
        <v>1.4660314968419099</v>
      </c>
      <c r="J2967">
        <v>1.8382058392665199</v>
      </c>
      <c r="K2967">
        <v>1.9012127311937299</v>
      </c>
      <c r="L2967">
        <v>15000</v>
      </c>
      <c r="M2967">
        <v>236.98936124457899</v>
      </c>
      <c r="O2967">
        <v>63.289473208287603</v>
      </c>
      <c r="P2967">
        <v>0.468066310401345</v>
      </c>
      <c r="Q2967">
        <v>1.5</v>
      </c>
      <c r="R2967">
        <v>0.69420134390300703</v>
      </c>
      <c r="S2967" t="s">
        <v>9773</v>
      </c>
      <c r="T2967" t="s">
        <v>13610</v>
      </c>
      <c r="U2967" t="s">
        <v>13610</v>
      </c>
      <c r="V2967" t="s">
        <v>13610</v>
      </c>
      <c r="W2967" t="s">
        <v>16524</v>
      </c>
      <c r="X2967">
        <v>4</v>
      </c>
      <c r="Y2967" t="s">
        <v>23169</v>
      </c>
      <c r="Z2967" t="s">
        <v>29822</v>
      </c>
      <c r="AA2967">
        <v>1.1117051851557469</v>
      </c>
      <c r="AB2967" t="str">
        <f>HYPERLINK("Melting_Curves/meltCurve_P84101_4_SERF2.pdf", "Melting_Curves/meltCurve_P84101_4_SERF2.pdf")</f>
        <v>Melting_Curves/meltCurve_P84101_4_SERF2.pdf</v>
      </c>
    </row>
    <row r="2968" spans="1:28" x14ac:dyDescent="0.25">
      <c r="A2968" t="s">
        <v>2972</v>
      </c>
      <c r="B2968">
        <v>0.995954080203443</v>
      </c>
      <c r="C2968">
        <v>0.83427848879043898</v>
      </c>
      <c r="D2968">
        <v>0.84341281338324903</v>
      </c>
      <c r="E2968">
        <v>0.60865515020343597</v>
      </c>
      <c r="F2968">
        <v>0.55598726426412703</v>
      </c>
      <c r="G2968">
        <v>0.37189364407063802</v>
      </c>
      <c r="H2968">
        <v>0.32587901740596498</v>
      </c>
      <c r="I2968">
        <v>0.36381680110423897</v>
      </c>
      <c r="J2968">
        <v>0.44675835701275302</v>
      </c>
      <c r="K2968">
        <v>0.42724788556862803</v>
      </c>
      <c r="L2968">
        <v>711.51681515043197</v>
      </c>
      <c r="M2968">
        <v>14.7006334018005</v>
      </c>
      <c r="N2968">
        <v>53.328445635425297</v>
      </c>
      <c r="O2968">
        <v>47.531255039235397</v>
      </c>
      <c r="P2968">
        <v>-4.8603559916378998E-2</v>
      </c>
      <c r="Q2968">
        <v>0.37147316043238898</v>
      </c>
      <c r="R2968">
        <v>0.94443623892818396</v>
      </c>
      <c r="S2968" t="s">
        <v>9774</v>
      </c>
      <c r="T2968" t="s">
        <v>13610</v>
      </c>
      <c r="U2968" t="s">
        <v>13610</v>
      </c>
      <c r="V2968" t="s">
        <v>13610</v>
      </c>
      <c r="W2968" t="s">
        <v>16525</v>
      </c>
      <c r="X2968">
        <v>18</v>
      </c>
      <c r="Y2968" t="s">
        <v>23170</v>
      </c>
      <c r="Z2968" t="s">
        <v>29823</v>
      </c>
      <c r="AA2968">
        <v>0.56398765930552819</v>
      </c>
      <c r="AB2968" t="str">
        <f>HYPERLINK("Melting_Curves/meltCurve_P85037_FOXK1.pdf", "Melting_Curves/meltCurve_P85037_FOXK1.pdf")</f>
        <v>Melting_Curves/meltCurve_P85037_FOXK1.pdf</v>
      </c>
    </row>
    <row r="2969" spans="1:28" x14ac:dyDescent="0.25">
      <c r="A2969" t="s">
        <v>2973</v>
      </c>
      <c r="B2969">
        <v>0.995954080203443</v>
      </c>
      <c r="C2969">
        <v>1.0145693599635599</v>
      </c>
      <c r="D2969">
        <v>0.98711947082959595</v>
      </c>
      <c r="E2969">
        <v>0.84967891186591904</v>
      </c>
      <c r="F2969">
        <v>0.74614576436353897</v>
      </c>
      <c r="G2969">
        <v>0.54617042622058998</v>
      </c>
      <c r="H2969">
        <v>0.49323988610821901</v>
      </c>
      <c r="I2969">
        <v>0.54639311938813395</v>
      </c>
      <c r="J2969">
        <v>0.65131041923464905</v>
      </c>
      <c r="K2969">
        <v>0.54095852715122705</v>
      </c>
      <c r="L2969">
        <v>1405.86881458736</v>
      </c>
      <c r="M2969">
        <v>27.152825696030501</v>
      </c>
      <c r="O2969">
        <v>51.497772062467199</v>
      </c>
      <c r="P2969">
        <v>-5.9196482189305698E-2</v>
      </c>
      <c r="Q2969">
        <v>0.55091867799449801</v>
      </c>
      <c r="R2969">
        <v>0.95397815245823903</v>
      </c>
      <c r="S2969" t="s">
        <v>9775</v>
      </c>
      <c r="T2969" t="s">
        <v>13610</v>
      </c>
      <c r="U2969" t="s">
        <v>13610</v>
      </c>
      <c r="V2969" t="s">
        <v>13610</v>
      </c>
      <c r="W2969" t="s">
        <v>16526</v>
      </c>
      <c r="X2969">
        <v>2</v>
      </c>
      <c r="Y2969" t="s">
        <v>23171</v>
      </c>
      <c r="Z2969" t="s">
        <v>29824</v>
      </c>
      <c r="AA2969">
        <v>0.73068238855657131</v>
      </c>
      <c r="AB2969" t="str">
        <f>HYPERLINK("Melting_Curves/meltCurve_P85299_2_PRR5.pdf", "Melting_Curves/meltCurve_P85299_2_PRR5.pdf")</f>
        <v>Melting_Curves/meltCurve_P85299_2_PRR5.pdf</v>
      </c>
    </row>
    <row r="2970" spans="1:28" x14ac:dyDescent="0.25">
      <c r="A2970" t="s">
        <v>2974</v>
      </c>
      <c r="B2970">
        <v>0.995954080203443</v>
      </c>
      <c r="C2970">
        <v>0.93508744294055701</v>
      </c>
      <c r="D2970">
        <v>0.87459895304214696</v>
      </c>
      <c r="E2970">
        <v>0.66848340371438497</v>
      </c>
      <c r="F2970">
        <v>0.34855897675430603</v>
      </c>
      <c r="G2970">
        <v>0.18320298689733</v>
      </c>
      <c r="H2970">
        <v>9.5758123619062399E-2</v>
      </c>
      <c r="I2970">
        <v>8.3025388626392804E-2</v>
      </c>
      <c r="J2970">
        <v>0.101392745186169</v>
      </c>
      <c r="K2970">
        <v>8.6489049574897503E-2</v>
      </c>
      <c r="L2970">
        <v>992.82036020771102</v>
      </c>
      <c r="M2970">
        <v>19.458722396943099</v>
      </c>
      <c r="N2970">
        <v>51.4449277449026</v>
      </c>
      <c r="O2970">
        <v>50.492192273291501</v>
      </c>
      <c r="P2970">
        <v>-8.9225048192182396E-2</v>
      </c>
      <c r="Q2970">
        <v>7.3936544370165294E-2</v>
      </c>
      <c r="R2970">
        <v>0.99587002840830596</v>
      </c>
      <c r="S2970" t="s">
        <v>9776</v>
      </c>
      <c r="T2970" t="s">
        <v>13610</v>
      </c>
      <c r="U2970" t="s">
        <v>13610</v>
      </c>
      <c r="V2970" t="s">
        <v>13610</v>
      </c>
      <c r="W2970" t="s">
        <v>16527</v>
      </c>
      <c r="X2970">
        <v>15</v>
      </c>
      <c r="Y2970" t="s">
        <v>23172</v>
      </c>
      <c r="Z2970" t="s">
        <v>29825</v>
      </c>
      <c r="AA2970">
        <v>0.42769643698444149</v>
      </c>
      <c r="AB2970" t="str">
        <f>HYPERLINK("Melting_Curves/meltCurve_P86791_CCZ1.pdf", "Melting_Curves/meltCurve_P86791_CCZ1.pdf")</f>
        <v>Melting_Curves/meltCurve_P86791_CCZ1.pdf</v>
      </c>
    </row>
    <row r="2971" spans="1:28" x14ac:dyDescent="0.25">
      <c r="A2971" t="s">
        <v>2975</v>
      </c>
      <c r="B2971">
        <v>0.995954080203443</v>
      </c>
      <c r="C2971">
        <v>1.00978814608942</v>
      </c>
      <c r="D2971">
        <v>0.87176580288537997</v>
      </c>
      <c r="E2971">
        <v>0.626763304295747</v>
      </c>
      <c r="F2971">
        <v>0.39323283696910999</v>
      </c>
      <c r="G2971">
        <v>0.25185262050356599</v>
      </c>
      <c r="H2971">
        <v>0.17558783742080999</v>
      </c>
      <c r="I2971">
        <v>0.19956738745369801</v>
      </c>
      <c r="J2971">
        <v>0.20098413104681201</v>
      </c>
      <c r="K2971">
        <v>0.22671618400756999</v>
      </c>
      <c r="L2971">
        <v>1064.7713592841601</v>
      </c>
      <c r="M2971">
        <v>21.2037677571073</v>
      </c>
      <c r="N2971">
        <v>51.400506279086798</v>
      </c>
      <c r="O2971">
        <v>49.775889535005099</v>
      </c>
      <c r="P2971">
        <v>-8.5917988320128605E-2</v>
      </c>
      <c r="Q2971">
        <v>0.19325019861807299</v>
      </c>
      <c r="R2971">
        <v>0.99619932216479001</v>
      </c>
      <c r="S2971" t="s">
        <v>9777</v>
      </c>
      <c r="T2971" t="s">
        <v>13610</v>
      </c>
      <c r="U2971" t="s">
        <v>13610</v>
      </c>
      <c r="V2971" t="s">
        <v>13610</v>
      </c>
      <c r="W2971" t="s">
        <v>16528</v>
      </c>
      <c r="X2971">
        <v>11</v>
      </c>
      <c r="Y2971" t="s">
        <v>23173</v>
      </c>
      <c r="Z2971" t="s">
        <v>29826</v>
      </c>
      <c r="AA2971">
        <v>0.47799522279352008</v>
      </c>
      <c r="AB2971" t="str">
        <f>HYPERLINK("Melting_Curves/meltCurve_P98082_3_DAB2.pdf", "Melting_Curves/meltCurve_P98082_3_DAB2.pdf")</f>
        <v>Melting_Curves/meltCurve_P98082_3_DAB2.pdf</v>
      </c>
    </row>
    <row r="2972" spans="1:28" x14ac:dyDescent="0.25">
      <c r="A2972" t="s">
        <v>2976</v>
      </c>
      <c r="B2972">
        <v>0.995954080203443</v>
      </c>
      <c r="C2972">
        <v>0.84264931796387799</v>
      </c>
      <c r="D2972">
        <v>0.78593966844049101</v>
      </c>
      <c r="E2972">
        <v>0.66365210320522705</v>
      </c>
      <c r="F2972">
        <v>0.45048661661054801</v>
      </c>
      <c r="G2972">
        <v>0.24783098161073899</v>
      </c>
      <c r="H2972">
        <v>0.17554290676067599</v>
      </c>
      <c r="I2972">
        <v>0.17454842220988601</v>
      </c>
      <c r="J2972">
        <v>0.18025800520776999</v>
      </c>
      <c r="K2972">
        <v>0.170041672621739</v>
      </c>
      <c r="L2972">
        <v>621.58893288216302</v>
      </c>
      <c r="M2972">
        <v>12.2508233811105</v>
      </c>
      <c r="N2972">
        <v>51.821844420312097</v>
      </c>
      <c r="O2972">
        <v>49.443414827027503</v>
      </c>
      <c r="P2972">
        <v>-5.4958364457634003E-2</v>
      </c>
      <c r="Q2972">
        <v>0.112965828014467</v>
      </c>
      <c r="R2972">
        <v>0.98321448043596604</v>
      </c>
      <c r="S2972" t="s">
        <v>9778</v>
      </c>
      <c r="T2972" t="s">
        <v>13610</v>
      </c>
      <c r="U2972" t="s">
        <v>13610</v>
      </c>
      <c r="V2972" t="s">
        <v>13610</v>
      </c>
      <c r="W2972" t="s">
        <v>16529</v>
      </c>
      <c r="X2972">
        <v>24</v>
      </c>
      <c r="Y2972" t="s">
        <v>23174</v>
      </c>
      <c r="Z2972" t="s">
        <v>29827</v>
      </c>
      <c r="AA2972">
        <v>0.45898730177384639</v>
      </c>
      <c r="AB2972" t="str">
        <f>HYPERLINK("Melting_Curves/meltCurve_P98170_XIAP.pdf", "Melting_Curves/meltCurve_P98170_XIAP.pdf")</f>
        <v>Melting_Curves/meltCurve_P98170_XIAP.pdf</v>
      </c>
    </row>
    <row r="2973" spans="1:28" x14ac:dyDescent="0.25">
      <c r="A2973" t="s">
        <v>2977</v>
      </c>
      <c r="B2973">
        <v>0.995954080203443</v>
      </c>
      <c r="C2973">
        <v>0.94671042584865694</v>
      </c>
      <c r="D2973">
        <v>0.94727033916860803</v>
      </c>
      <c r="E2973">
        <v>0.84558201983989301</v>
      </c>
      <c r="F2973">
        <v>0.82227830741974095</v>
      </c>
      <c r="G2973">
        <v>0.58851589961777395</v>
      </c>
      <c r="H2973">
        <v>0.53535549217178702</v>
      </c>
      <c r="I2973">
        <v>0.61961737009706097</v>
      </c>
      <c r="J2973">
        <v>0.78256493455364595</v>
      </c>
      <c r="K2973">
        <v>0.71769815694428296</v>
      </c>
      <c r="L2973">
        <v>1205.71490680689</v>
      </c>
      <c r="M2973">
        <v>23.6842253256827</v>
      </c>
      <c r="O2973">
        <v>50.549159407914303</v>
      </c>
      <c r="P2973">
        <v>-4.0805723605943298E-2</v>
      </c>
      <c r="Q2973">
        <v>0.65163967865279304</v>
      </c>
      <c r="R2973">
        <v>0.76959449346130204</v>
      </c>
      <c r="S2973" t="s">
        <v>9779</v>
      </c>
      <c r="T2973" t="s">
        <v>13610</v>
      </c>
      <c r="U2973" t="s">
        <v>13610</v>
      </c>
      <c r="V2973" t="s">
        <v>13610</v>
      </c>
      <c r="W2973" t="s">
        <v>16530</v>
      </c>
      <c r="X2973">
        <v>31</v>
      </c>
      <c r="Y2973" t="s">
        <v>23175</v>
      </c>
      <c r="Z2973" t="s">
        <v>29828</v>
      </c>
      <c r="AA2973">
        <v>0.78179870224928549</v>
      </c>
      <c r="AB2973" t="str">
        <f>HYPERLINK("Melting_Curves/meltCurve_P98175_2_RBM10.pdf", "Melting_Curves/meltCurve_P98175_2_RBM10.pdf")</f>
        <v>Melting_Curves/meltCurve_P98175_2_RBM10.pdf</v>
      </c>
    </row>
    <row r="2974" spans="1:28" x14ac:dyDescent="0.25">
      <c r="A2974" t="s">
        <v>2978</v>
      </c>
      <c r="B2974">
        <v>0.995954080203443</v>
      </c>
      <c r="C2974">
        <v>0.73879573094112605</v>
      </c>
      <c r="D2974">
        <v>1.01182277619753</v>
      </c>
      <c r="E2974">
        <v>0.72816727041500795</v>
      </c>
      <c r="F2974">
        <v>0.74670231328744296</v>
      </c>
      <c r="G2974">
        <v>0.56868391560762199</v>
      </c>
      <c r="H2974">
        <v>0.58424637997587803</v>
      </c>
      <c r="I2974">
        <v>0.83490219091175499</v>
      </c>
      <c r="J2974">
        <v>1.1406282702961501</v>
      </c>
      <c r="K2974">
        <v>0.97673655419983496</v>
      </c>
      <c r="L2974">
        <v>10152.0742969984</v>
      </c>
      <c r="M2974">
        <v>250</v>
      </c>
      <c r="O2974">
        <v>40.605698635333503</v>
      </c>
      <c r="P2974">
        <v>-0.28548857269906702</v>
      </c>
      <c r="Q2974">
        <v>0.81452059356573503</v>
      </c>
      <c r="R2974">
        <v>8.8999142145322604E-2</v>
      </c>
      <c r="S2974" t="s">
        <v>9780</v>
      </c>
      <c r="T2974" t="s">
        <v>13610</v>
      </c>
      <c r="U2974" t="s">
        <v>13610</v>
      </c>
      <c r="V2974" t="s">
        <v>13610</v>
      </c>
      <c r="W2974" t="s">
        <v>16531</v>
      </c>
      <c r="X2974">
        <v>2</v>
      </c>
      <c r="Y2974" t="s">
        <v>23176</v>
      </c>
      <c r="Z2974" t="s">
        <v>29829</v>
      </c>
      <c r="AA2974">
        <v>0.81831604869571917</v>
      </c>
      <c r="AB2974" t="str">
        <f>HYPERLINK("Melting_Curves/meltCurve_P98179_RBM3.pdf", "Melting_Curves/meltCurve_P98179_RBM3.pdf")</f>
        <v>Melting_Curves/meltCurve_P98179_RBM3.pdf</v>
      </c>
    </row>
    <row r="2975" spans="1:28" x14ac:dyDescent="0.25">
      <c r="A2975" t="s">
        <v>2979</v>
      </c>
      <c r="B2975">
        <v>0.995954080203443</v>
      </c>
      <c r="C2975">
        <v>0.76675809045001397</v>
      </c>
      <c r="D2975">
        <v>1.00136489920829</v>
      </c>
      <c r="E2975">
        <v>0.53953395621321698</v>
      </c>
      <c r="F2975">
        <v>0.30073704410331198</v>
      </c>
      <c r="G2975">
        <v>0.18396544628535999</v>
      </c>
      <c r="H2975">
        <v>0.15766805414395499</v>
      </c>
      <c r="I2975">
        <v>0.17000305054586701</v>
      </c>
      <c r="J2975">
        <v>0.17390407306931499</v>
      </c>
      <c r="K2975">
        <v>0.19254730173845999</v>
      </c>
      <c r="L2975">
        <v>1551.90182571539</v>
      </c>
      <c r="M2975">
        <v>31.1787299821262</v>
      </c>
      <c r="N2975">
        <v>50.465311038948499</v>
      </c>
      <c r="O2975">
        <v>49.5709747836679</v>
      </c>
      <c r="P2975">
        <v>-0.12992613834821001</v>
      </c>
      <c r="Q2975">
        <v>0.17372805378659101</v>
      </c>
      <c r="R2975">
        <v>0.948636677034426</v>
      </c>
      <c r="S2975" t="s">
        <v>9781</v>
      </c>
      <c r="T2975" t="s">
        <v>13610</v>
      </c>
      <c r="U2975" t="s">
        <v>13610</v>
      </c>
      <c r="V2975" t="s">
        <v>13610</v>
      </c>
      <c r="W2975" t="s">
        <v>16532</v>
      </c>
      <c r="X2975">
        <v>20</v>
      </c>
      <c r="Y2975" t="s">
        <v>23177</v>
      </c>
      <c r="Z2975" t="s">
        <v>29830</v>
      </c>
      <c r="AA2975">
        <v>0.44764700035851013</v>
      </c>
      <c r="AB2975" t="str">
        <f>HYPERLINK("Melting_Curves/meltCurve_Q00013_MPP1.pdf", "Melting_Curves/meltCurve_Q00013_MPP1.pdf")</f>
        <v>Melting_Curves/meltCurve_Q00013_MPP1.pdf</v>
      </c>
    </row>
    <row r="2976" spans="1:28" x14ac:dyDescent="0.25">
      <c r="A2976" t="s">
        <v>2980</v>
      </c>
      <c r="B2976">
        <v>0.995954080203443</v>
      </c>
      <c r="C2976">
        <v>0.96157606249918903</v>
      </c>
      <c r="D2976">
        <v>0.93449757617061202</v>
      </c>
      <c r="E2976">
        <v>0.76354821078821</v>
      </c>
      <c r="F2976">
        <v>0.625282407485789</v>
      </c>
      <c r="G2976">
        <v>0.45207069917978299</v>
      </c>
      <c r="H2976">
        <v>0.38841575846433002</v>
      </c>
      <c r="I2976">
        <v>0.41239033983001</v>
      </c>
      <c r="J2976">
        <v>0.48243698300756399</v>
      </c>
      <c r="K2976">
        <v>0.432963235547694</v>
      </c>
      <c r="L2976">
        <v>1060.4936719617899</v>
      </c>
      <c r="M2976">
        <v>20.813084362061701</v>
      </c>
      <c r="N2976">
        <v>55.855259589809201</v>
      </c>
      <c r="O2976">
        <v>50.489859768789501</v>
      </c>
      <c r="P2976">
        <v>-5.9823295036975199E-2</v>
      </c>
      <c r="Q2976">
        <v>0.41952200223200797</v>
      </c>
      <c r="R2976">
        <v>0.98468183393326603</v>
      </c>
      <c r="S2976" t="s">
        <v>9782</v>
      </c>
      <c r="T2976" t="s">
        <v>13610</v>
      </c>
      <c r="U2976" t="s">
        <v>13610</v>
      </c>
      <c r="V2976" t="s">
        <v>13610</v>
      </c>
      <c r="W2976" t="s">
        <v>16533</v>
      </c>
      <c r="X2976">
        <v>15</v>
      </c>
      <c r="Y2976" t="s">
        <v>23178</v>
      </c>
      <c r="Z2976" t="s">
        <v>29831</v>
      </c>
      <c r="AA2976">
        <v>0.63893402716358516</v>
      </c>
      <c r="AB2976" t="str">
        <f>HYPERLINK("Melting_Curves/meltCurve_Q00059_TFAM.pdf", "Melting_Curves/meltCurve_Q00059_TFAM.pdf")</f>
        <v>Melting_Curves/meltCurve_Q00059_TFAM.pdf</v>
      </c>
    </row>
    <row r="2977" spans="1:28" x14ac:dyDescent="0.25">
      <c r="A2977" t="s">
        <v>2981</v>
      </c>
      <c r="B2977">
        <v>0.995954080203443</v>
      </c>
      <c r="C2977">
        <v>0.97616356613224797</v>
      </c>
      <c r="D2977">
        <v>1.0576235016837701</v>
      </c>
      <c r="E2977">
        <v>0.88423443462714701</v>
      </c>
      <c r="F2977">
        <v>0.94583505589779204</v>
      </c>
      <c r="G2977">
        <v>0.73822827263364998</v>
      </c>
      <c r="H2977">
        <v>0.49668730383578502</v>
      </c>
      <c r="I2977">
        <v>0.151809349762177</v>
      </c>
      <c r="J2977">
        <v>0.14098098474425899</v>
      </c>
      <c r="K2977">
        <v>0.130831116092928</v>
      </c>
      <c r="L2977">
        <v>1275.9957359717</v>
      </c>
      <c r="M2977">
        <v>21.3482540326841</v>
      </c>
      <c r="N2977">
        <v>60.099234138623601</v>
      </c>
      <c r="O2977">
        <v>59.253458378677699</v>
      </c>
      <c r="P2977">
        <v>-8.5110495327379507E-2</v>
      </c>
      <c r="Q2977">
        <v>5.5105174824654699E-2</v>
      </c>
      <c r="R2977">
        <v>0.97876464497974602</v>
      </c>
      <c r="S2977" t="s">
        <v>9783</v>
      </c>
      <c r="T2977" t="s">
        <v>13610</v>
      </c>
      <c r="U2977" t="s">
        <v>13610</v>
      </c>
      <c r="V2977" t="s">
        <v>13610</v>
      </c>
      <c r="W2977" t="s">
        <v>16534</v>
      </c>
      <c r="X2977">
        <v>23</v>
      </c>
      <c r="Y2977" t="s">
        <v>23179</v>
      </c>
      <c r="Z2977" t="s">
        <v>29832</v>
      </c>
      <c r="AA2977">
        <v>0.68590812347971064</v>
      </c>
      <c r="AB2977" t="str">
        <f>HYPERLINK("Melting_Curves/meltCurve_Q00169_PITPNA.pdf", "Melting_Curves/meltCurve_Q00169_PITPNA.pdf")</f>
        <v>Melting_Curves/meltCurve_Q00169_PITPNA.pdf</v>
      </c>
    </row>
    <row r="2978" spans="1:28" x14ac:dyDescent="0.25">
      <c r="A2978" t="s">
        <v>2982</v>
      </c>
      <c r="B2978">
        <v>0.995954080203443</v>
      </c>
      <c r="C2978">
        <v>0.74241686543031105</v>
      </c>
      <c r="D2978">
        <v>0.71470044977046698</v>
      </c>
      <c r="E2978">
        <v>0.71351113493287599</v>
      </c>
      <c r="F2978">
        <v>0.369470905855732</v>
      </c>
      <c r="G2978">
        <v>0.124198417422813</v>
      </c>
      <c r="H2978">
        <v>8.4914661676256706E-2</v>
      </c>
      <c r="I2978">
        <v>8.8282980175608705E-2</v>
      </c>
      <c r="J2978">
        <v>0.106087386499014</v>
      </c>
      <c r="K2978">
        <v>9.9113511108380806E-2</v>
      </c>
      <c r="L2978">
        <v>556.18632735936103</v>
      </c>
      <c r="M2978">
        <v>10.976912754629099</v>
      </c>
      <c r="N2978">
        <v>50.695873880631197</v>
      </c>
      <c r="O2978">
        <v>49.074197150250299</v>
      </c>
      <c r="P2978">
        <v>-5.57751515926816E-2</v>
      </c>
      <c r="Q2978">
        <v>2.92907666224234E-3</v>
      </c>
      <c r="R2978">
        <v>0.93599910888091298</v>
      </c>
      <c r="S2978" t="s">
        <v>9784</v>
      </c>
      <c r="T2978" t="s">
        <v>13610</v>
      </c>
      <c r="U2978" t="s">
        <v>13610</v>
      </c>
      <c r="V2978" t="s">
        <v>13610</v>
      </c>
      <c r="W2978" t="s">
        <v>16535</v>
      </c>
      <c r="X2978">
        <v>3</v>
      </c>
      <c r="Y2978" t="s">
        <v>23180</v>
      </c>
      <c r="Z2978" t="s">
        <v>29833</v>
      </c>
      <c r="AA2978">
        <v>0.39519223982137142</v>
      </c>
      <c r="AB2978" t="str">
        <f>HYPERLINK("Melting_Curves/meltCurve_Q00325_2_SLC25A3.pdf", "Melting_Curves/meltCurve_Q00325_2_SLC25A3.pdf")</f>
        <v>Melting_Curves/meltCurve_Q00325_2_SLC25A3.pdf</v>
      </c>
    </row>
    <row r="2979" spans="1:28" x14ac:dyDescent="0.25">
      <c r="A2979" t="s">
        <v>2983</v>
      </c>
      <c r="B2979">
        <v>0.995954080203443</v>
      </c>
      <c r="C2979">
        <v>0.85337435805339201</v>
      </c>
      <c r="D2979">
        <v>0.50612077066748296</v>
      </c>
      <c r="E2979">
        <v>0.30315866366239702</v>
      </c>
      <c r="F2979">
        <v>0.18677069695964801</v>
      </c>
      <c r="G2979">
        <v>0.127155188077725</v>
      </c>
      <c r="H2979">
        <v>0.10094611830355101</v>
      </c>
      <c r="I2979">
        <v>0.109922262541821</v>
      </c>
      <c r="J2979">
        <v>0.111197824192956</v>
      </c>
      <c r="K2979">
        <v>0.123675430401249</v>
      </c>
      <c r="L2979">
        <v>925.32439341122904</v>
      </c>
      <c r="M2979">
        <v>20.134270428262099</v>
      </c>
      <c r="N2979">
        <v>46.563107943942697</v>
      </c>
      <c r="O2979">
        <v>45.511532904957903</v>
      </c>
      <c r="P2979">
        <v>-9.7865617059502294E-2</v>
      </c>
      <c r="Q2979">
        <v>0.11516574050858799</v>
      </c>
      <c r="R2979">
        <v>0.99312288442286301</v>
      </c>
      <c r="S2979" t="s">
        <v>9785</v>
      </c>
      <c r="T2979" t="s">
        <v>13610</v>
      </c>
      <c r="U2979" t="s">
        <v>13610</v>
      </c>
      <c r="V2979" t="s">
        <v>13610</v>
      </c>
      <c r="W2979" t="s">
        <v>16536</v>
      </c>
      <c r="X2979">
        <v>49</v>
      </c>
      <c r="Y2979" t="s">
        <v>23181</v>
      </c>
      <c r="Z2979" t="s">
        <v>29834</v>
      </c>
      <c r="AA2979">
        <v>0.30439538458882881</v>
      </c>
      <c r="AB2979" t="str">
        <f>HYPERLINK("Melting_Curves/meltCurve_Q00341_HDLBP.pdf", "Melting_Curves/meltCurve_Q00341_HDLBP.pdf")</f>
        <v>Melting_Curves/meltCurve_Q00341_HDLBP.pdf</v>
      </c>
    </row>
    <row r="2980" spans="1:28" x14ac:dyDescent="0.25">
      <c r="A2980" t="s">
        <v>2984</v>
      </c>
      <c r="B2980">
        <v>0.995954080203443</v>
      </c>
      <c r="C2980">
        <v>0.98609586456028597</v>
      </c>
      <c r="D2980">
        <v>0.82847108044085604</v>
      </c>
      <c r="E2980">
        <v>0.59156896508964396</v>
      </c>
      <c r="F2980">
        <v>0.460610741644088</v>
      </c>
      <c r="G2980">
        <v>0.32395254179239802</v>
      </c>
      <c r="H2980">
        <v>0.29057807633011701</v>
      </c>
      <c r="I2980">
        <v>0.31568939733863599</v>
      </c>
      <c r="J2980">
        <v>0.371360101015484</v>
      </c>
      <c r="K2980">
        <v>0.37552910246270199</v>
      </c>
      <c r="L2980">
        <v>1012.8089431286</v>
      </c>
      <c r="M2980">
        <v>20.759123336162499</v>
      </c>
      <c r="N2980">
        <v>51.461964022464102</v>
      </c>
      <c r="O2980">
        <v>48.342646186348603</v>
      </c>
      <c r="P2980">
        <v>-7.1936835364787496E-2</v>
      </c>
      <c r="Q2980">
        <v>0.32992946778430798</v>
      </c>
      <c r="R2980">
        <v>0.98674016478440496</v>
      </c>
      <c r="S2980" t="s">
        <v>9786</v>
      </c>
      <c r="T2980" t="s">
        <v>13610</v>
      </c>
      <c r="U2980" t="s">
        <v>13610</v>
      </c>
      <c r="V2980" t="s">
        <v>13610</v>
      </c>
      <c r="W2980" t="s">
        <v>16537</v>
      </c>
      <c r="X2980">
        <v>14</v>
      </c>
      <c r="Y2980" t="s">
        <v>23182</v>
      </c>
      <c r="Z2980" t="s">
        <v>29835</v>
      </c>
      <c r="AA2980">
        <v>0.53494239551788969</v>
      </c>
      <c r="AB2980" t="str">
        <f>HYPERLINK("Melting_Curves/meltCurve_Q00403_GTF2B.pdf", "Melting_Curves/meltCurve_Q00403_GTF2B.pdf")</f>
        <v>Melting_Curves/meltCurve_Q00403_GTF2B.pdf</v>
      </c>
    </row>
    <row r="2981" spans="1:28" x14ac:dyDescent="0.25">
      <c r="A2981" t="s">
        <v>2985</v>
      </c>
      <c r="B2981">
        <v>0.995954080203443</v>
      </c>
      <c r="C2981">
        <v>1.06082367522724</v>
      </c>
      <c r="D2981">
        <v>1.04688588854932</v>
      </c>
      <c r="E2981">
        <v>0.51342652706775005</v>
      </c>
      <c r="F2981">
        <v>0.13725908649686699</v>
      </c>
      <c r="G2981">
        <v>6.0026337105728501E-2</v>
      </c>
      <c r="H2981">
        <v>3.5522890339160201E-2</v>
      </c>
      <c r="I2981">
        <v>1.33397136564664E-2</v>
      </c>
      <c r="J2981">
        <v>1.8170857682973999E-2</v>
      </c>
      <c r="K2981">
        <v>1.7786275375191299E-2</v>
      </c>
      <c r="L2981">
        <v>2182.4711657477001</v>
      </c>
      <c r="M2981">
        <v>43.601064835858402</v>
      </c>
      <c r="N2981">
        <v>50.130762524044101</v>
      </c>
      <c r="O2981">
        <v>49.950504434673299</v>
      </c>
      <c r="P2981">
        <v>-0.21130248562009801</v>
      </c>
      <c r="Q2981">
        <v>3.1707160526567899E-2</v>
      </c>
      <c r="R2981">
        <v>0.99469660093388701</v>
      </c>
      <c r="S2981" t="s">
        <v>9787</v>
      </c>
      <c r="T2981" t="s">
        <v>13610</v>
      </c>
      <c r="U2981" t="s">
        <v>13610</v>
      </c>
      <c r="V2981" t="s">
        <v>13610</v>
      </c>
      <c r="W2981" t="s">
        <v>16538</v>
      </c>
      <c r="X2981">
        <v>5</v>
      </c>
      <c r="Y2981" t="s">
        <v>23183</v>
      </c>
      <c r="Z2981" t="s">
        <v>29836</v>
      </c>
      <c r="AA2981">
        <v>0.35907799655956119</v>
      </c>
      <c r="AB2981" t="str">
        <f>HYPERLINK("Melting_Curves/meltCurve_Q00526_CDK3.pdf", "Melting_Curves/meltCurve_Q00526_CDK3.pdf")</f>
        <v>Melting_Curves/meltCurve_Q00526_CDK3.pdf</v>
      </c>
    </row>
    <row r="2982" spans="1:28" x14ac:dyDescent="0.25">
      <c r="A2982" t="s">
        <v>2986</v>
      </c>
      <c r="B2982">
        <v>0.995954080203443</v>
      </c>
      <c r="C2982">
        <v>1.09168431145851</v>
      </c>
      <c r="D2982">
        <v>1.1515945777986001</v>
      </c>
      <c r="E2982">
        <v>1.14276242238523</v>
      </c>
      <c r="F2982">
        <v>1.5557079968402301</v>
      </c>
      <c r="G2982">
        <v>1.2304789306838499</v>
      </c>
      <c r="H2982">
        <v>1.2825858478799399</v>
      </c>
      <c r="I2982">
        <v>1.5599190293783201</v>
      </c>
      <c r="J2982">
        <v>2.05383924057897</v>
      </c>
      <c r="K2982">
        <v>1.9880280923929601</v>
      </c>
      <c r="L2982">
        <v>837.60920948945602</v>
      </c>
      <c r="M2982">
        <v>16.871774526115601</v>
      </c>
      <c r="O2982">
        <v>48.9638771772157</v>
      </c>
      <c r="P2982">
        <v>4.30747336841747E-2</v>
      </c>
      <c r="Q2982">
        <v>1.5</v>
      </c>
      <c r="R2982">
        <v>0.43949260744143298</v>
      </c>
      <c r="S2982" t="s">
        <v>9788</v>
      </c>
      <c r="T2982" t="s">
        <v>13610</v>
      </c>
      <c r="U2982" t="s">
        <v>13610</v>
      </c>
      <c r="V2982" t="s">
        <v>13610</v>
      </c>
      <c r="W2982" t="s">
        <v>16539</v>
      </c>
      <c r="X2982">
        <v>2</v>
      </c>
      <c r="Y2982" t="s">
        <v>23184</v>
      </c>
      <c r="Z2982" t="s">
        <v>29837</v>
      </c>
      <c r="AA2982">
        <v>1.3295413027792971</v>
      </c>
      <c r="AB2982" t="str">
        <f>HYPERLINK("Melting_Curves/meltCurve_Q00532_2_CDKL1.pdf", "Melting_Curves/meltCurve_Q00532_2_CDKL1.pdf")</f>
        <v>Melting_Curves/meltCurve_Q00532_2_CDKL1.pdf</v>
      </c>
    </row>
    <row r="2983" spans="1:28" x14ac:dyDescent="0.25">
      <c r="A2983" t="s">
        <v>2987</v>
      </c>
      <c r="B2983">
        <v>0.995954080203443</v>
      </c>
      <c r="C2983">
        <v>0.99640271689628501</v>
      </c>
      <c r="D2983">
        <v>0.81098292158093099</v>
      </c>
      <c r="E2983">
        <v>0.62720050506578595</v>
      </c>
      <c r="F2983">
        <v>0.39011575008467098</v>
      </c>
      <c r="G2983">
        <v>0.23105778640792299</v>
      </c>
      <c r="H2983">
        <v>9.0735071837011294E-2</v>
      </c>
      <c r="I2983">
        <v>6.1649110019034302E-2</v>
      </c>
      <c r="J2983">
        <v>5.3627875282259499E-2</v>
      </c>
      <c r="K2983">
        <v>5.61822960245974E-2</v>
      </c>
      <c r="L2983">
        <v>759.59143628747699</v>
      </c>
      <c r="M2983">
        <v>14.785049479264799</v>
      </c>
      <c r="N2983">
        <v>51.542220800155597</v>
      </c>
      <c r="O2983">
        <v>50.463248798591103</v>
      </c>
      <c r="P2983">
        <v>-7.15454442037569E-2</v>
      </c>
      <c r="Q2983">
        <v>2.3329719845379501E-2</v>
      </c>
      <c r="R2983">
        <v>0.99591577216482696</v>
      </c>
      <c r="S2983" t="s">
        <v>9789</v>
      </c>
      <c r="T2983" t="s">
        <v>13610</v>
      </c>
      <c r="U2983" t="s">
        <v>13610</v>
      </c>
      <c r="V2983" t="s">
        <v>13610</v>
      </c>
      <c r="W2983" t="s">
        <v>16540</v>
      </c>
      <c r="X2983">
        <v>14</v>
      </c>
      <c r="Y2983" t="s">
        <v>23185</v>
      </c>
      <c r="Z2983" t="s">
        <v>29838</v>
      </c>
      <c r="AA2983">
        <v>0.41648926106556972</v>
      </c>
      <c r="AB2983" t="str">
        <f>HYPERLINK("Melting_Curves/meltCurve_Q00534_CDK6.pdf", "Melting_Curves/meltCurve_Q00534_CDK6.pdf")</f>
        <v>Melting_Curves/meltCurve_Q00534_CDK6.pdf</v>
      </c>
    </row>
    <row r="2984" spans="1:28" x14ac:dyDescent="0.25">
      <c r="A2984" t="s">
        <v>2988</v>
      </c>
      <c r="B2984">
        <v>0.995954080203443</v>
      </c>
      <c r="C2984">
        <v>0.95214026906068205</v>
      </c>
      <c r="D2984">
        <v>0.72141646616319199</v>
      </c>
      <c r="E2984">
        <v>0.29532314688199801</v>
      </c>
      <c r="F2984">
        <v>0.13687160213191699</v>
      </c>
      <c r="G2984">
        <v>7.6158936477448105E-2</v>
      </c>
      <c r="H2984">
        <v>5.0685791915923997E-2</v>
      </c>
      <c r="I2984">
        <v>4.4270205678995103E-2</v>
      </c>
      <c r="J2984">
        <v>4.63001141132037E-2</v>
      </c>
      <c r="K2984">
        <v>4.4824561005890502E-2</v>
      </c>
      <c r="L2984">
        <v>1124.27180583257</v>
      </c>
      <c r="M2984">
        <v>23.524923367102598</v>
      </c>
      <c r="N2984">
        <v>47.991075629596999</v>
      </c>
      <c r="O2984">
        <v>47.449352961694899</v>
      </c>
      <c r="P2984">
        <v>-0.11815104526897301</v>
      </c>
      <c r="Q2984">
        <v>4.67820700711397E-2</v>
      </c>
      <c r="R2984">
        <v>0.99973640962493104</v>
      </c>
      <c r="S2984" t="s">
        <v>9790</v>
      </c>
      <c r="T2984" t="s">
        <v>13610</v>
      </c>
      <c r="U2984" t="s">
        <v>13610</v>
      </c>
      <c r="V2984" t="s">
        <v>13610</v>
      </c>
      <c r="W2984" t="s">
        <v>16541</v>
      </c>
      <c r="X2984">
        <v>18</v>
      </c>
      <c r="Y2984" t="s">
        <v>23186</v>
      </c>
      <c r="Z2984" t="s">
        <v>29839</v>
      </c>
      <c r="AA2984">
        <v>0.30392765327125348</v>
      </c>
      <c r="AB2984" t="str">
        <f>HYPERLINK("Melting_Curves/meltCurve_Q00535_CDK5.pdf", "Melting_Curves/meltCurve_Q00535_CDK5.pdf")</f>
        <v>Melting_Curves/meltCurve_Q00535_CDK5.pdf</v>
      </c>
    </row>
    <row r="2985" spans="1:28" x14ac:dyDescent="0.25">
      <c r="A2985" t="s">
        <v>2989</v>
      </c>
      <c r="B2985">
        <v>0.995954080203443</v>
      </c>
      <c r="C2985">
        <v>1.0066902111830101</v>
      </c>
      <c r="D2985">
        <v>0.90197934279007697</v>
      </c>
      <c r="E2985">
        <v>0.72361689578742305</v>
      </c>
      <c r="F2985">
        <v>0.36506740725675901</v>
      </c>
      <c r="G2985">
        <v>0.18674318860471401</v>
      </c>
      <c r="H2985">
        <v>0.14216295377784299</v>
      </c>
      <c r="I2985">
        <v>0.139265468718688</v>
      </c>
      <c r="J2985">
        <v>0.156210205371936</v>
      </c>
      <c r="K2985">
        <v>0.16396094800081201</v>
      </c>
      <c r="L2985">
        <v>1400.4972383517299</v>
      </c>
      <c r="M2985">
        <v>27.399660913207398</v>
      </c>
      <c r="N2985">
        <v>51.757506267111701</v>
      </c>
      <c r="O2985">
        <v>50.843727433102003</v>
      </c>
      <c r="P2985">
        <v>-0.115269852547355</v>
      </c>
      <c r="Q2985">
        <v>0.14441361676515499</v>
      </c>
      <c r="R2985">
        <v>0.99607300828363998</v>
      </c>
      <c r="S2985" t="s">
        <v>9791</v>
      </c>
      <c r="T2985" t="s">
        <v>13610</v>
      </c>
      <c r="U2985" t="s">
        <v>13610</v>
      </c>
      <c r="V2985" t="s">
        <v>13610</v>
      </c>
      <c r="W2985" t="s">
        <v>16542</v>
      </c>
      <c r="X2985">
        <v>14</v>
      </c>
      <c r="Y2985" t="s">
        <v>23187</v>
      </c>
      <c r="Z2985" t="s">
        <v>29840</v>
      </c>
      <c r="AA2985">
        <v>0.46782788307951012</v>
      </c>
      <c r="AB2985" t="str">
        <f>HYPERLINK("Melting_Curves/meltCurve_Q00536_CDK16.pdf", "Melting_Curves/meltCurve_Q00536_CDK16.pdf")</f>
        <v>Melting_Curves/meltCurve_Q00536_CDK16.pdf</v>
      </c>
    </row>
    <row r="2986" spans="1:28" x14ac:dyDescent="0.25">
      <c r="A2986" t="s">
        <v>2990</v>
      </c>
      <c r="B2986">
        <v>0.995954080203443</v>
      </c>
      <c r="C2986">
        <v>0.93640994099274699</v>
      </c>
      <c r="D2986">
        <v>0.87787421747557504</v>
      </c>
      <c r="E2986">
        <v>0.94565606255435997</v>
      </c>
      <c r="F2986">
        <v>0.79880389664170703</v>
      </c>
      <c r="G2986">
        <v>0.71933437720640503</v>
      </c>
      <c r="H2986">
        <v>0.56896124074083299</v>
      </c>
      <c r="I2986">
        <v>0.55474524034888795</v>
      </c>
      <c r="J2986">
        <v>0.40171718349010799</v>
      </c>
      <c r="K2986">
        <v>0.21538920836755601</v>
      </c>
      <c r="L2986">
        <v>529.89073663998795</v>
      </c>
      <c r="M2986">
        <v>8.3848861200481597</v>
      </c>
      <c r="N2986">
        <v>63.195933292960802</v>
      </c>
      <c r="O2986">
        <v>59.9080446388922</v>
      </c>
      <c r="P2986">
        <v>-3.50238384855499E-2</v>
      </c>
      <c r="Q2986">
        <v>0</v>
      </c>
      <c r="R2986">
        <v>0.95550712496351098</v>
      </c>
      <c r="S2986" t="s">
        <v>9792</v>
      </c>
      <c r="T2986" t="s">
        <v>13610</v>
      </c>
      <c r="U2986" t="s">
        <v>13610</v>
      </c>
      <c r="V2986" t="s">
        <v>13610</v>
      </c>
      <c r="W2986" t="s">
        <v>16543</v>
      </c>
      <c r="X2986">
        <v>9</v>
      </c>
      <c r="Y2986" t="s">
        <v>23188</v>
      </c>
      <c r="Z2986" t="s">
        <v>29841</v>
      </c>
      <c r="AA2986">
        <v>0.72601092075873985</v>
      </c>
      <c r="AB2986" t="str">
        <f>HYPERLINK("Melting_Curves/meltCurve_Q00577_PURA.pdf", "Melting_Curves/meltCurve_Q00577_PURA.pdf")</f>
        <v>Melting_Curves/meltCurve_Q00577_PURA.pdf</v>
      </c>
    </row>
    <row r="2987" spans="1:28" x14ac:dyDescent="0.25">
      <c r="A2987" t="s">
        <v>2991</v>
      </c>
      <c r="B2987">
        <v>0.995954080203443</v>
      </c>
      <c r="C2987">
        <v>0.83149524416227205</v>
      </c>
      <c r="D2987">
        <v>0.69668267888197</v>
      </c>
      <c r="E2987">
        <v>0.82736461721777499</v>
      </c>
      <c r="F2987">
        <v>0.53929625813203297</v>
      </c>
      <c r="G2987">
        <v>0.32793673170721099</v>
      </c>
      <c r="H2987">
        <v>0.28270078983789299</v>
      </c>
      <c r="I2987">
        <v>0.29428767882470502</v>
      </c>
      <c r="J2987">
        <v>0.46117778319900699</v>
      </c>
      <c r="K2987">
        <v>0.34019444096387302</v>
      </c>
      <c r="L2987">
        <v>543.93267631494496</v>
      </c>
      <c r="M2987">
        <v>10.9046883838752</v>
      </c>
      <c r="N2987">
        <v>54.125352675282002</v>
      </c>
      <c r="O2987">
        <v>48.291114871927697</v>
      </c>
      <c r="P2987">
        <v>-4.0242427149460198E-2</v>
      </c>
      <c r="Q2987">
        <v>0.28739867483472598</v>
      </c>
      <c r="R2987">
        <v>0.85103381999460204</v>
      </c>
      <c r="S2987" t="s">
        <v>9793</v>
      </c>
      <c r="T2987" t="s">
        <v>13610</v>
      </c>
      <c r="U2987" t="s">
        <v>13610</v>
      </c>
      <c r="V2987" t="s">
        <v>13610</v>
      </c>
      <c r="W2987" t="s">
        <v>16544</v>
      </c>
      <c r="X2987">
        <v>10</v>
      </c>
      <c r="Y2987" t="s">
        <v>23189</v>
      </c>
      <c r="Z2987" t="s">
        <v>29842</v>
      </c>
      <c r="AA2987">
        <v>0.5508427135033096</v>
      </c>
      <c r="AB2987" t="str">
        <f>HYPERLINK("Melting_Curves/meltCurve_Q00587_2_CDC42EP1.pdf", "Melting_Curves/meltCurve_Q00587_2_CDC42EP1.pdf")</f>
        <v>Melting_Curves/meltCurve_Q00587_2_CDC42EP1.pdf</v>
      </c>
    </row>
    <row r="2988" spans="1:28" x14ac:dyDescent="0.25">
      <c r="A2988" t="s">
        <v>2992</v>
      </c>
      <c r="B2988">
        <v>0.995954080203443</v>
      </c>
      <c r="C2988">
        <v>0.89109052279511602</v>
      </c>
      <c r="D2988">
        <v>0.83941732481184606</v>
      </c>
      <c r="E2988">
        <v>0.75282775065409702</v>
      </c>
      <c r="F2988">
        <v>0.14285406717969101</v>
      </c>
      <c r="G2988">
        <v>9.2049525190016801E-2</v>
      </c>
      <c r="H2988">
        <v>5.8132588812711099E-2</v>
      </c>
      <c r="I2988">
        <v>5.4041936966444097E-2</v>
      </c>
      <c r="J2988">
        <v>6.4965895172781604E-2</v>
      </c>
      <c r="K2988">
        <v>5.4181138616943597E-2</v>
      </c>
      <c r="L2988">
        <v>2875.3501219433801</v>
      </c>
      <c r="M2988">
        <v>56.510256981026799</v>
      </c>
      <c r="N2988">
        <v>51.003172993887603</v>
      </c>
      <c r="O2988">
        <v>50.818315376540802</v>
      </c>
      <c r="P2988">
        <v>-0.260528249322105</v>
      </c>
      <c r="Q2988">
        <v>6.2853341060752896E-2</v>
      </c>
      <c r="R2988">
        <v>0.97541471586918904</v>
      </c>
      <c r="S2988" t="s">
        <v>9794</v>
      </c>
      <c r="T2988" t="s">
        <v>13610</v>
      </c>
      <c r="U2988" t="s">
        <v>13610</v>
      </c>
      <c r="V2988" t="s">
        <v>13610</v>
      </c>
      <c r="W2988" t="s">
        <v>16545</v>
      </c>
      <c r="X2988">
        <v>96</v>
      </c>
      <c r="Y2988" t="s">
        <v>23190</v>
      </c>
      <c r="Z2988" t="s">
        <v>29843</v>
      </c>
      <c r="AA2988">
        <v>0.4044296529537757</v>
      </c>
      <c r="AB2988" t="str">
        <f>HYPERLINK("Melting_Curves/meltCurve_Q00610_2_CLTC.pdf", "Melting_Curves/meltCurve_Q00610_2_CLTC.pdf")</f>
        <v>Melting_Curves/meltCurve_Q00610_2_CLTC.pdf</v>
      </c>
    </row>
    <row r="2989" spans="1:28" x14ac:dyDescent="0.25">
      <c r="A2989" t="s">
        <v>2993</v>
      </c>
      <c r="B2989">
        <v>0.995954080203443</v>
      </c>
      <c r="C2989">
        <v>0.93126676436539801</v>
      </c>
      <c r="D2989">
        <v>0.88818307350261605</v>
      </c>
      <c r="E2989">
        <v>0.71390062576770597</v>
      </c>
      <c r="F2989">
        <v>0.47341171560912798</v>
      </c>
      <c r="G2989">
        <v>0.26257513659898601</v>
      </c>
      <c r="H2989">
        <v>0.21111769379039</v>
      </c>
      <c r="I2989">
        <v>0.24070984832898501</v>
      </c>
      <c r="J2989">
        <v>0.297361989735837</v>
      </c>
      <c r="K2989">
        <v>0.271328585860243</v>
      </c>
      <c r="L2989">
        <v>1094.6085211289901</v>
      </c>
      <c r="M2989">
        <v>21.538485926436699</v>
      </c>
      <c r="N2989">
        <v>52.4125651792396</v>
      </c>
      <c r="O2989">
        <v>50.389048603945199</v>
      </c>
      <c r="P2989">
        <v>-8.1213775917509501E-2</v>
      </c>
      <c r="Q2989">
        <v>0.24002358008612901</v>
      </c>
      <c r="R2989">
        <v>0.98521120921298999</v>
      </c>
      <c r="S2989" t="s">
        <v>9795</v>
      </c>
      <c r="T2989" t="s">
        <v>13610</v>
      </c>
      <c r="U2989" t="s">
        <v>13610</v>
      </c>
      <c r="V2989" t="s">
        <v>13610</v>
      </c>
      <c r="W2989" t="s">
        <v>16546</v>
      </c>
      <c r="X2989">
        <v>13</v>
      </c>
      <c r="Y2989" t="s">
        <v>23191</v>
      </c>
      <c r="Z2989" t="s">
        <v>29844</v>
      </c>
      <c r="AA2989">
        <v>0.52331312696514776</v>
      </c>
      <c r="AB2989" t="str">
        <f>HYPERLINK("Melting_Curves/meltCurve_Q00613_2_HSF1.pdf", "Melting_Curves/meltCurve_Q00613_2_HSF1.pdf")</f>
        <v>Melting_Curves/meltCurve_Q00613_2_HSF1.pdf</v>
      </c>
    </row>
    <row r="2990" spans="1:28" x14ac:dyDescent="0.25">
      <c r="A2990" t="s">
        <v>2994</v>
      </c>
      <c r="B2990">
        <v>0.995954080203443</v>
      </c>
      <c r="C2990">
        <v>0.87491748753128196</v>
      </c>
      <c r="D2990">
        <v>0.60713846125818505</v>
      </c>
      <c r="E2990">
        <v>0.36533123790886302</v>
      </c>
      <c r="F2990">
        <v>0.21262102178102199</v>
      </c>
      <c r="G2990">
        <v>0.127280492311453</v>
      </c>
      <c r="H2990">
        <v>9.8886142281158093E-2</v>
      </c>
      <c r="I2990">
        <v>9.7161773383256003E-2</v>
      </c>
      <c r="J2990">
        <v>0.12847137934353101</v>
      </c>
      <c r="K2990">
        <v>0.116765983781802</v>
      </c>
      <c r="L2990">
        <v>835.61173095182596</v>
      </c>
      <c r="M2990">
        <v>17.763398917668599</v>
      </c>
      <c r="N2990">
        <v>47.659975730277402</v>
      </c>
      <c r="O2990">
        <v>46.457178088228702</v>
      </c>
      <c r="P2990">
        <v>-8.5750740614030097E-2</v>
      </c>
      <c r="Q2990">
        <v>0.102980150719687</v>
      </c>
      <c r="R2990">
        <v>0.99562996492163103</v>
      </c>
      <c r="S2990" t="s">
        <v>9796</v>
      </c>
      <c r="T2990" t="s">
        <v>13610</v>
      </c>
      <c r="U2990" t="s">
        <v>13610</v>
      </c>
      <c r="V2990" t="s">
        <v>13610</v>
      </c>
      <c r="W2990" t="s">
        <v>16547</v>
      </c>
      <c r="X2990">
        <v>14</v>
      </c>
      <c r="Y2990" t="s">
        <v>23192</v>
      </c>
      <c r="Z2990" t="s">
        <v>29845</v>
      </c>
      <c r="AA2990">
        <v>0.33051438341482958</v>
      </c>
      <c r="AB2990" t="str">
        <f>HYPERLINK("Melting_Curves/meltCurve_Q00653_4_NFKB2.pdf", "Melting_Curves/meltCurve_Q00653_4_NFKB2.pdf")</f>
        <v>Melting_Curves/meltCurve_Q00653_4_NFKB2.pdf</v>
      </c>
    </row>
    <row r="2991" spans="1:28" x14ac:dyDescent="0.25">
      <c r="A2991" t="s">
        <v>2995</v>
      </c>
      <c r="B2991">
        <v>0.995954080203443</v>
      </c>
      <c r="C2991">
        <v>0.96345979707124896</v>
      </c>
      <c r="D2991">
        <v>0.99314341449745902</v>
      </c>
      <c r="E2991">
        <v>0.85296754487216897</v>
      </c>
      <c r="F2991">
        <v>0.72941604257474202</v>
      </c>
      <c r="G2991">
        <v>0.41700292756604601</v>
      </c>
      <c r="H2991">
        <v>0.34777442236627198</v>
      </c>
      <c r="I2991">
        <v>0.392057154893035</v>
      </c>
      <c r="J2991">
        <v>0.54560178543053095</v>
      </c>
      <c r="K2991">
        <v>0.48521403654758899</v>
      </c>
      <c r="L2991">
        <v>1657.10862202517</v>
      </c>
      <c r="M2991">
        <v>31.537274019215499</v>
      </c>
      <c r="N2991">
        <v>56.090850489347901</v>
      </c>
      <c r="O2991">
        <v>52.334541378243401</v>
      </c>
      <c r="P2991">
        <v>-8.5582487082673006E-2</v>
      </c>
      <c r="Q2991">
        <v>0.431923555068008</v>
      </c>
      <c r="R2991">
        <v>0.94287597607820495</v>
      </c>
      <c r="S2991" t="s">
        <v>9797</v>
      </c>
      <c r="T2991" t="s">
        <v>13610</v>
      </c>
      <c r="U2991" t="s">
        <v>13610</v>
      </c>
      <c r="V2991" t="s">
        <v>13610</v>
      </c>
      <c r="W2991" t="s">
        <v>16548</v>
      </c>
      <c r="X2991">
        <v>17</v>
      </c>
      <c r="Y2991" t="s">
        <v>23193</v>
      </c>
      <c r="Z2991" t="s">
        <v>29846</v>
      </c>
      <c r="AA2991">
        <v>0.6727793515603665</v>
      </c>
      <c r="AB2991" t="str">
        <f>HYPERLINK("Melting_Curves/meltCurve_Q00688_FKBP3.pdf", "Melting_Curves/meltCurve_Q00688_FKBP3.pdf")</f>
        <v>Melting_Curves/meltCurve_Q00688_FKBP3.pdf</v>
      </c>
    </row>
    <row r="2992" spans="1:28" x14ac:dyDescent="0.25">
      <c r="A2992" t="s">
        <v>2996</v>
      </c>
      <c r="B2992">
        <v>0.995954080203443</v>
      </c>
      <c r="C2992">
        <v>0.96072229344225002</v>
      </c>
      <c r="D2992">
        <v>0.938058624512908</v>
      </c>
      <c r="E2992">
        <v>0.90304330232067198</v>
      </c>
      <c r="F2992">
        <v>0.75250957701301802</v>
      </c>
      <c r="G2992">
        <v>0.54147950894795605</v>
      </c>
      <c r="H2992">
        <v>0.18543421258418499</v>
      </c>
      <c r="I2992">
        <v>0.11496678115225401</v>
      </c>
      <c r="J2992">
        <v>0.113018477233553</v>
      </c>
      <c r="K2992">
        <v>0.108107561378046</v>
      </c>
      <c r="L2992">
        <v>1025.5356248578501</v>
      </c>
      <c r="M2992">
        <v>18.189365696649599</v>
      </c>
      <c r="N2992">
        <v>56.702152516117401</v>
      </c>
      <c r="O2992">
        <v>55.712834067167599</v>
      </c>
      <c r="P2992">
        <v>-7.7630343024824702E-2</v>
      </c>
      <c r="Q2992">
        <v>4.8938433488134599E-2</v>
      </c>
      <c r="R2992">
        <v>0.99036525415751797</v>
      </c>
      <c r="S2992" t="s">
        <v>9798</v>
      </c>
      <c r="T2992" t="s">
        <v>13610</v>
      </c>
      <c r="U2992" t="s">
        <v>13610</v>
      </c>
      <c r="V2992" t="s">
        <v>13610</v>
      </c>
      <c r="W2992" t="s">
        <v>16549</v>
      </c>
      <c r="X2992">
        <v>16</v>
      </c>
      <c r="Y2992" t="s">
        <v>23194</v>
      </c>
      <c r="Z2992" t="s">
        <v>29847</v>
      </c>
      <c r="AA2992">
        <v>0.58177018949594561</v>
      </c>
      <c r="AB2992" t="str">
        <f>HYPERLINK("Melting_Curves/meltCurve_Q00796_SORD.pdf", "Melting_Curves/meltCurve_Q00796_SORD.pdf")</f>
        <v>Melting_Curves/meltCurve_Q00796_SORD.pdf</v>
      </c>
    </row>
    <row r="2993" spans="1:28" x14ac:dyDescent="0.25">
      <c r="A2993" t="s">
        <v>2997</v>
      </c>
      <c r="B2993">
        <v>0.995954080203443</v>
      </c>
      <c r="C2993">
        <v>0.68555876465452403</v>
      </c>
      <c r="D2993">
        <v>0.45120782217924099</v>
      </c>
      <c r="E2993">
        <v>0.36473649503782202</v>
      </c>
      <c r="F2993">
        <v>0.27600227277671902</v>
      </c>
      <c r="G2993">
        <v>0.176487647183622</v>
      </c>
      <c r="H2993">
        <v>0.160588681675609</v>
      </c>
      <c r="I2993">
        <v>0.16752942477628499</v>
      </c>
      <c r="J2993">
        <v>0.25205037837928801</v>
      </c>
      <c r="K2993">
        <v>0.20220546662698499</v>
      </c>
      <c r="L2993">
        <v>820.76977311691803</v>
      </c>
      <c r="M2993">
        <v>18.463127170260201</v>
      </c>
      <c r="N2993">
        <v>45.734276012238603</v>
      </c>
      <c r="O2993">
        <v>43.942894034575403</v>
      </c>
      <c r="P2993">
        <v>-8.3853570046095893E-2</v>
      </c>
      <c r="Q2993">
        <v>0.20173805564789599</v>
      </c>
      <c r="R2993">
        <v>0.96405118644938603</v>
      </c>
      <c r="S2993" t="s">
        <v>9799</v>
      </c>
      <c r="T2993" t="s">
        <v>13610</v>
      </c>
      <c r="U2993" t="s">
        <v>13610</v>
      </c>
      <c r="V2993" t="s">
        <v>13610</v>
      </c>
      <c r="W2993" t="s">
        <v>16550</v>
      </c>
      <c r="X2993">
        <v>49</v>
      </c>
      <c r="Y2993" t="s">
        <v>23195</v>
      </c>
      <c r="Z2993" t="s">
        <v>29848</v>
      </c>
      <c r="AA2993">
        <v>0.33766117766450687</v>
      </c>
      <c r="AB2993" t="str">
        <f>HYPERLINK("Melting_Curves/meltCurve_Q00839_HNRNPU.pdf", "Melting_Curves/meltCurve_Q00839_HNRNPU.pdf")</f>
        <v>Melting_Curves/meltCurve_Q00839_HNRNPU.pdf</v>
      </c>
    </row>
    <row r="2994" spans="1:28" x14ac:dyDescent="0.25">
      <c r="A2994" t="s">
        <v>2998</v>
      </c>
      <c r="B2994">
        <v>0.995954080203443</v>
      </c>
      <c r="C2994">
        <v>0.53696765442509997</v>
      </c>
      <c r="D2994">
        <v>0.632132810528655</v>
      </c>
      <c r="E2994">
        <v>0.33659465500334601</v>
      </c>
      <c r="F2994">
        <v>0.31983865858219002</v>
      </c>
      <c r="G2994">
        <v>0.19627838635418099</v>
      </c>
      <c r="H2994">
        <v>0.36117657455625202</v>
      </c>
      <c r="I2994">
        <v>0.51469208627789498</v>
      </c>
      <c r="J2994">
        <v>0.93775058562848401</v>
      </c>
      <c r="K2994">
        <v>0.62470080632874903</v>
      </c>
      <c r="L2994">
        <v>3940.3829508120598</v>
      </c>
      <c r="M2994">
        <v>94.129329127416895</v>
      </c>
      <c r="N2994">
        <v>43.691586011801803</v>
      </c>
      <c r="O2994">
        <v>41.842478675726603</v>
      </c>
      <c r="P2994">
        <v>-0.28665399251394402</v>
      </c>
      <c r="Q2994">
        <v>0.49030484876627001</v>
      </c>
      <c r="R2994">
        <v>0.36539328626145701</v>
      </c>
      <c r="S2994" t="s">
        <v>9800</v>
      </c>
      <c r="T2994" t="s">
        <v>13610</v>
      </c>
      <c r="U2994" t="s">
        <v>13610</v>
      </c>
      <c r="V2994" t="s">
        <v>13610</v>
      </c>
      <c r="W2994" t="s">
        <v>16551</v>
      </c>
      <c r="X2994">
        <v>47</v>
      </c>
      <c r="Y2994" t="s">
        <v>23195</v>
      </c>
      <c r="Z2994" t="s">
        <v>29849</v>
      </c>
      <c r="AA2994">
        <v>0.52227791947481561</v>
      </c>
      <c r="AB2994" t="str">
        <f>HYPERLINK("Melting_Curves/meltCurve_Q00839_2_HNRNPU.pdf", "Melting_Curves/meltCurve_Q00839_2_HNRNPU.pdf")</f>
        <v>Melting_Curves/meltCurve_Q00839_2_HNRNPU.pdf</v>
      </c>
    </row>
    <row r="2995" spans="1:28" x14ac:dyDescent="0.25">
      <c r="A2995" t="s">
        <v>2999</v>
      </c>
      <c r="B2995">
        <v>0.995954080203443</v>
      </c>
      <c r="C2995">
        <v>0.84171324218242405</v>
      </c>
      <c r="D2995">
        <v>0.66078333232405295</v>
      </c>
      <c r="E2995">
        <v>0.41765679472336698</v>
      </c>
      <c r="F2995">
        <v>0.29639520507383799</v>
      </c>
      <c r="G2995">
        <v>0.182345003020534</v>
      </c>
      <c r="H2995">
        <v>0.14535702073288201</v>
      </c>
      <c r="I2995">
        <v>0.143715394906099</v>
      </c>
      <c r="J2995">
        <v>0.162820989955797</v>
      </c>
      <c r="K2995">
        <v>0.14933223243905</v>
      </c>
      <c r="L2995">
        <v>728.01718696305602</v>
      </c>
      <c r="M2995">
        <v>15.3358547852137</v>
      </c>
      <c r="N2995">
        <v>48.471626008638403</v>
      </c>
      <c r="O2995">
        <v>46.686375470899897</v>
      </c>
      <c r="P2995">
        <v>-7.0991133784478105E-2</v>
      </c>
      <c r="Q2995">
        <v>0.13561762541349501</v>
      </c>
      <c r="R2995">
        <v>0.99617623438551905</v>
      </c>
      <c r="S2995" t="s">
        <v>9801</v>
      </c>
      <c r="T2995" t="s">
        <v>13610</v>
      </c>
      <c r="U2995" t="s">
        <v>13610</v>
      </c>
      <c r="V2995" t="s">
        <v>13610</v>
      </c>
      <c r="W2995" t="s">
        <v>16552</v>
      </c>
      <c r="X2995">
        <v>4</v>
      </c>
      <c r="Y2995" t="s">
        <v>23196</v>
      </c>
      <c r="Z2995" t="s">
        <v>29850</v>
      </c>
      <c r="AA2995">
        <v>0.37273622898484432</v>
      </c>
      <c r="AB2995" t="str">
        <f>HYPERLINK("Melting_Curves/meltCurve_Q00978_IRF9.pdf", "Melting_Curves/meltCurve_Q00978_IRF9.pdf")</f>
        <v>Melting_Curves/meltCurve_Q00978_IRF9.pdf</v>
      </c>
    </row>
    <row r="2996" spans="1:28" x14ac:dyDescent="0.25">
      <c r="A2996" t="s">
        <v>3000</v>
      </c>
      <c r="B2996">
        <v>0.995954080203443</v>
      </c>
      <c r="C2996">
        <v>0.62101223558387997</v>
      </c>
      <c r="D2996">
        <v>0.42156980937419603</v>
      </c>
      <c r="E2996">
        <v>0.32915146951110502</v>
      </c>
      <c r="F2996">
        <v>0.191804567290318</v>
      </c>
      <c r="G2996">
        <v>0.100224177377089</v>
      </c>
      <c r="H2996">
        <v>7.4301842167247195E-2</v>
      </c>
      <c r="I2996">
        <v>6.6892161253647206E-2</v>
      </c>
      <c r="J2996">
        <v>7.6399254667063293E-2</v>
      </c>
      <c r="K2996">
        <v>6.9948690598834004E-2</v>
      </c>
      <c r="L2996">
        <v>649.50207124274903</v>
      </c>
      <c r="M2996">
        <v>14.4084375380498</v>
      </c>
      <c r="N2996">
        <v>45.552997126262802</v>
      </c>
      <c r="O2996">
        <v>44.236232014697102</v>
      </c>
      <c r="P2996">
        <v>-7.5757041020401095E-2</v>
      </c>
      <c r="Q2996">
        <v>6.9764068624593195E-2</v>
      </c>
      <c r="R2996">
        <v>0.96398192403454597</v>
      </c>
      <c r="S2996" t="s">
        <v>9802</v>
      </c>
      <c r="T2996" t="s">
        <v>13610</v>
      </c>
      <c r="U2996" t="s">
        <v>13610</v>
      </c>
      <c r="V2996" t="s">
        <v>13610</v>
      </c>
      <c r="W2996" t="s">
        <v>16553</v>
      </c>
      <c r="X2996">
        <v>8</v>
      </c>
      <c r="Y2996" t="s">
        <v>23197</v>
      </c>
      <c r="Z2996" t="s">
        <v>29851</v>
      </c>
      <c r="AA2996">
        <v>0.25944090743903658</v>
      </c>
      <c r="AB2996" t="str">
        <f>HYPERLINK("Melting_Curves/meltCurve_Q01081_U2AF1.pdf", "Melting_Curves/meltCurve_Q01081_U2AF1.pdf")</f>
        <v>Melting_Curves/meltCurve_Q01081_U2AF1.pdf</v>
      </c>
    </row>
    <row r="2997" spans="1:28" x14ac:dyDescent="0.25">
      <c r="A2997" t="s">
        <v>3001</v>
      </c>
      <c r="B2997">
        <v>0.995954080203443</v>
      </c>
      <c r="C2997">
        <v>0.753329916008176</v>
      </c>
      <c r="D2997">
        <v>0.57517729200002499</v>
      </c>
      <c r="E2997">
        <v>0.87554207389207706</v>
      </c>
      <c r="F2997">
        <v>0.62788888904249396</v>
      </c>
      <c r="G2997">
        <v>0.38331982354091698</v>
      </c>
      <c r="H2997">
        <v>0.10332913625458599</v>
      </c>
      <c r="I2997">
        <v>8.9725354525394596E-2</v>
      </c>
      <c r="J2997">
        <v>9.0801972088936797E-2</v>
      </c>
      <c r="K2997">
        <v>8.53481847022875E-2</v>
      </c>
      <c r="L2997">
        <v>515.42196586897103</v>
      </c>
      <c r="M2997">
        <v>9.6592229772004004</v>
      </c>
      <c r="N2997">
        <v>53.360602568367497</v>
      </c>
      <c r="O2997">
        <v>51.2240112291842</v>
      </c>
      <c r="P2997">
        <v>-4.7168240580363001E-2</v>
      </c>
      <c r="Q2997">
        <v>0</v>
      </c>
      <c r="R2997">
        <v>0.84729952974661304</v>
      </c>
      <c r="S2997" t="s">
        <v>9803</v>
      </c>
      <c r="T2997" t="s">
        <v>13610</v>
      </c>
      <c r="U2997" t="s">
        <v>13610</v>
      </c>
      <c r="V2997" t="s">
        <v>13610</v>
      </c>
      <c r="W2997" t="s">
        <v>16554</v>
      </c>
      <c r="X2997">
        <v>136</v>
      </c>
      <c r="Y2997" t="s">
        <v>23198</v>
      </c>
      <c r="Z2997" t="s">
        <v>29852</v>
      </c>
      <c r="AA2997">
        <v>0.4790831448136656</v>
      </c>
      <c r="AB2997" t="str">
        <f>HYPERLINK("Melting_Curves/meltCurve_Q01082_SPTBN1.pdf", "Melting_Curves/meltCurve_Q01082_SPTBN1.pdf")</f>
        <v>Melting_Curves/meltCurve_Q01082_SPTBN1.pdf</v>
      </c>
    </row>
    <row r="2998" spans="1:28" x14ac:dyDescent="0.25">
      <c r="A2998" t="s">
        <v>3002</v>
      </c>
      <c r="B2998">
        <v>0.995954080203443</v>
      </c>
      <c r="C2998">
        <v>0.55270285442857803</v>
      </c>
      <c r="D2998">
        <v>0.62850055451272302</v>
      </c>
      <c r="E2998">
        <v>0.65225465523405302</v>
      </c>
      <c r="F2998">
        <v>0.80425643029851002</v>
      </c>
      <c r="G2998">
        <v>0.52836085242334796</v>
      </c>
      <c r="H2998">
        <v>0.22070482514879999</v>
      </c>
      <c r="I2998">
        <v>0.26048905800478001</v>
      </c>
      <c r="J2998">
        <v>0.28966603045480199</v>
      </c>
      <c r="K2998">
        <v>0.28328187278822498</v>
      </c>
      <c r="L2998">
        <v>263.11624970044301</v>
      </c>
      <c r="M2998">
        <v>4.7946403618554996</v>
      </c>
      <c r="N2998">
        <v>54.877160703345403</v>
      </c>
      <c r="O2998">
        <v>47.413980452228998</v>
      </c>
      <c r="P2998">
        <v>-2.545943399529E-2</v>
      </c>
      <c r="Q2998">
        <v>0</v>
      </c>
      <c r="R2998">
        <v>0.68189306283102202</v>
      </c>
      <c r="S2998" t="s">
        <v>9804</v>
      </c>
      <c r="T2998" t="s">
        <v>13610</v>
      </c>
      <c r="U2998" t="s">
        <v>13610</v>
      </c>
      <c r="V2998" t="s">
        <v>13610</v>
      </c>
      <c r="W2998" t="s">
        <v>16555</v>
      </c>
      <c r="X2998">
        <v>129</v>
      </c>
      <c r="Y2998" t="s">
        <v>23198</v>
      </c>
      <c r="Z2998" t="s">
        <v>29853</v>
      </c>
      <c r="AA2998">
        <v>0.52147961855997593</v>
      </c>
      <c r="AB2998" t="str">
        <f>HYPERLINK("Melting_Curves/meltCurve_Q01082_3_SPTBN1.pdf", "Melting_Curves/meltCurve_Q01082_3_SPTBN1.pdf")</f>
        <v>Melting_Curves/meltCurve_Q01082_3_SPTBN1.pdf</v>
      </c>
    </row>
    <row r="2999" spans="1:28" x14ac:dyDescent="0.25">
      <c r="A2999" t="s">
        <v>3003</v>
      </c>
      <c r="B2999">
        <v>0.995954080203443</v>
      </c>
      <c r="C2999">
        <v>0.91156802451988705</v>
      </c>
      <c r="D2999">
        <v>0.86636783371083004</v>
      </c>
      <c r="E2999">
        <v>0.74928377541138003</v>
      </c>
      <c r="F2999">
        <v>0.54448006556209705</v>
      </c>
      <c r="G2999">
        <v>0.22541624187409201</v>
      </c>
      <c r="H2999">
        <v>0.102171988600417</v>
      </c>
      <c r="I2999">
        <v>8.02306638431E-2</v>
      </c>
      <c r="J2999">
        <v>8.9560280417897195E-2</v>
      </c>
      <c r="K2999">
        <v>7.93309305741806E-2</v>
      </c>
      <c r="L2999">
        <v>860.37739655583505</v>
      </c>
      <c r="M2999">
        <v>16.286564750460698</v>
      </c>
      <c r="N2999">
        <v>53.079964895542098</v>
      </c>
      <c r="O2999">
        <v>52.050263158594603</v>
      </c>
      <c r="P2999">
        <v>-7.5314332418133095E-2</v>
      </c>
      <c r="Q2999">
        <v>3.7281701585187198E-2</v>
      </c>
      <c r="R2999">
        <v>0.99035595104214402</v>
      </c>
      <c r="S2999" t="s">
        <v>9805</v>
      </c>
      <c r="T2999" t="s">
        <v>13610</v>
      </c>
      <c r="U2999" t="s">
        <v>13610</v>
      </c>
      <c r="V2999" t="s">
        <v>13610</v>
      </c>
      <c r="W2999" t="s">
        <v>16556</v>
      </c>
      <c r="X2999">
        <v>13</v>
      </c>
      <c r="Y2999" t="s">
        <v>23199</v>
      </c>
      <c r="Z2999" t="s">
        <v>29854</v>
      </c>
      <c r="AA2999">
        <v>0.46741829295015491</v>
      </c>
      <c r="AB2999" t="str">
        <f>HYPERLINK("Melting_Curves/meltCurve_Q01085_TIAL1.pdf", "Melting_Curves/meltCurve_Q01085_TIAL1.pdf")</f>
        <v>Melting_Curves/meltCurve_Q01085_TIAL1.pdf</v>
      </c>
    </row>
    <row r="3000" spans="1:28" x14ac:dyDescent="0.25">
      <c r="A3000" t="s">
        <v>3004</v>
      </c>
      <c r="B3000">
        <v>0.995954080203443</v>
      </c>
      <c r="C3000">
        <v>1.03261689642614</v>
      </c>
      <c r="D3000">
        <v>1.0555020344228701</v>
      </c>
      <c r="E3000">
        <v>1.0120570767080199</v>
      </c>
      <c r="F3000">
        <v>0.90509315553116099</v>
      </c>
      <c r="G3000">
        <v>0.76293918920042902</v>
      </c>
      <c r="H3000">
        <v>0.73480825803110905</v>
      </c>
      <c r="I3000">
        <v>0.64521278537984295</v>
      </c>
      <c r="J3000">
        <v>1.23106193293457</v>
      </c>
      <c r="K3000">
        <v>0.82397632439411295</v>
      </c>
      <c r="S3000" t="s">
        <v>9806</v>
      </c>
      <c r="T3000" t="s">
        <v>13610</v>
      </c>
      <c r="U3000" t="s">
        <v>13611</v>
      </c>
      <c r="V3000" t="s">
        <v>13610</v>
      </c>
      <c r="W3000" t="s">
        <v>16557</v>
      </c>
      <c r="X3000">
        <v>15</v>
      </c>
      <c r="Y3000" t="s">
        <v>23200</v>
      </c>
      <c r="Z3000" t="s">
        <v>29855</v>
      </c>
      <c r="AB3000" t="str">
        <f>HYPERLINK("Melting_Curves/meltCurve_Q01105_2_SET.pdf", "Melting_Curves/meltCurve_Q01105_2_SET.pdf")</f>
        <v>Melting_Curves/meltCurve_Q01105_2_SET.pdf</v>
      </c>
    </row>
    <row r="3001" spans="1:28" x14ac:dyDescent="0.25">
      <c r="A3001" t="s">
        <v>3005</v>
      </c>
      <c r="B3001">
        <v>0.995954080203443</v>
      </c>
      <c r="C3001">
        <v>0.89344460878916598</v>
      </c>
      <c r="D3001">
        <v>0.94383607608002695</v>
      </c>
      <c r="E3001">
        <v>0.80627768668897004</v>
      </c>
      <c r="F3001">
        <v>0.65186063251027604</v>
      </c>
      <c r="G3001">
        <v>0.47630838176450502</v>
      </c>
      <c r="H3001">
        <v>0.45805102846668899</v>
      </c>
      <c r="I3001">
        <v>0.63026858452528001</v>
      </c>
      <c r="J3001">
        <v>0.83631243089279395</v>
      </c>
      <c r="K3001">
        <v>1.0046294425489499</v>
      </c>
      <c r="L3001">
        <v>1754.5277623324</v>
      </c>
      <c r="M3001">
        <v>35.909290004754801</v>
      </c>
      <c r="O3001">
        <v>48.709209712854801</v>
      </c>
      <c r="P3001">
        <v>-5.9629013284981797E-2</v>
      </c>
      <c r="Q3001">
        <v>0.67646557686005904</v>
      </c>
      <c r="R3001">
        <v>0.36326541063263901</v>
      </c>
      <c r="S3001" t="s">
        <v>9807</v>
      </c>
      <c r="T3001" t="s">
        <v>13610</v>
      </c>
      <c r="U3001" t="s">
        <v>13610</v>
      </c>
      <c r="V3001" t="s">
        <v>13610</v>
      </c>
      <c r="W3001" t="s">
        <v>16558</v>
      </c>
      <c r="X3001">
        <v>6</v>
      </c>
      <c r="Y3001" t="s">
        <v>23201</v>
      </c>
      <c r="Z3001" t="s">
        <v>29856</v>
      </c>
      <c r="AA3001">
        <v>0.7733778344992549</v>
      </c>
      <c r="AB3001" t="str">
        <f>HYPERLINK("Melting_Curves/meltCurve_Q01130_SRSF2.pdf", "Melting_Curves/meltCurve_Q01130_SRSF2.pdf")</f>
        <v>Melting_Curves/meltCurve_Q01130_SRSF2.pdf</v>
      </c>
    </row>
    <row r="3002" spans="1:28" x14ac:dyDescent="0.25">
      <c r="A3002" t="s">
        <v>3006</v>
      </c>
      <c r="B3002">
        <v>0.995954080203443</v>
      </c>
      <c r="C3002">
        <v>0.76316027284883603</v>
      </c>
      <c r="D3002">
        <v>0.68526954334730905</v>
      </c>
      <c r="E3002">
        <v>0.52749526041522399</v>
      </c>
      <c r="F3002">
        <v>0.46980942044039797</v>
      </c>
      <c r="G3002">
        <v>0.35253906232360499</v>
      </c>
      <c r="H3002">
        <v>0.350618180298293</v>
      </c>
      <c r="I3002">
        <v>0.41361786773405701</v>
      </c>
      <c r="J3002">
        <v>0.50152417831473295</v>
      </c>
      <c r="K3002">
        <v>0.47359476053530197</v>
      </c>
      <c r="L3002">
        <v>779.96810421532405</v>
      </c>
      <c r="M3002">
        <v>17.335449727975899</v>
      </c>
      <c r="N3002">
        <v>50.305364938683901</v>
      </c>
      <c r="O3002">
        <v>44.406752524382497</v>
      </c>
      <c r="P3002">
        <v>-5.6622233185655201E-2</v>
      </c>
      <c r="Q3002">
        <v>0.419855692639722</v>
      </c>
      <c r="R3002">
        <v>0.91984915311445803</v>
      </c>
      <c r="S3002" t="s">
        <v>9808</v>
      </c>
      <c r="T3002" t="s">
        <v>13610</v>
      </c>
      <c r="U3002" t="s">
        <v>13610</v>
      </c>
      <c r="V3002" t="s">
        <v>13610</v>
      </c>
      <c r="W3002" t="s">
        <v>16559</v>
      </c>
      <c r="X3002">
        <v>12</v>
      </c>
      <c r="Y3002" t="s">
        <v>23202</v>
      </c>
      <c r="Z3002" t="s">
        <v>29857</v>
      </c>
      <c r="AA3002">
        <v>0.53003168261068967</v>
      </c>
      <c r="AB3002" t="str">
        <f>HYPERLINK("Melting_Curves/meltCurve_Q01167_FOXK2.pdf", "Melting_Curves/meltCurve_Q01167_FOXK2.pdf")</f>
        <v>Melting_Curves/meltCurve_Q01167_FOXK2.pdf</v>
      </c>
    </row>
    <row r="3003" spans="1:28" x14ac:dyDescent="0.25">
      <c r="A3003" t="s">
        <v>3007</v>
      </c>
      <c r="B3003">
        <v>0.995954080203443</v>
      </c>
      <c r="C3003">
        <v>0.95856366137196203</v>
      </c>
      <c r="D3003">
        <v>0.87072312823851805</v>
      </c>
      <c r="E3003">
        <v>0.74872236080908094</v>
      </c>
      <c r="F3003">
        <v>0.52015209334767698</v>
      </c>
      <c r="G3003">
        <v>0.30643746364197799</v>
      </c>
      <c r="H3003">
        <v>0.26785462849543701</v>
      </c>
      <c r="I3003">
        <v>0.298734187690543</v>
      </c>
      <c r="J3003">
        <v>0.37179061016151699</v>
      </c>
      <c r="K3003">
        <v>0.330621098091265</v>
      </c>
      <c r="L3003">
        <v>1094.2200507807099</v>
      </c>
      <c r="M3003">
        <v>21.523248814147401</v>
      </c>
      <c r="N3003">
        <v>53.111166052007597</v>
      </c>
      <c r="O3003">
        <v>50.406220654885097</v>
      </c>
      <c r="P3003">
        <v>-7.4630029936473802E-2</v>
      </c>
      <c r="Q3003">
        <v>0.30089994766406403</v>
      </c>
      <c r="R3003">
        <v>0.97765744089699602</v>
      </c>
      <c r="S3003" t="s">
        <v>9809</v>
      </c>
      <c r="T3003" t="s">
        <v>13610</v>
      </c>
      <c r="U3003" t="s">
        <v>13610</v>
      </c>
      <c r="V3003" t="s">
        <v>13610</v>
      </c>
      <c r="W3003" t="s">
        <v>16560</v>
      </c>
      <c r="X3003">
        <v>11</v>
      </c>
      <c r="Y3003" t="s">
        <v>23203</v>
      </c>
      <c r="Z3003" t="s">
        <v>29858</v>
      </c>
      <c r="AA3003">
        <v>0.56192688139345248</v>
      </c>
      <c r="AB3003" t="str">
        <f>HYPERLINK("Melting_Curves/meltCurve_Q01196_RUNX1.pdf", "Melting_Curves/meltCurve_Q01196_RUNX1.pdf")</f>
        <v>Melting_Curves/meltCurve_Q01196_RUNX1.pdf</v>
      </c>
    </row>
    <row r="3004" spans="1:28" x14ac:dyDescent="0.25">
      <c r="A3004" t="s">
        <v>3008</v>
      </c>
      <c r="B3004">
        <v>0.995954080203443</v>
      </c>
      <c r="C3004">
        <v>0.77069019886698198</v>
      </c>
      <c r="D3004">
        <v>0.57934331289563901</v>
      </c>
      <c r="E3004">
        <v>0.49057270959818899</v>
      </c>
      <c r="F3004">
        <v>0.22575230835708501</v>
      </c>
      <c r="G3004">
        <v>0.11179072964576001</v>
      </c>
      <c r="H3004">
        <v>8.2458396935260803E-2</v>
      </c>
      <c r="I3004">
        <v>8.0996384133333404E-2</v>
      </c>
      <c r="J3004">
        <v>0.107237858539696</v>
      </c>
      <c r="K3004">
        <v>9.3204897406269097E-2</v>
      </c>
      <c r="L3004">
        <v>610.02024570887397</v>
      </c>
      <c r="M3004">
        <v>12.816726118023301</v>
      </c>
      <c r="N3004">
        <v>48.0323536063812</v>
      </c>
      <c r="O3004">
        <v>46.4816068772829</v>
      </c>
      <c r="P3004">
        <v>-6.5155085398771295E-2</v>
      </c>
      <c r="Q3004">
        <v>5.5001196132001703E-2</v>
      </c>
      <c r="R3004">
        <v>0.97454073974552402</v>
      </c>
      <c r="S3004" t="s">
        <v>9810</v>
      </c>
      <c r="T3004" t="s">
        <v>13610</v>
      </c>
      <c r="U3004" t="s">
        <v>13610</v>
      </c>
      <c r="V3004" t="s">
        <v>13610</v>
      </c>
      <c r="W3004" t="s">
        <v>16561</v>
      </c>
      <c r="X3004">
        <v>10</v>
      </c>
      <c r="Y3004" t="s">
        <v>23204</v>
      </c>
      <c r="Z3004" t="s">
        <v>29859</v>
      </c>
      <c r="AA3004">
        <v>0.3279514767159159</v>
      </c>
      <c r="AB3004" t="str">
        <f>HYPERLINK("Melting_Curves/meltCurve_Q01432_AMPD3.pdf", "Melting_Curves/meltCurve_Q01432_AMPD3.pdf")</f>
        <v>Melting_Curves/meltCurve_Q01432_AMPD3.pdf</v>
      </c>
    </row>
    <row r="3005" spans="1:28" x14ac:dyDescent="0.25">
      <c r="A3005" t="s">
        <v>3009</v>
      </c>
      <c r="B3005">
        <v>0.995954080203443</v>
      </c>
      <c r="C3005">
        <v>0.82642945299920401</v>
      </c>
      <c r="D3005">
        <v>0.72505785825473401</v>
      </c>
      <c r="E3005">
        <v>0.79072388051042397</v>
      </c>
      <c r="F3005">
        <v>0.58592823693156704</v>
      </c>
      <c r="G3005">
        <v>0.37692602766169198</v>
      </c>
      <c r="H3005">
        <v>0.177380031798514</v>
      </c>
      <c r="I3005">
        <v>0.130163099159605</v>
      </c>
      <c r="J3005">
        <v>0.139310958940498</v>
      </c>
      <c r="K3005">
        <v>0.13202783103608401</v>
      </c>
      <c r="L3005">
        <v>513.15864153635596</v>
      </c>
      <c r="M3005">
        <v>9.5270596721590692</v>
      </c>
      <c r="N3005">
        <v>53.863275390252802</v>
      </c>
      <c r="O3005">
        <v>51.650343447424099</v>
      </c>
      <c r="P3005">
        <v>-4.6140225298938298E-2</v>
      </c>
      <c r="Q3005">
        <v>0</v>
      </c>
      <c r="R3005">
        <v>0.95486633271014199</v>
      </c>
      <c r="S3005" t="s">
        <v>9811</v>
      </c>
      <c r="T3005" t="s">
        <v>13610</v>
      </c>
      <c r="U3005" t="s">
        <v>13610</v>
      </c>
      <c r="V3005" t="s">
        <v>13610</v>
      </c>
      <c r="W3005" t="s">
        <v>16562</v>
      </c>
      <c r="X3005">
        <v>37</v>
      </c>
      <c r="Y3005" t="s">
        <v>23205</v>
      </c>
      <c r="Z3005" t="s">
        <v>29860</v>
      </c>
      <c r="AA3005">
        <v>0.4939172049708796</v>
      </c>
      <c r="AB3005" t="str">
        <f>HYPERLINK("Melting_Curves/meltCurve_Q01433_2_AMPD2.pdf", "Melting_Curves/meltCurve_Q01433_2_AMPD2.pdf")</f>
        <v>Melting_Curves/meltCurve_Q01433_2_AMPD2.pdf</v>
      </c>
    </row>
    <row r="3006" spans="1:28" x14ac:dyDescent="0.25">
      <c r="A3006" t="s">
        <v>3010</v>
      </c>
      <c r="B3006">
        <v>0.995954080203443</v>
      </c>
      <c r="C3006">
        <v>1.0110626832296199</v>
      </c>
      <c r="D3006">
        <v>0.97573906359290397</v>
      </c>
      <c r="E3006">
        <v>0.87051002088299201</v>
      </c>
      <c r="F3006">
        <v>0.65471165646166296</v>
      </c>
      <c r="G3006">
        <v>0.22997175164657699</v>
      </c>
      <c r="H3006">
        <v>0.118379879659903</v>
      </c>
      <c r="I3006">
        <v>9.5573519767678597E-2</v>
      </c>
      <c r="J3006">
        <v>0.103193440297603</v>
      </c>
      <c r="K3006">
        <v>0.102742065571298</v>
      </c>
      <c r="L3006">
        <v>1486.4727591051501</v>
      </c>
      <c r="M3006">
        <v>27.659400615727701</v>
      </c>
      <c r="N3006">
        <v>54.135150084095997</v>
      </c>
      <c r="O3006">
        <v>53.463490970114499</v>
      </c>
      <c r="P3006">
        <v>-0.117571401663485</v>
      </c>
      <c r="Q3006">
        <v>9.0982496790904699E-2</v>
      </c>
      <c r="R3006">
        <v>0.99863701845129405</v>
      </c>
      <c r="S3006" t="s">
        <v>9812</v>
      </c>
      <c r="T3006" t="s">
        <v>13610</v>
      </c>
      <c r="U3006" t="s">
        <v>13610</v>
      </c>
      <c r="V3006" t="s">
        <v>13610</v>
      </c>
      <c r="W3006" t="s">
        <v>16563</v>
      </c>
      <c r="X3006">
        <v>7</v>
      </c>
      <c r="Y3006" t="s">
        <v>23206</v>
      </c>
      <c r="Z3006" t="s">
        <v>29861</v>
      </c>
      <c r="AA3006">
        <v>0.51433161910189151</v>
      </c>
      <c r="AB3006" t="str">
        <f>HYPERLINK("Melting_Curves/meltCurve_Q01459_CTBS.pdf", "Melting_Curves/meltCurve_Q01459_CTBS.pdf")</f>
        <v>Melting_Curves/meltCurve_Q01459_CTBS.pdf</v>
      </c>
    </row>
    <row r="3007" spans="1:28" x14ac:dyDescent="0.25">
      <c r="A3007" t="s">
        <v>3011</v>
      </c>
      <c r="B3007">
        <v>0.995954080203443</v>
      </c>
      <c r="C3007">
        <v>1.05116571960659</v>
      </c>
      <c r="D3007">
        <v>1.0703367152862899</v>
      </c>
      <c r="E3007">
        <v>0.9866947303968</v>
      </c>
      <c r="F3007">
        <v>1.0215367595970299</v>
      </c>
      <c r="G3007">
        <v>0.81932473906319903</v>
      </c>
      <c r="H3007">
        <v>0.72036762782435404</v>
      </c>
      <c r="I3007">
        <v>0.54412085724746195</v>
      </c>
      <c r="J3007">
        <v>0.47053146839219101</v>
      </c>
      <c r="K3007">
        <v>0.37418734969995598</v>
      </c>
      <c r="L3007">
        <v>1051.9565083982</v>
      </c>
      <c r="M3007">
        <v>16.968436013587102</v>
      </c>
      <c r="N3007">
        <v>65.483260561391802</v>
      </c>
      <c r="O3007">
        <v>61.153069035411697</v>
      </c>
      <c r="P3007">
        <v>-4.8733738330892701E-2</v>
      </c>
      <c r="Q3007">
        <v>0.29751165148742598</v>
      </c>
      <c r="R3007">
        <v>0.97551837184393397</v>
      </c>
      <c r="S3007" t="s">
        <v>9813</v>
      </c>
      <c r="T3007" t="s">
        <v>13610</v>
      </c>
      <c r="U3007" t="s">
        <v>13610</v>
      </c>
      <c r="V3007" t="s">
        <v>13610</v>
      </c>
      <c r="W3007" t="s">
        <v>16564</v>
      </c>
      <c r="X3007">
        <v>19</v>
      </c>
      <c r="Y3007" t="s">
        <v>23207</v>
      </c>
      <c r="Z3007" t="s">
        <v>29862</v>
      </c>
      <c r="AA3007">
        <v>0.81280884109272789</v>
      </c>
      <c r="AB3007" t="str">
        <f>HYPERLINK("Melting_Curves/meltCurve_Q01469_FABP5.pdf", "Melting_Curves/meltCurve_Q01469_FABP5.pdf")</f>
        <v>Melting_Curves/meltCurve_Q01469_FABP5.pdf</v>
      </c>
    </row>
    <row r="3008" spans="1:28" x14ac:dyDescent="0.25">
      <c r="A3008" t="s">
        <v>3012</v>
      </c>
      <c r="B3008">
        <v>0.995954080203443</v>
      </c>
      <c r="C3008">
        <v>0.85029357272204198</v>
      </c>
      <c r="D3008">
        <v>0.85332279965806301</v>
      </c>
      <c r="E3008">
        <v>0.91251641080978396</v>
      </c>
      <c r="F3008">
        <v>0.73813757362074905</v>
      </c>
      <c r="G3008">
        <v>0.150560154573739</v>
      </c>
      <c r="H3008">
        <v>7.5444157535515102E-2</v>
      </c>
      <c r="I3008">
        <v>5.7772846215271199E-2</v>
      </c>
      <c r="J3008">
        <v>6.3469967456638507E-2</v>
      </c>
      <c r="K3008">
        <v>5.7354123589081298E-2</v>
      </c>
      <c r="L3008">
        <v>2153.67841099118</v>
      </c>
      <c r="M3008">
        <v>39.7767124469229</v>
      </c>
      <c r="N3008">
        <v>54.3088136280073</v>
      </c>
      <c r="O3008">
        <v>54.0078931096605</v>
      </c>
      <c r="P3008">
        <v>-0.17366851587649501</v>
      </c>
      <c r="Q3008">
        <v>5.6789746957756702E-2</v>
      </c>
      <c r="R3008">
        <v>0.97033703471095101</v>
      </c>
      <c r="S3008" t="s">
        <v>9814</v>
      </c>
      <c r="T3008" t="s">
        <v>13610</v>
      </c>
      <c r="U3008" t="s">
        <v>13610</v>
      </c>
      <c r="V3008" t="s">
        <v>13610</v>
      </c>
      <c r="W3008" t="s">
        <v>16565</v>
      </c>
      <c r="X3008">
        <v>30</v>
      </c>
      <c r="Y3008" t="s">
        <v>23208</v>
      </c>
      <c r="Z3008" t="s">
        <v>29863</v>
      </c>
      <c r="AA3008">
        <v>0.5050501743197946</v>
      </c>
      <c r="AB3008" t="str">
        <f>HYPERLINK("Melting_Curves/meltCurve_Q01518_2_CAP1.pdf", "Melting_Curves/meltCurve_Q01518_2_CAP1.pdf")</f>
        <v>Melting_Curves/meltCurve_Q01518_2_CAP1.pdf</v>
      </c>
    </row>
    <row r="3009" spans="1:28" x14ac:dyDescent="0.25">
      <c r="A3009" t="s">
        <v>3013</v>
      </c>
      <c r="B3009">
        <v>0.995954080203443</v>
      </c>
      <c r="C3009">
        <v>0.91579304839834397</v>
      </c>
      <c r="D3009">
        <v>0.73494669120074396</v>
      </c>
      <c r="E3009">
        <v>0.65863358998911303</v>
      </c>
      <c r="F3009">
        <v>0.477236184214478</v>
      </c>
      <c r="G3009">
        <v>0.23518054436673499</v>
      </c>
      <c r="H3009">
        <v>6.9978255213778498E-2</v>
      </c>
      <c r="I3009">
        <v>5.9067234959981098E-2</v>
      </c>
      <c r="J3009">
        <v>5.6961942360943998E-2</v>
      </c>
      <c r="K3009">
        <v>5.75595433299909E-2</v>
      </c>
      <c r="L3009">
        <v>639.85016730738198</v>
      </c>
      <c r="M3009">
        <v>12.3571608314214</v>
      </c>
      <c r="N3009">
        <v>51.779707020896097</v>
      </c>
      <c r="O3009">
        <v>50.479715775699198</v>
      </c>
      <c r="P3009">
        <v>-6.1211812229798802E-2</v>
      </c>
      <c r="Q3009">
        <v>0</v>
      </c>
      <c r="R3009">
        <v>0.98533863655112597</v>
      </c>
      <c r="S3009" t="s">
        <v>9815</v>
      </c>
      <c r="T3009" t="s">
        <v>13610</v>
      </c>
      <c r="U3009" t="s">
        <v>13610</v>
      </c>
      <c r="V3009" t="s">
        <v>13610</v>
      </c>
      <c r="W3009" t="s">
        <v>16566</v>
      </c>
      <c r="X3009">
        <v>15</v>
      </c>
      <c r="Y3009" t="s">
        <v>23209</v>
      </c>
      <c r="Z3009" t="s">
        <v>29864</v>
      </c>
      <c r="AA3009">
        <v>0.4225188528530156</v>
      </c>
      <c r="AB3009" t="str">
        <f>HYPERLINK("Melting_Curves/meltCurve_Q01581_HMGCS1.pdf", "Melting_Curves/meltCurve_Q01581_HMGCS1.pdf")</f>
        <v>Melting_Curves/meltCurve_Q01581_HMGCS1.pdf</v>
      </c>
    </row>
    <row r="3010" spans="1:28" x14ac:dyDescent="0.25">
      <c r="A3010" t="s">
        <v>3014</v>
      </c>
      <c r="B3010">
        <v>0.995954080203443</v>
      </c>
      <c r="C3010">
        <v>0.86792230753035604</v>
      </c>
      <c r="D3010">
        <v>0.90615326986628997</v>
      </c>
      <c r="E3010">
        <v>1.0208329221124499</v>
      </c>
      <c r="F3010">
        <v>0.94057251942095199</v>
      </c>
      <c r="G3010">
        <v>0.65988577730801301</v>
      </c>
      <c r="H3010">
        <v>0.72973189059900101</v>
      </c>
      <c r="I3010">
        <v>0.85645655930952203</v>
      </c>
      <c r="J3010">
        <v>1.0769688060568501</v>
      </c>
      <c r="K3010">
        <v>1.0436524074824101</v>
      </c>
      <c r="L3010">
        <v>10126.5385226294</v>
      </c>
      <c r="M3010">
        <v>250</v>
      </c>
      <c r="O3010">
        <v>40.503564983543903</v>
      </c>
      <c r="P3010">
        <v>-0.15393426209053701</v>
      </c>
      <c r="Q3010">
        <v>0.90024182533758301</v>
      </c>
      <c r="R3010">
        <v>4.9651033376694999E-2</v>
      </c>
      <c r="S3010" t="s">
        <v>9816</v>
      </c>
      <c r="T3010" t="s">
        <v>13610</v>
      </c>
      <c r="U3010" t="s">
        <v>13610</v>
      </c>
      <c r="V3010" t="s">
        <v>13610</v>
      </c>
      <c r="W3010" t="s">
        <v>16567</v>
      </c>
      <c r="X3010">
        <v>3</v>
      </c>
      <c r="Y3010" t="s">
        <v>23210</v>
      </c>
      <c r="Z3010" t="s">
        <v>29865</v>
      </c>
      <c r="AA3010">
        <v>0.90195360203709152</v>
      </c>
      <c r="AB3010" t="str">
        <f>HYPERLINK("Melting_Curves/meltCurve_Q01650_SLC7A5.pdf", "Melting_Curves/meltCurve_Q01650_SLC7A5.pdf")</f>
        <v>Melting_Curves/meltCurve_Q01650_SLC7A5.pdf</v>
      </c>
    </row>
    <row r="3011" spans="1:28" x14ac:dyDescent="0.25">
      <c r="A3011" t="s">
        <v>3015</v>
      </c>
      <c r="B3011">
        <v>0.995954080203443</v>
      </c>
      <c r="C3011">
        <v>0.92960512428789999</v>
      </c>
      <c r="D3011">
        <v>1.12244483273341</v>
      </c>
      <c r="E3011">
        <v>0.86505929614237098</v>
      </c>
      <c r="F3011">
        <v>1.0634177513202201</v>
      </c>
      <c r="G3011">
        <v>0.91779715592343103</v>
      </c>
      <c r="H3011">
        <v>0.83866473695809896</v>
      </c>
      <c r="I3011">
        <v>1.0336713654166401</v>
      </c>
      <c r="J3011">
        <v>1.05850437324932</v>
      </c>
      <c r="K3011">
        <v>1.1486580051945801</v>
      </c>
      <c r="L3011">
        <v>3532.3845553044998</v>
      </c>
      <c r="M3011">
        <v>52.083705774575002</v>
      </c>
      <c r="O3011">
        <v>67.721538499418202</v>
      </c>
      <c r="P3011">
        <v>3.4135834061187899E-2</v>
      </c>
      <c r="Q3011">
        <v>1.1775395581939201</v>
      </c>
      <c r="R3011">
        <v>0.25330094150634003</v>
      </c>
      <c r="S3011" t="s">
        <v>9817</v>
      </c>
      <c r="T3011" t="s">
        <v>13610</v>
      </c>
      <c r="U3011" t="s">
        <v>13610</v>
      </c>
      <c r="V3011" t="s">
        <v>13610</v>
      </c>
      <c r="W3011" t="s">
        <v>16568</v>
      </c>
      <c r="X3011">
        <v>6</v>
      </c>
      <c r="Y3011" t="s">
        <v>23211</v>
      </c>
      <c r="Z3011" t="s">
        <v>29866</v>
      </c>
      <c r="AA3011">
        <v>1.013950596127331</v>
      </c>
      <c r="AB3011" t="str">
        <f>HYPERLINK("Melting_Curves/meltCurve_Q01658_DR1.pdf", "Melting_Curves/meltCurve_Q01658_DR1.pdf")</f>
        <v>Melting_Curves/meltCurve_Q01658_DR1.pdf</v>
      </c>
    </row>
    <row r="3012" spans="1:28" x14ac:dyDescent="0.25">
      <c r="A3012" t="s">
        <v>3016</v>
      </c>
      <c r="B3012">
        <v>0.995954080203443</v>
      </c>
      <c r="C3012">
        <v>0.89825008505285397</v>
      </c>
      <c r="D3012">
        <v>0.81608331068928397</v>
      </c>
      <c r="E3012">
        <v>0.67675861806909599</v>
      </c>
      <c r="F3012">
        <v>0.64727119818484502</v>
      </c>
      <c r="G3012">
        <v>0.47784519715947998</v>
      </c>
      <c r="H3012">
        <v>0.38448789678111001</v>
      </c>
      <c r="I3012">
        <v>0.38038557296609099</v>
      </c>
      <c r="J3012">
        <v>0.443928170980327</v>
      </c>
      <c r="K3012">
        <v>0.36778361409834298</v>
      </c>
      <c r="L3012">
        <v>544.96757663745495</v>
      </c>
      <c r="M3012">
        <v>10.782744182773801</v>
      </c>
      <c r="N3012">
        <v>56.598987116764498</v>
      </c>
      <c r="O3012">
        <v>48.8954878635274</v>
      </c>
      <c r="P3012">
        <v>-3.6271001094595599E-2</v>
      </c>
      <c r="Q3012">
        <v>0.34234091432265601</v>
      </c>
      <c r="R3012">
        <v>0.97663522156659099</v>
      </c>
      <c r="S3012" t="s">
        <v>9818</v>
      </c>
      <c r="T3012" t="s">
        <v>13610</v>
      </c>
      <c r="U3012" t="s">
        <v>13610</v>
      </c>
      <c r="V3012" t="s">
        <v>13610</v>
      </c>
      <c r="W3012" t="s">
        <v>16569</v>
      </c>
      <c r="X3012">
        <v>3</v>
      </c>
      <c r="Y3012" t="s">
        <v>23212</v>
      </c>
      <c r="Z3012" t="s">
        <v>29867</v>
      </c>
      <c r="AA3012">
        <v>0.59912549254332104</v>
      </c>
      <c r="AB3012" t="str">
        <f>HYPERLINK("Melting_Curves/meltCurve_Q01664_TFAP4.pdf", "Melting_Curves/meltCurve_Q01664_TFAP4.pdf")</f>
        <v>Melting_Curves/meltCurve_Q01664_TFAP4.pdf</v>
      </c>
    </row>
    <row r="3013" spans="1:28" x14ac:dyDescent="0.25">
      <c r="A3013" t="s">
        <v>3017</v>
      </c>
      <c r="B3013">
        <v>0.995954080203443</v>
      </c>
      <c r="C3013">
        <v>0.80222006535224</v>
      </c>
      <c r="D3013">
        <v>0.52987434094121799</v>
      </c>
      <c r="E3013">
        <v>0.436457888654807</v>
      </c>
      <c r="F3013">
        <v>0.25798606591888601</v>
      </c>
      <c r="G3013">
        <v>0.14807107296032601</v>
      </c>
      <c r="H3013">
        <v>0.10433956470174199</v>
      </c>
      <c r="I3013">
        <v>0.102888583549805</v>
      </c>
      <c r="J3013">
        <v>0.105164181221267</v>
      </c>
      <c r="K3013">
        <v>0.109358329058638</v>
      </c>
      <c r="L3013">
        <v>632.99301661664799</v>
      </c>
      <c r="M3013">
        <v>13.4655493000565</v>
      </c>
      <c r="N3013">
        <v>47.673421715257803</v>
      </c>
      <c r="O3013">
        <v>46.007900450924403</v>
      </c>
      <c r="P3013">
        <v>-6.6914328734310399E-2</v>
      </c>
      <c r="Q3013">
        <v>8.5633033395099201E-2</v>
      </c>
      <c r="R3013">
        <v>0.98134269427919196</v>
      </c>
      <c r="S3013" t="s">
        <v>9819</v>
      </c>
      <c r="T3013" t="s">
        <v>13610</v>
      </c>
      <c r="U3013" t="s">
        <v>13610</v>
      </c>
      <c r="V3013" t="s">
        <v>13610</v>
      </c>
      <c r="W3013" t="s">
        <v>16570</v>
      </c>
      <c r="X3013">
        <v>35</v>
      </c>
      <c r="Y3013" t="s">
        <v>23213</v>
      </c>
      <c r="Z3013" t="s">
        <v>29868</v>
      </c>
      <c r="AA3013">
        <v>0.33007866608772651</v>
      </c>
      <c r="AB3013" t="str">
        <f>HYPERLINK("Melting_Curves/meltCurve_Q01780_2_EXOSC10.pdf", "Melting_Curves/meltCurve_Q01780_2_EXOSC10.pdf")</f>
        <v>Melting_Curves/meltCurve_Q01780_2_EXOSC10.pdf</v>
      </c>
    </row>
    <row r="3014" spans="1:28" x14ac:dyDescent="0.25">
      <c r="A3014" t="s">
        <v>3018</v>
      </c>
      <c r="B3014">
        <v>0.995954080203443</v>
      </c>
      <c r="C3014">
        <v>1.0146971838365699</v>
      </c>
      <c r="D3014">
        <v>0.95482607853719004</v>
      </c>
      <c r="E3014">
        <v>0.82297489351082198</v>
      </c>
      <c r="F3014">
        <v>0.672043390393254</v>
      </c>
      <c r="G3014">
        <v>0.40366144364221701</v>
      </c>
      <c r="H3014">
        <v>0.27934875831132699</v>
      </c>
      <c r="I3014">
        <v>0.28904451051480201</v>
      </c>
      <c r="J3014">
        <v>0.300752002134413</v>
      </c>
      <c r="K3014">
        <v>0.31558808171951502</v>
      </c>
      <c r="L3014">
        <v>1149.8246439109701</v>
      </c>
      <c r="M3014">
        <v>21.687975757128601</v>
      </c>
      <c r="N3014">
        <v>55.111062600806001</v>
      </c>
      <c r="O3014">
        <v>52.572122954215402</v>
      </c>
      <c r="P3014">
        <v>-7.4185502342100001E-2</v>
      </c>
      <c r="Q3014">
        <v>0.28070793452099402</v>
      </c>
      <c r="R3014">
        <v>0.994332364785113</v>
      </c>
      <c r="S3014" t="s">
        <v>9820</v>
      </c>
      <c r="T3014" t="s">
        <v>13610</v>
      </c>
      <c r="U3014" t="s">
        <v>13610</v>
      </c>
      <c r="V3014" t="s">
        <v>13610</v>
      </c>
      <c r="W3014" t="s">
        <v>16571</v>
      </c>
      <c r="X3014">
        <v>29</v>
      </c>
      <c r="Y3014" t="s">
        <v>23214</v>
      </c>
      <c r="Z3014" t="s">
        <v>29869</v>
      </c>
      <c r="AA3014">
        <v>0.60139107007983117</v>
      </c>
      <c r="AB3014" t="str">
        <f>HYPERLINK("Melting_Curves/meltCurve_Q01804_OTUD4.pdf", "Melting_Curves/meltCurve_Q01804_OTUD4.pdf")</f>
        <v>Melting_Curves/meltCurve_Q01804_OTUD4.pdf</v>
      </c>
    </row>
    <row r="3015" spans="1:28" x14ac:dyDescent="0.25">
      <c r="A3015" t="s">
        <v>3019</v>
      </c>
      <c r="B3015">
        <v>0.995954080203443</v>
      </c>
      <c r="C3015">
        <v>0.46766319223409097</v>
      </c>
      <c r="D3015">
        <v>0.32699265420700502</v>
      </c>
      <c r="E3015">
        <v>0.40396937739132199</v>
      </c>
      <c r="F3015">
        <v>0.272157046003832</v>
      </c>
      <c r="G3015">
        <v>0.180633884545507</v>
      </c>
      <c r="H3015">
        <v>9.2486008234157202E-2</v>
      </c>
      <c r="I3015">
        <v>6.3021323685889905E-2</v>
      </c>
      <c r="J3015">
        <v>7.9142913950405097E-2</v>
      </c>
      <c r="K3015">
        <v>5.4415553350112597E-2</v>
      </c>
      <c r="L3015">
        <v>516.63289645589202</v>
      </c>
      <c r="M3015">
        <v>11.671489420810801</v>
      </c>
      <c r="N3015">
        <v>44.935237773378702</v>
      </c>
      <c r="O3015">
        <v>43.024987931762702</v>
      </c>
      <c r="P3015">
        <v>-6.2413472959123001E-2</v>
      </c>
      <c r="Q3015">
        <v>7.9939760441892396E-2</v>
      </c>
      <c r="R3015">
        <v>0.85697287286748502</v>
      </c>
      <c r="S3015" t="s">
        <v>9821</v>
      </c>
      <c r="T3015" t="s">
        <v>13610</v>
      </c>
      <c r="U3015" t="s">
        <v>13610</v>
      </c>
      <c r="V3015" t="s">
        <v>13610</v>
      </c>
      <c r="W3015" t="s">
        <v>16572</v>
      </c>
      <c r="X3015">
        <v>21</v>
      </c>
      <c r="Y3015" t="s">
        <v>23215</v>
      </c>
      <c r="Z3015" t="s">
        <v>29870</v>
      </c>
      <c r="AA3015">
        <v>0.26292127976368151</v>
      </c>
      <c r="AB3015" t="str">
        <f>HYPERLINK("Melting_Curves/meltCurve_Q01813_PFKP.pdf", "Melting_Curves/meltCurve_Q01813_PFKP.pdf")</f>
        <v>Melting_Curves/meltCurve_Q01813_PFKP.pdf</v>
      </c>
    </row>
    <row r="3016" spans="1:28" x14ac:dyDescent="0.25">
      <c r="A3016" t="s">
        <v>3020</v>
      </c>
      <c r="B3016">
        <v>0.995954080203443</v>
      </c>
      <c r="C3016">
        <v>0.96784532988067595</v>
      </c>
      <c r="D3016">
        <v>0.98879383652529795</v>
      </c>
      <c r="E3016">
        <v>0.95822778735054404</v>
      </c>
      <c r="F3016">
        <v>0.83894064018605297</v>
      </c>
      <c r="G3016">
        <v>0.686105794842781</v>
      </c>
      <c r="H3016">
        <v>0.76165298687148797</v>
      </c>
      <c r="I3016">
        <v>0.89335487909954303</v>
      </c>
      <c r="J3016">
        <v>1.32440031055135</v>
      </c>
      <c r="K3016">
        <v>1.0750982994790801</v>
      </c>
      <c r="L3016">
        <v>12480.5350319391</v>
      </c>
      <c r="M3016">
        <v>250</v>
      </c>
      <c r="O3016">
        <v>49.918962881412099</v>
      </c>
      <c r="P3016">
        <v>-8.7735346490150898E-2</v>
      </c>
      <c r="Q3016">
        <v>0.92992550435232402</v>
      </c>
      <c r="R3016">
        <v>1.8667044944838E-2</v>
      </c>
      <c r="S3016" t="s">
        <v>9822</v>
      </c>
      <c r="T3016" t="s">
        <v>13610</v>
      </c>
      <c r="U3016" t="s">
        <v>13610</v>
      </c>
      <c r="V3016" t="s">
        <v>13610</v>
      </c>
      <c r="W3016" t="s">
        <v>16573</v>
      </c>
      <c r="X3016">
        <v>3</v>
      </c>
      <c r="Y3016" t="s">
        <v>23216</v>
      </c>
      <c r="Z3016" t="s">
        <v>29871</v>
      </c>
      <c r="AA3016">
        <v>0.9531079425995439</v>
      </c>
      <c r="AB3016" t="str">
        <f>HYPERLINK("Melting_Curves/meltCurve_Q01831_2_XPC.pdf", "Melting_Curves/meltCurve_Q01831_2_XPC.pdf")</f>
        <v>Melting_Curves/meltCurve_Q01831_2_XPC.pdf</v>
      </c>
    </row>
    <row r="3017" spans="1:28" x14ac:dyDescent="0.25">
      <c r="A3017" t="s">
        <v>3021</v>
      </c>
      <c r="B3017">
        <v>0.995954080203443</v>
      </c>
      <c r="C3017">
        <v>1.00192603915198</v>
      </c>
      <c r="D3017">
        <v>1.05010020270214</v>
      </c>
      <c r="E3017">
        <v>0.96382245994763305</v>
      </c>
      <c r="F3017">
        <v>0.973483565046253</v>
      </c>
      <c r="G3017">
        <v>0.73528797151417002</v>
      </c>
      <c r="H3017">
        <v>0.74094229878907003</v>
      </c>
      <c r="I3017">
        <v>0.82207882516514197</v>
      </c>
      <c r="J3017">
        <v>1.13242325762434</v>
      </c>
      <c r="K3017">
        <v>0.98836643630029697</v>
      </c>
      <c r="L3017">
        <v>13314.5698301354</v>
      </c>
      <c r="M3017">
        <v>250</v>
      </c>
      <c r="O3017">
        <v>53.254871159532897</v>
      </c>
      <c r="P3017">
        <v>-0.13634931015959501</v>
      </c>
      <c r="Q3017">
        <v>0.88381976104639504</v>
      </c>
      <c r="R3017">
        <v>0.21029251609118901</v>
      </c>
      <c r="S3017" t="s">
        <v>9823</v>
      </c>
      <c r="T3017" t="s">
        <v>13610</v>
      </c>
      <c r="U3017" t="s">
        <v>13610</v>
      </c>
      <c r="V3017" t="s">
        <v>13610</v>
      </c>
      <c r="W3017" t="s">
        <v>16574</v>
      </c>
      <c r="X3017">
        <v>12</v>
      </c>
      <c r="Y3017" t="s">
        <v>21186</v>
      </c>
      <c r="Z3017" t="s">
        <v>29872</v>
      </c>
      <c r="AA3017">
        <v>0.93517562210302985</v>
      </c>
      <c r="AB3017" t="str">
        <f>HYPERLINK("Melting_Curves/meltCurve_Q01844_6_EWSR1.pdf", "Melting_Curves/meltCurve_Q01844_6_EWSR1.pdf")</f>
        <v>Melting_Curves/meltCurve_Q01844_6_EWSR1.pdf</v>
      </c>
    </row>
    <row r="3018" spans="1:28" x14ac:dyDescent="0.25">
      <c r="A3018" t="s">
        <v>3022</v>
      </c>
      <c r="B3018">
        <v>0.995954080203443</v>
      </c>
      <c r="C3018">
        <v>0.90701595789084999</v>
      </c>
      <c r="D3018">
        <v>0.97513832177165105</v>
      </c>
      <c r="E3018">
        <v>0.68359446593152895</v>
      </c>
      <c r="F3018">
        <v>0.69490463599619601</v>
      </c>
      <c r="G3018">
        <v>0.49518147867953899</v>
      </c>
      <c r="H3018">
        <v>0.44881594064959701</v>
      </c>
      <c r="I3018">
        <v>0.53198156006638697</v>
      </c>
      <c r="J3018">
        <v>0.59447418423393195</v>
      </c>
      <c r="K3018">
        <v>0.65182302980900098</v>
      </c>
      <c r="L3018">
        <v>1220.4930982758001</v>
      </c>
      <c r="M3018">
        <v>24.8343997404831</v>
      </c>
      <c r="O3018">
        <v>48.829927350659801</v>
      </c>
      <c r="P3018">
        <v>-5.71529517386654E-2</v>
      </c>
      <c r="Q3018">
        <v>0.55050478677093995</v>
      </c>
      <c r="R3018">
        <v>0.87100483695571296</v>
      </c>
      <c r="S3018" t="s">
        <v>9824</v>
      </c>
      <c r="T3018" t="s">
        <v>13610</v>
      </c>
      <c r="U3018" t="s">
        <v>13610</v>
      </c>
      <c r="V3018" t="s">
        <v>13610</v>
      </c>
      <c r="W3018" t="s">
        <v>16575</v>
      </c>
      <c r="X3018">
        <v>3</v>
      </c>
      <c r="Y3018" t="s">
        <v>23217</v>
      </c>
      <c r="Z3018" t="s">
        <v>29873</v>
      </c>
      <c r="AA3018">
        <v>0.69157171515644145</v>
      </c>
      <c r="AB3018" t="str">
        <f>HYPERLINK("Melting_Curves/meltCurve_Q01850_CDR2.pdf", "Melting_Curves/meltCurve_Q01850_CDR2.pdf")</f>
        <v>Melting_Curves/meltCurve_Q01850_CDR2.pdf</v>
      </c>
    </row>
    <row r="3019" spans="1:28" x14ac:dyDescent="0.25">
      <c r="A3019" t="s">
        <v>3023</v>
      </c>
      <c r="B3019">
        <v>0.995954080203443</v>
      </c>
      <c r="C3019">
        <v>0.990283591289149</v>
      </c>
      <c r="D3019">
        <v>0.94302645449294797</v>
      </c>
      <c r="E3019">
        <v>0.73399675616943405</v>
      </c>
      <c r="F3019">
        <v>0.47420677612489298</v>
      </c>
      <c r="G3019">
        <v>0.30815906243656899</v>
      </c>
      <c r="H3019">
        <v>0.25985614422450098</v>
      </c>
      <c r="I3019">
        <v>0.25086809718067798</v>
      </c>
      <c r="J3019">
        <v>0.28000664321112501</v>
      </c>
      <c r="K3019">
        <v>0.24307092404514999</v>
      </c>
      <c r="L3019">
        <v>1241.86248316046</v>
      </c>
      <c r="M3019">
        <v>24.277795587051099</v>
      </c>
      <c r="N3019">
        <v>52.675268517639402</v>
      </c>
      <c r="O3019">
        <v>50.808927998556797</v>
      </c>
      <c r="P3019">
        <v>-8.9330714688061502E-2</v>
      </c>
      <c r="Q3019">
        <v>0.25220075715618301</v>
      </c>
      <c r="R3019">
        <v>0.99896258687597805</v>
      </c>
      <c r="S3019" t="s">
        <v>9825</v>
      </c>
      <c r="T3019" t="s">
        <v>13610</v>
      </c>
      <c r="U3019" t="s">
        <v>13610</v>
      </c>
      <c r="V3019" t="s">
        <v>13610</v>
      </c>
      <c r="W3019" t="s">
        <v>16576</v>
      </c>
      <c r="X3019">
        <v>13</v>
      </c>
      <c r="Y3019" t="s">
        <v>23218</v>
      </c>
      <c r="Z3019" t="s">
        <v>29874</v>
      </c>
      <c r="AA3019">
        <v>0.53735366084645753</v>
      </c>
      <c r="AB3019" t="str">
        <f>HYPERLINK("Melting_Curves/meltCurve_Q01968_2_OCRL.pdf", "Melting_Curves/meltCurve_Q01968_2_OCRL.pdf")</f>
        <v>Melting_Curves/meltCurve_Q01968_2_OCRL.pdf</v>
      </c>
    </row>
    <row r="3020" spans="1:28" x14ac:dyDescent="0.25">
      <c r="A3020" t="s">
        <v>3024</v>
      </c>
      <c r="B3020">
        <v>0.995954080203443</v>
      </c>
      <c r="C3020">
        <v>1.0096975937077699</v>
      </c>
      <c r="D3020">
        <v>0.91898825450922195</v>
      </c>
      <c r="E3020">
        <v>0.77433575994297199</v>
      </c>
      <c r="F3020">
        <v>0.29955387137968997</v>
      </c>
      <c r="G3020">
        <v>0.182825527494965</v>
      </c>
      <c r="H3020">
        <v>0.136627680385805</v>
      </c>
      <c r="I3020">
        <v>0.13711919302449899</v>
      </c>
      <c r="J3020">
        <v>0.14328115935645999</v>
      </c>
      <c r="K3020">
        <v>0.16111295411146501</v>
      </c>
      <c r="L3020">
        <v>2127.6152504269899</v>
      </c>
      <c r="M3020">
        <v>41.592087328729697</v>
      </c>
      <c r="N3020">
        <v>51.590393649178303</v>
      </c>
      <c r="O3020">
        <v>51.036499944589202</v>
      </c>
      <c r="P3020">
        <v>-0.17354197354395301</v>
      </c>
      <c r="Q3020">
        <v>0.14820731031835399</v>
      </c>
      <c r="R3020">
        <v>0.99523059781247203</v>
      </c>
      <c r="S3020" t="s">
        <v>9826</v>
      </c>
      <c r="T3020" t="s">
        <v>13610</v>
      </c>
      <c r="U3020" t="s">
        <v>13610</v>
      </c>
      <c r="V3020" t="s">
        <v>13610</v>
      </c>
      <c r="W3020" t="s">
        <v>16577</v>
      </c>
      <c r="X3020">
        <v>22</v>
      </c>
      <c r="Y3020" t="s">
        <v>23219</v>
      </c>
      <c r="Z3020" t="s">
        <v>29875</v>
      </c>
      <c r="AA3020">
        <v>0.46769700921957119</v>
      </c>
      <c r="AB3020" t="str">
        <f>HYPERLINK("Melting_Curves/meltCurve_Q01970_PLCB3.pdf", "Melting_Curves/meltCurve_Q01970_PLCB3.pdf")</f>
        <v>Melting_Curves/meltCurve_Q01970_PLCB3.pdf</v>
      </c>
    </row>
    <row r="3021" spans="1:28" x14ac:dyDescent="0.25">
      <c r="A3021" t="s">
        <v>3025</v>
      </c>
      <c r="B3021">
        <v>0.995954080203443</v>
      </c>
      <c r="C3021">
        <v>0.88583505345102798</v>
      </c>
      <c r="D3021">
        <v>0.60045799772541797</v>
      </c>
      <c r="E3021">
        <v>0.31435221881625097</v>
      </c>
      <c r="F3021">
        <v>0.20960968728961801</v>
      </c>
      <c r="G3021">
        <v>0.14858572433914699</v>
      </c>
      <c r="H3021">
        <v>0.119551125570053</v>
      </c>
      <c r="I3021">
        <v>0.127804114269854</v>
      </c>
      <c r="J3021">
        <v>0.14773160879585601</v>
      </c>
      <c r="K3021">
        <v>0.145190652647055</v>
      </c>
      <c r="L3021">
        <v>970.01280536415402</v>
      </c>
      <c r="M3021">
        <v>20.842061764739601</v>
      </c>
      <c r="N3021">
        <v>47.254540996694502</v>
      </c>
      <c r="O3021">
        <v>46.119016956830798</v>
      </c>
      <c r="P3021">
        <v>-9.7732419876951998E-2</v>
      </c>
      <c r="Q3021">
        <v>0.13498033963957001</v>
      </c>
      <c r="R3021">
        <v>0.99780009336072195</v>
      </c>
      <c r="S3021" t="s">
        <v>9827</v>
      </c>
      <c r="T3021" t="s">
        <v>13610</v>
      </c>
      <c r="U3021" t="s">
        <v>13610</v>
      </c>
      <c r="V3021" t="s">
        <v>13610</v>
      </c>
      <c r="W3021" t="s">
        <v>16578</v>
      </c>
      <c r="X3021">
        <v>14</v>
      </c>
      <c r="Y3021" t="s">
        <v>23220</v>
      </c>
      <c r="Z3021" t="s">
        <v>29876</v>
      </c>
      <c r="AA3021">
        <v>0.33537386976564898</v>
      </c>
      <c r="AB3021" t="str">
        <f>HYPERLINK("Melting_Curves/meltCurve_Q02040_AKAP17A.pdf", "Melting_Curves/meltCurve_Q02040_AKAP17A.pdf")</f>
        <v>Melting_Curves/meltCurve_Q02040_AKAP17A.pdf</v>
      </c>
    </row>
    <row r="3022" spans="1:28" x14ac:dyDescent="0.25">
      <c r="A3022" t="s">
        <v>3026</v>
      </c>
      <c r="B3022">
        <v>0.995954080203443</v>
      </c>
      <c r="C3022">
        <v>0.86432577805743105</v>
      </c>
      <c r="D3022">
        <v>1.0851238999498001</v>
      </c>
      <c r="E3022">
        <v>0.95460415994745595</v>
      </c>
      <c r="F3022">
        <v>0.88371116539413397</v>
      </c>
      <c r="G3022">
        <v>0.72418899690351601</v>
      </c>
      <c r="H3022">
        <v>0.67704387833592194</v>
      </c>
      <c r="I3022">
        <v>0.77821769183137901</v>
      </c>
      <c r="J3022">
        <v>0.92710665454048902</v>
      </c>
      <c r="K3022">
        <v>0.94173779399624202</v>
      </c>
      <c r="L3022">
        <v>2449.9810437619799</v>
      </c>
      <c r="M3022">
        <v>47.127786486875003</v>
      </c>
      <c r="O3022">
        <v>51.892569551698401</v>
      </c>
      <c r="P3022">
        <v>-4.28263987192107E-2</v>
      </c>
      <c r="Q3022">
        <v>0.81137501945003698</v>
      </c>
      <c r="R3022">
        <v>0.41181657575562802</v>
      </c>
      <c r="S3022" t="s">
        <v>9828</v>
      </c>
      <c r="T3022" t="s">
        <v>13610</v>
      </c>
      <c r="U3022" t="s">
        <v>13610</v>
      </c>
      <c r="V3022" t="s">
        <v>13610</v>
      </c>
      <c r="W3022" t="s">
        <v>16579</v>
      </c>
      <c r="X3022">
        <v>7</v>
      </c>
      <c r="Y3022" t="s">
        <v>23221</v>
      </c>
      <c r="Z3022" t="s">
        <v>29877</v>
      </c>
      <c r="AA3022">
        <v>0.88722358965033465</v>
      </c>
      <c r="AB3022" t="str">
        <f>HYPERLINK("Melting_Curves/meltCurve_Q02078_4_MEF2A.pdf", "Melting_Curves/meltCurve_Q02078_4_MEF2A.pdf")</f>
        <v>Melting_Curves/meltCurve_Q02078_4_MEF2A.pdf</v>
      </c>
    </row>
    <row r="3023" spans="1:28" x14ac:dyDescent="0.25">
      <c r="A3023" t="s">
        <v>3027</v>
      </c>
      <c r="B3023">
        <v>0.995954080203443</v>
      </c>
      <c r="C3023">
        <v>1.0432629740589501</v>
      </c>
      <c r="D3023">
        <v>0.96570489612695498</v>
      </c>
      <c r="E3023">
        <v>0.814598445602149</v>
      </c>
      <c r="F3023">
        <v>0.71633888565664705</v>
      </c>
      <c r="G3023">
        <v>0.50470776068407697</v>
      </c>
      <c r="H3023">
        <v>0.25879248747675698</v>
      </c>
      <c r="I3023">
        <v>0.12627342679683401</v>
      </c>
      <c r="J3023">
        <v>8.8840675063849101E-2</v>
      </c>
      <c r="K3023">
        <v>0.114016448588581</v>
      </c>
      <c r="L3023">
        <v>796.940142280229</v>
      </c>
      <c r="M3023">
        <v>14.146293129198799</v>
      </c>
      <c r="N3023">
        <v>56.4484210819192</v>
      </c>
      <c r="O3023">
        <v>55.245701755653997</v>
      </c>
      <c r="P3023">
        <v>-6.3131204647344605E-2</v>
      </c>
      <c r="Q3023">
        <v>1.3936949637552799E-2</v>
      </c>
      <c r="R3023">
        <v>0.992559782571937</v>
      </c>
      <c r="S3023" t="s">
        <v>9829</v>
      </c>
      <c r="T3023" t="s">
        <v>13610</v>
      </c>
      <c r="U3023" t="s">
        <v>13610</v>
      </c>
      <c r="V3023" t="s">
        <v>13610</v>
      </c>
      <c r="W3023" t="s">
        <v>16580</v>
      </c>
      <c r="X3023">
        <v>2</v>
      </c>
      <c r="Y3023" t="s">
        <v>23222</v>
      </c>
      <c r="Z3023" t="s">
        <v>29878</v>
      </c>
      <c r="AA3023">
        <v>0.56848255071986575</v>
      </c>
      <c r="AB3023" t="str">
        <f>HYPERLINK("Melting_Curves/meltCurve_Q02083_2_NAAA.pdf", "Melting_Curves/meltCurve_Q02083_2_NAAA.pdf")</f>
        <v>Melting_Curves/meltCurve_Q02083_2_NAAA.pdf</v>
      </c>
    </row>
    <row r="3024" spans="1:28" x14ac:dyDescent="0.25">
      <c r="A3024" t="s">
        <v>3028</v>
      </c>
      <c r="B3024">
        <v>0.995954080203443</v>
      </c>
      <c r="C3024">
        <v>1.0912168499889601</v>
      </c>
      <c r="D3024">
        <v>1.1831494208437201</v>
      </c>
      <c r="E3024">
        <v>0.99142902275443701</v>
      </c>
      <c r="F3024">
        <v>1.0126191524524499</v>
      </c>
      <c r="G3024">
        <v>0.81078718272018702</v>
      </c>
      <c r="H3024">
        <v>0.80202350182471005</v>
      </c>
      <c r="I3024">
        <v>0.94250190182069304</v>
      </c>
      <c r="J3024">
        <v>1.1430343377971299</v>
      </c>
      <c r="K3024">
        <v>1.15701042746987</v>
      </c>
      <c r="L3024">
        <v>15000</v>
      </c>
      <c r="M3024">
        <v>226.180184737735</v>
      </c>
      <c r="O3024">
        <v>66.313622486132303</v>
      </c>
      <c r="P3024">
        <v>0.13401732831793101</v>
      </c>
      <c r="Q3024">
        <v>1.15716981504781</v>
      </c>
      <c r="R3024">
        <v>0.265027923937532</v>
      </c>
      <c r="S3024" t="s">
        <v>9830</v>
      </c>
      <c r="T3024" t="s">
        <v>13610</v>
      </c>
      <c r="U3024" t="s">
        <v>13610</v>
      </c>
      <c r="V3024" t="s">
        <v>13610</v>
      </c>
      <c r="W3024" t="s">
        <v>16581</v>
      </c>
      <c r="X3024">
        <v>4</v>
      </c>
      <c r="Y3024" t="s">
        <v>23223</v>
      </c>
      <c r="Z3024" t="s">
        <v>29879</v>
      </c>
      <c r="AA3024">
        <v>1.019263409983751</v>
      </c>
      <c r="AB3024" t="str">
        <f>HYPERLINK("Melting_Curves/meltCurve_Q02086_2_SP2.pdf", "Melting_Curves/meltCurve_Q02086_2_SP2.pdf")</f>
        <v>Melting_Curves/meltCurve_Q02086_2_SP2.pdf</v>
      </c>
    </row>
    <row r="3025" spans="1:28" x14ac:dyDescent="0.25">
      <c r="A3025" t="s">
        <v>3029</v>
      </c>
      <c r="B3025">
        <v>0.995954080203443</v>
      </c>
      <c r="C3025">
        <v>0.93784738151394398</v>
      </c>
      <c r="D3025">
        <v>0.78631403327883598</v>
      </c>
      <c r="E3025">
        <v>0.36847826790334298</v>
      </c>
      <c r="F3025">
        <v>0.16237055829844399</v>
      </c>
      <c r="G3025">
        <v>0.106741603942866</v>
      </c>
      <c r="H3025">
        <v>7.8724692828035694E-2</v>
      </c>
      <c r="I3025">
        <v>8.9407308792074994E-2</v>
      </c>
      <c r="J3025">
        <v>6.7170009784121701E-2</v>
      </c>
      <c r="K3025">
        <v>8.6631277622835595E-2</v>
      </c>
      <c r="L3025">
        <v>1141.14768256098</v>
      </c>
      <c r="M3025">
        <v>23.630000118437</v>
      </c>
      <c r="N3025">
        <v>48.6356527741439</v>
      </c>
      <c r="O3025">
        <v>47.950463525627796</v>
      </c>
      <c r="P3025">
        <v>-0.113737918883871</v>
      </c>
      <c r="Q3025">
        <v>7.6818788576768104E-2</v>
      </c>
      <c r="R3025">
        <v>0.99929027596254305</v>
      </c>
      <c r="S3025" t="s">
        <v>9831</v>
      </c>
      <c r="T3025" t="s">
        <v>13610</v>
      </c>
      <c r="U3025" t="s">
        <v>13610</v>
      </c>
      <c r="V3025" t="s">
        <v>13610</v>
      </c>
      <c r="W3025" t="s">
        <v>16582</v>
      </c>
      <c r="X3025">
        <v>3</v>
      </c>
      <c r="Y3025" t="s">
        <v>23224</v>
      </c>
      <c r="Z3025" t="s">
        <v>29880</v>
      </c>
      <c r="AA3025">
        <v>0.34118216206388918</v>
      </c>
      <c r="AB3025" t="str">
        <f>HYPERLINK("Melting_Curves/meltCurve_Q02156_PRKCE.pdf", "Melting_Curves/meltCurve_Q02156_PRKCE.pdf")</f>
        <v>Melting_Curves/meltCurve_Q02156_PRKCE.pdf</v>
      </c>
    </row>
    <row r="3026" spans="1:28" x14ac:dyDescent="0.25">
      <c r="A3026" t="s">
        <v>3030</v>
      </c>
      <c r="B3026">
        <v>0.995954080203443</v>
      </c>
      <c r="C3026">
        <v>0.96640290823576402</v>
      </c>
      <c r="D3026">
        <v>0.91621328540132096</v>
      </c>
      <c r="E3026">
        <v>0.70346623892589499</v>
      </c>
      <c r="F3026">
        <v>0.57023452245628503</v>
      </c>
      <c r="G3026">
        <v>0.42327018830218999</v>
      </c>
      <c r="H3026">
        <v>0.386472074293228</v>
      </c>
      <c r="I3026">
        <v>0.36877882014098101</v>
      </c>
      <c r="J3026">
        <v>0.39904694222687798</v>
      </c>
      <c r="K3026">
        <v>0.32337618248878602</v>
      </c>
      <c r="L3026">
        <v>882.95632308249901</v>
      </c>
      <c r="M3026">
        <v>17.421094794139101</v>
      </c>
      <c r="N3026">
        <v>54.494606990186298</v>
      </c>
      <c r="O3026">
        <v>50.029489193147199</v>
      </c>
      <c r="P3026">
        <v>-5.6400565078583903E-2</v>
      </c>
      <c r="Q3026">
        <v>0.352157121862407</v>
      </c>
      <c r="R3026">
        <v>0.99518616880460997</v>
      </c>
      <c r="S3026" t="s">
        <v>9832</v>
      </c>
      <c r="T3026" t="s">
        <v>13610</v>
      </c>
      <c r="U3026" t="s">
        <v>13610</v>
      </c>
      <c r="V3026" t="s">
        <v>13610</v>
      </c>
      <c r="W3026" t="s">
        <v>16583</v>
      </c>
      <c r="X3026">
        <v>30</v>
      </c>
      <c r="Y3026" t="s">
        <v>23225</v>
      </c>
      <c r="Z3026" t="s">
        <v>29881</v>
      </c>
      <c r="AA3026">
        <v>0.59448644362280767</v>
      </c>
      <c r="AB3026" t="str">
        <f>HYPERLINK("Melting_Curves/meltCurve_Q02224_CENPE.pdf", "Melting_Curves/meltCurve_Q02224_CENPE.pdf")</f>
        <v>Melting_Curves/meltCurve_Q02224_CENPE.pdf</v>
      </c>
    </row>
    <row r="3027" spans="1:28" x14ac:dyDescent="0.25">
      <c r="A3027" t="s">
        <v>3031</v>
      </c>
      <c r="B3027">
        <v>0.995954080203443</v>
      </c>
      <c r="C3027">
        <v>0.95604113542494995</v>
      </c>
      <c r="D3027">
        <v>0.92747465098247595</v>
      </c>
      <c r="E3027">
        <v>0.73555337670612497</v>
      </c>
      <c r="F3027">
        <v>0.43127899344433202</v>
      </c>
      <c r="G3027">
        <v>0.21860656605179199</v>
      </c>
      <c r="H3027">
        <v>0.14897763352416499</v>
      </c>
      <c r="I3027">
        <v>0.13898504383958099</v>
      </c>
      <c r="J3027">
        <v>0.161666848368095</v>
      </c>
      <c r="K3027">
        <v>0.162763001984982</v>
      </c>
      <c r="L3027">
        <v>1223.7692503905801</v>
      </c>
      <c r="M3027">
        <v>23.751211193441598</v>
      </c>
      <c r="N3027">
        <v>52.270516655647498</v>
      </c>
      <c r="O3027">
        <v>51.163415678847102</v>
      </c>
      <c r="P3027">
        <v>-9.9373949060874003E-2</v>
      </c>
      <c r="Q3027">
        <v>0.143752849332346</v>
      </c>
      <c r="R3027">
        <v>0.99743846397137303</v>
      </c>
      <c r="S3027" t="s">
        <v>9833</v>
      </c>
      <c r="T3027" t="s">
        <v>13610</v>
      </c>
      <c r="U3027" t="s">
        <v>13610</v>
      </c>
      <c r="V3027" t="s">
        <v>13610</v>
      </c>
      <c r="W3027" t="s">
        <v>16584</v>
      </c>
      <c r="X3027">
        <v>17</v>
      </c>
      <c r="Y3027" t="s">
        <v>21188</v>
      </c>
      <c r="Z3027" t="s">
        <v>29882</v>
      </c>
      <c r="AA3027">
        <v>0.48127022460377261</v>
      </c>
      <c r="AB3027" t="str">
        <f>HYPERLINK("Melting_Curves/meltCurve_Q02241_2_KIF23.pdf", "Melting_Curves/meltCurve_Q02241_2_KIF23.pdf")</f>
        <v>Melting_Curves/meltCurve_Q02241_2_KIF23.pdf</v>
      </c>
    </row>
    <row r="3028" spans="1:28" x14ac:dyDescent="0.25">
      <c r="A3028" t="s">
        <v>3032</v>
      </c>
      <c r="B3028">
        <v>0.995954080203443</v>
      </c>
      <c r="C3028">
        <v>1.16236784423149</v>
      </c>
      <c r="D3028">
        <v>1.06020620526319</v>
      </c>
      <c r="E3028">
        <v>0.99072844920324799</v>
      </c>
      <c r="F3028">
        <v>0.983329170735743</v>
      </c>
      <c r="G3028">
        <v>0.78527242373384898</v>
      </c>
      <c r="H3028">
        <v>0.65908571048143705</v>
      </c>
      <c r="I3028">
        <v>0.77439006116616305</v>
      </c>
      <c r="J3028">
        <v>1.02787374517351</v>
      </c>
      <c r="K3028">
        <v>0.92523639068374497</v>
      </c>
      <c r="L3028">
        <v>13366.0696938253</v>
      </c>
      <c r="M3028">
        <v>250</v>
      </c>
      <c r="O3028">
        <v>53.460857460971503</v>
      </c>
      <c r="P3028">
        <v>-0.19363271597745099</v>
      </c>
      <c r="Q3028">
        <v>0.834371663874796</v>
      </c>
      <c r="R3028">
        <v>0.46307934002631401</v>
      </c>
      <c r="S3028" t="s">
        <v>9834</v>
      </c>
      <c r="T3028" t="s">
        <v>13610</v>
      </c>
      <c r="U3028" t="s">
        <v>13610</v>
      </c>
      <c r="V3028" t="s">
        <v>13610</v>
      </c>
      <c r="W3028" t="s">
        <v>16585</v>
      </c>
      <c r="X3028">
        <v>1</v>
      </c>
      <c r="Y3028" t="s">
        <v>23226</v>
      </c>
      <c r="Z3028" t="s">
        <v>29883</v>
      </c>
      <c r="AA3028">
        <v>0.90872274096813244</v>
      </c>
      <c r="AB3028" t="str">
        <f>HYPERLINK("Melting_Curves/meltCurve_Q02446_SP4.pdf", "Melting_Curves/meltCurve_Q02446_SP4.pdf")</f>
        <v>Melting_Curves/meltCurve_Q02446_SP4.pdf</v>
      </c>
    </row>
    <row r="3029" spans="1:28" x14ac:dyDescent="0.25">
      <c r="A3029" t="s">
        <v>3033</v>
      </c>
      <c r="B3029">
        <v>0.995954080203443</v>
      </c>
      <c r="C3029">
        <v>0.93616272701901604</v>
      </c>
      <c r="D3029">
        <v>1.0923230083870801</v>
      </c>
      <c r="E3029">
        <v>0.80242787936708404</v>
      </c>
      <c r="F3029">
        <v>0.81315033129613201</v>
      </c>
      <c r="G3029">
        <v>0.68419978077673005</v>
      </c>
      <c r="H3029">
        <v>0.61887637692268405</v>
      </c>
      <c r="I3029">
        <v>0.74357458736874105</v>
      </c>
      <c r="J3029">
        <v>0.84360131193155596</v>
      </c>
      <c r="K3029">
        <v>0.92150829159232295</v>
      </c>
      <c r="L3029">
        <v>8029.8679988511003</v>
      </c>
      <c r="M3029">
        <v>162.429547438264</v>
      </c>
      <c r="O3029">
        <v>49.428514165426002</v>
      </c>
      <c r="P3029">
        <v>-0.18828314499038001</v>
      </c>
      <c r="Q3029">
        <v>0.77081618870777802</v>
      </c>
      <c r="R3029">
        <v>0.608216189264292</v>
      </c>
      <c r="S3029" t="s">
        <v>9835</v>
      </c>
      <c r="T3029" t="s">
        <v>13610</v>
      </c>
      <c r="U3029" t="s">
        <v>13610</v>
      </c>
      <c r="V3029" t="s">
        <v>13610</v>
      </c>
      <c r="W3029" t="s">
        <v>16586</v>
      </c>
      <c r="X3029">
        <v>8</v>
      </c>
      <c r="Y3029" t="s">
        <v>23227</v>
      </c>
      <c r="Z3029" t="s">
        <v>29884</v>
      </c>
      <c r="AA3029">
        <v>0.84294929624671944</v>
      </c>
      <c r="AB3029" t="str">
        <f>HYPERLINK("Melting_Curves/meltCurve_Q02447_4_SP3.pdf", "Melting_Curves/meltCurve_Q02447_4_SP3.pdf")</f>
        <v>Melting_Curves/meltCurve_Q02447_4_SP3.pdf</v>
      </c>
    </row>
    <row r="3030" spans="1:28" x14ac:dyDescent="0.25">
      <c r="A3030" t="s">
        <v>3034</v>
      </c>
      <c r="B3030">
        <v>0.995954080203443</v>
      </c>
      <c r="C3030">
        <v>0.87044123071796997</v>
      </c>
      <c r="D3030">
        <v>0.843384180102839</v>
      </c>
      <c r="E3030">
        <v>0.68332870105640897</v>
      </c>
      <c r="F3030">
        <v>0.49691301530957799</v>
      </c>
      <c r="G3030">
        <v>0.31722810723420702</v>
      </c>
      <c r="H3030">
        <v>0.26374395685654201</v>
      </c>
      <c r="I3030">
        <v>0.24205985363185001</v>
      </c>
      <c r="J3030">
        <v>0.32878996053035697</v>
      </c>
      <c r="K3030">
        <v>0.26208772905460898</v>
      </c>
      <c r="L3030">
        <v>725.868690834012</v>
      </c>
      <c r="M3030">
        <v>14.409393839766899</v>
      </c>
      <c r="N3030">
        <v>52.761415146268597</v>
      </c>
      <c r="O3030">
        <v>49.434263940625897</v>
      </c>
      <c r="P3030">
        <v>-5.5428696207500898E-2</v>
      </c>
      <c r="Q3030">
        <v>0.23945358509473499</v>
      </c>
      <c r="R3030">
        <v>0.979161106193848</v>
      </c>
      <c r="S3030" t="s">
        <v>9836</v>
      </c>
      <c r="T3030" t="s">
        <v>13610</v>
      </c>
      <c r="U3030" t="s">
        <v>13610</v>
      </c>
      <c r="V3030" t="s">
        <v>13610</v>
      </c>
      <c r="W3030" t="s">
        <v>16587</v>
      </c>
      <c r="X3030">
        <v>4</v>
      </c>
      <c r="Y3030" t="s">
        <v>23228</v>
      </c>
      <c r="Z3030" t="s">
        <v>29885</v>
      </c>
      <c r="AA3030">
        <v>0.52166372360908186</v>
      </c>
      <c r="AB3030" t="str">
        <f>HYPERLINK("Melting_Curves/meltCurve_Q02487_DSC2.pdf", "Melting_Curves/meltCurve_Q02487_DSC2.pdf")</f>
        <v>Melting_Curves/meltCurve_Q02487_DSC2.pdf</v>
      </c>
    </row>
    <row r="3031" spans="1:28" x14ac:dyDescent="0.25">
      <c r="A3031" t="s">
        <v>3035</v>
      </c>
      <c r="B3031">
        <v>0.995954080203443</v>
      </c>
      <c r="C3031">
        <v>0.68740842392154999</v>
      </c>
      <c r="D3031">
        <v>0.53453922915138796</v>
      </c>
      <c r="E3031">
        <v>0.43417084857717902</v>
      </c>
      <c r="F3031">
        <v>0.271132548686431</v>
      </c>
      <c r="G3031">
        <v>0.135532757793494</v>
      </c>
      <c r="H3031">
        <v>9.8323693902650805E-2</v>
      </c>
      <c r="I3031">
        <v>8.7471115126782795E-2</v>
      </c>
      <c r="J3031">
        <v>8.4967554892382197E-2</v>
      </c>
      <c r="K3031">
        <v>7.2591370381713094E-2</v>
      </c>
      <c r="L3031">
        <v>530.16273899818304</v>
      </c>
      <c r="M3031">
        <v>11.2710009016134</v>
      </c>
      <c r="N3031">
        <v>47.439531718284499</v>
      </c>
      <c r="O3031">
        <v>45.629971440404702</v>
      </c>
      <c r="P3031">
        <v>-5.8959464388100097E-2</v>
      </c>
      <c r="Q3031">
        <v>4.5517377684537799E-2</v>
      </c>
      <c r="R3031">
        <v>0.97181263357096803</v>
      </c>
      <c r="S3031" t="s">
        <v>9837</v>
      </c>
      <c r="T3031" t="s">
        <v>13610</v>
      </c>
      <c r="U3031" t="s">
        <v>13610</v>
      </c>
      <c r="V3031" t="s">
        <v>13610</v>
      </c>
      <c r="W3031" t="s">
        <v>16588</v>
      </c>
      <c r="X3031">
        <v>5</v>
      </c>
      <c r="Y3031" t="s">
        <v>23229</v>
      </c>
      <c r="Z3031" t="s">
        <v>29886</v>
      </c>
      <c r="AA3031">
        <v>0.31413786652642017</v>
      </c>
      <c r="AB3031" t="str">
        <f>HYPERLINK("Melting_Curves/meltCurve_Q02543_RPL18A.pdf", "Melting_Curves/meltCurve_Q02543_RPL18A.pdf")</f>
        <v>Melting_Curves/meltCurve_Q02543_RPL18A.pdf</v>
      </c>
    </row>
    <row r="3032" spans="1:28" x14ac:dyDescent="0.25">
      <c r="A3032" t="s">
        <v>3036</v>
      </c>
      <c r="B3032">
        <v>0.995954080203443</v>
      </c>
      <c r="C3032">
        <v>0.97691705722363198</v>
      </c>
      <c r="D3032">
        <v>1.0074810897214399</v>
      </c>
      <c r="E3032">
        <v>0.70790944326163496</v>
      </c>
      <c r="F3032">
        <v>0.28907340470531101</v>
      </c>
      <c r="G3032">
        <v>0.14257589954201499</v>
      </c>
      <c r="H3032">
        <v>0.105381656446453</v>
      </c>
      <c r="I3032">
        <v>0.108697683893174</v>
      </c>
      <c r="J3032">
        <v>0.12804116940590099</v>
      </c>
      <c r="K3032">
        <v>0.12642427022254701</v>
      </c>
      <c r="L3032">
        <v>1912.5378539451599</v>
      </c>
      <c r="M3032">
        <v>37.530159463715997</v>
      </c>
      <c r="N3032">
        <v>51.330598172990399</v>
      </c>
      <c r="O3032">
        <v>50.815988435665503</v>
      </c>
      <c r="P3032">
        <v>-0.16272660873123401</v>
      </c>
      <c r="Q3032">
        <v>0.118672439035952</v>
      </c>
      <c r="R3032">
        <v>0.99895443630555902</v>
      </c>
      <c r="S3032" t="s">
        <v>9838</v>
      </c>
      <c r="T3032" t="s">
        <v>13610</v>
      </c>
      <c r="U3032" t="s">
        <v>13610</v>
      </c>
      <c r="V3032" t="s">
        <v>13610</v>
      </c>
      <c r="W3032" t="s">
        <v>16589</v>
      </c>
      <c r="X3032">
        <v>16</v>
      </c>
      <c r="Y3032" t="s">
        <v>23230</v>
      </c>
      <c r="Z3032" t="s">
        <v>29887</v>
      </c>
      <c r="AA3032">
        <v>0.4441811402935707</v>
      </c>
      <c r="AB3032" t="str">
        <f>HYPERLINK("Melting_Curves/meltCurve_Q02750_MAP2K1.pdf", "Melting_Curves/meltCurve_Q02750_MAP2K1.pdf")</f>
        <v>Melting_Curves/meltCurve_Q02750_MAP2K1.pdf</v>
      </c>
    </row>
    <row r="3033" spans="1:28" x14ac:dyDescent="0.25">
      <c r="A3033" t="s">
        <v>3037</v>
      </c>
      <c r="B3033">
        <v>0.995954080203443</v>
      </c>
      <c r="C3033">
        <v>0.97382826548163803</v>
      </c>
      <c r="D3033">
        <v>0.96235652369973501</v>
      </c>
      <c r="E3033">
        <v>0.57017075700417497</v>
      </c>
      <c r="F3033">
        <v>0.213667545005055</v>
      </c>
      <c r="G3033">
        <v>0.13491341325481301</v>
      </c>
      <c r="H3033">
        <v>0.104655594779114</v>
      </c>
      <c r="I3033">
        <v>0.102403530553959</v>
      </c>
      <c r="J3033">
        <v>0.118941245383062</v>
      </c>
      <c r="K3033">
        <v>0.10964332073010501</v>
      </c>
      <c r="L3033">
        <v>1792.39992585499</v>
      </c>
      <c r="M3033">
        <v>35.791641589943097</v>
      </c>
      <c r="N3033">
        <v>50.431113842670896</v>
      </c>
      <c r="O3033">
        <v>49.923169639401998</v>
      </c>
      <c r="P3033">
        <v>-0.15940455118856101</v>
      </c>
      <c r="Q3033">
        <v>0.110635402823857</v>
      </c>
      <c r="R3033">
        <v>0.99932237045926797</v>
      </c>
      <c r="S3033" t="s">
        <v>9839</v>
      </c>
      <c r="T3033" t="s">
        <v>13610</v>
      </c>
      <c r="U3033" t="s">
        <v>13610</v>
      </c>
      <c r="V3033" t="s">
        <v>13610</v>
      </c>
      <c r="W3033" t="s">
        <v>16590</v>
      </c>
      <c r="X3033">
        <v>40</v>
      </c>
      <c r="Y3033" t="s">
        <v>23231</v>
      </c>
      <c r="Z3033" t="s">
        <v>29888</v>
      </c>
      <c r="AA3033">
        <v>0.41327880339646678</v>
      </c>
      <c r="AB3033" t="str">
        <f>HYPERLINK("Melting_Curves/meltCurve_Q02790_FKBP4.pdf", "Melting_Curves/meltCurve_Q02790_FKBP4.pdf")</f>
        <v>Melting_Curves/meltCurve_Q02790_FKBP4.pdf</v>
      </c>
    </row>
    <row r="3034" spans="1:28" x14ac:dyDescent="0.25">
      <c r="A3034" t="s">
        <v>3038</v>
      </c>
      <c r="B3034">
        <v>0.995954080203443</v>
      </c>
      <c r="C3034">
        <v>0.80029089986225799</v>
      </c>
      <c r="D3034">
        <v>0.55196362641532304</v>
      </c>
      <c r="E3034">
        <v>0.41655640071372901</v>
      </c>
      <c r="F3034">
        <v>0.179569445851852</v>
      </c>
      <c r="G3034">
        <v>0.10507394794115101</v>
      </c>
      <c r="H3034">
        <v>6.2356043645404299E-2</v>
      </c>
      <c r="I3034">
        <v>5.9810083049912699E-2</v>
      </c>
      <c r="J3034">
        <v>7.2363333539614494E-2</v>
      </c>
      <c r="K3034">
        <v>5.5846596159408103E-2</v>
      </c>
      <c r="L3034">
        <v>668.95239694849897</v>
      </c>
      <c r="M3034">
        <v>14.1749540301292</v>
      </c>
      <c r="N3034">
        <v>47.479545785337798</v>
      </c>
      <c r="O3034">
        <v>46.283105478740097</v>
      </c>
      <c r="P3034">
        <v>-7.3432331734577194E-2</v>
      </c>
      <c r="Q3034">
        <v>4.1055722047362402E-2</v>
      </c>
      <c r="R3034">
        <v>0.98600103634102298</v>
      </c>
      <c r="S3034" t="s">
        <v>9840</v>
      </c>
      <c r="T3034" t="s">
        <v>13610</v>
      </c>
      <c r="U3034" t="s">
        <v>13610</v>
      </c>
      <c r="V3034" t="s">
        <v>13610</v>
      </c>
      <c r="W3034" t="s">
        <v>16591</v>
      </c>
      <c r="X3034">
        <v>10</v>
      </c>
      <c r="Y3034" t="s">
        <v>23232</v>
      </c>
      <c r="Z3034" t="s">
        <v>29889</v>
      </c>
      <c r="AA3034">
        <v>0.29983414989314622</v>
      </c>
      <c r="AB3034" t="str">
        <f>HYPERLINK("Melting_Curves/meltCurve_Q02809_PLOD1.pdf", "Melting_Curves/meltCurve_Q02809_PLOD1.pdf")</f>
        <v>Melting_Curves/meltCurve_Q02809_PLOD1.pdf</v>
      </c>
    </row>
    <row r="3035" spans="1:28" x14ac:dyDescent="0.25">
      <c r="A3035" t="s">
        <v>3039</v>
      </c>
      <c r="B3035">
        <v>0.995954080203443</v>
      </c>
      <c r="C3035">
        <v>0.99363622444727095</v>
      </c>
      <c r="D3035">
        <v>0.98082304227124295</v>
      </c>
      <c r="E3035">
        <v>0.88041275423702903</v>
      </c>
      <c r="F3035">
        <v>0.76117677613760004</v>
      </c>
      <c r="G3035">
        <v>0.59961304594546705</v>
      </c>
      <c r="H3035">
        <v>0.55537685085649802</v>
      </c>
      <c r="I3035">
        <v>0.66599269234252301</v>
      </c>
      <c r="J3035">
        <v>0.83659698676306504</v>
      </c>
      <c r="K3035">
        <v>0.79533323934274103</v>
      </c>
      <c r="L3035">
        <v>1985.6544537550001</v>
      </c>
      <c r="M3035">
        <v>39.197679088323198</v>
      </c>
      <c r="O3035">
        <v>50.526115269091598</v>
      </c>
      <c r="P3035">
        <v>-5.9488256108104202E-2</v>
      </c>
      <c r="Q3035">
        <v>0.69327723957277798</v>
      </c>
      <c r="R3035">
        <v>0.74062727010463403</v>
      </c>
      <c r="S3035" t="s">
        <v>9841</v>
      </c>
      <c r="T3035" t="s">
        <v>13610</v>
      </c>
      <c r="U3035" t="s">
        <v>13610</v>
      </c>
      <c r="V3035" t="s">
        <v>13610</v>
      </c>
      <c r="W3035" t="s">
        <v>16592</v>
      </c>
      <c r="X3035">
        <v>26</v>
      </c>
      <c r="Y3035" t="s">
        <v>23233</v>
      </c>
      <c r="Z3035" t="s">
        <v>29890</v>
      </c>
      <c r="AA3035">
        <v>0.80335884684393188</v>
      </c>
      <c r="AB3035" t="str">
        <f>HYPERLINK("Melting_Curves/meltCurve_Q02818_NUCB1.pdf", "Melting_Curves/meltCurve_Q02818_NUCB1.pdf")</f>
        <v>Melting_Curves/meltCurve_Q02818_NUCB1.pdf</v>
      </c>
    </row>
    <row r="3036" spans="1:28" x14ac:dyDescent="0.25">
      <c r="A3036" t="s">
        <v>3040</v>
      </c>
      <c r="B3036">
        <v>0.995954080203443</v>
      </c>
      <c r="C3036">
        <v>0.84063003403152903</v>
      </c>
      <c r="D3036">
        <v>0.79545460230540499</v>
      </c>
      <c r="E3036">
        <v>0.72712100146230696</v>
      </c>
      <c r="F3036">
        <v>0.743079442296676</v>
      </c>
      <c r="G3036">
        <v>0.55460200888923294</v>
      </c>
      <c r="H3036">
        <v>0.50771404795043495</v>
      </c>
      <c r="I3036">
        <v>0.52870046162140705</v>
      </c>
      <c r="J3036">
        <v>0.70929056020575398</v>
      </c>
      <c r="K3036">
        <v>0.65099612367505</v>
      </c>
      <c r="L3036">
        <v>582.96609810348298</v>
      </c>
      <c r="M3036">
        <v>12.5976060572078</v>
      </c>
      <c r="O3036">
        <v>45.156288976979802</v>
      </c>
      <c r="P3036">
        <v>-2.85326358962E-2</v>
      </c>
      <c r="Q3036">
        <v>0.59097901431743105</v>
      </c>
      <c r="R3036">
        <v>0.76998817014046705</v>
      </c>
      <c r="S3036" t="s">
        <v>9842</v>
      </c>
      <c r="T3036" t="s">
        <v>13610</v>
      </c>
      <c r="U3036" t="s">
        <v>13610</v>
      </c>
      <c r="V3036" t="s">
        <v>13610</v>
      </c>
      <c r="W3036" t="s">
        <v>16593</v>
      </c>
      <c r="X3036">
        <v>3</v>
      </c>
      <c r="Y3036" t="s">
        <v>23234</v>
      </c>
      <c r="Z3036" t="s">
        <v>29891</v>
      </c>
      <c r="AA3036">
        <v>0.69313498872422563</v>
      </c>
      <c r="AB3036" t="str">
        <f>HYPERLINK("Melting_Curves/meltCurve_Q02833_3_RASSF7.pdf", "Melting_Curves/meltCurve_Q02833_3_RASSF7.pdf")</f>
        <v>Melting_Curves/meltCurve_Q02833_3_RASSF7.pdf</v>
      </c>
    </row>
    <row r="3037" spans="1:28" x14ac:dyDescent="0.25">
      <c r="A3037" t="s">
        <v>3041</v>
      </c>
      <c r="B3037">
        <v>0.995954080203443</v>
      </c>
      <c r="C3037">
        <v>0.91724689439590101</v>
      </c>
      <c r="D3037">
        <v>0.891358747387058</v>
      </c>
      <c r="E3037">
        <v>0.55134260679800895</v>
      </c>
      <c r="F3037">
        <v>0.26585221231442102</v>
      </c>
      <c r="G3037">
        <v>0.151717159851609</v>
      </c>
      <c r="H3037">
        <v>0.112660823366753</v>
      </c>
      <c r="I3037">
        <v>0.113601469505816</v>
      </c>
      <c r="J3037">
        <v>0.13709399975078601</v>
      </c>
      <c r="K3037">
        <v>0.122893947149174</v>
      </c>
      <c r="L3037">
        <v>1178.20206969014</v>
      </c>
      <c r="M3037">
        <v>23.667762711386601</v>
      </c>
      <c r="N3037">
        <v>50.331809151837298</v>
      </c>
      <c r="O3037">
        <v>49.429580315225301</v>
      </c>
      <c r="P3037">
        <v>-0.106046591773497</v>
      </c>
      <c r="Q3037">
        <v>0.114111301138383</v>
      </c>
      <c r="R3037">
        <v>0.99578657970621898</v>
      </c>
      <c r="S3037" t="s">
        <v>9843</v>
      </c>
      <c r="T3037" t="s">
        <v>13610</v>
      </c>
      <c r="U3037" t="s">
        <v>13610</v>
      </c>
      <c r="V3037" t="s">
        <v>13610</v>
      </c>
      <c r="W3037" t="s">
        <v>16594</v>
      </c>
      <c r="X3037">
        <v>14</v>
      </c>
      <c r="Y3037" t="s">
        <v>23235</v>
      </c>
      <c r="Z3037" t="s">
        <v>29892</v>
      </c>
      <c r="AA3037">
        <v>0.41176065837984588</v>
      </c>
      <c r="AB3037" t="str">
        <f>HYPERLINK("Melting_Curves/meltCurve_Q02878_RPL6.pdf", "Melting_Curves/meltCurve_Q02878_RPL6.pdf")</f>
        <v>Melting_Curves/meltCurve_Q02878_RPL6.pdf</v>
      </c>
    </row>
    <row r="3038" spans="1:28" x14ac:dyDescent="0.25">
      <c r="A3038" t="s">
        <v>3042</v>
      </c>
      <c r="B3038">
        <v>0.995954080203443</v>
      </c>
      <c r="C3038">
        <v>0.84584895238925495</v>
      </c>
      <c r="D3038">
        <v>0.72462322454856798</v>
      </c>
      <c r="E3038">
        <v>0.51788794136157901</v>
      </c>
      <c r="F3038">
        <v>0.24471925380568199</v>
      </c>
      <c r="G3038">
        <v>0.142602528063178</v>
      </c>
      <c r="H3038">
        <v>0.111699089267994</v>
      </c>
      <c r="I3038">
        <v>0.12297172260440301</v>
      </c>
      <c r="J3038">
        <v>0.13667291395769399</v>
      </c>
      <c r="K3038">
        <v>0.132212196861171</v>
      </c>
      <c r="L3038">
        <v>758.72704305177103</v>
      </c>
      <c r="M3038">
        <v>15.632636163559001</v>
      </c>
      <c r="N3038">
        <v>49.228963962454699</v>
      </c>
      <c r="O3038">
        <v>47.761406188021901</v>
      </c>
      <c r="P3038">
        <v>-7.3739385393618906E-2</v>
      </c>
      <c r="Q3038">
        <v>9.8912270048793105E-2</v>
      </c>
      <c r="R3038">
        <v>0.98727262322164699</v>
      </c>
      <c r="S3038" t="s">
        <v>9844</v>
      </c>
      <c r="T3038" t="s">
        <v>13610</v>
      </c>
      <c r="U3038" t="s">
        <v>13610</v>
      </c>
      <c r="V3038" t="s">
        <v>13610</v>
      </c>
      <c r="W3038" t="s">
        <v>16595</v>
      </c>
      <c r="X3038">
        <v>50</v>
      </c>
      <c r="Y3038" t="s">
        <v>23236</v>
      </c>
      <c r="Z3038" t="s">
        <v>29893</v>
      </c>
      <c r="AA3038">
        <v>0.37616659729156959</v>
      </c>
      <c r="AB3038" t="str">
        <f>HYPERLINK("Melting_Curves/meltCurve_Q02880_2_TOP2B.pdf", "Melting_Curves/meltCurve_Q02880_2_TOP2B.pdf")</f>
        <v>Melting_Curves/meltCurve_Q02880_2_TOP2B.pdf</v>
      </c>
    </row>
    <row r="3039" spans="1:28" x14ac:dyDescent="0.25">
      <c r="A3039" t="s">
        <v>3043</v>
      </c>
      <c r="B3039">
        <v>0.995954080203443</v>
      </c>
      <c r="C3039">
        <v>0.98648119287715497</v>
      </c>
      <c r="D3039">
        <v>1.02895385708929</v>
      </c>
      <c r="E3039">
        <v>0.88127723449116102</v>
      </c>
      <c r="F3039">
        <v>0.92419386811082305</v>
      </c>
      <c r="G3039">
        <v>0.75205532000042996</v>
      </c>
      <c r="H3039">
        <v>0.73377451491924395</v>
      </c>
      <c r="I3039">
        <v>0.84231895482098196</v>
      </c>
      <c r="J3039">
        <v>0.98166107989756002</v>
      </c>
      <c r="K3039">
        <v>0.99247392219297903</v>
      </c>
      <c r="L3039">
        <v>7814.9482274345301</v>
      </c>
      <c r="M3039">
        <v>158.75171313024501</v>
      </c>
      <c r="O3039">
        <v>49.219677965889801</v>
      </c>
      <c r="P3039">
        <v>-0.103956157160144</v>
      </c>
      <c r="Q3039">
        <v>0.87107695582102296</v>
      </c>
      <c r="R3039">
        <v>0.35905079095618198</v>
      </c>
      <c r="S3039" t="s">
        <v>9845</v>
      </c>
      <c r="T3039" t="s">
        <v>13610</v>
      </c>
      <c r="U3039" t="s">
        <v>13610</v>
      </c>
      <c r="V3039" t="s">
        <v>13610</v>
      </c>
      <c r="W3039" t="s">
        <v>16596</v>
      </c>
      <c r="X3039">
        <v>9</v>
      </c>
      <c r="Y3039" t="s">
        <v>23237</v>
      </c>
      <c r="Z3039" t="s">
        <v>29894</v>
      </c>
      <c r="AA3039">
        <v>0.91075911966652201</v>
      </c>
      <c r="AB3039" t="str">
        <f>HYPERLINK("Melting_Curves/meltCurve_Q02952_3_AKAP12.pdf", "Melting_Curves/meltCurve_Q02952_3_AKAP12.pdf")</f>
        <v>Melting_Curves/meltCurve_Q02952_3_AKAP12.pdf</v>
      </c>
    </row>
    <row r="3040" spans="1:28" x14ac:dyDescent="0.25">
      <c r="A3040" t="s">
        <v>3044</v>
      </c>
      <c r="B3040">
        <v>0.995954080203443</v>
      </c>
      <c r="C3040">
        <v>0.97409890797983401</v>
      </c>
      <c r="D3040">
        <v>0.93404153663507195</v>
      </c>
      <c r="E3040">
        <v>0.78519990113443106</v>
      </c>
      <c r="F3040">
        <v>0.34052465810442101</v>
      </c>
      <c r="G3040">
        <v>0.198358649181646</v>
      </c>
      <c r="H3040">
        <v>0.162599422847897</v>
      </c>
      <c r="I3040">
        <v>0.16847110561120901</v>
      </c>
      <c r="J3040">
        <v>0.203281629663977</v>
      </c>
      <c r="K3040">
        <v>0.19561613687068199</v>
      </c>
      <c r="L3040">
        <v>2093.8601982434302</v>
      </c>
      <c r="M3040">
        <v>40.890547164006101</v>
      </c>
      <c r="N3040">
        <v>51.780476581500302</v>
      </c>
      <c r="O3040">
        <v>51.084449763622302</v>
      </c>
      <c r="P3040">
        <v>-0.16364537919518099</v>
      </c>
      <c r="Q3040">
        <v>0.182234693928057</v>
      </c>
      <c r="R3040">
        <v>0.99573019177271305</v>
      </c>
      <c r="S3040" t="s">
        <v>9846</v>
      </c>
      <c r="T3040" t="s">
        <v>13610</v>
      </c>
      <c r="U3040" t="s">
        <v>13610</v>
      </c>
      <c r="V3040" t="s">
        <v>13610</v>
      </c>
      <c r="W3040" t="s">
        <v>14075</v>
      </c>
      <c r="X3040">
        <v>61</v>
      </c>
      <c r="Y3040" t="s">
        <v>20798</v>
      </c>
      <c r="Z3040" t="s">
        <v>29895</v>
      </c>
      <c r="AA3040">
        <v>0.49047843785095629</v>
      </c>
      <c r="AB3040" t="str">
        <f>HYPERLINK("Melting_Curves/meltCurve_Q03001_DST.pdf", "Melting_Curves/meltCurve_Q03001_DST.pdf")</f>
        <v>Melting_Curves/meltCurve_Q03001_DST.pdf</v>
      </c>
    </row>
    <row r="3041" spans="1:28" x14ac:dyDescent="0.25">
      <c r="A3041" t="s">
        <v>3045</v>
      </c>
      <c r="B3041">
        <v>0.995954080203443</v>
      </c>
      <c r="C3041">
        <v>1.0450880592615901</v>
      </c>
      <c r="D3041">
        <v>1.0158128287350601</v>
      </c>
      <c r="E3041">
        <v>0.92613244223744495</v>
      </c>
      <c r="F3041">
        <v>0.92032163909153497</v>
      </c>
      <c r="G3041">
        <v>0.771968659907038</v>
      </c>
      <c r="H3041">
        <v>0.75304820907751002</v>
      </c>
      <c r="I3041">
        <v>0.89771786061130698</v>
      </c>
      <c r="J3041">
        <v>1.06713734215514</v>
      </c>
      <c r="K3041">
        <v>1.1356381502791599</v>
      </c>
      <c r="L3041">
        <v>15000</v>
      </c>
      <c r="M3041">
        <v>223.859987280583</v>
      </c>
      <c r="O3041">
        <v>67.000816563266099</v>
      </c>
      <c r="P3041">
        <v>0.113307093764734</v>
      </c>
      <c r="Q3041">
        <v>1.13565029375881</v>
      </c>
      <c r="R3041">
        <v>5.0866679620658103E-3</v>
      </c>
      <c r="S3041" t="s">
        <v>9847</v>
      </c>
      <c r="T3041" t="s">
        <v>13610</v>
      </c>
      <c r="U3041" t="s">
        <v>13610</v>
      </c>
      <c r="V3041" t="s">
        <v>13610</v>
      </c>
      <c r="W3041" t="s">
        <v>16597</v>
      </c>
      <c r="X3041">
        <v>8</v>
      </c>
      <c r="Y3041" t="s">
        <v>23238</v>
      </c>
      <c r="Z3041" t="s">
        <v>29896</v>
      </c>
      <c r="AA3041">
        <v>1.0135173458811211</v>
      </c>
      <c r="AB3041" t="str">
        <f>HYPERLINK("Melting_Curves/meltCurve_Q03014_HHEX.pdf", "Melting_Curves/meltCurve_Q03014_HHEX.pdf")</f>
        <v>Melting_Curves/meltCurve_Q03014_HHEX.pdf</v>
      </c>
    </row>
    <row r="3042" spans="1:28" x14ac:dyDescent="0.25">
      <c r="A3042" t="s">
        <v>3046</v>
      </c>
      <c r="B3042">
        <v>0.995954080203443</v>
      </c>
      <c r="C3042">
        <v>0.82304609280208696</v>
      </c>
      <c r="D3042">
        <v>0.77740734156176805</v>
      </c>
      <c r="E3042">
        <v>0.83358581069894799</v>
      </c>
      <c r="F3042">
        <v>0.68881590913014701</v>
      </c>
      <c r="G3042">
        <v>0.50981173936042401</v>
      </c>
      <c r="H3042">
        <v>0.43527863928253802</v>
      </c>
      <c r="I3042">
        <v>0.57148264469800403</v>
      </c>
      <c r="J3042">
        <v>0.56065232993108505</v>
      </c>
      <c r="K3042">
        <v>0.59771115040451706</v>
      </c>
      <c r="L3042">
        <v>495.43807158751002</v>
      </c>
      <c r="M3042">
        <v>10.2251406992479</v>
      </c>
      <c r="O3042">
        <v>46.7093704856741</v>
      </c>
      <c r="P3042">
        <v>-2.69470268259006E-2</v>
      </c>
      <c r="Q3042">
        <v>0.50783395816325305</v>
      </c>
      <c r="R3042">
        <v>0.80364617398113702</v>
      </c>
      <c r="S3042" t="s">
        <v>9848</v>
      </c>
      <c r="T3042" t="s">
        <v>13610</v>
      </c>
      <c r="U3042" t="s">
        <v>13610</v>
      </c>
      <c r="V3042" t="s">
        <v>13610</v>
      </c>
      <c r="W3042" t="s">
        <v>16598</v>
      </c>
      <c r="X3042">
        <v>2</v>
      </c>
      <c r="Y3042" t="s">
        <v>23239</v>
      </c>
      <c r="Z3042" t="s">
        <v>29897</v>
      </c>
      <c r="AA3042">
        <v>0.67081623463838314</v>
      </c>
      <c r="AB3042" t="str">
        <f>HYPERLINK("Melting_Curves/meltCurve_Q03060_25_CREM.pdf", "Melting_Curves/meltCurve_Q03060_25_CREM.pdf")</f>
        <v>Melting_Curves/meltCurve_Q03060_25_CREM.pdf</v>
      </c>
    </row>
    <row r="3043" spans="1:28" x14ac:dyDescent="0.25">
      <c r="A3043" t="s">
        <v>3047</v>
      </c>
      <c r="B3043">
        <v>0.995954080203443</v>
      </c>
      <c r="C3043">
        <v>0.90386918892472501</v>
      </c>
      <c r="D3043">
        <v>0.97949979808943799</v>
      </c>
      <c r="E3043">
        <v>0.80447513400862303</v>
      </c>
      <c r="F3043">
        <v>0.84201189898117001</v>
      </c>
      <c r="G3043">
        <v>0.67265490490891899</v>
      </c>
      <c r="H3043">
        <v>0.58930655156380596</v>
      </c>
      <c r="I3043">
        <v>0.71505527112308398</v>
      </c>
      <c r="J3043">
        <v>0.73825833397342899</v>
      </c>
      <c r="K3043">
        <v>0.84276731735334098</v>
      </c>
      <c r="L3043">
        <v>988.76618958927497</v>
      </c>
      <c r="M3043">
        <v>20.106345909373399</v>
      </c>
      <c r="O3043">
        <v>48.698116627045003</v>
      </c>
      <c r="P3043">
        <v>-2.9306769297448101E-2</v>
      </c>
      <c r="Q3043">
        <v>0.71608188102940895</v>
      </c>
      <c r="R3043">
        <v>0.66905675237379603</v>
      </c>
      <c r="S3043" t="s">
        <v>9849</v>
      </c>
      <c r="T3043" t="s">
        <v>13610</v>
      </c>
      <c r="U3043" t="s">
        <v>13610</v>
      </c>
      <c r="V3043" t="s">
        <v>13610</v>
      </c>
      <c r="W3043" t="s">
        <v>16599</v>
      </c>
      <c r="X3043">
        <v>8</v>
      </c>
      <c r="Y3043" t="s">
        <v>23240</v>
      </c>
      <c r="Z3043" t="s">
        <v>29898</v>
      </c>
      <c r="AA3043">
        <v>0.80685942237930197</v>
      </c>
      <c r="AB3043" t="str">
        <f>HYPERLINK("Melting_Curves/meltCurve_Q03111_MLLT1.pdf", "Melting_Curves/meltCurve_Q03111_MLLT1.pdf")</f>
        <v>Melting_Curves/meltCurve_Q03111_MLLT1.pdf</v>
      </c>
    </row>
    <row r="3044" spans="1:28" x14ac:dyDescent="0.25">
      <c r="A3044" t="s">
        <v>3048</v>
      </c>
      <c r="B3044">
        <v>0.995954080203443</v>
      </c>
      <c r="C3044">
        <v>1.0131805295127001</v>
      </c>
      <c r="D3044">
        <v>1.0200663764898601</v>
      </c>
      <c r="E3044">
        <v>0.89857781229477196</v>
      </c>
      <c r="F3044">
        <v>0.81542608452701804</v>
      </c>
      <c r="G3044">
        <v>0.61198934165241103</v>
      </c>
      <c r="H3044">
        <v>0.483113355908386</v>
      </c>
      <c r="I3044">
        <v>0.52090655653995799</v>
      </c>
      <c r="J3044">
        <v>0.58503238003930103</v>
      </c>
      <c r="K3044">
        <v>0.47032213004585099</v>
      </c>
      <c r="L3044">
        <v>1304.6639545442499</v>
      </c>
      <c r="M3044">
        <v>24.262826373414502</v>
      </c>
      <c r="O3044">
        <v>53.410846520524501</v>
      </c>
      <c r="P3044">
        <v>-5.6006241082651197E-2</v>
      </c>
      <c r="Q3044">
        <v>0.50685127166785904</v>
      </c>
      <c r="R3044">
        <v>0.97484525131691402</v>
      </c>
      <c r="S3044" t="s">
        <v>9850</v>
      </c>
      <c r="T3044" t="s">
        <v>13610</v>
      </c>
      <c r="U3044" t="s">
        <v>13610</v>
      </c>
      <c r="V3044" t="s">
        <v>13610</v>
      </c>
      <c r="W3044" t="s">
        <v>16600</v>
      </c>
      <c r="X3044">
        <v>28</v>
      </c>
      <c r="Y3044" t="s">
        <v>23241</v>
      </c>
      <c r="Z3044" t="s">
        <v>29899</v>
      </c>
      <c r="AA3044">
        <v>0.73805750546902305</v>
      </c>
      <c r="AB3044" t="str">
        <f>HYPERLINK("Melting_Curves/meltCurve_Q03154_ACY1.pdf", "Melting_Curves/meltCurve_Q03154_ACY1.pdf")</f>
        <v>Melting_Curves/meltCurve_Q03154_ACY1.pdf</v>
      </c>
    </row>
    <row r="3045" spans="1:28" x14ac:dyDescent="0.25">
      <c r="A3045" t="s">
        <v>3049</v>
      </c>
      <c r="B3045">
        <v>0.995954080203443</v>
      </c>
      <c r="C3045">
        <v>0.94024328281224701</v>
      </c>
      <c r="D3045">
        <v>0.99722794074723398</v>
      </c>
      <c r="E3045">
        <v>0.80503842485666599</v>
      </c>
      <c r="F3045">
        <v>0.88258907707103795</v>
      </c>
      <c r="G3045">
        <v>0.70078204341446204</v>
      </c>
      <c r="H3045">
        <v>0.68589080371628797</v>
      </c>
      <c r="I3045">
        <v>0.83248996536655295</v>
      </c>
      <c r="J3045">
        <v>0.99557311909498503</v>
      </c>
      <c r="K3045">
        <v>0.99324258477592697</v>
      </c>
      <c r="L3045">
        <v>11685.093147563</v>
      </c>
      <c r="M3045">
        <v>250</v>
      </c>
      <c r="O3045">
        <v>46.737381542237003</v>
      </c>
      <c r="P3045">
        <v>-0.21098016850148901</v>
      </c>
      <c r="Q3045">
        <v>0.84222943014245799</v>
      </c>
      <c r="R3045">
        <v>0.275879250805945</v>
      </c>
      <c r="S3045" t="s">
        <v>9851</v>
      </c>
      <c r="T3045" t="s">
        <v>13610</v>
      </c>
      <c r="U3045" t="s">
        <v>13610</v>
      </c>
      <c r="V3045" t="s">
        <v>13610</v>
      </c>
      <c r="W3045" t="s">
        <v>16601</v>
      </c>
      <c r="X3045">
        <v>37</v>
      </c>
      <c r="Y3045" t="s">
        <v>23242</v>
      </c>
      <c r="Z3045" t="s">
        <v>29900</v>
      </c>
      <c r="AA3045">
        <v>0.87769011933280572</v>
      </c>
      <c r="AB3045" t="str">
        <f>HYPERLINK("Melting_Curves/meltCurve_Q03164_2_MLL.pdf", "Melting_Curves/meltCurve_Q03164_2_MLL.pdf")</f>
        <v>Melting_Curves/meltCurve_Q03164_2_MLL.pdf</v>
      </c>
    </row>
    <row r="3046" spans="1:28" x14ac:dyDescent="0.25">
      <c r="A3046" t="s">
        <v>3050</v>
      </c>
      <c r="B3046">
        <v>0.995954080203443</v>
      </c>
      <c r="C3046">
        <v>0.93056255140090005</v>
      </c>
      <c r="D3046">
        <v>0.59253920818756201</v>
      </c>
      <c r="E3046">
        <v>0.29983179222774398</v>
      </c>
      <c r="F3046">
        <v>0.17271549768225</v>
      </c>
      <c r="G3046">
        <v>0.121246848821207</v>
      </c>
      <c r="H3046">
        <v>0.12649805280405299</v>
      </c>
      <c r="I3046">
        <v>0.10812213290173001</v>
      </c>
      <c r="J3046">
        <v>0.128026136545587</v>
      </c>
      <c r="K3046">
        <v>0.117160268361926</v>
      </c>
      <c r="L3046">
        <v>1080.1239350845699</v>
      </c>
      <c r="M3046">
        <v>23.178618312417299</v>
      </c>
      <c r="N3046">
        <v>47.157309563075998</v>
      </c>
      <c r="O3046">
        <v>46.257327046013103</v>
      </c>
      <c r="P3046">
        <v>-0.110264699601203</v>
      </c>
      <c r="Q3046">
        <v>0.119799943296795</v>
      </c>
      <c r="R3046">
        <v>0.99654856140110404</v>
      </c>
      <c r="S3046" t="s">
        <v>9852</v>
      </c>
      <c r="T3046" t="s">
        <v>13610</v>
      </c>
      <c r="U3046" t="s">
        <v>13610</v>
      </c>
      <c r="V3046" t="s">
        <v>13610</v>
      </c>
      <c r="W3046" t="s">
        <v>16602</v>
      </c>
      <c r="X3046">
        <v>4</v>
      </c>
      <c r="Y3046" t="s">
        <v>23243</v>
      </c>
      <c r="Z3046" t="s">
        <v>29901</v>
      </c>
      <c r="AA3046">
        <v>0.32285479085326452</v>
      </c>
      <c r="AB3046" t="str">
        <f>HYPERLINK("Melting_Curves/meltCurve_Q03169_TNFAIP2.pdf", "Melting_Curves/meltCurve_Q03169_TNFAIP2.pdf")</f>
        <v>Melting_Curves/meltCurve_Q03169_TNFAIP2.pdf</v>
      </c>
    </row>
    <row r="3047" spans="1:28" x14ac:dyDescent="0.25">
      <c r="A3047" t="s">
        <v>3051</v>
      </c>
      <c r="B3047">
        <v>0.995954080203443</v>
      </c>
      <c r="C3047">
        <v>0.99936527376094797</v>
      </c>
      <c r="D3047">
        <v>1.0714005385346801</v>
      </c>
      <c r="E3047">
        <v>0.94601630618496602</v>
      </c>
      <c r="F3047">
        <v>0.91586458805002302</v>
      </c>
      <c r="G3047">
        <v>0.75708985017604902</v>
      </c>
      <c r="H3047">
        <v>0.73583725696787095</v>
      </c>
      <c r="I3047">
        <v>0.87440103224536503</v>
      </c>
      <c r="J3047">
        <v>1.11892865801689</v>
      </c>
      <c r="K3047">
        <v>1.0463270747801301</v>
      </c>
      <c r="L3047">
        <v>5572.2894120696301</v>
      </c>
      <c r="M3047">
        <v>111.794770083309</v>
      </c>
      <c r="O3047">
        <v>49.827974573936899</v>
      </c>
      <c r="P3047">
        <v>-5.1576181545397899E-2</v>
      </c>
      <c r="Q3047">
        <v>0.90804805734082605</v>
      </c>
      <c r="R3047">
        <v>0.167321186674142</v>
      </c>
      <c r="S3047" t="s">
        <v>9853</v>
      </c>
      <c r="T3047" t="s">
        <v>13610</v>
      </c>
      <c r="U3047" t="s">
        <v>13610</v>
      </c>
      <c r="V3047" t="s">
        <v>13610</v>
      </c>
      <c r="W3047" t="s">
        <v>16603</v>
      </c>
      <c r="X3047">
        <v>28</v>
      </c>
      <c r="Y3047" t="s">
        <v>23244</v>
      </c>
      <c r="Z3047" t="s">
        <v>29902</v>
      </c>
      <c r="AA3047">
        <v>0.93826056458477802</v>
      </c>
      <c r="AB3047" t="str">
        <f>HYPERLINK("Melting_Curves/meltCurve_Q03188_CENPC1.pdf", "Melting_Curves/meltCurve_Q03188_CENPC1.pdf")</f>
        <v>Melting_Curves/meltCurve_Q03188_CENPC1.pdf</v>
      </c>
    </row>
    <row r="3048" spans="1:28" x14ac:dyDescent="0.25">
      <c r="A3048" t="s">
        <v>3052</v>
      </c>
      <c r="B3048">
        <v>0.995954080203443</v>
      </c>
      <c r="C3048">
        <v>1.0289586037285601</v>
      </c>
      <c r="D3048">
        <v>1.1217175177274099</v>
      </c>
      <c r="E3048">
        <v>0.943670683047107</v>
      </c>
      <c r="F3048">
        <v>0.91730771255645704</v>
      </c>
      <c r="G3048">
        <v>0.62606538169673798</v>
      </c>
      <c r="H3048">
        <v>0.43140612237175802</v>
      </c>
      <c r="I3048">
        <v>0.42666615718474399</v>
      </c>
      <c r="J3048">
        <v>0.54520285861367601</v>
      </c>
      <c r="K3048">
        <v>0.55167187102727999</v>
      </c>
      <c r="L3048">
        <v>2175.7948829260499</v>
      </c>
      <c r="M3048">
        <v>39.348087404618802</v>
      </c>
      <c r="N3048">
        <v>61.123563490054799</v>
      </c>
      <c r="O3048">
        <v>55.153830884143098</v>
      </c>
      <c r="P3048">
        <v>-9.1272530566855095E-2</v>
      </c>
      <c r="Q3048">
        <v>0.48825786576275698</v>
      </c>
      <c r="R3048">
        <v>0.94643847034602802</v>
      </c>
      <c r="S3048" t="s">
        <v>9854</v>
      </c>
      <c r="T3048" t="s">
        <v>13610</v>
      </c>
      <c r="U3048" t="s">
        <v>13610</v>
      </c>
      <c r="V3048" t="s">
        <v>13610</v>
      </c>
      <c r="W3048" t="s">
        <v>16604</v>
      </c>
      <c r="X3048">
        <v>26</v>
      </c>
      <c r="Y3048" t="s">
        <v>23245</v>
      </c>
      <c r="Z3048" t="s">
        <v>29903</v>
      </c>
      <c r="AA3048">
        <v>0.75119138282707509</v>
      </c>
      <c r="AB3048" t="str">
        <f>HYPERLINK("Melting_Curves/meltCurve_Q03252_LMNB2.pdf", "Melting_Curves/meltCurve_Q03252_LMNB2.pdf")</f>
        <v>Melting_Curves/meltCurve_Q03252_LMNB2.pdf</v>
      </c>
    </row>
    <row r="3049" spans="1:28" x14ac:dyDescent="0.25">
      <c r="A3049" t="s">
        <v>3053</v>
      </c>
      <c r="B3049">
        <v>0.995954080203443</v>
      </c>
      <c r="C3049">
        <v>1.0272956287053601</v>
      </c>
      <c r="D3049">
        <v>0.99665487629637295</v>
      </c>
      <c r="E3049">
        <v>0.84414406490832805</v>
      </c>
      <c r="F3049">
        <v>0.73758131419857798</v>
      </c>
      <c r="G3049">
        <v>0.53484306899523504</v>
      </c>
      <c r="H3049">
        <v>0.50258998653953302</v>
      </c>
      <c r="I3049">
        <v>0.58213163300477</v>
      </c>
      <c r="J3049">
        <v>0.69154032929513898</v>
      </c>
      <c r="K3049">
        <v>0.73543186668502603</v>
      </c>
      <c r="L3049">
        <v>1693.0307815055601</v>
      </c>
      <c r="M3049">
        <v>33.248022134236997</v>
      </c>
      <c r="O3049">
        <v>50.738097561537998</v>
      </c>
      <c r="P3049">
        <v>-6.3464804802858696E-2</v>
      </c>
      <c r="Q3049">
        <v>0.61260020437775298</v>
      </c>
      <c r="R3049">
        <v>0.86762903441917905</v>
      </c>
      <c r="S3049" t="s">
        <v>9855</v>
      </c>
      <c r="T3049" t="s">
        <v>13610</v>
      </c>
      <c r="U3049" t="s">
        <v>13610</v>
      </c>
      <c r="V3049" t="s">
        <v>13610</v>
      </c>
      <c r="W3049" t="s">
        <v>16605</v>
      </c>
      <c r="X3049">
        <v>19</v>
      </c>
      <c r="Y3049" t="s">
        <v>23246</v>
      </c>
      <c r="Z3049" t="s">
        <v>29904</v>
      </c>
      <c r="AA3049">
        <v>0.75560859042585726</v>
      </c>
      <c r="AB3049" t="str">
        <f>HYPERLINK("Melting_Curves/meltCurve_Q03468_ERCC6.pdf", "Melting_Curves/meltCurve_Q03468_ERCC6.pdf")</f>
        <v>Melting_Curves/meltCurve_Q03468_ERCC6.pdf</v>
      </c>
    </row>
    <row r="3050" spans="1:28" x14ac:dyDescent="0.25">
      <c r="A3050" t="s">
        <v>3054</v>
      </c>
      <c r="B3050">
        <v>0.995954080203443</v>
      </c>
      <c r="C3050">
        <v>0.90215125672242003</v>
      </c>
      <c r="D3050">
        <v>0.84545445153878196</v>
      </c>
      <c r="E3050">
        <v>0.73276807762092599</v>
      </c>
      <c r="F3050">
        <v>0.66586385873250298</v>
      </c>
      <c r="G3050">
        <v>0.52271417400644904</v>
      </c>
      <c r="H3050">
        <v>0.50209362632063903</v>
      </c>
      <c r="I3050">
        <v>0.58086269795402801</v>
      </c>
      <c r="J3050">
        <v>0.702528755548117</v>
      </c>
      <c r="K3050">
        <v>0.70163950741608305</v>
      </c>
      <c r="L3050">
        <v>849.97959442865499</v>
      </c>
      <c r="M3050">
        <v>18.112797149097801</v>
      </c>
      <c r="O3050">
        <v>46.3662283415524</v>
      </c>
      <c r="P3050">
        <v>-3.8608690755135601E-2</v>
      </c>
      <c r="Q3050">
        <v>0.60468762874930304</v>
      </c>
      <c r="R3050">
        <v>0.815546665844463</v>
      </c>
      <c r="S3050" t="s">
        <v>9856</v>
      </c>
      <c r="T3050" t="s">
        <v>13610</v>
      </c>
      <c r="U3050" t="s">
        <v>13610</v>
      </c>
      <c r="V3050" t="s">
        <v>13610</v>
      </c>
      <c r="W3050" t="s">
        <v>16606</v>
      </c>
      <c r="X3050">
        <v>15</v>
      </c>
      <c r="Y3050" t="s">
        <v>23247</v>
      </c>
      <c r="Z3050" t="s">
        <v>29905</v>
      </c>
      <c r="AA3050">
        <v>0.70318633038402634</v>
      </c>
      <c r="AB3050" t="str">
        <f>HYPERLINK("Melting_Curves/meltCurve_Q03701_CEBPZ.pdf", "Melting_Curves/meltCurve_Q03701_CEBPZ.pdf")</f>
        <v>Melting_Curves/meltCurve_Q03701_CEBPZ.pdf</v>
      </c>
    </row>
    <row r="3051" spans="1:28" x14ac:dyDescent="0.25">
      <c r="A3051" t="s">
        <v>3055</v>
      </c>
      <c r="B3051">
        <v>0.995954080203443</v>
      </c>
      <c r="C3051">
        <v>0.94357705368176603</v>
      </c>
      <c r="D3051">
        <v>0.91243552029088704</v>
      </c>
      <c r="E3051">
        <v>0.47103092303954502</v>
      </c>
      <c r="F3051">
        <v>0.252735884969846</v>
      </c>
      <c r="G3051">
        <v>0.15962605641595801</v>
      </c>
      <c r="H3051">
        <v>0.123700525022723</v>
      </c>
      <c r="I3051">
        <v>0.114027194293658</v>
      </c>
      <c r="J3051">
        <v>0.149153484627813</v>
      </c>
      <c r="K3051">
        <v>0.12663467029998801</v>
      </c>
      <c r="L3051">
        <v>1344.04564263973</v>
      </c>
      <c r="M3051">
        <v>27.263221184716699</v>
      </c>
      <c r="N3051">
        <v>49.847656130211703</v>
      </c>
      <c r="O3051">
        <v>49.035925522136999</v>
      </c>
      <c r="P3051">
        <v>-0.120976074310679</v>
      </c>
      <c r="Q3051">
        <v>0.12965306636681501</v>
      </c>
      <c r="R3051">
        <v>0.99747135548311405</v>
      </c>
      <c r="S3051" t="s">
        <v>9857</v>
      </c>
      <c r="T3051" t="s">
        <v>13610</v>
      </c>
      <c r="U3051" t="s">
        <v>13610</v>
      </c>
      <c r="V3051" t="s">
        <v>13610</v>
      </c>
      <c r="W3051" t="s">
        <v>16607</v>
      </c>
      <c r="X3051">
        <v>17</v>
      </c>
      <c r="Y3051" t="s">
        <v>23248</v>
      </c>
      <c r="Z3051" t="s">
        <v>29906</v>
      </c>
      <c r="AA3051">
        <v>0.40590109543294822</v>
      </c>
      <c r="AB3051" t="str">
        <f>HYPERLINK("Melting_Curves/meltCurve_Q04446_GBE1.pdf", "Melting_Curves/meltCurve_Q04446_GBE1.pdf")</f>
        <v>Melting_Curves/meltCurve_Q04446_GBE1.pdf</v>
      </c>
    </row>
    <row r="3052" spans="1:28" x14ac:dyDescent="0.25">
      <c r="A3052" t="s">
        <v>3056</v>
      </c>
      <c r="B3052">
        <v>0.995954080203443</v>
      </c>
      <c r="C3052">
        <v>0.59447011772318503</v>
      </c>
      <c r="D3052">
        <v>0.52931687760562895</v>
      </c>
      <c r="E3052">
        <v>0.60981953919915499</v>
      </c>
      <c r="F3052">
        <v>0.71453187833945198</v>
      </c>
      <c r="G3052">
        <v>0.86790008502274396</v>
      </c>
      <c r="H3052">
        <v>0.93039124720378097</v>
      </c>
      <c r="I3052">
        <v>1.7342939733371701</v>
      </c>
      <c r="J3052">
        <v>2.1683653005308798</v>
      </c>
      <c r="K3052">
        <v>1.40097144320079</v>
      </c>
      <c r="L3052">
        <v>9880.0412222832801</v>
      </c>
      <c r="M3052">
        <v>158.70108389855901</v>
      </c>
      <c r="O3052">
        <v>62.245778658308701</v>
      </c>
      <c r="P3052">
        <v>0.31869849087832403</v>
      </c>
      <c r="Q3052">
        <v>1.5</v>
      </c>
      <c r="R3052">
        <v>0.56692539878972803</v>
      </c>
      <c r="S3052" t="s">
        <v>9858</v>
      </c>
      <c r="T3052" t="s">
        <v>13610</v>
      </c>
      <c r="U3052" t="s">
        <v>13610</v>
      </c>
      <c r="V3052" t="s">
        <v>13610</v>
      </c>
      <c r="W3052" t="s">
        <v>16608</v>
      </c>
      <c r="X3052">
        <v>68</v>
      </c>
      <c r="Y3052" t="s">
        <v>20777</v>
      </c>
      <c r="Z3052" t="s">
        <v>29907</v>
      </c>
      <c r="AA3052">
        <v>1.1289366730254471</v>
      </c>
      <c r="AB3052" t="str">
        <f>HYPERLINK("Melting_Curves/meltCurve_Q04637_3_EIF4G1.pdf", "Melting_Curves/meltCurve_Q04637_3_EIF4G1.pdf")</f>
        <v>Melting_Curves/meltCurve_Q04637_3_EIF4G1.pdf</v>
      </c>
    </row>
    <row r="3053" spans="1:28" x14ac:dyDescent="0.25">
      <c r="A3053" t="s">
        <v>3057</v>
      </c>
      <c r="B3053">
        <v>0.995954080203443</v>
      </c>
      <c r="C3053">
        <v>0.98938390972045698</v>
      </c>
      <c r="D3053">
        <v>0.98939589505631398</v>
      </c>
      <c r="E3053">
        <v>0.739244957895133</v>
      </c>
      <c r="F3053">
        <v>0.431430011502343</v>
      </c>
      <c r="G3053">
        <v>0.30067343667714203</v>
      </c>
      <c r="H3053">
        <v>0.26857197779275999</v>
      </c>
      <c r="I3053">
        <v>0.29511329195515601</v>
      </c>
      <c r="J3053">
        <v>0.36555862154473401</v>
      </c>
      <c r="K3053">
        <v>0.34879852136052802</v>
      </c>
      <c r="L3053">
        <v>1921.6737536010901</v>
      </c>
      <c r="M3053">
        <v>37.926944744681897</v>
      </c>
      <c r="N3053">
        <v>52.029366869095199</v>
      </c>
      <c r="O3053">
        <v>50.527515302591503</v>
      </c>
      <c r="P3053">
        <v>-0.12860345927851899</v>
      </c>
      <c r="Q3053">
        <v>0.31468269161008799</v>
      </c>
      <c r="R3053">
        <v>0.99215358209021498</v>
      </c>
      <c r="S3053" t="s">
        <v>9859</v>
      </c>
      <c r="T3053" t="s">
        <v>13610</v>
      </c>
      <c r="U3053" t="s">
        <v>13610</v>
      </c>
      <c r="V3053" t="s">
        <v>13610</v>
      </c>
      <c r="W3053" t="s">
        <v>16609</v>
      </c>
      <c r="X3053">
        <v>68</v>
      </c>
      <c r="Y3053" t="s">
        <v>20777</v>
      </c>
      <c r="Z3053" t="s">
        <v>29908</v>
      </c>
      <c r="AA3053">
        <v>0.56104844837890866</v>
      </c>
      <c r="AB3053" t="str">
        <f>HYPERLINK("Melting_Curves/meltCurve_Q04637_5_EIF4G1.pdf", "Melting_Curves/meltCurve_Q04637_5_EIF4G1.pdf")</f>
        <v>Melting_Curves/meltCurve_Q04637_5_EIF4G1.pdf</v>
      </c>
    </row>
    <row r="3054" spans="1:28" x14ac:dyDescent="0.25">
      <c r="A3054" t="s">
        <v>3058</v>
      </c>
      <c r="B3054">
        <v>0.995954080203443</v>
      </c>
      <c r="C3054">
        <v>1.05677605186699</v>
      </c>
      <c r="D3054">
        <v>1.1158763806295799</v>
      </c>
      <c r="E3054">
        <v>0.96799501287129897</v>
      </c>
      <c r="F3054">
        <v>0.818678097838206</v>
      </c>
      <c r="G3054">
        <v>0.48876061035166701</v>
      </c>
      <c r="H3054">
        <v>0.32239132190098702</v>
      </c>
      <c r="I3054">
        <v>0.29288771517440498</v>
      </c>
      <c r="J3054">
        <v>0.30290082331030199</v>
      </c>
      <c r="K3054">
        <v>0.28744509764228499</v>
      </c>
      <c r="L3054">
        <v>1614.40981991935</v>
      </c>
      <c r="M3054">
        <v>29.316309053025801</v>
      </c>
      <c r="N3054">
        <v>56.734188121806298</v>
      </c>
      <c r="O3054">
        <v>54.814330777538302</v>
      </c>
      <c r="P3054">
        <v>-9.51265178124613E-2</v>
      </c>
      <c r="Q3054">
        <v>0.28855175062514499</v>
      </c>
      <c r="R3054">
        <v>0.98463100877287302</v>
      </c>
      <c r="S3054" t="s">
        <v>9860</v>
      </c>
      <c r="T3054" t="s">
        <v>13610</v>
      </c>
      <c r="U3054" t="s">
        <v>13610</v>
      </c>
      <c r="V3054" t="s">
        <v>13610</v>
      </c>
      <c r="W3054" t="s">
        <v>16610</v>
      </c>
      <c r="X3054">
        <v>11</v>
      </c>
      <c r="Y3054" t="s">
        <v>23249</v>
      </c>
      <c r="Z3054" t="s">
        <v>29909</v>
      </c>
      <c r="AA3054">
        <v>0.650834739693534</v>
      </c>
      <c r="AB3054" t="str">
        <f>HYPERLINK("Melting_Curves/meltCurve_Q04656_5_ATP7A.pdf", "Melting_Curves/meltCurve_Q04656_5_ATP7A.pdf")</f>
        <v>Melting_Curves/meltCurve_Q04656_5_ATP7A.pdf</v>
      </c>
    </row>
    <row r="3055" spans="1:28" x14ac:dyDescent="0.25">
      <c r="A3055" t="s">
        <v>3059</v>
      </c>
      <c r="B3055">
        <v>0.995954080203443</v>
      </c>
      <c r="C3055">
        <v>1.0430471690635601</v>
      </c>
      <c r="D3055">
        <v>0.75490192598467898</v>
      </c>
      <c r="E3055">
        <v>0.81071886855293196</v>
      </c>
      <c r="F3055">
        <v>0.75948021284459999</v>
      </c>
      <c r="G3055">
        <v>0.5513628273333</v>
      </c>
      <c r="H3055">
        <v>0.43460153685561698</v>
      </c>
      <c r="I3055">
        <v>0.51153026245454203</v>
      </c>
      <c r="J3055">
        <v>0.49872855476976102</v>
      </c>
      <c r="K3055">
        <v>0.55984894134671304</v>
      </c>
      <c r="L3055">
        <v>644.11133758702704</v>
      </c>
      <c r="M3055">
        <v>12.6102906440181</v>
      </c>
      <c r="N3055">
        <v>66.543341011194499</v>
      </c>
      <c r="O3055">
        <v>49.8447857700207</v>
      </c>
      <c r="P3055">
        <v>-3.3317936169936002E-2</v>
      </c>
      <c r="Q3055">
        <v>0.47332049862707098</v>
      </c>
      <c r="R3055">
        <v>0.87545132739217602</v>
      </c>
      <c r="S3055" t="s">
        <v>9861</v>
      </c>
      <c r="T3055" t="s">
        <v>13610</v>
      </c>
      <c r="U3055" t="s">
        <v>13610</v>
      </c>
      <c r="V3055" t="s">
        <v>13610</v>
      </c>
      <c r="W3055" t="s">
        <v>16611</v>
      </c>
      <c r="X3055">
        <v>8</v>
      </c>
      <c r="Y3055" t="s">
        <v>23250</v>
      </c>
      <c r="Z3055" t="s">
        <v>29910</v>
      </c>
      <c r="AA3055">
        <v>0.68372186506432919</v>
      </c>
      <c r="AB3055" t="str">
        <f>HYPERLINK("Melting_Curves/meltCurve_Q04725_TLE2.pdf", "Melting_Curves/meltCurve_Q04725_TLE2.pdf")</f>
        <v>Melting_Curves/meltCurve_Q04725_TLE2.pdf</v>
      </c>
    </row>
    <row r="3056" spans="1:28" x14ac:dyDescent="0.25">
      <c r="A3056" t="s">
        <v>3060</v>
      </c>
      <c r="B3056">
        <v>0.995954080203443</v>
      </c>
      <c r="C3056">
        <v>0.90097564145984799</v>
      </c>
      <c r="D3056">
        <v>0.84542975035846601</v>
      </c>
      <c r="E3056">
        <v>0.44873303083051402</v>
      </c>
      <c r="F3056">
        <v>0.21518725934486599</v>
      </c>
      <c r="G3056">
        <v>0.11108583734875099</v>
      </c>
      <c r="H3056">
        <v>8.3758420441121001E-2</v>
      </c>
      <c r="I3056">
        <v>8.6306755946909702E-2</v>
      </c>
      <c r="J3056">
        <v>0.100167906629533</v>
      </c>
      <c r="K3056">
        <v>9.8869573354102694E-2</v>
      </c>
      <c r="L3056">
        <v>1095.9205436447201</v>
      </c>
      <c r="M3056">
        <v>22.363445779670101</v>
      </c>
      <c r="N3056">
        <v>49.4098622390716</v>
      </c>
      <c r="O3056">
        <v>48.618197855734998</v>
      </c>
      <c r="P3056">
        <v>-0.105370191988043</v>
      </c>
      <c r="Q3056">
        <v>8.37187293675066E-2</v>
      </c>
      <c r="R3056">
        <v>0.99610677339609299</v>
      </c>
      <c r="S3056" t="s">
        <v>9862</v>
      </c>
      <c r="T3056" t="s">
        <v>13610</v>
      </c>
      <c r="U3056" t="s">
        <v>13610</v>
      </c>
      <c r="V3056" t="s">
        <v>13610</v>
      </c>
      <c r="W3056" t="s">
        <v>16612</v>
      </c>
      <c r="X3056">
        <v>29</v>
      </c>
      <c r="Y3056" t="s">
        <v>23251</v>
      </c>
      <c r="Z3056" t="s">
        <v>29911</v>
      </c>
      <c r="AA3056">
        <v>0.36896924829857108</v>
      </c>
      <c r="AB3056" t="str">
        <f>HYPERLINK("Melting_Curves/meltCurve_Q04759_PRKCQ.pdf", "Melting_Curves/meltCurve_Q04759_PRKCQ.pdf")</f>
        <v>Melting_Curves/meltCurve_Q04759_PRKCQ.pdf</v>
      </c>
    </row>
    <row r="3057" spans="1:28" x14ac:dyDescent="0.25">
      <c r="A3057" t="s">
        <v>3061</v>
      </c>
      <c r="B3057">
        <v>0.995954080203443</v>
      </c>
      <c r="C3057">
        <v>1.09545952173646</v>
      </c>
      <c r="D3057">
        <v>1.1629414471250901</v>
      </c>
      <c r="E3057">
        <v>1.0166441666146799</v>
      </c>
      <c r="F3057">
        <v>0.97108612446620202</v>
      </c>
      <c r="G3057">
        <v>0.63199550936821203</v>
      </c>
      <c r="H3057">
        <v>0.27552704380862097</v>
      </c>
      <c r="I3057">
        <v>0.17560069296377501</v>
      </c>
      <c r="J3057">
        <v>0.13761485661145401</v>
      </c>
      <c r="K3057">
        <v>9.5371937763787898E-2</v>
      </c>
      <c r="L3057">
        <v>1742.60631098927</v>
      </c>
      <c r="M3057">
        <v>30.158759820252602</v>
      </c>
      <c r="N3057">
        <v>58.292076600557898</v>
      </c>
      <c r="O3057">
        <v>57.528840575263203</v>
      </c>
      <c r="P3057">
        <v>-0.115837424422277</v>
      </c>
      <c r="Q3057">
        <v>0.116150663716955</v>
      </c>
      <c r="R3057">
        <v>0.978136552133402</v>
      </c>
      <c r="S3057" t="s">
        <v>9863</v>
      </c>
      <c r="T3057" t="s">
        <v>13610</v>
      </c>
      <c r="U3057" t="s">
        <v>13610</v>
      </c>
      <c r="V3057" t="s">
        <v>13610</v>
      </c>
      <c r="W3057" t="s">
        <v>16613</v>
      </c>
      <c r="X3057">
        <v>13</v>
      </c>
      <c r="Y3057" t="s">
        <v>23252</v>
      </c>
      <c r="Z3057" t="s">
        <v>29912</v>
      </c>
      <c r="AA3057">
        <v>0.6457986952934025</v>
      </c>
      <c r="AB3057" t="str">
        <f>HYPERLINK("Melting_Curves/meltCurve_Q04760_GLO1.pdf", "Melting_Curves/meltCurve_Q04760_GLO1.pdf")</f>
        <v>Melting_Curves/meltCurve_Q04760_GLO1.pdf</v>
      </c>
    </row>
    <row r="3058" spans="1:28" x14ac:dyDescent="0.25">
      <c r="A3058" t="s">
        <v>3062</v>
      </c>
      <c r="B3058">
        <v>0.995954080203443</v>
      </c>
      <c r="C3058">
        <v>0.92398335105680096</v>
      </c>
      <c r="D3058">
        <v>0.76107519412004898</v>
      </c>
      <c r="E3058">
        <v>0.35060916748827797</v>
      </c>
      <c r="F3058">
        <v>0.211827686519828</v>
      </c>
      <c r="G3058">
        <v>0.13333139882334599</v>
      </c>
      <c r="H3058">
        <v>0.102318541492276</v>
      </c>
      <c r="I3058">
        <v>9.8420966230172102E-2</v>
      </c>
      <c r="J3058">
        <v>0.10907232698614901</v>
      </c>
      <c r="K3058">
        <v>0.102495058957428</v>
      </c>
      <c r="L3058">
        <v>1058.4278190032301</v>
      </c>
      <c r="M3058">
        <v>22.058127297136998</v>
      </c>
      <c r="N3058">
        <v>48.4828551335847</v>
      </c>
      <c r="O3058">
        <v>47.594436156332002</v>
      </c>
      <c r="P3058">
        <v>-0.104095706295438</v>
      </c>
      <c r="Q3058">
        <v>0.10159809828902799</v>
      </c>
      <c r="R3058">
        <v>0.99931433457585395</v>
      </c>
      <c r="S3058" t="s">
        <v>9864</v>
      </c>
      <c r="T3058" t="s">
        <v>13610</v>
      </c>
      <c r="U3058" t="s">
        <v>13610</v>
      </c>
      <c r="V3058" t="s">
        <v>13610</v>
      </c>
      <c r="W3058" t="s">
        <v>16614</v>
      </c>
      <c r="X3058">
        <v>15</v>
      </c>
      <c r="Y3058" t="s">
        <v>23253</v>
      </c>
      <c r="Z3058" t="s">
        <v>29913</v>
      </c>
      <c r="AA3058">
        <v>0.35104828372665148</v>
      </c>
      <c r="AB3058" t="str">
        <f>HYPERLINK("Melting_Curves/meltCurve_Q04828_AKR1C1.pdf", "Melting_Curves/meltCurve_Q04828_AKR1C1.pdf")</f>
        <v>Melting_Curves/meltCurve_Q04828_AKR1C1.pdf</v>
      </c>
    </row>
    <row r="3059" spans="1:28" x14ac:dyDescent="0.25">
      <c r="A3059" t="s">
        <v>3063</v>
      </c>
      <c r="B3059">
        <v>0.995954080203443</v>
      </c>
      <c r="C3059">
        <v>1.0387314498250899</v>
      </c>
      <c r="D3059">
        <v>1.00341087252051</v>
      </c>
      <c r="E3059">
        <v>0.93033277814318505</v>
      </c>
      <c r="F3059">
        <v>0.79526714635335205</v>
      </c>
      <c r="G3059">
        <v>0.58802095146684796</v>
      </c>
      <c r="H3059">
        <v>0.513789071839027</v>
      </c>
      <c r="I3059">
        <v>0.53918624830012896</v>
      </c>
      <c r="J3059">
        <v>0.65103953823857297</v>
      </c>
      <c r="K3059">
        <v>0.52809206315198698</v>
      </c>
      <c r="L3059">
        <v>1788.9978451757499</v>
      </c>
      <c r="M3059">
        <v>33.708552473714199</v>
      </c>
      <c r="O3059">
        <v>52.886778206399299</v>
      </c>
      <c r="P3059">
        <v>-7.0809587275114494E-2</v>
      </c>
      <c r="Q3059">
        <v>0.55561715715164095</v>
      </c>
      <c r="R3059">
        <v>0.96604049787023905</v>
      </c>
      <c r="S3059" t="s">
        <v>9865</v>
      </c>
      <c r="T3059" t="s">
        <v>13610</v>
      </c>
      <c r="U3059" t="s">
        <v>13610</v>
      </c>
      <c r="V3059" t="s">
        <v>13610</v>
      </c>
      <c r="W3059" t="s">
        <v>16615</v>
      </c>
      <c r="X3059">
        <v>11</v>
      </c>
      <c r="Y3059" t="s">
        <v>23254</v>
      </c>
      <c r="Z3059" t="s">
        <v>29914</v>
      </c>
      <c r="AA3059">
        <v>0.75154940192950781</v>
      </c>
      <c r="AB3059" t="str">
        <f>HYPERLINK("Melting_Curves/meltCurve_Q04837_SSBP1.pdf", "Melting_Curves/meltCurve_Q04837_SSBP1.pdf")</f>
        <v>Melting_Curves/meltCurve_Q04837_SSBP1.pdf</v>
      </c>
    </row>
    <row r="3060" spans="1:28" x14ac:dyDescent="0.25">
      <c r="A3060" t="s">
        <v>3064</v>
      </c>
      <c r="B3060">
        <v>0.995954080203443</v>
      </c>
      <c r="C3060">
        <v>1.0411968550173201</v>
      </c>
      <c r="D3060">
        <v>1.14787289418806</v>
      </c>
      <c r="E3060">
        <v>0.95428083106878303</v>
      </c>
      <c r="F3060">
        <v>0.73441017054861102</v>
      </c>
      <c r="G3060">
        <v>0.29133492875068501</v>
      </c>
      <c r="H3060">
        <v>0.115471673878667</v>
      </c>
      <c r="I3060">
        <v>7.9417181883501206E-2</v>
      </c>
      <c r="J3060">
        <v>8.3581498160599801E-2</v>
      </c>
      <c r="K3060">
        <v>7.6354736218836997E-2</v>
      </c>
      <c r="L3060">
        <v>1665.33482256048</v>
      </c>
      <c r="M3060">
        <v>30.458310310774198</v>
      </c>
      <c r="N3060">
        <v>54.975409408729199</v>
      </c>
      <c r="O3060">
        <v>54.441811730984597</v>
      </c>
      <c r="P3060">
        <v>-0.12917346996627299</v>
      </c>
      <c r="Q3060">
        <v>7.6456382421995497E-2</v>
      </c>
      <c r="R3060">
        <v>0.98706851878136803</v>
      </c>
      <c r="S3060" t="s">
        <v>9866</v>
      </c>
      <c r="T3060" t="s">
        <v>13610</v>
      </c>
      <c r="U3060" t="s">
        <v>13610</v>
      </c>
      <c r="V3060" t="s">
        <v>13610</v>
      </c>
      <c r="W3060" t="s">
        <v>16616</v>
      </c>
      <c r="X3060">
        <v>18</v>
      </c>
      <c r="Y3060" t="s">
        <v>23255</v>
      </c>
      <c r="Z3060" t="s">
        <v>29915</v>
      </c>
      <c r="AA3060">
        <v>0.53418535284485269</v>
      </c>
      <c r="AB3060" t="str">
        <f>HYPERLINK("Melting_Curves/meltCurve_Q04917_YWHAH.pdf", "Melting_Curves/meltCurve_Q04917_YWHAH.pdf")</f>
        <v>Melting_Curves/meltCurve_Q04917_YWHAH.pdf</v>
      </c>
    </row>
    <row r="3061" spans="1:28" x14ac:dyDescent="0.25">
      <c r="A3061" t="s">
        <v>3065</v>
      </c>
      <c r="B3061">
        <v>0.995954080203443</v>
      </c>
      <c r="C3061">
        <v>0.77978051254742298</v>
      </c>
      <c r="D3061">
        <v>0.68688156777890297</v>
      </c>
      <c r="E3061">
        <v>0.72428270942762196</v>
      </c>
      <c r="F3061">
        <v>0.50118609402522896</v>
      </c>
      <c r="G3061">
        <v>0.30473332065824199</v>
      </c>
      <c r="H3061">
        <v>0.15088400389606799</v>
      </c>
      <c r="I3061">
        <v>8.3331623571238397E-2</v>
      </c>
      <c r="J3061">
        <v>6.9720306825207301E-2</v>
      </c>
      <c r="K3061">
        <v>6.5556250648908396E-2</v>
      </c>
      <c r="L3061">
        <v>511.91184337132802</v>
      </c>
      <c r="M3061">
        <v>9.8300997563484103</v>
      </c>
      <c r="N3061">
        <v>52.075949992463499</v>
      </c>
      <c r="O3061">
        <v>50.058102350242201</v>
      </c>
      <c r="P3061">
        <v>-4.9118930986076302E-2</v>
      </c>
      <c r="Q3061">
        <v>0</v>
      </c>
      <c r="R3061">
        <v>0.95622708288343505</v>
      </c>
      <c r="S3061" t="s">
        <v>9867</v>
      </c>
      <c r="T3061" t="s">
        <v>13610</v>
      </c>
      <c r="U3061" t="s">
        <v>13610</v>
      </c>
      <c r="V3061" t="s">
        <v>13610</v>
      </c>
      <c r="W3061" t="s">
        <v>16617</v>
      </c>
      <c r="X3061">
        <v>16</v>
      </c>
      <c r="Y3061" t="s">
        <v>23256</v>
      </c>
      <c r="Z3061" t="s">
        <v>29916</v>
      </c>
      <c r="AA3061">
        <v>0.44091047253243232</v>
      </c>
      <c r="AB3061" t="str">
        <f>HYPERLINK("Melting_Curves/meltCurve_Q05048_CSTF1.pdf", "Melting_Curves/meltCurve_Q05048_CSTF1.pdf")</f>
        <v>Melting_Curves/meltCurve_Q05048_CSTF1.pdf</v>
      </c>
    </row>
    <row r="3062" spans="1:28" x14ac:dyDescent="0.25">
      <c r="A3062" t="s">
        <v>3066</v>
      </c>
      <c r="B3062">
        <v>0.995954080203443</v>
      </c>
      <c r="C3062">
        <v>0.872110758692482</v>
      </c>
      <c r="D3062">
        <v>0.87845550114694704</v>
      </c>
      <c r="E3062">
        <v>0.72715193569792902</v>
      </c>
      <c r="F3062">
        <v>0.51748862785218797</v>
      </c>
      <c r="G3062">
        <v>0.18330918370671301</v>
      </c>
      <c r="H3062">
        <v>8.8746119936207707E-2</v>
      </c>
      <c r="I3062">
        <v>7.5547835022415799E-2</v>
      </c>
      <c r="J3062">
        <v>8.4453718221015994E-2</v>
      </c>
      <c r="K3062">
        <v>7.1719952071110593E-2</v>
      </c>
      <c r="L3062">
        <v>877.48197087088602</v>
      </c>
      <c r="M3062">
        <v>16.7323907950666</v>
      </c>
      <c r="N3062">
        <v>52.666381929027501</v>
      </c>
      <c r="O3062">
        <v>51.710235617478098</v>
      </c>
      <c r="P3062">
        <v>-7.8118240578993595E-2</v>
      </c>
      <c r="Q3062">
        <v>3.4388581421217701E-2</v>
      </c>
      <c r="R3062">
        <v>0.98564630270030695</v>
      </c>
      <c r="S3062" t="s">
        <v>9868</v>
      </c>
      <c r="T3062" t="s">
        <v>13610</v>
      </c>
      <c r="U3062" t="s">
        <v>13610</v>
      </c>
      <c r="V3062" t="s">
        <v>13610</v>
      </c>
      <c r="W3062" t="s">
        <v>16618</v>
      </c>
      <c r="X3062">
        <v>32</v>
      </c>
      <c r="Y3062" t="s">
        <v>23257</v>
      </c>
      <c r="Z3062" t="s">
        <v>29917</v>
      </c>
      <c r="AA3062">
        <v>0.45283873389817092</v>
      </c>
      <c r="AB3062" t="str">
        <f>HYPERLINK("Melting_Curves/meltCurve_Q05086_3_UBE3A.pdf", "Melting_Curves/meltCurve_Q05086_3_UBE3A.pdf")</f>
        <v>Melting_Curves/meltCurve_Q05086_3_UBE3A.pdf</v>
      </c>
    </row>
    <row r="3063" spans="1:28" x14ac:dyDescent="0.25">
      <c r="A3063" t="s">
        <v>3067</v>
      </c>
      <c r="B3063">
        <v>0.995954080203443</v>
      </c>
      <c r="C3063">
        <v>0.670740818128987</v>
      </c>
      <c r="D3063">
        <v>0.50404209942290001</v>
      </c>
      <c r="E3063">
        <v>0.32325293520482501</v>
      </c>
      <c r="F3063">
        <v>0.140392369814822</v>
      </c>
      <c r="G3063">
        <v>7.3901796654190194E-2</v>
      </c>
      <c r="H3063">
        <v>4.9106572938877602E-2</v>
      </c>
      <c r="I3063">
        <v>4.2876194476216302E-2</v>
      </c>
      <c r="J3063">
        <v>4.4717918544711598E-2</v>
      </c>
      <c r="K3063">
        <v>4.9070163444926401E-2</v>
      </c>
      <c r="L3063">
        <v>655.50888483920198</v>
      </c>
      <c r="M3063">
        <v>14.2539862543093</v>
      </c>
      <c r="N3063">
        <v>46.193248378821302</v>
      </c>
      <c r="O3063">
        <v>45.110999809684799</v>
      </c>
      <c r="P3063">
        <v>-7.6576695603775599E-2</v>
      </c>
      <c r="Q3063">
        <v>3.0719983880436799E-2</v>
      </c>
      <c r="R3063">
        <v>0.98050870101816001</v>
      </c>
      <c r="S3063" t="s">
        <v>9869</v>
      </c>
      <c r="T3063" t="s">
        <v>13610</v>
      </c>
      <c r="U3063" t="s">
        <v>13610</v>
      </c>
      <c r="V3063" t="s">
        <v>13610</v>
      </c>
      <c r="W3063" t="s">
        <v>16619</v>
      </c>
      <c r="X3063">
        <v>16</v>
      </c>
      <c r="Y3063" t="s">
        <v>23258</v>
      </c>
      <c r="Z3063" t="s">
        <v>29918</v>
      </c>
      <c r="AA3063">
        <v>0.2556881944243628</v>
      </c>
      <c r="AB3063" t="str">
        <f>HYPERLINK("Melting_Curves/meltCurve_Q05193_DNM1.pdf", "Melting_Curves/meltCurve_Q05193_DNM1.pdf")</f>
        <v>Melting_Curves/meltCurve_Q05193_DNM1.pdf</v>
      </c>
    </row>
    <row r="3064" spans="1:28" x14ac:dyDescent="0.25">
      <c r="A3064" t="s">
        <v>3068</v>
      </c>
      <c r="B3064">
        <v>0.995954080203443</v>
      </c>
      <c r="C3064">
        <v>0.99614903296278701</v>
      </c>
      <c r="D3064">
        <v>0.998798114511249</v>
      </c>
      <c r="E3064">
        <v>0.72330182903940199</v>
      </c>
      <c r="F3064">
        <v>0.47123976249355398</v>
      </c>
      <c r="G3064">
        <v>0.366429387446292</v>
      </c>
      <c r="H3064">
        <v>0.331408525031194</v>
      </c>
      <c r="I3064">
        <v>0.40246136948369499</v>
      </c>
      <c r="J3064">
        <v>0.436344205342936</v>
      </c>
      <c r="K3064">
        <v>0.458613140272291</v>
      </c>
      <c r="L3064">
        <v>2104.2618613842601</v>
      </c>
      <c r="M3064">
        <v>41.9033005163691</v>
      </c>
      <c r="N3064">
        <v>52.222344593120702</v>
      </c>
      <c r="O3064">
        <v>50.1031268246075</v>
      </c>
      <c r="P3064">
        <v>-0.125460151287065</v>
      </c>
      <c r="Q3064">
        <v>0.39995800467363102</v>
      </c>
      <c r="R3064">
        <v>0.98425928083719205</v>
      </c>
      <c r="S3064" t="s">
        <v>9870</v>
      </c>
      <c r="T3064" t="s">
        <v>13610</v>
      </c>
      <c r="U3064" t="s">
        <v>13610</v>
      </c>
      <c r="V3064" t="s">
        <v>13610</v>
      </c>
      <c r="W3064" t="s">
        <v>16620</v>
      </c>
      <c r="X3064">
        <v>36</v>
      </c>
      <c r="Y3064" t="s">
        <v>23259</v>
      </c>
      <c r="Z3064" t="s">
        <v>29919</v>
      </c>
      <c r="AA3064">
        <v>0.60621106963195692</v>
      </c>
      <c r="AB3064" t="str">
        <f>HYPERLINK("Melting_Curves/meltCurve_Q05209_PTPN12.pdf", "Melting_Curves/meltCurve_Q05209_PTPN12.pdf")</f>
        <v>Melting_Curves/meltCurve_Q05209_PTPN12.pdf</v>
      </c>
    </row>
    <row r="3065" spans="1:28" x14ac:dyDescent="0.25">
      <c r="A3065" t="s">
        <v>3069</v>
      </c>
      <c r="B3065">
        <v>0.995954080203443</v>
      </c>
      <c r="C3065">
        <v>0.99768477925768395</v>
      </c>
      <c r="D3065">
        <v>0.75871482365042198</v>
      </c>
      <c r="E3065">
        <v>0.59995000905194296</v>
      </c>
      <c r="F3065">
        <v>0.30157683705680499</v>
      </c>
      <c r="G3065">
        <v>0.111617597454264</v>
      </c>
      <c r="H3065">
        <v>5.2423520454019698E-2</v>
      </c>
      <c r="I3065">
        <v>2.67283973857445E-2</v>
      </c>
      <c r="J3065">
        <v>3.1128150136590101E-2</v>
      </c>
      <c r="K3065">
        <v>8.1443387872302906E-3</v>
      </c>
      <c r="L3065">
        <v>832.39535174108596</v>
      </c>
      <c r="M3065">
        <v>16.473457897263199</v>
      </c>
      <c r="N3065">
        <v>50.529478562765298</v>
      </c>
      <c r="O3065">
        <v>49.802492839482703</v>
      </c>
      <c r="P3065">
        <v>-8.2699735642485006E-2</v>
      </c>
      <c r="Q3065">
        <v>0</v>
      </c>
      <c r="R3065">
        <v>0.99186807038249902</v>
      </c>
      <c r="S3065" t="s">
        <v>9871</v>
      </c>
      <c r="T3065" t="s">
        <v>13610</v>
      </c>
      <c r="U3065" t="s">
        <v>13610</v>
      </c>
      <c r="V3065" t="s">
        <v>13610</v>
      </c>
      <c r="W3065" t="s">
        <v>16621</v>
      </c>
      <c r="X3065">
        <v>4</v>
      </c>
      <c r="Y3065" t="s">
        <v>23260</v>
      </c>
      <c r="Z3065" t="s">
        <v>29920</v>
      </c>
      <c r="AA3065">
        <v>0.37088742798872248</v>
      </c>
      <c r="AB3065" t="str">
        <f>HYPERLINK("Melting_Curves/meltCurve_Q05513_PRKCZ.pdf", "Melting_Curves/meltCurve_Q05513_PRKCZ.pdf")</f>
        <v>Melting_Curves/meltCurve_Q05513_PRKCZ.pdf</v>
      </c>
    </row>
    <row r="3066" spans="1:28" x14ac:dyDescent="0.25">
      <c r="A3066" t="s">
        <v>3070</v>
      </c>
      <c r="B3066">
        <v>0.995954080203443</v>
      </c>
      <c r="C3066">
        <v>0.94698119859629104</v>
      </c>
      <c r="D3066">
        <v>0.99266917209265604</v>
      </c>
      <c r="E3066">
        <v>0.81519015714710297</v>
      </c>
      <c r="F3066">
        <v>0.66954637693108798</v>
      </c>
      <c r="G3066">
        <v>0.38924281994473398</v>
      </c>
      <c r="H3066">
        <v>0.28814462240351801</v>
      </c>
      <c r="I3066">
        <v>0.28800944528654099</v>
      </c>
      <c r="J3066">
        <v>0.40517519347596598</v>
      </c>
      <c r="K3066">
        <v>0.34617292357467899</v>
      </c>
      <c r="L3066">
        <v>1304.8250983573801</v>
      </c>
      <c r="M3066">
        <v>24.8180683484578</v>
      </c>
      <c r="N3066">
        <v>54.8741918406607</v>
      </c>
      <c r="O3066">
        <v>52.237840587454002</v>
      </c>
      <c r="P3066">
        <v>-8.03876870660514E-2</v>
      </c>
      <c r="Q3066">
        <v>0.323199568574222</v>
      </c>
      <c r="R3066">
        <v>0.97819646528638104</v>
      </c>
      <c r="S3066" t="s">
        <v>9872</v>
      </c>
      <c r="T3066" t="s">
        <v>13610</v>
      </c>
      <c r="U3066" t="s">
        <v>13610</v>
      </c>
      <c r="V3066" t="s">
        <v>13610</v>
      </c>
      <c r="W3066" t="s">
        <v>16622</v>
      </c>
      <c r="X3066">
        <v>13</v>
      </c>
      <c r="Y3066" t="s">
        <v>23261</v>
      </c>
      <c r="Z3066" t="s">
        <v>29921</v>
      </c>
      <c r="AA3066">
        <v>0.61320315706226958</v>
      </c>
      <c r="AB3066" t="str">
        <f>HYPERLINK("Melting_Curves/meltCurve_Q05519_2_SRSF11.pdf", "Melting_Curves/meltCurve_Q05519_2_SRSF11.pdf")</f>
        <v>Melting_Curves/meltCurve_Q05519_2_SRSF11.pdf</v>
      </c>
    </row>
    <row r="3067" spans="1:28" x14ac:dyDescent="0.25">
      <c r="A3067" t="s">
        <v>3071</v>
      </c>
      <c r="B3067">
        <v>0.995954080203443</v>
      </c>
      <c r="C3067">
        <v>0.92164914120982599</v>
      </c>
      <c r="D3067">
        <v>0.802413106938484</v>
      </c>
      <c r="E3067">
        <v>0.71430516216582696</v>
      </c>
      <c r="F3067">
        <v>0.403134021071899</v>
      </c>
      <c r="G3067">
        <v>0.24474693456612301</v>
      </c>
      <c r="H3067">
        <v>6.8945112321754695E-2</v>
      </c>
      <c r="I3067">
        <v>5.93912450758824E-2</v>
      </c>
      <c r="J3067">
        <v>4.0187800860565497E-2</v>
      </c>
      <c r="K3067">
        <v>3.8846998283385899E-2</v>
      </c>
      <c r="L3067">
        <v>733.21997028176497</v>
      </c>
      <c r="M3067">
        <v>14.0947777577491</v>
      </c>
      <c r="N3067">
        <v>52.020668365193302</v>
      </c>
      <c r="O3067">
        <v>51.007110323210199</v>
      </c>
      <c r="P3067">
        <v>-6.9091320370144205E-2</v>
      </c>
      <c r="Q3067">
        <v>0</v>
      </c>
      <c r="R3067">
        <v>0.98997748169384403</v>
      </c>
      <c r="S3067" t="s">
        <v>9873</v>
      </c>
      <c r="T3067" t="s">
        <v>13610</v>
      </c>
      <c r="U3067" t="s">
        <v>13610</v>
      </c>
      <c r="V3067" t="s">
        <v>13610</v>
      </c>
      <c r="W3067" t="s">
        <v>16623</v>
      </c>
      <c r="X3067">
        <v>17</v>
      </c>
      <c r="Y3067" t="s">
        <v>23262</v>
      </c>
      <c r="Z3067" t="s">
        <v>29922</v>
      </c>
      <c r="AA3067">
        <v>0.42520446752632829</v>
      </c>
      <c r="AB3067" t="str">
        <f>HYPERLINK("Melting_Curves/meltCurve_Q05639_EEF1A2.pdf", "Melting_Curves/meltCurve_Q05639_EEF1A2.pdf")</f>
        <v>Melting_Curves/meltCurve_Q05639_EEF1A2.pdf</v>
      </c>
    </row>
    <row r="3068" spans="1:28" x14ac:dyDescent="0.25">
      <c r="A3068" t="s">
        <v>3072</v>
      </c>
      <c r="B3068">
        <v>0.995954080203443</v>
      </c>
      <c r="C3068">
        <v>0.98092302302683698</v>
      </c>
      <c r="D3068">
        <v>0.904116901969512</v>
      </c>
      <c r="E3068">
        <v>0.75492590790608205</v>
      </c>
      <c r="F3068">
        <v>0.349683404525856</v>
      </c>
      <c r="G3068">
        <v>0.110615614899542</v>
      </c>
      <c r="H3068">
        <v>8.2218565524046994E-2</v>
      </c>
      <c r="I3068">
        <v>8.7882307917206595E-2</v>
      </c>
      <c r="J3068">
        <v>9.3182154559866406E-2</v>
      </c>
      <c r="K3068">
        <v>8.3326198201642401E-2</v>
      </c>
      <c r="L3068">
        <v>1557.18440988064</v>
      </c>
      <c r="M3068">
        <v>30.231799959993602</v>
      </c>
      <c r="N3068">
        <v>51.805642384082397</v>
      </c>
      <c r="O3068">
        <v>51.284363202032502</v>
      </c>
      <c r="P3068">
        <v>-0.13563107882345099</v>
      </c>
      <c r="Q3068">
        <v>7.9683039465704403E-2</v>
      </c>
      <c r="R3068">
        <v>0.99585197066032505</v>
      </c>
      <c r="S3068" t="s">
        <v>9874</v>
      </c>
      <c r="T3068" t="s">
        <v>13610</v>
      </c>
      <c r="U3068" t="s">
        <v>13610</v>
      </c>
      <c r="V3068" t="s">
        <v>13610</v>
      </c>
      <c r="W3068" t="s">
        <v>16624</v>
      </c>
      <c r="X3068">
        <v>21</v>
      </c>
      <c r="Y3068" t="s">
        <v>23263</v>
      </c>
      <c r="Z3068" t="s">
        <v>29923</v>
      </c>
      <c r="AA3068">
        <v>0.43846720601521799</v>
      </c>
      <c r="AB3068" t="str">
        <f>HYPERLINK("Melting_Curves/meltCurve_Q05655_PRKCD.pdf", "Melting_Curves/meltCurve_Q05655_PRKCD.pdf")</f>
        <v>Melting_Curves/meltCurve_Q05655_PRKCD.pdf</v>
      </c>
    </row>
    <row r="3069" spans="1:28" x14ac:dyDescent="0.25">
      <c r="A3069" t="s">
        <v>3073</v>
      </c>
      <c r="B3069">
        <v>0.995954080203443</v>
      </c>
      <c r="C3069">
        <v>0.947577420714387</v>
      </c>
      <c r="D3069">
        <v>1.25885534062027</v>
      </c>
      <c r="E3069">
        <v>0.95867308676565699</v>
      </c>
      <c r="F3069">
        <v>1.29034965213417</v>
      </c>
      <c r="G3069">
        <v>1.0932132111301001</v>
      </c>
      <c r="H3069">
        <v>1.1205354751051699</v>
      </c>
      <c r="I3069">
        <v>1.42050942961694</v>
      </c>
      <c r="J3069">
        <v>1.6029081861446901</v>
      </c>
      <c r="K3069">
        <v>1.64053308214736</v>
      </c>
      <c r="L3069">
        <v>3996.1782619931701</v>
      </c>
      <c r="M3069">
        <v>64.345394904424595</v>
      </c>
      <c r="O3069">
        <v>62.0452130422835</v>
      </c>
      <c r="P3069">
        <v>0.129634124376135</v>
      </c>
      <c r="Q3069">
        <v>1.5</v>
      </c>
      <c r="R3069">
        <v>0.66654654303421101</v>
      </c>
      <c r="S3069" t="s">
        <v>9875</v>
      </c>
      <c r="T3069" t="s">
        <v>13610</v>
      </c>
      <c r="U3069" t="s">
        <v>13610</v>
      </c>
      <c r="V3069" t="s">
        <v>13610</v>
      </c>
      <c r="W3069" t="s">
        <v>16625</v>
      </c>
      <c r="X3069">
        <v>12</v>
      </c>
      <c r="Y3069" t="s">
        <v>23264</v>
      </c>
      <c r="Z3069" t="s">
        <v>29924</v>
      </c>
      <c r="AA3069">
        <v>1.1307710909825071</v>
      </c>
      <c r="AB3069" t="str">
        <f>HYPERLINK("Melting_Curves/meltCurve_Q05682_5_CALD1.pdf", "Melting_Curves/meltCurve_Q05682_5_CALD1.pdf")</f>
        <v>Melting_Curves/meltCurve_Q05682_5_CALD1.pdf</v>
      </c>
    </row>
    <row r="3070" spans="1:28" x14ac:dyDescent="0.25">
      <c r="A3070" t="s">
        <v>3074</v>
      </c>
      <c r="B3070">
        <v>0.995954080203443</v>
      </c>
      <c r="C3070">
        <v>0.733284678818382</v>
      </c>
      <c r="D3070">
        <v>0.65436035495589495</v>
      </c>
      <c r="E3070">
        <v>0.446776219008438</v>
      </c>
      <c r="F3070">
        <v>0.399733824841489</v>
      </c>
      <c r="G3070">
        <v>0.28775085611001</v>
      </c>
      <c r="H3070">
        <v>0.23511138804175299</v>
      </c>
      <c r="I3070">
        <v>0.309789054872115</v>
      </c>
      <c r="J3070">
        <v>0.37418397153499999</v>
      </c>
      <c r="K3070">
        <v>0.36625427275544398</v>
      </c>
      <c r="L3070">
        <v>732.069565529795</v>
      </c>
      <c r="M3070">
        <v>16.1229547820978</v>
      </c>
      <c r="N3070">
        <v>48.342105738888101</v>
      </c>
      <c r="O3070">
        <v>44.7241469520851</v>
      </c>
      <c r="P3070">
        <v>-6.1988890946284798E-2</v>
      </c>
      <c r="Q3070">
        <v>0.31223790794228301</v>
      </c>
      <c r="R3070">
        <v>0.94606019185843204</v>
      </c>
      <c r="S3070" t="s">
        <v>9876</v>
      </c>
      <c r="T3070" t="s">
        <v>13610</v>
      </c>
      <c r="U3070" t="s">
        <v>13610</v>
      </c>
      <c r="V3070" t="s">
        <v>13610</v>
      </c>
      <c r="W3070" t="s">
        <v>16626</v>
      </c>
      <c r="X3070">
        <v>5</v>
      </c>
      <c r="Y3070" t="s">
        <v>23265</v>
      </c>
      <c r="Z3070" t="s">
        <v>29925</v>
      </c>
      <c r="AA3070">
        <v>0.45431376501151338</v>
      </c>
      <c r="AB3070" t="str">
        <f>HYPERLINK("Melting_Curves/meltCurve_Q05823_RNASEL.pdf", "Melting_Curves/meltCurve_Q05823_RNASEL.pdf")</f>
        <v>Melting_Curves/meltCurve_Q05823_RNASEL.pdf</v>
      </c>
    </row>
    <row r="3071" spans="1:28" x14ac:dyDescent="0.25">
      <c r="A3071" t="s">
        <v>3075</v>
      </c>
      <c r="B3071">
        <v>0.995954080203443</v>
      </c>
      <c r="C3071">
        <v>0.98976289533843498</v>
      </c>
      <c r="D3071">
        <v>0.95743812451999499</v>
      </c>
      <c r="E3071">
        <v>0.64771198958443399</v>
      </c>
      <c r="F3071">
        <v>0.41285223349178202</v>
      </c>
      <c r="G3071">
        <v>0.32351048221763501</v>
      </c>
      <c r="H3071">
        <v>0.28487945624862698</v>
      </c>
      <c r="I3071">
        <v>0.36269464261026302</v>
      </c>
      <c r="J3071">
        <v>0.40447728896833901</v>
      </c>
      <c r="K3071">
        <v>0.41277210635378397</v>
      </c>
      <c r="L3071">
        <v>1867.1410327956701</v>
      </c>
      <c r="M3071">
        <v>37.5602218597814</v>
      </c>
      <c r="N3071">
        <v>51.421631071585999</v>
      </c>
      <c r="O3071">
        <v>49.570317481477502</v>
      </c>
      <c r="P3071">
        <v>-0.12185655787697799</v>
      </c>
      <c r="Q3071">
        <v>0.35671821585956898</v>
      </c>
      <c r="R3071">
        <v>0.98392644077039204</v>
      </c>
      <c r="S3071" t="s">
        <v>9877</v>
      </c>
      <c r="T3071" t="s">
        <v>13610</v>
      </c>
      <c r="U3071" t="s">
        <v>13610</v>
      </c>
      <c r="V3071" t="s">
        <v>13610</v>
      </c>
      <c r="W3071" t="s">
        <v>16627</v>
      </c>
      <c r="X3071">
        <v>10</v>
      </c>
      <c r="Y3071" t="s">
        <v>23266</v>
      </c>
      <c r="Z3071" t="s">
        <v>29926</v>
      </c>
      <c r="AA3071">
        <v>0.56745128997829897</v>
      </c>
      <c r="AB3071" t="str">
        <f>HYPERLINK("Melting_Curves/meltCurve_Q05BQ5_MBTD1.pdf", "Melting_Curves/meltCurve_Q05BQ5_MBTD1.pdf")</f>
        <v>Melting_Curves/meltCurve_Q05BQ5_MBTD1.pdf</v>
      </c>
    </row>
    <row r="3072" spans="1:28" x14ac:dyDescent="0.25">
      <c r="A3072" t="s">
        <v>3076</v>
      </c>
      <c r="B3072">
        <v>0.995954080203443</v>
      </c>
      <c r="C3072">
        <v>0.87063248636459101</v>
      </c>
      <c r="D3072">
        <v>0.77075973367116501</v>
      </c>
      <c r="E3072">
        <v>0.71924061151376395</v>
      </c>
      <c r="F3072">
        <v>0.66345812459576003</v>
      </c>
      <c r="G3072">
        <v>0.47597364978411699</v>
      </c>
      <c r="H3072">
        <v>0.42650107801709303</v>
      </c>
      <c r="I3072">
        <v>0.48113084433083197</v>
      </c>
      <c r="J3072">
        <v>0.66474777067525104</v>
      </c>
      <c r="K3072">
        <v>0.612045755062118</v>
      </c>
      <c r="L3072">
        <v>670.45613876140806</v>
      </c>
      <c r="M3072">
        <v>14.323865961533301</v>
      </c>
      <c r="O3072">
        <v>45.922984640151597</v>
      </c>
      <c r="P3072">
        <v>-3.63388904069799E-2</v>
      </c>
      <c r="Q3072">
        <v>0.534039755613961</v>
      </c>
      <c r="R3072">
        <v>0.806743033442897</v>
      </c>
      <c r="S3072" t="s">
        <v>9878</v>
      </c>
      <c r="T3072" t="s">
        <v>13610</v>
      </c>
      <c r="U3072" t="s">
        <v>13610</v>
      </c>
      <c r="V3072" t="s">
        <v>13610</v>
      </c>
      <c r="W3072" t="s">
        <v>16628</v>
      </c>
      <c r="X3072">
        <v>7</v>
      </c>
      <c r="Y3072" t="s">
        <v>23267</v>
      </c>
      <c r="Z3072" t="s">
        <v>29927</v>
      </c>
      <c r="AA3072">
        <v>0.65385325149380713</v>
      </c>
      <c r="AB3072" t="str">
        <f>HYPERLINK("Melting_Curves/meltCurve_Q05D32_2_CTDSPL2.pdf", "Melting_Curves/meltCurve_Q05D32_2_CTDSPL2.pdf")</f>
        <v>Melting_Curves/meltCurve_Q05D32_2_CTDSPL2.pdf</v>
      </c>
    </row>
    <row r="3073" spans="1:28" x14ac:dyDescent="0.25">
      <c r="A3073" t="s">
        <v>3077</v>
      </c>
      <c r="B3073">
        <v>0.995954080203443</v>
      </c>
      <c r="C3073">
        <v>0.82142309953070303</v>
      </c>
      <c r="D3073">
        <v>0.974267869557777</v>
      </c>
      <c r="E3073">
        <v>0.86454641113775998</v>
      </c>
      <c r="F3073">
        <v>0.87898369226559303</v>
      </c>
      <c r="G3073">
        <v>0.69219179396786101</v>
      </c>
      <c r="H3073">
        <v>0.671112647985046</v>
      </c>
      <c r="I3073">
        <v>0.87579915891788496</v>
      </c>
      <c r="J3073">
        <v>1.1166317165877999</v>
      </c>
      <c r="K3073">
        <v>0.99890500129380799</v>
      </c>
      <c r="L3073">
        <v>2.0134101869828398</v>
      </c>
      <c r="M3073">
        <v>1.0000000000000001E-5</v>
      </c>
      <c r="Q3073">
        <v>0.77368859893237696</v>
      </c>
      <c r="R3073">
        <v>9.4290195752355592E-6</v>
      </c>
      <c r="S3073" t="s">
        <v>9879</v>
      </c>
      <c r="T3073" t="s">
        <v>13610</v>
      </c>
      <c r="U3073" t="s">
        <v>13610</v>
      </c>
      <c r="V3073" t="s">
        <v>13610</v>
      </c>
      <c r="W3073" t="s">
        <v>16629</v>
      </c>
      <c r="X3073">
        <v>2</v>
      </c>
      <c r="Y3073" t="s">
        <v>23268</v>
      </c>
      <c r="Z3073" t="s">
        <v>29928</v>
      </c>
      <c r="AA3073">
        <v>0.88896840757044304</v>
      </c>
      <c r="AB3073" t="str">
        <f>HYPERLINK("Melting_Curves/meltCurve_Q05DA6_ZNF394.pdf", "Melting_Curves/meltCurve_Q05DA6_ZNF394.pdf")</f>
        <v>Melting_Curves/meltCurve_Q05DA6_ZNF394.pdf</v>
      </c>
    </row>
    <row r="3074" spans="1:28" x14ac:dyDescent="0.25">
      <c r="A3074" t="s">
        <v>3078</v>
      </c>
      <c r="B3074">
        <v>0.995954080203443</v>
      </c>
      <c r="C3074">
        <v>0.96741453388937104</v>
      </c>
      <c r="D3074">
        <v>0.97136393836889001</v>
      </c>
      <c r="E3074">
        <v>0.82025241619077405</v>
      </c>
      <c r="F3074">
        <v>0.44618044260702999</v>
      </c>
      <c r="G3074">
        <v>0.14014037349171499</v>
      </c>
      <c r="H3074">
        <v>9.8140940577573596E-2</v>
      </c>
      <c r="I3074">
        <v>9.2078305555091403E-2</v>
      </c>
      <c r="J3074">
        <v>0.11726914054098</v>
      </c>
      <c r="K3074">
        <v>9.0898523041318902E-2</v>
      </c>
      <c r="L3074">
        <v>1665.8242237249799</v>
      </c>
      <c r="M3074">
        <v>31.9093656370475</v>
      </c>
      <c r="N3074">
        <v>52.549156345410204</v>
      </c>
      <c r="O3074">
        <v>52.001126303222797</v>
      </c>
      <c r="P3074">
        <v>-0.138937291320893</v>
      </c>
      <c r="Q3074">
        <v>9.4327679044406296E-2</v>
      </c>
      <c r="R3074">
        <v>0.99869844893882698</v>
      </c>
      <c r="S3074" t="s">
        <v>9880</v>
      </c>
      <c r="T3074" t="s">
        <v>13610</v>
      </c>
      <c r="U3074" t="s">
        <v>13610</v>
      </c>
      <c r="V3074" t="s">
        <v>13610</v>
      </c>
      <c r="W3074" t="s">
        <v>16630</v>
      </c>
      <c r="X3074">
        <v>34</v>
      </c>
      <c r="Y3074" t="s">
        <v>23269</v>
      </c>
      <c r="Z3074" t="s">
        <v>29929</v>
      </c>
      <c r="AA3074">
        <v>0.46791733122030038</v>
      </c>
      <c r="AB3074" t="str">
        <f>HYPERLINK("Melting_Curves/meltCurve_Q06124_2_PTPN11.pdf", "Melting_Curves/meltCurve_Q06124_2_PTPN11.pdf")</f>
        <v>Melting_Curves/meltCurve_Q06124_2_PTPN11.pdf</v>
      </c>
    </row>
    <row r="3075" spans="1:28" x14ac:dyDescent="0.25">
      <c r="A3075" t="s">
        <v>3079</v>
      </c>
      <c r="B3075">
        <v>0.995954080203443</v>
      </c>
      <c r="C3075">
        <v>0.78629514155969604</v>
      </c>
      <c r="D3075">
        <v>0.29638536007539701</v>
      </c>
      <c r="E3075">
        <v>0.20063082621851899</v>
      </c>
      <c r="F3075">
        <v>0.106385192642634</v>
      </c>
      <c r="G3075">
        <v>5.9359518275542998E-2</v>
      </c>
      <c r="H3075">
        <v>4.0894526104661197E-2</v>
      </c>
      <c r="I3075">
        <v>3.5279750809639701E-2</v>
      </c>
      <c r="J3075">
        <v>4.2862864209271503E-2</v>
      </c>
      <c r="K3075">
        <v>3.55976464167801E-2</v>
      </c>
      <c r="L3075">
        <v>1286.29242073197</v>
      </c>
      <c r="M3075">
        <v>28.854900677000401</v>
      </c>
      <c r="N3075">
        <v>44.787751339301401</v>
      </c>
      <c r="O3075">
        <v>44.365510309273702</v>
      </c>
      <c r="P3075">
        <v>-0.152320742993308</v>
      </c>
      <c r="Q3075">
        <v>6.3211717897091596E-2</v>
      </c>
      <c r="R3075">
        <v>0.98532035973759202</v>
      </c>
      <c r="S3075" t="s">
        <v>9881</v>
      </c>
      <c r="T3075" t="s">
        <v>13610</v>
      </c>
      <c r="U3075" t="s">
        <v>13610</v>
      </c>
      <c r="V3075" t="s">
        <v>13610</v>
      </c>
      <c r="W3075" t="s">
        <v>16631</v>
      </c>
      <c r="X3075">
        <v>30</v>
      </c>
      <c r="Y3075" t="s">
        <v>23270</v>
      </c>
      <c r="Z3075" t="s">
        <v>29930</v>
      </c>
      <c r="AA3075">
        <v>0.21307832986789521</v>
      </c>
      <c r="AB3075" t="str">
        <f>HYPERLINK("Melting_Curves/meltCurve_Q06187_BTK.pdf", "Melting_Curves/meltCurve_Q06187_BTK.pdf")</f>
        <v>Melting_Curves/meltCurve_Q06187_BTK.pdf</v>
      </c>
    </row>
    <row r="3076" spans="1:28" x14ac:dyDescent="0.25">
      <c r="A3076" t="s">
        <v>3080</v>
      </c>
      <c r="B3076">
        <v>0.995954080203443</v>
      </c>
      <c r="C3076">
        <v>0.82157994018605296</v>
      </c>
      <c r="D3076">
        <v>0.69176725526409699</v>
      </c>
      <c r="E3076">
        <v>0.79496203595252901</v>
      </c>
      <c r="F3076">
        <v>0.58122045231787101</v>
      </c>
      <c r="G3076">
        <v>0.45507250705208802</v>
      </c>
      <c r="H3076">
        <v>0.28314536206233498</v>
      </c>
      <c r="I3076">
        <v>0.28986798589962998</v>
      </c>
      <c r="J3076">
        <v>0.20281720408300899</v>
      </c>
      <c r="K3076">
        <v>9.8355614480595502E-2</v>
      </c>
      <c r="L3076">
        <v>413.60782993901103</v>
      </c>
      <c r="M3076">
        <v>7.5269953561053802</v>
      </c>
      <c r="N3076">
        <v>54.949924926630601</v>
      </c>
      <c r="O3076">
        <v>51.472776568375103</v>
      </c>
      <c r="P3076">
        <v>-3.66100054118653E-2</v>
      </c>
      <c r="Q3076">
        <v>0</v>
      </c>
      <c r="R3076">
        <v>0.94660945887894599</v>
      </c>
      <c r="S3076" t="s">
        <v>9882</v>
      </c>
      <c r="T3076" t="s">
        <v>13610</v>
      </c>
      <c r="U3076" t="s">
        <v>13610</v>
      </c>
      <c r="V3076" t="s">
        <v>13610</v>
      </c>
      <c r="W3076" t="s">
        <v>16632</v>
      </c>
      <c r="X3076">
        <v>25</v>
      </c>
      <c r="Y3076" t="s">
        <v>23271</v>
      </c>
      <c r="Z3076" t="s">
        <v>29931</v>
      </c>
      <c r="AA3076">
        <v>0.52590807829282604</v>
      </c>
      <c r="AB3076" t="str">
        <f>HYPERLINK("Melting_Curves/meltCurve_Q06203_PPAT.pdf", "Melting_Curves/meltCurve_Q06203_PPAT.pdf")</f>
        <v>Melting_Curves/meltCurve_Q06203_PPAT.pdf</v>
      </c>
    </row>
    <row r="3077" spans="1:28" x14ac:dyDescent="0.25">
      <c r="A3077" t="s">
        <v>3081</v>
      </c>
      <c r="B3077">
        <v>0.995954080203443</v>
      </c>
      <c r="C3077">
        <v>0.84833775156736102</v>
      </c>
      <c r="D3077">
        <v>0.61034119338743498</v>
      </c>
      <c r="E3077">
        <v>0.837989597641418</v>
      </c>
      <c r="F3077">
        <v>0.42108169743069401</v>
      </c>
      <c r="G3077">
        <v>0.115944485088477</v>
      </c>
      <c r="H3077">
        <v>6.3353225503128496E-2</v>
      </c>
      <c r="I3077">
        <v>5.5060464649643197E-2</v>
      </c>
      <c r="J3077">
        <v>6.3759153390490195E-2</v>
      </c>
      <c r="K3077">
        <v>5.5946055877691102E-2</v>
      </c>
      <c r="L3077">
        <v>648.51466439577098</v>
      </c>
      <c r="M3077">
        <v>12.598666247326801</v>
      </c>
      <c r="N3077">
        <v>51.474866623458702</v>
      </c>
      <c r="O3077">
        <v>50.229645967415401</v>
      </c>
      <c r="P3077">
        <v>-6.2717845263209698E-2</v>
      </c>
      <c r="Q3077">
        <v>0</v>
      </c>
      <c r="R3077">
        <v>0.90482266454490901</v>
      </c>
      <c r="S3077" t="s">
        <v>9883</v>
      </c>
      <c r="T3077" t="s">
        <v>13610</v>
      </c>
      <c r="U3077" t="s">
        <v>13610</v>
      </c>
      <c r="V3077" t="s">
        <v>13610</v>
      </c>
      <c r="W3077" t="s">
        <v>16633</v>
      </c>
      <c r="X3077">
        <v>41</v>
      </c>
      <c r="Y3077" t="s">
        <v>23272</v>
      </c>
      <c r="Z3077" t="s">
        <v>29932</v>
      </c>
      <c r="AA3077">
        <v>0.4120923152212011</v>
      </c>
      <c r="AB3077" t="str">
        <f>HYPERLINK("Melting_Curves/meltCurve_Q06210_2_GFPT1.pdf", "Melting_Curves/meltCurve_Q06210_2_GFPT1.pdf")</f>
        <v>Melting_Curves/meltCurve_Q06210_2_GFPT1.pdf</v>
      </c>
    </row>
    <row r="3078" spans="1:28" x14ac:dyDescent="0.25">
      <c r="A3078" t="s">
        <v>3082</v>
      </c>
      <c r="B3078">
        <v>0.995954080203443</v>
      </c>
      <c r="C3078">
        <v>0.87878132100704198</v>
      </c>
      <c r="D3078">
        <v>0.81167885295838405</v>
      </c>
      <c r="E3078">
        <v>0.93179435925772502</v>
      </c>
      <c r="F3078">
        <v>0.76621847698738998</v>
      </c>
      <c r="G3078">
        <v>0.60102123172233102</v>
      </c>
      <c r="H3078">
        <v>0.35171598792327102</v>
      </c>
      <c r="I3078">
        <v>0.199886373115087</v>
      </c>
      <c r="J3078">
        <v>0.10715402650962901</v>
      </c>
      <c r="K3078">
        <v>0.100827579555532</v>
      </c>
      <c r="L3078">
        <v>759.63171545562398</v>
      </c>
      <c r="M3078">
        <v>13.097575613243</v>
      </c>
      <c r="N3078">
        <v>57.997887416942703</v>
      </c>
      <c r="O3078">
        <v>56.695843352163799</v>
      </c>
      <c r="P3078">
        <v>-5.7763595876035301E-2</v>
      </c>
      <c r="Q3078">
        <v>0</v>
      </c>
      <c r="R3078">
        <v>0.96177198109109896</v>
      </c>
      <c r="S3078" t="s">
        <v>9884</v>
      </c>
      <c r="T3078" t="s">
        <v>13610</v>
      </c>
      <c r="U3078" t="s">
        <v>13610</v>
      </c>
      <c r="V3078" t="s">
        <v>13610</v>
      </c>
      <c r="W3078" t="s">
        <v>16634</v>
      </c>
      <c r="X3078">
        <v>13</v>
      </c>
      <c r="Y3078" t="s">
        <v>23273</v>
      </c>
      <c r="Z3078" t="s">
        <v>29933</v>
      </c>
      <c r="AA3078">
        <v>0.61324760586886817</v>
      </c>
      <c r="AB3078" t="str">
        <f>HYPERLINK("Melting_Curves/meltCurve_Q06265_EXOSC9.pdf", "Melting_Curves/meltCurve_Q06265_EXOSC9.pdf")</f>
        <v>Melting_Curves/meltCurve_Q06265_EXOSC9.pdf</v>
      </c>
    </row>
    <row r="3079" spans="1:28" x14ac:dyDescent="0.25">
      <c r="A3079" t="s">
        <v>3083</v>
      </c>
      <c r="B3079">
        <v>0.995954080203443</v>
      </c>
      <c r="C3079">
        <v>0.87983633739140898</v>
      </c>
      <c r="D3079">
        <v>0.93901449001166004</v>
      </c>
      <c r="E3079">
        <v>0.96507511278721003</v>
      </c>
      <c r="F3079">
        <v>0.80833094331961897</v>
      </c>
      <c r="G3079">
        <v>0.580529185593466</v>
      </c>
      <c r="H3079">
        <v>0.308724850826536</v>
      </c>
      <c r="I3079">
        <v>0.184873572624634</v>
      </c>
      <c r="J3079">
        <v>0.135624173339979</v>
      </c>
      <c r="K3079">
        <v>0.10438893458352901</v>
      </c>
      <c r="L3079">
        <v>986.21405942085596</v>
      </c>
      <c r="M3079">
        <v>17.135295300804401</v>
      </c>
      <c r="N3079">
        <v>57.944088261543797</v>
      </c>
      <c r="O3079">
        <v>56.787817899773401</v>
      </c>
      <c r="P3079">
        <v>-7.1335826081566495E-2</v>
      </c>
      <c r="Q3079">
        <v>5.4404797371352301E-2</v>
      </c>
      <c r="R3079">
        <v>0.98569631466710805</v>
      </c>
      <c r="S3079" t="s">
        <v>9885</v>
      </c>
      <c r="T3079" t="s">
        <v>13610</v>
      </c>
      <c r="U3079" t="s">
        <v>13610</v>
      </c>
      <c r="V3079" t="s">
        <v>13610</v>
      </c>
      <c r="W3079" t="s">
        <v>16635</v>
      </c>
      <c r="X3079">
        <v>19</v>
      </c>
      <c r="Y3079" t="s">
        <v>23274</v>
      </c>
      <c r="Z3079" t="s">
        <v>29934</v>
      </c>
      <c r="AA3079">
        <v>0.62051454797865524</v>
      </c>
      <c r="AB3079" t="str">
        <f>HYPERLINK("Melting_Curves/meltCurve_Q06323_PSME1.pdf", "Melting_Curves/meltCurve_Q06323_PSME1.pdf")</f>
        <v>Melting_Curves/meltCurve_Q06323_PSME1.pdf</v>
      </c>
    </row>
    <row r="3080" spans="1:28" x14ac:dyDescent="0.25">
      <c r="A3080" t="s">
        <v>3084</v>
      </c>
      <c r="B3080">
        <v>0.995954080203443</v>
      </c>
      <c r="C3080">
        <v>0.93225826965608405</v>
      </c>
      <c r="D3080">
        <v>0.88983017394224595</v>
      </c>
      <c r="E3080">
        <v>0.80192355385220104</v>
      </c>
      <c r="F3080">
        <v>0.67669479780693698</v>
      </c>
      <c r="G3080">
        <v>0.36715430905678598</v>
      </c>
      <c r="H3080">
        <v>0.13405537844908</v>
      </c>
      <c r="I3080">
        <v>0.12639013551898001</v>
      </c>
      <c r="J3080">
        <v>0.175733413732999</v>
      </c>
      <c r="K3080">
        <v>0.127547764180346</v>
      </c>
      <c r="L3080">
        <v>914.25905840088205</v>
      </c>
      <c r="M3080">
        <v>16.895814672020101</v>
      </c>
      <c r="N3080">
        <v>54.750746620518598</v>
      </c>
      <c r="O3080">
        <v>53.3705991846385</v>
      </c>
      <c r="P3080">
        <v>-7.2064432401163905E-2</v>
      </c>
      <c r="Q3080">
        <v>8.9507417320874305E-2</v>
      </c>
      <c r="R3080">
        <v>0.98406786248081801</v>
      </c>
      <c r="S3080" t="s">
        <v>9886</v>
      </c>
      <c r="T3080" t="s">
        <v>13610</v>
      </c>
      <c r="U3080" t="s">
        <v>13610</v>
      </c>
      <c r="V3080" t="s">
        <v>13610</v>
      </c>
      <c r="W3080" t="s">
        <v>16636</v>
      </c>
      <c r="X3080">
        <v>6</v>
      </c>
      <c r="Y3080" t="s">
        <v>23275</v>
      </c>
      <c r="Z3080" t="s">
        <v>29935</v>
      </c>
      <c r="AA3080">
        <v>0.53368672964739605</v>
      </c>
      <c r="AB3080" t="str">
        <f>HYPERLINK("Melting_Curves/meltCurve_Q06330_5_RBPJ.pdf", "Melting_Curves/meltCurve_Q06330_5_RBPJ.pdf")</f>
        <v>Melting_Curves/meltCurve_Q06330_5_RBPJ.pdf</v>
      </c>
    </row>
    <row r="3081" spans="1:28" x14ac:dyDescent="0.25">
      <c r="A3081" t="s">
        <v>3085</v>
      </c>
      <c r="B3081">
        <v>0.995954080203443</v>
      </c>
      <c r="C3081">
        <v>0.86243258065112305</v>
      </c>
      <c r="D3081">
        <v>0.62444721995769004</v>
      </c>
      <c r="E3081">
        <v>0.928428787181797</v>
      </c>
      <c r="F3081">
        <v>0.79387538250442702</v>
      </c>
      <c r="G3081">
        <v>0.599969811854699</v>
      </c>
      <c r="H3081">
        <v>0.34126223637665898</v>
      </c>
      <c r="I3081">
        <v>7.1981914235877797E-2</v>
      </c>
      <c r="J3081">
        <v>5.36666132999363E-2</v>
      </c>
      <c r="K3081">
        <v>5.9388583389610103E-2</v>
      </c>
      <c r="L3081">
        <v>886.57482924785199</v>
      </c>
      <c r="M3081">
        <v>15.4039824328016</v>
      </c>
      <c r="N3081">
        <v>57.554910589026001</v>
      </c>
      <c r="O3081">
        <v>56.611077740968298</v>
      </c>
      <c r="P3081">
        <v>-6.8031663421835101E-2</v>
      </c>
      <c r="Q3081">
        <v>0</v>
      </c>
      <c r="R3081">
        <v>0.87103113685883005</v>
      </c>
      <c r="S3081" t="s">
        <v>9887</v>
      </c>
      <c r="T3081" t="s">
        <v>13610</v>
      </c>
      <c r="U3081" t="s">
        <v>13610</v>
      </c>
      <c r="V3081" t="s">
        <v>13610</v>
      </c>
      <c r="W3081" t="s">
        <v>16637</v>
      </c>
      <c r="X3081">
        <v>1</v>
      </c>
      <c r="Y3081" t="s">
        <v>20903</v>
      </c>
      <c r="Z3081" t="s">
        <v>29936</v>
      </c>
      <c r="AA3081">
        <v>0.59956417076006541</v>
      </c>
      <c r="AB3081" t="str">
        <f>HYPERLINK("Melting_Curves/meltCurve_Q06481_5_APLP2.pdf", "Melting_Curves/meltCurve_Q06481_5_APLP2.pdf")</f>
        <v>Melting_Curves/meltCurve_Q06481_5_APLP2.pdf</v>
      </c>
    </row>
    <row r="3082" spans="1:28" x14ac:dyDescent="0.25">
      <c r="A3082" t="s">
        <v>3086</v>
      </c>
      <c r="B3082">
        <v>0.995954080203443</v>
      </c>
      <c r="C3082">
        <v>0.94304454800867199</v>
      </c>
      <c r="D3082">
        <v>0.72448798986247898</v>
      </c>
      <c r="E3082">
        <v>0.56992807864046202</v>
      </c>
      <c r="F3082">
        <v>0.397718308589803</v>
      </c>
      <c r="G3082">
        <v>0.26735110110284099</v>
      </c>
      <c r="H3082">
        <v>0.18164541857431199</v>
      </c>
      <c r="I3082">
        <v>0.16543856648042199</v>
      </c>
      <c r="J3082">
        <v>0.18089488653414099</v>
      </c>
      <c r="K3082">
        <v>0.17132183697803999</v>
      </c>
      <c r="L3082">
        <v>682.00921353633805</v>
      </c>
      <c r="M3082">
        <v>13.7687425500327</v>
      </c>
      <c r="N3082">
        <v>50.788260580860801</v>
      </c>
      <c r="O3082">
        <v>48.523353502142903</v>
      </c>
      <c r="P3082">
        <v>-6.0717409269880798E-2</v>
      </c>
      <c r="Q3082">
        <v>0.14420759210894499</v>
      </c>
      <c r="R3082">
        <v>0.99313901506546898</v>
      </c>
      <c r="S3082" t="s">
        <v>9888</v>
      </c>
      <c r="T3082" t="s">
        <v>13610</v>
      </c>
      <c r="U3082" t="s">
        <v>13610</v>
      </c>
      <c r="V3082" t="s">
        <v>13610</v>
      </c>
      <c r="W3082" t="s">
        <v>16638</v>
      </c>
      <c r="X3082">
        <v>15</v>
      </c>
      <c r="Y3082" t="s">
        <v>23276</v>
      </c>
      <c r="Z3082" t="s">
        <v>29937</v>
      </c>
      <c r="AA3082">
        <v>0.44030871793415999</v>
      </c>
      <c r="AB3082" t="str">
        <f>HYPERLINK("Melting_Curves/meltCurve_Q06546_GABPA.pdf", "Melting_Curves/meltCurve_Q06546_GABPA.pdf")</f>
        <v>Melting_Curves/meltCurve_Q06546_GABPA.pdf</v>
      </c>
    </row>
    <row r="3083" spans="1:28" x14ac:dyDescent="0.25">
      <c r="A3083" t="s">
        <v>3087</v>
      </c>
      <c r="B3083">
        <v>0.995954080203443</v>
      </c>
      <c r="C3083">
        <v>0.92846726023494197</v>
      </c>
      <c r="D3083">
        <v>0.95055765079022203</v>
      </c>
      <c r="E3083">
        <v>0.70583390748747799</v>
      </c>
      <c r="F3083">
        <v>0.49931644276592801</v>
      </c>
      <c r="G3083">
        <v>0.32412715091371203</v>
      </c>
      <c r="H3083">
        <v>0.227020155794979</v>
      </c>
      <c r="I3083">
        <v>0.25511794206829802</v>
      </c>
      <c r="J3083">
        <v>0.250598777025066</v>
      </c>
      <c r="K3083">
        <v>0.30462170532205601</v>
      </c>
      <c r="L3083">
        <v>1103.5146743344801</v>
      </c>
      <c r="M3083">
        <v>21.600853218418699</v>
      </c>
      <c r="N3083">
        <v>52.799081527500697</v>
      </c>
      <c r="O3083">
        <v>50.6548228864972</v>
      </c>
      <c r="P3083">
        <v>-7.9760392555820098E-2</v>
      </c>
      <c r="Q3083">
        <v>0.25185323310734398</v>
      </c>
      <c r="R3083">
        <v>0.99053010146403997</v>
      </c>
      <c r="S3083" t="s">
        <v>9889</v>
      </c>
      <c r="T3083" t="s">
        <v>13610</v>
      </c>
      <c r="U3083" t="s">
        <v>13610</v>
      </c>
      <c r="V3083" t="s">
        <v>13610</v>
      </c>
      <c r="W3083" t="s">
        <v>16639</v>
      </c>
      <c r="X3083">
        <v>9</v>
      </c>
      <c r="Y3083" t="s">
        <v>23277</v>
      </c>
      <c r="Z3083" t="s">
        <v>29938</v>
      </c>
      <c r="AA3083">
        <v>0.53731335653853862</v>
      </c>
      <c r="AB3083" t="str">
        <f>HYPERLINK("Melting_Curves/meltCurve_Q06587_RING1.pdf", "Melting_Curves/meltCurve_Q06587_RING1.pdf")</f>
        <v>Melting_Curves/meltCurve_Q06587_RING1.pdf</v>
      </c>
    </row>
    <row r="3084" spans="1:28" x14ac:dyDescent="0.25">
      <c r="A3084" t="s">
        <v>3088</v>
      </c>
      <c r="B3084">
        <v>0.995954080203443</v>
      </c>
      <c r="C3084">
        <v>0.76010116580719</v>
      </c>
      <c r="D3084">
        <v>0.55188050795175003</v>
      </c>
      <c r="E3084">
        <v>0.37017553452451402</v>
      </c>
      <c r="F3084">
        <v>0.208193050023846</v>
      </c>
      <c r="G3084">
        <v>0.116190256428052</v>
      </c>
      <c r="H3084">
        <v>6.42001212296235E-2</v>
      </c>
      <c r="I3084">
        <v>3.3942958544185199E-2</v>
      </c>
      <c r="J3084">
        <v>4.9725268023160303E-2</v>
      </c>
      <c r="K3084">
        <v>3.6815955314539198E-2</v>
      </c>
      <c r="L3084">
        <v>624.00757633015496</v>
      </c>
      <c r="M3084">
        <v>13.2447682146282</v>
      </c>
      <c r="N3084">
        <v>47.285337242880097</v>
      </c>
      <c r="O3084">
        <v>46.078355785261799</v>
      </c>
      <c r="P3084">
        <v>-7.0183424977473999E-2</v>
      </c>
      <c r="Q3084">
        <v>2.34920032868896E-2</v>
      </c>
      <c r="R3084">
        <v>0.98999996452184802</v>
      </c>
      <c r="S3084" t="s">
        <v>9890</v>
      </c>
      <c r="T3084" t="s">
        <v>13610</v>
      </c>
      <c r="U3084" t="s">
        <v>13610</v>
      </c>
      <c r="V3084" t="s">
        <v>13610</v>
      </c>
      <c r="W3084" t="s">
        <v>16640</v>
      </c>
      <c r="X3084">
        <v>5</v>
      </c>
      <c r="Y3084" t="s">
        <v>23278</v>
      </c>
      <c r="Z3084" t="s">
        <v>29939</v>
      </c>
      <c r="AA3084">
        <v>0.28880592609587707</v>
      </c>
      <c r="AB3084" t="str">
        <f>HYPERLINK("Melting_Curves/meltCurve_Q06609_3_RAD51.pdf", "Melting_Curves/meltCurve_Q06609_3_RAD51.pdf")</f>
        <v>Melting_Curves/meltCurve_Q06609_3_RAD51.pdf</v>
      </c>
    </row>
    <row r="3085" spans="1:28" x14ac:dyDescent="0.25">
      <c r="A3085" t="s">
        <v>3089</v>
      </c>
      <c r="B3085">
        <v>0.995954080203443</v>
      </c>
      <c r="C3085">
        <v>0.85960945586548798</v>
      </c>
      <c r="D3085">
        <v>0.89026509019222499</v>
      </c>
      <c r="E3085">
        <v>0.80694289903531402</v>
      </c>
      <c r="F3085">
        <v>0.38504787628424197</v>
      </c>
      <c r="G3085">
        <v>0.15152710465197999</v>
      </c>
      <c r="H3085">
        <v>8.62066884806756E-2</v>
      </c>
      <c r="I3085">
        <v>6.7615839848574805E-2</v>
      </c>
      <c r="J3085">
        <v>8.2846965240379197E-2</v>
      </c>
      <c r="K3085">
        <v>6.6574537899129205E-2</v>
      </c>
      <c r="L3085">
        <v>1447.4392028556799</v>
      </c>
      <c r="M3085">
        <v>27.861226346658</v>
      </c>
      <c r="N3085">
        <v>52.235582939004203</v>
      </c>
      <c r="O3085">
        <v>51.686309362541103</v>
      </c>
      <c r="P3085">
        <v>-0.12529608795063199</v>
      </c>
      <c r="Q3085">
        <v>7.0243961808485703E-2</v>
      </c>
      <c r="R3085">
        <v>0.97995640788826099</v>
      </c>
      <c r="S3085" t="s">
        <v>9891</v>
      </c>
      <c r="T3085" t="s">
        <v>13610</v>
      </c>
      <c r="U3085" t="s">
        <v>13610</v>
      </c>
      <c r="V3085" t="s">
        <v>13610</v>
      </c>
      <c r="W3085" t="s">
        <v>16641</v>
      </c>
      <c r="X3085">
        <v>21</v>
      </c>
      <c r="Y3085" t="s">
        <v>23279</v>
      </c>
      <c r="Z3085" t="s">
        <v>29940</v>
      </c>
      <c r="AA3085">
        <v>0.44752044797104618</v>
      </c>
      <c r="AB3085" t="str">
        <f>HYPERLINK("Melting_Curves/meltCurve_Q06830_PRDX1.pdf", "Melting_Curves/meltCurve_Q06830_PRDX1.pdf")</f>
        <v>Melting_Curves/meltCurve_Q06830_PRDX1.pdf</v>
      </c>
    </row>
    <row r="3086" spans="1:28" x14ac:dyDescent="0.25">
      <c r="A3086" t="s">
        <v>3090</v>
      </c>
      <c r="B3086">
        <v>0.995954080203443</v>
      </c>
      <c r="C3086">
        <v>1.0749929212853599</v>
      </c>
      <c r="D3086">
        <v>0.97961341256724999</v>
      </c>
      <c r="E3086">
        <v>0.94754450960948</v>
      </c>
      <c r="F3086">
        <v>0.43303695632734002</v>
      </c>
      <c r="G3086">
        <v>0.289453288564469</v>
      </c>
      <c r="H3086">
        <v>0.22247609435781701</v>
      </c>
      <c r="I3086">
        <v>0.30032813314406798</v>
      </c>
      <c r="J3086">
        <v>0.32366817718987101</v>
      </c>
      <c r="K3086">
        <v>0.45689736247986701</v>
      </c>
      <c r="L3086">
        <v>3628.92344959102</v>
      </c>
      <c r="M3086">
        <v>70.077704166259494</v>
      </c>
      <c r="N3086">
        <v>52.5439520874327</v>
      </c>
      <c r="O3086">
        <v>51.742157970393997</v>
      </c>
      <c r="P3086">
        <v>-0.23076081235977799</v>
      </c>
      <c r="Q3086">
        <v>0.31846741267213802</v>
      </c>
      <c r="R3086">
        <v>0.96756875082153104</v>
      </c>
      <c r="S3086" t="s">
        <v>9892</v>
      </c>
      <c r="T3086" t="s">
        <v>13610</v>
      </c>
      <c r="U3086" t="s">
        <v>13610</v>
      </c>
      <c r="V3086" t="s">
        <v>13610</v>
      </c>
      <c r="W3086" t="s">
        <v>16642</v>
      </c>
      <c r="X3086">
        <v>7</v>
      </c>
      <c r="Y3086" t="s">
        <v>23280</v>
      </c>
      <c r="Z3086" t="s">
        <v>29941</v>
      </c>
      <c r="AA3086">
        <v>0.58697010509130321</v>
      </c>
      <c r="AB3086" t="str">
        <f>HYPERLINK("Melting_Curves/meltCurve_Q07021_C1QBP.pdf", "Melting_Curves/meltCurve_Q07021_C1QBP.pdf")</f>
        <v>Melting_Curves/meltCurve_Q07021_C1QBP.pdf</v>
      </c>
    </row>
    <row r="3087" spans="1:28" x14ac:dyDescent="0.25">
      <c r="A3087" t="s">
        <v>3091</v>
      </c>
      <c r="B3087">
        <v>0.995954080203443</v>
      </c>
      <c r="C3087">
        <v>0.96823078271783503</v>
      </c>
      <c r="D3087">
        <v>0.90787120428378199</v>
      </c>
      <c r="E3087">
        <v>0.73299675481797799</v>
      </c>
      <c r="F3087">
        <v>0.57174568679183602</v>
      </c>
      <c r="G3087">
        <v>0.41321284455180701</v>
      </c>
      <c r="H3087">
        <v>0.381656126740192</v>
      </c>
      <c r="I3087">
        <v>0.446439557215494</v>
      </c>
      <c r="J3087">
        <v>0.50681679108404398</v>
      </c>
      <c r="K3087">
        <v>0.49882323789476901</v>
      </c>
      <c r="L3087">
        <v>1189.4028457926299</v>
      </c>
      <c r="M3087">
        <v>23.8369766314771</v>
      </c>
      <c r="N3087">
        <v>55.030433692223099</v>
      </c>
      <c r="O3087">
        <v>49.550188136011201</v>
      </c>
      <c r="P3087">
        <v>-6.6643183774705406E-2</v>
      </c>
      <c r="Q3087">
        <v>0.44588129813961302</v>
      </c>
      <c r="R3087">
        <v>0.96748453727323303</v>
      </c>
      <c r="S3087" t="s">
        <v>9893</v>
      </c>
      <c r="T3087" t="s">
        <v>13610</v>
      </c>
      <c r="U3087" t="s">
        <v>13610</v>
      </c>
      <c r="V3087" t="s">
        <v>13610</v>
      </c>
      <c r="W3087" t="s">
        <v>16643</v>
      </c>
      <c r="X3087">
        <v>48</v>
      </c>
      <c r="Y3087" t="s">
        <v>23281</v>
      </c>
      <c r="Z3087" t="s">
        <v>29942</v>
      </c>
      <c r="AA3087">
        <v>0.63413739548869852</v>
      </c>
      <c r="AB3087" t="str">
        <f>HYPERLINK("Melting_Curves/meltCurve_Q07157_TJP1.pdf", "Melting_Curves/meltCurve_Q07157_TJP1.pdf")</f>
        <v>Melting_Curves/meltCurve_Q07157_TJP1.pdf</v>
      </c>
    </row>
    <row r="3088" spans="1:28" x14ac:dyDescent="0.25">
      <c r="A3088" t="s">
        <v>3092</v>
      </c>
      <c r="B3088">
        <v>0.995954080203443</v>
      </c>
      <c r="C3088">
        <v>0.92106537187895998</v>
      </c>
      <c r="D3088">
        <v>1.0516564204402601</v>
      </c>
      <c r="E3088">
        <v>0.93809851140184897</v>
      </c>
      <c r="F3088">
        <v>0.78800561775230904</v>
      </c>
      <c r="G3088">
        <v>0.69988167027311698</v>
      </c>
      <c r="H3088">
        <v>0.67356376939179996</v>
      </c>
      <c r="I3088">
        <v>0.64207562050020694</v>
      </c>
      <c r="J3088">
        <v>0.79067912463729695</v>
      </c>
      <c r="K3088">
        <v>0.43165963887328201</v>
      </c>
      <c r="L3088">
        <v>972.98858065742604</v>
      </c>
      <c r="M3088">
        <v>18.1704160195725</v>
      </c>
      <c r="O3088">
        <v>52.911993785480597</v>
      </c>
      <c r="P3088">
        <v>-3.3362529732029703E-2</v>
      </c>
      <c r="Q3088">
        <v>0.61141349119758004</v>
      </c>
      <c r="R3088">
        <v>0.763639949988968</v>
      </c>
      <c r="S3088" t="s">
        <v>9894</v>
      </c>
      <c r="T3088" t="s">
        <v>13610</v>
      </c>
      <c r="U3088" t="s">
        <v>13610</v>
      </c>
      <c r="V3088" t="s">
        <v>13610</v>
      </c>
      <c r="W3088" t="s">
        <v>16644</v>
      </c>
      <c r="X3088">
        <v>1</v>
      </c>
      <c r="Y3088" t="s">
        <v>23282</v>
      </c>
      <c r="Z3088" t="s">
        <v>29943</v>
      </c>
      <c r="AA3088">
        <v>0.79309706646793265</v>
      </c>
      <c r="AB3088" t="str">
        <f>HYPERLINK("Melting_Curves/meltCurve_Q07283_TCHH.pdf", "Melting_Curves/meltCurve_Q07283_TCHH.pdf")</f>
        <v>Melting_Curves/meltCurve_Q07283_TCHH.pdf</v>
      </c>
    </row>
    <row r="3089" spans="1:28" x14ac:dyDescent="0.25">
      <c r="A3089" t="s">
        <v>3093</v>
      </c>
      <c r="B3089">
        <v>0.995954080203443</v>
      </c>
      <c r="C3089">
        <v>0.93332158683882704</v>
      </c>
      <c r="D3089">
        <v>0.90673962943664099</v>
      </c>
      <c r="E3089">
        <v>0.59270110149492705</v>
      </c>
      <c r="F3089">
        <v>0.249555547230074</v>
      </c>
      <c r="G3089">
        <v>0.14862200149072999</v>
      </c>
      <c r="H3089">
        <v>9.4741561166231197E-2</v>
      </c>
      <c r="I3089">
        <v>9.1723565921705302E-2</v>
      </c>
      <c r="J3089">
        <v>0.108013092756268</v>
      </c>
      <c r="K3089">
        <v>9.43181492020638E-2</v>
      </c>
      <c r="L3089">
        <v>1285.9636991672301</v>
      </c>
      <c r="M3089">
        <v>25.622078537234799</v>
      </c>
      <c r="N3089">
        <v>50.598312934625902</v>
      </c>
      <c r="O3089">
        <v>49.886933697182997</v>
      </c>
      <c r="P3089">
        <v>-0.116401848670867</v>
      </c>
      <c r="Q3089">
        <v>9.3459862603980301E-2</v>
      </c>
      <c r="R3089">
        <v>0.99628247532451597</v>
      </c>
      <c r="S3089" t="s">
        <v>9895</v>
      </c>
      <c r="T3089" t="s">
        <v>13610</v>
      </c>
      <c r="U3089" t="s">
        <v>13610</v>
      </c>
      <c r="V3089" t="s">
        <v>13610</v>
      </c>
      <c r="W3089" t="s">
        <v>16645</v>
      </c>
      <c r="X3089">
        <v>16</v>
      </c>
      <c r="Y3089" t="s">
        <v>23283</v>
      </c>
      <c r="Z3089" t="s">
        <v>29944</v>
      </c>
      <c r="AA3089">
        <v>0.4090994301922844</v>
      </c>
      <c r="AB3089" t="str">
        <f>HYPERLINK("Melting_Curves/meltCurve_Q07666_KHDRBS1.pdf", "Melting_Curves/meltCurve_Q07666_KHDRBS1.pdf")</f>
        <v>Melting_Curves/meltCurve_Q07666_KHDRBS1.pdf</v>
      </c>
    </row>
    <row r="3090" spans="1:28" x14ac:dyDescent="0.25">
      <c r="A3090" t="s">
        <v>3094</v>
      </c>
      <c r="B3090">
        <v>0.995954080203443</v>
      </c>
      <c r="C3090">
        <v>1.0035960467232301</v>
      </c>
      <c r="D3090">
        <v>1.0106265837791599</v>
      </c>
      <c r="E3090">
        <v>0.89574024307539901</v>
      </c>
      <c r="F3090">
        <v>0.87530677643900201</v>
      </c>
      <c r="G3090">
        <v>0.68568374391509301</v>
      </c>
      <c r="H3090">
        <v>0.658553090555693</v>
      </c>
      <c r="I3090">
        <v>0.806354946935809</v>
      </c>
      <c r="J3090">
        <v>0.91311951682011006</v>
      </c>
      <c r="K3090">
        <v>0.82760110514979301</v>
      </c>
      <c r="L3090">
        <v>1679.7033225775001</v>
      </c>
      <c r="M3090">
        <v>33.099122813928297</v>
      </c>
      <c r="O3090">
        <v>50.563501825890803</v>
      </c>
      <c r="P3090">
        <v>-3.5378956127048902E-2</v>
      </c>
      <c r="Q3090">
        <v>0.78381589650647798</v>
      </c>
      <c r="R3090">
        <v>0.65118996430058196</v>
      </c>
      <c r="S3090" t="s">
        <v>9896</v>
      </c>
      <c r="T3090" t="s">
        <v>13610</v>
      </c>
      <c r="U3090" t="s">
        <v>13610</v>
      </c>
      <c r="V3090" t="s">
        <v>13610</v>
      </c>
      <c r="W3090" t="s">
        <v>16646</v>
      </c>
      <c r="X3090">
        <v>11</v>
      </c>
      <c r="Y3090" t="s">
        <v>23284</v>
      </c>
      <c r="Z3090" t="s">
        <v>29945</v>
      </c>
      <c r="AA3090">
        <v>0.86237582794694412</v>
      </c>
      <c r="AB3090" t="str">
        <f>HYPERLINK("Melting_Curves/meltCurve_Q07812_5_BAX.pdf", "Melting_Curves/meltCurve_Q07812_5_BAX.pdf")</f>
        <v>Melting_Curves/meltCurve_Q07812_5_BAX.pdf</v>
      </c>
    </row>
    <row r="3091" spans="1:28" x14ac:dyDescent="0.25">
      <c r="A3091" t="s">
        <v>3095</v>
      </c>
      <c r="B3091">
        <v>0.995954080203443</v>
      </c>
      <c r="C3091">
        <v>0.849844856042001</v>
      </c>
      <c r="D3091">
        <v>0.609200943137988</v>
      </c>
      <c r="E3091">
        <v>0.37429547564955601</v>
      </c>
      <c r="F3091">
        <v>0.217881479221814</v>
      </c>
      <c r="G3091">
        <v>0.13765406905618599</v>
      </c>
      <c r="H3091">
        <v>8.8183293458353101E-2</v>
      </c>
      <c r="I3091">
        <v>7.4480453769356997E-2</v>
      </c>
      <c r="J3091">
        <v>8.1340181608052606E-2</v>
      </c>
      <c r="K3091">
        <v>8.3232598758053694E-2</v>
      </c>
      <c r="L3091">
        <v>744.06925522048402</v>
      </c>
      <c r="M3091">
        <v>15.716430497173301</v>
      </c>
      <c r="N3091">
        <v>47.8083276478025</v>
      </c>
      <c r="O3091">
        <v>46.596815225942699</v>
      </c>
      <c r="P3091">
        <v>-7.8352460791608305E-2</v>
      </c>
      <c r="Q3091">
        <v>7.0866292111726001E-2</v>
      </c>
      <c r="R3091">
        <v>0.99649111115691702</v>
      </c>
      <c r="S3091" t="s">
        <v>9897</v>
      </c>
      <c r="T3091" t="s">
        <v>13610</v>
      </c>
      <c r="U3091" t="s">
        <v>13610</v>
      </c>
      <c r="V3091" t="s">
        <v>13610</v>
      </c>
      <c r="W3091" t="s">
        <v>16647</v>
      </c>
      <c r="X3091">
        <v>29</v>
      </c>
      <c r="Y3091" t="s">
        <v>23285</v>
      </c>
      <c r="Z3091" t="s">
        <v>29946</v>
      </c>
      <c r="AA3091">
        <v>0.3207758997610955</v>
      </c>
      <c r="AB3091" t="str">
        <f>HYPERLINK("Melting_Curves/meltCurve_Q07864_POLE.pdf", "Melting_Curves/meltCurve_Q07864_POLE.pdf")</f>
        <v>Melting_Curves/meltCurve_Q07864_POLE.pdf</v>
      </c>
    </row>
    <row r="3092" spans="1:28" x14ac:dyDescent="0.25">
      <c r="A3092" t="s">
        <v>3096</v>
      </c>
      <c r="B3092">
        <v>0.995954080203443</v>
      </c>
      <c r="C3092">
        <v>1.21795626392798</v>
      </c>
      <c r="D3092">
        <v>0.86875290305989505</v>
      </c>
      <c r="E3092">
        <v>1.29055949451816</v>
      </c>
      <c r="F3092">
        <v>0.69121663796349597</v>
      </c>
      <c r="G3092">
        <v>0.37963786414656298</v>
      </c>
      <c r="H3092">
        <v>0.374495774374072</v>
      </c>
      <c r="I3092">
        <v>0.389432729265628</v>
      </c>
      <c r="J3092">
        <v>0.48405820304779801</v>
      </c>
      <c r="K3092">
        <v>0.50246125305482403</v>
      </c>
      <c r="L3092">
        <v>13241.9358137202</v>
      </c>
      <c r="M3092">
        <v>250</v>
      </c>
      <c r="N3092">
        <v>53.375695349759702</v>
      </c>
      <c r="O3092">
        <v>52.964371807493301</v>
      </c>
      <c r="P3092">
        <v>-0.67732213321808898</v>
      </c>
      <c r="Q3092">
        <v>0.42601713541873698</v>
      </c>
      <c r="R3092">
        <v>0.85311117464183905</v>
      </c>
      <c r="S3092" t="s">
        <v>9898</v>
      </c>
      <c r="T3092" t="s">
        <v>13610</v>
      </c>
      <c r="U3092" t="s">
        <v>13610</v>
      </c>
      <c r="V3092" t="s">
        <v>13610</v>
      </c>
      <c r="W3092" t="s">
        <v>16648</v>
      </c>
      <c r="X3092">
        <v>35</v>
      </c>
      <c r="Y3092" t="s">
        <v>23286</v>
      </c>
      <c r="Z3092" t="s">
        <v>29947</v>
      </c>
      <c r="AA3092">
        <v>0.67417923882123842</v>
      </c>
      <c r="AB3092" t="str">
        <f>HYPERLINK("Melting_Curves/meltCurve_Q07866_3_KLC1.pdf", "Melting_Curves/meltCurve_Q07866_3_KLC1.pdf")</f>
        <v>Melting_Curves/meltCurve_Q07866_3_KLC1.pdf</v>
      </c>
    </row>
    <row r="3093" spans="1:28" x14ac:dyDescent="0.25">
      <c r="A3093" t="s">
        <v>3097</v>
      </c>
      <c r="B3093">
        <v>0.995954080203443</v>
      </c>
      <c r="C3093">
        <v>0.93962219823933901</v>
      </c>
      <c r="D3093">
        <v>0.85324102836759996</v>
      </c>
      <c r="E3093">
        <v>0.73322233971166895</v>
      </c>
      <c r="F3093">
        <v>0.36427003691819398</v>
      </c>
      <c r="G3093">
        <v>0.17976353500182099</v>
      </c>
      <c r="H3093">
        <v>9.1756024059639493E-2</v>
      </c>
      <c r="I3093">
        <v>7.71142743757849E-2</v>
      </c>
      <c r="J3093">
        <v>8.6707985811904295E-2</v>
      </c>
      <c r="K3093">
        <v>7.7523231775529097E-2</v>
      </c>
      <c r="L3093">
        <v>1023.62397757552</v>
      </c>
      <c r="M3093">
        <v>19.880427324187401</v>
      </c>
      <c r="N3093">
        <v>51.838819462484302</v>
      </c>
      <c r="O3093">
        <v>50.976551584639203</v>
      </c>
      <c r="P3093">
        <v>-9.1381240430362595E-2</v>
      </c>
      <c r="Q3093">
        <v>6.2767557984589994E-2</v>
      </c>
      <c r="R3093">
        <v>0.99090351512994401</v>
      </c>
      <c r="S3093" t="s">
        <v>9899</v>
      </c>
      <c r="T3093" t="s">
        <v>13610</v>
      </c>
      <c r="U3093" t="s">
        <v>13610</v>
      </c>
      <c r="V3093" t="s">
        <v>13610</v>
      </c>
      <c r="W3093" t="s">
        <v>16649</v>
      </c>
      <c r="X3093">
        <v>39</v>
      </c>
      <c r="Y3093" t="s">
        <v>23286</v>
      </c>
      <c r="Z3093" t="s">
        <v>29948</v>
      </c>
      <c r="AA3093">
        <v>0.4348342358131389</v>
      </c>
      <c r="AB3093" t="str">
        <f>HYPERLINK("Melting_Curves/meltCurve_Q07866_6_KLC1.pdf", "Melting_Curves/meltCurve_Q07866_6_KLC1.pdf")</f>
        <v>Melting_Curves/meltCurve_Q07866_6_KLC1.pdf</v>
      </c>
    </row>
    <row r="3094" spans="1:28" x14ac:dyDescent="0.25">
      <c r="A3094" t="s">
        <v>3098</v>
      </c>
      <c r="B3094">
        <v>0.995954080203443</v>
      </c>
      <c r="C3094">
        <v>1.08624036329943</v>
      </c>
      <c r="D3094">
        <v>0.97034873963267798</v>
      </c>
      <c r="E3094">
        <v>1.00182905902703</v>
      </c>
      <c r="F3094">
        <v>1.0673751089560499</v>
      </c>
      <c r="G3094">
        <v>0.77308739261766102</v>
      </c>
      <c r="H3094">
        <v>0.79173312458650003</v>
      </c>
      <c r="I3094">
        <v>0.88639354593832798</v>
      </c>
      <c r="J3094">
        <v>1.24114731442864</v>
      </c>
      <c r="K3094">
        <v>1.0931901633760699</v>
      </c>
      <c r="L3094">
        <v>4717.1128367703805</v>
      </c>
      <c r="M3094">
        <v>71.811079754479806</v>
      </c>
      <c r="O3094">
        <v>65.636945882262296</v>
      </c>
      <c r="P3094">
        <v>4.5119948436664302E-2</v>
      </c>
      <c r="Q3094">
        <v>1.1649625212382599</v>
      </c>
      <c r="R3094">
        <v>0.23390857086324901</v>
      </c>
      <c r="S3094" t="s">
        <v>9900</v>
      </c>
      <c r="T3094" t="s">
        <v>13610</v>
      </c>
      <c r="U3094" t="s">
        <v>13610</v>
      </c>
      <c r="V3094" t="s">
        <v>13610</v>
      </c>
      <c r="W3094" t="s">
        <v>16650</v>
      </c>
      <c r="X3094">
        <v>4</v>
      </c>
      <c r="Y3094" t="s">
        <v>23287</v>
      </c>
      <c r="Z3094" t="s">
        <v>29949</v>
      </c>
      <c r="AA3094">
        <v>1.023550779376815</v>
      </c>
      <c r="AB3094" t="str">
        <f>HYPERLINK("Melting_Curves/meltCurve_Q07912_TNK2.pdf", "Melting_Curves/meltCurve_Q07912_TNK2.pdf")</f>
        <v>Melting_Curves/meltCurve_Q07912_TNK2.pdf</v>
      </c>
    </row>
    <row r="3095" spans="1:28" x14ac:dyDescent="0.25">
      <c r="A3095" t="s">
        <v>3099</v>
      </c>
      <c r="B3095">
        <v>0.995954080203443</v>
      </c>
      <c r="C3095">
        <v>0.782055593695556</v>
      </c>
      <c r="D3095">
        <v>0.77738881859967301</v>
      </c>
      <c r="E3095">
        <v>0.78722797752498996</v>
      </c>
      <c r="F3095">
        <v>0.55349458577559496</v>
      </c>
      <c r="G3095">
        <v>0.32623256089150998</v>
      </c>
      <c r="H3095">
        <v>0.36614288908128501</v>
      </c>
      <c r="I3095">
        <v>0.51905526147489001</v>
      </c>
      <c r="J3095">
        <v>0.86644879415863396</v>
      </c>
      <c r="K3095">
        <v>0.89581280404807895</v>
      </c>
      <c r="L3095">
        <v>793.84374477291794</v>
      </c>
      <c r="M3095">
        <v>17.907685856624401</v>
      </c>
      <c r="O3095">
        <v>43.788066882848298</v>
      </c>
      <c r="P3095">
        <v>-4.0431013219021802E-2</v>
      </c>
      <c r="Q3095">
        <v>0.60457051166878495</v>
      </c>
      <c r="R3095">
        <v>0.30227508622809401</v>
      </c>
      <c r="S3095" t="s">
        <v>9901</v>
      </c>
      <c r="T3095" t="s">
        <v>13610</v>
      </c>
      <c r="U3095" t="s">
        <v>13610</v>
      </c>
      <c r="V3095" t="s">
        <v>13610</v>
      </c>
      <c r="W3095" t="s">
        <v>16651</v>
      </c>
      <c r="X3095">
        <v>11</v>
      </c>
      <c r="Y3095" t="s">
        <v>23288</v>
      </c>
      <c r="Z3095" t="s">
        <v>29950</v>
      </c>
      <c r="AA3095">
        <v>0.67103007926723734</v>
      </c>
      <c r="AB3095" t="str">
        <f>HYPERLINK("Melting_Curves/meltCurve_Q07955_SRSF1.pdf", "Melting_Curves/meltCurve_Q07955_SRSF1.pdf")</f>
        <v>Melting_Curves/meltCurve_Q07955_SRSF1.pdf</v>
      </c>
    </row>
    <row r="3096" spans="1:28" x14ac:dyDescent="0.25">
      <c r="A3096" t="s">
        <v>3100</v>
      </c>
      <c r="B3096">
        <v>0.995954080203443</v>
      </c>
      <c r="C3096">
        <v>1.0079919916636899</v>
      </c>
      <c r="D3096">
        <v>0.98679193105524099</v>
      </c>
      <c r="E3096">
        <v>0.87672869040106804</v>
      </c>
      <c r="F3096">
        <v>0.84032802597595502</v>
      </c>
      <c r="G3096">
        <v>0.45107643326697999</v>
      </c>
      <c r="H3096">
        <v>0.13203624235865299</v>
      </c>
      <c r="I3096">
        <v>0.121517643154033</v>
      </c>
      <c r="J3096">
        <v>0.133559637342302</v>
      </c>
      <c r="K3096">
        <v>0.12194050833306901</v>
      </c>
      <c r="L3096">
        <v>1468.1128233857401</v>
      </c>
      <c r="M3096">
        <v>26.304009814709399</v>
      </c>
      <c r="N3096">
        <v>56.284964341839</v>
      </c>
      <c r="O3096">
        <v>55.4936803130934</v>
      </c>
      <c r="P3096">
        <v>-0.106779542727871</v>
      </c>
      <c r="Q3096">
        <v>9.8916910912738507E-2</v>
      </c>
      <c r="R3096">
        <v>0.99222439297348397</v>
      </c>
      <c r="S3096" t="s">
        <v>9902</v>
      </c>
      <c r="T3096" t="s">
        <v>13610</v>
      </c>
      <c r="U3096" t="s">
        <v>13610</v>
      </c>
      <c r="V3096" t="s">
        <v>13610</v>
      </c>
      <c r="W3096" t="s">
        <v>16652</v>
      </c>
      <c r="X3096">
        <v>26</v>
      </c>
      <c r="Y3096" t="s">
        <v>23289</v>
      </c>
      <c r="Z3096" t="s">
        <v>29951</v>
      </c>
      <c r="AA3096">
        <v>0.58148650016836734</v>
      </c>
      <c r="AB3096" t="str">
        <f>HYPERLINK("Melting_Curves/meltCurve_Q07960_ARHGAP1.pdf", "Melting_Curves/meltCurve_Q07960_ARHGAP1.pdf")</f>
        <v>Melting_Curves/meltCurve_Q07960_ARHGAP1.pdf</v>
      </c>
    </row>
    <row r="3097" spans="1:28" x14ac:dyDescent="0.25">
      <c r="A3097" t="s">
        <v>3101</v>
      </c>
      <c r="B3097">
        <v>0.995954080203443</v>
      </c>
      <c r="C3097">
        <v>0.89989686911703903</v>
      </c>
      <c r="D3097">
        <v>1.1358103086082101</v>
      </c>
      <c r="E3097">
        <v>0.76383468782628805</v>
      </c>
      <c r="F3097">
        <v>0.79474035419298095</v>
      </c>
      <c r="G3097">
        <v>0.440005614587412</v>
      </c>
      <c r="H3097">
        <v>0.211638653104785</v>
      </c>
      <c r="I3097">
        <v>0.13716399324534501</v>
      </c>
      <c r="J3097">
        <v>0.13515549720352299</v>
      </c>
      <c r="K3097">
        <v>0.123728823661471</v>
      </c>
      <c r="L3097">
        <v>1021.52238590596</v>
      </c>
      <c r="M3097">
        <v>18.397536949422701</v>
      </c>
      <c r="N3097">
        <v>56.098250627822701</v>
      </c>
      <c r="O3097">
        <v>54.881402306384501</v>
      </c>
      <c r="P3097">
        <v>-7.6627317330072497E-2</v>
      </c>
      <c r="Q3097">
        <v>8.5698408485459301E-2</v>
      </c>
      <c r="R3097">
        <v>0.96061627813858497</v>
      </c>
      <c r="S3097" t="s">
        <v>9903</v>
      </c>
      <c r="T3097" t="s">
        <v>13610</v>
      </c>
      <c r="U3097" t="s">
        <v>13610</v>
      </c>
      <c r="V3097" t="s">
        <v>13610</v>
      </c>
      <c r="W3097" t="s">
        <v>16653</v>
      </c>
      <c r="X3097">
        <v>3</v>
      </c>
      <c r="Y3097" t="s">
        <v>23290</v>
      </c>
      <c r="Z3097" t="s">
        <v>29952</v>
      </c>
      <c r="AA3097">
        <v>0.57228263896333453</v>
      </c>
      <c r="AB3097" t="str">
        <f>HYPERLINK("Melting_Curves/meltCurve_Q08117_AES.pdf", "Melting_Curves/meltCurve_Q08117_AES.pdf")</f>
        <v>Melting_Curves/meltCurve_Q08117_AES.pdf</v>
      </c>
    </row>
    <row r="3098" spans="1:28" x14ac:dyDescent="0.25">
      <c r="A3098" t="s">
        <v>3102</v>
      </c>
      <c r="B3098">
        <v>0.995954080203443</v>
      </c>
      <c r="C3098">
        <v>0.95633151154199103</v>
      </c>
      <c r="D3098">
        <v>0.89388202455381005</v>
      </c>
      <c r="E3098">
        <v>0.84497974879886295</v>
      </c>
      <c r="F3098">
        <v>0.73271059011564998</v>
      </c>
      <c r="G3098">
        <v>0.50415306130735404</v>
      </c>
      <c r="H3098">
        <v>0.449102551098642</v>
      </c>
      <c r="I3098">
        <v>0.49474046625850499</v>
      </c>
      <c r="J3098">
        <v>0.65876550084454399</v>
      </c>
      <c r="K3098">
        <v>0.57836694074593498</v>
      </c>
      <c r="L3098">
        <v>1176.4694775897501</v>
      </c>
      <c r="M3098">
        <v>22.931709511117798</v>
      </c>
      <c r="O3098">
        <v>50.917789826620997</v>
      </c>
      <c r="P3098">
        <v>-5.2642326660828499E-2</v>
      </c>
      <c r="Q3098">
        <v>0.53245854032417195</v>
      </c>
      <c r="R3098">
        <v>0.884311181995035</v>
      </c>
      <c r="S3098" t="s">
        <v>9904</v>
      </c>
      <c r="T3098" t="s">
        <v>13610</v>
      </c>
      <c r="U3098" t="s">
        <v>13610</v>
      </c>
      <c r="V3098" t="s">
        <v>13610</v>
      </c>
      <c r="W3098" t="s">
        <v>16654</v>
      </c>
      <c r="X3098">
        <v>13</v>
      </c>
      <c r="Y3098" t="s">
        <v>23291</v>
      </c>
      <c r="Z3098" t="s">
        <v>29953</v>
      </c>
      <c r="AA3098">
        <v>0.71362528193942354</v>
      </c>
      <c r="AB3098" t="str">
        <f>HYPERLINK("Melting_Curves/meltCurve_Q08170_SRSF4.pdf", "Melting_Curves/meltCurve_Q08170_SRSF4.pdf")</f>
        <v>Melting_Curves/meltCurve_Q08170_SRSF4.pdf</v>
      </c>
    </row>
    <row r="3099" spans="1:28" x14ac:dyDescent="0.25">
      <c r="A3099" t="s">
        <v>3103</v>
      </c>
      <c r="B3099">
        <v>0.995954080203443</v>
      </c>
      <c r="C3099">
        <v>0.98577342249833599</v>
      </c>
      <c r="D3099">
        <v>0.84984623171420803</v>
      </c>
      <c r="E3099">
        <v>0.699083449748372</v>
      </c>
      <c r="F3099">
        <v>0.47127708696319098</v>
      </c>
      <c r="G3099">
        <v>0.21231022493103099</v>
      </c>
      <c r="H3099">
        <v>0.11005691866917899</v>
      </c>
      <c r="I3099">
        <v>0.11341288725571901</v>
      </c>
      <c r="J3099">
        <v>0.12102276976722</v>
      </c>
      <c r="K3099">
        <v>0.123134914928259</v>
      </c>
      <c r="L3099">
        <v>904.32344079257905</v>
      </c>
      <c r="M3099">
        <v>17.481850156026798</v>
      </c>
      <c r="N3099">
        <v>52.298960493836603</v>
      </c>
      <c r="O3099">
        <v>51.066631722409099</v>
      </c>
      <c r="P3099">
        <v>-7.8168069505319099E-2</v>
      </c>
      <c r="Q3099">
        <v>8.6696427877221205E-2</v>
      </c>
      <c r="R3099">
        <v>0.99433205690656501</v>
      </c>
      <c r="S3099" t="s">
        <v>9905</v>
      </c>
      <c r="T3099" t="s">
        <v>13610</v>
      </c>
      <c r="U3099" t="s">
        <v>13610</v>
      </c>
      <c r="V3099" t="s">
        <v>13610</v>
      </c>
      <c r="W3099" t="s">
        <v>16655</v>
      </c>
      <c r="X3099">
        <v>16</v>
      </c>
      <c r="Y3099" t="s">
        <v>23292</v>
      </c>
      <c r="Z3099" t="s">
        <v>29954</v>
      </c>
      <c r="AA3099">
        <v>0.45981515240287252</v>
      </c>
      <c r="AB3099" t="str">
        <f>HYPERLINK("Melting_Curves/meltCurve_Q08209_PPP3CA.pdf", "Melting_Curves/meltCurve_Q08209_PPP3CA.pdf")</f>
        <v>Melting_Curves/meltCurve_Q08209_PPP3CA.pdf</v>
      </c>
    </row>
    <row r="3100" spans="1:28" x14ac:dyDescent="0.25">
      <c r="A3100" t="s">
        <v>3104</v>
      </c>
      <c r="B3100">
        <v>0.995954080203443</v>
      </c>
      <c r="C3100">
        <v>1.0389321210842799</v>
      </c>
      <c r="D3100">
        <v>0.95884301335529598</v>
      </c>
      <c r="E3100">
        <v>0.77110252501705401</v>
      </c>
      <c r="F3100">
        <v>0.39449539532047101</v>
      </c>
      <c r="G3100">
        <v>0.182026425205711</v>
      </c>
      <c r="H3100">
        <v>0.10735949762225699</v>
      </c>
      <c r="I3100">
        <v>9.4009760205373299E-2</v>
      </c>
      <c r="J3100">
        <v>0.10048338465078301</v>
      </c>
      <c r="K3100">
        <v>9.2359155296612899E-2</v>
      </c>
      <c r="L3100">
        <v>1466.1876068609399</v>
      </c>
      <c r="M3100">
        <v>28.306757851950199</v>
      </c>
      <c r="N3100">
        <v>52.195334196092801</v>
      </c>
      <c r="O3100">
        <v>51.539944210095101</v>
      </c>
      <c r="P3100">
        <v>-0.123949209832503</v>
      </c>
      <c r="Q3100">
        <v>9.7278103970340105E-2</v>
      </c>
      <c r="R3100">
        <v>0.99817642937461004</v>
      </c>
      <c r="S3100" t="s">
        <v>9906</v>
      </c>
      <c r="T3100" t="s">
        <v>13610</v>
      </c>
      <c r="U3100" t="s">
        <v>13610</v>
      </c>
      <c r="V3100" t="s">
        <v>13610</v>
      </c>
      <c r="W3100" t="s">
        <v>16656</v>
      </c>
      <c r="X3100">
        <v>16</v>
      </c>
      <c r="Y3100" t="s">
        <v>23292</v>
      </c>
      <c r="Z3100" t="s">
        <v>29955</v>
      </c>
      <c r="AA3100">
        <v>0.45869038115731459</v>
      </c>
      <c r="AB3100" t="str">
        <f>HYPERLINK("Melting_Curves/meltCurve_Q08209_2_PPP3CA.pdf", "Melting_Curves/meltCurve_Q08209_2_PPP3CA.pdf")</f>
        <v>Melting_Curves/meltCurve_Q08209_2_PPP3CA.pdf</v>
      </c>
    </row>
    <row r="3101" spans="1:28" x14ac:dyDescent="0.25">
      <c r="A3101" t="s">
        <v>3105</v>
      </c>
      <c r="B3101">
        <v>0.995954080203443</v>
      </c>
      <c r="C3101">
        <v>0.93823233082603197</v>
      </c>
      <c r="D3101">
        <v>0.85837116205441299</v>
      </c>
      <c r="E3101">
        <v>0.81464550823369597</v>
      </c>
      <c r="F3101">
        <v>0.44813198693765999</v>
      </c>
      <c r="G3101">
        <v>0.184131782022423</v>
      </c>
      <c r="H3101">
        <v>0.122789513023962</v>
      </c>
      <c r="I3101">
        <v>0.11376199075919</v>
      </c>
      <c r="J3101">
        <v>0.13168971121786299</v>
      </c>
      <c r="K3101">
        <v>0.122247883213311</v>
      </c>
      <c r="L3101">
        <v>1328.2794138080401</v>
      </c>
      <c r="M3101">
        <v>25.5007424633258</v>
      </c>
      <c r="N3101">
        <v>52.605349725105597</v>
      </c>
      <c r="O3101">
        <v>51.770721960882398</v>
      </c>
      <c r="P3101">
        <v>-0.10948376551462501</v>
      </c>
      <c r="Q3101">
        <v>0.110930530801488</v>
      </c>
      <c r="R3101">
        <v>0.98596189755456798</v>
      </c>
      <c r="S3101" t="s">
        <v>9907</v>
      </c>
      <c r="T3101" t="s">
        <v>13610</v>
      </c>
      <c r="U3101" t="s">
        <v>13610</v>
      </c>
      <c r="V3101" t="s">
        <v>13610</v>
      </c>
      <c r="W3101" t="s">
        <v>16657</v>
      </c>
      <c r="X3101">
        <v>52</v>
      </c>
      <c r="Y3101" t="s">
        <v>23293</v>
      </c>
      <c r="Z3101" t="s">
        <v>29956</v>
      </c>
      <c r="AA3101">
        <v>0.47698139209195178</v>
      </c>
      <c r="AB3101" t="str">
        <f>HYPERLINK("Melting_Curves/meltCurve_Q08211_DHX9.pdf", "Melting_Curves/meltCurve_Q08211_DHX9.pdf")</f>
        <v>Melting_Curves/meltCurve_Q08211_DHX9.pdf</v>
      </c>
    </row>
    <row r="3102" spans="1:28" x14ac:dyDescent="0.25">
      <c r="A3102" t="s">
        <v>3106</v>
      </c>
      <c r="B3102">
        <v>0.995954080203443</v>
      </c>
      <c r="C3102">
        <v>0.96640389345779698</v>
      </c>
      <c r="D3102">
        <v>1.0291756016279401</v>
      </c>
      <c r="E3102">
        <v>0.87273656187188997</v>
      </c>
      <c r="F3102">
        <v>0.77312683674364402</v>
      </c>
      <c r="G3102">
        <v>0.32860036576906998</v>
      </c>
      <c r="H3102">
        <v>9.0192875837499395E-2</v>
      </c>
      <c r="I3102">
        <v>8.6002728911268506E-2</v>
      </c>
      <c r="J3102">
        <v>8.8978066614565601E-2</v>
      </c>
      <c r="K3102">
        <v>8.47740509334418E-2</v>
      </c>
      <c r="L3102">
        <v>1469.5930487200601</v>
      </c>
      <c r="M3102">
        <v>26.7421052089936</v>
      </c>
      <c r="N3102">
        <v>55.248114005527498</v>
      </c>
      <c r="O3102">
        <v>54.649735658152501</v>
      </c>
      <c r="P3102">
        <v>-0.114225966147623</v>
      </c>
      <c r="Q3102">
        <v>6.6288230351216795E-2</v>
      </c>
      <c r="R3102">
        <v>0.99443807491470804</v>
      </c>
      <c r="S3102" t="s">
        <v>9908</v>
      </c>
      <c r="T3102" t="s">
        <v>13610</v>
      </c>
      <c r="U3102" t="s">
        <v>13610</v>
      </c>
      <c r="V3102" t="s">
        <v>13610</v>
      </c>
      <c r="W3102" t="s">
        <v>16658</v>
      </c>
      <c r="X3102">
        <v>17</v>
      </c>
      <c r="Y3102" t="s">
        <v>23294</v>
      </c>
      <c r="Z3102" t="s">
        <v>29957</v>
      </c>
      <c r="AA3102">
        <v>0.53938244416144676</v>
      </c>
      <c r="AB3102" t="str">
        <f>HYPERLINK("Melting_Curves/meltCurve_Q08257_CRYZ.pdf", "Melting_Curves/meltCurve_Q08257_CRYZ.pdf")</f>
        <v>Melting_Curves/meltCurve_Q08257_CRYZ.pdf</v>
      </c>
    </row>
    <row r="3103" spans="1:28" x14ac:dyDescent="0.25">
      <c r="A3103" t="s">
        <v>3107</v>
      </c>
      <c r="B3103">
        <v>0.995954080203443</v>
      </c>
      <c r="C3103">
        <v>0.96541718001535104</v>
      </c>
      <c r="D3103">
        <v>1.0244070217265999</v>
      </c>
      <c r="E3103">
        <v>0.82784664918776996</v>
      </c>
      <c r="F3103">
        <v>0.81350720544026101</v>
      </c>
      <c r="G3103">
        <v>0.59853655255905103</v>
      </c>
      <c r="H3103">
        <v>0.36383185712035498</v>
      </c>
      <c r="I3103">
        <v>0.23698227242945299</v>
      </c>
      <c r="J3103">
        <v>0.191513032001313</v>
      </c>
      <c r="K3103">
        <v>0.194479429357761</v>
      </c>
      <c r="L3103">
        <v>818.11949284304296</v>
      </c>
      <c r="M3103">
        <v>14.257849507962099</v>
      </c>
      <c r="N3103">
        <v>58.2955263582801</v>
      </c>
      <c r="O3103">
        <v>56.286914982014501</v>
      </c>
      <c r="P3103">
        <v>-5.6983157922420001E-2</v>
      </c>
      <c r="Q3103">
        <v>0.100281991737283</v>
      </c>
      <c r="R3103">
        <v>0.98871925555765405</v>
      </c>
      <c r="S3103" t="s">
        <v>9909</v>
      </c>
      <c r="T3103" t="s">
        <v>13610</v>
      </c>
      <c r="U3103" t="s">
        <v>13610</v>
      </c>
      <c r="V3103" t="s">
        <v>13610</v>
      </c>
      <c r="W3103" t="s">
        <v>16659</v>
      </c>
      <c r="X3103">
        <v>3</v>
      </c>
      <c r="Y3103" t="s">
        <v>23295</v>
      </c>
      <c r="Z3103" t="s">
        <v>29958</v>
      </c>
      <c r="AA3103">
        <v>0.63525133551443214</v>
      </c>
      <c r="AB3103" t="str">
        <f>HYPERLINK("Melting_Curves/meltCurve_Q08345_2_DDR1.pdf", "Melting_Curves/meltCurve_Q08345_2_DDR1.pdf")</f>
        <v>Melting_Curves/meltCurve_Q08345_2_DDR1.pdf</v>
      </c>
    </row>
    <row r="3104" spans="1:28" x14ac:dyDescent="0.25">
      <c r="A3104" t="s">
        <v>3108</v>
      </c>
      <c r="B3104">
        <v>0.995954080203443</v>
      </c>
      <c r="C3104">
        <v>0.90429744717169602</v>
      </c>
      <c r="D3104">
        <v>0.841580866415232</v>
      </c>
      <c r="E3104">
        <v>0.92299216790807903</v>
      </c>
      <c r="F3104">
        <v>0.67589653929646298</v>
      </c>
      <c r="G3104">
        <v>0.463650708735456</v>
      </c>
      <c r="H3104">
        <v>0.25386992105916401</v>
      </c>
      <c r="I3104">
        <v>0.20366592465833799</v>
      </c>
      <c r="J3104">
        <v>0.20325432460892601</v>
      </c>
      <c r="K3104">
        <v>0.190549928058419</v>
      </c>
      <c r="L3104">
        <v>863.38653879349295</v>
      </c>
      <c r="M3104">
        <v>15.7285229440552</v>
      </c>
      <c r="N3104">
        <v>56.074035014449997</v>
      </c>
      <c r="O3104">
        <v>54.028693003728399</v>
      </c>
      <c r="P3104">
        <v>-6.2522609481152305E-2</v>
      </c>
      <c r="Q3104">
        <v>0.140992286438789</v>
      </c>
      <c r="R3104">
        <v>0.97104640665264297</v>
      </c>
      <c r="S3104" t="s">
        <v>9910</v>
      </c>
      <c r="T3104" t="s">
        <v>13610</v>
      </c>
      <c r="U3104" t="s">
        <v>13610</v>
      </c>
      <c r="V3104" t="s">
        <v>13610</v>
      </c>
      <c r="W3104" t="s">
        <v>16660</v>
      </c>
      <c r="X3104">
        <v>81</v>
      </c>
      <c r="Y3104" t="s">
        <v>23296</v>
      </c>
      <c r="Z3104" t="s">
        <v>29959</v>
      </c>
      <c r="AA3104">
        <v>0.5832581536344813</v>
      </c>
      <c r="AB3104" t="str">
        <f>HYPERLINK("Melting_Curves/meltCurve_Q08378_GOLGA3.pdf", "Melting_Curves/meltCurve_Q08378_GOLGA3.pdf")</f>
        <v>Melting_Curves/meltCurve_Q08378_GOLGA3.pdf</v>
      </c>
    </row>
    <row r="3105" spans="1:28" x14ac:dyDescent="0.25">
      <c r="A3105" t="s">
        <v>3109</v>
      </c>
      <c r="B3105">
        <v>0.995954080203443</v>
      </c>
      <c r="C3105">
        <v>0.91780138376755704</v>
      </c>
      <c r="D3105">
        <v>0.83918425425841603</v>
      </c>
      <c r="E3105">
        <v>0.68895518795553701</v>
      </c>
      <c r="F3105">
        <v>0.51976254686366596</v>
      </c>
      <c r="G3105">
        <v>0.32667498500839998</v>
      </c>
      <c r="H3105">
        <v>0.31581666099324901</v>
      </c>
      <c r="I3105">
        <v>0.361918486006232</v>
      </c>
      <c r="J3105">
        <v>0.45086543597600998</v>
      </c>
      <c r="K3105">
        <v>0.46095099296770697</v>
      </c>
      <c r="L3105">
        <v>925.78599420262594</v>
      </c>
      <c r="M3105">
        <v>18.8282698072234</v>
      </c>
      <c r="N3105">
        <v>53.117501706460303</v>
      </c>
      <c r="O3105">
        <v>48.625409293591197</v>
      </c>
      <c r="P3105">
        <v>-6.03483867592867E-2</v>
      </c>
      <c r="Q3105">
        <v>0.37660896863034099</v>
      </c>
      <c r="R3105">
        <v>0.94465947946380102</v>
      </c>
      <c r="S3105" t="s">
        <v>9911</v>
      </c>
      <c r="T3105" t="s">
        <v>13610</v>
      </c>
      <c r="U3105" t="s">
        <v>13610</v>
      </c>
      <c r="V3105" t="s">
        <v>13610</v>
      </c>
      <c r="W3105" t="s">
        <v>16661</v>
      </c>
      <c r="X3105">
        <v>30</v>
      </c>
      <c r="Y3105" t="s">
        <v>23297</v>
      </c>
      <c r="Z3105" t="s">
        <v>29960</v>
      </c>
      <c r="AA3105">
        <v>0.57700226364860596</v>
      </c>
      <c r="AB3105" t="str">
        <f>HYPERLINK("Melting_Curves/meltCurve_Q08379_GOLGA2.pdf", "Melting_Curves/meltCurve_Q08379_GOLGA2.pdf")</f>
        <v>Melting_Curves/meltCurve_Q08379_GOLGA2.pdf</v>
      </c>
    </row>
    <row r="3106" spans="1:28" x14ac:dyDescent="0.25">
      <c r="A3106" t="s">
        <v>3110</v>
      </c>
      <c r="B3106">
        <v>0.995954080203443</v>
      </c>
      <c r="C3106">
        <v>0.88279270059399495</v>
      </c>
      <c r="D3106">
        <v>0.726853645842786</v>
      </c>
      <c r="E3106">
        <v>0.81535727323396101</v>
      </c>
      <c r="F3106">
        <v>0.56972634032564196</v>
      </c>
      <c r="G3106">
        <v>0.48416981270169002</v>
      </c>
      <c r="H3106">
        <v>0.30712554836779699</v>
      </c>
      <c r="I3106">
        <v>0.205578282173185</v>
      </c>
      <c r="J3106">
        <v>0.134114779463679</v>
      </c>
      <c r="K3106">
        <v>0.182471856358219</v>
      </c>
      <c r="L3106">
        <v>462.48772345931201</v>
      </c>
      <c r="M3106">
        <v>8.3642699851526192</v>
      </c>
      <c r="N3106">
        <v>55.293256216462403</v>
      </c>
      <c r="O3106">
        <v>52.4035429506554</v>
      </c>
      <c r="P3106">
        <v>-3.99413836694546E-2</v>
      </c>
      <c r="Q3106">
        <v>0</v>
      </c>
      <c r="R3106">
        <v>0.95997257227772703</v>
      </c>
      <c r="S3106" t="s">
        <v>9912</v>
      </c>
      <c r="T3106" t="s">
        <v>13610</v>
      </c>
      <c r="U3106" t="s">
        <v>13610</v>
      </c>
      <c r="V3106" t="s">
        <v>13610</v>
      </c>
      <c r="W3106" t="s">
        <v>16662</v>
      </c>
      <c r="X3106">
        <v>4</v>
      </c>
      <c r="Y3106" t="s">
        <v>23298</v>
      </c>
      <c r="Z3106" t="s">
        <v>29961</v>
      </c>
      <c r="AA3106">
        <v>0.53488797700591861</v>
      </c>
      <c r="AB3106" t="str">
        <f>HYPERLINK("Melting_Curves/meltCurve_Q08380_LGALS3BP.pdf", "Melting_Curves/meltCurve_Q08380_LGALS3BP.pdf")</f>
        <v>Melting_Curves/meltCurve_Q08380_LGALS3BP.pdf</v>
      </c>
    </row>
    <row r="3107" spans="1:28" x14ac:dyDescent="0.25">
      <c r="A3107" t="s">
        <v>3111</v>
      </c>
      <c r="B3107">
        <v>0.995954080203443</v>
      </c>
      <c r="C3107">
        <v>0.95823750414351905</v>
      </c>
      <c r="D3107">
        <v>0.92521043515447299</v>
      </c>
      <c r="E3107">
        <v>0.82042811370251501</v>
      </c>
      <c r="F3107">
        <v>0.79799423115297796</v>
      </c>
      <c r="G3107">
        <v>0.61751670211583298</v>
      </c>
      <c r="H3107">
        <v>0.55617869058001701</v>
      </c>
      <c r="I3107">
        <v>0.66601232729763205</v>
      </c>
      <c r="J3107">
        <v>0.80594350045269103</v>
      </c>
      <c r="K3107">
        <v>0.74791652124905905</v>
      </c>
      <c r="L3107">
        <v>1005.39265659033</v>
      </c>
      <c r="M3107">
        <v>20.442456563501</v>
      </c>
      <c r="O3107">
        <v>48.718217881032501</v>
      </c>
      <c r="P3107">
        <v>-3.32346293154046E-2</v>
      </c>
      <c r="Q3107">
        <v>0.68319199403546105</v>
      </c>
      <c r="R3107">
        <v>0.75016170020544304</v>
      </c>
      <c r="S3107" t="s">
        <v>9913</v>
      </c>
      <c r="T3107" t="s">
        <v>13610</v>
      </c>
      <c r="U3107" t="s">
        <v>13610</v>
      </c>
      <c r="V3107" t="s">
        <v>13610</v>
      </c>
      <c r="W3107" t="s">
        <v>16663</v>
      </c>
      <c r="X3107">
        <v>11</v>
      </c>
      <c r="Y3107" t="s">
        <v>23299</v>
      </c>
      <c r="Z3107" t="s">
        <v>29962</v>
      </c>
      <c r="AA3107">
        <v>0.78439125655890884</v>
      </c>
      <c r="AB3107" t="str">
        <f>HYPERLINK("Melting_Curves/meltCurve_Q08495_EPB49.pdf", "Melting_Curves/meltCurve_Q08495_EPB49.pdf")</f>
        <v>Melting_Curves/meltCurve_Q08495_EPB49.pdf</v>
      </c>
    </row>
    <row r="3108" spans="1:28" x14ac:dyDescent="0.25">
      <c r="A3108" t="s">
        <v>3112</v>
      </c>
      <c r="B3108">
        <v>0.995954080203443</v>
      </c>
      <c r="C3108">
        <v>0.98700908783571595</v>
      </c>
      <c r="D3108">
        <v>0.84750255276876096</v>
      </c>
      <c r="E3108">
        <v>0.71137571185519599</v>
      </c>
      <c r="F3108">
        <v>0.54177574913055204</v>
      </c>
      <c r="G3108">
        <v>0.36347356347320903</v>
      </c>
      <c r="H3108">
        <v>0.19796889766246101</v>
      </c>
      <c r="I3108">
        <v>0.25670961582881302</v>
      </c>
      <c r="J3108">
        <v>0.20947123173656901</v>
      </c>
      <c r="K3108">
        <v>0.16469157984331001</v>
      </c>
      <c r="L3108">
        <v>717.65828258141801</v>
      </c>
      <c r="M3108">
        <v>13.7507296600447</v>
      </c>
      <c r="N3108">
        <v>53.626041091262699</v>
      </c>
      <c r="O3108">
        <v>51.123892459656702</v>
      </c>
      <c r="P3108">
        <v>-5.6897015363189099E-2</v>
      </c>
      <c r="Q3108">
        <v>0.15396953301376001</v>
      </c>
      <c r="R3108">
        <v>0.99202376538621395</v>
      </c>
      <c r="S3108" t="s">
        <v>9914</v>
      </c>
      <c r="T3108" t="s">
        <v>13610</v>
      </c>
      <c r="U3108" t="s">
        <v>13610</v>
      </c>
      <c r="V3108" t="s">
        <v>13610</v>
      </c>
      <c r="W3108" t="s">
        <v>16664</v>
      </c>
      <c r="X3108">
        <v>11</v>
      </c>
      <c r="Y3108" t="s">
        <v>23299</v>
      </c>
      <c r="Z3108" t="s">
        <v>29963</v>
      </c>
      <c r="AA3108">
        <v>0.51907781201106884</v>
      </c>
      <c r="AB3108" t="str">
        <f>HYPERLINK("Melting_Curves/meltCurve_Q08495_2_EPB49.pdf", "Melting_Curves/meltCurve_Q08495_2_EPB49.pdf")</f>
        <v>Melting_Curves/meltCurve_Q08495_2_EPB49.pdf</v>
      </c>
    </row>
    <row r="3109" spans="1:28" x14ac:dyDescent="0.25">
      <c r="A3109" t="s">
        <v>3113</v>
      </c>
      <c r="B3109">
        <v>0.995954080203443</v>
      </c>
      <c r="C3109">
        <v>1.02095154183629</v>
      </c>
      <c r="D3109">
        <v>1.0307050492358301</v>
      </c>
      <c r="E3109">
        <v>0.88885158925545804</v>
      </c>
      <c r="F3109">
        <v>0.82678069411062904</v>
      </c>
      <c r="G3109">
        <v>0.401596879325469</v>
      </c>
      <c r="H3109">
        <v>0.116331180146481</v>
      </c>
      <c r="I3109">
        <v>9.8684716068993802E-2</v>
      </c>
      <c r="J3109">
        <v>0.10620291326845401</v>
      </c>
      <c r="K3109">
        <v>9.7862797507876298E-2</v>
      </c>
      <c r="L3109">
        <v>1523.99181564389</v>
      </c>
      <c r="M3109">
        <v>27.415978121488799</v>
      </c>
      <c r="N3109">
        <v>55.943926935910902</v>
      </c>
      <c r="O3109">
        <v>55.294473790299001</v>
      </c>
      <c r="P3109">
        <v>-0.11402824318473299</v>
      </c>
      <c r="Q3109">
        <v>8.0087428817631895E-2</v>
      </c>
      <c r="R3109">
        <v>0.99458147350524195</v>
      </c>
      <c r="S3109" t="s">
        <v>9915</v>
      </c>
      <c r="T3109" t="s">
        <v>13610</v>
      </c>
      <c r="U3109" t="s">
        <v>13610</v>
      </c>
      <c r="V3109" t="s">
        <v>13610</v>
      </c>
      <c r="W3109" t="s">
        <v>16665</v>
      </c>
      <c r="X3109">
        <v>10</v>
      </c>
      <c r="Y3109" t="s">
        <v>23300</v>
      </c>
      <c r="Z3109" t="s">
        <v>29964</v>
      </c>
      <c r="AA3109">
        <v>0.56528466926301557</v>
      </c>
      <c r="AB3109" t="str">
        <f>HYPERLINK("Melting_Curves/meltCurve_Q08623_HDHD1.pdf", "Melting_Curves/meltCurve_Q08623_HDHD1.pdf")</f>
        <v>Melting_Curves/meltCurve_Q08623_HDHD1.pdf</v>
      </c>
    </row>
    <row r="3110" spans="1:28" x14ac:dyDescent="0.25">
      <c r="A3110" t="s">
        <v>3114</v>
      </c>
      <c r="B3110">
        <v>0.995954080203443</v>
      </c>
      <c r="C3110">
        <v>0.94981152059968399</v>
      </c>
      <c r="D3110">
        <v>1.01274689382609</v>
      </c>
      <c r="E3110">
        <v>0.47265243731029699</v>
      </c>
      <c r="F3110">
        <v>0.160134481566895</v>
      </c>
      <c r="G3110">
        <v>8.8468225283031096E-2</v>
      </c>
      <c r="H3110">
        <v>5.5285784973469899E-2</v>
      </c>
      <c r="I3110">
        <v>4.6963969261786698E-2</v>
      </c>
      <c r="J3110">
        <v>5.6884638391323301E-2</v>
      </c>
      <c r="K3110">
        <v>4.74821987142163E-2</v>
      </c>
      <c r="L3110">
        <v>2021.87307537435</v>
      </c>
      <c r="M3110">
        <v>40.626498335700099</v>
      </c>
      <c r="N3110">
        <v>49.928293183564001</v>
      </c>
      <c r="O3110">
        <v>49.6472285775342</v>
      </c>
      <c r="P3110">
        <v>-0.192018959133787</v>
      </c>
      <c r="Q3110">
        <v>6.1382127514939003E-2</v>
      </c>
      <c r="R3110">
        <v>0.99626931762234905</v>
      </c>
      <c r="S3110" t="s">
        <v>9916</v>
      </c>
      <c r="T3110" t="s">
        <v>13610</v>
      </c>
      <c r="U3110" t="s">
        <v>13610</v>
      </c>
      <c r="V3110" t="s">
        <v>13610</v>
      </c>
      <c r="W3110" t="s">
        <v>16666</v>
      </c>
      <c r="X3110">
        <v>28</v>
      </c>
      <c r="Y3110" t="s">
        <v>23301</v>
      </c>
      <c r="Z3110" t="s">
        <v>29965</v>
      </c>
      <c r="AA3110">
        <v>0.37010636058992902</v>
      </c>
      <c r="AB3110" t="str">
        <f>HYPERLINK("Melting_Curves/meltCurve_Q08752_PPID.pdf", "Melting_Curves/meltCurve_Q08752_PPID.pdf")</f>
        <v>Melting_Curves/meltCurve_Q08752_PPID.pdf</v>
      </c>
    </row>
    <row r="3111" spans="1:28" x14ac:dyDescent="0.25">
      <c r="A3111" t="s">
        <v>3115</v>
      </c>
      <c r="B3111">
        <v>0.995954080203443</v>
      </c>
      <c r="C3111">
        <v>0.94284538931690098</v>
      </c>
      <c r="D3111">
        <v>0.94441779457298503</v>
      </c>
      <c r="E3111">
        <v>0.73227457196369095</v>
      </c>
      <c r="F3111">
        <v>0.70814358793631105</v>
      </c>
      <c r="G3111">
        <v>0.50725556304484098</v>
      </c>
      <c r="H3111">
        <v>0.41636255604245598</v>
      </c>
      <c r="I3111">
        <v>0.46397749228191099</v>
      </c>
      <c r="J3111">
        <v>0.49590563622806799</v>
      </c>
      <c r="K3111">
        <v>0.52245409572977197</v>
      </c>
      <c r="L3111">
        <v>892.20031491999805</v>
      </c>
      <c r="M3111">
        <v>17.548883697520999</v>
      </c>
      <c r="N3111">
        <v>59.795323435839201</v>
      </c>
      <c r="O3111">
        <v>50.194481652373902</v>
      </c>
      <c r="P3111">
        <v>-4.6861158694226301E-2</v>
      </c>
      <c r="Q3111">
        <v>0.46388791734481899</v>
      </c>
      <c r="R3111">
        <v>0.95994794951677798</v>
      </c>
      <c r="S3111" t="s">
        <v>9917</v>
      </c>
      <c r="T3111" t="s">
        <v>13610</v>
      </c>
      <c r="U3111" t="s">
        <v>13610</v>
      </c>
      <c r="V3111" t="s">
        <v>13610</v>
      </c>
      <c r="W3111" t="s">
        <v>16667</v>
      </c>
      <c r="X3111">
        <v>18</v>
      </c>
      <c r="Y3111" t="s">
        <v>23302</v>
      </c>
      <c r="Z3111" t="s">
        <v>29966</v>
      </c>
      <c r="AA3111">
        <v>0.66709376791707364</v>
      </c>
      <c r="AB3111" t="str">
        <f>HYPERLINK("Melting_Curves/meltCurve_Q08945_SSRP1.pdf", "Melting_Curves/meltCurve_Q08945_SSRP1.pdf")</f>
        <v>Melting_Curves/meltCurve_Q08945_SSRP1.pdf</v>
      </c>
    </row>
    <row r="3112" spans="1:28" x14ac:dyDescent="0.25">
      <c r="A3112" t="s">
        <v>3116</v>
      </c>
      <c r="B3112">
        <v>0.995954080203443</v>
      </c>
      <c r="C3112">
        <v>0.97191339070145399</v>
      </c>
      <c r="D3112">
        <v>1.00887194968641</v>
      </c>
      <c r="E3112">
        <v>0.79858996556355</v>
      </c>
      <c r="F3112">
        <v>0.68623255343987999</v>
      </c>
      <c r="G3112">
        <v>0.37307049811680798</v>
      </c>
      <c r="H3112">
        <v>0.264083610471258</v>
      </c>
      <c r="I3112">
        <v>0.266861970048476</v>
      </c>
      <c r="J3112">
        <v>0.33418601441066698</v>
      </c>
      <c r="K3112">
        <v>0.32316512111692203</v>
      </c>
      <c r="L3112">
        <v>1252.5955041038601</v>
      </c>
      <c r="M3112">
        <v>23.686338282883799</v>
      </c>
      <c r="N3112">
        <v>54.838989368689099</v>
      </c>
      <c r="O3112">
        <v>52.510003612535698</v>
      </c>
      <c r="P3112">
        <v>-8.0607188270267999E-2</v>
      </c>
      <c r="Q3112">
        <v>0.28522286895014898</v>
      </c>
      <c r="R3112">
        <v>0.98436511579660102</v>
      </c>
      <c r="S3112" t="s">
        <v>9918</v>
      </c>
      <c r="T3112" t="s">
        <v>13610</v>
      </c>
      <c r="U3112" t="s">
        <v>13610</v>
      </c>
      <c r="V3112" t="s">
        <v>13610</v>
      </c>
      <c r="W3112" t="s">
        <v>16668</v>
      </c>
      <c r="X3112">
        <v>10</v>
      </c>
      <c r="Y3112" t="s">
        <v>23303</v>
      </c>
      <c r="Z3112" t="s">
        <v>29967</v>
      </c>
      <c r="AA3112">
        <v>0.59943559678511393</v>
      </c>
      <c r="AB3112" t="str">
        <f>HYPERLINK("Melting_Curves/meltCurve_Q08AD1_2_CAMSAP2.pdf", "Melting_Curves/meltCurve_Q08AD1_2_CAMSAP2.pdf")</f>
        <v>Melting_Curves/meltCurve_Q08AD1_2_CAMSAP2.pdf</v>
      </c>
    </row>
    <row r="3113" spans="1:28" x14ac:dyDescent="0.25">
      <c r="A3113" t="s">
        <v>3117</v>
      </c>
      <c r="B3113">
        <v>0.995954080203443</v>
      </c>
      <c r="C3113">
        <v>0.90558003246640495</v>
      </c>
      <c r="D3113">
        <v>0.69960790886628399</v>
      </c>
      <c r="E3113">
        <v>0.289467743666533</v>
      </c>
      <c r="F3113">
        <v>0.210718459396114</v>
      </c>
      <c r="G3113">
        <v>0.120674014196713</v>
      </c>
      <c r="H3113">
        <v>0.12618278057795501</v>
      </c>
      <c r="I3113">
        <v>0.137748098231707</v>
      </c>
      <c r="J3113">
        <v>0.115979404382345</v>
      </c>
      <c r="K3113">
        <v>0.13301213100169601</v>
      </c>
      <c r="L3113">
        <v>1106.5206284338301</v>
      </c>
      <c r="M3113">
        <v>23.466861475172902</v>
      </c>
      <c r="N3113">
        <v>47.736545494679198</v>
      </c>
      <c r="O3113">
        <v>46.814070825346299</v>
      </c>
      <c r="P3113">
        <v>-0.109682744713035</v>
      </c>
      <c r="Q3113">
        <v>0.124790167959278</v>
      </c>
      <c r="R3113">
        <v>0.99814423080547998</v>
      </c>
      <c r="S3113" t="s">
        <v>9919</v>
      </c>
      <c r="T3113" t="s">
        <v>13610</v>
      </c>
      <c r="U3113" t="s">
        <v>13610</v>
      </c>
      <c r="V3113" t="s">
        <v>13610</v>
      </c>
      <c r="W3113" t="s">
        <v>16669</v>
      </c>
      <c r="X3113">
        <v>3</v>
      </c>
      <c r="Y3113" t="s">
        <v>23304</v>
      </c>
      <c r="Z3113" t="s">
        <v>29968</v>
      </c>
      <c r="AA3113">
        <v>0.34240965193152378</v>
      </c>
      <c r="AB3113" t="str">
        <f>HYPERLINK("Melting_Curves/meltCurve_Q08AE8_2_SPIRE1.pdf", "Melting_Curves/meltCurve_Q08AE8_2_SPIRE1.pdf")</f>
        <v>Melting_Curves/meltCurve_Q08AE8_2_SPIRE1.pdf</v>
      </c>
    </row>
    <row r="3114" spans="1:28" x14ac:dyDescent="0.25">
      <c r="A3114" t="s">
        <v>3118</v>
      </c>
      <c r="B3114">
        <v>0.995954080203443</v>
      </c>
      <c r="C3114">
        <v>0.87852979277344501</v>
      </c>
      <c r="D3114">
        <v>1.0060010673529001</v>
      </c>
      <c r="E3114">
        <v>0.86522726330720201</v>
      </c>
      <c r="F3114">
        <v>0.83695505489983102</v>
      </c>
      <c r="G3114">
        <v>0.70188912005681903</v>
      </c>
      <c r="H3114">
        <v>0.69658335398483295</v>
      </c>
      <c r="I3114">
        <v>0.93980160378116595</v>
      </c>
      <c r="J3114">
        <v>1.6424768467622699</v>
      </c>
      <c r="K3114">
        <v>1.2000260331582699</v>
      </c>
      <c r="L3114">
        <v>15000</v>
      </c>
      <c r="M3114">
        <v>229.75516244061899</v>
      </c>
      <c r="O3114">
        <v>65.281938696741193</v>
      </c>
      <c r="P3114">
        <v>0.37061013715115598</v>
      </c>
      <c r="Q3114">
        <v>1.4212162145798599</v>
      </c>
      <c r="R3114">
        <v>0.50379506083088899</v>
      </c>
      <c r="S3114" t="s">
        <v>9920</v>
      </c>
      <c r="T3114" t="s">
        <v>13610</v>
      </c>
      <c r="U3114" t="s">
        <v>13610</v>
      </c>
      <c r="V3114" t="s">
        <v>13610</v>
      </c>
      <c r="W3114" t="s">
        <v>16670</v>
      </c>
      <c r="X3114">
        <v>1</v>
      </c>
      <c r="Y3114" t="s">
        <v>23305</v>
      </c>
      <c r="Z3114" t="s">
        <v>29969</v>
      </c>
      <c r="AA3114">
        <v>1.0661174695964319</v>
      </c>
      <c r="AB3114" t="str">
        <f>HYPERLINK("Melting_Curves/meltCurve_Q08AF8_2_GOLGA8F.pdf", "Melting_Curves/meltCurve_Q08AF8_2_GOLGA8F.pdf")</f>
        <v>Melting_Curves/meltCurve_Q08AF8_2_GOLGA8F.pdf</v>
      </c>
    </row>
    <row r="3115" spans="1:28" x14ac:dyDescent="0.25">
      <c r="A3115" t="s">
        <v>3119</v>
      </c>
      <c r="B3115">
        <v>0.995954080203443</v>
      </c>
      <c r="C3115">
        <v>0.92980428263832304</v>
      </c>
      <c r="D3115">
        <v>0.851552550091496</v>
      </c>
      <c r="E3115">
        <v>0.84303342459840602</v>
      </c>
      <c r="F3115">
        <v>0.74461387501561305</v>
      </c>
      <c r="G3115">
        <v>0.50019772798399298</v>
      </c>
      <c r="H3115">
        <v>0.31428517687406798</v>
      </c>
      <c r="I3115">
        <v>0.17196460179207701</v>
      </c>
      <c r="J3115">
        <v>0.115165740878442</v>
      </c>
      <c r="K3115">
        <v>0.103217081445298</v>
      </c>
      <c r="L3115">
        <v>683.80555627821002</v>
      </c>
      <c r="M3115">
        <v>12.0336511308972</v>
      </c>
      <c r="N3115">
        <v>56.824445214095803</v>
      </c>
      <c r="O3115">
        <v>55.323435673932003</v>
      </c>
      <c r="P3115">
        <v>-5.4391595762057703E-2</v>
      </c>
      <c r="Q3115">
        <v>0</v>
      </c>
      <c r="R3115">
        <v>0.98711877412498705</v>
      </c>
      <c r="S3115" t="s">
        <v>9921</v>
      </c>
      <c r="T3115" t="s">
        <v>13610</v>
      </c>
      <c r="U3115" t="s">
        <v>13610</v>
      </c>
      <c r="V3115" t="s">
        <v>13610</v>
      </c>
      <c r="W3115" t="s">
        <v>16671</v>
      </c>
      <c r="X3115">
        <v>3</v>
      </c>
      <c r="Y3115" t="s">
        <v>23306</v>
      </c>
      <c r="Z3115" t="s">
        <v>29970</v>
      </c>
      <c r="AA3115">
        <v>0.57830589276108368</v>
      </c>
      <c r="AB3115" t="str">
        <f>HYPERLINK("Melting_Curves/meltCurve_Q08AG7_MZT1.pdf", "Melting_Curves/meltCurve_Q08AG7_MZT1.pdf")</f>
        <v>Melting_Curves/meltCurve_Q08AG7_MZT1.pdf</v>
      </c>
    </row>
    <row r="3116" spans="1:28" x14ac:dyDescent="0.25">
      <c r="A3116" t="s">
        <v>3120</v>
      </c>
      <c r="B3116">
        <v>0.995954080203443</v>
      </c>
      <c r="C3116">
        <v>0.70877361724274701</v>
      </c>
      <c r="D3116">
        <v>0.55090405190338898</v>
      </c>
      <c r="E3116">
        <v>0.50824981318444296</v>
      </c>
      <c r="F3116">
        <v>0.28523696037808699</v>
      </c>
      <c r="G3116">
        <v>0.106487960569038</v>
      </c>
      <c r="H3116">
        <v>6.4000946446694199E-2</v>
      </c>
      <c r="I3116">
        <v>5.5343240500391501E-2</v>
      </c>
      <c r="J3116">
        <v>6.03781278836973E-2</v>
      </c>
      <c r="K3116">
        <v>5.5292474320997501E-2</v>
      </c>
      <c r="L3116">
        <v>509.155319070649</v>
      </c>
      <c r="M3116">
        <v>10.587660410311001</v>
      </c>
      <c r="N3116">
        <v>48.089502666277298</v>
      </c>
      <c r="O3116">
        <v>46.469065728644502</v>
      </c>
      <c r="P3116">
        <v>-5.6983058642212203E-2</v>
      </c>
      <c r="Q3116">
        <v>0</v>
      </c>
      <c r="R3116">
        <v>0.96383336929173402</v>
      </c>
      <c r="S3116" t="s">
        <v>9922</v>
      </c>
      <c r="T3116" t="s">
        <v>13610</v>
      </c>
      <c r="U3116" t="s">
        <v>13610</v>
      </c>
      <c r="V3116" t="s">
        <v>13610</v>
      </c>
      <c r="W3116" t="s">
        <v>16672</v>
      </c>
      <c r="X3116">
        <v>16</v>
      </c>
      <c r="Y3116" t="s">
        <v>23307</v>
      </c>
      <c r="Z3116" t="s">
        <v>29971</v>
      </c>
      <c r="AA3116">
        <v>0.31770522552474162</v>
      </c>
      <c r="AB3116" t="str">
        <f>HYPERLINK("Melting_Curves/meltCurve_Q08AM6_VAC14.pdf", "Melting_Curves/meltCurve_Q08AM6_VAC14.pdf")</f>
        <v>Melting_Curves/meltCurve_Q08AM6_VAC14.pdf</v>
      </c>
    </row>
    <row r="3117" spans="1:28" x14ac:dyDescent="0.25">
      <c r="A3117" t="s">
        <v>3121</v>
      </c>
      <c r="B3117">
        <v>0.995954080203443</v>
      </c>
      <c r="C3117">
        <v>0.88916269456913199</v>
      </c>
      <c r="D3117">
        <v>0.95651126972190603</v>
      </c>
      <c r="E3117">
        <v>0.75479081570561701</v>
      </c>
      <c r="F3117">
        <v>0.48580167841333399</v>
      </c>
      <c r="G3117">
        <v>0.215029965454579</v>
      </c>
      <c r="H3117">
        <v>0.10796605567345</v>
      </c>
      <c r="I3117">
        <v>0.108263929258775</v>
      </c>
      <c r="J3117">
        <v>0.107382596173342</v>
      </c>
      <c r="K3117">
        <v>0.10316640742119799</v>
      </c>
      <c r="L3117">
        <v>1115.05211203301</v>
      </c>
      <c r="M3117">
        <v>21.3251234818065</v>
      </c>
      <c r="N3117">
        <v>52.769971351478702</v>
      </c>
      <c r="O3117">
        <v>51.834902535803103</v>
      </c>
      <c r="P3117">
        <v>-9.3755686475096606E-2</v>
      </c>
      <c r="Q3117">
        <v>8.8456554109618502E-2</v>
      </c>
      <c r="R3117">
        <v>0.99170649125811905</v>
      </c>
      <c r="S3117" t="s">
        <v>9923</v>
      </c>
      <c r="T3117" t="s">
        <v>13610</v>
      </c>
      <c r="U3117" t="s">
        <v>13610</v>
      </c>
      <c r="V3117" t="s">
        <v>13610</v>
      </c>
      <c r="W3117" t="s">
        <v>16673</v>
      </c>
      <c r="X3117">
        <v>51</v>
      </c>
      <c r="Y3117" t="s">
        <v>23308</v>
      </c>
      <c r="Z3117" t="s">
        <v>29972</v>
      </c>
      <c r="AA3117">
        <v>0.47305929610976122</v>
      </c>
      <c r="AB3117" t="str">
        <f>HYPERLINK("Melting_Curves/meltCurve_Q08J23_NSUN2.pdf", "Melting_Curves/meltCurve_Q08J23_NSUN2.pdf")</f>
        <v>Melting_Curves/meltCurve_Q08J23_NSUN2.pdf</v>
      </c>
    </row>
    <row r="3118" spans="1:28" x14ac:dyDescent="0.25">
      <c r="A3118" t="s">
        <v>3122</v>
      </c>
      <c r="B3118">
        <v>0.995954080203443</v>
      </c>
      <c r="C3118">
        <v>1.02841754071198</v>
      </c>
      <c r="D3118">
        <v>0.93671431364831903</v>
      </c>
      <c r="E3118">
        <v>0.948845627844777</v>
      </c>
      <c r="F3118">
        <v>0.80700530410570104</v>
      </c>
      <c r="G3118">
        <v>0.59138442384481205</v>
      </c>
      <c r="H3118">
        <v>0.32010729598723298</v>
      </c>
      <c r="I3118">
        <v>0.17686835047166899</v>
      </c>
      <c r="J3118">
        <v>8.6665296687840704E-2</v>
      </c>
      <c r="K3118">
        <v>7.6240845169326402E-2</v>
      </c>
      <c r="L3118">
        <v>936.97620997589297</v>
      </c>
      <c r="M3118">
        <v>16.126891476656301</v>
      </c>
      <c r="N3118">
        <v>58.100237046970904</v>
      </c>
      <c r="O3118">
        <v>57.228899439548996</v>
      </c>
      <c r="P3118">
        <v>-7.0454428039855493E-2</v>
      </c>
      <c r="Q3118">
        <v>0</v>
      </c>
      <c r="R3118">
        <v>0.99652953236675901</v>
      </c>
      <c r="S3118" t="s">
        <v>9924</v>
      </c>
      <c r="T3118" t="s">
        <v>13610</v>
      </c>
      <c r="U3118" t="s">
        <v>13610</v>
      </c>
      <c r="V3118" t="s">
        <v>13610</v>
      </c>
      <c r="W3118" t="s">
        <v>16674</v>
      </c>
      <c r="X3118">
        <v>13</v>
      </c>
      <c r="Y3118" t="s">
        <v>23309</v>
      </c>
      <c r="Z3118" t="s">
        <v>29973</v>
      </c>
      <c r="AA3118">
        <v>0.61627151109338774</v>
      </c>
      <c r="AB3118" t="str">
        <f>HYPERLINK("Melting_Curves/meltCurve_Q09028_3_RBBP4.pdf", "Melting_Curves/meltCurve_Q09028_3_RBBP4.pdf")</f>
        <v>Melting_Curves/meltCurve_Q09028_3_RBBP4.pdf</v>
      </c>
    </row>
    <row r="3119" spans="1:28" x14ac:dyDescent="0.25">
      <c r="A3119" t="s">
        <v>3123</v>
      </c>
      <c r="B3119">
        <v>0.995954080203443</v>
      </c>
      <c r="C3119">
        <v>0.92305113538952399</v>
      </c>
      <c r="D3119">
        <v>0.76195855024126202</v>
      </c>
      <c r="E3119">
        <v>0.46320888205689598</v>
      </c>
      <c r="F3119">
        <v>0.173119981268477</v>
      </c>
      <c r="G3119">
        <v>9.0438479011110198E-2</v>
      </c>
      <c r="H3119">
        <v>5.8520008751061003E-2</v>
      </c>
      <c r="I3119">
        <v>4.8839177096948599E-2</v>
      </c>
      <c r="J3119">
        <v>5.7406159626497401E-2</v>
      </c>
      <c r="K3119">
        <v>4.7855748359208597E-2</v>
      </c>
      <c r="L3119">
        <v>939.60829548830304</v>
      </c>
      <c r="M3119">
        <v>19.215742488190902</v>
      </c>
      <c r="N3119">
        <v>49.102618978496203</v>
      </c>
      <c r="O3119">
        <v>48.377510049010098</v>
      </c>
      <c r="P3119">
        <v>-9.5481029636212994E-2</v>
      </c>
      <c r="Q3119">
        <v>3.8505508487353901E-2</v>
      </c>
      <c r="R3119">
        <v>0.99660598774766596</v>
      </c>
      <c r="S3119" t="s">
        <v>9925</v>
      </c>
      <c r="T3119" t="s">
        <v>13610</v>
      </c>
      <c r="U3119" t="s">
        <v>13610</v>
      </c>
      <c r="V3119" t="s">
        <v>13610</v>
      </c>
      <c r="W3119" t="s">
        <v>16675</v>
      </c>
      <c r="X3119">
        <v>26</v>
      </c>
      <c r="Y3119" t="s">
        <v>23310</v>
      </c>
      <c r="Z3119" t="s">
        <v>29974</v>
      </c>
      <c r="AA3119">
        <v>0.33830523646527799</v>
      </c>
      <c r="AB3119" t="str">
        <f>HYPERLINK("Melting_Curves/meltCurve_Q09161_NCBP1.pdf", "Melting_Curves/meltCurve_Q09161_NCBP1.pdf")</f>
        <v>Melting_Curves/meltCurve_Q09161_NCBP1.pdf</v>
      </c>
    </row>
    <row r="3120" spans="1:28" x14ac:dyDescent="0.25">
      <c r="A3120" t="s">
        <v>3124</v>
      </c>
      <c r="B3120">
        <v>0.995954080203443</v>
      </c>
      <c r="C3120">
        <v>1.00503749729285</v>
      </c>
      <c r="D3120">
        <v>1.0589670690896</v>
      </c>
      <c r="E3120">
        <v>0.88955334917066997</v>
      </c>
      <c r="F3120">
        <v>0.57848631968938002</v>
      </c>
      <c r="G3120">
        <v>0.24087559232863701</v>
      </c>
      <c r="H3120">
        <v>0.175766371816307</v>
      </c>
      <c r="I3120">
        <v>0.18273823575867601</v>
      </c>
      <c r="J3120">
        <v>0.2039062729627</v>
      </c>
      <c r="K3120">
        <v>0.20195708232976101</v>
      </c>
      <c r="L3120">
        <v>1872.2653764972099</v>
      </c>
      <c r="M3120">
        <v>35.4355259143002</v>
      </c>
      <c r="N3120">
        <v>53.550259442342799</v>
      </c>
      <c r="O3120">
        <v>52.668406814728499</v>
      </c>
      <c r="P3120">
        <v>-0.136519327422469</v>
      </c>
      <c r="Q3120">
        <v>0.188359013895147</v>
      </c>
      <c r="R3120">
        <v>0.99630237380894004</v>
      </c>
      <c r="S3120" t="s">
        <v>9926</v>
      </c>
      <c r="T3120" t="s">
        <v>13610</v>
      </c>
      <c r="U3120" t="s">
        <v>13610</v>
      </c>
      <c r="V3120" t="s">
        <v>13610</v>
      </c>
      <c r="W3120" t="s">
        <v>16676</v>
      </c>
      <c r="X3120">
        <v>34</v>
      </c>
      <c r="Y3120" t="s">
        <v>23311</v>
      </c>
      <c r="Z3120" t="s">
        <v>29975</v>
      </c>
      <c r="AA3120">
        <v>0.53940328133070459</v>
      </c>
      <c r="AB3120" t="str">
        <f>HYPERLINK("Melting_Curves/meltCurve_Q09472_EP300.pdf", "Melting_Curves/meltCurve_Q09472_EP300.pdf")</f>
        <v>Melting_Curves/meltCurve_Q09472_EP300.pdf</v>
      </c>
    </row>
    <row r="3121" spans="1:28" x14ac:dyDescent="0.25">
      <c r="A3121" t="s">
        <v>3125</v>
      </c>
      <c r="B3121">
        <v>0.995954080203443</v>
      </c>
      <c r="C3121">
        <v>1.00858312025556</v>
      </c>
      <c r="D3121">
        <v>1.0072054385835201</v>
      </c>
      <c r="E3121">
        <v>0.92445671219125602</v>
      </c>
      <c r="F3121">
        <v>0.87333262032127301</v>
      </c>
      <c r="G3121">
        <v>0.67562900082534405</v>
      </c>
      <c r="H3121">
        <v>0.62614968511565094</v>
      </c>
      <c r="I3121">
        <v>0.71367325741601895</v>
      </c>
      <c r="J3121">
        <v>0.78104492153837302</v>
      </c>
      <c r="K3121">
        <v>0.83826655150031903</v>
      </c>
      <c r="L3121">
        <v>2015.0255608882501</v>
      </c>
      <c r="M3121">
        <v>38.358997563540697</v>
      </c>
      <c r="O3121">
        <v>52.388556452936697</v>
      </c>
      <c r="P3121">
        <v>-4.9877362811806901E-2</v>
      </c>
      <c r="Q3121">
        <v>0.72752191306199898</v>
      </c>
      <c r="R3121">
        <v>0.81773453689292996</v>
      </c>
      <c r="S3121" t="s">
        <v>9927</v>
      </c>
      <c r="T3121" t="s">
        <v>13610</v>
      </c>
      <c r="U3121" t="s">
        <v>13610</v>
      </c>
      <c r="V3121" t="s">
        <v>13610</v>
      </c>
      <c r="W3121" t="s">
        <v>16677</v>
      </c>
      <c r="X3121">
        <v>298</v>
      </c>
      <c r="Y3121" t="s">
        <v>23312</v>
      </c>
      <c r="Z3121" t="s">
        <v>29976</v>
      </c>
      <c r="AA3121">
        <v>0.84240880587447364</v>
      </c>
      <c r="AB3121" t="str">
        <f>HYPERLINK("Melting_Curves/meltCurve_Q09666_AHNAK.pdf", "Melting_Curves/meltCurve_Q09666_AHNAK.pdf")</f>
        <v>Melting_Curves/meltCurve_Q09666_AHNAK.pdf</v>
      </c>
    </row>
    <row r="3122" spans="1:28" x14ac:dyDescent="0.25">
      <c r="A3122" t="s">
        <v>3126</v>
      </c>
      <c r="B3122">
        <v>0.995954080203443</v>
      </c>
      <c r="C3122">
        <v>1.0236115146947</v>
      </c>
      <c r="D3122">
        <v>0.98041213333800203</v>
      </c>
      <c r="E3122">
        <v>0.822233238176306</v>
      </c>
      <c r="F3122">
        <v>0.57709672550957303</v>
      </c>
      <c r="G3122">
        <v>0.31152022130933399</v>
      </c>
      <c r="H3122">
        <v>0.18178976192012999</v>
      </c>
      <c r="I3122">
        <v>0.18032809354024101</v>
      </c>
      <c r="J3122">
        <v>0.18344037776271899</v>
      </c>
      <c r="K3122">
        <v>0.180349546453133</v>
      </c>
      <c r="L3122">
        <v>1229.5568989363701</v>
      </c>
      <c r="M3122">
        <v>23.240897479144799</v>
      </c>
      <c r="N3122">
        <v>53.860262493497601</v>
      </c>
      <c r="O3122">
        <v>52.517862821591798</v>
      </c>
      <c r="P3122">
        <v>-9.1946672437705407E-2</v>
      </c>
      <c r="Q3122">
        <v>0.16892093131897201</v>
      </c>
      <c r="R3122">
        <v>0.99871187602633105</v>
      </c>
      <c r="S3122" t="s">
        <v>9928</v>
      </c>
      <c r="T3122" t="s">
        <v>13610</v>
      </c>
      <c r="U3122" t="s">
        <v>13610</v>
      </c>
      <c r="V3122" t="s">
        <v>13610</v>
      </c>
      <c r="W3122" t="s">
        <v>16678</v>
      </c>
      <c r="X3122">
        <v>11</v>
      </c>
      <c r="Y3122" t="s">
        <v>23313</v>
      </c>
      <c r="Z3122" t="s">
        <v>29977</v>
      </c>
      <c r="AA3122">
        <v>0.53517818938983497</v>
      </c>
      <c r="AB3122" t="str">
        <f>HYPERLINK("Melting_Curves/meltCurve_Q0JRZ9_FCHO2.pdf", "Melting_Curves/meltCurve_Q0JRZ9_FCHO2.pdf")</f>
        <v>Melting_Curves/meltCurve_Q0JRZ9_FCHO2.pdf</v>
      </c>
    </row>
    <row r="3123" spans="1:28" x14ac:dyDescent="0.25">
      <c r="A3123" t="s">
        <v>3127</v>
      </c>
      <c r="B3123">
        <v>0.995954080203443</v>
      </c>
      <c r="C3123">
        <v>0.97984866055055697</v>
      </c>
      <c r="D3123">
        <v>0.815733434586418</v>
      </c>
      <c r="E3123">
        <v>0.95618693937525201</v>
      </c>
      <c r="F3123">
        <v>0.67970064738555303</v>
      </c>
      <c r="G3123">
        <v>0.47886852682880499</v>
      </c>
      <c r="H3123">
        <v>0.27436426431856897</v>
      </c>
      <c r="I3123">
        <v>0.25673519437850501</v>
      </c>
      <c r="J3123">
        <v>0.206115642146834</v>
      </c>
      <c r="K3123">
        <v>0.19745253111366801</v>
      </c>
      <c r="L3123">
        <v>893.23062186405696</v>
      </c>
      <c r="M3123">
        <v>16.232496178979201</v>
      </c>
      <c r="N3123">
        <v>56.410171394633601</v>
      </c>
      <c r="O3123">
        <v>54.212500138836901</v>
      </c>
      <c r="P3123">
        <v>-6.2573270304361606E-2</v>
      </c>
      <c r="Q3123">
        <v>0.16414529552014401</v>
      </c>
      <c r="R3123">
        <v>0.96732987496688905</v>
      </c>
      <c r="S3123" t="s">
        <v>9929</v>
      </c>
      <c r="T3123" t="s">
        <v>13610</v>
      </c>
      <c r="U3123" t="s">
        <v>13610</v>
      </c>
      <c r="V3123" t="s">
        <v>13610</v>
      </c>
      <c r="W3123" t="s">
        <v>16679</v>
      </c>
      <c r="X3123">
        <v>13</v>
      </c>
      <c r="Y3123" t="s">
        <v>23314</v>
      </c>
      <c r="Z3123" t="s">
        <v>29978</v>
      </c>
      <c r="AA3123">
        <v>0.59755570468575481</v>
      </c>
      <c r="AB3123" t="str">
        <f>HYPERLINK("Melting_Curves/meltCurve_Q0PNE2_ELP6.pdf", "Melting_Curves/meltCurve_Q0PNE2_ELP6.pdf")</f>
        <v>Melting_Curves/meltCurve_Q0PNE2_ELP6.pdf</v>
      </c>
    </row>
    <row r="3124" spans="1:28" x14ac:dyDescent="0.25">
      <c r="A3124" t="s">
        <v>3128</v>
      </c>
      <c r="B3124">
        <v>0.995954080203443</v>
      </c>
      <c r="C3124">
        <v>0.97608325584298605</v>
      </c>
      <c r="D3124">
        <v>0.98933479431848204</v>
      </c>
      <c r="E3124">
        <v>0.89004840880052305</v>
      </c>
      <c r="F3124">
        <v>0.84007212347810301</v>
      </c>
      <c r="G3124">
        <v>0.61966435398588704</v>
      </c>
      <c r="H3124">
        <v>0.57411376234639699</v>
      </c>
      <c r="I3124">
        <v>0.67004430827413597</v>
      </c>
      <c r="J3124">
        <v>0.85823533902897398</v>
      </c>
      <c r="K3124">
        <v>0.79200286234426498</v>
      </c>
      <c r="L3124">
        <v>1679.76105458955</v>
      </c>
      <c r="M3124">
        <v>32.645473840958402</v>
      </c>
      <c r="O3124">
        <v>51.262689768708398</v>
      </c>
      <c r="P3124">
        <v>-4.6684165715455098E-2</v>
      </c>
      <c r="Q3124">
        <v>0.70677149807928796</v>
      </c>
      <c r="R3124">
        <v>0.70448339431032403</v>
      </c>
      <c r="S3124" t="s">
        <v>9930</v>
      </c>
      <c r="T3124" t="s">
        <v>13610</v>
      </c>
      <c r="U3124" t="s">
        <v>13610</v>
      </c>
      <c r="V3124" t="s">
        <v>13610</v>
      </c>
      <c r="W3124" t="s">
        <v>16680</v>
      </c>
      <c r="X3124">
        <v>24</v>
      </c>
      <c r="Y3124" t="s">
        <v>23315</v>
      </c>
      <c r="Z3124" t="s">
        <v>29979</v>
      </c>
      <c r="AA3124">
        <v>0.82030096754088277</v>
      </c>
      <c r="AB3124" t="str">
        <f>HYPERLINK("Melting_Curves/meltCurve_Q0VD83_APOBR.pdf", "Melting_Curves/meltCurve_Q0VD83_APOBR.pdf")</f>
        <v>Melting_Curves/meltCurve_Q0VD83_APOBR.pdf</v>
      </c>
    </row>
    <row r="3125" spans="1:28" x14ac:dyDescent="0.25">
      <c r="A3125" t="s">
        <v>3129</v>
      </c>
      <c r="B3125">
        <v>0.995954080203443</v>
      </c>
      <c r="C3125">
        <v>0.81692665033219602</v>
      </c>
      <c r="D3125">
        <v>0.36826812048370999</v>
      </c>
      <c r="E3125">
        <v>0.28019565945826302</v>
      </c>
      <c r="F3125">
        <v>0.13619894401282401</v>
      </c>
      <c r="G3125">
        <v>7.5326941710627704E-2</v>
      </c>
      <c r="H3125">
        <v>4.6248769499100201E-2</v>
      </c>
      <c r="I3125">
        <v>3.8842175604712502E-2</v>
      </c>
      <c r="J3125">
        <v>4.5382651846354198E-2</v>
      </c>
      <c r="K3125">
        <v>3.9463696482072201E-2</v>
      </c>
      <c r="L3125">
        <v>916.574310178416</v>
      </c>
      <c r="M3125">
        <v>20.207326503565</v>
      </c>
      <c r="N3125">
        <v>45.638582300800401</v>
      </c>
      <c r="O3125">
        <v>44.921310127401497</v>
      </c>
      <c r="P3125">
        <v>-0.105904635043491</v>
      </c>
      <c r="Q3125">
        <v>5.8316551585928897E-2</v>
      </c>
      <c r="R3125">
        <v>0.97683569162772599</v>
      </c>
      <c r="S3125" t="s">
        <v>9931</v>
      </c>
      <c r="T3125" t="s">
        <v>13610</v>
      </c>
      <c r="U3125" t="s">
        <v>13610</v>
      </c>
      <c r="V3125" t="s">
        <v>13610</v>
      </c>
      <c r="W3125" t="s">
        <v>16681</v>
      </c>
      <c r="X3125">
        <v>21</v>
      </c>
      <c r="Y3125" t="s">
        <v>23316</v>
      </c>
      <c r="Z3125" t="s">
        <v>29980</v>
      </c>
      <c r="AA3125">
        <v>0.24150828586254741</v>
      </c>
      <c r="AB3125" t="str">
        <f>HYPERLINK("Melting_Curves/meltCurve_Q0VDF9_HSPA14.pdf", "Melting_Curves/meltCurve_Q0VDF9_HSPA14.pdf")</f>
        <v>Melting_Curves/meltCurve_Q0VDF9_HSPA14.pdf</v>
      </c>
    </row>
    <row r="3126" spans="1:28" x14ac:dyDescent="0.25">
      <c r="A3126" t="s">
        <v>3130</v>
      </c>
      <c r="B3126">
        <v>0.995954080203443</v>
      </c>
      <c r="C3126">
        <v>1.07793012853005</v>
      </c>
      <c r="D3126">
        <v>1.04604899698776</v>
      </c>
      <c r="E3126">
        <v>0.95917171608294804</v>
      </c>
      <c r="F3126">
        <v>0.71714854083094604</v>
      </c>
      <c r="G3126">
        <v>0.27121329625068402</v>
      </c>
      <c r="H3126">
        <v>0.134915084090727</v>
      </c>
      <c r="I3126">
        <v>0.106290638653808</v>
      </c>
      <c r="J3126">
        <v>9.44227867984785E-2</v>
      </c>
      <c r="K3126">
        <v>8.9114538389411399E-2</v>
      </c>
      <c r="L3126">
        <v>1716.7969491049701</v>
      </c>
      <c r="M3126">
        <v>31.5672792428823</v>
      </c>
      <c r="N3126">
        <v>54.757086206241603</v>
      </c>
      <c r="O3126">
        <v>54.168474062758001</v>
      </c>
      <c r="P3126">
        <v>-0.131638613863411</v>
      </c>
      <c r="Q3126">
        <v>9.6453660305805405E-2</v>
      </c>
      <c r="R3126">
        <v>0.99500477459393899</v>
      </c>
      <c r="S3126" t="s">
        <v>9932</v>
      </c>
      <c r="T3126" t="s">
        <v>13610</v>
      </c>
      <c r="U3126" t="s">
        <v>13610</v>
      </c>
      <c r="V3126" t="s">
        <v>13610</v>
      </c>
      <c r="W3126" t="s">
        <v>16682</v>
      </c>
      <c r="X3126">
        <v>13</v>
      </c>
      <c r="Y3126" t="s">
        <v>23317</v>
      </c>
      <c r="Z3126" t="s">
        <v>29981</v>
      </c>
      <c r="AA3126">
        <v>0.53511744882752921</v>
      </c>
      <c r="AB3126" t="str">
        <f>HYPERLINK("Melting_Curves/meltCurve_Q0VDG4_SCRN3.pdf", "Melting_Curves/meltCurve_Q0VDG4_SCRN3.pdf")</f>
        <v>Melting_Curves/meltCurve_Q0VDG4_SCRN3.pdf</v>
      </c>
    </row>
    <row r="3127" spans="1:28" x14ac:dyDescent="0.25">
      <c r="A3127" t="s">
        <v>3131</v>
      </c>
      <c r="B3127">
        <v>0.995954080203443</v>
      </c>
      <c r="C3127">
        <v>0.90827704005463095</v>
      </c>
      <c r="D3127">
        <v>0.88057884256248597</v>
      </c>
      <c r="E3127">
        <v>0.72303731148994699</v>
      </c>
      <c r="F3127">
        <v>0.53413898388638703</v>
      </c>
      <c r="G3127">
        <v>0.327545251724145</v>
      </c>
      <c r="H3127">
        <v>0.20428217262368101</v>
      </c>
      <c r="I3127">
        <v>0.18851177353029</v>
      </c>
      <c r="J3127">
        <v>0.16955549317162799</v>
      </c>
      <c r="K3127">
        <v>0.135555099009118</v>
      </c>
      <c r="L3127">
        <v>702.81319201406598</v>
      </c>
      <c r="M3127">
        <v>13.3677048177411</v>
      </c>
      <c r="N3127">
        <v>53.525077085894601</v>
      </c>
      <c r="O3127">
        <v>51.440664848299399</v>
      </c>
      <c r="P3127">
        <v>-5.81173387003441E-2</v>
      </c>
      <c r="Q3127">
        <v>0.105569091952123</v>
      </c>
      <c r="R3127">
        <v>0.99613194724051701</v>
      </c>
      <c r="S3127" t="s">
        <v>9933</v>
      </c>
      <c r="T3127" t="s">
        <v>13610</v>
      </c>
      <c r="U3127" t="s">
        <v>13610</v>
      </c>
      <c r="V3127" t="s">
        <v>13610</v>
      </c>
      <c r="W3127" t="s">
        <v>16683</v>
      </c>
      <c r="X3127">
        <v>6</v>
      </c>
      <c r="Y3127" t="s">
        <v>23318</v>
      </c>
      <c r="Z3127" t="s">
        <v>29982</v>
      </c>
      <c r="AA3127">
        <v>0.50346423294202358</v>
      </c>
      <c r="AB3127" t="str">
        <f>HYPERLINK("Melting_Curves/meltCurve_Q0VG06_FAAP100.pdf", "Melting_Curves/meltCurve_Q0VG06_FAAP100.pdf")</f>
        <v>Melting_Curves/meltCurve_Q0VG06_FAAP100.pdf</v>
      </c>
    </row>
    <row r="3128" spans="1:28" x14ac:dyDescent="0.25">
      <c r="A3128" t="s">
        <v>3132</v>
      </c>
      <c r="B3128">
        <v>0.995954080203443</v>
      </c>
      <c r="C3128">
        <v>1.0364112501035301</v>
      </c>
      <c r="D3128">
        <v>1.0860158504523301</v>
      </c>
      <c r="E3128">
        <v>0.90322813882959896</v>
      </c>
      <c r="F3128">
        <v>0.91087275061558004</v>
      </c>
      <c r="G3128">
        <v>0.63870515327204203</v>
      </c>
      <c r="H3128">
        <v>0.33413023226711303</v>
      </c>
      <c r="I3128">
        <v>0.13704777864246401</v>
      </c>
      <c r="J3128">
        <v>7.1663093068322595E-2</v>
      </c>
      <c r="K3128">
        <v>7.1519776971414303E-2</v>
      </c>
      <c r="L3128">
        <v>1198.73686066914</v>
      </c>
      <c r="M3128">
        <v>20.478057965079799</v>
      </c>
      <c r="N3128">
        <v>58.631103776712003</v>
      </c>
      <c r="O3128">
        <v>57.987958446022098</v>
      </c>
      <c r="P3128">
        <v>-8.6870462581356805E-2</v>
      </c>
      <c r="Q3128">
        <v>1.6060397388524699E-2</v>
      </c>
      <c r="R3128">
        <v>0.99015544357809304</v>
      </c>
      <c r="S3128" t="s">
        <v>9934</v>
      </c>
      <c r="T3128" t="s">
        <v>13610</v>
      </c>
      <c r="U3128" t="s">
        <v>13610</v>
      </c>
      <c r="V3128" t="s">
        <v>13610</v>
      </c>
      <c r="W3128" t="s">
        <v>16684</v>
      </c>
      <c r="X3128">
        <v>2</v>
      </c>
      <c r="Y3128" t="s">
        <v>23319</v>
      </c>
      <c r="Z3128" t="s">
        <v>29983</v>
      </c>
      <c r="AA3128">
        <v>0.63438239420732301</v>
      </c>
      <c r="AB3128" t="str">
        <f>HYPERLINK("Melting_Curves/meltCurve_Q0VGL1_LAMTOR4.pdf", "Melting_Curves/meltCurve_Q0VGL1_LAMTOR4.pdf")</f>
        <v>Melting_Curves/meltCurve_Q0VGL1_LAMTOR4.pdf</v>
      </c>
    </row>
    <row r="3129" spans="1:28" x14ac:dyDescent="0.25">
      <c r="A3129" t="s">
        <v>3133</v>
      </c>
      <c r="B3129">
        <v>0.995954080203443</v>
      </c>
      <c r="C3129">
        <v>0.925884189598151</v>
      </c>
      <c r="D3129">
        <v>0.83058319645656697</v>
      </c>
      <c r="E3129">
        <v>0.77740128477137505</v>
      </c>
      <c r="F3129">
        <v>0.49645329478247902</v>
      </c>
      <c r="G3129">
        <v>0.30263548778982702</v>
      </c>
      <c r="H3129">
        <v>0.132475131034898</v>
      </c>
      <c r="I3129">
        <v>6.5351961880597095E-2</v>
      </c>
      <c r="J3129">
        <v>6.21760314933354E-2</v>
      </c>
      <c r="K3129">
        <v>5.5870301650627001E-2</v>
      </c>
      <c r="L3129">
        <v>723.57941816019002</v>
      </c>
      <c r="M3129">
        <v>13.5827074872312</v>
      </c>
      <c r="N3129">
        <v>53.272108720543201</v>
      </c>
      <c r="O3129">
        <v>52.157168937392697</v>
      </c>
      <c r="P3129">
        <v>-6.5114401347634798E-2</v>
      </c>
      <c r="Q3129">
        <v>0</v>
      </c>
      <c r="R3129">
        <v>0.99077657819796106</v>
      </c>
      <c r="S3129" t="s">
        <v>9935</v>
      </c>
      <c r="T3129" t="s">
        <v>13610</v>
      </c>
      <c r="U3129" t="s">
        <v>13610</v>
      </c>
      <c r="V3129" t="s">
        <v>13610</v>
      </c>
      <c r="W3129" t="s">
        <v>16685</v>
      </c>
      <c r="X3129">
        <v>50</v>
      </c>
      <c r="Y3129" t="s">
        <v>23320</v>
      </c>
      <c r="Z3129" t="s">
        <v>29984</v>
      </c>
      <c r="AA3129">
        <v>0.46657187487134</v>
      </c>
      <c r="AB3129" t="str">
        <f>HYPERLINK("Melting_Curves/meltCurve_Q10567_2_AP1B1.pdf", "Melting_Curves/meltCurve_Q10567_2_AP1B1.pdf")</f>
        <v>Melting_Curves/meltCurve_Q10567_2_AP1B1.pdf</v>
      </c>
    </row>
    <row r="3130" spans="1:28" x14ac:dyDescent="0.25">
      <c r="A3130" t="s">
        <v>3134</v>
      </c>
      <c r="B3130">
        <v>0.995954080203443</v>
      </c>
      <c r="C3130">
        <v>1.0052210686171501</v>
      </c>
      <c r="D3130">
        <v>0.91060284234329303</v>
      </c>
      <c r="E3130">
        <v>0.78280687677500405</v>
      </c>
      <c r="F3130">
        <v>0.55248267254539196</v>
      </c>
      <c r="G3130">
        <v>0.32129553178179399</v>
      </c>
      <c r="H3130">
        <v>6.9232119576532899E-2</v>
      </c>
      <c r="I3130">
        <v>1.4067686348633399E-2</v>
      </c>
      <c r="J3130">
        <v>2.5329258833973701E-3</v>
      </c>
      <c r="K3130">
        <v>0</v>
      </c>
      <c r="L3130">
        <v>950.33531319583506</v>
      </c>
      <c r="M3130">
        <v>17.693702425468899</v>
      </c>
      <c r="N3130">
        <v>53.710371285207003</v>
      </c>
      <c r="O3130">
        <v>53.038383231237297</v>
      </c>
      <c r="P3130">
        <v>-8.3404857642494806E-2</v>
      </c>
      <c r="Q3130">
        <v>0</v>
      </c>
      <c r="R3130">
        <v>0.99451124750285402</v>
      </c>
      <c r="S3130" t="s">
        <v>9936</v>
      </c>
      <c r="T3130" t="s">
        <v>13610</v>
      </c>
      <c r="U3130" t="s">
        <v>13610</v>
      </c>
      <c r="V3130" t="s">
        <v>13610</v>
      </c>
      <c r="W3130" t="s">
        <v>16686</v>
      </c>
      <c r="X3130">
        <v>50</v>
      </c>
      <c r="Y3130" t="s">
        <v>23320</v>
      </c>
      <c r="Z3130" t="s">
        <v>29985</v>
      </c>
      <c r="AA3130">
        <v>0.47355748422241378</v>
      </c>
      <c r="AB3130" t="str">
        <f>HYPERLINK("Melting_Curves/meltCurve_Q10567_3_AP1B1.pdf", "Melting_Curves/meltCurve_Q10567_3_AP1B1.pdf")</f>
        <v>Melting_Curves/meltCurve_Q10567_3_AP1B1.pdf</v>
      </c>
    </row>
    <row r="3131" spans="1:28" x14ac:dyDescent="0.25">
      <c r="A3131" t="s">
        <v>3135</v>
      </c>
      <c r="B3131">
        <v>0.995954080203443</v>
      </c>
      <c r="C3131">
        <v>0.79280736862909396</v>
      </c>
      <c r="D3131">
        <v>0.72730376173644995</v>
      </c>
      <c r="E3131">
        <v>0.51778639658099601</v>
      </c>
      <c r="F3131">
        <v>0.19772701186726199</v>
      </c>
      <c r="G3131">
        <v>0.120690861259467</v>
      </c>
      <c r="H3131">
        <v>8.1687062938941707E-2</v>
      </c>
      <c r="I3131">
        <v>7.6972695472311906E-2</v>
      </c>
      <c r="J3131">
        <v>8.0946998693973302E-2</v>
      </c>
      <c r="K3131">
        <v>7.3799454973536696E-2</v>
      </c>
      <c r="L3131">
        <v>701.171255749289</v>
      </c>
      <c r="M3131">
        <v>14.3961713501108</v>
      </c>
      <c r="N3131">
        <v>49.007276469805603</v>
      </c>
      <c r="O3131">
        <v>47.794536899838903</v>
      </c>
      <c r="P3131">
        <v>-7.2115871613025795E-2</v>
      </c>
      <c r="Q3131">
        <v>4.2430143490977901E-2</v>
      </c>
      <c r="R3131">
        <v>0.97984092398768696</v>
      </c>
      <c r="S3131" t="s">
        <v>9937</v>
      </c>
      <c r="T3131" t="s">
        <v>13610</v>
      </c>
      <c r="U3131" t="s">
        <v>13610</v>
      </c>
      <c r="V3131" t="s">
        <v>13610</v>
      </c>
      <c r="W3131" t="s">
        <v>16687</v>
      </c>
      <c r="X3131">
        <v>48</v>
      </c>
      <c r="Y3131" t="s">
        <v>23321</v>
      </c>
      <c r="Z3131" t="s">
        <v>29986</v>
      </c>
      <c r="AA3131">
        <v>0.34613550657706349</v>
      </c>
      <c r="AB3131" t="str">
        <f>HYPERLINK("Melting_Curves/meltCurve_Q10570_CPSF1.pdf", "Melting_Curves/meltCurve_Q10570_CPSF1.pdf")</f>
        <v>Melting_Curves/meltCurve_Q10570_CPSF1.pdf</v>
      </c>
    </row>
    <row r="3132" spans="1:28" x14ac:dyDescent="0.25">
      <c r="A3132" t="s">
        <v>3136</v>
      </c>
      <c r="B3132">
        <v>0.995954080203443</v>
      </c>
      <c r="C3132">
        <v>0.88071736031084702</v>
      </c>
      <c r="D3132">
        <v>0.77000951516965199</v>
      </c>
      <c r="E3132">
        <v>0.35687958941077202</v>
      </c>
      <c r="F3132">
        <v>0.165528198693073</v>
      </c>
      <c r="G3132">
        <v>9.2712504938784607E-2</v>
      </c>
      <c r="H3132">
        <v>5.8167511038841997E-2</v>
      </c>
      <c r="I3132">
        <v>5.2555486631668098E-2</v>
      </c>
      <c r="J3132">
        <v>6.0244808140101101E-2</v>
      </c>
      <c r="K3132">
        <v>5.1198740882893799E-2</v>
      </c>
      <c r="L3132">
        <v>987.55466392799099</v>
      </c>
      <c r="M3132">
        <v>20.4725202869054</v>
      </c>
      <c r="N3132">
        <v>48.479164379060201</v>
      </c>
      <c r="O3132">
        <v>47.784880677710298</v>
      </c>
      <c r="P3132">
        <v>-0.101926467054649</v>
      </c>
      <c r="Q3132">
        <v>4.84025456013513E-2</v>
      </c>
      <c r="R3132">
        <v>0.99725426374835902</v>
      </c>
      <c r="S3132" t="s">
        <v>9938</v>
      </c>
      <c r="T3132" t="s">
        <v>13610</v>
      </c>
      <c r="U3132" t="s">
        <v>13610</v>
      </c>
      <c r="V3132" t="s">
        <v>13610</v>
      </c>
      <c r="W3132" t="s">
        <v>16688</v>
      </c>
      <c r="X3132">
        <v>17</v>
      </c>
      <c r="Y3132" t="s">
        <v>23322</v>
      </c>
      <c r="Z3132" t="s">
        <v>29987</v>
      </c>
      <c r="AA3132">
        <v>0.3225309818551122</v>
      </c>
      <c r="AB3132" t="str">
        <f>HYPERLINK("Melting_Curves/meltCurve_Q10713_PMPCA.pdf", "Melting_Curves/meltCurve_Q10713_PMPCA.pdf")</f>
        <v>Melting_Curves/meltCurve_Q10713_PMPCA.pdf</v>
      </c>
    </row>
    <row r="3133" spans="1:28" x14ac:dyDescent="0.25">
      <c r="A3133" t="s">
        <v>3137</v>
      </c>
      <c r="B3133">
        <v>0.995954080203443</v>
      </c>
      <c r="C3133">
        <v>0.87668046880506501</v>
      </c>
      <c r="D3133">
        <v>0.59410699964375002</v>
      </c>
      <c r="E3133">
        <v>0.42272543998553402</v>
      </c>
      <c r="F3133">
        <v>0.18989682593019599</v>
      </c>
      <c r="G3133">
        <v>9.3850386105400696E-2</v>
      </c>
      <c r="H3133">
        <v>6.8325548912205297E-2</v>
      </c>
      <c r="I3133">
        <v>8.2803093007679393E-2</v>
      </c>
      <c r="J3133">
        <v>8.5395708894921193E-2</v>
      </c>
      <c r="K3133">
        <v>8.0257336005308599E-2</v>
      </c>
      <c r="L3133">
        <v>763.65984183883495</v>
      </c>
      <c r="M3133">
        <v>16.066366677831802</v>
      </c>
      <c r="N3133">
        <v>47.924022452151</v>
      </c>
      <c r="O3133">
        <v>46.813516708057698</v>
      </c>
      <c r="P3133">
        <v>-8.0517500738940095E-2</v>
      </c>
      <c r="Q3133">
        <v>6.1638460903699399E-2</v>
      </c>
      <c r="R3133">
        <v>0.98930985350238299</v>
      </c>
      <c r="S3133" t="s">
        <v>9939</v>
      </c>
      <c r="T3133" t="s">
        <v>13610</v>
      </c>
      <c r="U3133" t="s">
        <v>13610</v>
      </c>
      <c r="V3133" t="s">
        <v>13610</v>
      </c>
      <c r="W3133" t="s">
        <v>16689</v>
      </c>
      <c r="X3133">
        <v>6</v>
      </c>
      <c r="Y3133" t="s">
        <v>23323</v>
      </c>
      <c r="Z3133" t="s">
        <v>29988</v>
      </c>
      <c r="AA3133">
        <v>0.31869986592555272</v>
      </c>
      <c r="AB3133" t="str">
        <f>HYPERLINK("Melting_Curves/meltCurve_Q12756_KIF1A.pdf", "Melting_Curves/meltCurve_Q12756_KIF1A.pdf")</f>
        <v>Melting_Curves/meltCurve_Q12756_KIF1A.pdf</v>
      </c>
    </row>
    <row r="3134" spans="1:28" x14ac:dyDescent="0.25">
      <c r="A3134" t="s">
        <v>3138</v>
      </c>
      <c r="B3134">
        <v>0.995954080203443</v>
      </c>
      <c r="C3134">
        <v>0.82852199944323601</v>
      </c>
      <c r="D3134">
        <v>0.86045887983991298</v>
      </c>
      <c r="E3134">
        <v>0.68719188238121198</v>
      </c>
      <c r="F3134">
        <v>0.73135984085759198</v>
      </c>
      <c r="G3134">
        <v>0.563301913675056</v>
      </c>
      <c r="H3134">
        <v>0.58690297671973501</v>
      </c>
      <c r="I3134">
        <v>0.68918018968080896</v>
      </c>
      <c r="J3134">
        <v>0.79045082525807797</v>
      </c>
      <c r="K3134">
        <v>0.80827650218079705</v>
      </c>
      <c r="L3134">
        <v>840.18369919519398</v>
      </c>
      <c r="M3134">
        <v>18.987596084334999</v>
      </c>
      <c r="O3134">
        <v>43.767020944544299</v>
      </c>
      <c r="P3134">
        <v>-3.35094813462046E-2</v>
      </c>
      <c r="Q3134">
        <v>0.691050504413113</v>
      </c>
      <c r="R3134">
        <v>0.58447833615492895</v>
      </c>
      <c r="S3134" t="s">
        <v>9940</v>
      </c>
      <c r="T3134" t="s">
        <v>13610</v>
      </c>
      <c r="U3134" t="s">
        <v>13610</v>
      </c>
      <c r="V3134" t="s">
        <v>13610</v>
      </c>
      <c r="W3134" t="s">
        <v>16690</v>
      </c>
      <c r="X3134">
        <v>7</v>
      </c>
      <c r="Y3134" t="s">
        <v>23324</v>
      </c>
      <c r="Z3134" t="s">
        <v>29989</v>
      </c>
      <c r="AA3134">
        <v>0.741313376511475</v>
      </c>
      <c r="AB3134" t="str">
        <f>HYPERLINK("Melting_Curves/meltCurve_Q12766_2_HMGXB3.pdf", "Melting_Curves/meltCurve_Q12766_2_HMGXB3.pdf")</f>
        <v>Melting_Curves/meltCurve_Q12766_2_HMGXB3.pdf</v>
      </c>
    </row>
    <row r="3135" spans="1:28" x14ac:dyDescent="0.25">
      <c r="A3135" t="s">
        <v>3139</v>
      </c>
      <c r="B3135">
        <v>0.995954080203443</v>
      </c>
      <c r="C3135">
        <v>0.76768661200335198</v>
      </c>
      <c r="D3135">
        <v>0.56777092237261695</v>
      </c>
      <c r="E3135">
        <v>0.37359954669508999</v>
      </c>
      <c r="F3135">
        <v>0.12650831751726799</v>
      </c>
      <c r="G3135">
        <v>7.8231560595663802E-2</v>
      </c>
      <c r="H3135">
        <v>5.4334516819057203E-2</v>
      </c>
      <c r="I3135">
        <v>5.37077946386465E-2</v>
      </c>
      <c r="J3135">
        <v>6.1976003451531002E-2</v>
      </c>
      <c r="K3135">
        <v>5.63881199564331E-2</v>
      </c>
      <c r="L3135">
        <v>713.85495034988901</v>
      </c>
      <c r="M3135">
        <v>15.2406216685657</v>
      </c>
      <c r="N3135">
        <v>47.075073968333797</v>
      </c>
      <c r="O3135">
        <v>46.0547700542146</v>
      </c>
      <c r="P3135">
        <v>-7.9694358899024195E-2</v>
      </c>
      <c r="Q3135">
        <v>3.6795981951263303E-2</v>
      </c>
      <c r="R3135">
        <v>0.98695009690181801</v>
      </c>
      <c r="S3135" t="s">
        <v>9941</v>
      </c>
      <c r="T3135" t="s">
        <v>13610</v>
      </c>
      <c r="U3135" t="s">
        <v>13610</v>
      </c>
      <c r="V3135" t="s">
        <v>13610</v>
      </c>
      <c r="W3135" t="s">
        <v>16691</v>
      </c>
      <c r="X3135">
        <v>33</v>
      </c>
      <c r="Y3135" t="s">
        <v>23325</v>
      </c>
      <c r="Z3135" t="s">
        <v>29990</v>
      </c>
      <c r="AA3135">
        <v>0.28195495904954598</v>
      </c>
      <c r="AB3135" t="str">
        <f>HYPERLINK("Melting_Curves/meltCurve_Q12768_KIAA0196.pdf", "Melting_Curves/meltCurve_Q12768_KIAA0196.pdf")</f>
        <v>Melting_Curves/meltCurve_Q12768_KIAA0196.pdf</v>
      </c>
    </row>
    <row r="3136" spans="1:28" x14ac:dyDescent="0.25">
      <c r="A3136" t="s">
        <v>3140</v>
      </c>
      <c r="B3136">
        <v>0.995954080203443</v>
      </c>
      <c r="C3136">
        <v>0.72861040365293195</v>
      </c>
      <c r="D3136">
        <v>0.445436222424692</v>
      </c>
      <c r="E3136">
        <v>0.44597139903233202</v>
      </c>
      <c r="F3136">
        <v>0.16234898622257099</v>
      </c>
      <c r="G3136">
        <v>8.1221072515555506E-2</v>
      </c>
      <c r="H3136">
        <v>5.71255299796289E-2</v>
      </c>
      <c r="I3136">
        <v>4.0829641563310502E-2</v>
      </c>
      <c r="J3136">
        <v>4.5033892877990402E-2</v>
      </c>
      <c r="K3136">
        <v>4.19103753381821E-2</v>
      </c>
      <c r="L3136">
        <v>591.44555649236997</v>
      </c>
      <c r="M3136">
        <v>12.687527410858401</v>
      </c>
      <c r="N3136">
        <v>46.7582463287103</v>
      </c>
      <c r="O3136">
        <v>45.503732519344602</v>
      </c>
      <c r="P3136">
        <v>-6.8402537038869199E-2</v>
      </c>
      <c r="Q3136">
        <v>1.8889559566755799E-2</v>
      </c>
      <c r="R3136">
        <v>0.95878676984570999</v>
      </c>
      <c r="S3136" t="s">
        <v>9942</v>
      </c>
      <c r="T3136" t="s">
        <v>13610</v>
      </c>
      <c r="U3136" t="s">
        <v>13610</v>
      </c>
      <c r="V3136" t="s">
        <v>13610</v>
      </c>
      <c r="W3136" t="s">
        <v>16692</v>
      </c>
      <c r="X3136">
        <v>15</v>
      </c>
      <c r="Y3136" t="s">
        <v>23326</v>
      </c>
      <c r="Z3136" t="s">
        <v>29991</v>
      </c>
      <c r="AA3136">
        <v>0.27347415139726639</v>
      </c>
      <c r="AB3136" t="str">
        <f>HYPERLINK("Melting_Curves/meltCurve_Q12769_NUP160.pdf", "Melting_Curves/meltCurve_Q12769_NUP160.pdf")</f>
        <v>Melting_Curves/meltCurve_Q12769_NUP160.pdf</v>
      </c>
    </row>
    <row r="3137" spans="1:28" x14ac:dyDescent="0.25">
      <c r="A3137" t="s">
        <v>3141</v>
      </c>
      <c r="B3137">
        <v>0.995954080203443</v>
      </c>
      <c r="C3137">
        <v>0.64044150850457404</v>
      </c>
      <c r="D3137">
        <v>0.32818973113921501</v>
      </c>
      <c r="E3137">
        <v>0.328760138390637</v>
      </c>
      <c r="F3137">
        <v>0.19314715790162201</v>
      </c>
      <c r="G3137">
        <v>0.114480765693106</v>
      </c>
      <c r="H3137">
        <v>1.6213141728047799E-2</v>
      </c>
      <c r="I3137">
        <v>3.69249398783024E-2</v>
      </c>
      <c r="J3137">
        <v>3.1985946309990299E-2</v>
      </c>
      <c r="K3137">
        <v>2.7826658151719499E-2</v>
      </c>
      <c r="L3137">
        <v>648.88700284479205</v>
      </c>
      <c r="M3137">
        <v>14.430881762865599</v>
      </c>
      <c r="N3137">
        <v>45.239278990082198</v>
      </c>
      <c r="O3137">
        <v>44.128145932800599</v>
      </c>
      <c r="P3137">
        <v>-7.8342248368829706E-2</v>
      </c>
      <c r="Q3137">
        <v>4.1862325197839702E-2</v>
      </c>
      <c r="R3137">
        <v>0.94566070851374895</v>
      </c>
      <c r="S3137" t="s">
        <v>9943</v>
      </c>
      <c r="T3137" t="s">
        <v>13610</v>
      </c>
      <c r="U3137" t="s">
        <v>13610</v>
      </c>
      <c r="V3137" t="s">
        <v>13610</v>
      </c>
      <c r="W3137" t="s">
        <v>16693</v>
      </c>
      <c r="X3137">
        <v>6</v>
      </c>
      <c r="Y3137" t="s">
        <v>23327</v>
      </c>
      <c r="Z3137" t="s">
        <v>29992</v>
      </c>
      <c r="AA3137">
        <v>0.23391989932530141</v>
      </c>
      <c r="AB3137" t="str">
        <f>HYPERLINK("Melting_Curves/meltCurve_Q12788_TBL3.pdf", "Melting_Curves/meltCurve_Q12788_TBL3.pdf")</f>
        <v>Melting_Curves/meltCurve_Q12788_TBL3.pdf</v>
      </c>
    </row>
    <row r="3138" spans="1:28" x14ac:dyDescent="0.25">
      <c r="A3138" t="s">
        <v>3142</v>
      </c>
      <c r="B3138">
        <v>0.995954080203443</v>
      </c>
      <c r="C3138">
        <v>0.67929575222578298</v>
      </c>
      <c r="D3138">
        <v>0.42228611179555697</v>
      </c>
      <c r="E3138">
        <v>0.32075598713880399</v>
      </c>
      <c r="F3138">
        <v>0.18643790154388401</v>
      </c>
      <c r="G3138">
        <v>0.109639043797723</v>
      </c>
      <c r="H3138">
        <v>8.0506348627741905E-2</v>
      </c>
      <c r="I3138">
        <v>8.1828992254624894E-2</v>
      </c>
      <c r="J3138">
        <v>9.5670832037845099E-2</v>
      </c>
      <c r="K3138">
        <v>9.1304156727465002E-2</v>
      </c>
      <c r="L3138">
        <v>724.59606960021995</v>
      </c>
      <c r="M3138">
        <v>16.0691520077897</v>
      </c>
      <c r="N3138">
        <v>45.656064373629903</v>
      </c>
      <c r="O3138">
        <v>44.411362423728001</v>
      </c>
      <c r="P3138">
        <v>-8.2323353964125101E-2</v>
      </c>
      <c r="Q3138">
        <v>8.9980507563771406E-2</v>
      </c>
      <c r="R3138">
        <v>0.97546874938944295</v>
      </c>
      <c r="S3138" t="s">
        <v>9944</v>
      </c>
      <c r="T3138" t="s">
        <v>13610</v>
      </c>
      <c r="U3138" t="s">
        <v>13610</v>
      </c>
      <c r="V3138" t="s">
        <v>13610</v>
      </c>
      <c r="W3138" t="s">
        <v>16694</v>
      </c>
      <c r="X3138">
        <v>49</v>
      </c>
      <c r="Y3138" t="s">
        <v>23328</v>
      </c>
      <c r="Z3138" t="s">
        <v>29993</v>
      </c>
      <c r="AA3138">
        <v>0.2694377053927246</v>
      </c>
      <c r="AB3138" t="str">
        <f>HYPERLINK("Melting_Curves/meltCurve_Q12789_GTF3C1.pdf", "Melting_Curves/meltCurve_Q12789_GTF3C1.pdf")</f>
        <v>Melting_Curves/meltCurve_Q12789_GTF3C1.pdf</v>
      </c>
    </row>
    <row r="3139" spans="1:28" x14ac:dyDescent="0.25">
      <c r="A3139" t="s">
        <v>3143</v>
      </c>
      <c r="B3139">
        <v>0.995954080203443</v>
      </c>
      <c r="C3139">
        <v>0.83768416881711205</v>
      </c>
      <c r="D3139">
        <v>0.742999232513048</v>
      </c>
      <c r="E3139">
        <v>0.88343529696553702</v>
      </c>
      <c r="F3139">
        <v>0.70744347449418499</v>
      </c>
      <c r="G3139">
        <v>0.238043881316576</v>
      </c>
      <c r="H3139">
        <v>0.10391686742261701</v>
      </c>
      <c r="I3139">
        <v>9.2472321544315894E-2</v>
      </c>
      <c r="J3139">
        <v>0.10339898494444801</v>
      </c>
      <c r="K3139">
        <v>8.4518251570494002E-2</v>
      </c>
      <c r="L3139">
        <v>1344.16974108103</v>
      </c>
      <c r="M3139">
        <v>24.8321136513247</v>
      </c>
      <c r="N3139">
        <v>54.466942507654601</v>
      </c>
      <c r="O3139">
        <v>53.782919429449699</v>
      </c>
      <c r="P3139">
        <v>-0.107217385041321</v>
      </c>
      <c r="Q3139">
        <v>7.1140877104576006E-2</v>
      </c>
      <c r="R3139">
        <v>0.93082040058891202</v>
      </c>
      <c r="S3139" t="s">
        <v>9945</v>
      </c>
      <c r="T3139" t="s">
        <v>13610</v>
      </c>
      <c r="U3139" t="s">
        <v>13610</v>
      </c>
      <c r="V3139" t="s">
        <v>13610</v>
      </c>
      <c r="W3139" t="s">
        <v>16695</v>
      </c>
      <c r="X3139">
        <v>15</v>
      </c>
      <c r="Y3139" t="s">
        <v>23329</v>
      </c>
      <c r="Z3139" t="s">
        <v>29994</v>
      </c>
      <c r="AA3139">
        <v>0.51734640226274609</v>
      </c>
      <c r="AB3139" t="str">
        <f>HYPERLINK("Melting_Curves/meltCurve_Q12792_TWF1.pdf", "Melting_Curves/meltCurve_Q12792_TWF1.pdf")</f>
        <v>Melting_Curves/meltCurve_Q12792_TWF1.pdf</v>
      </c>
    </row>
    <row r="3140" spans="1:28" x14ac:dyDescent="0.25">
      <c r="A3140" t="s">
        <v>3144</v>
      </c>
      <c r="B3140">
        <v>0.995954080203443</v>
      </c>
      <c r="C3140">
        <v>0.91317197918303805</v>
      </c>
      <c r="D3140">
        <v>0.84733880095541603</v>
      </c>
      <c r="E3140">
        <v>0.67721181154030596</v>
      </c>
      <c r="F3140">
        <v>0.27155422187167499</v>
      </c>
      <c r="G3140">
        <v>0.16332744422440701</v>
      </c>
      <c r="H3140">
        <v>0.10970464744808001</v>
      </c>
      <c r="I3140">
        <v>0.114937221882928</v>
      </c>
      <c r="J3140">
        <v>0.136045609563586</v>
      </c>
      <c r="K3140">
        <v>0.121024093346291</v>
      </c>
      <c r="L3140">
        <v>1149.95735137422</v>
      </c>
      <c r="M3140">
        <v>22.786661322829001</v>
      </c>
      <c r="N3140">
        <v>51.007213029099603</v>
      </c>
      <c r="O3140">
        <v>50.0823945704335</v>
      </c>
      <c r="P3140">
        <v>-0.101538373301886</v>
      </c>
      <c r="Q3140">
        <v>0.107339881273255</v>
      </c>
      <c r="R3140">
        <v>0.98443280365152597</v>
      </c>
      <c r="S3140" t="s">
        <v>9946</v>
      </c>
      <c r="T3140" t="s">
        <v>13610</v>
      </c>
      <c r="U3140" t="s">
        <v>13610</v>
      </c>
      <c r="V3140" t="s">
        <v>13610</v>
      </c>
      <c r="W3140" t="s">
        <v>16696</v>
      </c>
      <c r="X3140">
        <v>6</v>
      </c>
      <c r="Y3140" t="s">
        <v>23330</v>
      </c>
      <c r="Z3140" t="s">
        <v>29995</v>
      </c>
      <c r="AA3140">
        <v>0.42839854587863718</v>
      </c>
      <c r="AB3140" t="str">
        <f>HYPERLINK("Melting_Curves/meltCurve_Q12797_10_ASPH.pdf", "Melting_Curves/meltCurve_Q12797_10_ASPH.pdf")</f>
        <v>Melting_Curves/meltCurve_Q12797_10_ASPH.pdf</v>
      </c>
    </row>
    <row r="3141" spans="1:28" x14ac:dyDescent="0.25">
      <c r="A3141" t="s">
        <v>3145</v>
      </c>
      <c r="B3141">
        <v>0.995954080203443</v>
      </c>
      <c r="C3141">
        <v>0.85508978042725303</v>
      </c>
      <c r="D3141">
        <v>0.49342802939831598</v>
      </c>
      <c r="E3141">
        <v>0.28207146950177497</v>
      </c>
      <c r="F3141">
        <v>0.11003454998187601</v>
      </c>
      <c r="G3141">
        <v>6.9445953086000198E-2</v>
      </c>
      <c r="H3141">
        <v>4.5995903546996203E-2</v>
      </c>
      <c r="I3141">
        <v>3.25017717982653E-2</v>
      </c>
      <c r="J3141">
        <v>3.4127002934466702E-2</v>
      </c>
      <c r="K3141">
        <v>2.8518297800504501E-2</v>
      </c>
      <c r="L3141">
        <v>873.75298975120302</v>
      </c>
      <c r="M3141">
        <v>18.857620287217401</v>
      </c>
      <c r="N3141">
        <v>46.517073203812799</v>
      </c>
      <c r="O3141">
        <v>45.822603357440201</v>
      </c>
      <c r="P3141">
        <v>-9.9212438251052706E-2</v>
      </c>
      <c r="Q3141">
        <v>3.5724591566311199E-2</v>
      </c>
      <c r="R3141">
        <v>0.9924685078744</v>
      </c>
      <c r="S3141" t="s">
        <v>9947</v>
      </c>
      <c r="T3141" t="s">
        <v>13610</v>
      </c>
      <c r="U3141" t="s">
        <v>13610</v>
      </c>
      <c r="V3141" t="s">
        <v>13610</v>
      </c>
      <c r="W3141" t="s">
        <v>16697</v>
      </c>
      <c r="X3141">
        <v>7</v>
      </c>
      <c r="Y3141" t="s">
        <v>23331</v>
      </c>
      <c r="Z3141" t="s">
        <v>29996</v>
      </c>
      <c r="AA3141">
        <v>0.25597982239058442</v>
      </c>
      <c r="AB3141" t="str">
        <f>HYPERLINK("Melting_Curves/meltCurve_Q12800_2_TFCP2.pdf", "Melting_Curves/meltCurve_Q12800_2_TFCP2.pdf")</f>
        <v>Melting_Curves/meltCurve_Q12800_2_TFCP2.pdf</v>
      </c>
    </row>
    <row r="3142" spans="1:28" x14ac:dyDescent="0.25">
      <c r="A3142" t="s">
        <v>3146</v>
      </c>
      <c r="B3142">
        <v>0.995954080203443</v>
      </c>
      <c r="C3142">
        <v>0.94805619071703895</v>
      </c>
      <c r="D3142">
        <v>0.86298666813101399</v>
      </c>
      <c r="E3142">
        <v>0.74150215947055598</v>
      </c>
      <c r="F3142">
        <v>0.67098215780372295</v>
      </c>
      <c r="G3142">
        <v>0.47253129898549201</v>
      </c>
      <c r="H3142">
        <v>0.42150685501663399</v>
      </c>
      <c r="I3142">
        <v>0.45253334618572499</v>
      </c>
      <c r="J3142">
        <v>0.64785466675883796</v>
      </c>
      <c r="K3142">
        <v>0.53351236454968698</v>
      </c>
      <c r="L3142">
        <v>856.51834762284102</v>
      </c>
      <c r="M3142">
        <v>17.3522185178462</v>
      </c>
      <c r="O3142">
        <v>48.719158413256999</v>
      </c>
      <c r="P3142">
        <v>-4.4477314243100002E-2</v>
      </c>
      <c r="Q3142">
        <v>0.50051947639944505</v>
      </c>
      <c r="R3142">
        <v>0.88966716032410598</v>
      </c>
      <c r="S3142" t="s">
        <v>9948</v>
      </c>
      <c r="T3142" t="s">
        <v>13610</v>
      </c>
      <c r="U3142" t="s">
        <v>13610</v>
      </c>
      <c r="V3142" t="s">
        <v>13610</v>
      </c>
      <c r="W3142" t="s">
        <v>16698</v>
      </c>
      <c r="X3142">
        <v>9</v>
      </c>
      <c r="Y3142" t="s">
        <v>23332</v>
      </c>
      <c r="Z3142" t="s">
        <v>29997</v>
      </c>
      <c r="AA3142">
        <v>0.66560376673315547</v>
      </c>
      <c r="AB3142" t="str">
        <f>HYPERLINK("Melting_Curves/meltCurve_Q12802_AKAP13.pdf", "Melting_Curves/meltCurve_Q12802_AKAP13.pdf")</f>
        <v>Melting_Curves/meltCurve_Q12802_AKAP13.pdf</v>
      </c>
    </row>
    <row r="3143" spans="1:28" x14ac:dyDescent="0.25">
      <c r="A3143" t="s">
        <v>3147</v>
      </c>
      <c r="B3143">
        <v>0.995954080203443</v>
      </c>
      <c r="C3143">
        <v>0.79638807800949496</v>
      </c>
      <c r="D3143">
        <v>0.442004614891709</v>
      </c>
      <c r="E3143">
        <v>0.294726217877117</v>
      </c>
      <c r="F3143">
        <v>0.14177197628667301</v>
      </c>
      <c r="G3143">
        <v>7.7255960997314396E-2</v>
      </c>
      <c r="H3143">
        <v>5.4984495962024003E-2</v>
      </c>
      <c r="I3143">
        <v>4.32651267929864E-2</v>
      </c>
      <c r="J3143">
        <v>4.8728153651832501E-2</v>
      </c>
      <c r="K3143">
        <v>4.1518817617148103E-2</v>
      </c>
      <c r="L3143">
        <v>801.52374978099897</v>
      </c>
      <c r="M3143">
        <v>17.476599878320101</v>
      </c>
      <c r="N3143">
        <v>46.134414882128098</v>
      </c>
      <c r="O3143">
        <v>45.274843382653799</v>
      </c>
      <c r="P3143">
        <v>-9.1788102623260995E-2</v>
      </c>
      <c r="Q3143">
        <v>4.8908442521395097E-2</v>
      </c>
      <c r="R3143">
        <v>0.98720893059214798</v>
      </c>
      <c r="S3143" t="s">
        <v>9949</v>
      </c>
      <c r="T3143" t="s">
        <v>13610</v>
      </c>
      <c r="U3143" t="s">
        <v>13610</v>
      </c>
      <c r="V3143" t="s">
        <v>13610</v>
      </c>
      <c r="W3143" t="s">
        <v>16699</v>
      </c>
      <c r="X3143">
        <v>10</v>
      </c>
      <c r="Y3143" t="s">
        <v>23333</v>
      </c>
      <c r="Z3143" t="s">
        <v>29998</v>
      </c>
      <c r="AA3143">
        <v>0.25493817820334391</v>
      </c>
      <c r="AB3143" t="str">
        <f>HYPERLINK("Melting_Curves/meltCurve_Q12824_2_SMARCB1.pdf", "Melting_Curves/meltCurve_Q12824_2_SMARCB1.pdf")</f>
        <v>Melting_Curves/meltCurve_Q12824_2_SMARCB1.pdf</v>
      </c>
    </row>
    <row r="3144" spans="1:28" x14ac:dyDescent="0.25">
      <c r="A3144" t="s">
        <v>3148</v>
      </c>
      <c r="B3144">
        <v>0.995954080203443</v>
      </c>
      <c r="C3144">
        <v>0.82647378415392403</v>
      </c>
      <c r="D3144">
        <v>0.66860060518378595</v>
      </c>
      <c r="E3144">
        <v>0.54362289462888902</v>
      </c>
      <c r="F3144">
        <v>0.49760979432397001</v>
      </c>
      <c r="G3144">
        <v>0.38817691772153101</v>
      </c>
      <c r="H3144">
        <v>0.35769457934279603</v>
      </c>
      <c r="I3144">
        <v>0.41971522282534701</v>
      </c>
      <c r="J3144">
        <v>0.50830743773509501</v>
      </c>
      <c r="K3144">
        <v>0.49649858079294801</v>
      </c>
      <c r="L3144">
        <v>853.65248708935803</v>
      </c>
      <c r="M3144">
        <v>18.8875864668274</v>
      </c>
      <c r="N3144">
        <v>50.850852917348</v>
      </c>
      <c r="O3144">
        <v>44.698986435993497</v>
      </c>
      <c r="P3144">
        <v>-5.9287916191505002E-2</v>
      </c>
      <c r="Q3144">
        <v>0.43878452641361898</v>
      </c>
      <c r="R3144">
        <v>0.93823234215497597</v>
      </c>
      <c r="S3144" t="s">
        <v>9950</v>
      </c>
      <c r="T3144" t="s">
        <v>13610</v>
      </c>
      <c r="U3144" t="s">
        <v>13610</v>
      </c>
      <c r="V3144" t="s">
        <v>13610</v>
      </c>
      <c r="W3144" t="s">
        <v>16700</v>
      </c>
      <c r="X3144">
        <v>44</v>
      </c>
      <c r="Y3144" t="s">
        <v>20797</v>
      </c>
      <c r="Z3144" t="s">
        <v>29999</v>
      </c>
      <c r="AA3144">
        <v>0.54661251688051526</v>
      </c>
      <c r="AB3144" t="str">
        <f>HYPERLINK("Melting_Curves/meltCurve_Q12830_2_BPTF.pdf", "Melting_Curves/meltCurve_Q12830_2_BPTF.pdf")</f>
        <v>Melting_Curves/meltCurve_Q12830_2_BPTF.pdf</v>
      </c>
    </row>
    <row r="3145" spans="1:28" x14ac:dyDescent="0.25">
      <c r="A3145" t="s">
        <v>3149</v>
      </c>
      <c r="B3145">
        <v>0.995954080203443</v>
      </c>
      <c r="C3145">
        <v>0.80364515925553504</v>
      </c>
      <c r="D3145">
        <v>0.81055454991286602</v>
      </c>
      <c r="E3145">
        <v>0.67370874561663396</v>
      </c>
      <c r="F3145">
        <v>0.70038738442618398</v>
      </c>
      <c r="G3145">
        <v>0.48021092956825101</v>
      </c>
      <c r="H3145">
        <v>0.48140612114983</v>
      </c>
      <c r="I3145">
        <v>0.63465179518674197</v>
      </c>
      <c r="J3145">
        <v>0.94000861458296203</v>
      </c>
      <c r="K3145">
        <v>0.73003904706718503</v>
      </c>
      <c r="L3145">
        <v>887.07266245579103</v>
      </c>
      <c r="M3145">
        <v>20.2927476412106</v>
      </c>
      <c r="O3145">
        <v>43.295910121892703</v>
      </c>
      <c r="P3145">
        <v>-3.9707192732117397E-2</v>
      </c>
      <c r="Q3145">
        <v>0.66113879824914201</v>
      </c>
      <c r="R3145">
        <v>0.39653502639868299</v>
      </c>
      <c r="S3145" t="s">
        <v>9951</v>
      </c>
      <c r="T3145" t="s">
        <v>13610</v>
      </c>
      <c r="U3145" t="s">
        <v>13610</v>
      </c>
      <c r="V3145" t="s">
        <v>13610</v>
      </c>
      <c r="W3145" t="s">
        <v>16701</v>
      </c>
      <c r="X3145">
        <v>1</v>
      </c>
      <c r="Y3145" t="s">
        <v>23334</v>
      </c>
      <c r="Z3145" t="s">
        <v>30000</v>
      </c>
      <c r="AA3145">
        <v>0.70978361103744603</v>
      </c>
      <c r="AB3145" t="str">
        <f>HYPERLINK("Melting_Curves/meltCurve_Q12834_CDC20.pdf", "Melting_Curves/meltCurve_Q12834_CDC20.pdf")</f>
        <v>Melting_Curves/meltCurve_Q12834_CDC20.pdf</v>
      </c>
    </row>
    <row r="3146" spans="1:28" x14ac:dyDescent="0.25">
      <c r="A3146" t="s">
        <v>3150</v>
      </c>
      <c r="B3146">
        <v>0.995954080203443</v>
      </c>
      <c r="C3146">
        <v>0.90196441830531604</v>
      </c>
      <c r="D3146">
        <v>0.81614527576267604</v>
      </c>
      <c r="E3146">
        <v>0.5589838555901</v>
      </c>
      <c r="F3146">
        <v>0.28097142936647801</v>
      </c>
      <c r="G3146">
        <v>0.22465453354377199</v>
      </c>
      <c r="H3146">
        <v>0.230697024571552</v>
      </c>
      <c r="I3146">
        <v>0.37148547879498101</v>
      </c>
      <c r="J3146">
        <v>0.27158816169848299</v>
      </c>
      <c r="K3146">
        <v>0.399840633720976</v>
      </c>
      <c r="L3146">
        <v>1162.04146543045</v>
      </c>
      <c r="M3146">
        <v>24.147615545650901</v>
      </c>
      <c r="N3146">
        <v>49.910848894184703</v>
      </c>
      <c r="O3146">
        <v>47.796028933194201</v>
      </c>
      <c r="P3146">
        <v>-8.9737729209382402E-2</v>
      </c>
      <c r="Q3146">
        <v>0.28952975246710999</v>
      </c>
      <c r="R3146">
        <v>0.94438442021394398</v>
      </c>
      <c r="S3146" t="s">
        <v>9952</v>
      </c>
      <c r="T3146" t="s">
        <v>13610</v>
      </c>
      <c r="U3146" t="s">
        <v>13610</v>
      </c>
      <c r="V3146" t="s">
        <v>13610</v>
      </c>
      <c r="W3146" t="s">
        <v>16702</v>
      </c>
      <c r="X3146">
        <v>24</v>
      </c>
      <c r="Y3146" t="s">
        <v>23335</v>
      </c>
      <c r="Z3146" t="s">
        <v>30001</v>
      </c>
      <c r="AA3146">
        <v>0.48864418494397521</v>
      </c>
      <c r="AB3146" t="str">
        <f>HYPERLINK("Melting_Curves/meltCurve_Q12840_KIF5A.pdf", "Melting_Curves/meltCurve_Q12840_KIF5A.pdf")</f>
        <v>Melting_Curves/meltCurve_Q12840_KIF5A.pdf</v>
      </c>
    </row>
    <row r="3147" spans="1:28" x14ac:dyDescent="0.25">
      <c r="A3147" t="s">
        <v>3151</v>
      </c>
      <c r="B3147">
        <v>0.995954080203443</v>
      </c>
      <c r="C3147">
        <v>0.963842992000294</v>
      </c>
      <c r="D3147">
        <v>0.95907394261650303</v>
      </c>
      <c r="E3147">
        <v>0.75841104351463995</v>
      </c>
      <c r="F3147">
        <v>0.59315429175843204</v>
      </c>
      <c r="G3147">
        <v>0.34991772189989701</v>
      </c>
      <c r="H3147">
        <v>0.28453592818962398</v>
      </c>
      <c r="I3147">
        <v>0.33485091736197198</v>
      </c>
      <c r="J3147">
        <v>0.40243695172376098</v>
      </c>
      <c r="K3147">
        <v>0.36081519353260799</v>
      </c>
      <c r="L3147">
        <v>1254.4491391151</v>
      </c>
      <c r="M3147">
        <v>24.4025413838941</v>
      </c>
      <c r="N3147">
        <v>53.867920122097303</v>
      </c>
      <c r="O3147">
        <v>51.065028018996401</v>
      </c>
      <c r="P3147">
        <v>-7.9322055994812499E-2</v>
      </c>
      <c r="Q3147">
        <v>0.33604930028733099</v>
      </c>
      <c r="R3147">
        <v>0.98205014717811001</v>
      </c>
      <c r="S3147" t="s">
        <v>9953</v>
      </c>
      <c r="T3147" t="s">
        <v>13610</v>
      </c>
      <c r="U3147" t="s">
        <v>13610</v>
      </c>
      <c r="V3147" t="s">
        <v>13610</v>
      </c>
      <c r="W3147" t="s">
        <v>16703</v>
      </c>
      <c r="X3147">
        <v>10</v>
      </c>
      <c r="Y3147" t="s">
        <v>23336</v>
      </c>
      <c r="Z3147" t="s">
        <v>30002</v>
      </c>
      <c r="AA3147">
        <v>0.59480917489555707</v>
      </c>
      <c r="AB3147" t="str">
        <f>HYPERLINK("Melting_Curves/meltCurve_Q12849_GRSF1.pdf", "Melting_Curves/meltCurve_Q12849_GRSF1.pdf")</f>
        <v>Melting_Curves/meltCurve_Q12849_GRSF1.pdf</v>
      </c>
    </row>
    <row r="3148" spans="1:28" x14ac:dyDescent="0.25">
      <c r="A3148" t="s">
        <v>3152</v>
      </c>
      <c r="B3148">
        <v>0.995954080203443</v>
      </c>
      <c r="C3148">
        <v>0.92039929153403999</v>
      </c>
      <c r="D3148">
        <v>0.93604930194892499</v>
      </c>
      <c r="E3148">
        <v>0.79386289805217702</v>
      </c>
      <c r="F3148">
        <v>0.71862604892530901</v>
      </c>
      <c r="G3148">
        <v>0.421646156613951</v>
      </c>
      <c r="H3148">
        <v>0.22953927229842599</v>
      </c>
      <c r="I3148">
        <v>0.18970739632995401</v>
      </c>
      <c r="J3148">
        <v>0.23773349396982699</v>
      </c>
      <c r="K3148">
        <v>0.21174208474015499</v>
      </c>
      <c r="L3148">
        <v>895.68789421099598</v>
      </c>
      <c r="M3148">
        <v>16.530127517091401</v>
      </c>
      <c r="N3148">
        <v>55.536829154279097</v>
      </c>
      <c r="O3148">
        <v>53.4107920828136</v>
      </c>
      <c r="P3148">
        <v>-6.4563155742920597E-2</v>
      </c>
      <c r="Q3148">
        <v>0.165612878383809</v>
      </c>
      <c r="R3148">
        <v>0.98415915343493199</v>
      </c>
      <c r="S3148" t="s">
        <v>9954</v>
      </c>
      <c r="T3148" t="s">
        <v>13610</v>
      </c>
      <c r="U3148" t="s">
        <v>13610</v>
      </c>
      <c r="V3148" t="s">
        <v>13610</v>
      </c>
      <c r="W3148" t="s">
        <v>16704</v>
      </c>
      <c r="X3148">
        <v>22</v>
      </c>
      <c r="Y3148" t="s">
        <v>23337</v>
      </c>
      <c r="Z3148" t="s">
        <v>30003</v>
      </c>
      <c r="AA3148">
        <v>0.57511054879424095</v>
      </c>
      <c r="AB3148" t="str">
        <f>HYPERLINK("Melting_Curves/meltCurve_Q12872_SFSWAP.pdf", "Melting_Curves/meltCurve_Q12872_SFSWAP.pdf")</f>
        <v>Melting_Curves/meltCurve_Q12872_SFSWAP.pdf</v>
      </c>
    </row>
    <row r="3149" spans="1:28" x14ac:dyDescent="0.25">
      <c r="A3149" t="s">
        <v>3153</v>
      </c>
      <c r="B3149">
        <v>0.995954080203443</v>
      </c>
      <c r="C3149">
        <v>0.83527238189136699</v>
      </c>
      <c r="D3149">
        <v>0.74023887913972697</v>
      </c>
      <c r="E3149">
        <v>0.51821850162148697</v>
      </c>
      <c r="F3149">
        <v>0.276083806740127</v>
      </c>
      <c r="G3149">
        <v>0.179488710272908</v>
      </c>
      <c r="H3149">
        <v>0.13513642478693</v>
      </c>
      <c r="I3149">
        <v>0.12860817852655501</v>
      </c>
      <c r="J3149">
        <v>0.159123961909682</v>
      </c>
      <c r="K3149">
        <v>0.16647105259317099</v>
      </c>
      <c r="L3149">
        <v>739.51708641457503</v>
      </c>
      <c r="M3149">
        <v>15.240563866444401</v>
      </c>
      <c r="N3149">
        <v>49.430872369616601</v>
      </c>
      <c r="O3149">
        <v>47.710554520517199</v>
      </c>
      <c r="P3149">
        <v>-7.0116717171458495E-2</v>
      </c>
      <c r="Q3149">
        <v>0.122082401144733</v>
      </c>
      <c r="R3149">
        <v>0.98789300162160298</v>
      </c>
      <c r="S3149" t="s">
        <v>9955</v>
      </c>
      <c r="T3149" t="s">
        <v>13610</v>
      </c>
      <c r="U3149" t="s">
        <v>13610</v>
      </c>
      <c r="V3149" t="s">
        <v>13610</v>
      </c>
      <c r="W3149" t="s">
        <v>16705</v>
      </c>
      <c r="X3149">
        <v>29</v>
      </c>
      <c r="Y3149" t="s">
        <v>21192</v>
      </c>
      <c r="Z3149" t="s">
        <v>30004</v>
      </c>
      <c r="AA3149">
        <v>0.39290426384395521</v>
      </c>
      <c r="AB3149" t="str">
        <f>HYPERLINK("Melting_Curves/meltCurve_Q12873_CHD3.pdf", "Melting_Curves/meltCurve_Q12873_CHD3.pdf")</f>
        <v>Melting_Curves/meltCurve_Q12873_CHD3.pdf</v>
      </c>
    </row>
    <row r="3150" spans="1:28" x14ac:dyDescent="0.25">
      <c r="A3150" t="s">
        <v>3154</v>
      </c>
      <c r="B3150">
        <v>0.995954080203443</v>
      </c>
      <c r="C3150">
        <v>0.82272539232711395</v>
      </c>
      <c r="D3150">
        <v>0.37744805882513199</v>
      </c>
      <c r="E3150">
        <v>0.315376862902912</v>
      </c>
      <c r="F3150">
        <v>0.124376325965181</v>
      </c>
      <c r="G3150">
        <v>6.7038003375901697E-2</v>
      </c>
      <c r="H3150">
        <v>4.69113282077218E-2</v>
      </c>
      <c r="I3150">
        <v>4.1610823849717697E-2</v>
      </c>
      <c r="J3150">
        <v>4.59842279890047E-2</v>
      </c>
      <c r="K3150">
        <v>3.2330500714578402E-2</v>
      </c>
      <c r="L3150">
        <v>847.79306709829996</v>
      </c>
      <c r="M3150">
        <v>18.5851675388231</v>
      </c>
      <c r="N3150">
        <v>45.875878727620901</v>
      </c>
      <c r="O3150">
        <v>45.098360466398198</v>
      </c>
      <c r="P3150">
        <v>-9.7894508798084007E-2</v>
      </c>
      <c r="Q3150">
        <v>4.9846642957086601E-2</v>
      </c>
      <c r="R3150">
        <v>0.97216713391004095</v>
      </c>
      <c r="S3150" t="s">
        <v>9956</v>
      </c>
      <c r="T3150" t="s">
        <v>13610</v>
      </c>
      <c r="U3150" t="s">
        <v>13610</v>
      </c>
      <c r="V3150" t="s">
        <v>13610</v>
      </c>
      <c r="W3150" t="s">
        <v>16706</v>
      </c>
      <c r="X3150">
        <v>17</v>
      </c>
      <c r="Y3150" t="s">
        <v>23338</v>
      </c>
      <c r="Z3150" t="s">
        <v>30005</v>
      </c>
      <c r="AA3150">
        <v>0.24564522381316931</v>
      </c>
      <c r="AB3150" t="str">
        <f>HYPERLINK("Melting_Curves/meltCurve_Q12874_SF3A3.pdf", "Melting_Curves/meltCurve_Q12874_SF3A3.pdf")</f>
        <v>Melting_Curves/meltCurve_Q12874_SF3A3.pdf</v>
      </c>
    </row>
    <row r="3151" spans="1:28" x14ac:dyDescent="0.25">
      <c r="A3151" t="s">
        <v>3155</v>
      </c>
      <c r="B3151">
        <v>0.995954080203443</v>
      </c>
      <c r="C3151">
        <v>1.0247905835997699</v>
      </c>
      <c r="D3151">
        <v>1.01819321429263</v>
      </c>
      <c r="E3151">
        <v>0.85625874583966599</v>
      </c>
      <c r="F3151">
        <v>0.68387440636679497</v>
      </c>
      <c r="G3151">
        <v>0.49179949521412802</v>
      </c>
      <c r="H3151">
        <v>0.44215376854038801</v>
      </c>
      <c r="I3151">
        <v>0.50266904503919596</v>
      </c>
      <c r="J3151">
        <v>0.59391533131625895</v>
      </c>
      <c r="K3151">
        <v>0.58504336726055495</v>
      </c>
      <c r="L3151">
        <v>1765.2382628809</v>
      </c>
      <c r="M3151">
        <v>34.249226662758602</v>
      </c>
      <c r="O3151">
        <v>51.366192409083197</v>
      </c>
      <c r="P3151">
        <v>-7.9605290720373797E-2</v>
      </c>
      <c r="Q3151">
        <v>0.52244109327427801</v>
      </c>
      <c r="R3151">
        <v>0.95693245420826301</v>
      </c>
      <c r="S3151" t="s">
        <v>9957</v>
      </c>
      <c r="T3151" t="s">
        <v>13610</v>
      </c>
      <c r="U3151" t="s">
        <v>13610</v>
      </c>
      <c r="V3151" t="s">
        <v>13610</v>
      </c>
      <c r="W3151" t="s">
        <v>16707</v>
      </c>
      <c r="X3151">
        <v>64</v>
      </c>
      <c r="Y3151" t="s">
        <v>23339</v>
      </c>
      <c r="Z3151" t="s">
        <v>30006</v>
      </c>
      <c r="AA3151">
        <v>0.70848138718808706</v>
      </c>
      <c r="AB3151" t="str">
        <f>HYPERLINK("Melting_Curves/meltCurve_Q12888_TP53BP1.pdf", "Melting_Curves/meltCurve_Q12888_TP53BP1.pdf")</f>
        <v>Melting_Curves/meltCurve_Q12888_TP53BP1.pdf</v>
      </c>
    </row>
    <row r="3152" spans="1:28" x14ac:dyDescent="0.25">
      <c r="A3152" t="s">
        <v>3156</v>
      </c>
      <c r="B3152">
        <v>0.995954080203443</v>
      </c>
      <c r="C3152">
        <v>0.85026835976549797</v>
      </c>
      <c r="D3152">
        <v>0.72527576879564903</v>
      </c>
      <c r="E3152">
        <v>0.46875417319877299</v>
      </c>
      <c r="F3152">
        <v>0.225171862882691</v>
      </c>
      <c r="G3152">
        <v>0.13166627007637</v>
      </c>
      <c r="H3152">
        <v>0.10104760926419901</v>
      </c>
      <c r="I3152">
        <v>0.117012976482071</v>
      </c>
      <c r="J3152">
        <v>0.135614899786206</v>
      </c>
      <c r="K3152">
        <v>0.13570327951161601</v>
      </c>
      <c r="L3152">
        <v>810.78668523436295</v>
      </c>
      <c r="M3152">
        <v>16.820917519480801</v>
      </c>
      <c r="N3152">
        <v>48.859523569680498</v>
      </c>
      <c r="O3152">
        <v>47.535316234910603</v>
      </c>
      <c r="P3152">
        <v>-7.9499291624169105E-2</v>
      </c>
      <c r="Q3152">
        <v>0.101409388137257</v>
      </c>
      <c r="R3152">
        <v>0.99055335895325203</v>
      </c>
      <c r="S3152" t="s">
        <v>9958</v>
      </c>
      <c r="T3152" t="s">
        <v>13610</v>
      </c>
      <c r="U3152" t="s">
        <v>13610</v>
      </c>
      <c r="V3152" t="s">
        <v>13610</v>
      </c>
      <c r="W3152" t="s">
        <v>16708</v>
      </c>
      <c r="X3152">
        <v>17</v>
      </c>
      <c r="Y3152" t="s">
        <v>23340</v>
      </c>
      <c r="Z3152" t="s">
        <v>30007</v>
      </c>
      <c r="AA3152">
        <v>0.36527456392572738</v>
      </c>
      <c r="AB3152" t="str">
        <f>HYPERLINK("Melting_Curves/meltCurve_Q12904_AIMP1.pdf", "Melting_Curves/meltCurve_Q12904_AIMP1.pdf")</f>
        <v>Melting_Curves/meltCurve_Q12904_AIMP1.pdf</v>
      </c>
    </row>
    <row r="3153" spans="1:28" x14ac:dyDescent="0.25">
      <c r="A3153" t="s">
        <v>3157</v>
      </c>
      <c r="B3153">
        <v>0.995954080203443</v>
      </c>
      <c r="C3153">
        <v>0.95477716979721705</v>
      </c>
      <c r="D3153">
        <v>0.89662668751265795</v>
      </c>
      <c r="E3153">
        <v>0.90423904408884304</v>
      </c>
      <c r="F3153">
        <v>0.75891475682274101</v>
      </c>
      <c r="G3153">
        <v>0.39807175996197097</v>
      </c>
      <c r="H3153">
        <v>8.4347258468736405E-2</v>
      </c>
      <c r="I3153">
        <v>5.77509238242793E-2</v>
      </c>
      <c r="J3153">
        <v>4.8398150154011499E-2</v>
      </c>
      <c r="K3153">
        <v>5.0359814153323801E-2</v>
      </c>
      <c r="L3153">
        <v>1240.19078040255</v>
      </c>
      <c r="M3153">
        <v>22.322233994372802</v>
      </c>
      <c r="N3153">
        <v>55.6398911017478</v>
      </c>
      <c r="O3153">
        <v>55.118422935144501</v>
      </c>
      <c r="P3153">
        <v>-9.9623550857719401E-2</v>
      </c>
      <c r="Q3153">
        <v>1.6052456352357199E-2</v>
      </c>
      <c r="R3153">
        <v>0.99066594988276002</v>
      </c>
      <c r="S3153" t="s">
        <v>9959</v>
      </c>
      <c r="T3153" t="s">
        <v>13610</v>
      </c>
      <c r="U3153" t="s">
        <v>13610</v>
      </c>
      <c r="V3153" t="s">
        <v>13610</v>
      </c>
      <c r="W3153" t="s">
        <v>16709</v>
      </c>
      <c r="X3153">
        <v>17</v>
      </c>
      <c r="Y3153" t="s">
        <v>23341</v>
      </c>
      <c r="Z3153" t="s">
        <v>30008</v>
      </c>
      <c r="AA3153">
        <v>0.53727265494922305</v>
      </c>
      <c r="AB3153" t="str">
        <f>HYPERLINK("Melting_Curves/meltCurve_Q12905_ILF2.pdf", "Melting_Curves/meltCurve_Q12905_ILF2.pdf")</f>
        <v>Melting_Curves/meltCurve_Q12905_ILF2.pdf</v>
      </c>
    </row>
    <row r="3154" spans="1:28" x14ac:dyDescent="0.25">
      <c r="A3154" t="s">
        <v>3158</v>
      </c>
      <c r="B3154">
        <v>0.995954080203443</v>
      </c>
      <c r="C3154">
        <v>0.98580879491024798</v>
      </c>
      <c r="D3154">
        <v>0.967764349628364</v>
      </c>
      <c r="E3154">
        <v>0.95741869453107897</v>
      </c>
      <c r="F3154">
        <v>0.83330406526802803</v>
      </c>
      <c r="G3154">
        <v>0.51113745007661404</v>
      </c>
      <c r="H3154">
        <v>0.21285706248775499</v>
      </c>
      <c r="I3154">
        <v>0.20586128259366701</v>
      </c>
      <c r="J3154">
        <v>0.236090676183907</v>
      </c>
      <c r="K3154">
        <v>0.22244526367186099</v>
      </c>
      <c r="L3154">
        <v>1562.81188789968</v>
      </c>
      <c r="M3154">
        <v>28.034427787374</v>
      </c>
      <c r="N3154">
        <v>56.783737452807301</v>
      </c>
      <c r="O3154">
        <v>55.464829176806198</v>
      </c>
      <c r="P3154">
        <v>-0.101035774350204</v>
      </c>
      <c r="Q3154">
        <v>0.200428244785296</v>
      </c>
      <c r="R3154">
        <v>0.99448107851022205</v>
      </c>
      <c r="S3154" t="s">
        <v>9960</v>
      </c>
      <c r="T3154" t="s">
        <v>13610</v>
      </c>
      <c r="U3154" t="s">
        <v>13610</v>
      </c>
      <c r="V3154" t="s">
        <v>13610</v>
      </c>
      <c r="W3154" t="s">
        <v>16710</v>
      </c>
      <c r="X3154">
        <v>35</v>
      </c>
      <c r="Y3154" t="s">
        <v>23342</v>
      </c>
      <c r="Z3154" t="s">
        <v>30009</v>
      </c>
      <c r="AA3154">
        <v>0.62612937858189666</v>
      </c>
      <c r="AB3154" t="str">
        <f>HYPERLINK("Melting_Curves/meltCurve_Q12906_7_ILF3.pdf", "Melting_Curves/meltCurve_Q12906_7_ILF3.pdf")</f>
        <v>Melting_Curves/meltCurve_Q12906_7_ILF3.pdf</v>
      </c>
    </row>
    <row r="3155" spans="1:28" x14ac:dyDescent="0.25">
      <c r="A3155" t="s">
        <v>3159</v>
      </c>
      <c r="B3155">
        <v>0.995954080203443</v>
      </c>
      <c r="C3155">
        <v>1.0085223230578599</v>
      </c>
      <c r="D3155">
        <v>0.85027832847197504</v>
      </c>
      <c r="E3155">
        <v>0.84766811568998601</v>
      </c>
      <c r="F3155">
        <v>0.29257533962860999</v>
      </c>
      <c r="G3155">
        <v>0.116211483195064</v>
      </c>
      <c r="H3155">
        <v>6.7395808277959601E-2</v>
      </c>
      <c r="I3155">
        <v>6.1711520641866899E-2</v>
      </c>
      <c r="J3155">
        <v>7.5105397128338899E-2</v>
      </c>
      <c r="K3155">
        <v>7.0322698529448197E-2</v>
      </c>
      <c r="L3155">
        <v>2343.2485726035502</v>
      </c>
      <c r="M3155">
        <v>45.334131398695703</v>
      </c>
      <c r="N3155">
        <v>51.872067021363499</v>
      </c>
      <c r="O3155">
        <v>51.5881138449042</v>
      </c>
      <c r="P3155">
        <v>-0.20340280398902499</v>
      </c>
      <c r="Q3155">
        <v>7.4149659034778201E-2</v>
      </c>
      <c r="R3155">
        <v>0.98614438175651298</v>
      </c>
      <c r="S3155" t="s">
        <v>9961</v>
      </c>
      <c r="T3155" t="s">
        <v>13610</v>
      </c>
      <c r="U3155" t="s">
        <v>13610</v>
      </c>
      <c r="V3155" t="s">
        <v>13610</v>
      </c>
      <c r="W3155" t="s">
        <v>16711</v>
      </c>
      <c r="X3155">
        <v>6</v>
      </c>
      <c r="Y3155" t="s">
        <v>23343</v>
      </c>
      <c r="Z3155" t="s">
        <v>30010</v>
      </c>
      <c r="AA3155">
        <v>0.4374437108749788</v>
      </c>
      <c r="AB3155" t="str">
        <f>HYPERLINK("Melting_Curves/meltCurve_Q12907_LMAN2.pdf", "Melting_Curves/meltCurve_Q12907_LMAN2.pdf")</f>
        <v>Melting_Curves/meltCurve_Q12907_LMAN2.pdf</v>
      </c>
    </row>
    <row r="3156" spans="1:28" x14ac:dyDescent="0.25">
      <c r="A3156" t="s">
        <v>3160</v>
      </c>
      <c r="B3156">
        <v>0.995954080203443</v>
      </c>
      <c r="C3156">
        <v>0.91211096472258002</v>
      </c>
      <c r="D3156">
        <v>0.942810094179097</v>
      </c>
      <c r="E3156">
        <v>0.75944597771574895</v>
      </c>
      <c r="F3156">
        <v>0.68539193504545104</v>
      </c>
      <c r="G3156">
        <v>0.51215081160053899</v>
      </c>
      <c r="H3156">
        <v>0.42902849679371802</v>
      </c>
      <c r="I3156">
        <v>0.478863947934692</v>
      </c>
      <c r="J3156">
        <v>0.49110931011646802</v>
      </c>
      <c r="K3156">
        <v>0.46819327658510301</v>
      </c>
      <c r="L3156">
        <v>833.25688889713797</v>
      </c>
      <c r="M3156">
        <v>16.303973246649601</v>
      </c>
      <c r="N3156">
        <v>59.415067125828699</v>
      </c>
      <c r="O3156">
        <v>50.357289105612203</v>
      </c>
      <c r="P3156">
        <v>-4.4615010765564699E-2</v>
      </c>
      <c r="Q3156">
        <v>0.448839319227685</v>
      </c>
      <c r="R3156">
        <v>0.97445606190550105</v>
      </c>
      <c r="S3156" t="s">
        <v>9962</v>
      </c>
      <c r="T3156" t="s">
        <v>13610</v>
      </c>
      <c r="U3156" t="s">
        <v>13610</v>
      </c>
      <c r="V3156" t="s">
        <v>13610</v>
      </c>
      <c r="W3156" t="s">
        <v>16712</v>
      </c>
      <c r="X3156">
        <v>5</v>
      </c>
      <c r="Y3156" t="s">
        <v>23344</v>
      </c>
      <c r="Z3156" t="s">
        <v>30011</v>
      </c>
      <c r="AA3156">
        <v>0.66394262338707888</v>
      </c>
      <c r="AB3156" t="str">
        <f>HYPERLINK("Melting_Curves/meltCurve_Q12912_2_LRMP.pdf", "Melting_Curves/meltCurve_Q12912_2_LRMP.pdf")</f>
        <v>Melting_Curves/meltCurve_Q12912_2_LRMP.pdf</v>
      </c>
    </row>
    <row r="3157" spans="1:28" x14ac:dyDescent="0.25">
      <c r="A3157" t="s">
        <v>3161</v>
      </c>
      <c r="B3157">
        <v>0.995954080203443</v>
      </c>
      <c r="C3157">
        <v>0.64075611150093403</v>
      </c>
      <c r="D3157">
        <v>0.32312656151230101</v>
      </c>
      <c r="E3157">
        <v>0.26580005666156797</v>
      </c>
      <c r="F3157">
        <v>0.147954782815401</v>
      </c>
      <c r="G3157">
        <v>8.0628943107672796E-2</v>
      </c>
      <c r="H3157">
        <v>5.5071013713880401E-2</v>
      </c>
      <c r="I3157">
        <v>4.9759802562712702E-2</v>
      </c>
      <c r="J3157">
        <v>5.8524248699322497E-2</v>
      </c>
      <c r="K3157">
        <v>4.8922942347593999E-2</v>
      </c>
      <c r="L3157">
        <v>861.90699180410695</v>
      </c>
      <c r="M3157">
        <v>19.4619633588587</v>
      </c>
      <c r="N3157">
        <v>44.648590681664999</v>
      </c>
      <c r="O3157">
        <v>43.827121530438802</v>
      </c>
      <c r="P3157">
        <v>-0.10292001485317399</v>
      </c>
      <c r="Q3157">
        <v>7.2955953109062499E-2</v>
      </c>
      <c r="R3157">
        <v>0.96934968388736897</v>
      </c>
      <c r="S3157" t="s">
        <v>9963</v>
      </c>
      <c r="T3157" t="s">
        <v>13610</v>
      </c>
      <c r="U3157" t="s">
        <v>13610</v>
      </c>
      <c r="V3157" t="s">
        <v>13610</v>
      </c>
      <c r="W3157" t="s">
        <v>16713</v>
      </c>
      <c r="X3157">
        <v>9</v>
      </c>
      <c r="Y3157" t="s">
        <v>23345</v>
      </c>
      <c r="Z3157" t="s">
        <v>30012</v>
      </c>
      <c r="AA3157">
        <v>0.22376844383664241</v>
      </c>
      <c r="AB3157" t="str">
        <f>HYPERLINK("Melting_Curves/meltCurve_Q12933_3_TRAF2.pdf", "Melting_Curves/meltCurve_Q12933_3_TRAF2.pdf")</f>
        <v>Melting_Curves/meltCurve_Q12933_3_TRAF2.pdf</v>
      </c>
    </row>
    <row r="3158" spans="1:28" x14ac:dyDescent="0.25">
      <c r="A3158" t="s">
        <v>3162</v>
      </c>
      <c r="B3158">
        <v>0.995954080203443</v>
      </c>
      <c r="C3158">
        <v>0.82822720741548095</v>
      </c>
      <c r="D3158">
        <v>0.79056080637929305</v>
      </c>
      <c r="E3158">
        <v>0.67799703107556497</v>
      </c>
      <c r="F3158">
        <v>0.65417594781661803</v>
      </c>
      <c r="G3158">
        <v>0.42932018862010801</v>
      </c>
      <c r="H3158">
        <v>0.371914932606284</v>
      </c>
      <c r="I3158">
        <v>0.63898914490857495</v>
      </c>
      <c r="J3158">
        <v>0.62368686478596302</v>
      </c>
      <c r="K3158">
        <v>0.64126591058988802</v>
      </c>
      <c r="L3158">
        <v>721.25856739418998</v>
      </c>
      <c r="M3158">
        <v>15.719325684373899</v>
      </c>
      <c r="O3158">
        <v>45.160212655331399</v>
      </c>
      <c r="P3158">
        <v>-3.9205586084597101E-2</v>
      </c>
      <c r="Q3158">
        <v>0.54950115503555197</v>
      </c>
      <c r="R3158">
        <v>0.716775154337007</v>
      </c>
      <c r="S3158" t="s">
        <v>9964</v>
      </c>
      <c r="T3158" t="s">
        <v>13610</v>
      </c>
      <c r="U3158" t="s">
        <v>13610</v>
      </c>
      <c r="V3158" t="s">
        <v>13610</v>
      </c>
      <c r="W3158" t="s">
        <v>16714</v>
      </c>
      <c r="X3158">
        <v>1</v>
      </c>
      <c r="Y3158" t="s">
        <v>23346</v>
      </c>
      <c r="Z3158" t="s">
        <v>30013</v>
      </c>
      <c r="AA3158">
        <v>0.64987892638390932</v>
      </c>
      <c r="AB3158" t="str">
        <f>HYPERLINK("Melting_Curves/meltCurve_Q12948_FOXC1.pdf", "Melting_Curves/meltCurve_Q12948_FOXC1.pdf")</f>
        <v>Melting_Curves/meltCurve_Q12948_FOXC1.pdf</v>
      </c>
    </row>
    <row r="3159" spans="1:28" x14ac:dyDescent="0.25">
      <c r="A3159" t="s">
        <v>3163</v>
      </c>
      <c r="B3159">
        <v>0.995954080203443</v>
      </c>
      <c r="C3159">
        <v>1.6188786603415399</v>
      </c>
      <c r="D3159">
        <v>1.4539154529426499</v>
      </c>
      <c r="E3159">
        <v>1.62934323724726</v>
      </c>
      <c r="F3159">
        <v>1.5813029333239099</v>
      </c>
      <c r="G3159">
        <v>0.91712396881464697</v>
      </c>
      <c r="H3159">
        <v>0.50997790304748902</v>
      </c>
      <c r="I3159">
        <v>0.46133962306165399</v>
      </c>
      <c r="J3159">
        <v>0.23700729076994401</v>
      </c>
      <c r="K3159">
        <v>0.49697390232352001</v>
      </c>
      <c r="L3159">
        <v>3148.4105015209102</v>
      </c>
      <c r="M3159">
        <v>53.0553815051355</v>
      </c>
      <c r="N3159">
        <v>61.121201390128398</v>
      </c>
      <c r="O3159">
        <v>59.2578369646195</v>
      </c>
      <c r="P3159">
        <v>-0.13580307499993999</v>
      </c>
      <c r="Q3159">
        <v>0.39328371655397498</v>
      </c>
      <c r="R3159">
        <v>0.49397827824794399</v>
      </c>
      <c r="S3159" t="s">
        <v>9965</v>
      </c>
      <c r="T3159" t="s">
        <v>13610</v>
      </c>
      <c r="U3159" t="s">
        <v>13610</v>
      </c>
      <c r="V3159" t="s">
        <v>13610</v>
      </c>
      <c r="W3159" t="s">
        <v>16715</v>
      </c>
      <c r="X3159">
        <v>6</v>
      </c>
      <c r="Y3159" t="s">
        <v>23347</v>
      </c>
      <c r="Z3159" t="s">
        <v>30014</v>
      </c>
      <c r="AA3159">
        <v>0.78585255786089725</v>
      </c>
      <c r="AB3159" t="str">
        <f>HYPERLINK("Melting_Curves/meltCurve_Q12955_ANK3.pdf", "Melting_Curves/meltCurve_Q12955_ANK3.pdf")</f>
        <v>Melting_Curves/meltCurve_Q12955_ANK3.pdf</v>
      </c>
    </row>
    <row r="3160" spans="1:28" x14ac:dyDescent="0.25">
      <c r="A3160" t="s">
        <v>3164</v>
      </c>
      <c r="B3160">
        <v>0.995954080203443</v>
      </c>
      <c r="C3160">
        <v>0.81155088042396595</v>
      </c>
      <c r="D3160">
        <v>0.90583947638709905</v>
      </c>
      <c r="E3160">
        <v>0.95222595513123098</v>
      </c>
      <c r="F3160">
        <v>0.953385635387761</v>
      </c>
      <c r="G3160">
        <v>0.597195971210703</v>
      </c>
      <c r="H3160">
        <v>0.48340663622429703</v>
      </c>
      <c r="I3160">
        <v>0.53578226024331299</v>
      </c>
      <c r="J3160">
        <v>0.59319187880639701</v>
      </c>
      <c r="K3160">
        <v>0.67096234640028896</v>
      </c>
      <c r="L3160">
        <v>3679.15205473165</v>
      </c>
      <c r="M3160">
        <v>67.337496083004297</v>
      </c>
      <c r="O3160">
        <v>54.589366330084601</v>
      </c>
      <c r="P3160">
        <v>-0.132273793913636</v>
      </c>
      <c r="Q3160">
        <v>0.57107162485760099</v>
      </c>
      <c r="R3160">
        <v>0.80680345068089498</v>
      </c>
      <c r="S3160" t="s">
        <v>9966</v>
      </c>
      <c r="T3160" t="s">
        <v>13610</v>
      </c>
      <c r="U3160" t="s">
        <v>13610</v>
      </c>
      <c r="V3160" t="s">
        <v>13610</v>
      </c>
      <c r="W3160" t="s">
        <v>16716</v>
      </c>
      <c r="X3160">
        <v>17</v>
      </c>
      <c r="Y3160" t="s">
        <v>23348</v>
      </c>
      <c r="Z3160" t="s">
        <v>30015</v>
      </c>
      <c r="AA3160">
        <v>0.78092136292552727</v>
      </c>
      <c r="AB3160" t="str">
        <f>HYPERLINK("Melting_Curves/meltCurve_Q12959_4_DLG1.pdf", "Melting_Curves/meltCurve_Q12959_4_DLG1.pdf")</f>
        <v>Melting_Curves/meltCurve_Q12959_4_DLG1.pdf</v>
      </c>
    </row>
    <row r="3161" spans="1:28" x14ac:dyDescent="0.25">
      <c r="A3161" t="s">
        <v>3165</v>
      </c>
      <c r="B3161">
        <v>0.995954080203443</v>
      </c>
      <c r="C3161">
        <v>0.96339858970540904</v>
      </c>
      <c r="D3161">
        <v>0.91857531745653498</v>
      </c>
      <c r="E3161">
        <v>0.76075942995323198</v>
      </c>
      <c r="F3161">
        <v>0.56779990262062296</v>
      </c>
      <c r="G3161">
        <v>0.22482990960322199</v>
      </c>
      <c r="H3161">
        <v>0.12915903668513501</v>
      </c>
      <c r="I3161">
        <v>0.114125068464441</v>
      </c>
      <c r="J3161">
        <v>0.120312306011516</v>
      </c>
      <c r="K3161">
        <v>0.114866708936118</v>
      </c>
      <c r="L3161">
        <v>1049.4203208993699</v>
      </c>
      <c r="M3161">
        <v>19.887076366736199</v>
      </c>
      <c r="N3161">
        <v>53.305536737654499</v>
      </c>
      <c r="O3161">
        <v>52.244085022453099</v>
      </c>
      <c r="P3161">
        <v>-8.6534761220411899E-2</v>
      </c>
      <c r="Q3161">
        <v>9.0710197521610303E-2</v>
      </c>
      <c r="R3161">
        <v>0.99550767878956004</v>
      </c>
      <c r="S3161" t="s">
        <v>9967</v>
      </c>
      <c r="T3161" t="s">
        <v>13610</v>
      </c>
      <c r="U3161" t="s">
        <v>13610</v>
      </c>
      <c r="V3161" t="s">
        <v>13610</v>
      </c>
      <c r="W3161" t="s">
        <v>16717</v>
      </c>
      <c r="X3161">
        <v>18</v>
      </c>
      <c r="Y3161" t="s">
        <v>23348</v>
      </c>
      <c r="Z3161" t="s">
        <v>30016</v>
      </c>
      <c r="AA3161">
        <v>0.49038511544277441</v>
      </c>
      <c r="AB3161" t="str">
        <f>HYPERLINK("Melting_Curves/meltCurve_Q12959_5_DLG1.pdf", "Melting_Curves/meltCurve_Q12959_5_DLG1.pdf")</f>
        <v>Melting_Curves/meltCurve_Q12959_5_DLG1.pdf</v>
      </c>
    </row>
    <row r="3162" spans="1:28" x14ac:dyDescent="0.25">
      <c r="A3162" t="s">
        <v>3166</v>
      </c>
      <c r="B3162">
        <v>0.995954080203443</v>
      </c>
      <c r="C3162">
        <v>0.86108812157485304</v>
      </c>
      <c r="D3162">
        <v>0.793495360109013</v>
      </c>
      <c r="E3162">
        <v>0.67718237332106201</v>
      </c>
      <c r="F3162">
        <v>0.52705112415406297</v>
      </c>
      <c r="G3162">
        <v>0.29976721046907701</v>
      </c>
      <c r="H3162">
        <v>0.21354595297641499</v>
      </c>
      <c r="I3162">
        <v>0.21398764098016099</v>
      </c>
      <c r="J3162">
        <v>0.25462045300455</v>
      </c>
      <c r="K3162">
        <v>0.23195503306756499</v>
      </c>
      <c r="L3162">
        <v>613.626909228052</v>
      </c>
      <c r="M3162">
        <v>12.055951368936</v>
      </c>
      <c r="N3162">
        <v>52.709548635296798</v>
      </c>
      <c r="O3162">
        <v>49.558555191163002</v>
      </c>
      <c r="P3162">
        <v>-5.0514539007875503E-2</v>
      </c>
      <c r="Q3162">
        <v>0.16959371698223</v>
      </c>
      <c r="R3162">
        <v>0.97900754700815695</v>
      </c>
      <c r="S3162" t="s">
        <v>9968</v>
      </c>
      <c r="T3162" t="s">
        <v>13610</v>
      </c>
      <c r="U3162" t="s">
        <v>13610</v>
      </c>
      <c r="V3162" t="s">
        <v>13610</v>
      </c>
      <c r="W3162" t="s">
        <v>16718</v>
      </c>
      <c r="X3162">
        <v>4</v>
      </c>
      <c r="Y3162" t="s">
        <v>23349</v>
      </c>
      <c r="Z3162" t="s">
        <v>30017</v>
      </c>
      <c r="AA3162">
        <v>0.49832805294060439</v>
      </c>
      <c r="AB3162" t="str">
        <f>HYPERLINK("Melting_Curves/meltCurve_Q12962_TAF10.pdf", "Melting_Curves/meltCurve_Q12962_TAF10.pdf")</f>
        <v>Melting_Curves/meltCurve_Q12962_TAF10.pdf</v>
      </c>
    </row>
    <row r="3163" spans="1:28" x14ac:dyDescent="0.25">
      <c r="A3163" t="s">
        <v>3167</v>
      </c>
      <c r="B3163">
        <v>0.995954080203443</v>
      </c>
      <c r="C3163">
        <v>0.94417232127448103</v>
      </c>
      <c r="D3163">
        <v>0.88995590421165405</v>
      </c>
      <c r="E3163">
        <v>0.78890943733457597</v>
      </c>
      <c r="F3163">
        <v>0.70030521828737602</v>
      </c>
      <c r="G3163">
        <v>0.50923306017215597</v>
      </c>
      <c r="H3163">
        <v>0.50155059994732498</v>
      </c>
      <c r="I3163">
        <v>0.57745351474307305</v>
      </c>
      <c r="J3163">
        <v>0.69032270637645399</v>
      </c>
      <c r="K3163">
        <v>0.67160283440436297</v>
      </c>
      <c r="L3163">
        <v>978.74235415953694</v>
      </c>
      <c r="M3163">
        <v>19.964983099499499</v>
      </c>
      <c r="O3163">
        <v>48.539075666504701</v>
      </c>
      <c r="P3163">
        <v>-4.1963944480871498E-2</v>
      </c>
      <c r="Q3163">
        <v>0.59192069021138205</v>
      </c>
      <c r="R3163">
        <v>0.85257989046421101</v>
      </c>
      <c r="S3163" t="s">
        <v>9969</v>
      </c>
      <c r="T3163" t="s">
        <v>13610</v>
      </c>
      <c r="U3163" t="s">
        <v>13610</v>
      </c>
      <c r="V3163" t="s">
        <v>13610</v>
      </c>
      <c r="W3163" t="s">
        <v>16719</v>
      </c>
      <c r="X3163">
        <v>15</v>
      </c>
      <c r="Y3163" t="s">
        <v>23350</v>
      </c>
      <c r="Z3163" t="s">
        <v>30018</v>
      </c>
      <c r="AA3163">
        <v>0.72039207312232001</v>
      </c>
      <c r="AB3163" t="str">
        <f>HYPERLINK("Melting_Curves/meltCurve_Q12968_NFATC3.pdf", "Melting_Curves/meltCurve_Q12968_NFATC3.pdf")</f>
        <v>Melting_Curves/meltCurve_Q12968_NFATC3.pdf</v>
      </c>
    </row>
    <row r="3164" spans="1:28" x14ac:dyDescent="0.25">
      <c r="A3164" t="s">
        <v>3168</v>
      </c>
      <c r="B3164">
        <v>0.995954080203443</v>
      </c>
      <c r="C3164">
        <v>1.0266738573504599</v>
      </c>
      <c r="D3164">
        <v>1.0529993866535601</v>
      </c>
      <c r="E3164">
        <v>0.839209321192664</v>
      </c>
      <c r="F3164">
        <v>0.53179731403945396</v>
      </c>
      <c r="G3164">
        <v>0.27228595250804699</v>
      </c>
      <c r="H3164">
        <v>0.22351237410810201</v>
      </c>
      <c r="I3164">
        <v>0.217158604687994</v>
      </c>
      <c r="J3164">
        <v>0.27293356769455501</v>
      </c>
      <c r="K3164">
        <v>0.26073515395928698</v>
      </c>
      <c r="L3164">
        <v>1764.1973027101801</v>
      </c>
      <c r="M3164">
        <v>33.826185393948201</v>
      </c>
      <c r="N3164">
        <v>53.187536186457898</v>
      </c>
      <c r="O3164">
        <v>51.973526517315001</v>
      </c>
      <c r="P3164">
        <v>-0.12353681591317101</v>
      </c>
      <c r="Q3164">
        <v>0.24075197690228001</v>
      </c>
      <c r="R3164">
        <v>0.99377592114706303</v>
      </c>
      <c r="S3164" t="s">
        <v>9970</v>
      </c>
      <c r="T3164" t="s">
        <v>13610</v>
      </c>
      <c r="U3164" t="s">
        <v>13610</v>
      </c>
      <c r="V3164" t="s">
        <v>13610</v>
      </c>
      <c r="W3164" t="s">
        <v>16720</v>
      </c>
      <c r="X3164">
        <v>13</v>
      </c>
      <c r="Y3164" t="s">
        <v>23351</v>
      </c>
      <c r="Z3164" t="s">
        <v>30019</v>
      </c>
      <c r="AA3164">
        <v>0.552197699082286</v>
      </c>
      <c r="AB3164" t="str">
        <f>HYPERLINK("Melting_Curves/meltCurve_Q12972_PPP1R8.pdf", "Melting_Curves/meltCurve_Q12972_PPP1R8.pdf")</f>
        <v>Melting_Curves/meltCurve_Q12972_PPP1R8.pdf</v>
      </c>
    </row>
    <row r="3165" spans="1:28" x14ac:dyDescent="0.25">
      <c r="A3165" t="s">
        <v>3169</v>
      </c>
      <c r="B3165">
        <v>0.995954080203443</v>
      </c>
      <c r="C3165">
        <v>0.901407275801272</v>
      </c>
      <c r="D3165">
        <v>0.89141359795943798</v>
      </c>
      <c r="E3165">
        <v>0.69142039781934495</v>
      </c>
      <c r="F3165">
        <v>0.58540288870427404</v>
      </c>
      <c r="G3165">
        <v>0.31966275652616699</v>
      </c>
      <c r="H3165">
        <v>0.19548534416079799</v>
      </c>
      <c r="I3165">
        <v>0.16853827611508199</v>
      </c>
      <c r="J3165">
        <v>0.135120247381493</v>
      </c>
      <c r="K3165">
        <v>0.10782873202795799</v>
      </c>
      <c r="L3165">
        <v>652.71935732901204</v>
      </c>
      <c r="M3165">
        <v>12.260866116043299</v>
      </c>
      <c r="N3165">
        <v>53.743985812674502</v>
      </c>
      <c r="O3165">
        <v>51.879245329581501</v>
      </c>
      <c r="P3165">
        <v>-5.5863216951346599E-2</v>
      </c>
      <c r="Q3165">
        <v>5.47164023576035E-2</v>
      </c>
      <c r="R3165">
        <v>0.99413961348611501</v>
      </c>
      <c r="S3165" t="s">
        <v>9971</v>
      </c>
      <c r="T3165" t="s">
        <v>13610</v>
      </c>
      <c r="U3165" t="s">
        <v>13610</v>
      </c>
      <c r="V3165" t="s">
        <v>13610</v>
      </c>
      <c r="W3165" t="s">
        <v>16721</v>
      </c>
      <c r="X3165">
        <v>7</v>
      </c>
      <c r="Y3165" t="s">
        <v>23352</v>
      </c>
      <c r="Z3165" t="s">
        <v>30020</v>
      </c>
      <c r="AA3165">
        <v>0.49757500846055491</v>
      </c>
      <c r="AB3165" t="str">
        <f>HYPERLINK("Melting_Curves/meltCurve_Q12974_PTP4A2.pdf", "Melting_Curves/meltCurve_Q12974_PTP4A2.pdf")</f>
        <v>Melting_Curves/meltCurve_Q12974_PTP4A2.pdf</v>
      </c>
    </row>
    <row r="3166" spans="1:28" x14ac:dyDescent="0.25">
      <c r="A3166" t="s">
        <v>3170</v>
      </c>
      <c r="B3166">
        <v>0.995954080203443</v>
      </c>
      <c r="C3166">
        <v>0.92397380084927305</v>
      </c>
      <c r="D3166">
        <v>0.93521414878927001</v>
      </c>
      <c r="E3166">
        <v>0.66217742835182303</v>
      </c>
      <c r="F3166">
        <v>0.26533093871694202</v>
      </c>
      <c r="G3166">
        <v>0.12613945285759801</v>
      </c>
      <c r="H3166">
        <v>7.9532618867975094E-2</v>
      </c>
      <c r="I3166">
        <v>8.2755377141220193E-2</v>
      </c>
      <c r="J3166">
        <v>0.103843530547278</v>
      </c>
      <c r="K3166">
        <v>7.8608259413068302E-2</v>
      </c>
      <c r="L3166">
        <v>1538.13467248544</v>
      </c>
      <c r="M3166">
        <v>30.305524556440002</v>
      </c>
      <c r="N3166">
        <v>51.065792132008902</v>
      </c>
      <c r="O3166">
        <v>50.534806900621597</v>
      </c>
      <c r="P3166">
        <v>-0.13727174490076099</v>
      </c>
      <c r="Q3166">
        <v>8.4396913644738294E-2</v>
      </c>
      <c r="R3166">
        <v>0.99510062005290101</v>
      </c>
      <c r="S3166" t="s">
        <v>9972</v>
      </c>
      <c r="T3166" t="s">
        <v>13610</v>
      </c>
      <c r="U3166" t="s">
        <v>13610</v>
      </c>
      <c r="V3166" t="s">
        <v>13610</v>
      </c>
      <c r="W3166" t="s">
        <v>16722</v>
      </c>
      <c r="X3166">
        <v>14</v>
      </c>
      <c r="Y3166" t="s">
        <v>23353</v>
      </c>
      <c r="Z3166" t="s">
        <v>30021</v>
      </c>
      <c r="AA3166">
        <v>0.41823633247671371</v>
      </c>
      <c r="AB3166" t="str">
        <f>HYPERLINK("Melting_Curves/meltCurve_Q12979_4_ABR.pdf", "Melting_Curves/meltCurve_Q12979_4_ABR.pdf")</f>
        <v>Melting_Curves/meltCurve_Q12979_4_ABR.pdf</v>
      </c>
    </row>
    <row r="3167" spans="1:28" x14ac:dyDescent="0.25">
      <c r="A3167" t="s">
        <v>3171</v>
      </c>
      <c r="B3167">
        <v>0.995954080203443</v>
      </c>
      <c r="C3167">
        <v>0.94706402511277898</v>
      </c>
      <c r="D3167">
        <v>0.85282420033023698</v>
      </c>
      <c r="E3167">
        <v>0.84738202271783203</v>
      </c>
      <c r="F3167">
        <v>0.66287059234410295</v>
      </c>
      <c r="G3167">
        <v>0.42128022428115403</v>
      </c>
      <c r="H3167">
        <v>0.31240750171194498</v>
      </c>
      <c r="I3167">
        <v>0.27151460570485297</v>
      </c>
      <c r="J3167">
        <v>0.30568492690089999</v>
      </c>
      <c r="K3167">
        <v>0.26997802442357699</v>
      </c>
      <c r="L3167">
        <v>817.85647345767597</v>
      </c>
      <c r="M3167">
        <v>15.3218218891628</v>
      </c>
      <c r="N3167">
        <v>55.7356893919927</v>
      </c>
      <c r="O3167">
        <v>52.4940664668502</v>
      </c>
      <c r="P3167">
        <v>-5.5574937007617897E-2</v>
      </c>
      <c r="Q3167">
        <v>0.23845034660754999</v>
      </c>
      <c r="R3167">
        <v>0.98217640571325504</v>
      </c>
      <c r="S3167" t="s">
        <v>9973</v>
      </c>
      <c r="T3167" t="s">
        <v>13610</v>
      </c>
      <c r="U3167" t="s">
        <v>13610</v>
      </c>
      <c r="V3167" t="s">
        <v>13610</v>
      </c>
      <c r="W3167" t="s">
        <v>16723</v>
      </c>
      <c r="X3167">
        <v>5</v>
      </c>
      <c r="Y3167" t="s">
        <v>23354</v>
      </c>
      <c r="Z3167" t="s">
        <v>30022</v>
      </c>
      <c r="AA3167">
        <v>0.59372561480350827</v>
      </c>
      <c r="AB3167" t="str">
        <f>HYPERLINK("Melting_Curves/meltCurve_Q12981_BNIP1.pdf", "Melting_Curves/meltCurve_Q12981_BNIP1.pdf")</f>
        <v>Melting_Curves/meltCurve_Q12981_BNIP1.pdf</v>
      </c>
    </row>
    <row r="3168" spans="1:28" x14ac:dyDescent="0.25">
      <c r="A3168" t="s">
        <v>3172</v>
      </c>
      <c r="B3168">
        <v>0.995954080203443</v>
      </c>
      <c r="C3168">
        <v>0.85433919538467995</v>
      </c>
      <c r="D3168">
        <v>0.84959574816565098</v>
      </c>
      <c r="E3168">
        <v>0.65315238470983095</v>
      </c>
      <c r="F3168">
        <v>0.54475846986718401</v>
      </c>
      <c r="G3168">
        <v>0.32208475970716699</v>
      </c>
      <c r="H3168">
        <v>0.17172873518922599</v>
      </c>
      <c r="I3168">
        <v>0.14339022230725901</v>
      </c>
      <c r="J3168">
        <v>0.16578880299969001</v>
      </c>
      <c r="K3168">
        <v>0.15689092489857701</v>
      </c>
      <c r="L3168">
        <v>598.91148817631404</v>
      </c>
      <c r="M3168">
        <v>11.4646872786549</v>
      </c>
      <c r="N3168">
        <v>52.976445124388498</v>
      </c>
      <c r="O3168">
        <v>50.726093780435903</v>
      </c>
      <c r="P3168">
        <v>-5.2354147870112999E-2</v>
      </c>
      <c r="Q3168">
        <v>7.36920260978189E-2</v>
      </c>
      <c r="R3168">
        <v>0.98629798540614999</v>
      </c>
      <c r="S3168" t="s">
        <v>9974</v>
      </c>
      <c r="T3168" t="s">
        <v>13610</v>
      </c>
      <c r="U3168" t="s">
        <v>13610</v>
      </c>
      <c r="V3168" t="s">
        <v>13610</v>
      </c>
      <c r="W3168" t="s">
        <v>16724</v>
      </c>
      <c r="X3168">
        <v>3</v>
      </c>
      <c r="Y3168" t="s">
        <v>23355</v>
      </c>
      <c r="Z3168" t="s">
        <v>30023</v>
      </c>
      <c r="AA3168">
        <v>0.48110038318937309</v>
      </c>
      <c r="AB3168" t="str">
        <f>HYPERLINK("Melting_Curves/meltCurve_Q12982_BNIP2.pdf", "Melting_Curves/meltCurve_Q12982_BNIP2.pdf")</f>
        <v>Melting_Curves/meltCurve_Q12982_BNIP2.pdf</v>
      </c>
    </row>
    <row r="3169" spans="1:28" x14ac:dyDescent="0.25">
      <c r="A3169" t="s">
        <v>3173</v>
      </c>
      <c r="B3169">
        <v>0.995954080203443</v>
      </c>
      <c r="C3169">
        <v>0.96101944409781404</v>
      </c>
      <c r="D3169">
        <v>0.88107679454961696</v>
      </c>
      <c r="E3169">
        <v>0.75120808057655297</v>
      </c>
      <c r="F3169">
        <v>0.64589810494875199</v>
      </c>
      <c r="G3169">
        <v>0.453999638601426</v>
      </c>
      <c r="H3169">
        <v>0.41300900833962001</v>
      </c>
      <c r="I3169">
        <v>0.48541442058728201</v>
      </c>
      <c r="J3169">
        <v>0.62129247495953199</v>
      </c>
      <c r="K3169">
        <v>0.56861293817390202</v>
      </c>
      <c r="L3169">
        <v>1009.75406567444</v>
      </c>
      <c r="M3169">
        <v>20.410665911860999</v>
      </c>
      <c r="O3169">
        <v>49.004332221924102</v>
      </c>
      <c r="P3169">
        <v>-5.1300695431698601E-2</v>
      </c>
      <c r="Q3169">
        <v>0.50733974672302595</v>
      </c>
      <c r="R3169">
        <v>0.90485909357806205</v>
      </c>
      <c r="S3169" t="s">
        <v>9975</v>
      </c>
      <c r="T3169" t="s">
        <v>13610</v>
      </c>
      <c r="U3169" t="s">
        <v>13610</v>
      </c>
      <c r="V3169" t="s">
        <v>13610</v>
      </c>
      <c r="W3169" t="s">
        <v>16725</v>
      </c>
      <c r="X3169">
        <v>14</v>
      </c>
      <c r="Y3169" t="s">
        <v>23356</v>
      </c>
      <c r="Z3169" t="s">
        <v>30024</v>
      </c>
      <c r="AA3169">
        <v>0.66948979418299126</v>
      </c>
      <c r="AB3169" t="str">
        <f>HYPERLINK("Melting_Curves/meltCurve_Q12986_2_NFX1.pdf", "Melting_Curves/meltCurve_Q12986_2_NFX1.pdf")</f>
        <v>Melting_Curves/meltCurve_Q12986_2_NFX1.pdf</v>
      </c>
    </row>
    <row r="3170" spans="1:28" x14ac:dyDescent="0.25">
      <c r="A3170" t="s">
        <v>3174</v>
      </c>
      <c r="B3170">
        <v>0.995954080203443</v>
      </c>
      <c r="C3170">
        <v>0.77699598724605901</v>
      </c>
      <c r="D3170">
        <v>0.65158178928285204</v>
      </c>
      <c r="E3170">
        <v>0.68485988654394303</v>
      </c>
      <c r="F3170">
        <v>0.19689110607306801</v>
      </c>
      <c r="G3170">
        <v>0.108979497858901</v>
      </c>
      <c r="H3170">
        <v>6.9872690491471698E-2</v>
      </c>
      <c r="I3170">
        <v>6.59045286606664E-2</v>
      </c>
      <c r="J3170">
        <v>8.4472216021850399E-2</v>
      </c>
      <c r="K3170">
        <v>6.9924909554215597E-2</v>
      </c>
      <c r="L3170">
        <v>603.13846673231296</v>
      </c>
      <c r="M3170">
        <v>12.2045751661416</v>
      </c>
      <c r="N3170">
        <v>49.489008659822403</v>
      </c>
      <c r="O3170">
        <v>48.148428232947602</v>
      </c>
      <c r="P3170">
        <v>-6.2841745365800394E-2</v>
      </c>
      <c r="Q3170">
        <v>8.5527633099114798E-3</v>
      </c>
      <c r="R3170">
        <v>0.93175857035225496</v>
      </c>
      <c r="S3170" t="s">
        <v>9976</v>
      </c>
      <c r="T3170" t="s">
        <v>13610</v>
      </c>
      <c r="U3170" t="s">
        <v>13610</v>
      </c>
      <c r="V3170" t="s">
        <v>13610</v>
      </c>
      <c r="W3170" t="s">
        <v>16726</v>
      </c>
      <c r="X3170">
        <v>26</v>
      </c>
      <c r="Y3170" t="s">
        <v>23357</v>
      </c>
      <c r="Z3170" t="s">
        <v>30025</v>
      </c>
      <c r="AA3170">
        <v>0.35438449386164622</v>
      </c>
      <c r="AB3170" t="str">
        <f>HYPERLINK("Melting_Curves/meltCurve_Q12996_CSTF3.pdf", "Melting_Curves/meltCurve_Q12996_CSTF3.pdf")</f>
        <v>Melting_Curves/meltCurve_Q12996_CSTF3.pdf</v>
      </c>
    </row>
    <row r="3171" spans="1:28" x14ac:dyDescent="0.25">
      <c r="A3171" t="s">
        <v>3175</v>
      </c>
      <c r="B3171">
        <v>0.995954080203443</v>
      </c>
      <c r="C3171">
        <v>0.74695254196809602</v>
      </c>
      <c r="D3171">
        <v>0.686675393814978</v>
      </c>
      <c r="E3171">
        <v>0.81689843235617099</v>
      </c>
      <c r="F3171">
        <v>0.61176523956404405</v>
      </c>
      <c r="G3171">
        <v>0.14564378332241601</v>
      </c>
      <c r="H3171">
        <v>6.7606161521329505E-2</v>
      </c>
      <c r="I3171">
        <v>5.9395399491801303E-2</v>
      </c>
      <c r="J3171">
        <v>7.1027661026984698E-2</v>
      </c>
      <c r="K3171">
        <v>6.5928581778413306E-2</v>
      </c>
      <c r="L3171">
        <v>665.56819913914603</v>
      </c>
      <c r="M3171">
        <v>12.647122877983699</v>
      </c>
      <c r="N3171">
        <v>52.626069815436601</v>
      </c>
      <c r="O3171">
        <v>51.362335736683299</v>
      </c>
      <c r="P3171">
        <v>-6.1570451350880698E-2</v>
      </c>
      <c r="Q3171">
        <v>0</v>
      </c>
      <c r="R3171">
        <v>0.89209075390470005</v>
      </c>
      <c r="S3171" t="s">
        <v>9977</v>
      </c>
      <c r="T3171" t="s">
        <v>13610</v>
      </c>
      <c r="U3171" t="s">
        <v>13610</v>
      </c>
      <c r="V3171" t="s">
        <v>13610</v>
      </c>
      <c r="W3171" t="s">
        <v>16727</v>
      </c>
      <c r="X3171">
        <v>15</v>
      </c>
      <c r="Y3171" t="s">
        <v>23358</v>
      </c>
      <c r="Z3171" t="s">
        <v>30026</v>
      </c>
      <c r="AA3171">
        <v>0.44835004944940121</v>
      </c>
      <c r="AB3171" t="str">
        <f>HYPERLINK("Melting_Curves/meltCurve_Q13011_ECH1.pdf", "Melting_Curves/meltCurve_Q13011_ECH1.pdf")</f>
        <v>Melting_Curves/meltCurve_Q13011_ECH1.pdf</v>
      </c>
    </row>
    <row r="3172" spans="1:28" x14ac:dyDescent="0.25">
      <c r="A3172" t="s">
        <v>3176</v>
      </c>
      <c r="B3172">
        <v>0.995954080203443</v>
      </c>
      <c r="C3172">
        <v>1.00676134117167</v>
      </c>
      <c r="D3172">
        <v>0.91554069469034105</v>
      </c>
      <c r="E3172">
        <v>0.54088308153042597</v>
      </c>
      <c r="F3172">
        <v>0.326768192267124</v>
      </c>
      <c r="G3172">
        <v>0.23038189568824899</v>
      </c>
      <c r="H3172">
        <v>0.18866048241913599</v>
      </c>
      <c r="I3172">
        <v>0.21917294626752701</v>
      </c>
      <c r="J3172">
        <v>0.24658610021250399</v>
      </c>
      <c r="K3172">
        <v>0.22815626472802999</v>
      </c>
      <c r="L3172">
        <v>1418.59150108005</v>
      </c>
      <c r="M3172">
        <v>28.7101864007481</v>
      </c>
      <c r="N3172">
        <v>50.426401614303899</v>
      </c>
      <c r="O3172">
        <v>49.172881493007999</v>
      </c>
      <c r="P3172">
        <v>-0.11391786908265999</v>
      </c>
      <c r="Q3172">
        <v>0.21956251519977399</v>
      </c>
      <c r="R3172">
        <v>0.99782303177377996</v>
      </c>
      <c r="S3172" t="s">
        <v>9978</v>
      </c>
      <c r="T3172" t="s">
        <v>13610</v>
      </c>
      <c r="U3172" t="s">
        <v>13610</v>
      </c>
      <c r="V3172" t="s">
        <v>13610</v>
      </c>
      <c r="W3172" t="s">
        <v>16728</v>
      </c>
      <c r="X3172">
        <v>17</v>
      </c>
      <c r="Y3172" t="s">
        <v>23359</v>
      </c>
      <c r="Z3172" t="s">
        <v>30027</v>
      </c>
      <c r="AA3172">
        <v>0.46960958307065143</v>
      </c>
      <c r="AB3172" t="str">
        <f>HYPERLINK("Melting_Curves/meltCurve_Q13017_2_ARHGAP5.pdf", "Melting_Curves/meltCurve_Q13017_2_ARHGAP5.pdf")</f>
        <v>Melting_Curves/meltCurve_Q13017_2_ARHGAP5.pdf</v>
      </c>
    </row>
    <row r="3173" spans="1:28" x14ac:dyDescent="0.25">
      <c r="A3173" t="s">
        <v>3177</v>
      </c>
      <c r="B3173">
        <v>0.995954080203443</v>
      </c>
      <c r="C3173">
        <v>0.94670902459929496</v>
      </c>
      <c r="D3173">
        <v>0.84667045352571801</v>
      </c>
      <c r="E3173">
        <v>0.79946924528458196</v>
      </c>
      <c r="F3173">
        <v>0.57605689769159296</v>
      </c>
      <c r="G3173">
        <v>0.32637132090815901</v>
      </c>
      <c r="H3173">
        <v>0.164692966740598</v>
      </c>
      <c r="I3173">
        <v>0.11804220291735899</v>
      </c>
      <c r="J3173">
        <v>0.13912695499248001</v>
      </c>
      <c r="K3173">
        <v>0.128486067991847</v>
      </c>
      <c r="L3173">
        <v>805.43133952511698</v>
      </c>
      <c r="M3173">
        <v>15.0874394161618</v>
      </c>
      <c r="N3173">
        <v>53.9728478305897</v>
      </c>
      <c r="O3173">
        <v>52.472739438648901</v>
      </c>
      <c r="P3173">
        <v>-6.6435978682273703E-2</v>
      </c>
      <c r="Q3173">
        <v>7.5858397129417499E-2</v>
      </c>
      <c r="R3173">
        <v>0.98989806700718497</v>
      </c>
      <c r="S3173" t="s">
        <v>9979</v>
      </c>
      <c r="T3173" t="s">
        <v>13610</v>
      </c>
      <c r="U3173" t="s">
        <v>13610</v>
      </c>
      <c r="V3173" t="s">
        <v>13610</v>
      </c>
      <c r="W3173" t="s">
        <v>16729</v>
      </c>
      <c r="X3173">
        <v>20</v>
      </c>
      <c r="Y3173" t="s">
        <v>23360</v>
      </c>
      <c r="Z3173" t="s">
        <v>30028</v>
      </c>
      <c r="AA3173">
        <v>0.50755651945997715</v>
      </c>
      <c r="AB3173" t="str">
        <f>HYPERLINK("Melting_Curves/meltCurve_Q13033_2_STRN3.pdf", "Melting_Curves/meltCurve_Q13033_2_STRN3.pdf")</f>
        <v>Melting_Curves/meltCurve_Q13033_2_STRN3.pdf</v>
      </c>
    </row>
    <row r="3174" spans="1:28" x14ac:dyDescent="0.25">
      <c r="A3174" t="s">
        <v>3178</v>
      </c>
      <c r="B3174">
        <v>0.995954080203443</v>
      </c>
      <c r="C3174">
        <v>0.66036483354518805</v>
      </c>
      <c r="D3174">
        <v>0.41384319177245399</v>
      </c>
      <c r="E3174">
        <v>0.80980269106715796</v>
      </c>
      <c r="F3174">
        <v>0.38233897397587402</v>
      </c>
      <c r="G3174">
        <v>0.120137923308545</v>
      </c>
      <c r="H3174">
        <v>6.91613800327089E-2</v>
      </c>
      <c r="I3174">
        <v>5.1553644079106398E-2</v>
      </c>
      <c r="J3174">
        <v>6.1329888485531503E-2</v>
      </c>
      <c r="K3174">
        <v>5.1739997629400299E-2</v>
      </c>
      <c r="L3174">
        <v>440.63030172597098</v>
      </c>
      <c r="M3174">
        <v>8.9848038634068992</v>
      </c>
      <c r="N3174">
        <v>49.041727504853803</v>
      </c>
      <c r="O3174">
        <v>46.795061704225397</v>
      </c>
      <c r="P3174">
        <v>-4.8035899373401997E-2</v>
      </c>
      <c r="Q3174">
        <v>0</v>
      </c>
      <c r="R3174">
        <v>0.79725353128406595</v>
      </c>
      <c r="S3174" t="s">
        <v>9980</v>
      </c>
      <c r="T3174" t="s">
        <v>13610</v>
      </c>
      <c r="U3174" t="s">
        <v>13610</v>
      </c>
      <c r="V3174" t="s">
        <v>13610</v>
      </c>
      <c r="W3174" t="s">
        <v>16730</v>
      </c>
      <c r="X3174">
        <v>14</v>
      </c>
      <c r="Y3174" t="s">
        <v>23361</v>
      </c>
      <c r="Z3174" t="s">
        <v>30029</v>
      </c>
      <c r="AA3174">
        <v>0.35809044326686917</v>
      </c>
      <c r="AB3174" t="str">
        <f>HYPERLINK("Melting_Curves/meltCurve_Q13042_3_CDC16.pdf", "Melting_Curves/meltCurve_Q13042_3_CDC16.pdf")</f>
        <v>Melting_Curves/meltCurve_Q13042_3_CDC16.pdf</v>
      </c>
    </row>
    <row r="3175" spans="1:28" x14ac:dyDescent="0.25">
      <c r="A3175" t="s">
        <v>3179</v>
      </c>
      <c r="B3175">
        <v>0.995954080203443</v>
      </c>
      <c r="C3175">
        <v>0.95983166010691701</v>
      </c>
      <c r="D3175">
        <v>0.83638813983777704</v>
      </c>
      <c r="E3175">
        <v>0.56947510346515695</v>
      </c>
      <c r="F3175">
        <v>0.27554017479844101</v>
      </c>
      <c r="G3175">
        <v>0.13699026909689199</v>
      </c>
      <c r="H3175">
        <v>8.9298489681428506E-2</v>
      </c>
      <c r="I3175">
        <v>8.7075626027546094E-2</v>
      </c>
      <c r="J3175">
        <v>9.7741658786684602E-2</v>
      </c>
      <c r="K3175">
        <v>9.1909369925992093E-2</v>
      </c>
      <c r="L3175">
        <v>1013.2514541737499</v>
      </c>
      <c r="M3175">
        <v>20.280445679685901</v>
      </c>
      <c r="N3175">
        <v>50.382058404243402</v>
      </c>
      <c r="O3175">
        <v>49.483803340788498</v>
      </c>
      <c r="P3175">
        <v>-9.4493165333884299E-2</v>
      </c>
      <c r="Q3175">
        <v>7.7783725762822997E-2</v>
      </c>
      <c r="R3175">
        <v>0.99776328683396598</v>
      </c>
      <c r="S3175" t="s">
        <v>9981</v>
      </c>
      <c r="T3175" t="s">
        <v>13610</v>
      </c>
      <c r="U3175" t="s">
        <v>13610</v>
      </c>
      <c r="V3175" t="s">
        <v>13610</v>
      </c>
      <c r="W3175" t="s">
        <v>16731</v>
      </c>
      <c r="X3175">
        <v>21</v>
      </c>
      <c r="Y3175" t="s">
        <v>23362</v>
      </c>
      <c r="Z3175" t="s">
        <v>30030</v>
      </c>
      <c r="AA3175">
        <v>0.39651600813721188</v>
      </c>
      <c r="AB3175" t="str">
        <f>HYPERLINK("Melting_Curves/meltCurve_Q13043_STK4.pdf", "Melting_Curves/meltCurve_Q13043_STK4.pdf")</f>
        <v>Melting_Curves/meltCurve_Q13043_STK4.pdf</v>
      </c>
    </row>
    <row r="3176" spans="1:28" x14ac:dyDescent="0.25">
      <c r="A3176" t="s">
        <v>3180</v>
      </c>
      <c r="B3176">
        <v>0.995954080203443</v>
      </c>
      <c r="C3176">
        <v>0.84318601839745599</v>
      </c>
      <c r="D3176">
        <v>0.60618668428937394</v>
      </c>
      <c r="E3176">
        <v>0.30688088958753501</v>
      </c>
      <c r="F3176">
        <v>0.14801274976975901</v>
      </c>
      <c r="G3176">
        <v>9.3154484103077903E-2</v>
      </c>
      <c r="H3176">
        <v>6.8150612411742195E-2</v>
      </c>
      <c r="I3176">
        <v>6.8254709866564803E-2</v>
      </c>
      <c r="J3176">
        <v>7.7672454409999106E-2</v>
      </c>
      <c r="K3176">
        <v>7.7523888705869001E-2</v>
      </c>
      <c r="L3176">
        <v>870.64273101878598</v>
      </c>
      <c r="M3176">
        <v>18.5827878858464</v>
      </c>
      <c r="N3176">
        <v>47.208107596253001</v>
      </c>
      <c r="O3176">
        <v>46.319645476726798</v>
      </c>
      <c r="P3176">
        <v>-9.3743200618953207E-2</v>
      </c>
      <c r="Q3176">
        <v>6.5379659908983798E-2</v>
      </c>
      <c r="R3176">
        <v>0.99801790340803498</v>
      </c>
      <c r="S3176" t="s">
        <v>9982</v>
      </c>
      <c r="T3176" t="s">
        <v>13610</v>
      </c>
      <c r="U3176" t="s">
        <v>13610</v>
      </c>
      <c r="V3176" t="s">
        <v>13610</v>
      </c>
      <c r="W3176" t="s">
        <v>16732</v>
      </c>
      <c r="X3176">
        <v>33</v>
      </c>
      <c r="Y3176" t="s">
        <v>23363</v>
      </c>
      <c r="Z3176" t="s">
        <v>30031</v>
      </c>
      <c r="AA3176">
        <v>0.29505024296454713</v>
      </c>
      <c r="AB3176" t="str">
        <f>HYPERLINK("Melting_Curves/meltCurve_Q13045_FLII.pdf", "Melting_Curves/meltCurve_Q13045_FLII.pdf")</f>
        <v>Melting_Curves/meltCurve_Q13045_FLII.pdf</v>
      </c>
    </row>
    <row r="3177" spans="1:28" x14ac:dyDescent="0.25">
      <c r="A3177" t="s">
        <v>3181</v>
      </c>
      <c r="B3177">
        <v>0.995954080203443</v>
      </c>
      <c r="C3177">
        <v>1.0115833250158</v>
      </c>
      <c r="D3177">
        <v>0.78166425002389905</v>
      </c>
      <c r="E3177">
        <v>0.78456129729690804</v>
      </c>
      <c r="F3177">
        <v>0.46786155861234002</v>
      </c>
      <c r="G3177">
        <v>0.24972448739519601</v>
      </c>
      <c r="H3177">
        <v>0.15412655152504801</v>
      </c>
      <c r="I3177">
        <v>0.16909792866841999</v>
      </c>
      <c r="J3177">
        <v>0.173972898416483</v>
      </c>
      <c r="K3177">
        <v>0.15851850421673999</v>
      </c>
      <c r="L3177">
        <v>902.41490300048099</v>
      </c>
      <c r="M3177">
        <v>17.4224021350722</v>
      </c>
      <c r="N3177">
        <v>52.725196726910099</v>
      </c>
      <c r="O3177">
        <v>51.128298637715901</v>
      </c>
      <c r="P3177">
        <v>-7.3934877043255506E-2</v>
      </c>
      <c r="Q3177">
        <v>0.13216274963751201</v>
      </c>
      <c r="R3177">
        <v>0.97518248985623601</v>
      </c>
      <c r="S3177" t="s">
        <v>9983</v>
      </c>
      <c r="T3177" t="s">
        <v>13610</v>
      </c>
      <c r="U3177" t="s">
        <v>13610</v>
      </c>
      <c r="V3177" t="s">
        <v>13610</v>
      </c>
      <c r="W3177" t="s">
        <v>16733</v>
      </c>
      <c r="X3177">
        <v>2</v>
      </c>
      <c r="Y3177" t="s">
        <v>23364</v>
      </c>
      <c r="Z3177" t="s">
        <v>30032</v>
      </c>
      <c r="AA3177">
        <v>0.48871600050005681</v>
      </c>
      <c r="AB3177" t="str">
        <f>HYPERLINK("Melting_Curves/meltCurve_Q13049_TRIM32.pdf", "Melting_Curves/meltCurve_Q13049_TRIM32.pdf")</f>
        <v>Melting_Curves/meltCurve_Q13049_TRIM32.pdf</v>
      </c>
    </row>
    <row r="3178" spans="1:28" x14ac:dyDescent="0.25">
      <c r="A3178" t="s">
        <v>3182</v>
      </c>
      <c r="B3178">
        <v>0.995954080203443</v>
      </c>
      <c r="C3178">
        <v>0.69852033302646599</v>
      </c>
      <c r="D3178">
        <v>0.20627867624757101</v>
      </c>
      <c r="E3178">
        <v>0.16706702147331701</v>
      </c>
      <c r="F3178">
        <v>9.3212412860216795E-2</v>
      </c>
      <c r="G3178">
        <v>5.7450163508319198E-2</v>
      </c>
      <c r="H3178">
        <v>4.2407745349632098E-2</v>
      </c>
      <c r="I3178">
        <v>3.8938685026686702E-2</v>
      </c>
      <c r="J3178">
        <v>4.3747386320089399E-2</v>
      </c>
      <c r="K3178">
        <v>4.3508272849300998E-2</v>
      </c>
      <c r="L3178">
        <v>1519.56878100276</v>
      </c>
      <c r="M3178">
        <v>34.666976792238302</v>
      </c>
      <c r="N3178">
        <v>44.012041836502</v>
      </c>
      <c r="O3178">
        <v>43.6882403254628</v>
      </c>
      <c r="P3178">
        <v>-0.18535304273168199</v>
      </c>
      <c r="Q3178">
        <v>6.5656334754474702E-2</v>
      </c>
      <c r="R3178">
        <v>0.98824374442048302</v>
      </c>
      <c r="S3178" t="s">
        <v>9984</v>
      </c>
      <c r="T3178" t="s">
        <v>13610</v>
      </c>
      <c r="U3178" t="s">
        <v>13610</v>
      </c>
      <c r="V3178" t="s">
        <v>13610</v>
      </c>
      <c r="W3178" t="s">
        <v>16734</v>
      </c>
      <c r="X3178">
        <v>10</v>
      </c>
      <c r="Y3178" t="s">
        <v>23365</v>
      </c>
      <c r="Z3178" t="s">
        <v>30033</v>
      </c>
      <c r="AA3178">
        <v>0.18993014657814719</v>
      </c>
      <c r="AB3178" t="str">
        <f>HYPERLINK("Melting_Curves/meltCurve_Q13057_COASY.pdf", "Melting_Curves/meltCurve_Q13057_COASY.pdf")</f>
        <v>Melting_Curves/meltCurve_Q13057_COASY.pdf</v>
      </c>
    </row>
    <row r="3179" spans="1:28" x14ac:dyDescent="0.25">
      <c r="A3179" t="s">
        <v>3183</v>
      </c>
      <c r="B3179">
        <v>0.995954080203443</v>
      </c>
      <c r="C3179">
        <v>0.66355168409998599</v>
      </c>
      <c r="D3179">
        <v>0.39505187020328197</v>
      </c>
      <c r="E3179">
        <v>0.228624180609312</v>
      </c>
      <c r="F3179">
        <v>0.11972117239420001</v>
      </c>
      <c r="G3179">
        <v>6.8247297695741102E-2</v>
      </c>
      <c r="H3179">
        <v>4.5153327167912198E-2</v>
      </c>
      <c r="I3179">
        <v>4.0810408554029502E-2</v>
      </c>
      <c r="J3179">
        <v>4.5103834033221303E-2</v>
      </c>
      <c r="K3179">
        <v>4.2159985078102098E-2</v>
      </c>
      <c r="L3179">
        <v>813.36211740430099</v>
      </c>
      <c r="M3179">
        <v>18.141815745952101</v>
      </c>
      <c r="N3179">
        <v>45.0935690626454</v>
      </c>
      <c r="O3179">
        <v>44.299460966999</v>
      </c>
      <c r="P3179">
        <v>-9.7301715937999994E-2</v>
      </c>
      <c r="Q3179">
        <v>4.9663509969127502E-2</v>
      </c>
      <c r="R3179">
        <v>0.98516132586984495</v>
      </c>
      <c r="S3179" t="s">
        <v>9985</v>
      </c>
      <c r="T3179" t="s">
        <v>13610</v>
      </c>
      <c r="U3179" t="s">
        <v>13610</v>
      </c>
      <c r="V3179" t="s">
        <v>13610</v>
      </c>
      <c r="W3179" t="s">
        <v>16735</v>
      </c>
      <c r="X3179">
        <v>70</v>
      </c>
      <c r="Y3179" t="s">
        <v>23366</v>
      </c>
      <c r="Z3179" t="s">
        <v>30034</v>
      </c>
      <c r="AA3179">
        <v>0.22330808988726911</v>
      </c>
      <c r="AB3179" t="str">
        <f>HYPERLINK("Melting_Curves/meltCurve_Q13085_ACACA.pdf", "Melting_Curves/meltCurve_Q13085_ACACA.pdf")</f>
        <v>Melting_Curves/meltCurve_Q13085_ACACA.pdf</v>
      </c>
    </row>
    <row r="3180" spans="1:28" x14ac:dyDescent="0.25">
      <c r="A3180" t="s">
        <v>3184</v>
      </c>
      <c r="B3180">
        <v>0.995954080203443</v>
      </c>
      <c r="C3180">
        <v>0.951759900515323</v>
      </c>
      <c r="D3180">
        <v>0.89580841695353697</v>
      </c>
      <c r="E3180">
        <v>0.60085621640572895</v>
      </c>
      <c r="F3180">
        <v>0.53857102680961</v>
      </c>
      <c r="G3180">
        <v>0.417325554005892</v>
      </c>
      <c r="H3180">
        <v>0.37795843623721298</v>
      </c>
      <c r="I3180">
        <v>0.43689936474712499</v>
      </c>
      <c r="J3180">
        <v>0.539317111851216</v>
      </c>
      <c r="K3180">
        <v>0.51127719254611903</v>
      </c>
      <c r="L3180">
        <v>1283.8005532463501</v>
      </c>
      <c r="M3180">
        <v>26.602891840079</v>
      </c>
      <c r="N3180">
        <v>53.270435185781999</v>
      </c>
      <c r="O3180">
        <v>47.987720174074198</v>
      </c>
      <c r="P3180">
        <v>-7.4966765826775E-2</v>
      </c>
      <c r="Q3180">
        <v>0.45908942426487698</v>
      </c>
      <c r="R3180">
        <v>0.95596133912724601</v>
      </c>
      <c r="S3180" t="s">
        <v>9986</v>
      </c>
      <c r="T3180" t="s">
        <v>13610</v>
      </c>
      <c r="U3180" t="s">
        <v>13610</v>
      </c>
      <c r="V3180" t="s">
        <v>13610</v>
      </c>
      <c r="W3180" t="s">
        <v>16736</v>
      </c>
      <c r="X3180">
        <v>14</v>
      </c>
      <c r="Y3180" t="s">
        <v>23367</v>
      </c>
      <c r="Z3180" t="s">
        <v>30035</v>
      </c>
      <c r="AA3180">
        <v>0.61217739314155395</v>
      </c>
      <c r="AB3180" t="str">
        <f>HYPERLINK("Melting_Curves/meltCurve_Q13094_LCP2.pdf", "Melting_Curves/meltCurve_Q13094_LCP2.pdf")</f>
        <v>Melting_Curves/meltCurve_Q13094_LCP2.pdf</v>
      </c>
    </row>
    <row r="3181" spans="1:28" x14ac:dyDescent="0.25">
      <c r="A3181" t="s">
        <v>3185</v>
      </c>
      <c r="B3181">
        <v>0.995954080203443</v>
      </c>
      <c r="C3181">
        <v>0.82022984407267296</v>
      </c>
      <c r="D3181">
        <v>1.0638944632368701</v>
      </c>
      <c r="E3181">
        <v>0.78929469225131998</v>
      </c>
      <c r="F3181">
        <v>0.881122292208668</v>
      </c>
      <c r="G3181">
        <v>0.64532832237168403</v>
      </c>
      <c r="H3181">
        <v>0.61717789782653099</v>
      </c>
      <c r="I3181">
        <v>0.61007766825797405</v>
      </c>
      <c r="J3181">
        <v>0.82737199651302995</v>
      </c>
      <c r="K3181">
        <v>0.70991073118027903</v>
      </c>
      <c r="L3181">
        <v>1067.82481832497</v>
      </c>
      <c r="M3181">
        <v>21.0300115759843</v>
      </c>
      <c r="O3181">
        <v>50.323813195350802</v>
      </c>
      <c r="P3181">
        <v>-3.3000705877117398E-2</v>
      </c>
      <c r="Q3181">
        <v>0.68413207256145603</v>
      </c>
      <c r="R3181">
        <v>0.57047668569000998</v>
      </c>
      <c r="S3181" t="s">
        <v>9987</v>
      </c>
      <c r="T3181" t="s">
        <v>13610</v>
      </c>
      <c r="U3181" t="s">
        <v>13610</v>
      </c>
      <c r="V3181" t="s">
        <v>13610</v>
      </c>
      <c r="W3181" t="s">
        <v>16737</v>
      </c>
      <c r="X3181">
        <v>2</v>
      </c>
      <c r="Y3181" t="s">
        <v>23368</v>
      </c>
      <c r="Z3181" t="s">
        <v>30036</v>
      </c>
      <c r="AA3181">
        <v>0.8015817369718069</v>
      </c>
      <c r="AB3181" t="str">
        <f>HYPERLINK("Melting_Curves/meltCurve_Q13105_ZBTB17.pdf", "Melting_Curves/meltCurve_Q13105_ZBTB17.pdf")</f>
        <v>Melting_Curves/meltCurve_Q13105_ZBTB17.pdf</v>
      </c>
    </row>
    <row r="3182" spans="1:28" x14ac:dyDescent="0.25">
      <c r="A3182" t="s">
        <v>3186</v>
      </c>
      <c r="B3182">
        <v>0.995954080203443</v>
      </c>
      <c r="C3182">
        <v>0.95895312907006602</v>
      </c>
      <c r="D3182">
        <v>0.69523191541850604</v>
      </c>
      <c r="E3182">
        <v>0.37254688031375499</v>
      </c>
      <c r="F3182">
        <v>0.19775215725641901</v>
      </c>
      <c r="G3182">
        <v>0.136583684978798</v>
      </c>
      <c r="H3182">
        <v>8.82678239721678E-2</v>
      </c>
      <c r="I3182">
        <v>7.1197184108625994E-2</v>
      </c>
      <c r="J3182">
        <v>7.1865629113638405E-2</v>
      </c>
      <c r="K3182">
        <v>7.6393800801447198E-2</v>
      </c>
      <c r="L3182">
        <v>948.19499429967095</v>
      </c>
      <c r="M3182">
        <v>19.759811983446902</v>
      </c>
      <c r="N3182">
        <v>48.389330851381402</v>
      </c>
      <c r="O3182">
        <v>47.502668293260101</v>
      </c>
      <c r="P3182">
        <v>-9.6101092415778203E-2</v>
      </c>
      <c r="Q3182">
        <v>7.5921886330399396E-2</v>
      </c>
      <c r="R3182">
        <v>0.99736768985847002</v>
      </c>
      <c r="S3182" t="s">
        <v>9988</v>
      </c>
      <c r="T3182" t="s">
        <v>13610</v>
      </c>
      <c r="U3182" t="s">
        <v>13610</v>
      </c>
      <c r="V3182" t="s">
        <v>13610</v>
      </c>
      <c r="W3182" t="s">
        <v>16738</v>
      </c>
      <c r="X3182">
        <v>12</v>
      </c>
      <c r="Y3182" t="s">
        <v>23369</v>
      </c>
      <c r="Z3182" t="s">
        <v>30037</v>
      </c>
      <c r="AA3182">
        <v>0.33538961793370242</v>
      </c>
      <c r="AB3182" t="str">
        <f>HYPERLINK("Melting_Curves/meltCurve_Q13107_2_USP4.pdf", "Melting_Curves/meltCurve_Q13107_2_USP4.pdf")</f>
        <v>Melting_Curves/meltCurve_Q13107_2_USP4.pdf</v>
      </c>
    </row>
    <row r="3183" spans="1:28" x14ac:dyDescent="0.25">
      <c r="A3183" t="s">
        <v>3187</v>
      </c>
      <c r="B3183">
        <v>0.995954080203443</v>
      </c>
      <c r="C3183">
        <v>0.80881771455233498</v>
      </c>
      <c r="D3183">
        <v>0.61026324830017697</v>
      </c>
      <c r="E3183">
        <v>0.50862193291499802</v>
      </c>
      <c r="F3183">
        <v>0.46347982841285501</v>
      </c>
      <c r="G3183">
        <v>0.34553635971443702</v>
      </c>
      <c r="H3183">
        <v>0.33377185839379903</v>
      </c>
      <c r="I3183">
        <v>0.35020576845555301</v>
      </c>
      <c r="J3183">
        <v>0.42902796724994602</v>
      </c>
      <c r="K3183">
        <v>0.42241948350201802</v>
      </c>
      <c r="L3183">
        <v>822.405668078232</v>
      </c>
      <c r="M3183">
        <v>18.240006810652101</v>
      </c>
      <c r="N3183">
        <v>48.989237240370798</v>
      </c>
      <c r="O3183">
        <v>44.556541409710803</v>
      </c>
      <c r="P3183">
        <v>-6.3146766337257396E-2</v>
      </c>
      <c r="Q3183">
        <v>0.38301124971591199</v>
      </c>
      <c r="R3183">
        <v>0.96058665974871205</v>
      </c>
      <c r="S3183" t="s">
        <v>9989</v>
      </c>
      <c r="T3183" t="s">
        <v>13610</v>
      </c>
      <c r="U3183" t="s">
        <v>13610</v>
      </c>
      <c r="V3183" t="s">
        <v>13610</v>
      </c>
      <c r="W3183" t="s">
        <v>16739</v>
      </c>
      <c r="X3183">
        <v>20</v>
      </c>
      <c r="Y3183" t="s">
        <v>23370</v>
      </c>
      <c r="Z3183" t="s">
        <v>30038</v>
      </c>
      <c r="AA3183">
        <v>0.50044019192438804</v>
      </c>
      <c r="AB3183" t="str">
        <f>HYPERLINK("Melting_Curves/meltCurve_Q13111_CHAF1A.pdf", "Melting_Curves/meltCurve_Q13111_CHAF1A.pdf")</f>
        <v>Melting_Curves/meltCurve_Q13111_CHAF1A.pdf</v>
      </c>
    </row>
    <row r="3184" spans="1:28" x14ac:dyDescent="0.25">
      <c r="A3184" t="s">
        <v>3188</v>
      </c>
      <c r="B3184">
        <v>0.995954080203443</v>
      </c>
      <c r="C3184">
        <v>0.88510757581725896</v>
      </c>
      <c r="D3184">
        <v>0.94011198958522402</v>
      </c>
      <c r="E3184">
        <v>0.760312470714545</v>
      </c>
      <c r="F3184">
        <v>0.80252768386843298</v>
      </c>
      <c r="G3184">
        <v>0.54654615655762795</v>
      </c>
      <c r="H3184">
        <v>0.37743187708090697</v>
      </c>
      <c r="I3184">
        <v>0.40667603796976798</v>
      </c>
      <c r="J3184">
        <v>0.49804742467653002</v>
      </c>
      <c r="K3184">
        <v>0.44468094049050999</v>
      </c>
      <c r="L3184">
        <v>722.247425804773</v>
      </c>
      <c r="M3184">
        <v>13.643484191889</v>
      </c>
      <c r="N3184">
        <v>59.704355274454301</v>
      </c>
      <c r="O3184">
        <v>51.8387506160946</v>
      </c>
      <c r="P3184">
        <v>-3.99124580553393E-2</v>
      </c>
      <c r="Q3184">
        <v>0.39349533653838298</v>
      </c>
      <c r="R3184">
        <v>0.91841030347765695</v>
      </c>
      <c r="S3184" t="s">
        <v>9990</v>
      </c>
      <c r="T3184" t="s">
        <v>13610</v>
      </c>
      <c r="U3184" t="s">
        <v>13610</v>
      </c>
      <c r="V3184" t="s">
        <v>13610</v>
      </c>
      <c r="W3184" t="s">
        <v>16740</v>
      </c>
      <c r="X3184">
        <v>16</v>
      </c>
      <c r="Y3184" t="s">
        <v>23371</v>
      </c>
      <c r="Z3184" t="s">
        <v>30039</v>
      </c>
      <c r="AA3184">
        <v>0.66990642300912773</v>
      </c>
      <c r="AB3184" t="str">
        <f>HYPERLINK("Melting_Curves/meltCurve_Q13112_CHAF1B.pdf", "Melting_Curves/meltCurve_Q13112_CHAF1B.pdf")</f>
        <v>Melting_Curves/meltCurve_Q13112_CHAF1B.pdf</v>
      </c>
    </row>
    <row r="3185" spans="1:28" x14ac:dyDescent="0.25">
      <c r="A3185" t="s">
        <v>3189</v>
      </c>
      <c r="B3185">
        <v>0.995954080203443</v>
      </c>
      <c r="C3185">
        <v>0.92872128263334197</v>
      </c>
      <c r="D3185">
        <v>0.89793565521678398</v>
      </c>
      <c r="E3185">
        <v>0.73599233566483802</v>
      </c>
      <c r="F3185">
        <v>0.75187564771480997</v>
      </c>
      <c r="G3185">
        <v>0.580733338300496</v>
      </c>
      <c r="H3185">
        <v>0.58682004642353502</v>
      </c>
      <c r="I3185">
        <v>0.70841042892996897</v>
      </c>
      <c r="J3185">
        <v>0.90820950306230397</v>
      </c>
      <c r="K3185">
        <v>0.86244690559697801</v>
      </c>
      <c r="L3185">
        <v>1280.5448259914999</v>
      </c>
      <c r="M3185">
        <v>27.744163065109301</v>
      </c>
      <c r="O3185">
        <v>45.917674974132197</v>
      </c>
      <c r="P3185">
        <v>-4.0833867686256201E-2</v>
      </c>
      <c r="Q3185">
        <v>0.72967581343221</v>
      </c>
      <c r="R3185">
        <v>0.48901305023917802</v>
      </c>
      <c r="S3185" t="s">
        <v>9991</v>
      </c>
      <c r="T3185" t="s">
        <v>13610</v>
      </c>
      <c r="U3185" t="s">
        <v>13610</v>
      </c>
      <c r="V3185" t="s">
        <v>13610</v>
      </c>
      <c r="W3185" t="s">
        <v>16741</v>
      </c>
      <c r="X3185">
        <v>29</v>
      </c>
      <c r="Y3185" t="s">
        <v>23372</v>
      </c>
      <c r="Z3185" t="s">
        <v>30040</v>
      </c>
      <c r="AA3185">
        <v>0.78709675817940128</v>
      </c>
      <c r="AB3185" t="str">
        <f>HYPERLINK("Melting_Curves/meltCurve_Q13123_IK.pdf", "Melting_Curves/meltCurve_Q13123_IK.pdf")</f>
        <v>Melting_Curves/meltCurve_Q13123_IK.pdf</v>
      </c>
    </row>
    <row r="3186" spans="1:28" x14ac:dyDescent="0.25">
      <c r="A3186" t="s">
        <v>3190</v>
      </c>
      <c r="B3186">
        <v>0.995954080203443</v>
      </c>
      <c r="C3186">
        <v>0.967392671716512</v>
      </c>
      <c r="D3186">
        <v>0.95940230512472202</v>
      </c>
      <c r="E3186">
        <v>0.94286984944541696</v>
      </c>
      <c r="F3186">
        <v>0.97767046012293302</v>
      </c>
      <c r="G3186">
        <v>0.68335514977359801</v>
      </c>
      <c r="H3186">
        <v>0.59742482841628997</v>
      </c>
      <c r="I3186">
        <v>0.72420884187312995</v>
      </c>
      <c r="J3186">
        <v>0.81510209179216098</v>
      </c>
      <c r="K3186">
        <v>0.85094857403357804</v>
      </c>
      <c r="L3186">
        <v>13376.619393651201</v>
      </c>
      <c r="M3186">
        <v>250</v>
      </c>
      <c r="O3186">
        <v>53.503053529232702</v>
      </c>
      <c r="P3186">
        <v>-0.31048708078274501</v>
      </c>
      <c r="Q3186">
        <v>0.73420788993047403</v>
      </c>
      <c r="R3186">
        <v>0.73660508963006599</v>
      </c>
      <c r="S3186" t="s">
        <v>9992</v>
      </c>
      <c r="T3186" t="s">
        <v>13610</v>
      </c>
      <c r="U3186" t="s">
        <v>13610</v>
      </c>
      <c r="V3186" t="s">
        <v>13610</v>
      </c>
      <c r="W3186" t="s">
        <v>16742</v>
      </c>
      <c r="X3186">
        <v>4</v>
      </c>
      <c r="Y3186" t="s">
        <v>23373</v>
      </c>
      <c r="Z3186" t="s">
        <v>30041</v>
      </c>
      <c r="AA3186">
        <v>0.85389668775509131</v>
      </c>
      <c r="AB3186" t="str">
        <f>HYPERLINK("Melting_Curves/meltCurve_Q13127_4_REST.pdf", "Melting_Curves/meltCurve_Q13127_4_REST.pdf")</f>
        <v>Melting_Curves/meltCurve_Q13127_4_REST.pdf</v>
      </c>
    </row>
    <row r="3187" spans="1:28" x14ac:dyDescent="0.25">
      <c r="A3187" t="s">
        <v>3191</v>
      </c>
      <c r="B3187">
        <v>0.995954080203443</v>
      </c>
      <c r="C3187">
        <v>0.91493984476148404</v>
      </c>
      <c r="D3187">
        <v>0.77865695160383397</v>
      </c>
      <c r="E3187">
        <v>0.55827493650063298</v>
      </c>
      <c r="F3187">
        <v>0.35076298811518702</v>
      </c>
      <c r="G3187">
        <v>0.240833707674766</v>
      </c>
      <c r="H3187">
        <v>0.16508632289626499</v>
      </c>
      <c r="I3187">
        <v>0.160615164801097</v>
      </c>
      <c r="J3187">
        <v>0.15686889951439201</v>
      </c>
      <c r="K3187">
        <v>0.16716629216092099</v>
      </c>
      <c r="L3187">
        <v>761.57269712847597</v>
      </c>
      <c r="M3187">
        <v>15.404621825788301</v>
      </c>
      <c r="N3187">
        <v>50.512480167521701</v>
      </c>
      <c r="O3187">
        <v>48.627285746123697</v>
      </c>
      <c r="P3187">
        <v>-6.8138928175538696E-2</v>
      </c>
      <c r="Q3187">
        <v>0.13971031617422999</v>
      </c>
      <c r="R3187">
        <v>0.99782835858793195</v>
      </c>
      <c r="S3187" t="s">
        <v>9993</v>
      </c>
      <c r="T3187" t="s">
        <v>13610</v>
      </c>
      <c r="U3187" t="s">
        <v>13610</v>
      </c>
      <c r="V3187" t="s">
        <v>13610</v>
      </c>
      <c r="W3187" t="s">
        <v>16743</v>
      </c>
      <c r="X3187">
        <v>7</v>
      </c>
      <c r="Y3187" t="s">
        <v>23374</v>
      </c>
      <c r="Z3187" t="s">
        <v>30042</v>
      </c>
      <c r="AA3187">
        <v>0.43025622872328761</v>
      </c>
      <c r="AB3187" t="str">
        <f>HYPERLINK("Melting_Curves/meltCurve_Q13129_RLF.pdf", "Melting_Curves/meltCurve_Q13129_RLF.pdf")</f>
        <v>Melting_Curves/meltCurve_Q13129_RLF.pdf</v>
      </c>
    </row>
    <row r="3188" spans="1:28" x14ac:dyDescent="0.25">
      <c r="A3188" t="s">
        <v>3192</v>
      </c>
      <c r="B3188">
        <v>0.995954080203443</v>
      </c>
      <c r="C3188">
        <v>0.89908923495647397</v>
      </c>
      <c r="D3188">
        <v>0.79405974922448097</v>
      </c>
      <c r="E3188">
        <v>0.63799531161165202</v>
      </c>
      <c r="F3188">
        <v>0.30928056986410701</v>
      </c>
      <c r="G3188">
        <v>0.118239448384982</v>
      </c>
      <c r="H3188">
        <v>8.4754495981419598E-2</v>
      </c>
      <c r="I3188">
        <v>5.9591537160244797E-2</v>
      </c>
      <c r="J3188">
        <v>6.4067049434960402E-2</v>
      </c>
      <c r="K3188">
        <v>6.0776186005706903E-2</v>
      </c>
      <c r="L3188">
        <v>823.28392038924801</v>
      </c>
      <c r="M3188">
        <v>16.2917292308748</v>
      </c>
      <c r="N3188">
        <v>50.730923383451596</v>
      </c>
      <c r="O3188">
        <v>49.790888856393998</v>
      </c>
      <c r="P3188">
        <v>-7.92985519798481E-2</v>
      </c>
      <c r="Q3188">
        <v>3.0659948754645599E-2</v>
      </c>
      <c r="R3188">
        <v>0.98916177876796796</v>
      </c>
      <c r="S3188" t="s">
        <v>9994</v>
      </c>
      <c r="T3188" t="s">
        <v>13610</v>
      </c>
      <c r="U3188" t="s">
        <v>13610</v>
      </c>
      <c r="V3188" t="s">
        <v>13610</v>
      </c>
      <c r="W3188" t="s">
        <v>16744</v>
      </c>
      <c r="X3188">
        <v>16</v>
      </c>
      <c r="Y3188" t="s">
        <v>23375</v>
      </c>
      <c r="Z3188" t="s">
        <v>30043</v>
      </c>
      <c r="AA3188">
        <v>0.39070055923496722</v>
      </c>
      <c r="AB3188" t="str">
        <f>HYPERLINK("Melting_Curves/meltCurve_Q13131_PRKAA1.pdf", "Melting_Curves/meltCurve_Q13131_PRKAA1.pdf")</f>
        <v>Melting_Curves/meltCurve_Q13131_PRKAA1.pdf</v>
      </c>
    </row>
    <row r="3189" spans="1:28" x14ac:dyDescent="0.25">
      <c r="A3189" t="s">
        <v>3193</v>
      </c>
      <c r="B3189">
        <v>0.995954080203443</v>
      </c>
      <c r="C3189">
        <v>0.90561547931795905</v>
      </c>
      <c r="D3189">
        <v>0.88719626378392902</v>
      </c>
      <c r="E3189">
        <v>0.70959782126952797</v>
      </c>
      <c r="F3189">
        <v>0.55779242640408799</v>
      </c>
      <c r="G3189">
        <v>0.39388048401440301</v>
      </c>
      <c r="H3189">
        <v>0.33033740133136802</v>
      </c>
      <c r="I3189">
        <v>0.37170365858102999</v>
      </c>
      <c r="J3189">
        <v>0.43798925596231603</v>
      </c>
      <c r="K3189">
        <v>0.43389470096803701</v>
      </c>
      <c r="L3189">
        <v>914.361261957343</v>
      </c>
      <c r="M3189">
        <v>18.308029855532499</v>
      </c>
      <c r="N3189">
        <v>54.140387492141897</v>
      </c>
      <c r="O3189">
        <v>49.358756905080803</v>
      </c>
      <c r="P3189">
        <v>-5.7581960063614199E-2</v>
      </c>
      <c r="Q3189">
        <v>0.37906085652473998</v>
      </c>
      <c r="R3189">
        <v>0.96858691437272804</v>
      </c>
      <c r="S3189" t="s">
        <v>9995</v>
      </c>
      <c r="T3189" t="s">
        <v>13610</v>
      </c>
      <c r="U3189" t="s">
        <v>13610</v>
      </c>
      <c r="V3189" t="s">
        <v>13610</v>
      </c>
      <c r="W3189" t="s">
        <v>16745</v>
      </c>
      <c r="X3189">
        <v>41</v>
      </c>
      <c r="Y3189" t="s">
        <v>23376</v>
      </c>
      <c r="Z3189" t="s">
        <v>30044</v>
      </c>
      <c r="AA3189">
        <v>0.59512394221397169</v>
      </c>
      <c r="AB3189" t="str">
        <f>HYPERLINK("Melting_Curves/meltCurve_Q13136_PPFIA1.pdf", "Melting_Curves/meltCurve_Q13136_PPFIA1.pdf")</f>
        <v>Melting_Curves/meltCurve_Q13136_PPFIA1.pdf</v>
      </c>
    </row>
    <row r="3190" spans="1:28" x14ac:dyDescent="0.25">
      <c r="A3190" t="s">
        <v>3194</v>
      </c>
      <c r="B3190">
        <v>0.995954080203443</v>
      </c>
      <c r="C3190">
        <v>0.91046818565363097</v>
      </c>
      <c r="D3190">
        <v>0.84318828833724402</v>
      </c>
      <c r="E3190">
        <v>0.48724333486340698</v>
      </c>
      <c r="F3190">
        <v>0.43083812894615098</v>
      </c>
      <c r="G3190">
        <v>0.312650928561574</v>
      </c>
      <c r="H3190">
        <v>0.29302803949315698</v>
      </c>
      <c r="I3190">
        <v>0.339551342692342</v>
      </c>
      <c r="J3190">
        <v>0.44704291916862199</v>
      </c>
      <c r="K3190">
        <v>0.408582061544148</v>
      </c>
      <c r="L3190">
        <v>1247.5327614257801</v>
      </c>
      <c r="M3190">
        <v>26.195198414445201</v>
      </c>
      <c r="N3190">
        <v>50.076389311765297</v>
      </c>
      <c r="O3190">
        <v>47.349532150822803</v>
      </c>
      <c r="P3190">
        <v>-8.8332108604669696E-2</v>
      </c>
      <c r="Q3190">
        <v>0.36134291129086699</v>
      </c>
      <c r="R3190">
        <v>0.96350951991509803</v>
      </c>
      <c r="S3190" t="s">
        <v>9996</v>
      </c>
      <c r="T3190" t="s">
        <v>13610</v>
      </c>
      <c r="U3190" t="s">
        <v>13610</v>
      </c>
      <c r="V3190" t="s">
        <v>13610</v>
      </c>
      <c r="W3190" t="s">
        <v>16746</v>
      </c>
      <c r="X3190">
        <v>12</v>
      </c>
      <c r="Y3190" t="s">
        <v>23377</v>
      </c>
      <c r="Z3190" t="s">
        <v>30045</v>
      </c>
      <c r="AA3190">
        <v>0.52877265006980489</v>
      </c>
      <c r="AB3190" t="str">
        <f>HYPERLINK("Melting_Curves/meltCurve_Q13148_TARDBP.pdf", "Melting_Curves/meltCurve_Q13148_TARDBP.pdf")</f>
        <v>Melting_Curves/meltCurve_Q13148_TARDBP.pdf</v>
      </c>
    </row>
    <row r="3191" spans="1:28" x14ac:dyDescent="0.25">
      <c r="A3191" t="s">
        <v>3195</v>
      </c>
      <c r="B3191">
        <v>0.995954080203443</v>
      </c>
      <c r="C3191">
        <v>0.88017711301247403</v>
      </c>
      <c r="D3191">
        <v>0.77700970501236299</v>
      </c>
      <c r="E3191">
        <v>0.59412869040198901</v>
      </c>
      <c r="F3191">
        <v>0.46889952065881702</v>
      </c>
      <c r="G3191">
        <v>0.33150444812458102</v>
      </c>
      <c r="H3191">
        <v>0.34134124968507601</v>
      </c>
      <c r="I3191">
        <v>0.45062991107599698</v>
      </c>
      <c r="J3191">
        <v>0.69802188393055797</v>
      </c>
      <c r="K3191">
        <v>0.51753728827020296</v>
      </c>
      <c r="L3191">
        <v>1021.24904440306</v>
      </c>
      <c r="M3191">
        <v>22.003730842069899</v>
      </c>
      <c r="N3191">
        <v>52.9055330832159</v>
      </c>
      <c r="O3191">
        <v>46.034302338751502</v>
      </c>
      <c r="P3191">
        <v>-6.3763133660455801E-2</v>
      </c>
      <c r="Q3191">
        <v>0.46641315983072301</v>
      </c>
      <c r="R3191">
        <v>0.78786317888314905</v>
      </c>
      <c r="S3191" t="s">
        <v>9997</v>
      </c>
      <c r="T3191" t="s">
        <v>13610</v>
      </c>
      <c r="U3191" t="s">
        <v>13610</v>
      </c>
      <c r="V3191" t="s">
        <v>13610</v>
      </c>
      <c r="W3191" t="s">
        <v>16747</v>
      </c>
      <c r="X3191">
        <v>11</v>
      </c>
      <c r="Y3191" t="s">
        <v>23378</v>
      </c>
      <c r="Z3191" t="s">
        <v>30046</v>
      </c>
      <c r="AA3191">
        <v>0.58693841828778237</v>
      </c>
      <c r="AB3191" t="str">
        <f>HYPERLINK("Melting_Curves/meltCurve_Q13151_HNRNPA0.pdf", "Melting_Curves/meltCurve_Q13151_HNRNPA0.pdf")</f>
        <v>Melting_Curves/meltCurve_Q13151_HNRNPA0.pdf</v>
      </c>
    </row>
    <row r="3192" spans="1:28" x14ac:dyDescent="0.25">
      <c r="A3192" t="s">
        <v>3196</v>
      </c>
      <c r="B3192">
        <v>0.995954080203443</v>
      </c>
      <c r="C3192">
        <v>0.92356074047236703</v>
      </c>
      <c r="D3192">
        <v>0.80456049107843797</v>
      </c>
      <c r="E3192">
        <v>0.68201028559973698</v>
      </c>
      <c r="F3192">
        <v>0.63269135638163099</v>
      </c>
      <c r="G3192">
        <v>0.40476212172714998</v>
      </c>
      <c r="H3192">
        <v>0.26341004340083601</v>
      </c>
      <c r="I3192">
        <v>0.31210482120196198</v>
      </c>
      <c r="J3192">
        <v>0.326558867887143</v>
      </c>
      <c r="K3192">
        <v>0.35646881812693298</v>
      </c>
      <c r="L3192">
        <v>626.84467064895296</v>
      </c>
      <c r="M3192">
        <v>12.292644440927701</v>
      </c>
      <c r="N3192">
        <v>54.469363255693096</v>
      </c>
      <c r="O3192">
        <v>49.700316487879697</v>
      </c>
      <c r="P3192">
        <v>-4.5036547479445299E-2</v>
      </c>
      <c r="Q3192">
        <v>0.27181197219363801</v>
      </c>
      <c r="R3192">
        <v>0.96669723719442002</v>
      </c>
      <c r="S3192" t="s">
        <v>9998</v>
      </c>
      <c r="T3192" t="s">
        <v>13610</v>
      </c>
      <c r="U3192" t="s">
        <v>13610</v>
      </c>
      <c r="V3192" t="s">
        <v>13610</v>
      </c>
      <c r="W3192" t="s">
        <v>16748</v>
      </c>
      <c r="X3192">
        <v>24</v>
      </c>
      <c r="Y3192" t="s">
        <v>23379</v>
      </c>
      <c r="Z3192" t="s">
        <v>30047</v>
      </c>
      <c r="AA3192">
        <v>0.56160220474394518</v>
      </c>
      <c r="AB3192" t="str">
        <f>HYPERLINK("Melting_Curves/meltCurve_Q13153_PAK1.pdf", "Melting_Curves/meltCurve_Q13153_PAK1.pdf")</f>
        <v>Melting_Curves/meltCurve_Q13153_PAK1.pdf</v>
      </c>
    </row>
    <row r="3193" spans="1:28" x14ac:dyDescent="0.25">
      <c r="A3193" t="s">
        <v>3197</v>
      </c>
      <c r="B3193">
        <v>0.995954080203443</v>
      </c>
      <c r="C3193">
        <v>0.52171077895821105</v>
      </c>
      <c r="D3193">
        <v>0.17536823077271599</v>
      </c>
      <c r="E3193">
        <v>0.17029148719530199</v>
      </c>
      <c r="F3193">
        <v>9.6064878666003203E-2</v>
      </c>
      <c r="G3193">
        <v>5.1741072677018399E-2</v>
      </c>
      <c r="H3193">
        <v>3.5175589669595803E-2</v>
      </c>
      <c r="I3193">
        <v>3.3544903743898798E-2</v>
      </c>
      <c r="J3193">
        <v>3.19352568305874E-2</v>
      </c>
      <c r="K3193">
        <v>3.3543716685943498E-2</v>
      </c>
      <c r="L3193">
        <v>1544.5319933212299</v>
      </c>
      <c r="M3193">
        <v>35.942640284558003</v>
      </c>
      <c r="N3193">
        <v>43.142242811842998</v>
      </c>
      <c r="O3193">
        <v>42.839763901324702</v>
      </c>
      <c r="P3193">
        <v>-0.19589329351988399</v>
      </c>
      <c r="Q3193">
        <v>6.6067961122664595E-2</v>
      </c>
      <c r="R3193">
        <v>0.97770135251129198</v>
      </c>
      <c r="S3193" t="s">
        <v>9999</v>
      </c>
      <c r="T3193" t="s">
        <v>13610</v>
      </c>
      <c r="U3193" t="s">
        <v>13610</v>
      </c>
      <c r="V3193" t="s">
        <v>13610</v>
      </c>
      <c r="W3193" t="s">
        <v>16749</v>
      </c>
      <c r="X3193">
        <v>8</v>
      </c>
      <c r="Y3193" t="s">
        <v>23380</v>
      </c>
      <c r="Z3193" t="s">
        <v>30048</v>
      </c>
      <c r="AA3193">
        <v>0.1640901306539547</v>
      </c>
      <c r="AB3193" t="str">
        <f>HYPERLINK("Melting_Curves/meltCurve_Q13155_AIMP2.pdf", "Melting_Curves/meltCurve_Q13155_AIMP2.pdf")</f>
        <v>Melting_Curves/meltCurve_Q13155_AIMP2.pdf</v>
      </c>
    </row>
    <row r="3194" spans="1:28" x14ac:dyDescent="0.25">
      <c r="A3194" t="s">
        <v>3198</v>
      </c>
      <c r="B3194">
        <v>0.995954080203443</v>
      </c>
      <c r="C3194">
        <v>1.02182909323565</v>
      </c>
      <c r="D3194">
        <v>0.99153194745833295</v>
      </c>
      <c r="E3194">
        <v>0.725158245256326</v>
      </c>
      <c r="F3194">
        <v>0.35085422774982999</v>
      </c>
      <c r="G3194">
        <v>0.150842235165142</v>
      </c>
      <c r="H3194">
        <v>9.2923054553035997E-2</v>
      </c>
      <c r="I3194">
        <v>8.35635590083883E-2</v>
      </c>
      <c r="J3194">
        <v>0.107557966328702</v>
      </c>
      <c r="K3194">
        <v>8.7969392478021394E-2</v>
      </c>
      <c r="L3194">
        <v>1562.54143370972</v>
      </c>
      <c r="M3194">
        <v>30.398898985761399</v>
      </c>
      <c r="N3194">
        <v>51.752675401974699</v>
      </c>
      <c r="O3194">
        <v>51.180348946651698</v>
      </c>
      <c r="P3194">
        <v>-0.134642537270622</v>
      </c>
      <c r="Q3194">
        <v>9.3255390237229105E-2</v>
      </c>
      <c r="R3194">
        <v>0.999069436335141</v>
      </c>
      <c r="S3194" t="s">
        <v>10000</v>
      </c>
      <c r="T3194" t="s">
        <v>13610</v>
      </c>
      <c r="U3194" t="s">
        <v>13610</v>
      </c>
      <c r="V3194" t="s">
        <v>13610</v>
      </c>
      <c r="W3194" t="s">
        <v>16750</v>
      </c>
      <c r="X3194">
        <v>8</v>
      </c>
      <c r="Y3194" t="s">
        <v>23381</v>
      </c>
      <c r="Z3194" t="s">
        <v>30049</v>
      </c>
      <c r="AA3194">
        <v>0.44344536418568042</v>
      </c>
      <c r="AB3194" t="str">
        <f>HYPERLINK("Melting_Curves/meltCurve_Q13158_FADD.pdf", "Melting_Curves/meltCurve_Q13158_FADD.pdf")</f>
        <v>Melting_Curves/meltCurve_Q13158_FADD.pdf</v>
      </c>
    </row>
    <row r="3195" spans="1:28" x14ac:dyDescent="0.25">
      <c r="A3195" t="s">
        <v>3199</v>
      </c>
      <c r="B3195">
        <v>0.995954080203443</v>
      </c>
      <c r="C3195">
        <v>0.81829393589755295</v>
      </c>
      <c r="D3195">
        <v>0.71334600601609899</v>
      </c>
      <c r="E3195">
        <v>0.806918862019948</v>
      </c>
      <c r="F3195">
        <v>0.58104652410758895</v>
      </c>
      <c r="G3195">
        <v>0.44694226626427003</v>
      </c>
      <c r="H3195">
        <v>0.26697261633595398</v>
      </c>
      <c r="I3195">
        <v>0.23413743020745301</v>
      </c>
      <c r="J3195">
        <v>0.17309791752105699</v>
      </c>
      <c r="K3195">
        <v>0.24010360380728701</v>
      </c>
      <c r="L3195">
        <v>408.00161444405597</v>
      </c>
      <c r="M3195">
        <v>7.41494062019654</v>
      </c>
      <c r="N3195">
        <v>55.024259150955203</v>
      </c>
      <c r="O3195">
        <v>51.447495491350701</v>
      </c>
      <c r="P3195">
        <v>-3.6085630820292099E-2</v>
      </c>
      <c r="Q3195">
        <v>0</v>
      </c>
      <c r="R3195">
        <v>0.94297884401229304</v>
      </c>
      <c r="S3195" t="s">
        <v>10001</v>
      </c>
      <c r="T3195" t="s">
        <v>13610</v>
      </c>
      <c r="U3195" t="s">
        <v>13610</v>
      </c>
      <c r="V3195" t="s">
        <v>13610</v>
      </c>
      <c r="W3195" t="s">
        <v>16751</v>
      </c>
      <c r="X3195">
        <v>16</v>
      </c>
      <c r="Y3195" t="s">
        <v>23382</v>
      </c>
      <c r="Z3195" t="s">
        <v>30050</v>
      </c>
      <c r="AA3195">
        <v>0.52777682081104071</v>
      </c>
      <c r="AB3195" t="str">
        <f>HYPERLINK("Melting_Curves/meltCurve_Q13162_PRDX4.pdf", "Melting_Curves/meltCurve_Q13162_PRDX4.pdf")</f>
        <v>Melting_Curves/meltCurve_Q13162_PRDX4.pdf</v>
      </c>
    </row>
    <row r="3196" spans="1:28" x14ac:dyDescent="0.25">
      <c r="A3196" t="s">
        <v>3200</v>
      </c>
      <c r="B3196">
        <v>0.995954080203443</v>
      </c>
      <c r="C3196">
        <v>0.84384077523991197</v>
      </c>
      <c r="D3196">
        <v>0.49663970627368698</v>
      </c>
      <c r="E3196">
        <v>0.26417970045679601</v>
      </c>
      <c r="F3196">
        <v>0.14045462241506801</v>
      </c>
      <c r="G3196">
        <v>8.1925650955326196E-2</v>
      </c>
      <c r="H3196">
        <v>6.1894365613778202E-2</v>
      </c>
      <c r="I3196">
        <v>5.28730481361619E-2</v>
      </c>
      <c r="J3196">
        <v>6.5210321503038599E-2</v>
      </c>
      <c r="K3196">
        <v>5.5976626160535899E-2</v>
      </c>
      <c r="L3196">
        <v>906.94631676407698</v>
      </c>
      <c r="M3196">
        <v>19.6762065652381</v>
      </c>
      <c r="N3196">
        <v>46.403281773612697</v>
      </c>
      <c r="O3196">
        <v>45.625365585661498</v>
      </c>
      <c r="P3196">
        <v>-0.10118293966070301</v>
      </c>
      <c r="Q3196">
        <v>6.1536918664106002E-2</v>
      </c>
      <c r="R3196">
        <v>0.99495518050938303</v>
      </c>
      <c r="S3196" t="s">
        <v>10002</v>
      </c>
      <c r="T3196" t="s">
        <v>13610</v>
      </c>
      <c r="U3196" t="s">
        <v>13610</v>
      </c>
      <c r="V3196" t="s">
        <v>13610</v>
      </c>
      <c r="W3196" t="s">
        <v>16752</v>
      </c>
      <c r="X3196">
        <v>4</v>
      </c>
      <c r="Y3196" t="s">
        <v>23383</v>
      </c>
      <c r="Z3196" t="s">
        <v>30051</v>
      </c>
      <c r="AA3196">
        <v>0.26711718559546949</v>
      </c>
      <c r="AB3196" t="str">
        <f>HYPERLINK("Melting_Curves/meltCurve_Q13163_4_MAP2K5.pdf", "Melting_Curves/meltCurve_Q13163_4_MAP2K5.pdf")</f>
        <v>Melting_Curves/meltCurve_Q13163_4_MAP2K5.pdf</v>
      </c>
    </row>
    <row r="3197" spans="1:28" x14ac:dyDescent="0.25">
      <c r="A3197" t="s">
        <v>3201</v>
      </c>
      <c r="B3197">
        <v>0.995954080203443</v>
      </c>
      <c r="C3197">
        <v>0.99505476721821995</v>
      </c>
      <c r="D3197">
        <v>0.96910748520049805</v>
      </c>
      <c r="E3197">
        <v>0.84237672594400403</v>
      </c>
      <c r="F3197">
        <v>0.88932562703817697</v>
      </c>
      <c r="G3197">
        <v>0.63871487731236998</v>
      </c>
      <c r="H3197">
        <v>0.54247633135169104</v>
      </c>
      <c r="I3197">
        <v>0.66913358960444502</v>
      </c>
      <c r="J3197">
        <v>0.79286199596218099</v>
      </c>
      <c r="K3197">
        <v>0.77300699789406102</v>
      </c>
      <c r="L3197">
        <v>1215.7435914319799</v>
      </c>
      <c r="M3197">
        <v>23.633091867605302</v>
      </c>
      <c r="O3197">
        <v>51.0783697516272</v>
      </c>
      <c r="P3197">
        <v>-3.62574462065186E-2</v>
      </c>
      <c r="Q3197">
        <v>0.68655150214892802</v>
      </c>
      <c r="R3197">
        <v>0.73098177471301296</v>
      </c>
      <c r="S3197" t="s">
        <v>10003</v>
      </c>
      <c r="T3197" t="s">
        <v>13610</v>
      </c>
      <c r="U3197" t="s">
        <v>13610</v>
      </c>
      <c r="V3197" t="s">
        <v>13610</v>
      </c>
      <c r="W3197" t="s">
        <v>16753</v>
      </c>
      <c r="X3197">
        <v>3</v>
      </c>
      <c r="Y3197" t="s">
        <v>23384</v>
      </c>
      <c r="Z3197" t="s">
        <v>30052</v>
      </c>
      <c r="AA3197">
        <v>0.80927804619837151</v>
      </c>
      <c r="AB3197" t="str">
        <f>HYPERLINK("Melting_Curves/meltCurve_Q13164_2_MAPK7.pdf", "Melting_Curves/meltCurve_Q13164_2_MAPK7.pdf")</f>
        <v>Melting_Curves/meltCurve_Q13164_2_MAPK7.pdf</v>
      </c>
    </row>
    <row r="3198" spans="1:28" x14ac:dyDescent="0.25">
      <c r="A3198" t="s">
        <v>3202</v>
      </c>
      <c r="B3198">
        <v>0.995954080203443</v>
      </c>
      <c r="C3198">
        <v>0.97828695355528295</v>
      </c>
      <c r="D3198">
        <v>0.86387931909983395</v>
      </c>
      <c r="E3198">
        <v>0.75651206228085299</v>
      </c>
      <c r="F3198">
        <v>0.65135623704656997</v>
      </c>
      <c r="G3198">
        <v>0.379402469419239</v>
      </c>
      <c r="H3198">
        <v>0.15391587584181801</v>
      </c>
      <c r="I3198">
        <v>0.12833341503371701</v>
      </c>
      <c r="J3198">
        <v>0.13620387427410899</v>
      </c>
      <c r="K3198">
        <v>0.13466256900169399</v>
      </c>
      <c r="L3198">
        <v>757.66483158976905</v>
      </c>
      <c r="M3198">
        <v>14.0113236041382</v>
      </c>
      <c r="N3198">
        <v>54.563098355240797</v>
      </c>
      <c r="O3198">
        <v>53.009397531449203</v>
      </c>
      <c r="P3198">
        <v>-6.21968614503354E-2</v>
      </c>
      <c r="Q3198">
        <v>5.8880269842566703E-2</v>
      </c>
      <c r="R3198">
        <v>0.98862909368040897</v>
      </c>
      <c r="S3198" t="s">
        <v>10004</v>
      </c>
      <c r="T3198" t="s">
        <v>13610</v>
      </c>
      <c r="U3198" t="s">
        <v>13610</v>
      </c>
      <c r="V3198" t="s">
        <v>13610</v>
      </c>
      <c r="W3198" t="s">
        <v>16754</v>
      </c>
      <c r="X3198">
        <v>27</v>
      </c>
      <c r="Y3198" t="s">
        <v>23385</v>
      </c>
      <c r="Z3198" t="s">
        <v>30053</v>
      </c>
      <c r="AA3198">
        <v>0.52126777161126037</v>
      </c>
      <c r="AB3198" t="str">
        <f>HYPERLINK("Melting_Curves/meltCurve_Q13177_PAK2.pdf", "Melting_Curves/meltCurve_Q13177_PAK2.pdf")</f>
        <v>Melting_Curves/meltCurve_Q13177_PAK2.pdf</v>
      </c>
    </row>
    <row r="3199" spans="1:28" x14ac:dyDescent="0.25">
      <c r="A3199" t="s">
        <v>3203</v>
      </c>
      <c r="B3199">
        <v>0.995954080203443</v>
      </c>
      <c r="C3199">
        <v>1.05824365911798</v>
      </c>
      <c r="D3199">
        <v>0.98971230483024997</v>
      </c>
      <c r="E3199">
        <v>0.85978501304830002</v>
      </c>
      <c r="F3199">
        <v>0.65548579450087796</v>
      </c>
      <c r="G3199">
        <v>0.379186416803102</v>
      </c>
      <c r="H3199">
        <v>0.24046943252908901</v>
      </c>
      <c r="I3199">
        <v>0.21656842237113</v>
      </c>
      <c r="J3199">
        <v>0.24814878475409899</v>
      </c>
      <c r="K3199">
        <v>0.22655338657787899</v>
      </c>
      <c r="L3199">
        <v>1247.5432469223099</v>
      </c>
      <c r="M3199">
        <v>23.318599410663101</v>
      </c>
      <c r="N3199">
        <v>54.847479261770502</v>
      </c>
      <c r="O3199">
        <v>53.111119656853603</v>
      </c>
      <c r="P3199">
        <v>-8.5829644817652595E-2</v>
      </c>
      <c r="Q3199">
        <v>0.21806144644766901</v>
      </c>
      <c r="R3199">
        <v>0.99549864579664205</v>
      </c>
      <c r="S3199" t="s">
        <v>10005</v>
      </c>
      <c r="T3199" t="s">
        <v>13610</v>
      </c>
      <c r="U3199" t="s">
        <v>13610</v>
      </c>
      <c r="V3199" t="s">
        <v>13610</v>
      </c>
      <c r="W3199" t="s">
        <v>16755</v>
      </c>
      <c r="X3199">
        <v>9</v>
      </c>
      <c r="Y3199" t="s">
        <v>23386</v>
      </c>
      <c r="Z3199" t="s">
        <v>30054</v>
      </c>
      <c r="AA3199">
        <v>0.57813232126799841</v>
      </c>
      <c r="AB3199" t="str">
        <f>HYPERLINK("Melting_Curves/meltCurve_Q13185_CBX3.pdf", "Melting_Curves/meltCurve_Q13185_CBX3.pdf")</f>
        <v>Melting_Curves/meltCurve_Q13185_CBX3.pdf</v>
      </c>
    </row>
    <row r="3200" spans="1:28" x14ac:dyDescent="0.25">
      <c r="A3200" t="s">
        <v>3204</v>
      </c>
      <c r="B3200">
        <v>0.995954080203443</v>
      </c>
      <c r="C3200">
        <v>1.0292369222427999</v>
      </c>
      <c r="D3200">
        <v>1.0394682559625099</v>
      </c>
      <c r="E3200">
        <v>0.81456842016323705</v>
      </c>
      <c r="F3200">
        <v>0.42699966564276398</v>
      </c>
      <c r="G3200">
        <v>0.13366272346317001</v>
      </c>
      <c r="H3200">
        <v>8.6537480005855996E-2</v>
      </c>
      <c r="I3200">
        <v>5.3434033311491803E-2</v>
      </c>
      <c r="J3200">
        <v>5.57611070299254E-2</v>
      </c>
      <c r="K3200">
        <v>5.1982765178257499E-2</v>
      </c>
      <c r="L3200">
        <v>1654.8415978087701</v>
      </c>
      <c r="M3200">
        <v>31.657524303874599</v>
      </c>
      <c r="N3200">
        <v>52.486006979136398</v>
      </c>
      <c r="O3200">
        <v>52.065992316919903</v>
      </c>
      <c r="P3200">
        <v>-0.142853983088231</v>
      </c>
      <c r="Q3200">
        <v>6.0217732781479502E-2</v>
      </c>
      <c r="R3200">
        <v>0.99768088290781498</v>
      </c>
      <c r="S3200" t="s">
        <v>10006</v>
      </c>
      <c r="T3200" t="s">
        <v>13610</v>
      </c>
      <c r="U3200" t="s">
        <v>13610</v>
      </c>
      <c r="V3200" t="s">
        <v>13610</v>
      </c>
      <c r="W3200" t="s">
        <v>16756</v>
      </c>
      <c r="X3200">
        <v>17</v>
      </c>
      <c r="Y3200" t="s">
        <v>23387</v>
      </c>
      <c r="Z3200" t="s">
        <v>30055</v>
      </c>
      <c r="AA3200">
        <v>0.45011053253511329</v>
      </c>
      <c r="AB3200" t="str">
        <f>HYPERLINK("Melting_Curves/meltCurve_Q13188_STK3.pdf", "Melting_Curves/meltCurve_Q13188_STK3.pdf")</f>
        <v>Melting_Curves/meltCurve_Q13188_STK3.pdf</v>
      </c>
    </row>
    <row r="3201" spans="1:28" x14ac:dyDescent="0.25">
      <c r="A3201" t="s">
        <v>3205</v>
      </c>
      <c r="B3201">
        <v>0.995954080203443</v>
      </c>
      <c r="C3201">
        <v>0.95401972308163296</v>
      </c>
      <c r="D3201">
        <v>0.83739195940811895</v>
      </c>
      <c r="E3201">
        <v>0.56089505887852198</v>
      </c>
      <c r="F3201">
        <v>0.271220598099007</v>
      </c>
      <c r="G3201">
        <v>0.15752661977257901</v>
      </c>
      <c r="H3201">
        <v>0.12225064352249999</v>
      </c>
      <c r="I3201">
        <v>0.118833827067757</v>
      </c>
      <c r="J3201">
        <v>0.12930249163874499</v>
      </c>
      <c r="K3201">
        <v>0.13063831567738199</v>
      </c>
      <c r="L3201">
        <v>1047.1325704302501</v>
      </c>
      <c r="M3201">
        <v>21.085185608610999</v>
      </c>
      <c r="N3201">
        <v>50.274651007907103</v>
      </c>
      <c r="O3201">
        <v>49.221782681655398</v>
      </c>
      <c r="P3201">
        <v>-9.4962389189434407E-2</v>
      </c>
      <c r="Q3201">
        <v>0.11329331049880401</v>
      </c>
      <c r="R3201">
        <v>0.99727623115927799</v>
      </c>
      <c r="S3201" t="s">
        <v>10007</v>
      </c>
      <c r="T3201" t="s">
        <v>13610</v>
      </c>
      <c r="U3201" t="s">
        <v>13610</v>
      </c>
      <c r="V3201" t="s">
        <v>13610</v>
      </c>
      <c r="W3201" t="s">
        <v>16757</v>
      </c>
      <c r="X3201">
        <v>8</v>
      </c>
      <c r="Y3201" t="s">
        <v>23388</v>
      </c>
      <c r="Z3201" t="s">
        <v>30056</v>
      </c>
      <c r="AA3201">
        <v>0.41000274936325098</v>
      </c>
      <c r="AB3201" t="str">
        <f>HYPERLINK("Melting_Curves/meltCurve_Q13190_3_STX5.pdf", "Melting_Curves/meltCurve_Q13190_3_STX5.pdf")</f>
        <v>Melting_Curves/meltCurve_Q13190_3_STX5.pdf</v>
      </c>
    </row>
    <row r="3202" spans="1:28" x14ac:dyDescent="0.25">
      <c r="A3202" t="s">
        <v>3206</v>
      </c>
      <c r="B3202">
        <v>0.995954080203443</v>
      </c>
      <c r="C3202">
        <v>0.64355488769912494</v>
      </c>
      <c r="D3202">
        <v>0.42374845246275</v>
      </c>
      <c r="E3202">
        <v>0.48419440085044402</v>
      </c>
      <c r="F3202">
        <v>0.18236537755089</v>
      </c>
      <c r="G3202">
        <v>9.5236824550490096E-2</v>
      </c>
      <c r="H3202">
        <v>5.2735933439817799E-2</v>
      </c>
      <c r="I3202">
        <v>4.08387775009409E-2</v>
      </c>
      <c r="J3202">
        <v>4.3097016995255998E-2</v>
      </c>
      <c r="K3202">
        <v>4.0785473326994101E-2</v>
      </c>
      <c r="L3202">
        <v>511.47319364377898</v>
      </c>
      <c r="M3202">
        <v>10.984363067397799</v>
      </c>
      <c r="N3202">
        <v>46.594204745850298</v>
      </c>
      <c r="O3202">
        <v>45.100259221703503</v>
      </c>
      <c r="P3202">
        <v>-6.06914088037886E-2</v>
      </c>
      <c r="Q3202">
        <v>3.5757685809845699E-3</v>
      </c>
      <c r="R3202">
        <v>0.93244105615883799</v>
      </c>
      <c r="S3202" t="s">
        <v>10008</v>
      </c>
      <c r="T3202" t="s">
        <v>13610</v>
      </c>
      <c r="U3202" t="s">
        <v>13610</v>
      </c>
      <c r="V3202" t="s">
        <v>13610</v>
      </c>
      <c r="W3202" t="s">
        <v>16758</v>
      </c>
      <c r="X3202">
        <v>42</v>
      </c>
      <c r="Y3202" t="s">
        <v>23389</v>
      </c>
      <c r="Z3202" t="s">
        <v>30057</v>
      </c>
      <c r="AA3202">
        <v>0.27229349322516139</v>
      </c>
      <c r="AB3202" t="str">
        <f>HYPERLINK("Melting_Curves/meltCurve_Q13200_PSMD2.pdf", "Melting_Curves/meltCurve_Q13200_PSMD2.pdf")</f>
        <v>Melting_Curves/meltCurve_Q13200_PSMD2.pdf</v>
      </c>
    </row>
    <row r="3203" spans="1:28" x14ac:dyDescent="0.25">
      <c r="A3203" t="s">
        <v>3207</v>
      </c>
      <c r="B3203">
        <v>0.995954080203443</v>
      </c>
      <c r="C3203">
        <v>0.95584012549864805</v>
      </c>
      <c r="D3203">
        <v>0.94851542792478805</v>
      </c>
      <c r="E3203">
        <v>0.88552770025111605</v>
      </c>
      <c r="F3203">
        <v>0.82347262345377803</v>
      </c>
      <c r="G3203">
        <v>0.64072015017827</v>
      </c>
      <c r="H3203">
        <v>0.65744320033507897</v>
      </c>
      <c r="I3203">
        <v>0.78457047971051197</v>
      </c>
      <c r="J3203">
        <v>1.0425515853304199</v>
      </c>
      <c r="K3203">
        <v>0.93091935192324204</v>
      </c>
      <c r="L3203">
        <v>1310.84094114088</v>
      </c>
      <c r="M3203">
        <v>27.403102561998399</v>
      </c>
      <c r="O3203">
        <v>47.582924355094498</v>
      </c>
      <c r="P3203">
        <v>-2.67359620443447E-2</v>
      </c>
      <c r="Q3203">
        <v>0.81430373739689099</v>
      </c>
      <c r="R3203">
        <v>0.26930935437434</v>
      </c>
      <c r="S3203" t="s">
        <v>10009</v>
      </c>
      <c r="T3203" t="s">
        <v>13610</v>
      </c>
      <c r="U3203" t="s">
        <v>13610</v>
      </c>
      <c r="V3203" t="s">
        <v>13610</v>
      </c>
      <c r="W3203" t="s">
        <v>16759</v>
      </c>
      <c r="X3203">
        <v>16</v>
      </c>
      <c r="Y3203" t="s">
        <v>23390</v>
      </c>
      <c r="Z3203" t="s">
        <v>30058</v>
      </c>
      <c r="AA3203">
        <v>0.86415535657357834</v>
      </c>
      <c r="AB3203" t="str">
        <f>HYPERLINK("Melting_Curves/meltCurve_Q13206_DDX10.pdf", "Melting_Curves/meltCurve_Q13206_DDX10.pdf")</f>
        <v>Melting_Curves/meltCurve_Q13206_DDX10.pdf</v>
      </c>
    </row>
    <row r="3204" spans="1:28" x14ac:dyDescent="0.25">
      <c r="A3204" t="s">
        <v>3208</v>
      </c>
      <c r="B3204">
        <v>0.995954080203443</v>
      </c>
      <c r="C3204">
        <v>0.84967067917877404</v>
      </c>
      <c r="D3204">
        <v>0.76952319185380003</v>
      </c>
      <c r="E3204">
        <v>0.84017789710653701</v>
      </c>
      <c r="F3204">
        <v>0.64101447823109403</v>
      </c>
      <c r="G3204">
        <v>0.338621031047662</v>
      </c>
      <c r="H3204">
        <v>9.8542030763679803E-2</v>
      </c>
      <c r="I3204">
        <v>7.9946268297684697E-2</v>
      </c>
      <c r="J3204">
        <v>7.5733238041336207E-2</v>
      </c>
      <c r="K3204">
        <v>7.0045254220371694E-2</v>
      </c>
      <c r="L3204">
        <v>760.06945193956801</v>
      </c>
      <c r="M3204">
        <v>13.9976584582543</v>
      </c>
      <c r="N3204">
        <v>54.299757085307199</v>
      </c>
      <c r="O3204">
        <v>53.227536701669401</v>
      </c>
      <c r="P3204">
        <v>-6.5753158743009396E-2</v>
      </c>
      <c r="Q3204">
        <v>0</v>
      </c>
      <c r="R3204">
        <v>0.95653124398602096</v>
      </c>
      <c r="S3204" t="s">
        <v>10010</v>
      </c>
      <c r="T3204" t="s">
        <v>13610</v>
      </c>
      <c r="U3204" t="s">
        <v>13610</v>
      </c>
      <c r="V3204" t="s">
        <v>13610</v>
      </c>
      <c r="W3204" t="s">
        <v>16760</v>
      </c>
      <c r="X3204">
        <v>4</v>
      </c>
      <c r="Y3204" t="s">
        <v>23391</v>
      </c>
      <c r="Z3204" t="s">
        <v>30059</v>
      </c>
      <c r="AA3204">
        <v>0.49848669315167071</v>
      </c>
      <c r="AB3204" t="str">
        <f>HYPERLINK("Melting_Curves/meltCurve_Q13216_ERCC8.pdf", "Melting_Curves/meltCurve_Q13216_ERCC8.pdf")</f>
        <v>Melting_Curves/meltCurve_Q13216_ERCC8.pdf</v>
      </c>
    </row>
    <row r="3205" spans="1:28" x14ac:dyDescent="0.25">
      <c r="A3205" t="s">
        <v>3209</v>
      </c>
      <c r="B3205">
        <v>0.995954080203443</v>
      </c>
      <c r="C3205">
        <v>0.94099468604871495</v>
      </c>
      <c r="D3205">
        <v>0.84819834398477101</v>
      </c>
      <c r="E3205">
        <v>0.40526716175879302</v>
      </c>
      <c r="F3205">
        <v>0.23012823535208299</v>
      </c>
      <c r="G3205">
        <v>0.14449244007583301</v>
      </c>
      <c r="H3205">
        <v>9.9799529523149397E-2</v>
      </c>
      <c r="I3205">
        <v>9.0614020829589303E-2</v>
      </c>
      <c r="J3205">
        <v>9.7122041098398004E-2</v>
      </c>
      <c r="K3205">
        <v>8.7264496890116103E-2</v>
      </c>
      <c r="L3205">
        <v>1147.9479663444199</v>
      </c>
      <c r="M3205">
        <v>23.517056542914801</v>
      </c>
      <c r="N3205">
        <v>49.256736716200301</v>
      </c>
      <c r="O3205">
        <v>48.464591257603502</v>
      </c>
      <c r="P3205">
        <v>-0.10974203643973</v>
      </c>
      <c r="Q3205">
        <v>9.53783746402527E-2</v>
      </c>
      <c r="R3205">
        <v>0.99836020493549804</v>
      </c>
      <c r="S3205" t="s">
        <v>10011</v>
      </c>
      <c r="T3205" t="s">
        <v>13610</v>
      </c>
      <c r="U3205" t="s">
        <v>13610</v>
      </c>
      <c r="V3205" t="s">
        <v>13610</v>
      </c>
      <c r="W3205" t="s">
        <v>16761</v>
      </c>
      <c r="X3205">
        <v>14</v>
      </c>
      <c r="Y3205" t="s">
        <v>23392</v>
      </c>
      <c r="Z3205" t="s">
        <v>30060</v>
      </c>
      <c r="AA3205">
        <v>0.37022758735249672</v>
      </c>
      <c r="AB3205" t="str">
        <f>HYPERLINK("Melting_Curves/meltCurve_Q13217_DNAJC3.pdf", "Melting_Curves/meltCurve_Q13217_DNAJC3.pdf")</f>
        <v>Melting_Curves/meltCurve_Q13217_DNAJC3.pdf</v>
      </c>
    </row>
    <row r="3206" spans="1:28" x14ac:dyDescent="0.25">
      <c r="A3206" t="s">
        <v>3210</v>
      </c>
      <c r="B3206">
        <v>0.995954080203443</v>
      </c>
      <c r="C3206">
        <v>1.0652809393314699</v>
      </c>
      <c r="D3206">
        <v>1.00923708296413</v>
      </c>
      <c r="E3206">
        <v>0.935887961179376</v>
      </c>
      <c r="F3206">
        <v>0.81358574244412996</v>
      </c>
      <c r="G3206">
        <v>0.55116360990809299</v>
      </c>
      <c r="H3206">
        <v>0.45553243483370398</v>
      </c>
      <c r="I3206">
        <v>0.49414367988230201</v>
      </c>
      <c r="J3206">
        <v>0.51749810728895096</v>
      </c>
      <c r="K3206">
        <v>0.42874850956014399</v>
      </c>
      <c r="L3206">
        <v>1658.2418158297301</v>
      </c>
      <c r="M3206">
        <v>30.753730415373699</v>
      </c>
      <c r="N3206">
        <v>59.278285092712103</v>
      </c>
      <c r="O3206">
        <v>53.693575528484999</v>
      </c>
      <c r="P3206">
        <v>-7.6038072209947696E-2</v>
      </c>
      <c r="Q3206">
        <v>0.46897735727422402</v>
      </c>
      <c r="R3206">
        <v>0.98346475102049002</v>
      </c>
      <c r="S3206" t="s">
        <v>10012</v>
      </c>
      <c r="T3206" t="s">
        <v>13610</v>
      </c>
      <c r="U3206" t="s">
        <v>13610</v>
      </c>
      <c r="V3206" t="s">
        <v>13610</v>
      </c>
      <c r="W3206" t="s">
        <v>16762</v>
      </c>
      <c r="X3206">
        <v>22</v>
      </c>
      <c r="Y3206" t="s">
        <v>23393</v>
      </c>
      <c r="Z3206" t="s">
        <v>30061</v>
      </c>
      <c r="AA3206">
        <v>0.71869367339277668</v>
      </c>
      <c r="AB3206" t="str">
        <f>HYPERLINK("Melting_Curves/meltCurve_Q13228_SELENBP1.pdf", "Melting_Curves/meltCurve_Q13228_SELENBP1.pdf")</f>
        <v>Melting_Curves/meltCurve_Q13228_SELENBP1.pdf</v>
      </c>
    </row>
    <row r="3207" spans="1:28" x14ac:dyDescent="0.25">
      <c r="A3207" t="s">
        <v>3211</v>
      </c>
      <c r="B3207">
        <v>0.995954080203443</v>
      </c>
      <c r="C3207">
        <v>1.15192811107735</v>
      </c>
      <c r="D3207">
        <v>1.1238244838271501</v>
      </c>
      <c r="E3207">
        <v>1.0255375614392499</v>
      </c>
      <c r="F3207">
        <v>0.66802994389520598</v>
      </c>
      <c r="G3207">
        <v>0.43684694050312101</v>
      </c>
      <c r="H3207">
        <v>0.288659358747763</v>
      </c>
      <c r="I3207">
        <v>0.18367077675268001</v>
      </c>
      <c r="J3207">
        <v>0.13882505447840801</v>
      </c>
      <c r="K3207">
        <v>0.13508791431999401</v>
      </c>
      <c r="L3207">
        <v>1257.7646494860401</v>
      </c>
      <c r="M3207">
        <v>22.829598806254399</v>
      </c>
      <c r="N3207">
        <v>55.967155724799298</v>
      </c>
      <c r="O3207">
        <v>54.676096583301501</v>
      </c>
      <c r="P3207">
        <v>-8.8741932050744501E-2</v>
      </c>
      <c r="Q3207">
        <v>0.14988102245686999</v>
      </c>
      <c r="R3207">
        <v>0.96151125818984895</v>
      </c>
      <c r="S3207" t="s">
        <v>10013</v>
      </c>
      <c r="T3207" t="s">
        <v>13610</v>
      </c>
      <c r="U3207" t="s">
        <v>13610</v>
      </c>
      <c r="V3207" t="s">
        <v>13610</v>
      </c>
      <c r="W3207" t="s">
        <v>16763</v>
      </c>
      <c r="X3207">
        <v>10</v>
      </c>
      <c r="Y3207" t="s">
        <v>23394</v>
      </c>
      <c r="Z3207" t="s">
        <v>30062</v>
      </c>
      <c r="AA3207">
        <v>0.58676565773768574</v>
      </c>
      <c r="AB3207" t="str">
        <f>HYPERLINK("Melting_Curves/meltCurve_Q13232_NME3.pdf", "Melting_Curves/meltCurve_Q13232_NME3.pdf")</f>
        <v>Melting_Curves/meltCurve_Q13232_NME3.pdf</v>
      </c>
    </row>
    <row r="3208" spans="1:28" x14ac:dyDescent="0.25">
      <c r="A3208" t="s">
        <v>3212</v>
      </c>
      <c r="B3208">
        <v>0.995954080203443</v>
      </c>
      <c r="C3208">
        <v>0.84503948485987102</v>
      </c>
      <c r="D3208">
        <v>0.60209815553636903</v>
      </c>
      <c r="E3208">
        <v>0.39822304181297002</v>
      </c>
      <c r="F3208">
        <v>0.29934867365706602</v>
      </c>
      <c r="G3208">
        <v>0.19211176720283599</v>
      </c>
      <c r="H3208">
        <v>0.15862820425277699</v>
      </c>
      <c r="I3208">
        <v>0.18850511211568499</v>
      </c>
      <c r="J3208">
        <v>0.21410799812914599</v>
      </c>
      <c r="K3208">
        <v>0.20753458243342399</v>
      </c>
      <c r="L3208">
        <v>801.64979105978898</v>
      </c>
      <c r="M3208">
        <v>17.237307036441099</v>
      </c>
      <c r="N3208">
        <v>47.801033913907403</v>
      </c>
      <c r="O3208">
        <v>45.894285406418597</v>
      </c>
      <c r="P3208">
        <v>-7.6391209665149507E-2</v>
      </c>
      <c r="Q3208">
        <v>0.18648215666643</v>
      </c>
      <c r="R3208">
        <v>0.99118833507957105</v>
      </c>
      <c r="S3208" t="s">
        <v>10014</v>
      </c>
      <c r="T3208" t="s">
        <v>13610</v>
      </c>
      <c r="U3208" t="s">
        <v>13610</v>
      </c>
      <c r="V3208" t="s">
        <v>13610</v>
      </c>
      <c r="W3208" t="s">
        <v>16764</v>
      </c>
      <c r="X3208">
        <v>5</v>
      </c>
      <c r="Y3208" t="s">
        <v>23395</v>
      </c>
      <c r="Z3208" t="s">
        <v>30063</v>
      </c>
      <c r="AA3208">
        <v>0.37989082925795969</v>
      </c>
      <c r="AB3208" t="str">
        <f>HYPERLINK("Melting_Curves/meltCurve_Q13233_MAP3K1.pdf", "Melting_Curves/meltCurve_Q13233_MAP3K1.pdf")</f>
        <v>Melting_Curves/meltCurve_Q13233_MAP3K1.pdf</v>
      </c>
    </row>
    <row r="3209" spans="1:28" x14ac:dyDescent="0.25">
      <c r="A3209" t="s">
        <v>3213</v>
      </c>
      <c r="B3209">
        <v>0.995954080203443</v>
      </c>
      <c r="C3209">
        <v>0.81154834598884296</v>
      </c>
      <c r="D3209">
        <v>0.60557008786727196</v>
      </c>
      <c r="E3209">
        <v>0.64071792040229703</v>
      </c>
      <c r="F3209">
        <v>0.42812035206040699</v>
      </c>
      <c r="G3209">
        <v>0.25436795567805798</v>
      </c>
      <c r="H3209">
        <v>0.19768018892803199</v>
      </c>
      <c r="I3209">
        <v>0.21123572262491999</v>
      </c>
      <c r="J3209">
        <v>0.308622897251489</v>
      </c>
      <c r="K3209">
        <v>0.34843224587870403</v>
      </c>
      <c r="L3209">
        <v>578.754995060341</v>
      </c>
      <c r="M3209">
        <v>12.1693550911206</v>
      </c>
      <c r="N3209">
        <v>50.2271047794532</v>
      </c>
      <c r="O3209">
        <v>46.328826743459203</v>
      </c>
      <c r="P3209">
        <v>-5.0045065166198902E-2</v>
      </c>
      <c r="Q3209">
        <v>0.238086202460353</v>
      </c>
      <c r="R3209">
        <v>0.911441374800388</v>
      </c>
      <c r="S3209" t="s">
        <v>10015</v>
      </c>
      <c r="T3209" t="s">
        <v>13610</v>
      </c>
      <c r="U3209" t="s">
        <v>13610</v>
      </c>
      <c r="V3209" t="s">
        <v>13610</v>
      </c>
      <c r="W3209" t="s">
        <v>16765</v>
      </c>
      <c r="X3209">
        <v>6</v>
      </c>
      <c r="Y3209" t="s">
        <v>23396</v>
      </c>
      <c r="Z3209" t="s">
        <v>30064</v>
      </c>
      <c r="AA3209">
        <v>0.46000237366821112</v>
      </c>
      <c r="AB3209" t="str">
        <f>HYPERLINK("Melting_Curves/meltCurve_Q13242_SRSF9.pdf", "Melting_Curves/meltCurve_Q13242_SRSF9.pdf")</f>
        <v>Melting_Curves/meltCurve_Q13242_SRSF9.pdf</v>
      </c>
    </row>
    <row r="3210" spans="1:28" x14ac:dyDescent="0.25">
      <c r="A3210" t="s">
        <v>3214</v>
      </c>
      <c r="B3210">
        <v>0.995954080203443</v>
      </c>
      <c r="C3210">
        <v>0.94980963777831895</v>
      </c>
      <c r="D3210">
        <v>0.94334928750966796</v>
      </c>
      <c r="E3210">
        <v>0.87737115049151304</v>
      </c>
      <c r="F3210">
        <v>0.67929737507007104</v>
      </c>
      <c r="G3210">
        <v>0.426894575313084</v>
      </c>
      <c r="H3210">
        <v>0.40369886270405902</v>
      </c>
      <c r="I3210">
        <v>0.51751841803777798</v>
      </c>
      <c r="J3210">
        <v>0.74948876441711598</v>
      </c>
      <c r="K3210">
        <v>0.773532979192323</v>
      </c>
      <c r="L3210">
        <v>2195.9119786169899</v>
      </c>
      <c r="M3210">
        <v>42.943812926465803</v>
      </c>
      <c r="O3210">
        <v>51.0240180369249</v>
      </c>
      <c r="P3210">
        <v>-8.8948245183153501E-2</v>
      </c>
      <c r="Q3210">
        <v>0.57726246182704999</v>
      </c>
      <c r="R3210">
        <v>0.69574958435690304</v>
      </c>
      <c r="S3210" t="s">
        <v>10016</v>
      </c>
      <c r="T3210" t="s">
        <v>13610</v>
      </c>
      <c r="U3210" t="s">
        <v>13610</v>
      </c>
      <c r="V3210" t="s">
        <v>13610</v>
      </c>
      <c r="W3210" t="s">
        <v>16766</v>
      </c>
      <c r="X3210">
        <v>6</v>
      </c>
      <c r="Y3210" t="s">
        <v>23397</v>
      </c>
      <c r="Z3210" t="s">
        <v>30065</v>
      </c>
      <c r="AA3210">
        <v>0.73545697108627384</v>
      </c>
      <c r="AB3210" t="str">
        <f>HYPERLINK("Melting_Curves/meltCurve_Q13243_3_SRSF5.pdf", "Melting_Curves/meltCurve_Q13243_3_SRSF5.pdf")</f>
        <v>Melting_Curves/meltCurve_Q13243_3_SRSF5.pdf</v>
      </c>
    </row>
    <row r="3211" spans="1:28" x14ac:dyDescent="0.25">
      <c r="A3211" t="s">
        <v>3215</v>
      </c>
      <c r="B3211">
        <v>0.995954080203443</v>
      </c>
      <c r="C3211">
        <v>0.84389370770920202</v>
      </c>
      <c r="D3211">
        <v>0.815872880610367</v>
      </c>
      <c r="E3211">
        <v>0.82524848160959796</v>
      </c>
      <c r="F3211">
        <v>0.63533006273348802</v>
      </c>
      <c r="G3211">
        <v>0.41657263092650398</v>
      </c>
      <c r="H3211">
        <v>0.41515739634297399</v>
      </c>
      <c r="I3211">
        <v>0.56229949071656904</v>
      </c>
      <c r="J3211">
        <v>0.72105764056024502</v>
      </c>
      <c r="K3211">
        <v>0.67119803695873403</v>
      </c>
      <c r="L3211">
        <v>703.88561059518202</v>
      </c>
      <c r="M3211">
        <v>14.8842074551794</v>
      </c>
      <c r="O3211">
        <v>46.461759413064797</v>
      </c>
      <c r="P3211">
        <v>-3.5089502503592301E-2</v>
      </c>
      <c r="Q3211">
        <v>0.56191154990147796</v>
      </c>
      <c r="R3211">
        <v>0.64125611049724096</v>
      </c>
      <c r="S3211" t="s">
        <v>10017</v>
      </c>
      <c r="T3211" t="s">
        <v>13610</v>
      </c>
      <c r="U3211" t="s">
        <v>13610</v>
      </c>
      <c r="V3211" t="s">
        <v>13610</v>
      </c>
      <c r="W3211" t="s">
        <v>16767</v>
      </c>
      <c r="X3211">
        <v>11</v>
      </c>
      <c r="Y3211" t="s">
        <v>23398</v>
      </c>
      <c r="Z3211" t="s">
        <v>30066</v>
      </c>
      <c r="AA3211">
        <v>0.68026148519279661</v>
      </c>
      <c r="AB3211" t="str">
        <f>HYPERLINK("Melting_Curves/meltCurve_Q13247_3_SRSF6.pdf", "Melting_Curves/meltCurve_Q13247_3_SRSF6.pdf")</f>
        <v>Melting_Curves/meltCurve_Q13247_3_SRSF6.pdf</v>
      </c>
    </row>
    <row r="3212" spans="1:28" x14ac:dyDescent="0.25">
      <c r="A3212" t="s">
        <v>3216</v>
      </c>
      <c r="B3212">
        <v>0.995954080203443</v>
      </c>
      <c r="C3212">
        <v>0.53320147526733297</v>
      </c>
      <c r="D3212">
        <v>1.1431088235448501</v>
      </c>
      <c r="E3212">
        <v>0.73473879149229604</v>
      </c>
      <c r="F3212">
        <v>0.63904516793166</v>
      </c>
      <c r="G3212">
        <v>0.31080083134123998</v>
      </c>
      <c r="H3212">
        <v>0.165216380766256</v>
      </c>
      <c r="I3212">
        <v>0.113644311234219</v>
      </c>
      <c r="J3212">
        <v>8.3443531893360706E-2</v>
      </c>
      <c r="K3212">
        <v>7.8640515827271898E-2</v>
      </c>
      <c r="L3212">
        <v>816.93006691924199</v>
      </c>
      <c r="M3212">
        <v>15.0963044679074</v>
      </c>
      <c r="N3212">
        <v>54.341100091088997</v>
      </c>
      <c r="O3212">
        <v>53.191652294323298</v>
      </c>
      <c r="P3212">
        <v>-6.8795460289344496E-2</v>
      </c>
      <c r="Q3212">
        <v>3.0495533482728501E-2</v>
      </c>
      <c r="R3212">
        <v>0.81909170775381601</v>
      </c>
      <c r="S3212" t="s">
        <v>10018</v>
      </c>
      <c r="T3212" t="s">
        <v>13610</v>
      </c>
      <c r="U3212" t="s">
        <v>13610</v>
      </c>
      <c r="V3212" t="s">
        <v>13610</v>
      </c>
      <c r="W3212" t="s">
        <v>16768</v>
      </c>
      <c r="X3212">
        <v>10</v>
      </c>
      <c r="Y3212" t="s">
        <v>23399</v>
      </c>
      <c r="Z3212" t="s">
        <v>30067</v>
      </c>
      <c r="AA3212">
        <v>0.50624662605468906</v>
      </c>
      <c r="AB3212" t="str">
        <f>HYPERLINK("Melting_Curves/meltCurve_Q13257_MAD2L1.pdf", "Melting_Curves/meltCurve_Q13257_MAD2L1.pdf")</f>
        <v>Melting_Curves/meltCurve_Q13257_MAD2L1.pdf</v>
      </c>
    </row>
    <row r="3213" spans="1:28" x14ac:dyDescent="0.25">
      <c r="A3213" t="s">
        <v>3217</v>
      </c>
      <c r="B3213">
        <v>0.995954080203443</v>
      </c>
      <c r="C3213">
        <v>0.958490915525261</v>
      </c>
      <c r="D3213">
        <v>0.86942263123258101</v>
      </c>
      <c r="E3213">
        <v>0.66882018089877304</v>
      </c>
      <c r="F3213">
        <v>0.53470432059827</v>
      </c>
      <c r="G3213">
        <v>0.340508306195622</v>
      </c>
      <c r="H3213">
        <v>0.22936338210180299</v>
      </c>
      <c r="I3213">
        <v>0.22646712616863099</v>
      </c>
      <c r="J3213">
        <v>0.27597207283021702</v>
      </c>
      <c r="K3213">
        <v>0.25227534838413102</v>
      </c>
      <c r="L3213">
        <v>802.96185509972895</v>
      </c>
      <c r="M3213">
        <v>15.7184101223304</v>
      </c>
      <c r="N3213">
        <v>53.041223721154303</v>
      </c>
      <c r="O3213">
        <v>50.278765008906298</v>
      </c>
      <c r="P3213">
        <v>-6.09639222267567E-2</v>
      </c>
      <c r="Q3213">
        <v>0.220039955198678</v>
      </c>
      <c r="R3213">
        <v>0.99317904491725695</v>
      </c>
      <c r="S3213" t="s">
        <v>10019</v>
      </c>
      <c r="T3213" t="s">
        <v>13610</v>
      </c>
      <c r="U3213" t="s">
        <v>13610</v>
      </c>
      <c r="V3213" t="s">
        <v>13610</v>
      </c>
      <c r="W3213" t="s">
        <v>16769</v>
      </c>
      <c r="X3213">
        <v>36</v>
      </c>
      <c r="Y3213" t="s">
        <v>23400</v>
      </c>
      <c r="Z3213" t="s">
        <v>30068</v>
      </c>
      <c r="AA3213">
        <v>0.52483972611727192</v>
      </c>
      <c r="AB3213" t="str">
        <f>HYPERLINK("Melting_Curves/meltCurve_Q13263_TRIM28.pdf", "Melting_Curves/meltCurve_Q13263_TRIM28.pdf")</f>
        <v>Melting_Curves/meltCurve_Q13263_TRIM28.pdf</v>
      </c>
    </row>
    <row r="3214" spans="1:28" x14ac:dyDescent="0.25">
      <c r="A3214" t="s">
        <v>3218</v>
      </c>
      <c r="B3214">
        <v>0.995954080203443</v>
      </c>
      <c r="C3214">
        <v>0.89750161067933798</v>
      </c>
      <c r="D3214">
        <v>0.93692480963247404</v>
      </c>
      <c r="E3214">
        <v>0.88583253604063195</v>
      </c>
      <c r="F3214">
        <v>0.77725748628192004</v>
      </c>
      <c r="G3214">
        <v>0.56710763912161499</v>
      </c>
      <c r="H3214">
        <v>0.53580527658108201</v>
      </c>
      <c r="I3214">
        <v>0.609917928993707</v>
      </c>
      <c r="J3214">
        <v>0.74137732694789504</v>
      </c>
      <c r="K3214">
        <v>0.645685252206189</v>
      </c>
      <c r="L3214">
        <v>1539.644395278</v>
      </c>
      <c r="M3214">
        <v>29.828415436672699</v>
      </c>
      <c r="O3214">
        <v>51.386376707468898</v>
      </c>
      <c r="P3214">
        <v>-5.5157532890706698E-2</v>
      </c>
      <c r="Q3214">
        <v>0.619915912392909</v>
      </c>
      <c r="R3214">
        <v>0.82322968209612801</v>
      </c>
      <c r="S3214" t="s">
        <v>10020</v>
      </c>
      <c r="T3214" t="s">
        <v>13610</v>
      </c>
      <c r="U3214" t="s">
        <v>13610</v>
      </c>
      <c r="V3214" t="s">
        <v>13610</v>
      </c>
      <c r="W3214" t="s">
        <v>16770</v>
      </c>
      <c r="X3214">
        <v>6</v>
      </c>
      <c r="Y3214" t="s">
        <v>23401</v>
      </c>
      <c r="Z3214" t="s">
        <v>30069</v>
      </c>
      <c r="AA3214">
        <v>0.76953486672821769</v>
      </c>
      <c r="AB3214" t="str">
        <f>HYPERLINK("Melting_Curves/meltCurve_Q13277_2_STX3.pdf", "Melting_Curves/meltCurve_Q13277_2_STX3.pdf")</f>
        <v>Melting_Curves/meltCurve_Q13277_2_STX3.pdf</v>
      </c>
    </row>
    <row r="3215" spans="1:28" x14ac:dyDescent="0.25">
      <c r="A3215" t="s">
        <v>3219</v>
      </c>
      <c r="B3215">
        <v>0.995954080203443</v>
      </c>
      <c r="C3215">
        <v>1.03083357264162</v>
      </c>
      <c r="D3215">
        <v>1.0204057902830199</v>
      </c>
      <c r="E3215">
        <v>0.83733116438760402</v>
      </c>
      <c r="F3215">
        <v>0.54239173323687595</v>
      </c>
      <c r="G3215">
        <v>0.29814807350018901</v>
      </c>
      <c r="H3215">
        <v>0.190346484872014</v>
      </c>
      <c r="I3215">
        <v>0.177751552297163</v>
      </c>
      <c r="J3215">
        <v>0.212642974306369</v>
      </c>
      <c r="K3215">
        <v>0.21243290587158101</v>
      </c>
      <c r="L3215">
        <v>1470.9799640251899</v>
      </c>
      <c r="M3215">
        <v>28.007976271245301</v>
      </c>
      <c r="N3215">
        <v>53.4732055256354</v>
      </c>
      <c r="O3215">
        <v>52.254495727205402</v>
      </c>
      <c r="P3215">
        <v>-0.10766746867236</v>
      </c>
      <c r="Q3215">
        <v>0.19650604349875</v>
      </c>
      <c r="R3215">
        <v>0.99665171911278205</v>
      </c>
      <c r="S3215" t="s">
        <v>10021</v>
      </c>
      <c r="T3215" t="s">
        <v>13610</v>
      </c>
      <c r="U3215" t="s">
        <v>13610</v>
      </c>
      <c r="V3215" t="s">
        <v>13610</v>
      </c>
      <c r="W3215" t="s">
        <v>16771</v>
      </c>
      <c r="X3215">
        <v>18</v>
      </c>
      <c r="Y3215" t="s">
        <v>23402</v>
      </c>
      <c r="Z3215" t="s">
        <v>30070</v>
      </c>
      <c r="AA3215">
        <v>0.53775287694704732</v>
      </c>
      <c r="AB3215" t="str">
        <f>HYPERLINK("Melting_Curves/meltCurve_Q13283_G3BP1.pdf", "Melting_Curves/meltCurve_Q13283_G3BP1.pdf")</f>
        <v>Melting_Curves/meltCurve_Q13283_G3BP1.pdf</v>
      </c>
    </row>
    <row r="3216" spans="1:28" x14ac:dyDescent="0.25">
      <c r="A3216" t="s">
        <v>3220</v>
      </c>
      <c r="B3216">
        <v>0.995954080203443</v>
      </c>
      <c r="C3216">
        <v>0.98352353570019801</v>
      </c>
      <c r="D3216">
        <v>0.93820248639021497</v>
      </c>
      <c r="E3216">
        <v>0.92564859596550098</v>
      </c>
      <c r="F3216">
        <v>0.69134312008185494</v>
      </c>
      <c r="G3216">
        <v>0.31699772056037301</v>
      </c>
      <c r="H3216">
        <v>0.106928674717491</v>
      </c>
      <c r="I3216">
        <v>0.100080000875375</v>
      </c>
      <c r="J3216">
        <v>0.107590154008844</v>
      </c>
      <c r="K3216">
        <v>0.103906745738788</v>
      </c>
      <c r="L3216">
        <v>1417.9444202130201</v>
      </c>
      <c r="M3216">
        <v>26.056295345270598</v>
      </c>
      <c r="N3216">
        <v>54.824327749701602</v>
      </c>
      <c r="O3216">
        <v>54.100998617622999</v>
      </c>
      <c r="P3216">
        <v>-0.109846371575751</v>
      </c>
      <c r="Q3216">
        <v>8.7709085832673797E-2</v>
      </c>
      <c r="R3216">
        <v>0.99678452882214597</v>
      </c>
      <c r="S3216" t="s">
        <v>10022</v>
      </c>
      <c r="T3216" t="s">
        <v>13610</v>
      </c>
      <c r="U3216" t="s">
        <v>13610</v>
      </c>
      <c r="V3216" t="s">
        <v>13610</v>
      </c>
      <c r="W3216" t="s">
        <v>16772</v>
      </c>
      <c r="X3216">
        <v>23</v>
      </c>
      <c r="Y3216" t="s">
        <v>23403</v>
      </c>
      <c r="Z3216" t="s">
        <v>30071</v>
      </c>
      <c r="AA3216">
        <v>0.53400920298807619</v>
      </c>
      <c r="AB3216" t="str">
        <f>HYPERLINK("Melting_Curves/meltCurve_Q13287_NMI.pdf", "Melting_Curves/meltCurve_Q13287_NMI.pdf")</f>
        <v>Melting_Curves/meltCurve_Q13287_NMI.pdf</v>
      </c>
    </row>
    <row r="3217" spans="1:28" x14ac:dyDescent="0.25">
      <c r="A3217" t="s">
        <v>3221</v>
      </c>
      <c r="B3217">
        <v>0.995954080203443</v>
      </c>
      <c r="C3217">
        <v>0.90817042042223695</v>
      </c>
      <c r="D3217">
        <v>0.85718488582534802</v>
      </c>
      <c r="E3217">
        <v>0.83853400591557004</v>
      </c>
      <c r="F3217">
        <v>0.66740612325027604</v>
      </c>
      <c r="G3217">
        <v>0.47913917813476498</v>
      </c>
      <c r="H3217">
        <v>0.31102813148318598</v>
      </c>
      <c r="I3217">
        <v>0.232049593913043</v>
      </c>
      <c r="J3217">
        <v>0.19652582336701299</v>
      </c>
      <c r="K3217">
        <v>0.243372262268998</v>
      </c>
      <c r="L3217">
        <v>636.86922723669795</v>
      </c>
      <c r="M3217">
        <v>11.5851296116666</v>
      </c>
      <c r="N3217">
        <v>56.324607453394499</v>
      </c>
      <c r="O3217">
        <v>53.4116284818137</v>
      </c>
      <c r="P3217">
        <v>-4.7658318198629097E-2</v>
      </c>
      <c r="Q3217">
        <v>0.121354524979742</v>
      </c>
      <c r="R3217">
        <v>0.98336333403396503</v>
      </c>
      <c r="S3217" t="s">
        <v>10023</v>
      </c>
      <c r="T3217" t="s">
        <v>13610</v>
      </c>
      <c r="U3217" t="s">
        <v>13610</v>
      </c>
      <c r="V3217" t="s">
        <v>13610</v>
      </c>
      <c r="W3217" t="s">
        <v>16773</v>
      </c>
      <c r="X3217">
        <v>9</v>
      </c>
      <c r="Y3217" t="s">
        <v>23404</v>
      </c>
      <c r="Z3217" t="s">
        <v>30072</v>
      </c>
      <c r="AA3217">
        <v>0.58105048017046468</v>
      </c>
      <c r="AB3217" t="str">
        <f>HYPERLINK("Melting_Curves/meltCurve_Q13303_2_KCNAB2.pdf", "Melting_Curves/meltCurve_Q13303_2_KCNAB2.pdf")</f>
        <v>Melting_Curves/meltCurve_Q13303_2_KCNAB2.pdf</v>
      </c>
    </row>
    <row r="3218" spans="1:28" x14ac:dyDescent="0.25">
      <c r="A3218" t="s">
        <v>3222</v>
      </c>
      <c r="B3218">
        <v>0.995954080203443</v>
      </c>
      <c r="C3218">
        <v>1.09306177241834</v>
      </c>
      <c r="D3218">
        <v>1.04422537987173</v>
      </c>
      <c r="E3218">
        <v>0.95738068153302303</v>
      </c>
      <c r="F3218">
        <v>0.77068980039596402</v>
      </c>
      <c r="G3218">
        <v>0.38095277417183998</v>
      </c>
      <c r="H3218">
        <v>0.115775477717125</v>
      </c>
      <c r="I3218">
        <v>9.0962288467500804E-2</v>
      </c>
      <c r="J3218">
        <v>9.8919961306937601E-2</v>
      </c>
      <c r="K3218">
        <v>8.9504895069822094E-2</v>
      </c>
      <c r="L3218">
        <v>1517.2627876736899</v>
      </c>
      <c r="M3218">
        <v>27.429315012083599</v>
      </c>
      <c r="N3218">
        <v>55.655850601936201</v>
      </c>
      <c r="O3218">
        <v>55.023865346822902</v>
      </c>
      <c r="P3218">
        <v>-0.114999862808728</v>
      </c>
      <c r="Q3218">
        <v>7.7238625744393705E-2</v>
      </c>
      <c r="R3218">
        <v>0.99286578887049104</v>
      </c>
      <c r="S3218" t="s">
        <v>10024</v>
      </c>
      <c r="T3218" t="s">
        <v>13610</v>
      </c>
      <c r="U3218" t="s">
        <v>13610</v>
      </c>
      <c r="V3218" t="s">
        <v>13610</v>
      </c>
      <c r="W3218" t="s">
        <v>16774</v>
      </c>
      <c r="X3218">
        <v>12</v>
      </c>
      <c r="Y3218" t="s">
        <v>23405</v>
      </c>
      <c r="Z3218" t="s">
        <v>30073</v>
      </c>
      <c r="AA3218">
        <v>0.55555484506041708</v>
      </c>
      <c r="AB3218" t="str">
        <f>HYPERLINK("Melting_Curves/meltCurve_Q13308_3_PTK7.pdf", "Melting_Curves/meltCurve_Q13308_3_PTK7.pdf")</f>
        <v>Melting_Curves/meltCurve_Q13308_3_PTK7.pdf</v>
      </c>
    </row>
    <row r="3219" spans="1:28" x14ac:dyDescent="0.25">
      <c r="A3219" t="s">
        <v>3223</v>
      </c>
      <c r="B3219">
        <v>0.995954080203443</v>
      </c>
      <c r="C3219">
        <v>0.50558667205437302</v>
      </c>
      <c r="D3219">
        <v>0.227051789155924</v>
      </c>
      <c r="E3219">
        <v>0.26321346084227298</v>
      </c>
      <c r="F3219">
        <v>0.137685473553534</v>
      </c>
      <c r="G3219">
        <v>5.8482410284282603E-2</v>
      </c>
      <c r="H3219">
        <v>5.1506490909507402E-2</v>
      </c>
      <c r="I3219">
        <v>3.6605632014493801E-2</v>
      </c>
      <c r="J3219">
        <v>1.75016447025888E-2</v>
      </c>
      <c r="K3219">
        <v>3.7803725275084597E-2</v>
      </c>
      <c r="L3219">
        <v>1229.3901679870801</v>
      </c>
      <c r="M3219">
        <v>28.571289239020501</v>
      </c>
      <c r="N3219">
        <v>43.3019483242212</v>
      </c>
      <c r="O3219">
        <v>42.819737394297</v>
      </c>
      <c r="P3219">
        <v>-0.15306045828093001</v>
      </c>
      <c r="Q3219">
        <v>8.2441775052621194E-2</v>
      </c>
      <c r="R3219">
        <v>0.94016031294611602</v>
      </c>
      <c r="S3219" t="s">
        <v>10025</v>
      </c>
      <c r="T3219" t="s">
        <v>13610</v>
      </c>
      <c r="U3219" t="s">
        <v>13610</v>
      </c>
      <c r="V3219" t="s">
        <v>13610</v>
      </c>
      <c r="W3219" t="s">
        <v>16775</v>
      </c>
      <c r="X3219">
        <v>2</v>
      </c>
      <c r="Y3219" t="s">
        <v>23406</v>
      </c>
      <c r="Z3219" t="s">
        <v>30074</v>
      </c>
      <c r="AA3219">
        <v>0.18454172263305091</v>
      </c>
      <c r="AB3219" t="str">
        <f>HYPERLINK("Melting_Curves/meltCurve_Q13309_2_SKP2.pdf", "Melting_Curves/meltCurve_Q13309_2_SKP2.pdf")</f>
        <v>Melting_Curves/meltCurve_Q13309_2_SKP2.pdf</v>
      </c>
    </row>
    <row r="3220" spans="1:28" x14ac:dyDescent="0.25">
      <c r="A3220" t="s">
        <v>3224</v>
      </c>
      <c r="B3220">
        <v>0.995954080203443</v>
      </c>
      <c r="C3220">
        <v>0.97050628950856699</v>
      </c>
      <c r="D3220">
        <v>0.52119036151923803</v>
      </c>
      <c r="E3220">
        <v>0.41958131029800499</v>
      </c>
      <c r="F3220">
        <v>0.19964742151131101</v>
      </c>
      <c r="G3220">
        <v>0.107286803993365</v>
      </c>
      <c r="H3220">
        <v>7.1790670467726497E-2</v>
      </c>
      <c r="I3220">
        <v>7.3686448302724403E-2</v>
      </c>
      <c r="J3220">
        <v>8.29026812521481E-2</v>
      </c>
      <c r="K3220">
        <v>7.8412517033074905E-2</v>
      </c>
      <c r="L3220">
        <v>812.26011028548999</v>
      </c>
      <c r="M3220">
        <v>17.155864733354701</v>
      </c>
      <c r="N3220">
        <v>47.771362924353099</v>
      </c>
      <c r="O3220">
        <v>46.7166517415288</v>
      </c>
      <c r="P3220">
        <v>-8.5308707437692893E-2</v>
      </c>
      <c r="Q3220">
        <v>7.0848165706686103E-2</v>
      </c>
      <c r="R3220">
        <v>0.97041150923803199</v>
      </c>
      <c r="S3220" t="s">
        <v>10026</v>
      </c>
      <c r="T3220" t="s">
        <v>13610</v>
      </c>
      <c r="U3220" t="s">
        <v>13610</v>
      </c>
      <c r="V3220" t="s">
        <v>13610</v>
      </c>
      <c r="W3220" t="s">
        <v>16776</v>
      </c>
      <c r="X3220">
        <v>28</v>
      </c>
      <c r="Y3220" t="s">
        <v>23407</v>
      </c>
      <c r="Z3220" t="s">
        <v>30075</v>
      </c>
      <c r="AA3220">
        <v>0.31706292200667791</v>
      </c>
      <c r="AB3220" t="str">
        <f>HYPERLINK("Melting_Curves/meltCurve_Q13310_3_PABPC4.pdf", "Melting_Curves/meltCurve_Q13310_3_PABPC4.pdf")</f>
        <v>Melting_Curves/meltCurve_Q13310_3_PABPC4.pdf</v>
      </c>
    </row>
    <row r="3221" spans="1:28" x14ac:dyDescent="0.25">
      <c r="A3221" t="s">
        <v>3225</v>
      </c>
      <c r="B3221">
        <v>0.995954080203443</v>
      </c>
      <c r="C3221">
        <v>0.69596787692222595</v>
      </c>
      <c r="D3221">
        <v>0.39788796137048399</v>
      </c>
      <c r="E3221">
        <v>0.51481138026685702</v>
      </c>
      <c r="F3221">
        <v>0.19844925805953201</v>
      </c>
      <c r="G3221">
        <v>0.101549766704028</v>
      </c>
      <c r="H3221">
        <v>5.9958872982155298E-2</v>
      </c>
      <c r="I3221">
        <v>5.5766797790257699E-2</v>
      </c>
      <c r="J3221">
        <v>6.0586468051160303E-2</v>
      </c>
      <c r="K3221">
        <v>6.7389570190362097E-2</v>
      </c>
      <c r="L3221">
        <v>528.82697342819802</v>
      </c>
      <c r="M3221">
        <v>11.3481574487706</v>
      </c>
      <c r="N3221">
        <v>46.814083130723901</v>
      </c>
      <c r="O3221">
        <v>45.223531373753602</v>
      </c>
      <c r="P3221">
        <v>-6.11675854019803E-2</v>
      </c>
      <c r="Q3221">
        <v>2.5255713661285699E-2</v>
      </c>
      <c r="R3221">
        <v>0.92194213786477597</v>
      </c>
      <c r="S3221" t="s">
        <v>10027</v>
      </c>
      <c r="T3221" t="s">
        <v>13610</v>
      </c>
      <c r="U3221" t="s">
        <v>13610</v>
      </c>
      <c r="V3221" t="s">
        <v>13610</v>
      </c>
      <c r="W3221" t="s">
        <v>16777</v>
      </c>
      <c r="X3221">
        <v>5</v>
      </c>
      <c r="Y3221" t="s">
        <v>23408</v>
      </c>
      <c r="Z3221" t="s">
        <v>30076</v>
      </c>
      <c r="AA3221">
        <v>0.28640823513709179</v>
      </c>
      <c r="AB3221" t="str">
        <f>HYPERLINK("Melting_Curves/meltCurve_Q13315_ATM.pdf", "Melting_Curves/meltCurve_Q13315_ATM.pdf")</f>
        <v>Melting_Curves/meltCurve_Q13315_ATM.pdf</v>
      </c>
    </row>
    <row r="3222" spans="1:28" x14ac:dyDescent="0.25">
      <c r="A3222" t="s">
        <v>3226</v>
      </c>
      <c r="B3222">
        <v>0.995954080203443</v>
      </c>
      <c r="C3222">
        <v>0.95446719774491096</v>
      </c>
      <c r="D3222">
        <v>0.91557843004444495</v>
      </c>
      <c r="E3222">
        <v>0.68115559591419705</v>
      </c>
      <c r="F3222">
        <v>0.41178272370297297</v>
      </c>
      <c r="G3222">
        <v>0.20860965319850899</v>
      </c>
      <c r="H3222">
        <v>0.135482781225152</v>
      </c>
      <c r="I3222">
        <v>0.13633297440710801</v>
      </c>
      <c r="J3222">
        <v>0.165780290462964</v>
      </c>
      <c r="K3222">
        <v>0.15441320105827799</v>
      </c>
      <c r="L3222">
        <v>1114.9009551506001</v>
      </c>
      <c r="M3222">
        <v>21.812029252625901</v>
      </c>
      <c r="N3222">
        <v>51.871799148447302</v>
      </c>
      <c r="O3222">
        <v>50.690214828820601</v>
      </c>
      <c r="P3222">
        <v>-9.2901012524160401E-2</v>
      </c>
      <c r="Q3222">
        <v>0.136427995654581</v>
      </c>
      <c r="R3222">
        <v>0.99752396704124302</v>
      </c>
      <c r="S3222" t="s">
        <v>10028</v>
      </c>
      <c r="T3222" t="s">
        <v>13610</v>
      </c>
      <c r="U3222" t="s">
        <v>13610</v>
      </c>
      <c r="V3222" t="s">
        <v>13610</v>
      </c>
      <c r="W3222" t="s">
        <v>16778</v>
      </c>
      <c r="X3222">
        <v>12</v>
      </c>
      <c r="Y3222" t="s">
        <v>23409</v>
      </c>
      <c r="Z3222" t="s">
        <v>30077</v>
      </c>
      <c r="AA3222">
        <v>0.46652886353655698</v>
      </c>
      <c r="AB3222" t="str">
        <f>HYPERLINK("Melting_Curves/meltCurve_Q13322_2_GRB10.pdf", "Melting_Curves/meltCurve_Q13322_2_GRB10.pdf")</f>
        <v>Melting_Curves/meltCurve_Q13322_2_GRB10.pdf</v>
      </c>
    </row>
    <row r="3223" spans="1:28" x14ac:dyDescent="0.25">
      <c r="A3223" t="s">
        <v>3227</v>
      </c>
      <c r="B3223">
        <v>0.995954080203443</v>
      </c>
      <c r="C3223">
        <v>0.82789692256959102</v>
      </c>
      <c r="D3223">
        <v>0.67742651539788701</v>
      </c>
      <c r="E3223">
        <v>0.72774575349175896</v>
      </c>
      <c r="F3223">
        <v>0.421847588497551</v>
      </c>
      <c r="G3223">
        <v>0.185735059944031</v>
      </c>
      <c r="H3223">
        <v>0.12532509222911001</v>
      </c>
      <c r="I3223">
        <v>0.12315933924590899</v>
      </c>
      <c r="J3223">
        <v>0.109365394111115</v>
      </c>
      <c r="K3223">
        <v>0.104208650899035</v>
      </c>
      <c r="L3223">
        <v>539.94452081861198</v>
      </c>
      <c r="M3223">
        <v>10.532367070796999</v>
      </c>
      <c r="N3223">
        <v>51.389447517199798</v>
      </c>
      <c r="O3223">
        <v>49.520642426804002</v>
      </c>
      <c r="P3223">
        <v>-5.2524500546057701E-2</v>
      </c>
      <c r="Q3223">
        <v>1.256379034506E-2</v>
      </c>
      <c r="R3223">
        <v>0.95483129090007202</v>
      </c>
      <c r="S3223" t="s">
        <v>10029</v>
      </c>
      <c r="T3223" t="s">
        <v>13610</v>
      </c>
      <c r="U3223" t="s">
        <v>13610</v>
      </c>
      <c r="V3223" t="s">
        <v>13610</v>
      </c>
      <c r="W3223" t="s">
        <v>16779</v>
      </c>
      <c r="X3223">
        <v>29</v>
      </c>
      <c r="Y3223" t="s">
        <v>23410</v>
      </c>
      <c r="Z3223" t="s">
        <v>30078</v>
      </c>
      <c r="AA3223">
        <v>0.42100919003569298</v>
      </c>
      <c r="AB3223" t="str">
        <f>HYPERLINK("Melting_Curves/meltCurve_Q13330_3_MTA1.pdf", "Melting_Curves/meltCurve_Q13330_3_MTA1.pdf")</f>
        <v>Melting_Curves/meltCurve_Q13330_3_MTA1.pdf</v>
      </c>
    </row>
    <row r="3224" spans="1:28" x14ac:dyDescent="0.25">
      <c r="A3224" t="s">
        <v>3228</v>
      </c>
      <c r="B3224">
        <v>0.995954080203443</v>
      </c>
      <c r="C3224">
        <v>0.98195113404158696</v>
      </c>
      <c r="D3224">
        <v>0.90492841905460897</v>
      </c>
      <c r="E3224">
        <v>0.73517777697891096</v>
      </c>
      <c r="F3224">
        <v>0.49016050824972601</v>
      </c>
      <c r="G3224">
        <v>0.32075525414233602</v>
      </c>
      <c r="H3224">
        <v>0.27429290398464201</v>
      </c>
      <c r="I3224">
        <v>0.30553631065001502</v>
      </c>
      <c r="J3224">
        <v>0.30068722493328598</v>
      </c>
      <c r="K3224">
        <v>0.30997912456805898</v>
      </c>
      <c r="L3224">
        <v>1169.2073596616101</v>
      </c>
      <c r="M3224">
        <v>22.981279521811</v>
      </c>
      <c r="N3224">
        <v>52.842734196956499</v>
      </c>
      <c r="O3224">
        <v>50.495979816078503</v>
      </c>
      <c r="P3224">
        <v>-8.1081660201999806E-2</v>
      </c>
      <c r="Q3224">
        <v>0.28738153298665098</v>
      </c>
      <c r="R3224">
        <v>0.99540321150863598</v>
      </c>
      <c r="S3224" t="s">
        <v>10030</v>
      </c>
      <c r="T3224" t="s">
        <v>13610</v>
      </c>
      <c r="U3224" t="s">
        <v>13610</v>
      </c>
      <c r="V3224" t="s">
        <v>13610</v>
      </c>
      <c r="W3224" t="s">
        <v>16780</v>
      </c>
      <c r="X3224">
        <v>4</v>
      </c>
      <c r="Y3224" t="s">
        <v>23411</v>
      </c>
      <c r="Z3224" t="s">
        <v>30079</v>
      </c>
      <c r="AA3224">
        <v>0.55332426190388162</v>
      </c>
      <c r="AB3224" t="str">
        <f>HYPERLINK("Melting_Curves/meltCurve_Q13332_6_PTPRS.pdf", "Melting_Curves/meltCurve_Q13332_6_PTPRS.pdf")</f>
        <v>Melting_Curves/meltCurve_Q13332_6_PTPRS.pdf</v>
      </c>
    </row>
    <row r="3225" spans="1:28" x14ac:dyDescent="0.25">
      <c r="A3225" t="s">
        <v>3229</v>
      </c>
      <c r="B3225">
        <v>0.995954080203443</v>
      </c>
      <c r="C3225">
        <v>0.80190776983065903</v>
      </c>
      <c r="D3225">
        <v>0.46144062863048901</v>
      </c>
      <c r="E3225">
        <v>0.256027439632938</v>
      </c>
      <c r="F3225">
        <v>0.13064939457687</v>
      </c>
      <c r="G3225">
        <v>8.27002351636167E-2</v>
      </c>
      <c r="H3225">
        <v>5.2566945141865301E-2</v>
      </c>
      <c r="I3225">
        <v>4.6643683357003099E-2</v>
      </c>
      <c r="J3225">
        <v>5.1467788117033203E-2</v>
      </c>
      <c r="K3225">
        <v>4.6058388903574998E-2</v>
      </c>
      <c r="L3225">
        <v>867.56172443087803</v>
      </c>
      <c r="M3225">
        <v>18.947084465262201</v>
      </c>
      <c r="N3225">
        <v>46.064183389374797</v>
      </c>
      <c r="O3225">
        <v>45.287753138919797</v>
      </c>
      <c r="P3225">
        <v>-9.8993657370723506E-2</v>
      </c>
      <c r="Q3225">
        <v>5.3570605362867001E-2</v>
      </c>
      <c r="R3225">
        <v>0.99338537173883201</v>
      </c>
      <c r="S3225" t="s">
        <v>10031</v>
      </c>
      <c r="T3225" t="s">
        <v>13610</v>
      </c>
      <c r="U3225" t="s">
        <v>13610</v>
      </c>
      <c r="V3225" t="s">
        <v>13610</v>
      </c>
      <c r="W3225" t="s">
        <v>16781</v>
      </c>
      <c r="X3225">
        <v>14</v>
      </c>
      <c r="Y3225" t="s">
        <v>23412</v>
      </c>
      <c r="Z3225" t="s">
        <v>30080</v>
      </c>
      <c r="AA3225">
        <v>0.25301388827856319</v>
      </c>
      <c r="AB3225" t="str">
        <f>HYPERLINK("Melting_Curves/meltCurve_Q13347_EIF3I.pdf", "Melting_Curves/meltCurve_Q13347_EIF3I.pdf")</f>
        <v>Melting_Curves/meltCurve_Q13347_EIF3I.pdf</v>
      </c>
    </row>
    <row r="3226" spans="1:28" x14ac:dyDescent="0.25">
      <c r="A3226" t="s">
        <v>3230</v>
      </c>
      <c r="B3226">
        <v>0.995954080203443</v>
      </c>
      <c r="C3226">
        <v>0.99091140243456499</v>
      </c>
      <c r="D3226">
        <v>0.88268320205881701</v>
      </c>
      <c r="E3226">
        <v>0.79440291813244601</v>
      </c>
      <c r="F3226">
        <v>0.75543608530075501</v>
      </c>
      <c r="G3226">
        <v>0.53405786069315797</v>
      </c>
      <c r="H3226">
        <v>0.50292303969846797</v>
      </c>
      <c r="I3226">
        <v>0.53990844560921003</v>
      </c>
      <c r="J3226">
        <v>0.69990265178686595</v>
      </c>
      <c r="K3226">
        <v>0.62690055200065598</v>
      </c>
      <c r="L3226">
        <v>920.22033121684694</v>
      </c>
      <c r="M3226">
        <v>18.446338639121599</v>
      </c>
      <c r="O3226">
        <v>49.311133226970298</v>
      </c>
      <c r="P3226">
        <v>-3.9320121943176398E-2</v>
      </c>
      <c r="Q3226">
        <v>0.57957332848973597</v>
      </c>
      <c r="R3226">
        <v>0.86841158720297096</v>
      </c>
      <c r="S3226" t="s">
        <v>10032</v>
      </c>
      <c r="T3226" t="s">
        <v>13610</v>
      </c>
      <c r="U3226" t="s">
        <v>13610</v>
      </c>
      <c r="V3226" t="s">
        <v>13610</v>
      </c>
      <c r="W3226" t="s">
        <v>16782</v>
      </c>
      <c r="X3226">
        <v>3</v>
      </c>
      <c r="Y3226" t="s">
        <v>23413</v>
      </c>
      <c r="Z3226" t="s">
        <v>30081</v>
      </c>
      <c r="AA3226">
        <v>0.72497404529680187</v>
      </c>
      <c r="AB3226" t="str">
        <f>HYPERLINK("Melting_Curves/meltCurve_Q13351_KLF1.pdf", "Melting_Curves/meltCurve_Q13351_KLF1.pdf")</f>
        <v>Melting_Curves/meltCurve_Q13351_KLF1.pdf</v>
      </c>
    </row>
    <row r="3227" spans="1:28" x14ac:dyDescent="0.25">
      <c r="A3227" t="s">
        <v>3231</v>
      </c>
      <c r="B3227">
        <v>0.995954080203443</v>
      </c>
      <c r="C3227">
        <v>1.0413950952794999</v>
      </c>
      <c r="D3227">
        <v>1.07313770257387</v>
      </c>
      <c r="E3227">
        <v>0.80082225843074895</v>
      </c>
      <c r="F3227">
        <v>0.41671049756936301</v>
      </c>
      <c r="G3227">
        <v>0.16541678729551901</v>
      </c>
      <c r="H3227">
        <v>0.119851466237065</v>
      </c>
      <c r="I3227">
        <v>0.119118537271885</v>
      </c>
      <c r="J3227">
        <v>0.127076475197308</v>
      </c>
      <c r="K3227">
        <v>0.131341520578827</v>
      </c>
      <c r="L3227">
        <v>1804.6826422234799</v>
      </c>
      <c r="M3227">
        <v>34.772812016682501</v>
      </c>
      <c r="N3227">
        <v>52.328880403906197</v>
      </c>
      <c r="O3227">
        <v>51.728484432653197</v>
      </c>
      <c r="P3227">
        <v>-0.147185979914251</v>
      </c>
      <c r="Q3227">
        <v>0.12417991755289701</v>
      </c>
      <c r="R3227">
        <v>0.994430127837026</v>
      </c>
      <c r="S3227" t="s">
        <v>10033</v>
      </c>
      <c r="T3227" t="s">
        <v>13610</v>
      </c>
      <c r="U3227" t="s">
        <v>13610</v>
      </c>
      <c r="V3227" t="s">
        <v>13610</v>
      </c>
      <c r="W3227" t="s">
        <v>16783</v>
      </c>
      <c r="X3227">
        <v>25</v>
      </c>
      <c r="Y3227" t="s">
        <v>23414</v>
      </c>
      <c r="Z3227" t="s">
        <v>30082</v>
      </c>
      <c r="AA3227">
        <v>0.47572735041288</v>
      </c>
      <c r="AB3227" t="str">
        <f>HYPERLINK("Melting_Curves/meltCurve_Q13356_PPIL2.pdf", "Melting_Curves/meltCurve_Q13356_PPIL2.pdf")</f>
        <v>Melting_Curves/meltCurve_Q13356_PPIL2.pdf</v>
      </c>
    </row>
    <row r="3228" spans="1:28" x14ac:dyDescent="0.25">
      <c r="A3228" t="s">
        <v>3232</v>
      </c>
      <c r="B3228">
        <v>0.995954080203443</v>
      </c>
      <c r="C3228">
        <v>0.77708256805824705</v>
      </c>
      <c r="D3228">
        <v>0.91116779712930895</v>
      </c>
      <c r="E3228">
        <v>0.61473632236254006</v>
      </c>
      <c r="F3228">
        <v>0.46321227679994897</v>
      </c>
      <c r="G3228">
        <v>0.22214993770834701</v>
      </c>
      <c r="H3228">
        <v>9.2664586952902597E-2</v>
      </c>
      <c r="I3228">
        <v>7.6722864810619198E-2</v>
      </c>
      <c r="J3228">
        <v>6.07215818620324E-2</v>
      </c>
      <c r="K3228">
        <v>8.6071191463489696E-2</v>
      </c>
      <c r="L3228">
        <v>666.45193632917596</v>
      </c>
      <c r="M3228">
        <v>12.862909224757299</v>
      </c>
      <c r="N3228">
        <v>51.881721942292899</v>
      </c>
      <c r="O3228">
        <v>50.607555403312702</v>
      </c>
      <c r="P3228">
        <v>-6.3008883956633496E-2</v>
      </c>
      <c r="Q3228">
        <v>8.5792951556103395E-3</v>
      </c>
      <c r="R3228">
        <v>0.97099456635412096</v>
      </c>
      <c r="S3228" t="s">
        <v>10034</v>
      </c>
      <c r="T3228" t="s">
        <v>13610</v>
      </c>
      <c r="U3228" t="s">
        <v>13610</v>
      </c>
      <c r="V3228" t="s">
        <v>13610</v>
      </c>
      <c r="W3228" t="s">
        <v>16784</v>
      </c>
      <c r="X3228">
        <v>16</v>
      </c>
      <c r="Y3228" t="s">
        <v>23415</v>
      </c>
      <c r="Z3228" t="s">
        <v>30083</v>
      </c>
      <c r="AA3228">
        <v>0.42690282494150761</v>
      </c>
      <c r="AB3228" t="str">
        <f>HYPERLINK("Melting_Curves/meltCurve_Q13362_3_PPP2R5C.pdf", "Melting_Curves/meltCurve_Q13362_3_PPP2R5C.pdf")</f>
        <v>Melting_Curves/meltCurve_Q13362_3_PPP2R5C.pdf</v>
      </c>
    </row>
    <row r="3229" spans="1:28" x14ac:dyDescent="0.25">
      <c r="A3229" t="s">
        <v>3233</v>
      </c>
      <c r="B3229">
        <v>0.995954080203443</v>
      </c>
      <c r="C3229">
        <v>0.89387197981803101</v>
      </c>
      <c r="D3229">
        <v>0.75014067747926005</v>
      </c>
      <c r="E3229">
        <v>0.49255183848247303</v>
      </c>
      <c r="F3229">
        <v>0.316151578379056</v>
      </c>
      <c r="G3229">
        <v>0.214254663104574</v>
      </c>
      <c r="H3229">
        <v>0.187669933150131</v>
      </c>
      <c r="I3229">
        <v>0.214585838465784</v>
      </c>
      <c r="J3229">
        <v>0.25452985295532099</v>
      </c>
      <c r="K3229">
        <v>0.23050402324135599</v>
      </c>
      <c r="L3229">
        <v>878.37106769273998</v>
      </c>
      <c r="M3229">
        <v>18.301482714710801</v>
      </c>
      <c r="N3229">
        <v>49.443876003983902</v>
      </c>
      <c r="O3229">
        <v>47.432541825227197</v>
      </c>
      <c r="P3229">
        <v>-7.6439404269260394E-2</v>
      </c>
      <c r="Q3229">
        <v>0.20759514596015199</v>
      </c>
      <c r="R3229">
        <v>0.99251420115743405</v>
      </c>
      <c r="S3229" t="s">
        <v>10035</v>
      </c>
      <c r="T3229" t="s">
        <v>13610</v>
      </c>
      <c r="U3229" t="s">
        <v>13610</v>
      </c>
      <c r="V3229" t="s">
        <v>13610</v>
      </c>
      <c r="W3229" t="s">
        <v>16785</v>
      </c>
      <c r="X3229">
        <v>18</v>
      </c>
      <c r="Y3229" t="s">
        <v>23415</v>
      </c>
      <c r="Z3229" t="s">
        <v>30084</v>
      </c>
      <c r="AA3229">
        <v>0.43233995966591088</v>
      </c>
      <c r="AB3229" t="str">
        <f>HYPERLINK("Melting_Curves/meltCurve_Q13362_4_PPP2R5C.pdf", "Melting_Curves/meltCurve_Q13362_4_PPP2R5C.pdf")</f>
        <v>Melting_Curves/meltCurve_Q13362_4_PPP2R5C.pdf</v>
      </c>
    </row>
    <row r="3230" spans="1:28" x14ac:dyDescent="0.25">
      <c r="A3230" t="s">
        <v>3234</v>
      </c>
      <c r="B3230">
        <v>0.995954080203443</v>
      </c>
      <c r="C3230">
        <v>1.0049540805422299</v>
      </c>
      <c r="D3230">
        <v>0.89394564285809497</v>
      </c>
      <c r="E3230">
        <v>0.81138073773116504</v>
      </c>
      <c r="F3230">
        <v>0.55654573332174395</v>
      </c>
      <c r="G3230">
        <v>0.39746772658632901</v>
      </c>
      <c r="H3230">
        <v>0.24652127888202299</v>
      </c>
      <c r="I3230">
        <v>0.20481008704179701</v>
      </c>
      <c r="J3230">
        <v>0.154087571134712</v>
      </c>
      <c r="K3230">
        <v>0.10359571113235901</v>
      </c>
      <c r="L3230">
        <v>734.40852251463002</v>
      </c>
      <c r="M3230">
        <v>13.6075809971666</v>
      </c>
      <c r="N3230">
        <v>54.749534515077301</v>
      </c>
      <c r="O3230">
        <v>52.8449631597489</v>
      </c>
      <c r="P3230">
        <v>-5.8717791271515198E-2</v>
      </c>
      <c r="Q3230">
        <v>8.8013934726623499E-2</v>
      </c>
      <c r="R3230">
        <v>0.99442518457237306</v>
      </c>
      <c r="S3230" t="s">
        <v>10036</v>
      </c>
      <c r="T3230" t="s">
        <v>13610</v>
      </c>
      <c r="U3230" t="s">
        <v>13610</v>
      </c>
      <c r="V3230" t="s">
        <v>13610</v>
      </c>
      <c r="W3230" t="s">
        <v>16786</v>
      </c>
      <c r="X3230">
        <v>17</v>
      </c>
      <c r="Y3230" t="s">
        <v>23416</v>
      </c>
      <c r="Z3230" t="s">
        <v>30085</v>
      </c>
      <c r="AA3230">
        <v>0.53372805032598458</v>
      </c>
      <c r="AB3230" t="str">
        <f>HYPERLINK("Melting_Curves/meltCurve_Q13363_2_CTBP1.pdf", "Melting_Curves/meltCurve_Q13363_2_CTBP1.pdf")</f>
        <v>Melting_Curves/meltCurve_Q13363_2_CTBP1.pdf</v>
      </c>
    </row>
    <row r="3231" spans="1:28" x14ac:dyDescent="0.25">
      <c r="A3231" t="s">
        <v>3235</v>
      </c>
      <c r="B3231">
        <v>0.995954080203443</v>
      </c>
      <c r="C3231">
        <v>0.74564970545424503</v>
      </c>
      <c r="D3231">
        <v>0.60665945041988001</v>
      </c>
      <c r="E3231">
        <v>0.83873706317598795</v>
      </c>
      <c r="F3231">
        <v>0.60712650153807002</v>
      </c>
      <c r="G3231">
        <v>0.354889704302979</v>
      </c>
      <c r="H3231">
        <v>0.26556582580431398</v>
      </c>
      <c r="I3231">
        <v>0.25759916512046299</v>
      </c>
      <c r="J3231">
        <v>0.36524818891460198</v>
      </c>
      <c r="K3231">
        <v>0.31034159103952402</v>
      </c>
      <c r="L3231">
        <v>369.79106180756497</v>
      </c>
      <c r="M3231">
        <v>7.1437556357001197</v>
      </c>
      <c r="N3231">
        <v>54.470868524179103</v>
      </c>
      <c r="O3231">
        <v>48.168198927806799</v>
      </c>
      <c r="P3231">
        <v>-3.1591978852510097E-2</v>
      </c>
      <c r="Q3231">
        <v>0.14940266320315801</v>
      </c>
      <c r="R3231">
        <v>0.81186691532031896</v>
      </c>
      <c r="S3231" t="s">
        <v>10037</v>
      </c>
      <c r="T3231" t="s">
        <v>13610</v>
      </c>
      <c r="U3231" t="s">
        <v>13610</v>
      </c>
      <c r="V3231" t="s">
        <v>13610</v>
      </c>
      <c r="W3231" t="s">
        <v>16787</v>
      </c>
      <c r="X3231">
        <v>6</v>
      </c>
      <c r="Y3231" t="s">
        <v>23417</v>
      </c>
      <c r="Z3231" t="s">
        <v>30086</v>
      </c>
      <c r="AA3231">
        <v>0.52843014362975416</v>
      </c>
      <c r="AB3231" t="str">
        <f>HYPERLINK("Melting_Curves/meltCurve_Q13371_PDCL.pdf", "Melting_Curves/meltCurve_Q13371_PDCL.pdf")</f>
        <v>Melting_Curves/meltCurve_Q13371_PDCL.pdf</v>
      </c>
    </row>
    <row r="3232" spans="1:28" x14ac:dyDescent="0.25">
      <c r="A3232" t="s">
        <v>3236</v>
      </c>
      <c r="B3232">
        <v>0.995954080203443</v>
      </c>
      <c r="C3232">
        <v>0.80067218709027199</v>
      </c>
      <c r="D3232">
        <v>0.66609381250945299</v>
      </c>
      <c r="E3232">
        <v>0.747826715518214</v>
      </c>
      <c r="F3232">
        <v>0.37664429791936499</v>
      </c>
      <c r="G3232">
        <v>0.158531605630367</v>
      </c>
      <c r="H3232">
        <v>9.8064810724756493E-2</v>
      </c>
      <c r="I3232">
        <v>8.3731725850287403E-2</v>
      </c>
      <c r="J3232">
        <v>0.102642791820718</v>
      </c>
      <c r="K3232">
        <v>8.5670392137228601E-2</v>
      </c>
      <c r="L3232">
        <v>553.64317065739601</v>
      </c>
      <c r="M3232">
        <v>10.857518967916</v>
      </c>
      <c r="N3232">
        <v>50.991658508136602</v>
      </c>
      <c r="O3232">
        <v>49.353372126675602</v>
      </c>
      <c r="P3232">
        <v>-5.50183927167089E-2</v>
      </c>
      <c r="Q3232">
        <v>0</v>
      </c>
      <c r="R3232">
        <v>0.93990706666111301</v>
      </c>
      <c r="S3232" t="s">
        <v>10038</v>
      </c>
      <c r="T3232" t="s">
        <v>13610</v>
      </c>
      <c r="U3232" t="s">
        <v>13610</v>
      </c>
      <c r="V3232" t="s">
        <v>13610</v>
      </c>
      <c r="W3232" t="s">
        <v>16788</v>
      </c>
      <c r="X3232">
        <v>9</v>
      </c>
      <c r="Y3232" t="s">
        <v>23418</v>
      </c>
      <c r="Z3232" t="s">
        <v>30087</v>
      </c>
      <c r="AA3232">
        <v>0.40384722944549939</v>
      </c>
      <c r="AB3232" t="str">
        <f>HYPERLINK("Melting_Curves/meltCurve_Q13395_TARBP1.pdf", "Melting_Curves/meltCurve_Q13395_TARBP1.pdf")</f>
        <v>Melting_Curves/meltCurve_Q13395_TARBP1.pdf</v>
      </c>
    </row>
    <row r="3233" spans="1:28" x14ac:dyDescent="0.25">
      <c r="A3233" t="s">
        <v>3237</v>
      </c>
      <c r="B3233">
        <v>0.995954080203443</v>
      </c>
      <c r="C3233">
        <v>0.98135484475843704</v>
      </c>
      <c r="D3233">
        <v>1.07417873501029</v>
      </c>
      <c r="E3233">
        <v>0.85589264696632805</v>
      </c>
      <c r="F3233">
        <v>1.04572707378579</v>
      </c>
      <c r="G3233">
        <v>0.77860258987953201</v>
      </c>
      <c r="H3233">
        <v>0.30852512002335702</v>
      </c>
      <c r="I3233">
        <v>9.3430099068351397E-2</v>
      </c>
      <c r="J3233">
        <v>5.8618960927258199E-2</v>
      </c>
      <c r="K3233">
        <v>6.9076510004026898E-2</v>
      </c>
      <c r="L3233">
        <v>2034.5437172736499</v>
      </c>
      <c r="M3233">
        <v>34.413054435707302</v>
      </c>
      <c r="N3233">
        <v>59.297946463265397</v>
      </c>
      <c r="O3233">
        <v>58.922706323448402</v>
      </c>
      <c r="P3233">
        <v>-0.13889571367456099</v>
      </c>
      <c r="Q3233">
        <v>4.8723784690419103E-2</v>
      </c>
      <c r="R3233">
        <v>0.98196608368232097</v>
      </c>
      <c r="S3233" t="s">
        <v>10039</v>
      </c>
      <c r="T3233" t="s">
        <v>13610</v>
      </c>
      <c r="U3233" t="s">
        <v>13610</v>
      </c>
      <c r="V3233" t="s">
        <v>13610</v>
      </c>
      <c r="W3233" t="s">
        <v>16789</v>
      </c>
      <c r="X3233">
        <v>12</v>
      </c>
      <c r="Y3233" t="s">
        <v>23419</v>
      </c>
      <c r="Z3233" t="s">
        <v>30088</v>
      </c>
      <c r="AA3233">
        <v>0.65992424453440657</v>
      </c>
      <c r="AB3233" t="str">
        <f>HYPERLINK("Melting_Curves/meltCurve_Q13404_UBE2V1.pdf", "Melting_Curves/meltCurve_Q13404_UBE2V1.pdf")</f>
        <v>Melting_Curves/meltCurve_Q13404_UBE2V1.pdf</v>
      </c>
    </row>
    <row r="3234" spans="1:28" x14ac:dyDescent="0.25">
      <c r="A3234" t="s">
        <v>3238</v>
      </c>
      <c r="B3234">
        <v>0.995954080203443</v>
      </c>
      <c r="C3234">
        <v>0.74943885965023804</v>
      </c>
      <c r="D3234">
        <v>0.70951077388675099</v>
      </c>
      <c r="E3234">
        <v>0.733099728224609</v>
      </c>
      <c r="F3234">
        <v>0.82137933457027501</v>
      </c>
      <c r="G3234">
        <v>0.55272693983995302</v>
      </c>
      <c r="H3234">
        <v>0.306845793392577</v>
      </c>
      <c r="I3234">
        <v>0.28347053431167302</v>
      </c>
      <c r="J3234">
        <v>0.34796571959901801</v>
      </c>
      <c r="K3234">
        <v>0.32176661260499101</v>
      </c>
      <c r="L3234">
        <v>320.71060354693299</v>
      </c>
      <c r="M3234">
        <v>5.53931309148608</v>
      </c>
      <c r="N3234">
        <v>57.897179352126102</v>
      </c>
      <c r="O3234">
        <v>51.665072905210799</v>
      </c>
      <c r="P3234">
        <v>-2.69191101914476E-2</v>
      </c>
      <c r="Q3234">
        <v>0</v>
      </c>
      <c r="R3234">
        <v>0.835278657478987</v>
      </c>
      <c r="S3234" t="s">
        <v>10040</v>
      </c>
      <c r="T3234" t="s">
        <v>13610</v>
      </c>
      <c r="U3234" t="s">
        <v>13610</v>
      </c>
      <c r="V3234" t="s">
        <v>13610</v>
      </c>
      <c r="W3234" t="s">
        <v>16790</v>
      </c>
      <c r="X3234">
        <v>18</v>
      </c>
      <c r="Y3234" t="s">
        <v>23420</v>
      </c>
      <c r="Z3234" t="s">
        <v>30089</v>
      </c>
      <c r="AA3234">
        <v>0.58544974045599196</v>
      </c>
      <c r="AB3234" t="str">
        <f>HYPERLINK("Melting_Curves/meltCurve_Q13409_6_DYNC1I2.pdf", "Melting_Curves/meltCurve_Q13409_6_DYNC1I2.pdf")</f>
        <v>Melting_Curves/meltCurve_Q13409_6_DYNC1I2.pdf</v>
      </c>
    </row>
    <row r="3235" spans="1:28" x14ac:dyDescent="0.25">
      <c r="A3235" t="s">
        <v>3239</v>
      </c>
      <c r="B3235">
        <v>0.995954080203443</v>
      </c>
      <c r="C3235">
        <v>0.92460293560377205</v>
      </c>
      <c r="D3235">
        <v>1.1720503849547801</v>
      </c>
      <c r="E3235">
        <v>0.92610218557702495</v>
      </c>
      <c r="F3235">
        <v>1.1447604727852401</v>
      </c>
      <c r="G3235">
        <v>1.0016131997211899</v>
      </c>
      <c r="H3235">
        <v>1.02096548971583</v>
      </c>
      <c r="I3235">
        <v>1.30034714982294</v>
      </c>
      <c r="J3235">
        <v>1.5022597475314701</v>
      </c>
      <c r="K3235">
        <v>1.5599969904942601</v>
      </c>
      <c r="L3235">
        <v>5287.8065578388196</v>
      </c>
      <c r="M3235">
        <v>83.044229413935</v>
      </c>
      <c r="O3235">
        <v>63.637686576123102</v>
      </c>
      <c r="P3235">
        <v>0.163119225113703</v>
      </c>
      <c r="Q3235">
        <v>1.5</v>
      </c>
      <c r="R3235">
        <v>0.86302463832516196</v>
      </c>
      <c r="S3235" t="s">
        <v>10041</v>
      </c>
      <c r="T3235" t="s">
        <v>13610</v>
      </c>
      <c r="U3235" t="s">
        <v>13610</v>
      </c>
      <c r="V3235" t="s">
        <v>13610</v>
      </c>
      <c r="W3235" t="s">
        <v>16791</v>
      </c>
      <c r="X3235">
        <v>3</v>
      </c>
      <c r="Y3235" t="s">
        <v>23421</v>
      </c>
      <c r="Z3235" t="s">
        <v>30090</v>
      </c>
      <c r="AA3235">
        <v>1.104925100042407</v>
      </c>
      <c r="AB3235" t="str">
        <f>HYPERLINK("Melting_Curves/meltCurve_Q13415_ORC1.pdf", "Melting_Curves/meltCurve_Q13415_ORC1.pdf")</f>
        <v>Melting_Curves/meltCurve_Q13415_ORC1.pdf</v>
      </c>
    </row>
    <row r="3236" spans="1:28" x14ac:dyDescent="0.25">
      <c r="A3236" t="s">
        <v>3240</v>
      </c>
      <c r="B3236">
        <v>0.995954080203443</v>
      </c>
      <c r="C3236">
        <v>0.97685012316867803</v>
      </c>
      <c r="D3236">
        <v>0.98025912603226195</v>
      </c>
      <c r="E3236">
        <v>0.87894004641385404</v>
      </c>
      <c r="F3236">
        <v>0.85415164279508704</v>
      </c>
      <c r="G3236">
        <v>0.70060510519560304</v>
      </c>
      <c r="H3236">
        <v>0.67263328268784395</v>
      </c>
      <c r="I3236">
        <v>0.76256386681855604</v>
      </c>
      <c r="J3236">
        <v>0.96409215252687497</v>
      </c>
      <c r="K3236">
        <v>0.99672961849707697</v>
      </c>
      <c r="L3236">
        <v>1759.5960689594599</v>
      </c>
      <c r="M3236">
        <v>35.982578563738997</v>
      </c>
      <c r="O3236">
        <v>48.751030974435203</v>
      </c>
      <c r="P3236">
        <v>-3.26342170634564E-2</v>
      </c>
      <c r="Q3236">
        <v>0.82314255973367401</v>
      </c>
      <c r="R3236">
        <v>0.35344253973845402</v>
      </c>
      <c r="S3236" t="s">
        <v>10042</v>
      </c>
      <c r="T3236" t="s">
        <v>13610</v>
      </c>
      <c r="U3236" t="s">
        <v>13610</v>
      </c>
      <c r="V3236" t="s">
        <v>13610</v>
      </c>
      <c r="W3236" t="s">
        <v>16792</v>
      </c>
      <c r="X3236">
        <v>14</v>
      </c>
      <c r="Y3236" t="s">
        <v>23422</v>
      </c>
      <c r="Z3236" t="s">
        <v>30091</v>
      </c>
      <c r="AA3236">
        <v>0.8763600171309166</v>
      </c>
      <c r="AB3236" t="str">
        <f>HYPERLINK("Melting_Curves/meltCurve_Q13416_ORC2.pdf", "Melting_Curves/meltCurve_Q13416_ORC2.pdf")</f>
        <v>Melting_Curves/meltCurve_Q13416_ORC2.pdf</v>
      </c>
    </row>
    <row r="3237" spans="1:28" x14ac:dyDescent="0.25">
      <c r="A3237" t="s">
        <v>3241</v>
      </c>
      <c r="B3237">
        <v>0.995954080203443</v>
      </c>
      <c r="C3237">
        <v>0.82515909949353405</v>
      </c>
      <c r="D3237">
        <v>0.65808690463564901</v>
      </c>
      <c r="E3237">
        <v>0.37507588821104698</v>
      </c>
      <c r="F3237">
        <v>0.13442562676721101</v>
      </c>
      <c r="G3237">
        <v>7.9257048719686807E-2</v>
      </c>
      <c r="H3237">
        <v>5.2482094422817899E-2</v>
      </c>
      <c r="I3237">
        <v>5.2291584905694202E-2</v>
      </c>
      <c r="J3237">
        <v>5.1417826070165602E-2</v>
      </c>
      <c r="K3237">
        <v>4.2578121874204101E-2</v>
      </c>
      <c r="L3237">
        <v>793.97487719451703</v>
      </c>
      <c r="M3237">
        <v>16.6754179741108</v>
      </c>
      <c r="N3237">
        <v>47.799248891874598</v>
      </c>
      <c r="O3237">
        <v>46.944564886877302</v>
      </c>
      <c r="P3237">
        <v>-8.6023617502977295E-2</v>
      </c>
      <c r="Q3237">
        <v>3.1371466119513497E-2</v>
      </c>
      <c r="R3237">
        <v>0.99394577417889696</v>
      </c>
      <c r="S3237" t="s">
        <v>10043</v>
      </c>
      <c r="T3237" t="s">
        <v>13610</v>
      </c>
      <c r="U3237" t="s">
        <v>13610</v>
      </c>
      <c r="V3237" t="s">
        <v>13610</v>
      </c>
      <c r="W3237" t="s">
        <v>16793</v>
      </c>
      <c r="X3237">
        <v>18</v>
      </c>
      <c r="Y3237" t="s">
        <v>23423</v>
      </c>
      <c r="Z3237" t="s">
        <v>30092</v>
      </c>
      <c r="AA3237">
        <v>0.29764248962436851</v>
      </c>
      <c r="AB3237" t="str">
        <f>HYPERLINK("Melting_Curves/meltCurve_Q13418_ILK.pdf", "Melting_Curves/meltCurve_Q13418_ILK.pdf")</f>
        <v>Melting_Curves/meltCurve_Q13418_ILK.pdf</v>
      </c>
    </row>
    <row r="3238" spans="1:28" x14ac:dyDescent="0.25">
      <c r="A3238" t="s">
        <v>3242</v>
      </c>
      <c r="B3238">
        <v>0.995954080203443</v>
      </c>
      <c r="C3238">
        <v>0.95830355949401902</v>
      </c>
      <c r="D3238">
        <v>0.93269695512135098</v>
      </c>
      <c r="E3238">
        <v>0.91533987497575597</v>
      </c>
      <c r="F3238">
        <v>0.83125607440016203</v>
      </c>
      <c r="G3238">
        <v>0.57040961700450399</v>
      </c>
      <c r="H3238">
        <v>0.49537947222405898</v>
      </c>
      <c r="I3238">
        <v>0.55301832493283598</v>
      </c>
      <c r="J3238">
        <v>0.57191892865362903</v>
      </c>
      <c r="K3238">
        <v>0.61632444744650905</v>
      </c>
      <c r="L3238">
        <v>1867.7264917203399</v>
      </c>
      <c r="M3238">
        <v>35.003281544525301</v>
      </c>
      <c r="O3238">
        <v>53.185366460352498</v>
      </c>
      <c r="P3238">
        <v>-7.3443664533929698E-2</v>
      </c>
      <c r="Q3238">
        <v>0.55362887943443495</v>
      </c>
      <c r="R3238">
        <v>0.94962382605578499</v>
      </c>
      <c r="S3238" t="s">
        <v>10044</v>
      </c>
      <c r="T3238" t="s">
        <v>13610</v>
      </c>
      <c r="U3238" t="s">
        <v>13610</v>
      </c>
      <c r="V3238" t="s">
        <v>13610</v>
      </c>
      <c r="W3238" t="s">
        <v>16794</v>
      </c>
      <c r="X3238">
        <v>7</v>
      </c>
      <c r="Y3238" t="s">
        <v>23424</v>
      </c>
      <c r="Z3238" t="s">
        <v>30093</v>
      </c>
      <c r="AA3238">
        <v>0.75453841109207653</v>
      </c>
      <c r="AB3238" t="str">
        <f>HYPERLINK("Melting_Curves/meltCurve_Q13422_2_IKZF1.pdf", "Melting_Curves/meltCurve_Q13422_2_IKZF1.pdf")</f>
        <v>Melting_Curves/meltCurve_Q13422_2_IKZF1.pdf</v>
      </c>
    </row>
    <row r="3239" spans="1:28" x14ac:dyDescent="0.25">
      <c r="A3239" t="s">
        <v>3243</v>
      </c>
      <c r="B3239">
        <v>0.995954080203443</v>
      </c>
      <c r="C3239">
        <v>1.02912300155468</v>
      </c>
      <c r="D3239">
        <v>0.95150422191283401</v>
      </c>
      <c r="E3239">
        <v>0.93648527833557804</v>
      </c>
      <c r="F3239">
        <v>0.89146233805785402</v>
      </c>
      <c r="G3239">
        <v>0.66760468044967702</v>
      </c>
      <c r="H3239">
        <v>0.66000733210169404</v>
      </c>
      <c r="I3239">
        <v>0.79398157217528798</v>
      </c>
      <c r="J3239">
        <v>0.82917297220543296</v>
      </c>
      <c r="K3239">
        <v>0.93920640061163296</v>
      </c>
      <c r="L3239">
        <v>2229.7077284602501</v>
      </c>
      <c r="M3239">
        <v>42.671438728818302</v>
      </c>
      <c r="O3239">
        <v>52.1385612672874</v>
      </c>
      <c r="P3239">
        <v>-4.4867246677720303E-2</v>
      </c>
      <c r="Q3239">
        <v>0.78071421859512502</v>
      </c>
      <c r="R3239">
        <v>0.58633497590699901</v>
      </c>
      <c r="S3239" t="s">
        <v>10045</v>
      </c>
      <c r="T3239" t="s">
        <v>13610</v>
      </c>
      <c r="U3239" t="s">
        <v>13610</v>
      </c>
      <c r="V3239" t="s">
        <v>13610</v>
      </c>
      <c r="W3239" t="s">
        <v>16795</v>
      </c>
      <c r="X3239">
        <v>8</v>
      </c>
      <c r="Y3239" t="s">
        <v>23424</v>
      </c>
      <c r="Z3239" t="s">
        <v>30094</v>
      </c>
      <c r="AA3239">
        <v>0.87097241722610452</v>
      </c>
      <c r="AB3239" t="str">
        <f>HYPERLINK("Melting_Curves/meltCurve_Q13422_7_IKZF1.pdf", "Melting_Curves/meltCurve_Q13422_7_IKZF1.pdf")</f>
        <v>Melting_Curves/meltCurve_Q13422_7_IKZF1.pdf</v>
      </c>
    </row>
    <row r="3240" spans="1:28" x14ac:dyDescent="0.25">
      <c r="A3240" t="s">
        <v>3244</v>
      </c>
      <c r="B3240">
        <v>0.995954080203443</v>
      </c>
      <c r="C3240">
        <v>0.67092333086266798</v>
      </c>
      <c r="D3240">
        <v>0.52382849067705795</v>
      </c>
      <c r="E3240">
        <v>0.59365216947210797</v>
      </c>
      <c r="F3240">
        <v>0.26643091505655803</v>
      </c>
      <c r="G3240">
        <v>0.14279670563503799</v>
      </c>
      <c r="H3240">
        <v>0.10706366117341699</v>
      </c>
      <c r="I3240">
        <v>7.0728828584441197E-2</v>
      </c>
      <c r="J3240">
        <v>8.8285675115247805E-2</v>
      </c>
      <c r="K3240">
        <v>7.2799853340366094E-2</v>
      </c>
      <c r="L3240">
        <v>454.340794500622</v>
      </c>
      <c r="M3240">
        <v>9.4060546592435799</v>
      </c>
      <c r="N3240">
        <v>48.303014845981799</v>
      </c>
      <c r="O3240">
        <v>46.2706631191041</v>
      </c>
      <c r="P3240">
        <v>-5.0852051591976297E-2</v>
      </c>
      <c r="Q3240">
        <v>0</v>
      </c>
      <c r="R3240">
        <v>0.92879848708608004</v>
      </c>
      <c r="S3240" t="s">
        <v>10046</v>
      </c>
      <c r="T3240" t="s">
        <v>13610</v>
      </c>
      <c r="U3240" t="s">
        <v>13610</v>
      </c>
      <c r="V3240" t="s">
        <v>13610</v>
      </c>
      <c r="W3240" t="s">
        <v>16796</v>
      </c>
      <c r="X3240">
        <v>1</v>
      </c>
      <c r="Y3240" t="s">
        <v>23425</v>
      </c>
      <c r="Z3240" t="s">
        <v>30095</v>
      </c>
      <c r="AA3240">
        <v>0.33342706223944618</v>
      </c>
      <c r="AB3240" t="str">
        <f>HYPERLINK("Melting_Curves/meltCurve_Q13423_NNT.pdf", "Melting_Curves/meltCurve_Q13423_NNT.pdf")</f>
        <v>Melting_Curves/meltCurve_Q13423_NNT.pdf</v>
      </c>
    </row>
    <row r="3241" spans="1:28" x14ac:dyDescent="0.25">
      <c r="A3241" t="s">
        <v>3245</v>
      </c>
      <c r="B3241">
        <v>0.995954080203443</v>
      </c>
      <c r="C3241">
        <v>0.92573352746867799</v>
      </c>
      <c r="D3241">
        <v>0.75737382990629998</v>
      </c>
      <c r="E3241">
        <v>0.58094501697387402</v>
      </c>
      <c r="F3241">
        <v>0.320071477669644</v>
      </c>
      <c r="G3241">
        <v>0.150784248079292</v>
      </c>
      <c r="H3241">
        <v>0.101249179139956</v>
      </c>
      <c r="I3241">
        <v>0.108097578518575</v>
      </c>
      <c r="J3241">
        <v>0.106074454364226</v>
      </c>
      <c r="K3241">
        <v>0.116176151992639</v>
      </c>
      <c r="L3241">
        <v>789.08603175485098</v>
      </c>
      <c r="M3241">
        <v>15.8546179003253</v>
      </c>
      <c r="N3241">
        <v>50.3109900232744</v>
      </c>
      <c r="O3241">
        <v>48.998496997696499</v>
      </c>
      <c r="P3241">
        <v>-7.4560859739913901E-2</v>
      </c>
      <c r="Q3241">
        <v>7.8357178075482398E-2</v>
      </c>
      <c r="R3241">
        <v>0.99268438302305495</v>
      </c>
      <c r="S3241" t="s">
        <v>10047</v>
      </c>
      <c r="T3241" t="s">
        <v>13610</v>
      </c>
      <c r="U3241" t="s">
        <v>13610</v>
      </c>
      <c r="V3241" t="s">
        <v>13610</v>
      </c>
      <c r="W3241" t="s">
        <v>16797</v>
      </c>
      <c r="X3241">
        <v>9</v>
      </c>
      <c r="Y3241" t="s">
        <v>23426</v>
      </c>
      <c r="Z3241" t="s">
        <v>30096</v>
      </c>
      <c r="AA3241">
        <v>0.39852907260415038</v>
      </c>
      <c r="AB3241" t="str">
        <f>HYPERLINK("Melting_Curves/meltCurve_Q13424_SNTA1.pdf", "Melting_Curves/meltCurve_Q13424_SNTA1.pdf")</f>
        <v>Melting_Curves/meltCurve_Q13424_SNTA1.pdf</v>
      </c>
    </row>
    <row r="3242" spans="1:28" x14ac:dyDescent="0.25">
      <c r="A3242" t="s">
        <v>3246</v>
      </c>
      <c r="B3242">
        <v>0.995954080203443</v>
      </c>
      <c r="C3242">
        <v>0.95808423473216098</v>
      </c>
      <c r="D3242">
        <v>0.81675051207183302</v>
      </c>
      <c r="E3242">
        <v>0.59867387605467304</v>
      </c>
      <c r="F3242">
        <v>0.31685770939899699</v>
      </c>
      <c r="G3242">
        <v>0.15448881716134599</v>
      </c>
      <c r="H3242">
        <v>8.7157630891458004E-2</v>
      </c>
      <c r="I3242">
        <v>6.9480762972624496E-2</v>
      </c>
      <c r="J3242">
        <v>7.12728793439419E-2</v>
      </c>
      <c r="K3242">
        <v>7.3831457044560594E-2</v>
      </c>
      <c r="L3242">
        <v>880.65300801001797</v>
      </c>
      <c r="M3242">
        <v>17.467800984374499</v>
      </c>
      <c r="N3242">
        <v>50.734617835733602</v>
      </c>
      <c r="O3242">
        <v>49.768961610694497</v>
      </c>
      <c r="P3242">
        <v>-8.3188086851878396E-2</v>
      </c>
      <c r="Q3242">
        <v>5.1980424832820997E-2</v>
      </c>
      <c r="R3242">
        <v>0.99748095340626597</v>
      </c>
      <c r="S3242" t="s">
        <v>10048</v>
      </c>
      <c r="T3242" t="s">
        <v>13610</v>
      </c>
      <c r="U3242" t="s">
        <v>13610</v>
      </c>
      <c r="V3242" t="s">
        <v>13610</v>
      </c>
      <c r="W3242" t="s">
        <v>16798</v>
      </c>
      <c r="X3242">
        <v>8</v>
      </c>
      <c r="Y3242" t="s">
        <v>23427</v>
      </c>
      <c r="Z3242" t="s">
        <v>30097</v>
      </c>
      <c r="AA3242">
        <v>0.3981277488664085</v>
      </c>
      <c r="AB3242" t="str">
        <f>HYPERLINK("Melting_Curves/meltCurve_Q13425_SNTB2.pdf", "Melting_Curves/meltCurve_Q13425_SNTB2.pdf")</f>
        <v>Melting_Curves/meltCurve_Q13425_SNTB2.pdf</v>
      </c>
    </row>
    <row r="3243" spans="1:28" x14ac:dyDescent="0.25">
      <c r="A3243" t="s">
        <v>3247</v>
      </c>
      <c r="B3243">
        <v>0.995954080203443</v>
      </c>
      <c r="C3243">
        <v>0.94569258585370297</v>
      </c>
      <c r="D3243">
        <v>1.0381256446557601</v>
      </c>
      <c r="E3243">
        <v>0.85879948209568702</v>
      </c>
      <c r="F3243">
        <v>0.92923434972617702</v>
      </c>
      <c r="G3243">
        <v>0.683758815832612</v>
      </c>
      <c r="H3243">
        <v>0.60439573214584896</v>
      </c>
      <c r="I3243">
        <v>0.68777659508377398</v>
      </c>
      <c r="J3243">
        <v>0.78703686614229396</v>
      </c>
      <c r="K3243">
        <v>0.65869830036842303</v>
      </c>
      <c r="L3243">
        <v>1454.4429502610401</v>
      </c>
      <c r="M3243">
        <v>27.2474281157413</v>
      </c>
      <c r="O3243">
        <v>53.094060829917296</v>
      </c>
      <c r="P3243">
        <v>-4.1388082379537797E-2</v>
      </c>
      <c r="Q3243">
        <v>0.67740954612383797</v>
      </c>
      <c r="R3243">
        <v>0.81318713171063794</v>
      </c>
      <c r="S3243" t="s">
        <v>10049</v>
      </c>
      <c r="T3243" t="s">
        <v>13610</v>
      </c>
      <c r="U3243" t="s">
        <v>13610</v>
      </c>
      <c r="V3243" t="s">
        <v>13610</v>
      </c>
      <c r="W3243" t="s">
        <v>16799</v>
      </c>
      <c r="X3243">
        <v>8</v>
      </c>
      <c r="Y3243" t="s">
        <v>23428</v>
      </c>
      <c r="Z3243" t="s">
        <v>30098</v>
      </c>
      <c r="AA3243">
        <v>0.82380685565220724</v>
      </c>
      <c r="AB3243" t="str">
        <f>HYPERLINK("Melting_Curves/meltCurve_Q13426_XRCC4.pdf", "Melting_Curves/meltCurve_Q13426_XRCC4.pdf")</f>
        <v>Melting_Curves/meltCurve_Q13426_XRCC4.pdf</v>
      </c>
    </row>
    <row r="3244" spans="1:28" x14ac:dyDescent="0.25">
      <c r="A3244" t="s">
        <v>3248</v>
      </c>
      <c r="B3244">
        <v>0.995954080203443</v>
      </c>
      <c r="C3244">
        <v>1.0512054693239901</v>
      </c>
      <c r="D3244">
        <v>1.0158420617706401</v>
      </c>
      <c r="E3244">
        <v>0.60964430889594401</v>
      </c>
      <c r="F3244">
        <v>0.36205393014147302</v>
      </c>
      <c r="G3244">
        <v>0.26328784057432397</v>
      </c>
      <c r="H3244">
        <v>0.27630884177272202</v>
      </c>
      <c r="I3244">
        <v>0.36505569679918498</v>
      </c>
      <c r="J3244">
        <v>0.434980610908973</v>
      </c>
      <c r="K3244">
        <v>0.429495761238403</v>
      </c>
      <c r="L3244">
        <v>4438.8175038619502</v>
      </c>
      <c r="M3244">
        <v>89.201652033308207</v>
      </c>
      <c r="N3244">
        <v>50.460788720490299</v>
      </c>
      <c r="O3244">
        <v>49.736609547693597</v>
      </c>
      <c r="P3244">
        <v>-0.28932330887143998</v>
      </c>
      <c r="Q3244">
        <v>0.35472226815083302</v>
      </c>
      <c r="R3244">
        <v>0.967707179073375</v>
      </c>
      <c r="S3244" t="s">
        <v>10050</v>
      </c>
      <c r="T3244" t="s">
        <v>13610</v>
      </c>
      <c r="U3244" t="s">
        <v>13610</v>
      </c>
      <c r="V3244" t="s">
        <v>13610</v>
      </c>
      <c r="W3244" t="s">
        <v>16800</v>
      </c>
      <c r="X3244">
        <v>16</v>
      </c>
      <c r="Y3244" t="s">
        <v>23429</v>
      </c>
      <c r="Z3244" t="s">
        <v>30099</v>
      </c>
      <c r="AA3244">
        <v>0.5651304887946732</v>
      </c>
      <c r="AB3244" t="str">
        <f>HYPERLINK("Melting_Curves/meltCurve_Q13427_PPIG.pdf", "Melting_Curves/meltCurve_Q13427_PPIG.pdf")</f>
        <v>Melting_Curves/meltCurve_Q13427_PPIG.pdf</v>
      </c>
    </row>
    <row r="3245" spans="1:28" x14ac:dyDescent="0.25">
      <c r="A3245" t="s">
        <v>3249</v>
      </c>
      <c r="B3245">
        <v>0.995954080203443</v>
      </c>
      <c r="C3245">
        <v>0.86261047593266305</v>
      </c>
      <c r="D3245">
        <v>1.06281711503849</v>
      </c>
      <c r="E3245">
        <v>0.76452430691562301</v>
      </c>
      <c r="F3245">
        <v>0.96671138280143598</v>
      </c>
      <c r="G3245">
        <v>0.83195734119896103</v>
      </c>
      <c r="H3245">
        <v>0.83660578143694098</v>
      </c>
      <c r="I3245">
        <v>1.06662165820814</v>
      </c>
      <c r="J3245">
        <v>1.17852693176636</v>
      </c>
      <c r="K3245">
        <v>1.1920800622160199</v>
      </c>
      <c r="L3245">
        <v>15000</v>
      </c>
      <c r="M3245">
        <v>233.79741309532</v>
      </c>
      <c r="O3245">
        <v>64.153414994065898</v>
      </c>
      <c r="P3245">
        <v>0.16883242532086101</v>
      </c>
      <c r="Q3245">
        <v>1.1853087505303599</v>
      </c>
      <c r="R3245">
        <v>0.33354742555973799</v>
      </c>
      <c r="S3245" t="s">
        <v>10051</v>
      </c>
      <c r="T3245" t="s">
        <v>13610</v>
      </c>
      <c r="U3245" t="s">
        <v>13610</v>
      </c>
      <c r="V3245" t="s">
        <v>13610</v>
      </c>
      <c r="W3245" t="s">
        <v>16801</v>
      </c>
      <c r="X3245">
        <v>46</v>
      </c>
      <c r="Y3245" t="s">
        <v>23430</v>
      </c>
      <c r="Z3245" t="s">
        <v>30100</v>
      </c>
      <c r="AA3245">
        <v>1.036061257052771</v>
      </c>
      <c r="AB3245" t="str">
        <f>HYPERLINK("Melting_Curves/meltCurve_Q13428_3_TCOF1.pdf", "Melting_Curves/meltCurve_Q13428_3_TCOF1.pdf")</f>
        <v>Melting_Curves/meltCurve_Q13428_3_TCOF1.pdf</v>
      </c>
    </row>
    <row r="3246" spans="1:28" x14ac:dyDescent="0.25">
      <c r="A3246" t="s">
        <v>3250</v>
      </c>
      <c r="B3246">
        <v>0.995954080203443</v>
      </c>
      <c r="C3246">
        <v>0.966047386377624</v>
      </c>
      <c r="D3246">
        <v>1.18910913784701</v>
      </c>
      <c r="E3246">
        <v>0.94211386183825896</v>
      </c>
      <c r="F3246">
        <v>1.06741651265518</v>
      </c>
      <c r="G3246">
        <v>0.86995481291545296</v>
      </c>
      <c r="H3246">
        <v>0.82669288422192599</v>
      </c>
      <c r="I3246">
        <v>1.1346015852004701</v>
      </c>
      <c r="J3246">
        <v>1.31405336311829</v>
      </c>
      <c r="K3246">
        <v>1.32637855905987</v>
      </c>
      <c r="L3246">
        <v>15000</v>
      </c>
      <c r="M3246">
        <v>234.053533262934</v>
      </c>
      <c r="O3246">
        <v>64.083223423647397</v>
      </c>
      <c r="P3246">
        <v>0.29239044368018202</v>
      </c>
      <c r="Q3246">
        <v>1.3202228453206599</v>
      </c>
      <c r="R3246">
        <v>0.66607105180010795</v>
      </c>
      <c r="S3246" t="s">
        <v>10052</v>
      </c>
      <c r="T3246" t="s">
        <v>13610</v>
      </c>
      <c r="U3246" t="s">
        <v>13610</v>
      </c>
      <c r="V3246" t="s">
        <v>13610</v>
      </c>
      <c r="W3246" t="s">
        <v>16802</v>
      </c>
      <c r="X3246">
        <v>47</v>
      </c>
      <c r="Y3246" t="s">
        <v>23430</v>
      </c>
      <c r="Z3246" t="s">
        <v>30101</v>
      </c>
      <c r="AA3246">
        <v>1.0630651976312331</v>
      </c>
      <c r="AB3246" t="str">
        <f>HYPERLINK("Melting_Curves/meltCurve_Q13428_4_TCOF1.pdf", "Melting_Curves/meltCurve_Q13428_4_TCOF1.pdf")</f>
        <v>Melting_Curves/meltCurve_Q13428_4_TCOF1.pdf</v>
      </c>
    </row>
    <row r="3247" spans="1:28" x14ac:dyDescent="0.25">
      <c r="A3247" t="s">
        <v>3251</v>
      </c>
      <c r="B3247">
        <v>0.995954080203443</v>
      </c>
      <c r="C3247">
        <v>0.98544436113997902</v>
      </c>
      <c r="D3247">
        <v>0.77955685882723202</v>
      </c>
      <c r="E3247">
        <v>0.50625740497192295</v>
      </c>
      <c r="F3247">
        <v>0.278099573984181</v>
      </c>
      <c r="G3247">
        <v>0.178091328973326</v>
      </c>
      <c r="H3247">
        <v>0.11828551239886199</v>
      </c>
      <c r="I3247">
        <v>0.10750093063503099</v>
      </c>
      <c r="J3247">
        <v>0.10656882560820601</v>
      </c>
      <c r="K3247">
        <v>9.3337807394222705E-2</v>
      </c>
      <c r="L3247">
        <v>908.928697281616</v>
      </c>
      <c r="M3247">
        <v>18.4378684412439</v>
      </c>
      <c r="N3247">
        <v>49.873178409288002</v>
      </c>
      <c r="O3247">
        <v>48.727931966027597</v>
      </c>
      <c r="P3247">
        <v>-8.5523404619111398E-2</v>
      </c>
      <c r="Q3247">
        <v>9.5949470374662602E-2</v>
      </c>
      <c r="R3247">
        <v>0.99742561011215203</v>
      </c>
      <c r="S3247" t="s">
        <v>10053</v>
      </c>
      <c r="T3247" t="s">
        <v>13610</v>
      </c>
      <c r="U3247" t="s">
        <v>13610</v>
      </c>
      <c r="V3247" t="s">
        <v>13610</v>
      </c>
      <c r="W3247" t="s">
        <v>16803</v>
      </c>
      <c r="X3247">
        <v>3</v>
      </c>
      <c r="Y3247" t="s">
        <v>23431</v>
      </c>
      <c r="Z3247" t="s">
        <v>30102</v>
      </c>
      <c r="AA3247">
        <v>0.39096599644399571</v>
      </c>
      <c r="AB3247" t="str">
        <f>HYPERLINK("Melting_Curves/meltCurve_Q13432_2_UNC119.pdf", "Melting_Curves/meltCurve_Q13432_2_UNC119.pdf")</f>
        <v>Melting_Curves/meltCurve_Q13432_2_UNC119.pdf</v>
      </c>
    </row>
    <row r="3248" spans="1:28" x14ac:dyDescent="0.25">
      <c r="A3248" t="s">
        <v>3252</v>
      </c>
      <c r="B3248">
        <v>0.995954080203443</v>
      </c>
      <c r="C3248">
        <v>0.853335724005862</v>
      </c>
      <c r="D3248">
        <v>0.811954912800814</v>
      </c>
      <c r="E3248">
        <v>0.82356191912656296</v>
      </c>
      <c r="F3248">
        <v>0.73613201864961397</v>
      </c>
      <c r="G3248">
        <v>0.56639732375739604</v>
      </c>
      <c r="H3248">
        <v>0.526291859581417</v>
      </c>
      <c r="I3248">
        <v>0.57624594163443399</v>
      </c>
      <c r="J3248">
        <v>0.79221612810932895</v>
      </c>
      <c r="K3248">
        <v>0.67380742347529099</v>
      </c>
      <c r="L3248">
        <v>579.71762958705904</v>
      </c>
      <c r="M3248">
        <v>12.4146896178818</v>
      </c>
      <c r="O3248">
        <v>45.534138290575498</v>
      </c>
      <c r="P3248">
        <v>-2.5392350018173099E-2</v>
      </c>
      <c r="Q3248">
        <v>0.62754622403589799</v>
      </c>
      <c r="R3248">
        <v>0.66543682094391798</v>
      </c>
      <c r="S3248" t="s">
        <v>10054</v>
      </c>
      <c r="T3248" t="s">
        <v>13610</v>
      </c>
      <c r="U3248" t="s">
        <v>13610</v>
      </c>
      <c r="V3248" t="s">
        <v>13610</v>
      </c>
      <c r="W3248" t="s">
        <v>16804</v>
      </c>
      <c r="X3248">
        <v>47</v>
      </c>
      <c r="Y3248" t="s">
        <v>20823</v>
      </c>
      <c r="Z3248" t="s">
        <v>30103</v>
      </c>
      <c r="AA3248">
        <v>0.72570174197434878</v>
      </c>
      <c r="AB3248" t="str">
        <f>HYPERLINK("Melting_Curves/meltCurve_Q13435_SF3B2.pdf", "Melting_Curves/meltCurve_Q13435_SF3B2.pdf")</f>
        <v>Melting_Curves/meltCurve_Q13435_SF3B2.pdf</v>
      </c>
    </row>
    <row r="3249" spans="1:28" x14ac:dyDescent="0.25">
      <c r="A3249" t="s">
        <v>3253</v>
      </c>
      <c r="B3249">
        <v>0.995954080203443</v>
      </c>
      <c r="C3249">
        <v>1.0189639217373501</v>
      </c>
      <c r="D3249">
        <v>1.0242537706747901</v>
      </c>
      <c r="E3249">
        <v>0.73525462617869597</v>
      </c>
      <c r="F3249">
        <v>0.48697630739242198</v>
      </c>
      <c r="G3249">
        <v>0.36124229737411601</v>
      </c>
      <c r="H3249">
        <v>0.26176442534448002</v>
      </c>
      <c r="I3249">
        <v>0.273210242013117</v>
      </c>
      <c r="J3249">
        <v>0.34021432786879002</v>
      </c>
      <c r="K3249">
        <v>0.356069968738909</v>
      </c>
      <c r="L3249">
        <v>1561.8395011304401</v>
      </c>
      <c r="M3249">
        <v>30.649824508164102</v>
      </c>
      <c r="N3249">
        <v>52.646280755962501</v>
      </c>
      <c r="O3249">
        <v>50.742087948452998</v>
      </c>
      <c r="P3249">
        <v>-0.103752558911073</v>
      </c>
      <c r="Q3249">
        <v>0.31293704418627999</v>
      </c>
      <c r="R3249">
        <v>0.98815744763810498</v>
      </c>
      <c r="S3249" t="s">
        <v>10055</v>
      </c>
      <c r="T3249" t="s">
        <v>13610</v>
      </c>
      <c r="U3249" t="s">
        <v>13610</v>
      </c>
      <c r="V3249" t="s">
        <v>13610</v>
      </c>
      <c r="W3249" t="s">
        <v>16805</v>
      </c>
      <c r="X3249">
        <v>64</v>
      </c>
      <c r="Y3249" t="s">
        <v>23432</v>
      </c>
      <c r="Z3249" t="s">
        <v>30104</v>
      </c>
      <c r="AA3249">
        <v>0.56802290288525747</v>
      </c>
      <c r="AB3249" t="str">
        <f>HYPERLINK("Melting_Curves/meltCurve_Q13439_3_GOLGA4.pdf", "Melting_Curves/meltCurve_Q13439_3_GOLGA4.pdf")</f>
        <v>Melting_Curves/meltCurve_Q13439_3_GOLGA4.pdf</v>
      </c>
    </row>
    <row r="3250" spans="1:28" x14ac:dyDescent="0.25">
      <c r="A3250" t="s">
        <v>3254</v>
      </c>
      <c r="B3250">
        <v>0.995954080203443</v>
      </c>
      <c r="C3250">
        <v>0.99200001912898705</v>
      </c>
      <c r="D3250">
        <v>1.0440277324979701</v>
      </c>
      <c r="E3250">
        <v>0.98607809591838003</v>
      </c>
      <c r="F3250">
        <v>1.09519614333235</v>
      </c>
      <c r="G3250">
        <v>0.97158980678240903</v>
      </c>
      <c r="H3250">
        <v>1.0995721723610199</v>
      </c>
      <c r="I3250">
        <v>1.5318617481749399</v>
      </c>
      <c r="J3250">
        <v>1.7023811627226999</v>
      </c>
      <c r="K3250">
        <v>1.8193593433772901</v>
      </c>
      <c r="L3250">
        <v>15000</v>
      </c>
      <c r="M3250">
        <v>244.51008794224799</v>
      </c>
      <c r="O3250">
        <v>61.343040357714898</v>
      </c>
      <c r="P3250">
        <v>0.49824319118307903</v>
      </c>
      <c r="Q3250">
        <v>1.5</v>
      </c>
      <c r="R3250">
        <v>0.83890907138052995</v>
      </c>
      <c r="S3250" t="s">
        <v>10056</v>
      </c>
      <c r="T3250" t="s">
        <v>13610</v>
      </c>
      <c r="U3250" t="s">
        <v>13610</v>
      </c>
      <c r="V3250" t="s">
        <v>13610</v>
      </c>
      <c r="W3250" t="s">
        <v>16806</v>
      </c>
      <c r="X3250">
        <v>12</v>
      </c>
      <c r="Y3250" t="s">
        <v>23433</v>
      </c>
      <c r="Z3250" t="s">
        <v>30105</v>
      </c>
      <c r="AA3250">
        <v>1.144157688312464</v>
      </c>
      <c r="AB3250" t="str">
        <f>HYPERLINK("Melting_Curves/meltCurve_Q13442_PDAP1.pdf", "Melting_Curves/meltCurve_Q13442_PDAP1.pdf")</f>
        <v>Melting_Curves/meltCurve_Q13442_PDAP1.pdf</v>
      </c>
    </row>
    <row r="3251" spans="1:28" x14ac:dyDescent="0.25">
      <c r="A3251" t="s">
        <v>3255</v>
      </c>
      <c r="B3251">
        <v>0.995954080203443</v>
      </c>
      <c r="C3251">
        <v>0.85033260135147304</v>
      </c>
      <c r="D3251">
        <v>0.51776124597464301</v>
      </c>
      <c r="E3251">
        <v>0.29407563058701103</v>
      </c>
      <c r="F3251">
        <v>0.18322601357328899</v>
      </c>
      <c r="G3251">
        <v>0.123983127652829</v>
      </c>
      <c r="H3251">
        <v>0.103717170535174</v>
      </c>
      <c r="I3251">
        <v>0.11294075695707</v>
      </c>
      <c r="J3251">
        <v>0.14447014743876899</v>
      </c>
      <c r="K3251">
        <v>0.12697403586228001</v>
      </c>
      <c r="L3251">
        <v>960.62224169321996</v>
      </c>
      <c r="M3251">
        <v>20.925786122018302</v>
      </c>
      <c r="N3251">
        <v>46.535115354833401</v>
      </c>
      <c r="O3251">
        <v>45.493081244853997</v>
      </c>
      <c r="P3251">
        <v>-0.100832433696203</v>
      </c>
      <c r="Q3251">
        <v>0.123176873498727</v>
      </c>
      <c r="R3251">
        <v>0.994532855762986</v>
      </c>
      <c r="S3251" t="s">
        <v>10057</v>
      </c>
      <c r="T3251" t="s">
        <v>13610</v>
      </c>
      <c r="U3251" t="s">
        <v>13610</v>
      </c>
      <c r="V3251" t="s">
        <v>13610</v>
      </c>
      <c r="W3251" t="s">
        <v>16807</v>
      </c>
      <c r="X3251">
        <v>44</v>
      </c>
      <c r="Y3251" t="s">
        <v>23434</v>
      </c>
      <c r="Z3251" t="s">
        <v>30106</v>
      </c>
      <c r="AA3251">
        <v>0.30809490453630678</v>
      </c>
      <c r="AB3251" t="str">
        <f>HYPERLINK("Melting_Curves/meltCurve_Q13451_FKBP5.pdf", "Melting_Curves/meltCurve_Q13451_FKBP5.pdf")</f>
        <v>Melting_Curves/meltCurve_Q13451_FKBP5.pdf</v>
      </c>
    </row>
    <row r="3252" spans="1:28" x14ac:dyDescent="0.25">
      <c r="A3252" t="s">
        <v>3256</v>
      </c>
      <c r="B3252">
        <v>0.995954080203443</v>
      </c>
      <c r="C3252">
        <v>0.95821776499091005</v>
      </c>
      <c r="D3252">
        <v>0.95108844840419604</v>
      </c>
      <c r="E3252">
        <v>0.77496236372691396</v>
      </c>
      <c r="F3252">
        <v>0.23189287302865799</v>
      </c>
      <c r="G3252">
        <v>0.13710915650175001</v>
      </c>
      <c r="H3252">
        <v>8.6762587243428196E-2</v>
      </c>
      <c r="I3252">
        <v>7.9931061183321495E-2</v>
      </c>
      <c r="J3252">
        <v>9.05855362755216E-2</v>
      </c>
      <c r="K3252">
        <v>8.3139474862113899E-2</v>
      </c>
      <c r="L3252">
        <v>2411.9043740832199</v>
      </c>
      <c r="M3252">
        <v>47.157624101152699</v>
      </c>
      <c r="N3252">
        <v>51.369544644079099</v>
      </c>
      <c r="O3252">
        <v>51.053863301721698</v>
      </c>
      <c r="P3252">
        <v>-0.209463884668525</v>
      </c>
      <c r="Q3252">
        <v>9.2920389780458704E-2</v>
      </c>
      <c r="R3252">
        <v>0.99655237999905699</v>
      </c>
      <c r="S3252" t="s">
        <v>10058</v>
      </c>
      <c r="T3252" t="s">
        <v>13610</v>
      </c>
      <c r="U3252" t="s">
        <v>13610</v>
      </c>
      <c r="V3252" t="s">
        <v>13610</v>
      </c>
      <c r="W3252" t="s">
        <v>16808</v>
      </c>
      <c r="X3252">
        <v>74</v>
      </c>
      <c r="Y3252" t="s">
        <v>23435</v>
      </c>
      <c r="Z3252" t="s">
        <v>30107</v>
      </c>
      <c r="AA3252">
        <v>0.43222021870064731</v>
      </c>
      <c r="AB3252" t="str">
        <f>HYPERLINK("Melting_Curves/meltCurve_Q13464_ROCK1.pdf", "Melting_Curves/meltCurve_Q13464_ROCK1.pdf")</f>
        <v>Melting_Curves/meltCurve_Q13464_ROCK1.pdf</v>
      </c>
    </row>
    <row r="3253" spans="1:28" x14ac:dyDescent="0.25">
      <c r="A3253" t="s">
        <v>3257</v>
      </c>
      <c r="B3253">
        <v>0.995954080203443</v>
      </c>
      <c r="C3253">
        <v>0.98726582844924404</v>
      </c>
      <c r="D3253">
        <v>0.90105694121294799</v>
      </c>
      <c r="E3253">
        <v>0.88918281857249604</v>
      </c>
      <c r="F3253">
        <v>0.74504980846187396</v>
      </c>
      <c r="G3253">
        <v>0.56274091295947404</v>
      </c>
      <c r="H3253">
        <v>0.55420717453751001</v>
      </c>
      <c r="I3253">
        <v>0.66724480230759597</v>
      </c>
      <c r="J3253">
        <v>0.55065437305922604</v>
      </c>
      <c r="K3253">
        <v>0.72436197638696298</v>
      </c>
      <c r="L3253">
        <v>1500.84560403873</v>
      </c>
      <c r="M3253">
        <v>29.215509553146301</v>
      </c>
      <c r="O3253">
        <v>51.132675709856997</v>
      </c>
      <c r="P3253">
        <v>-5.56312537156168E-2</v>
      </c>
      <c r="Q3253">
        <v>0.61054204570205195</v>
      </c>
      <c r="R3253">
        <v>0.87050679061604197</v>
      </c>
      <c r="S3253" t="s">
        <v>10059</v>
      </c>
      <c r="T3253" t="s">
        <v>13610</v>
      </c>
      <c r="U3253" t="s">
        <v>13610</v>
      </c>
      <c r="V3253" t="s">
        <v>13610</v>
      </c>
      <c r="W3253" t="s">
        <v>16809</v>
      </c>
      <c r="X3253">
        <v>10</v>
      </c>
      <c r="Y3253" t="s">
        <v>23436</v>
      </c>
      <c r="Z3253" t="s">
        <v>30108</v>
      </c>
      <c r="AA3253">
        <v>0.76076376953180402</v>
      </c>
      <c r="AB3253" t="str">
        <f>HYPERLINK("Melting_Curves/meltCurve_Q13469_NFATC2.pdf", "Melting_Curves/meltCurve_Q13469_NFATC2.pdf")</f>
        <v>Melting_Curves/meltCurve_Q13469_NFATC2.pdf</v>
      </c>
    </row>
    <row r="3254" spans="1:28" x14ac:dyDescent="0.25">
      <c r="A3254" t="s">
        <v>3258</v>
      </c>
      <c r="B3254">
        <v>0.995954080203443</v>
      </c>
      <c r="C3254">
        <v>0.935155113545727</v>
      </c>
      <c r="D3254">
        <v>1.0316723388211999</v>
      </c>
      <c r="E3254">
        <v>0.85520920503291797</v>
      </c>
      <c r="F3254">
        <v>0.872207667948105</v>
      </c>
      <c r="G3254">
        <v>0.40651800338098598</v>
      </c>
      <c r="H3254">
        <v>0.306907527810998</v>
      </c>
      <c r="I3254">
        <v>0.33583938638836103</v>
      </c>
      <c r="J3254">
        <v>0.41289297978246903</v>
      </c>
      <c r="K3254">
        <v>0.39924781613829702</v>
      </c>
      <c r="L3254">
        <v>2628.4221259035799</v>
      </c>
      <c r="M3254">
        <v>48.385428801940698</v>
      </c>
      <c r="N3254">
        <v>55.793730183522399</v>
      </c>
      <c r="O3254">
        <v>54.230068721126102</v>
      </c>
      <c r="P3254">
        <v>-0.142667946061143</v>
      </c>
      <c r="Q3254">
        <v>0.360395719913365</v>
      </c>
      <c r="R3254">
        <v>0.96137692565771304</v>
      </c>
      <c r="S3254" t="s">
        <v>10060</v>
      </c>
      <c r="T3254" t="s">
        <v>13610</v>
      </c>
      <c r="U3254" t="s">
        <v>13610</v>
      </c>
      <c r="V3254" t="s">
        <v>13610</v>
      </c>
      <c r="W3254" t="s">
        <v>16810</v>
      </c>
      <c r="X3254">
        <v>17</v>
      </c>
      <c r="Y3254" t="s">
        <v>23437</v>
      </c>
      <c r="Z3254" t="s">
        <v>30109</v>
      </c>
      <c r="AA3254">
        <v>0.66739192705390549</v>
      </c>
      <c r="AB3254" t="str">
        <f>HYPERLINK("Melting_Curves/meltCurve_Q13492_3_PICALM.pdf", "Melting_Curves/meltCurve_Q13492_3_PICALM.pdf")</f>
        <v>Melting_Curves/meltCurve_Q13492_3_PICALM.pdf</v>
      </c>
    </row>
    <row r="3255" spans="1:28" x14ac:dyDescent="0.25">
      <c r="A3255" t="s">
        <v>3259</v>
      </c>
      <c r="B3255">
        <v>0.995954080203443</v>
      </c>
      <c r="C3255">
        <v>0.95026130788973795</v>
      </c>
      <c r="D3255">
        <v>0.85862519370664003</v>
      </c>
      <c r="E3255">
        <v>0.80408341796328098</v>
      </c>
      <c r="F3255">
        <v>0.56537573060091595</v>
      </c>
      <c r="G3255">
        <v>0.41325230859228002</v>
      </c>
      <c r="H3255">
        <v>0.22699135367380299</v>
      </c>
      <c r="I3255">
        <v>0.105261251019461</v>
      </c>
      <c r="J3255">
        <v>0.112936997280876</v>
      </c>
      <c r="K3255">
        <v>0.102512559581466</v>
      </c>
      <c r="L3255">
        <v>652.31266032000701</v>
      </c>
      <c r="M3255">
        <v>11.934689180042801</v>
      </c>
      <c r="N3255">
        <v>54.724549701332201</v>
      </c>
      <c r="O3255">
        <v>53.190131596131202</v>
      </c>
      <c r="P3255">
        <v>-5.5697195623086802E-2</v>
      </c>
      <c r="Q3255">
        <v>7.32667706894109E-3</v>
      </c>
      <c r="R3255">
        <v>0.99185247602577598</v>
      </c>
      <c r="S3255" t="s">
        <v>10061</v>
      </c>
      <c r="T3255" t="s">
        <v>13610</v>
      </c>
      <c r="U3255" t="s">
        <v>13610</v>
      </c>
      <c r="V3255" t="s">
        <v>13610</v>
      </c>
      <c r="W3255" t="s">
        <v>16811</v>
      </c>
      <c r="X3255">
        <v>13</v>
      </c>
      <c r="Y3255" t="s">
        <v>23438</v>
      </c>
      <c r="Z3255" t="s">
        <v>30110</v>
      </c>
      <c r="AA3255">
        <v>0.51663957143437722</v>
      </c>
      <c r="AB3255" t="str">
        <f>HYPERLINK("Melting_Curves/meltCurve_Q13496_MTM1.pdf", "Melting_Curves/meltCurve_Q13496_MTM1.pdf")</f>
        <v>Melting_Curves/meltCurve_Q13496_MTM1.pdf</v>
      </c>
    </row>
    <row r="3256" spans="1:28" x14ac:dyDescent="0.25">
      <c r="A3256" t="s">
        <v>3260</v>
      </c>
      <c r="B3256">
        <v>0.995954080203443</v>
      </c>
      <c r="C3256">
        <v>0.74990541809837896</v>
      </c>
      <c r="D3256">
        <v>0.65460149422147296</v>
      </c>
      <c r="E3256">
        <v>0.67614657715371396</v>
      </c>
      <c r="F3256">
        <v>0.54165893221497097</v>
      </c>
      <c r="G3256">
        <v>0.36689167678590301</v>
      </c>
      <c r="H3256">
        <v>0.344685308745103</v>
      </c>
      <c r="I3256">
        <v>0.38512815322594601</v>
      </c>
      <c r="J3256">
        <v>0.45065088032727502</v>
      </c>
      <c r="K3256">
        <v>0.45084313806802501</v>
      </c>
      <c r="L3256">
        <v>524.12800819863105</v>
      </c>
      <c r="M3256">
        <v>11.310154329967</v>
      </c>
      <c r="N3256">
        <v>53.205996574135398</v>
      </c>
      <c r="O3256">
        <v>44.963569631965903</v>
      </c>
      <c r="P3256">
        <v>-3.8762024117052499E-2</v>
      </c>
      <c r="Q3256">
        <v>0.383792657565936</v>
      </c>
      <c r="R3256">
        <v>0.88087531279454501</v>
      </c>
      <c r="S3256" t="s">
        <v>10062</v>
      </c>
      <c r="T3256" t="s">
        <v>13610</v>
      </c>
      <c r="U3256" t="s">
        <v>13610</v>
      </c>
      <c r="V3256" t="s">
        <v>13610</v>
      </c>
      <c r="W3256" t="s">
        <v>16812</v>
      </c>
      <c r="X3256">
        <v>10</v>
      </c>
      <c r="Y3256" t="s">
        <v>23439</v>
      </c>
      <c r="Z3256" t="s">
        <v>30111</v>
      </c>
      <c r="AA3256">
        <v>0.54438614377945993</v>
      </c>
      <c r="AB3256" t="str">
        <f>HYPERLINK("Melting_Curves/meltCurve_Q13501_SQSTM1.pdf", "Melting_Curves/meltCurve_Q13501_SQSTM1.pdf")</f>
        <v>Melting_Curves/meltCurve_Q13501_SQSTM1.pdf</v>
      </c>
    </row>
    <row r="3257" spans="1:28" x14ac:dyDescent="0.25">
      <c r="A3257" t="s">
        <v>3261</v>
      </c>
      <c r="B3257">
        <v>0.995954080203443</v>
      </c>
      <c r="C3257">
        <v>0.78230222899117596</v>
      </c>
      <c r="D3257">
        <v>0.741519555876197</v>
      </c>
      <c r="E3257">
        <v>0.89986431345371898</v>
      </c>
      <c r="F3257">
        <v>0.73297871218945498</v>
      </c>
      <c r="G3257">
        <v>0.57235558428716804</v>
      </c>
      <c r="H3257">
        <v>0.430484671294046</v>
      </c>
      <c r="I3257">
        <v>0.42710940384079799</v>
      </c>
      <c r="J3257">
        <v>0.53777802002188502</v>
      </c>
      <c r="K3257">
        <v>0.490247102685759</v>
      </c>
      <c r="L3257">
        <v>345.33710301320002</v>
      </c>
      <c r="M3257">
        <v>6.4162487722479602</v>
      </c>
      <c r="N3257">
        <v>64.011941865536599</v>
      </c>
      <c r="O3257">
        <v>49.307765641224698</v>
      </c>
      <c r="P3257">
        <v>-2.2179509046412599E-2</v>
      </c>
      <c r="Q3257">
        <v>0.31994811870418699</v>
      </c>
      <c r="R3257">
        <v>0.78856196149424895</v>
      </c>
      <c r="S3257" t="s">
        <v>10063</v>
      </c>
      <c r="T3257" t="s">
        <v>13610</v>
      </c>
      <c r="U3257" t="s">
        <v>13610</v>
      </c>
      <c r="V3257" t="s">
        <v>13610</v>
      </c>
      <c r="W3257" t="s">
        <v>16813</v>
      </c>
      <c r="X3257">
        <v>2</v>
      </c>
      <c r="Y3257" t="s">
        <v>23440</v>
      </c>
      <c r="Z3257" t="s">
        <v>30112</v>
      </c>
      <c r="AA3257">
        <v>0.6593099946873433</v>
      </c>
      <c r="AB3257" t="str">
        <f>HYPERLINK("Melting_Curves/meltCurve_Q13503_MED21.pdf", "Melting_Curves/meltCurve_Q13503_MED21.pdf")</f>
        <v>Melting_Curves/meltCurve_Q13503_MED21.pdf</v>
      </c>
    </row>
    <row r="3258" spans="1:28" x14ac:dyDescent="0.25">
      <c r="A3258" t="s">
        <v>3262</v>
      </c>
      <c r="B3258">
        <v>0.995954080203443</v>
      </c>
      <c r="C3258">
        <v>0.81575002344700698</v>
      </c>
      <c r="D3258">
        <v>0.59853875305303506</v>
      </c>
      <c r="E3258">
        <v>0.50696115357396498</v>
      </c>
      <c r="F3258">
        <v>0.307147438505532</v>
      </c>
      <c r="G3258">
        <v>0.228487961354844</v>
      </c>
      <c r="H3258">
        <v>0.215866563723211</v>
      </c>
      <c r="I3258">
        <v>0.219553488761113</v>
      </c>
      <c r="J3258">
        <v>0.30592267521051703</v>
      </c>
      <c r="K3258">
        <v>0.260466313249893</v>
      </c>
      <c r="L3258">
        <v>725.72233962310497</v>
      </c>
      <c r="M3258">
        <v>15.644759260130501</v>
      </c>
      <c r="N3258">
        <v>48.359274647528501</v>
      </c>
      <c r="O3258">
        <v>45.649494967583998</v>
      </c>
      <c r="P3258">
        <v>-6.5482067446754194E-2</v>
      </c>
      <c r="Q3258">
        <v>0.23579079241635201</v>
      </c>
      <c r="R3258">
        <v>0.96857349123676595</v>
      </c>
      <c r="S3258" t="s">
        <v>10064</v>
      </c>
      <c r="T3258" t="s">
        <v>13610</v>
      </c>
      <c r="U3258" t="s">
        <v>13610</v>
      </c>
      <c r="V3258" t="s">
        <v>13610</v>
      </c>
      <c r="W3258" t="s">
        <v>16814</v>
      </c>
      <c r="X3258">
        <v>2</v>
      </c>
      <c r="Y3258" t="s">
        <v>23441</v>
      </c>
      <c r="Z3258" t="s">
        <v>30113</v>
      </c>
      <c r="AA3258">
        <v>0.41831580881524921</v>
      </c>
      <c r="AB3258" t="str">
        <f>HYPERLINK("Melting_Curves/meltCurve_Q13505_3_MTX1.pdf", "Melting_Curves/meltCurve_Q13505_3_MTX1.pdf")</f>
        <v>Melting_Curves/meltCurve_Q13505_3_MTX1.pdf</v>
      </c>
    </row>
    <row r="3259" spans="1:28" x14ac:dyDescent="0.25">
      <c r="A3259" t="s">
        <v>3263</v>
      </c>
      <c r="B3259">
        <v>0.995954080203443</v>
      </c>
      <c r="C3259">
        <v>0.98070764454699899</v>
      </c>
      <c r="D3259">
        <v>1.07907793481014</v>
      </c>
      <c r="E3259">
        <v>0.77626459773911705</v>
      </c>
      <c r="F3259">
        <v>0.59925013985016595</v>
      </c>
      <c r="G3259">
        <v>0.355439606483967</v>
      </c>
      <c r="H3259">
        <v>0.28267778383043901</v>
      </c>
      <c r="I3259">
        <v>0.28330562131370401</v>
      </c>
      <c r="J3259">
        <v>0.38334165235954498</v>
      </c>
      <c r="K3259">
        <v>0.36610718323069702</v>
      </c>
      <c r="L3259">
        <v>1471.74786586653</v>
      </c>
      <c r="M3259">
        <v>28.3918399346672</v>
      </c>
      <c r="N3259">
        <v>53.830008375429998</v>
      </c>
      <c r="O3259">
        <v>51.5818879668563</v>
      </c>
      <c r="P3259">
        <v>-9.28518663681073E-2</v>
      </c>
      <c r="Q3259">
        <v>0.325237756045543</v>
      </c>
      <c r="R3259">
        <v>0.97464757948678005</v>
      </c>
      <c r="S3259" t="s">
        <v>10065</v>
      </c>
      <c r="T3259" t="s">
        <v>13610</v>
      </c>
      <c r="U3259" t="s">
        <v>13610</v>
      </c>
      <c r="V3259" t="s">
        <v>13610</v>
      </c>
      <c r="W3259" t="s">
        <v>16815</v>
      </c>
      <c r="X3259">
        <v>11</v>
      </c>
      <c r="Y3259" t="s">
        <v>23442</v>
      </c>
      <c r="Z3259" t="s">
        <v>30114</v>
      </c>
      <c r="AA3259">
        <v>0.59627247096242852</v>
      </c>
      <c r="AB3259" t="str">
        <f>HYPERLINK("Melting_Curves/meltCurve_Q13506_NAB1.pdf", "Melting_Curves/meltCurve_Q13506_NAB1.pdf")</f>
        <v>Melting_Curves/meltCurve_Q13506_NAB1.pdf</v>
      </c>
    </row>
    <row r="3260" spans="1:28" x14ac:dyDescent="0.25">
      <c r="A3260" t="s">
        <v>3264</v>
      </c>
      <c r="B3260">
        <v>0.995954080203443</v>
      </c>
      <c r="C3260">
        <v>0.97643882989192399</v>
      </c>
      <c r="D3260">
        <v>0.91252047703244599</v>
      </c>
      <c r="E3260">
        <v>0.73031998518792296</v>
      </c>
      <c r="F3260">
        <v>0.36144811819176698</v>
      </c>
      <c r="G3260">
        <v>0.19575818699908401</v>
      </c>
      <c r="H3260">
        <v>0.15688644762769</v>
      </c>
      <c r="I3260">
        <v>0.172162703394108</v>
      </c>
      <c r="J3260">
        <v>0.197477234531857</v>
      </c>
      <c r="K3260">
        <v>0.20171153036929201</v>
      </c>
      <c r="L3260">
        <v>1577.2295312093099</v>
      </c>
      <c r="M3260">
        <v>30.929989980335598</v>
      </c>
      <c r="N3260">
        <v>51.722910128671501</v>
      </c>
      <c r="O3260">
        <v>50.781796588078798</v>
      </c>
      <c r="P3260">
        <v>-0.125357189767833</v>
      </c>
      <c r="Q3260">
        <v>0.17674381193494901</v>
      </c>
      <c r="R3260">
        <v>0.99478255523949799</v>
      </c>
      <c r="S3260" t="s">
        <v>10066</v>
      </c>
      <c r="T3260" t="s">
        <v>13610</v>
      </c>
      <c r="U3260" t="s">
        <v>13610</v>
      </c>
      <c r="V3260" t="s">
        <v>13610</v>
      </c>
      <c r="W3260" t="s">
        <v>16816</v>
      </c>
      <c r="X3260">
        <v>28</v>
      </c>
      <c r="Y3260" t="s">
        <v>23443</v>
      </c>
      <c r="Z3260" t="s">
        <v>30115</v>
      </c>
      <c r="AA3260">
        <v>0.48329537795233363</v>
      </c>
      <c r="AB3260" t="str">
        <f>HYPERLINK("Melting_Curves/meltCurve_Q13523_PRPF4B.pdf", "Melting_Curves/meltCurve_Q13523_PRPF4B.pdf")</f>
        <v>Melting_Curves/meltCurve_Q13523_PRPF4B.pdf</v>
      </c>
    </row>
    <row r="3261" spans="1:28" x14ac:dyDescent="0.25">
      <c r="A3261" t="s">
        <v>3265</v>
      </c>
      <c r="B3261">
        <v>0.995954080203443</v>
      </c>
      <c r="C3261">
        <v>0.99561459871628599</v>
      </c>
      <c r="D3261">
        <v>0.93081759204399395</v>
      </c>
      <c r="E3261">
        <v>0.73437586934951504</v>
      </c>
      <c r="F3261">
        <v>0.459950142599582</v>
      </c>
      <c r="G3261">
        <v>0.23505411063763301</v>
      </c>
      <c r="H3261">
        <v>0.168714548028047</v>
      </c>
      <c r="I3261">
        <v>0.16934260876881899</v>
      </c>
      <c r="J3261">
        <v>0.196717033008141</v>
      </c>
      <c r="K3261">
        <v>0.18984101918155699</v>
      </c>
      <c r="L3261">
        <v>1233.5950804192901</v>
      </c>
      <c r="M3261">
        <v>23.946109841695701</v>
      </c>
      <c r="N3261">
        <v>52.438009190813702</v>
      </c>
      <c r="O3261">
        <v>51.160234648987597</v>
      </c>
      <c r="P3261">
        <v>-9.6902074226435195E-2</v>
      </c>
      <c r="Q3261">
        <v>0.17189828417275299</v>
      </c>
      <c r="R3261">
        <v>0.99817163081694504</v>
      </c>
      <c r="S3261" t="s">
        <v>10067</v>
      </c>
      <c r="T3261" t="s">
        <v>13610</v>
      </c>
      <c r="U3261" t="s">
        <v>13610</v>
      </c>
      <c r="V3261" t="s">
        <v>13610</v>
      </c>
      <c r="W3261" t="s">
        <v>16817</v>
      </c>
      <c r="X3261">
        <v>9</v>
      </c>
      <c r="Y3261" t="s">
        <v>23444</v>
      </c>
      <c r="Z3261" t="s">
        <v>30116</v>
      </c>
      <c r="AA3261">
        <v>0.4979415652630107</v>
      </c>
      <c r="AB3261" t="str">
        <f>HYPERLINK("Melting_Curves/meltCurve_Q13526_PIN1.pdf", "Melting_Curves/meltCurve_Q13526_PIN1.pdf")</f>
        <v>Melting_Curves/meltCurve_Q13526_PIN1.pdf</v>
      </c>
    </row>
    <row r="3262" spans="1:28" x14ac:dyDescent="0.25">
      <c r="A3262" t="s">
        <v>3266</v>
      </c>
      <c r="B3262">
        <v>0.995954080203443</v>
      </c>
      <c r="C3262">
        <v>0.93785216815683803</v>
      </c>
      <c r="D3262">
        <v>1.05697002973502</v>
      </c>
      <c r="E3262">
        <v>0.86638673638010999</v>
      </c>
      <c r="F3262">
        <v>0.97090746387562399</v>
      </c>
      <c r="G3262">
        <v>0.757906118477783</v>
      </c>
      <c r="H3262">
        <v>0.76715825181648001</v>
      </c>
      <c r="I3262">
        <v>0.87880798934465199</v>
      </c>
      <c r="J3262">
        <v>1.25996963472868</v>
      </c>
      <c r="K3262">
        <v>1.12036368058439</v>
      </c>
      <c r="L3262">
        <v>4681.8795406336703</v>
      </c>
      <c r="M3262">
        <v>71.218007345433904</v>
      </c>
      <c r="O3262">
        <v>65.688354815626397</v>
      </c>
      <c r="P3262">
        <v>5.1661237799730399E-2</v>
      </c>
      <c r="Q3262">
        <v>1.1906000982056899</v>
      </c>
      <c r="R3262">
        <v>0.198866257370577</v>
      </c>
      <c r="S3262" t="s">
        <v>10068</v>
      </c>
      <c r="T3262" t="s">
        <v>13610</v>
      </c>
      <c r="U3262" t="s">
        <v>13610</v>
      </c>
      <c r="V3262" t="s">
        <v>13610</v>
      </c>
      <c r="W3262" t="s">
        <v>16818</v>
      </c>
      <c r="X3262">
        <v>10</v>
      </c>
      <c r="Y3262" t="s">
        <v>23445</v>
      </c>
      <c r="Z3262" t="s">
        <v>30117</v>
      </c>
      <c r="AA3262">
        <v>1.0268822284106811</v>
      </c>
      <c r="AB3262" t="str">
        <f>HYPERLINK("Melting_Curves/meltCurve_Q13541_EIF4EBP1.pdf", "Melting_Curves/meltCurve_Q13541_EIF4EBP1.pdf")</f>
        <v>Melting_Curves/meltCurve_Q13541_EIF4EBP1.pdf</v>
      </c>
    </row>
    <row r="3263" spans="1:28" x14ac:dyDescent="0.25">
      <c r="A3263" t="s">
        <v>3267</v>
      </c>
      <c r="B3263">
        <v>0.995954080203443</v>
      </c>
      <c r="C3263">
        <v>0.93126139140515896</v>
      </c>
      <c r="D3263">
        <v>0.84199102140587101</v>
      </c>
      <c r="E3263">
        <v>0.72095201331223502</v>
      </c>
      <c r="F3263">
        <v>0.674066001334507</v>
      </c>
      <c r="G3263">
        <v>0.43766924247233802</v>
      </c>
      <c r="H3263">
        <v>0.37649584453177798</v>
      </c>
      <c r="I3263">
        <v>0.419248372398765</v>
      </c>
      <c r="J3263">
        <v>0.45723591447323397</v>
      </c>
      <c r="K3263">
        <v>0.47213522068957098</v>
      </c>
      <c r="L3263">
        <v>710.62302506813296</v>
      </c>
      <c r="M3263">
        <v>14.146239084641101</v>
      </c>
      <c r="N3263">
        <v>56.9741857486149</v>
      </c>
      <c r="O3263">
        <v>49.2621711435809</v>
      </c>
      <c r="P3263">
        <v>-4.26341349325959E-2</v>
      </c>
      <c r="Q3263">
        <v>0.40620725043058997</v>
      </c>
      <c r="R3263">
        <v>0.95590667908113303</v>
      </c>
      <c r="S3263" t="s">
        <v>10069</v>
      </c>
      <c r="T3263" t="s">
        <v>13610</v>
      </c>
      <c r="U3263" t="s">
        <v>13610</v>
      </c>
      <c r="V3263" t="s">
        <v>13610</v>
      </c>
      <c r="W3263" t="s">
        <v>16819</v>
      </c>
      <c r="X3263">
        <v>3</v>
      </c>
      <c r="Y3263" t="s">
        <v>23446</v>
      </c>
      <c r="Z3263" t="s">
        <v>30118</v>
      </c>
      <c r="AA3263">
        <v>0.62431467245418004</v>
      </c>
      <c r="AB3263" t="str">
        <f>HYPERLINK("Melting_Curves/meltCurve_Q13542_EIF4EBP2.pdf", "Melting_Curves/meltCurve_Q13542_EIF4EBP2.pdf")</f>
        <v>Melting_Curves/meltCurve_Q13542_EIF4EBP2.pdf</v>
      </c>
    </row>
    <row r="3264" spans="1:28" x14ac:dyDescent="0.25">
      <c r="A3264" t="s">
        <v>3268</v>
      </c>
      <c r="B3264">
        <v>0.995954080203443</v>
      </c>
      <c r="C3264">
        <v>0.98616000936926596</v>
      </c>
      <c r="D3264">
        <v>0.91628439244247795</v>
      </c>
      <c r="E3264">
        <v>0.58092139933063902</v>
      </c>
      <c r="F3264">
        <v>0.32540866692157799</v>
      </c>
      <c r="G3264">
        <v>0.20164764742027999</v>
      </c>
      <c r="H3264">
        <v>0.14950176112837099</v>
      </c>
      <c r="I3264">
        <v>0.14712969854102001</v>
      </c>
      <c r="J3264">
        <v>0.18709765109432999</v>
      </c>
      <c r="K3264">
        <v>0.149420567820339</v>
      </c>
      <c r="L3264">
        <v>1244.0091638506899</v>
      </c>
      <c r="M3264">
        <v>24.859573283767102</v>
      </c>
      <c r="N3264">
        <v>50.806226146985701</v>
      </c>
      <c r="O3264">
        <v>49.7210100102469</v>
      </c>
      <c r="P3264">
        <v>-0.105487245711072</v>
      </c>
      <c r="Q3264">
        <v>0.156082006054588</v>
      </c>
      <c r="R3264">
        <v>0.99886617190195803</v>
      </c>
      <c r="S3264" t="s">
        <v>10070</v>
      </c>
      <c r="T3264" t="s">
        <v>13610</v>
      </c>
      <c r="U3264" t="s">
        <v>13610</v>
      </c>
      <c r="V3264" t="s">
        <v>13610</v>
      </c>
      <c r="W3264" t="s">
        <v>16820</v>
      </c>
      <c r="X3264">
        <v>22</v>
      </c>
      <c r="Y3264" t="s">
        <v>23447</v>
      </c>
      <c r="Z3264" t="s">
        <v>30119</v>
      </c>
      <c r="AA3264">
        <v>0.44618585793971077</v>
      </c>
      <c r="AB3264" t="str">
        <f>HYPERLINK("Melting_Curves/meltCurve_Q13546_RIPK1.pdf", "Melting_Curves/meltCurve_Q13546_RIPK1.pdf")</f>
        <v>Melting_Curves/meltCurve_Q13546_RIPK1.pdf</v>
      </c>
    </row>
    <row r="3265" spans="1:28" x14ac:dyDescent="0.25">
      <c r="A3265" t="s">
        <v>3269</v>
      </c>
      <c r="B3265">
        <v>0.995954080203443</v>
      </c>
      <c r="C3265">
        <v>0.81149732325708801</v>
      </c>
      <c r="D3265">
        <v>0.681266175486266</v>
      </c>
      <c r="E3265">
        <v>0.56755022742446404</v>
      </c>
      <c r="F3265">
        <v>0.260518080486276</v>
      </c>
      <c r="G3265">
        <v>0.115037504538804</v>
      </c>
      <c r="H3265">
        <v>8.3908874314395296E-2</v>
      </c>
      <c r="I3265">
        <v>8.3368879422384801E-2</v>
      </c>
      <c r="J3265">
        <v>7.87108233617725E-2</v>
      </c>
      <c r="K3265">
        <v>7.0421698827801596E-2</v>
      </c>
      <c r="L3265">
        <v>630.14217059933696</v>
      </c>
      <c r="M3265">
        <v>12.8229326843829</v>
      </c>
      <c r="N3265">
        <v>49.361545230409902</v>
      </c>
      <c r="O3265">
        <v>47.992640165080502</v>
      </c>
      <c r="P3265">
        <v>-6.4955512070903595E-2</v>
      </c>
      <c r="Q3265">
        <v>2.7739665282304701E-2</v>
      </c>
      <c r="R3265">
        <v>0.97897395068758397</v>
      </c>
      <c r="S3265" t="s">
        <v>10071</v>
      </c>
      <c r="T3265" t="s">
        <v>13610</v>
      </c>
      <c r="U3265" t="s">
        <v>13610</v>
      </c>
      <c r="V3265" t="s">
        <v>13610</v>
      </c>
      <c r="W3265" t="s">
        <v>16821</v>
      </c>
      <c r="X3265">
        <v>21</v>
      </c>
      <c r="Y3265" t="s">
        <v>23448</v>
      </c>
      <c r="Z3265" t="s">
        <v>30120</v>
      </c>
      <c r="AA3265">
        <v>0.35566540563187349</v>
      </c>
      <c r="AB3265" t="str">
        <f>HYPERLINK("Melting_Curves/meltCurve_Q13547_HDAC1.pdf", "Melting_Curves/meltCurve_Q13547_HDAC1.pdf")</f>
        <v>Melting_Curves/meltCurve_Q13547_HDAC1.pdf</v>
      </c>
    </row>
    <row r="3266" spans="1:28" x14ac:dyDescent="0.25">
      <c r="A3266" t="s">
        <v>3270</v>
      </c>
      <c r="B3266">
        <v>0.995954080203443</v>
      </c>
      <c r="C3266">
        <v>0.97117733758090197</v>
      </c>
      <c r="D3266">
        <v>0.96349875813892105</v>
      </c>
      <c r="E3266">
        <v>0.84376215303013202</v>
      </c>
      <c r="F3266">
        <v>0.63410455299354396</v>
      </c>
      <c r="G3266">
        <v>0.284051321182404</v>
      </c>
      <c r="H3266">
        <v>0.14178107967202799</v>
      </c>
      <c r="I3266">
        <v>0.112726597846297</v>
      </c>
      <c r="J3266">
        <v>0.117644777569634</v>
      </c>
      <c r="K3266">
        <v>0.111036426727375</v>
      </c>
      <c r="L3266">
        <v>1206.4461014779599</v>
      </c>
      <c r="M3266">
        <v>22.457279500932898</v>
      </c>
      <c r="N3266">
        <v>54.239717497356601</v>
      </c>
      <c r="O3266">
        <v>53.301290541420101</v>
      </c>
      <c r="P3266">
        <v>-9.5169469875313606E-2</v>
      </c>
      <c r="Q3266">
        <v>9.6497652757601096E-2</v>
      </c>
      <c r="R3266">
        <v>0.99868450566856304</v>
      </c>
      <c r="S3266" t="s">
        <v>10072</v>
      </c>
      <c r="T3266" t="s">
        <v>13610</v>
      </c>
      <c r="U3266" t="s">
        <v>13610</v>
      </c>
      <c r="V3266" t="s">
        <v>13610</v>
      </c>
      <c r="W3266" t="s">
        <v>16822</v>
      </c>
      <c r="X3266">
        <v>13</v>
      </c>
      <c r="Y3266" t="s">
        <v>23449</v>
      </c>
      <c r="Z3266" t="s">
        <v>30121</v>
      </c>
      <c r="AA3266">
        <v>0.51988262553820275</v>
      </c>
      <c r="AB3266" t="str">
        <f>HYPERLINK("Melting_Curves/meltCurve_Q13555_10_CAMK2G.pdf", "Melting_Curves/meltCurve_Q13555_10_CAMK2G.pdf")</f>
        <v>Melting_Curves/meltCurve_Q13555_10_CAMK2G.pdf</v>
      </c>
    </row>
    <row r="3267" spans="1:28" x14ac:dyDescent="0.25">
      <c r="A3267" t="s">
        <v>3271</v>
      </c>
      <c r="B3267">
        <v>0.995954080203443</v>
      </c>
      <c r="C3267">
        <v>0.96850513114262304</v>
      </c>
      <c r="D3267">
        <v>0.93763023902724296</v>
      </c>
      <c r="E3267">
        <v>0.85600399376979097</v>
      </c>
      <c r="F3267">
        <v>0.70222766170589301</v>
      </c>
      <c r="G3267">
        <v>0.39041704297326502</v>
      </c>
      <c r="H3267">
        <v>0.13881331826016699</v>
      </c>
      <c r="I3267">
        <v>0.10974312294687399</v>
      </c>
      <c r="J3267">
        <v>0.11569916166647901</v>
      </c>
      <c r="K3267">
        <v>0.110945027249765</v>
      </c>
      <c r="L3267">
        <v>1068.24410560823</v>
      </c>
      <c r="M3267">
        <v>19.494346472157901</v>
      </c>
      <c r="N3267">
        <v>55.246358202603197</v>
      </c>
      <c r="O3267">
        <v>54.2307816544837</v>
      </c>
      <c r="P3267">
        <v>-8.3290556556724099E-2</v>
      </c>
      <c r="Q3267">
        <v>7.3218625183490399E-2</v>
      </c>
      <c r="R3267">
        <v>0.99511432506048103</v>
      </c>
      <c r="S3267" t="s">
        <v>10073</v>
      </c>
      <c r="T3267" t="s">
        <v>13610</v>
      </c>
      <c r="U3267" t="s">
        <v>13610</v>
      </c>
      <c r="V3267" t="s">
        <v>13610</v>
      </c>
      <c r="W3267" t="s">
        <v>16823</v>
      </c>
      <c r="X3267">
        <v>20</v>
      </c>
      <c r="Y3267" t="s">
        <v>23450</v>
      </c>
      <c r="Z3267" t="s">
        <v>30122</v>
      </c>
      <c r="AA3267">
        <v>0.54324700922638758</v>
      </c>
      <c r="AB3267" t="str">
        <f>HYPERLINK("Melting_Curves/meltCurve_Q13557_8_CAMK2D.pdf", "Melting_Curves/meltCurve_Q13557_8_CAMK2D.pdf")</f>
        <v>Melting_Curves/meltCurve_Q13557_8_CAMK2D.pdf</v>
      </c>
    </row>
    <row r="3268" spans="1:28" x14ac:dyDescent="0.25">
      <c r="A3268" t="s">
        <v>3272</v>
      </c>
      <c r="B3268">
        <v>0.995954080203443</v>
      </c>
      <c r="C3268">
        <v>0.86804487211314596</v>
      </c>
      <c r="D3268">
        <v>0.83556268360336505</v>
      </c>
      <c r="E3268">
        <v>0.80772050094404901</v>
      </c>
      <c r="F3268">
        <v>0.437667096887771</v>
      </c>
      <c r="G3268">
        <v>0.25227355378033001</v>
      </c>
      <c r="H3268">
        <v>0.165831058737128</v>
      </c>
      <c r="I3268">
        <v>0.16801321371942199</v>
      </c>
      <c r="J3268">
        <v>0.17648009595971001</v>
      </c>
      <c r="K3268">
        <v>0.18942487028879099</v>
      </c>
      <c r="L3268">
        <v>995.262257754958</v>
      </c>
      <c r="M3268">
        <v>19.251411812474501</v>
      </c>
      <c r="N3268">
        <v>52.681783612114501</v>
      </c>
      <c r="O3268">
        <v>51.150008367006997</v>
      </c>
      <c r="P3268">
        <v>-7.9890739145071402E-2</v>
      </c>
      <c r="Q3268">
        <v>0.15096983463594499</v>
      </c>
      <c r="R3268">
        <v>0.966776357546966</v>
      </c>
      <c r="S3268" t="s">
        <v>10074</v>
      </c>
      <c r="T3268" t="s">
        <v>13610</v>
      </c>
      <c r="U3268" t="s">
        <v>13610</v>
      </c>
      <c r="V3268" t="s">
        <v>13610</v>
      </c>
      <c r="W3268" t="s">
        <v>16824</v>
      </c>
      <c r="X3268">
        <v>24</v>
      </c>
      <c r="Y3268" t="s">
        <v>23451</v>
      </c>
      <c r="Z3268" t="s">
        <v>30123</v>
      </c>
      <c r="AA3268">
        <v>0.49463938696071919</v>
      </c>
      <c r="AB3268" t="str">
        <f>HYPERLINK("Melting_Curves/meltCurve_Q13561_DCTN2.pdf", "Melting_Curves/meltCurve_Q13561_DCTN2.pdf")</f>
        <v>Melting_Curves/meltCurve_Q13561_DCTN2.pdf</v>
      </c>
    </row>
    <row r="3269" spans="1:28" x14ac:dyDescent="0.25">
      <c r="A3269" t="s">
        <v>3273</v>
      </c>
      <c r="B3269">
        <v>0.995954080203443</v>
      </c>
      <c r="C3269">
        <v>0.95132675539980904</v>
      </c>
      <c r="D3269">
        <v>0.87832559724902104</v>
      </c>
      <c r="E3269">
        <v>0.71344094622104104</v>
      </c>
      <c r="F3269">
        <v>0.28201956956526297</v>
      </c>
      <c r="G3269">
        <v>0.10836530174967</v>
      </c>
      <c r="H3269">
        <v>7.2503788671151606E-2</v>
      </c>
      <c r="I3269">
        <v>5.2274812129272999E-2</v>
      </c>
      <c r="J3269">
        <v>6.1358219505130998E-2</v>
      </c>
      <c r="K3269">
        <v>4.9818679927424302E-2</v>
      </c>
      <c r="L3269">
        <v>1403.72025444264</v>
      </c>
      <c r="M3269">
        <v>27.447108925812501</v>
      </c>
      <c r="N3269">
        <v>51.349650660505901</v>
      </c>
      <c r="O3269">
        <v>50.873564868220697</v>
      </c>
      <c r="P3269">
        <v>-0.127818648032231</v>
      </c>
      <c r="Q3269">
        <v>5.2354851189507903E-2</v>
      </c>
      <c r="R3269">
        <v>0.99265754181164401</v>
      </c>
      <c r="S3269" t="s">
        <v>10075</v>
      </c>
      <c r="T3269" t="s">
        <v>13610</v>
      </c>
      <c r="U3269" t="s">
        <v>13610</v>
      </c>
      <c r="V3269" t="s">
        <v>13610</v>
      </c>
      <c r="W3269" t="s">
        <v>16825</v>
      </c>
      <c r="X3269">
        <v>23</v>
      </c>
      <c r="Y3269" t="s">
        <v>23452</v>
      </c>
      <c r="Z3269" t="s">
        <v>30124</v>
      </c>
      <c r="AA3269">
        <v>0.41146415206320891</v>
      </c>
      <c r="AB3269" t="str">
        <f>HYPERLINK("Melting_Curves/meltCurve_Q13564_2_NAE1.pdf", "Melting_Curves/meltCurve_Q13564_2_NAE1.pdf")</f>
        <v>Melting_Curves/meltCurve_Q13564_2_NAE1.pdf</v>
      </c>
    </row>
    <row r="3270" spans="1:28" x14ac:dyDescent="0.25">
      <c r="A3270" t="s">
        <v>3274</v>
      </c>
      <c r="B3270">
        <v>0.995954080203443</v>
      </c>
      <c r="C3270">
        <v>0.84082140858223398</v>
      </c>
      <c r="D3270">
        <v>0.59455024831081504</v>
      </c>
      <c r="E3270">
        <v>0.48545902949045</v>
      </c>
      <c r="F3270">
        <v>0.36461447073698899</v>
      </c>
      <c r="G3270">
        <v>0.206453466257735</v>
      </c>
      <c r="H3270">
        <v>0.148232344843334</v>
      </c>
      <c r="I3270">
        <v>0.15208084887020001</v>
      </c>
      <c r="J3270">
        <v>0.13673141215002901</v>
      </c>
      <c r="K3270">
        <v>0.131225141544208</v>
      </c>
      <c r="L3270">
        <v>578.31606280465405</v>
      </c>
      <c r="M3270">
        <v>12.0243710018507</v>
      </c>
      <c r="N3270">
        <v>49.067333753493102</v>
      </c>
      <c r="O3270">
        <v>46.823048095989797</v>
      </c>
      <c r="P3270">
        <v>-5.7411142554087198E-2</v>
      </c>
      <c r="Q3270">
        <v>0.105975534344631</v>
      </c>
      <c r="R3270">
        <v>0.98423241949270202</v>
      </c>
      <c r="S3270" t="s">
        <v>10076</v>
      </c>
      <c r="T3270" t="s">
        <v>13610</v>
      </c>
      <c r="U3270" t="s">
        <v>13610</v>
      </c>
      <c r="V3270" t="s">
        <v>13610</v>
      </c>
      <c r="W3270" t="s">
        <v>16826</v>
      </c>
      <c r="X3270">
        <v>4</v>
      </c>
      <c r="Y3270" t="s">
        <v>23453</v>
      </c>
      <c r="Z3270" t="s">
        <v>30125</v>
      </c>
      <c r="AA3270">
        <v>0.38186556229223828</v>
      </c>
      <c r="AB3270" t="str">
        <f>HYPERLINK("Melting_Curves/meltCurve_Q13572_ITPK1.pdf", "Melting_Curves/meltCurve_Q13572_ITPK1.pdf")</f>
        <v>Melting_Curves/meltCurve_Q13572_ITPK1.pdf</v>
      </c>
    </row>
    <row r="3271" spans="1:28" x14ac:dyDescent="0.25">
      <c r="A3271" t="s">
        <v>3275</v>
      </c>
      <c r="B3271">
        <v>0.995954080203443</v>
      </c>
      <c r="C3271">
        <v>0.97776593413722002</v>
      </c>
      <c r="D3271">
        <v>1.0044091472516501</v>
      </c>
      <c r="E3271">
        <v>0.85801843085937202</v>
      </c>
      <c r="F3271">
        <v>0.77168837934610102</v>
      </c>
      <c r="G3271">
        <v>0.49572177252904998</v>
      </c>
      <c r="H3271">
        <v>0.45678874352639298</v>
      </c>
      <c r="I3271">
        <v>0.52975355968097204</v>
      </c>
      <c r="J3271">
        <v>0.65224760519105796</v>
      </c>
      <c r="K3271">
        <v>0.60178551335858799</v>
      </c>
      <c r="L3271">
        <v>1632.3404122319801</v>
      </c>
      <c r="M3271">
        <v>31.325039911956999</v>
      </c>
      <c r="O3271">
        <v>51.8987800717087</v>
      </c>
      <c r="P3271">
        <v>-6.8421953523777695E-2</v>
      </c>
      <c r="Q3271">
        <v>0.54656133222846204</v>
      </c>
      <c r="R3271">
        <v>0.91444898410340003</v>
      </c>
      <c r="S3271" t="s">
        <v>10077</v>
      </c>
      <c r="T3271" t="s">
        <v>13610</v>
      </c>
      <c r="U3271" t="s">
        <v>13610</v>
      </c>
      <c r="V3271" t="s">
        <v>13610</v>
      </c>
      <c r="W3271" t="s">
        <v>16827</v>
      </c>
      <c r="X3271">
        <v>30</v>
      </c>
      <c r="Y3271" t="s">
        <v>23454</v>
      </c>
      <c r="Z3271" t="s">
        <v>30126</v>
      </c>
      <c r="AA3271">
        <v>0.73225937178003309</v>
      </c>
      <c r="AB3271" t="str">
        <f>HYPERLINK("Melting_Curves/meltCurve_Q13573_SNW1.pdf", "Melting_Curves/meltCurve_Q13573_SNW1.pdf")</f>
        <v>Melting_Curves/meltCurve_Q13573_SNW1.pdf</v>
      </c>
    </row>
    <row r="3272" spans="1:28" x14ac:dyDescent="0.25">
      <c r="A3272" t="s">
        <v>3276</v>
      </c>
      <c r="B3272">
        <v>0.995954080203443</v>
      </c>
      <c r="C3272">
        <v>0.97314678621002604</v>
      </c>
      <c r="D3272">
        <v>0.62609967986570203</v>
      </c>
      <c r="E3272">
        <v>0.37760025837691802</v>
      </c>
      <c r="F3272">
        <v>0.139358439775735</v>
      </c>
      <c r="G3272">
        <v>7.7252514376795603E-2</v>
      </c>
      <c r="H3272">
        <v>4.9746967286479198E-2</v>
      </c>
      <c r="I3272">
        <v>4.3030097922356299E-2</v>
      </c>
      <c r="J3272">
        <v>5.0249888625367202E-2</v>
      </c>
      <c r="K3272">
        <v>4.3925713835722503E-2</v>
      </c>
      <c r="L3272">
        <v>929.24898332512703</v>
      </c>
      <c r="M3272">
        <v>19.447046926014099</v>
      </c>
      <c r="N3272">
        <v>47.989233315500599</v>
      </c>
      <c r="O3272">
        <v>47.286889038554698</v>
      </c>
      <c r="P3272">
        <v>-9.8706643500263896E-2</v>
      </c>
      <c r="Q3272">
        <v>3.9985784422521597E-2</v>
      </c>
      <c r="R3272">
        <v>0.99066397446002796</v>
      </c>
      <c r="S3272" t="s">
        <v>10078</v>
      </c>
      <c r="T3272" t="s">
        <v>13610</v>
      </c>
      <c r="U3272" t="s">
        <v>13610</v>
      </c>
      <c r="V3272" t="s">
        <v>13610</v>
      </c>
      <c r="W3272" t="s">
        <v>16828</v>
      </c>
      <c r="X3272">
        <v>79</v>
      </c>
      <c r="Y3272" t="s">
        <v>23455</v>
      </c>
      <c r="Z3272" t="s">
        <v>30127</v>
      </c>
      <c r="AA3272">
        <v>0.30361900877866971</v>
      </c>
      <c r="AB3272" t="str">
        <f>HYPERLINK("Melting_Curves/meltCurve_Q13576_IQGAP2.pdf", "Melting_Curves/meltCurve_Q13576_IQGAP2.pdf")</f>
        <v>Melting_Curves/meltCurve_Q13576_IQGAP2.pdf</v>
      </c>
    </row>
    <row r="3273" spans="1:28" x14ac:dyDescent="0.25">
      <c r="A3273" t="s">
        <v>3277</v>
      </c>
      <c r="B3273">
        <v>0.995954080203443</v>
      </c>
      <c r="C3273">
        <v>0.91325443269745898</v>
      </c>
      <c r="D3273">
        <v>1.0846500551687701</v>
      </c>
      <c r="E3273">
        <v>0.86827693567355102</v>
      </c>
      <c r="F3273">
        <v>0.97729546500419495</v>
      </c>
      <c r="G3273">
        <v>0.78251456883186399</v>
      </c>
      <c r="H3273">
        <v>0.78540543100351001</v>
      </c>
      <c r="I3273">
        <v>0.99423086795358095</v>
      </c>
      <c r="J3273">
        <v>1.1827562728437999</v>
      </c>
      <c r="K3273">
        <v>1.1640864078872599</v>
      </c>
      <c r="L3273">
        <v>10070.2978183126</v>
      </c>
      <c r="M3273">
        <v>250</v>
      </c>
      <c r="O3273">
        <v>40.278632462424298</v>
      </c>
      <c r="P3273">
        <v>-4.2676621273986401E-2</v>
      </c>
      <c r="Q3273">
        <v>0.97249671776683599</v>
      </c>
      <c r="R3273">
        <v>2.7519623671384799E-3</v>
      </c>
      <c r="S3273" t="s">
        <v>10079</v>
      </c>
      <c r="T3273" t="s">
        <v>13610</v>
      </c>
      <c r="U3273" t="s">
        <v>13610</v>
      </c>
      <c r="V3273" t="s">
        <v>13610</v>
      </c>
      <c r="W3273" t="s">
        <v>16829</v>
      </c>
      <c r="X3273">
        <v>15</v>
      </c>
      <c r="Y3273" t="s">
        <v>23456</v>
      </c>
      <c r="Z3273" t="s">
        <v>30128</v>
      </c>
      <c r="AA3273">
        <v>0.97277944042509179</v>
      </c>
      <c r="AB3273" t="str">
        <f>HYPERLINK("Melting_Curves/meltCurve_Q13586_STIM1.pdf", "Melting_Curves/meltCurve_Q13586_STIM1.pdf")</f>
        <v>Melting_Curves/meltCurve_Q13586_STIM1.pdf</v>
      </c>
    </row>
    <row r="3274" spans="1:28" x14ac:dyDescent="0.25">
      <c r="A3274" t="s">
        <v>3278</v>
      </c>
      <c r="B3274">
        <v>0.995954080203443</v>
      </c>
      <c r="C3274">
        <v>1.0210159011486399</v>
      </c>
      <c r="D3274">
        <v>0.92302771518375004</v>
      </c>
      <c r="E3274">
        <v>0.71932944727917003</v>
      </c>
      <c r="F3274">
        <v>0.45990140145407699</v>
      </c>
      <c r="G3274">
        <v>0.31033446282853699</v>
      </c>
      <c r="H3274">
        <v>0.27775261900259302</v>
      </c>
      <c r="I3274">
        <v>0.31142174711839898</v>
      </c>
      <c r="J3274">
        <v>0.37838206915419897</v>
      </c>
      <c r="K3274">
        <v>0.37576579188375198</v>
      </c>
      <c r="L3274">
        <v>1502.09969657073</v>
      </c>
      <c r="M3274">
        <v>29.776478476260301</v>
      </c>
      <c r="N3274">
        <v>52.308326959444202</v>
      </c>
      <c r="O3274">
        <v>50.219961722718502</v>
      </c>
      <c r="P3274">
        <v>-9.9787773009608394E-2</v>
      </c>
      <c r="Q3274">
        <v>0.32681031966570201</v>
      </c>
      <c r="R3274">
        <v>0.98573037685239995</v>
      </c>
      <c r="S3274" t="s">
        <v>10080</v>
      </c>
      <c r="T3274" t="s">
        <v>13610</v>
      </c>
      <c r="U3274" t="s">
        <v>13610</v>
      </c>
      <c r="V3274" t="s">
        <v>13610</v>
      </c>
      <c r="W3274" t="s">
        <v>16830</v>
      </c>
      <c r="X3274">
        <v>23</v>
      </c>
      <c r="Y3274" t="s">
        <v>23457</v>
      </c>
      <c r="Z3274" t="s">
        <v>30129</v>
      </c>
      <c r="AA3274">
        <v>0.56546941894113956</v>
      </c>
      <c r="AB3274" t="str">
        <f>HYPERLINK("Melting_Curves/meltCurve_Q13596_SNX1.pdf", "Melting_Curves/meltCurve_Q13596_SNX1.pdf")</f>
        <v>Melting_Curves/meltCurve_Q13596_SNX1.pdf</v>
      </c>
    </row>
    <row r="3275" spans="1:28" x14ac:dyDescent="0.25">
      <c r="A3275" t="s">
        <v>3279</v>
      </c>
      <c r="B3275">
        <v>0.995954080203443</v>
      </c>
      <c r="C3275">
        <v>0.93266461631834996</v>
      </c>
      <c r="D3275">
        <v>0.87973620015230702</v>
      </c>
      <c r="E3275">
        <v>0.78898140052051902</v>
      </c>
      <c r="F3275">
        <v>0.73549816791371903</v>
      </c>
      <c r="G3275">
        <v>0.50247870169586795</v>
      </c>
      <c r="H3275">
        <v>0.48615639712410402</v>
      </c>
      <c r="I3275">
        <v>0.51920127749538303</v>
      </c>
      <c r="J3275">
        <v>0.38091175763516899</v>
      </c>
      <c r="K3275">
        <v>0.60599674389278602</v>
      </c>
      <c r="L3275">
        <v>729.27030423818496</v>
      </c>
      <c r="M3275">
        <v>14.259342369903599</v>
      </c>
      <c r="N3275">
        <v>63.4647631343719</v>
      </c>
      <c r="O3275">
        <v>50.169021531801199</v>
      </c>
      <c r="P3275">
        <v>-3.7762768867943199E-2</v>
      </c>
      <c r="Q3275">
        <v>0.46861864567662997</v>
      </c>
      <c r="R3275">
        <v>0.90326313294424698</v>
      </c>
      <c r="S3275" t="s">
        <v>10081</v>
      </c>
      <c r="T3275" t="s">
        <v>13610</v>
      </c>
      <c r="U3275" t="s">
        <v>13610</v>
      </c>
      <c r="V3275" t="s">
        <v>13610</v>
      </c>
      <c r="W3275" t="s">
        <v>16831</v>
      </c>
      <c r="X3275">
        <v>7</v>
      </c>
      <c r="Y3275" t="s">
        <v>23458</v>
      </c>
      <c r="Z3275" t="s">
        <v>30130</v>
      </c>
      <c r="AA3275">
        <v>0.67925870652002629</v>
      </c>
      <c r="AB3275" t="str">
        <f>HYPERLINK("Melting_Curves/meltCurve_Q13601_2_KRR1.pdf", "Melting_Curves/meltCurve_Q13601_2_KRR1.pdf")</f>
        <v>Melting_Curves/meltCurve_Q13601_2_KRR1.pdf</v>
      </c>
    </row>
    <row r="3276" spans="1:28" x14ac:dyDescent="0.25">
      <c r="A3276" t="s">
        <v>3280</v>
      </c>
      <c r="B3276">
        <v>0.995954080203443</v>
      </c>
      <c r="C3276">
        <v>0.93108643541298697</v>
      </c>
      <c r="D3276">
        <v>0.87100408412572805</v>
      </c>
      <c r="E3276">
        <v>0.76033915596882995</v>
      </c>
      <c r="F3276">
        <v>0.71573073586541403</v>
      </c>
      <c r="G3276">
        <v>0.55230878941753203</v>
      </c>
      <c r="H3276">
        <v>0.272334428171428</v>
      </c>
      <c r="I3276">
        <v>0.107579229912867</v>
      </c>
      <c r="J3276">
        <v>5.51643487234518E-2</v>
      </c>
      <c r="K3276">
        <v>4.7585976312499598E-2</v>
      </c>
      <c r="L3276">
        <v>723.23736097760502</v>
      </c>
      <c r="M3276">
        <v>12.8660146174029</v>
      </c>
      <c r="N3276">
        <v>56.213006311294301</v>
      </c>
      <c r="O3276">
        <v>54.906952944906102</v>
      </c>
      <c r="P3276">
        <v>-5.8591765279999999E-2</v>
      </c>
      <c r="Q3276">
        <v>0</v>
      </c>
      <c r="R3276">
        <v>0.97534876546746296</v>
      </c>
      <c r="S3276" t="s">
        <v>10082</v>
      </c>
      <c r="T3276" t="s">
        <v>13610</v>
      </c>
      <c r="U3276" t="s">
        <v>13610</v>
      </c>
      <c r="V3276" t="s">
        <v>13610</v>
      </c>
      <c r="W3276" t="s">
        <v>16832</v>
      </c>
      <c r="X3276">
        <v>12</v>
      </c>
      <c r="Y3276" t="s">
        <v>23459</v>
      </c>
      <c r="Z3276" t="s">
        <v>30131</v>
      </c>
      <c r="AA3276">
        <v>0.5595764403618505</v>
      </c>
      <c r="AB3276" t="str">
        <f>HYPERLINK("Melting_Curves/meltCurve_Q13610_PWP1.pdf", "Melting_Curves/meltCurve_Q13610_PWP1.pdf")</f>
        <v>Melting_Curves/meltCurve_Q13610_PWP1.pdf</v>
      </c>
    </row>
    <row r="3277" spans="1:28" x14ac:dyDescent="0.25">
      <c r="A3277" t="s">
        <v>3281</v>
      </c>
      <c r="B3277">
        <v>0.995954080203443</v>
      </c>
      <c r="C3277">
        <v>0.89924716613380096</v>
      </c>
      <c r="D3277">
        <v>0.79416646054616402</v>
      </c>
      <c r="E3277">
        <v>0.51419672618091194</v>
      </c>
      <c r="F3277">
        <v>0.25451460485239402</v>
      </c>
      <c r="G3277">
        <v>0.16035293106468301</v>
      </c>
      <c r="H3277">
        <v>0.115275893944812</v>
      </c>
      <c r="I3277">
        <v>0.100484717123828</v>
      </c>
      <c r="J3277">
        <v>0.122238907807944</v>
      </c>
      <c r="K3277">
        <v>0.107799825189397</v>
      </c>
      <c r="L3277">
        <v>880.81153170114101</v>
      </c>
      <c r="M3277">
        <v>17.9208484525507</v>
      </c>
      <c r="N3277">
        <v>49.733621041553498</v>
      </c>
      <c r="O3277">
        <v>48.5503505473961</v>
      </c>
      <c r="P3277">
        <v>-8.3534450073053296E-2</v>
      </c>
      <c r="Q3277">
        <v>9.4814468463278401E-2</v>
      </c>
      <c r="R3277">
        <v>0.99610313329498701</v>
      </c>
      <c r="S3277" t="s">
        <v>10083</v>
      </c>
      <c r="T3277" t="s">
        <v>13610</v>
      </c>
      <c r="U3277" t="s">
        <v>13610</v>
      </c>
      <c r="V3277" t="s">
        <v>13610</v>
      </c>
      <c r="W3277" t="s">
        <v>16833</v>
      </c>
      <c r="X3277">
        <v>14</v>
      </c>
      <c r="Y3277" t="s">
        <v>23460</v>
      </c>
      <c r="Z3277" t="s">
        <v>30132</v>
      </c>
      <c r="AA3277">
        <v>0.3866717257097505</v>
      </c>
      <c r="AB3277" t="str">
        <f>HYPERLINK("Melting_Curves/meltCurve_Q13613_MTMR1.pdf", "Melting_Curves/meltCurve_Q13613_MTMR1.pdf")</f>
        <v>Melting_Curves/meltCurve_Q13613_MTMR1.pdf</v>
      </c>
    </row>
    <row r="3278" spans="1:28" x14ac:dyDescent="0.25">
      <c r="A3278" t="s">
        <v>3282</v>
      </c>
      <c r="B3278">
        <v>0.995954080203443</v>
      </c>
      <c r="C3278">
        <v>0.96482296895920805</v>
      </c>
      <c r="D3278">
        <v>0.889010825847663</v>
      </c>
      <c r="E3278">
        <v>0.78264814975445796</v>
      </c>
      <c r="F3278">
        <v>0.43315851988305298</v>
      </c>
      <c r="G3278">
        <v>0.198545309874048</v>
      </c>
      <c r="H3278">
        <v>9.2887964841914195E-2</v>
      </c>
      <c r="I3278">
        <v>7.9400916972467497E-2</v>
      </c>
      <c r="J3278">
        <v>8.7216508943704904E-2</v>
      </c>
      <c r="K3278">
        <v>8.5362119864920399E-2</v>
      </c>
      <c r="L3278">
        <v>1155.8722238335699</v>
      </c>
      <c r="M3278">
        <v>22.164385657311399</v>
      </c>
      <c r="N3278">
        <v>52.513741792698397</v>
      </c>
      <c r="O3278">
        <v>51.731040412221297</v>
      </c>
      <c r="P3278">
        <v>-9.9493164234369602E-2</v>
      </c>
      <c r="Q3278">
        <v>7.1163561853871696E-2</v>
      </c>
      <c r="R3278">
        <v>0.99476597412688506</v>
      </c>
      <c r="S3278" t="s">
        <v>10084</v>
      </c>
      <c r="T3278" t="s">
        <v>13610</v>
      </c>
      <c r="U3278" t="s">
        <v>13610</v>
      </c>
      <c r="V3278" t="s">
        <v>13610</v>
      </c>
      <c r="W3278" t="s">
        <v>16834</v>
      </c>
      <c r="X3278">
        <v>13</v>
      </c>
      <c r="Y3278" t="s">
        <v>23461</v>
      </c>
      <c r="Z3278" t="s">
        <v>30133</v>
      </c>
      <c r="AA3278">
        <v>0.45799896853656769</v>
      </c>
      <c r="AB3278" t="str">
        <f>HYPERLINK("Melting_Curves/meltCurve_Q13614_MTMR2.pdf", "Melting_Curves/meltCurve_Q13614_MTMR2.pdf")</f>
        <v>Melting_Curves/meltCurve_Q13614_MTMR2.pdf</v>
      </c>
    </row>
    <row r="3279" spans="1:28" x14ac:dyDescent="0.25">
      <c r="A3279" t="s">
        <v>3283</v>
      </c>
      <c r="B3279">
        <v>0.995954080203443</v>
      </c>
      <c r="C3279">
        <v>0.83853617753262</v>
      </c>
      <c r="D3279">
        <v>0.751140918164655</v>
      </c>
      <c r="E3279">
        <v>0.78395808981789905</v>
      </c>
      <c r="F3279">
        <v>0.58346578338807897</v>
      </c>
      <c r="G3279">
        <v>0.44419189134498799</v>
      </c>
      <c r="H3279">
        <v>0.24006794538760301</v>
      </c>
      <c r="I3279">
        <v>8.6911524333048107E-2</v>
      </c>
      <c r="J3279">
        <v>8.9140688671322493E-2</v>
      </c>
      <c r="K3279">
        <v>7.9355856943884001E-2</v>
      </c>
      <c r="L3279">
        <v>556.42994367640802</v>
      </c>
      <c r="M3279">
        <v>10.251502527439101</v>
      </c>
      <c r="N3279">
        <v>54.277891545367098</v>
      </c>
      <c r="O3279">
        <v>52.334164772023101</v>
      </c>
      <c r="P3279">
        <v>-4.8993026715574303E-2</v>
      </c>
      <c r="Q3279">
        <v>0</v>
      </c>
      <c r="R3279">
        <v>0.96111697974335297</v>
      </c>
      <c r="S3279" t="s">
        <v>10085</v>
      </c>
      <c r="T3279" t="s">
        <v>13610</v>
      </c>
      <c r="U3279" t="s">
        <v>13610</v>
      </c>
      <c r="V3279" t="s">
        <v>13610</v>
      </c>
      <c r="W3279" t="s">
        <v>16835</v>
      </c>
      <c r="X3279">
        <v>51</v>
      </c>
      <c r="Y3279" t="s">
        <v>23462</v>
      </c>
      <c r="Z3279" t="s">
        <v>30134</v>
      </c>
      <c r="AA3279">
        <v>0.5045274996150475</v>
      </c>
      <c r="AB3279" t="str">
        <f>HYPERLINK("Melting_Curves/meltCurve_Q13616_CUL1.pdf", "Melting_Curves/meltCurve_Q13616_CUL1.pdf")</f>
        <v>Melting_Curves/meltCurve_Q13616_CUL1.pdf</v>
      </c>
    </row>
    <row r="3280" spans="1:28" x14ac:dyDescent="0.25">
      <c r="A3280" t="s">
        <v>3284</v>
      </c>
      <c r="B3280">
        <v>0.995954080203443</v>
      </c>
      <c r="C3280">
        <v>0.83520087957064304</v>
      </c>
      <c r="D3280">
        <v>0.71360011761417497</v>
      </c>
      <c r="E3280">
        <v>0.73227290947464796</v>
      </c>
      <c r="F3280">
        <v>0.42407228678006698</v>
      </c>
      <c r="G3280">
        <v>0.15646759717575001</v>
      </c>
      <c r="H3280">
        <v>7.3182193738468501E-2</v>
      </c>
      <c r="I3280">
        <v>5.7682964167245401E-2</v>
      </c>
      <c r="J3280">
        <v>6.5248603530864605E-2</v>
      </c>
      <c r="K3280">
        <v>5.74999599987649E-2</v>
      </c>
      <c r="L3280">
        <v>644.61986698825899</v>
      </c>
      <c r="M3280">
        <v>12.5344027014874</v>
      </c>
      <c r="N3280">
        <v>51.428048282687897</v>
      </c>
      <c r="O3280">
        <v>50.1717050607866</v>
      </c>
      <c r="P3280">
        <v>-6.2470268155916601E-2</v>
      </c>
      <c r="Q3280">
        <v>0</v>
      </c>
      <c r="R3280">
        <v>0.96207339566323202</v>
      </c>
      <c r="S3280" t="s">
        <v>10086</v>
      </c>
      <c r="T3280" t="s">
        <v>13610</v>
      </c>
      <c r="U3280" t="s">
        <v>13610</v>
      </c>
      <c r="V3280" t="s">
        <v>13610</v>
      </c>
      <c r="W3280" t="s">
        <v>16836</v>
      </c>
      <c r="X3280">
        <v>35</v>
      </c>
      <c r="Y3280" t="s">
        <v>23463</v>
      </c>
      <c r="Z3280" t="s">
        <v>30135</v>
      </c>
      <c r="AA3280">
        <v>0.41082575835631141</v>
      </c>
      <c r="AB3280" t="str">
        <f>HYPERLINK("Melting_Curves/meltCurve_Q13617_CUL2.pdf", "Melting_Curves/meltCurve_Q13617_CUL2.pdf")</f>
        <v>Melting_Curves/meltCurve_Q13617_CUL2.pdf</v>
      </c>
    </row>
    <row r="3281" spans="1:28" x14ac:dyDescent="0.25">
      <c r="A3281" t="s">
        <v>3285</v>
      </c>
      <c r="B3281">
        <v>0.995954080203443</v>
      </c>
      <c r="C3281">
        <v>0.87115632877621896</v>
      </c>
      <c r="D3281">
        <v>0.77377178319822404</v>
      </c>
      <c r="E3281">
        <v>0.85630814641835995</v>
      </c>
      <c r="F3281">
        <v>0.61578659344706699</v>
      </c>
      <c r="G3281">
        <v>0.232848922665259</v>
      </c>
      <c r="H3281">
        <v>8.1779831152231905E-2</v>
      </c>
      <c r="I3281">
        <v>7.2842248152615696E-2</v>
      </c>
      <c r="J3281">
        <v>7.7891058141426397E-2</v>
      </c>
      <c r="K3281">
        <v>7.0511911583080206E-2</v>
      </c>
      <c r="L3281">
        <v>979.10967230046197</v>
      </c>
      <c r="M3281">
        <v>18.239998264814499</v>
      </c>
      <c r="N3281">
        <v>53.847012388302602</v>
      </c>
      <c r="O3281">
        <v>53.046509457772103</v>
      </c>
      <c r="P3281">
        <v>-8.3592020403478601E-2</v>
      </c>
      <c r="Q3281">
        <v>2.7618696109393E-2</v>
      </c>
      <c r="R3281">
        <v>0.95784224373346305</v>
      </c>
      <c r="S3281" t="s">
        <v>10087</v>
      </c>
      <c r="T3281" t="s">
        <v>13610</v>
      </c>
      <c r="U3281" t="s">
        <v>13610</v>
      </c>
      <c r="V3281" t="s">
        <v>13610</v>
      </c>
      <c r="W3281" t="s">
        <v>16837</v>
      </c>
      <c r="X3281">
        <v>47</v>
      </c>
      <c r="Y3281" t="s">
        <v>23464</v>
      </c>
      <c r="Z3281" t="s">
        <v>30136</v>
      </c>
      <c r="AA3281">
        <v>0.4863745307743006</v>
      </c>
      <c r="AB3281" t="str">
        <f>HYPERLINK("Melting_Curves/meltCurve_Q13618_CUL3.pdf", "Melting_Curves/meltCurve_Q13618_CUL3.pdf")</f>
        <v>Melting_Curves/meltCurve_Q13618_CUL3.pdf</v>
      </c>
    </row>
    <row r="3282" spans="1:28" x14ac:dyDescent="0.25">
      <c r="A3282" t="s">
        <v>3286</v>
      </c>
      <c r="B3282">
        <v>0.995954080203443</v>
      </c>
      <c r="C3282">
        <v>0.89334828258758803</v>
      </c>
      <c r="D3282">
        <v>0.78939522664015305</v>
      </c>
      <c r="E3282">
        <v>0.771786178618177</v>
      </c>
      <c r="F3282">
        <v>0.393803877891376</v>
      </c>
      <c r="G3282">
        <v>0.15232667833375099</v>
      </c>
      <c r="H3282">
        <v>8.0909885031296494E-2</v>
      </c>
      <c r="I3282">
        <v>6.8082577187760202E-2</v>
      </c>
      <c r="J3282">
        <v>7.6307157341598403E-2</v>
      </c>
      <c r="K3282">
        <v>6.4558717490228207E-2</v>
      </c>
      <c r="L3282">
        <v>874.362724603434</v>
      </c>
      <c r="M3282">
        <v>16.889942569172401</v>
      </c>
      <c r="N3282">
        <v>51.963188676243398</v>
      </c>
      <c r="O3282">
        <v>51.058883263054</v>
      </c>
      <c r="P3282">
        <v>-8.0164707398421006E-2</v>
      </c>
      <c r="Q3282">
        <v>3.0698669046183801E-2</v>
      </c>
      <c r="R3282">
        <v>0.97414641879799202</v>
      </c>
      <c r="S3282" t="s">
        <v>10088</v>
      </c>
      <c r="T3282" t="s">
        <v>13610</v>
      </c>
      <c r="U3282" t="s">
        <v>13610</v>
      </c>
      <c r="V3282" t="s">
        <v>13610</v>
      </c>
      <c r="W3282" t="s">
        <v>16838</v>
      </c>
      <c r="X3282">
        <v>35</v>
      </c>
      <c r="Y3282" t="s">
        <v>23465</v>
      </c>
      <c r="Z3282" t="s">
        <v>30137</v>
      </c>
      <c r="AA3282">
        <v>0.428961913615584</v>
      </c>
      <c r="AB3282" t="str">
        <f>HYPERLINK("Melting_Curves/meltCurve_Q13619_CUL4A.pdf", "Melting_Curves/meltCurve_Q13619_CUL4A.pdf")</f>
        <v>Melting_Curves/meltCurve_Q13619_CUL4A.pdf</v>
      </c>
    </row>
    <row r="3283" spans="1:28" x14ac:dyDescent="0.25">
      <c r="A3283" t="s">
        <v>3287</v>
      </c>
      <c r="B3283">
        <v>0.995954080203443</v>
      </c>
      <c r="C3283">
        <v>0.91710185828305002</v>
      </c>
      <c r="D3283">
        <v>0.83564918432024404</v>
      </c>
      <c r="E3283">
        <v>0.90341087998835701</v>
      </c>
      <c r="F3283">
        <v>0.67179352228986</v>
      </c>
      <c r="G3283">
        <v>0.35153195442534102</v>
      </c>
      <c r="H3283">
        <v>0.143569801183667</v>
      </c>
      <c r="I3283">
        <v>0.14868858463522699</v>
      </c>
      <c r="J3283">
        <v>0.169898078290146</v>
      </c>
      <c r="K3283">
        <v>0.160407773337088</v>
      </c>
      <c r="L3283">
        <v>1202.6941398362001</v>
      </c>
      <c r="M3283">
        <v>22.235620728985801</v>
      </c>
      <c r="N3283">
        <v>54.843886169724399</v>
      </c>
      <c r="O3283">
        <v>53.656854518267899</v>
      </c>
      <c r="P3283">
        <v>-8.9939676137234401E-2</v>
      </c>
      <c r="Q3283">
        <v>0.13188374426646901</v>
      </c>
      <c r="R3283">
        <v>0.97276235013696899</v>
      </c>
      <c r="S3283" t="s">
        <v>10089</v>
      </c>
      <c r="T3283" t="s">
        <v>13610</v>
      </c>
      <c r="U3283" t="s">
        <v>13610</v>
      </c>
      <c r="V3283" t="s">
        <v>13610</v>
      </c>
      <c r="W3283" t="s">
        <v>16839</v>
      </c>
      <c r="X3283">
        <v>64</v>
      </c>
      <c r="Y3283" t="s">
        <v>23466</v>
      </c>
      <c r="Z3283" t="s">
        <v>30138</v>
      </c>
      <c r="AA3283">
        <v>0.54945224171117013</v>
      </c>
      <c r="AB3283" t="str">
        <f>HYPERLINK("Melting_Curves/meltCurve_Q13620_1_CUL4B.pdf", "Melting_Curves/meltCurve_Q13620_1_CUL4B.pdf")</f>
        <v>Melting_Curves/meltCurve_Q13620_1_CUL4B.pdf</v>
      </c>
    </row>
    <row r="3284" spans="1:28" x14ac:dyDescent="0.25">
      <c r="A3284" t="s">
        <v>3288</v>
      </c>
      <c r="B3284">
        <v>0.995954080203443</v>
      </c>
      <c r="C3284">
        <v>0.98453850233959705</v>
      </c>
      <c r="D3284">
        <v>1.0012729425851901</v>
      </c>
      <c r="E3284">
        <v>0.88525334835054603</v>
      </c>
      <c r="F3284">
        <v>0.750225862986167</v>
      </c>
      <c r="G3284">
        <v>0.49078857055145297</v>
      </c>
      <c r="H3284">
        <v>0.4055836740496</v>
      </c>
      <c r="I3284">
        <v>0.45519703456972599</v>
      </c>
      <c r="J3284">
        <v>0.49012973278674998</v>
      </c>
      <c r="K3284">
        <v>0.52507487123287</v>
      </c>
      <c r="L3284">
        <v>1641.43872586353</v>
      </c>
      <c r="M3284">
        <v>31.057894624746599</v>
      </c>
      <c r="N3284">
        <v>57.720610391833702</v>
      </c>
      <c r="O3284">
        <v>52.633266666772101</v>
      </c>
      <c r="P3284">
        <v>-7.9129212263452403E-2</v>
      </c>
      <c r="Q3284">
        <v>0.46360745754559002</v>
      </c>
      <c r="R3284">
        <v>0.97857584139113196</v>
      </c>
      <c r="S3284" t="s">
        <v>10090</v>
      </c>
      <c r="T3284" t="s">
        <v>13610</v>
      </c>
      <c r="U3284" t="s">
        <v>13610</v>
      </c>
      <c r="V3284" t="s">
        <v>13610</v>
      </c>
      <c r="W3284" t="s">
        <v>16840</v>
      </c>
      <c r="X3284">
        <v>16</v>
      </c>
      <c r="Y3284" t="s">
        <v>23467</v>
      </c>
      <c r="Z3284" t="s">
        <v>30139</v>
      </c>
      <c r="AA3284">
        <v>0.69662131694689711</v>
      </c>
      <c r="AB3284" t="str">
        <f>HYPERLINK("Melting_Curves/meltCurve_Q13625_TP53BP2.pdf", "Melting_Curves/meltCurve_Q13625_TP53BP2.pdf")</f>
        <v>Melting_Curves/meltCurve_Q13625_TP53BP2.pdf</v>
      </c>
    </row>
    <row r="3285" spans="1:28" x14ac:dyDescent="0.25">
      <c r="A3285" t="s">
        <v>3289</v>
      </c>
      <c r="B3285">
        <v>0.995954080203443</v>
      </c>
      <c r="C3285">
        <v>0.88673217092685097</v>
      </c>
      <c r="D3285">
        <v>0.76206658785939796</v>
      </c>
      <c r="E3285">
        <v>0.62327614212800198</v>
      </c>
      <c r="F3285">
        <v>0.24306322946525599</v>
      </c>
      <c r="G3285">
        <v>0.109723366845541</v>
      </c>
      <c r="H3285">
        <v>5.6907576380132802E-2</v>
      </c>
      <c r="I3285">
        <v>3.75107112689873E-2</v>
      </c>
      <c r="J3285">
        <v>3.8884412222047603E-2</v>
      </c>
      <c r="K3285">
        <v>3.2243958065551803E-2</v>
      </c>
      <c r="L3285">
        <v>788.40187989725496</v>
      </c>
      <c r="M3285">
        <v>15.703142136104701</v>
      </c>
      <c r="N3285">
        <v>50.230845671649099</v>
      </c>
      <c r="O3285">
        <v>49.413567605995198</v>
      </c>
      <c r="P3285">
        <v>-7.9154592997867507E-2</v>
      </c>
      <c r="Q3285">
        <v>3.7711832309077899E-3</v>
      </c>
      <c r="R3285">
        <v>0.98478597925457201</v>
      </c>
      <c r="S3285" t="s">
        <v>10091</v>
      </c>
      <c r="T3285" t="s">
        <v>13610</v>
      </c>
      <c r="U3285" t="s">
        <v>13610</v>
      </c>
      <c r="V3285" t="s">
        <v>13610</v>
      </c>
      <c r="W3285" t="s">
        <v>16841</v>
      </c>
      <c r="X3285">
        <v>12</v>
      </c>
      <c r="Y3285" t="s">
        <v>23468</v>
      </c>
      <c r="Z3285" t="s">
        <v>30140</v>
      </c>
      <c r="AA3285">
        <v>0.36447454736858059</v>
      </c>
      <c r="AB3285" t="str">
        <f>HYPERLINK("Melting_Curves/meltCurve_Q13627_3_DYRK1A.pdf", "Melting_Curves/meltCurve_Q13627_3_DYRK1A.pdf")</f>
        <v>Melting_Curves/meltCurve_Q13627_3_DYRK1A.pdf</v>
      </c>
    </row>
    <row r="3286" spans="1:28" x14ac:dyDescent="0.25">
      <c r="A3286" t="s">
        <v>3290</v>
      </c>
      <c r="B3286">
        <v>0.995954080203443</v>
      </c>
      <c r="C3286">
        <v>1.05685446968106</v>
      </c>
      <c r="D3286">
        <v>1.02517723873585</v>
      </c>
      <c r="E3286">
        <v>0.94648465100453905</v>
      </c>
      <c r="F3286">
        <v>0.71185015254515105</v>
      </c>
      <c r="G3286">
        <v>0.22009309982440201</v>
      </c>
      <c r="H3286">
        <v>8.6681908091007606E-2</v>
      </c>
      <c r="I3286">
        <v>7.8804157625805296E-2</v>
      </c>
      <c r="J3286">
        <v>8.82841610706111E-2</v>
      </c>
      <c r="K3286">
        <v>7.7242686691656903E-2</v>
      </c>
      <c r="L3286">
        <v>1883.56914904768</v>
      </c>
      <c r="M3286">
        <v>34.7539219982636</v>
      </c>
      <c r="N3286">
        <v>54.459197232993503</v>
      </c>
      <c r="O3286">
        <v>54.018812316429397</v>
      </c>
      <c r="P3286">
        <v>-0.148464783196217</v>
      </c>
      <c r="Q3286">
        <v>7.69546067892274E-2</v>
      </c>
      <c r="R3286">
        <v>0.99770731200766305</v>
      </c>
      <c r="S3286" t="s">
        <v>10092</v>
      </c>
      <c r="T3286" t="s">
        <v>13610</v>
      </c>
      <c r="U3286" t="s">
        <v>13610</v>
      </c>
      <c r="V3286" t="s">
        <v>13610</v>
      </c>
      <c r="W3286" t="s">
        <v>16842</v>
      </c>
      <c r="X3286">
        <v>15</v>
      </c>
      <c r="Y3286" t="s">
        <v>23469</v>
      </c>
      <c r="Z3286" t="s">
        <v>30141</v>
      </c>
      <c r="AA3286">
        <v>0.51834160874580271</v>
      </c>
      <c r="AB3286" t="str">
        <f>HYPERLINK("Melting_Curves/meltCurve_Q13630_TSTA3.pdf", "Melting_Curves/meltCurve_Q13630_TSTA3.pdf")</f>
        <v>Melting_Curves/meltCurve_Q13630_TSTA3.pdf</v>
      </c>
    </row>
    <row r="3287" spans="1:28" x14ac:dyDescent="0.25">
      <c r="A3287" t="s">
        <v>3291</v>
      </c>
      <c r="B3287">
        <v>0.995954080203443</v>
      </c>
      <c r="C3287">
        <v>0.95948850817037801</v>
      </c>
      <c r="D3287">
        <v>0.94502501471999301</v>
      </c>
      <c r="E3287">
        <v>0.70477406853406299</v>
      </c>
      <c r="F3287">
        <v>0.295478776739934</v>
      </c>
      <c r="G3287">
        <v>0.15277332066158</v>
      </c>
      <c r="H3287">
        <v>6.9101429958791399E-2</v>
      </c>
      <c r="I3287">
        <v>7.3177553850370294E-2</v>
      </c>
      <c r="J3287">
        <v>3.4915099855986897E-2</v>
      </c>
      <c r="K3287">
        <v>3.2706931083765198E-2</v>
      </c>
      <c r="L3287">
        <v>1390.5380662832999</v>
      </c>
      <c r="M3287">
        <v>27.129689668650801</v>
      </c>
      <c r="N3287">
        <v>51.469619428735797</v>
      </c>
      <c r="O3287">
        <v>50.979158401548801</v>
      </c>
      <c r="P3287">
        <v>-0.12593649131815601</v>
      </c>
      <c r="Q3287">
        <v>5.3424641356029999E-2</v>
      </c>
      <c r="R3287">
        <v>0.99630500950997902</v>
      </c>
      <c r="S3287" t="s">
        <v>10093</v>
      </c>
      <c r="T3287" t="s">
        <v>13610</v>
      </c>
      <c r="U3287" t="s">
        <v>13610</v>
      </c>
      <c r="V3287" t="s">
        <v>13610</v>
      </c>
      <c r="W3287" t="s">
        <v>16843</v>
      </c>
      <c r="X3287">
        <v>2</v>
      </c>
      <c r="Y3287" t="s">
        <v>23470</v>
      </c>
      <c r="Z3287" t="s">
        <v>30142</v>
      </c>
      <c r="AA3287">
        <v>0.41585513711392341</v>
      </c>
      <c r="AB3287" t="str">
        <f>HYPERLINK("Melting_Curves/meltCurve_Q13636_RAB31.pdf", "Melting_Curves/meltCurve_Q13636_RAB31.pdf")</f>
        <v>Melting_Curves/meltCurve_Q13636_RAB31.pdf</v>
      </c>
    </row>
    <row r="3288" spans="1:28" x14ac:dyDescent="0.25">
      <c r="A3288" t="s">
        <v>3292</v>
      </c>
      <c r="B3288">
        <v>0.995954080203443</v>
      </c>
      <c r="C3288">
        <v>1.0399885233656001</v>
      </c>
      <c r="D3288">
        <v>0.90173145636375895</v>
      </c>
      <c r="E3288">
        <v>0.77752816394518698</v>
      </c>
      <c r="F3288">
        <v>0.40034168937186798</v>
      </c>
      <c r="G3288">
        <v>0.174749765985237</v>
      </c>
      <c r="H3288">
        <v>0.101084764458757</v>
      </c>
      <c r="I3288">
        <v>8.6860504267641497E-2</v>
      </c>
      <c r="J3288">
        <v>8.3400298401001896E-2</v>
      </c>
      <c r="K3288">
        <v>7.9105356927171896E-2</v>
      </c>
      <c r="L3288">
        <v>1329.62962346324</v>
      </c>
      <c r="M3288">
        <v>25.6200822504439</v>
      </c>
      <c r="N3288">
        <v>52.255847110360001</v>
      </c>
      <c r="O3288">
        <v>51.584856576889599</v>
      </c>
      <c r="P3288">
        <v>-0.11417504217669</v>
      </c>
      <c r="Q3288">
        <v>8.0466444577355703E-2</v>
      </c>
      <c r="R3288">
        <v>0.99511820545722696</v>
      </c>
      <c r="S3288" t="s">
        <v>10094</v>
      </c>
      <c r="T3288" t="s">
        <v>13610</v>
      </c>
      <c r="U3288" t="s">
        <v>13610</v>
      </c>
      <c r="V3288" t="s">
        <v>13610</v>
      </c>
      <c r="W3288" t="s">
        <v>16844</v>
      </c>
      <c r="X3288">
        <v>7</v>
      </c>
      <c r="Y3288" t="s">
        <v>23471</v>
      </c>
      <c r="Z3288" t="s">
        <v>30143</v>
      </c>
      <c r="AA3288">
        <v>0.45314962282295368</v>
      </c>
      <c r="AB3288" t="str">
        <f>HYPERLINK("Melting_Curves/meltCurve_Q13637_RAB32.pdf", "Melting_Curves/meltCurve_Q13637_RAB32.pdf")</f>
        <v>Melting_Curves/meltCurve_Q13637_RAB32.pdf</v>
      </c>
    </row>
    <row r="3289" spans="1:28" x14ac:dyDescent="0.25">
      <c r="A3289" t="s">
        <v>3293</v>
      </c>
      <c r="B3289">
        <v>0.995954080203443</v>
      </c>
      <c r="C3289">
        <v>0.97805050171641195</v>
      </c>
      <c r="D3289">
        <v>1.05693133246233</v>
      </c>
      <c r="E3289">
        <v>0.84552906603057598</v>
      </c>
      <c r="F3289">
        <v>0.70677574709883295</v>
      </c>
      <c r="G3289">
        <v>0.56390859701177098</v>
      </c>
      <c r="H3289">
        <v>0.383869371839617</v>
      </c>
      <c r="I3289">
        <v>0.40570501418356503</v>
      </c>
      <c r="J3289">
        <v>0.38618978908498602</v>
      </c>
      <c r="K3289">
        <v>0.38310638595705498</v>
      </c>
      <c r="L3289">
        <v>1033.3728694881199</v>
      </c>
      <c r="M3289">
        <v>19.282505520840299</v>
      </c>
      <c r="N3289">
        <v>57.6454751894683</v>
      </c>
      <c r="O3289">
        <v>53.024806171649502</v>
      </c>
      <c r="P3289">
        <v>-5.71702740240837E-2</v>
      </c>
      <c r="Q3289">
        <v>0.37117535562541598</v>
      </c>
      <c r="R3289">
        <v>0.98357347429784303</v>
      </c>
      <c r="S3289" t="s">
        <v>10095</v>
      </c>
      <c r="T3289" t="s">
        <v>13610</v>
      </c>
      <c r="U3289" t="s">
        <v>13610</v>
      </c>
      <c r="V3289" t="s">
        <v>13610</v>
      </c>
      <c r="W3289" t="s">
        <v>16845</v>
      </c>
      <c r="X3289">
        <v>12</v>
      </c>
      <c r="Y3289" t="s">
        <v>23472</v>
      </c>
      <c r="Z3289" t="s">
        <v>30144</v>
      </c>
      <c r="AA3289">
        <v>0.66518210673634748</v>
      </c>
      <c r="AB3289" t="str">
        <f>HYPERLINK("Melting_Curves/meltCurve_Q13643_FHL3.pdf", "Melting_Curves/meltCurve_Q13643_FHL3.pdf")</f>
        <v>Melting_Curves/meltCurve_Q13643_FHL3.pdf</v>
      </c>
    </row>
    <row r="3290" spans="1:28" x14ac:dyDescent="0.25">
      <c r="A3290" t="s">
        <v>3294</v>
      </c>
      <c r="B3290">
        <v>0.995954080203443</v>
      </c>
      <c r="C3290">
        <v>1.0098677196233901</v>
      </c>
      <c r="D3290">
        <v>0.89134027779196601</v>
      </c>
      <c r="E3290">
        <v>0.580649555351616</v>
      </c>
      <c r="F3290">
        <v>0.29237057714287601</v>
      </c>
      <c r="G3290">
        <v>0.17325434798082101</v>
      </c>
      <c r="H3290">
        <v>0.104526111638873</v>
      </c>
      <c r="I3290">
        <v>9.6105608553687799E-2</v>
      </c>
      <c r="J3290">
        <v>0.121348396528903</v>
      </c>
      <c r="K3290">
        <v>0.11034868663856801</v>
      </c>
      <c r="L3290">
        <v>1182.58693658682</v>
      </c>
      <c r="M3290">
        <v>23.566547583477799</v>
      </c>
      <c r="N3290">
        <v>50.689081461715702</v>
      </c>
      <c r="O3290">
        <v>49.823609938636899</v>
      </c>
      <c r="P3290">
        <v>-0.105806943090498</v>
      </c>
      <c r="Q3290">
        <v>0.105241130284127</v>
      </c>
      <c r="R3290">
        <v>0.99853594004615398</v>
      </c>
      <c r="S3290" t="s">
        <v>10096</v>
      </c>
      <c r="T3290" t="s">
        <v>13610</v>
      </c>
      <c r="U3290" t="s">
        <v>13610</v>
      </c>
      <c r="V3290" t="s">
        <v>13610</v>
      </c>
      <c r="W3290" t="s">
        <v>16846</v>
      </c>
      <c r="X3290">
        <v>2</v>
      </c>
      <c r="Y3290" t="s">
        <v>23473</v>
      </c>
      <c r="Z3290" t="s">
        <v>30145</v>
      </c>
      <c r="AA3290">
        <v>0.41789970776525398</v>
      </c>
      <c r="AB3290" t="str">
        <f>HYPERLINK("Melting_Curves/meltCurve_Q13670_PMS2P11.pdf", "Melting_Curves/meltCurve_Q13670_PMS2P11.pdf")</f>
        <v>Melting_Curves/meltCurve_Q13670_PMS2P11.pdf</v>
      </c>
    </row>
    <row r="3291" spans="1:28" x14ac:dyDescent="0.25">
      <c r="A3291" t="s">
        <v>3295</v>
      </c>
      <c r="B3291">
        <v>0.995954080203443</v>
      </c>
      <c r="C3291">
        <v>0.83719562820948701</v>
      </c>
      <c r="D3291">
        <v>0.67574894058383705</v>
      </c>
      <c r="E3291">
        <v>0.69243345619132302</v>
      </c>
      <c r="F3291">
        <v>0.28956798338630102</v>
      </c>
      <c r="G3291">
        <v>0.120912225646799</v>
      </c>
      <c r="H3291">
        <v>7.6265240110011803E-2</v>
      </c>
      <c r="I3291">
        <v>7.0364698865267E-2</v>
      </c>
      <c r="J3291">
        <v>5.8400420455608497E-2</v>
      </c>
      <c r="K3291">
        <v>6.9854154561728804E-2</v>
      </c>
      <c r="L3291">
        <v>623.09866740964696</v>
      </c>
      <c r="M3291">
        <v>12.387700423710401</v>
      </c>
      <c r="N3291">
        <v>50.299784792000402</v>
      </c>
      <c r="O3291">
        <v>49.042912100767602</v>
      </c>
      <c r="P3291">
        <v>-6.3160708411265101E-2</v>
      </c>
      <c r="Q3291">
        <v>0</v>
      </c>
      <c r="R3291">
        <v>0.95749892959814398</v>
      </c>
      <c r="S3291" t="s">
        <v>10097</v>
      </c>
      <c r="T3291" t="s">
        <v>13610</v>
      </c>
      <c r="U3291" t="s">
        <v>13610</v>
      </c>
      <c r="V3291" t="s">
        <v>13610</v>
      </c>
      <c r="W3291" t="s">
        <v>16847</v>
      </c>
      <c r="X3291">
        <v>6</v>
      </c>
      <c r="Y3291" t="s">
        <v>23474</v>
      </c>
      <c r="Z3291" t="s">
        <v>30146</v>
      </c>
      <c r="AA3291">
        <v>0.3757104802315171</v>
      </c>
      <c r="AB3291" t="str">
        <f>HYPERLINK("Melting_Curves/meltCurve_Q13724_MOGS.pdf", "Melting_Curves/meltCurve_Q13724_MOGS.pdf")</f>
        <v>Melting_Curves/meltCurve_Q13724_MOGS.pdf</v>
      </c>
    </row>
    <row r="3292" spans="1:28" x14ac:dyDescent="0.25">
      <c r="A3292" t="s">
        <v>3296</v>
      </c>
      <c r="B3292">
        <v>0.995954080203443</v>
      </c>
      <c r="C3292">
        <v>0.51367344299041795</v>
      </c>
      <c r="D3292">
        <v>0.309906116202118</v>
      </c>
      <c r="E3292">
        <v>0.35356018966055702</v>
      </c>
      <c r="F3292">
        <v>0.206294779715473</v>
      </c>
      <c r="G3292">
        <v>0.11088023794492</v>
      </c>
      <c r="H3292">
        <v>4.8339228481869799E-2</v>
      </c>
      <c r="I3292">
        <v>2.0530124343545099E-2</v>
      </c>
      <c r="J3292">
        <v>3.1832171584703403E-2</v>
      </c>
      <c r="K3292">
        <v>2.1776534835440699E-2</v>
      </c>
      <c r="L3292">
        <v>582.67261700939002</v>
      </c>
      <c r="M3292">
        <v>13.1157199839064</v>
      </c>
      <c r="N3292">
        <v>44.721689492123602</v>
      </c>
      <c r="O3292">
        <v>43.430838173046702</v>
      </c>
      <c r="P3292">
        <v>-7.23695995415259E-2</v>
      </c>
      <c r="Q3292">
        <v>4.1597398758157197E-2</v>
      </c>
      <c r="R3292">
        <v>0.90510715774780803</v>
      </c>
      <c r="S3292" t="s">
        <v>10098</v>
      </c>
      <c r="T3292" t="s">
        <v>13610</v>
      </c>
      <c r="U3292" t="s">
        <v>13610</v>
      </c>
      <c r="V3292" t="s">
        <v>13610</v>
      </c>
      <c r="W3292" t="s">
        <v>16848</v>
      </c>
      <c r="X3292">
        <v>19</v>
      </c>
      <c r="Y3292" t="s">
        <v>23475</v>
      </c>
      <c r="Z3292" t="s">
        <v>30147</v>
      </c>
      <c r="AA3292">
        <v>0.22600230679772221</v>
      </c>
      <c r="AB3292" t="str">
        <f>HYPERLINK("Melting_Curves/meltCurve_Q13748_TUBA3C.pdf", "Melting_Curves/meltCurve_Q13748_TUBA3C.pdf")</f>
        <v>Melting_Curves/meltCurve_Q13748_TUBA3C.pdf</v>
      </c>
    </row>
    <row r="3293" spans="1:28" x14ac:dyDescent="0.25">
      <c r="A3293" t="s">
        <v>3297</v>
      </c>
      <c r="B3293">
        <v>0.995954080203443</v>
      </c>
      <c r="C3293">
        <v>0.78657797757207804</v>
      </c>
      <c r="D3293">
        <v>0.65874729323777304</v>
      </c>
      <c r="E3293">
        <v>0.98942892811261596</v>
      </c>
      <c r="F3293">
        <v>0.38119160829718601</v>
      </c>
      <c r="G3293">
        <v>0.163659078434787</v>
      </c>
      <c r="H3293">
        <v>0.114058321531948</v>
      </c>
      <c r="I3293">
        <v>8.9027380615023397E-2</v>
      </c>
      <c r="J3293">
        <v>0.11250897314181101</v>
      </c>
      <c r="K3293">
        <v>9.0714290216800997E-2</v>
      </c>
      <c r="L3293">
        <v>4266.8155315183103</v>
      </c>
      <c r="M3293">
        <v>81.340118770571806</v>
      </c>
      <c r="N3293">
        <v>52.6232377826245</v>
      </c>
      <c r="O3293">
        <v>52.424788331599103</v>
      </c>
      <c r="P3293">
        <v>-0.34381958910135701</v>
      </c>
      <c r="Q3293">
        <v>0.113614915111939</v>
      </c>
      <c r="R3293">
        <v>0.87433924853358302</v>
      </c>
      <c r="S3293" t="s">
        <v>10099</v>
      </c>
      <c r="T3293" t="s">
        <v>13610</v>
      </c>
      <c r="U3293" t="s">
        <v>13610</v>
      </c>
      <c r="V3293" t="s">
        <v>13610</v>
      </c>
      <c r="W3293" t="s">
        <v>16849</v>
      </c>
      <c r="X3293">
        <v>12</v>
      </c>
      <c r="Y3293" t="s">
        <v>23476</v>
      </c>
      <c r="Z3293" t="s">
        <v>30148</v>
      </c>
      <c r="AA3293">
        <v>0.48242818878455462</v>
      </c>
      <c r="AB3293" t="str">
        <f>HYPERLINK("Melting_Curves/meltCurve_Q13769_THOC5.pdf", "Melting_Curves/meltCurve_Q13769_THOC5.pdf")</f>
        <v>Melting_Curves/meltCurve_Q13769_THOC5.pdf</v>
      </c>
    </row>
    <row r="3294" spans="1:28" x14ac:dyDescent="0.25">
      <c r="A3294" t="s">
        <v>3298</v>
      </c>
      <c r="B3294">
        <v>0.995954080203443</v>
      </c>
      <c r="C3294">
        <v>0.70387918081537104</v>
      </c>
      <c r="D3294">
        <v>0.59206153457390698</v>
      </c>
      <c r="E3294">
        <v>0.97398739150693603</v>
      </c>
      <c r="F3294">
        <v>0.237462917637592</v>
      </c>
      <c r="G3294">
        <v>0.54349416032862896</v>
      </c>
      <c r="H3294">
        <v>8.5176555009152097E-2</v>
      </c>
      <c r="I3294">
        <v>6.14155816739759E-2</v>
      </c>
      <c r="J3294">
        <v>6.6603516212481603E-2</v>
      </c>
      <c r="K3294">
        <v>6.1025350107463801E-2</v>
      </c>
      <c r="L3294">
        <v>477.68979158486002</v>
      </c>
      <c r="M3294">
        <v>9.1732280179217796</v>
      </c>
      <c r="N3294">
        <v>52.074335261244599</v>
      </c>
      <c r="O3294">
        <v>49.778773040699001</v>
      </c>
      <c r="P3294">
        <v>-4.6101104179101203E-2</v>
      </c>
      <c r="Q3294">
        <v>0</v>
      </c>
      <c r="R3294">
        <v>0.73747389202424796</v>
      </c>
      <c r="S3294" t="s">
        <v>10100</v>
      </c>
      <c r="T3294" t="s">
        <v>13610</v>
      </c>
      <c r="U3294" t="s">
        <v>13610</v>
      </c>
      <c r="V3294" t="s">
        <v>13610</v>
      </c>
      <c r="W3294" t="s">
        <v>16850</v>
      </c>
      <c r="X3294">
        <v>168</v>
      </c>
      <c r="Y3294" t="s">
        <v>23477</v>
      </c>
      <c r="Z3294" t="s">
        <v>30149</v>
      </c>
      <c r="AA3294">
        <v>0.44365525643716708</v>
      </c>
      <c r="AB3294" t="str">
        <f>HYPERLINK("Melting_Curves/meltCurve_Q13813_SPTAN1.pdf", "Melting_Curves/meltCurve_Q13813_SPTAN1.pdf")</f>
        <v>Melting_Curves/meltCurve_Q13813_SPTAN1.pdf</v>
      </c>
    </row>
    <row r="3295" spans="1:28" x14ac:dyDescent="0.25">
      <c r="A3295" t="s">
        <v>3299</v>
      </c>
      <c r="B3295">
        <v>0.995954080203443</v>
      </c>
      <c r="C3295">
        <v>0.74681609845608299</v>
      </c>
      <c r="D3295">
        <v>0.59171910980740605</v>
      </c>
      <c r="E3295">
        <v>1.0218062853980601</v>
      </c>
      <c r="F3295">
        <v>0.74690316299253501</v>
      </c>
      <c r="G3295">
        <v>0.52330428168671805</v>
      </c>
      <c r="H3295">
        <v>0.165319311779973</v>
      </c>
      <c r="I3295">
        <v>0.107956297684212</v>
      </c>
      <c r="J3295">
        <v>0.10699206583498901</v>
      </c>
      <c r="K3295">
        <v>9.1913810918307901E-2</v>
      </c>
      <c r="L3295">
        <v>854.96677179202698</v>
      </c>
      <c r="M3295">
        <v>15.1128681592667</v>
      </c>
      <c r="N3295">
        <v>56.5721230769526</v>
      </c>
      <c r="O3295">
        <v>55.609326976362297</v>
      </c>
      <c r="P3295">
        <v>-6.7948813582385206E-2</v>
      </c>
      <c r="Q3295">
        <v>0</v>
      </c>
      <c r="R3295">
        <v>0.80805638447756301</v>
      </c>
      <c r="S3295" t="s">
        <v>10101</v>
      </c>
      <c r="T3295" t="s">
        <v>13610</v>
      </c>
      <c r="U3295" t="s">
        <v>13610</v>
      </c>
      <c r="V3295" t="s">
        <v>13610</v>
      </c>
      <c r="W3295" t="s">
        <v>16851</v>
      </c>
      <c r="X3295">
        <v>168</v>
      </c>
      <c r="Y3295" t="s">
        <v>23477</v>
      </c>
      <c r="Z3295" t="s">
        <v>30150</v>
      </c>
      <c r="AA3295">
        <v>0.56900951792542442</v>
      </c>
      <c r="AB3295" t="str">
        <f>HYPERLINK("Melting_Curves/meltCurve_Q13813_2_SPTAN1.pdf", "Melting_Curves/meltCurve_Q13813_2_SPTAN1.pdf")</f>
        <v>Melting_Curves/meltCurve_Q13813_2_SPTAN1.pdf</v>
      </c>
    </row>
    <row r="3296" spans="1:28" x14ac:dyDescent="0.25">
      <c r="A3296" t="s">
        <v>3300</v>
      </c>
      <c r="B3296">
        <v>0.995954080203443</v>
      </c>
      <c r="C3296">
        <v>0.93620683029898999</v>
      </c>
      <c r="D3296">
        <v>0.92538389623381201</v>
      </c>
      <c r="E3296">
        <v>0.63635027073201</v>
      </c>
      <c r="F3296">
        <v>0.284150615972733</v>
      </c>
      <c r="G3296">
        <v>0.16806300549825201</v>
      </c>
      <c r="H3296">
        <v>0.13415524380862201</v>
      </c>
      <c r="I3296">
        <v>0.14086912133826501</v>
      </c>
      <c r="J3296">
        <v>0.146251719096954</v>
      </c>
      <c r="K3296">
        <v>0.15805462591773001</v>
      </c>
      <c r="L3296">
        <v>1480.2261644806799</v>
      </c>
      <c r="M3296">
        <v>29.3850258983652</v>
      </c>
      <c r="N3296">
        <v>50.946697118127197</v>
      </c>
      <c r="O3296">
        <v>50.141928623810998</v>
      </c>
      <c r="P3296">
        <v>-0.125887545645193</v>
      </c>
      <c r="Q3296">
        <v>0.14075984393091101</v>
      </c>
      <c r="R3296">
        <v>0.99587069069267498</v>
      </c>
      <c r="S3296" t="s">
        <v>10102</v>
      </c>
      <c r="T3296" t="s">
        <v>13610</v>
      </c>
      <c r="U3296" t="s">
        <v>13610</v>
      </c>
      <c r="V3296" t="s">
        <v>13610</v>
      </c>
      <c r="W3296" t="s">
        <v>16852</v>
      </c>
      <c r="X3296">
        <v>23</v>
      </c>
      <c r="Y3296" t="s">
        <v>23478</v>
      </c>
      <c r="Z3296" t="s">
        <v>30151</v>
      </c>
      <c r="AA3296">
        <v>0.44344524913768829</v>
      </c>
      <c r="AB3296" t="str">
        <f>HYPERLINK("Melting_Curves/meltCurve_Q13823_GNL2.pdf", "Melting_Curves/meltCurve_Q13823_GNL2.pdf")</f>
        <v>Melting_Curves/meltCurve_Q13823_GNL2.pdf</v>
      </c>
    </row>
    <row r="3297" spans="1:28" x14ac:dyDescent="0.25">
      <c r="A3297" t="s">
        <v>3301</v>
      </c>
      <c r="B3297">
        <v>0.995954080203443</v>
      </c>
      <c r="C3297">
        <v>0.98320294065624803</v>
      </c>
      <c r="D3297">
        <v>0.86969779109226297</v>
      </c>
      <c r="E3297">
        <v>0.581668732611202</v>
      </c>
      <c r="F3297">
        <v>0.30543971905244699</v>
      </c>
      <c r="G3297">
        <v>0.18948951690540899</v>
      </c>
      <c r="H3297">
        <v>0.120386900738643</v>
      </c>
      <c r="I3297">
        <v>0.118214438108613</v>
      </c>
      <c r="J3297">
        <v>0.121307583667111</v>
      </c>
      <c r="K3297">
        <v>0.121420559325901</v>
      </c>
      <c r="L3297">
        <v>1069.40309640276</v>
      </c>
      <c r="M3297">
        <v>21.348554023719799</v>
      </c>
      <c r="N3297">
        <v>50.7035037608197</v>
      </c>
      <c r="O3297">
        <v>49.659216132117301</v>
      </c>
      <c r="P3297">
        <v>-9.5288844838515602E-2</v>
      </c>
      <c r="Q3297">
        <v>0.113410611789619</v>
      </c>
      <c r="R3297">
        <v>0.99902906221708199</v>
      </c>
      <c r="S3297" t="s">
        <v>10103</v>
      </c>
      <c r="T3297" t="s">
        <v>13610</v>
      </c>
      <c r="U3297" t="s">
        <v>13610</v>
      </c>
      <c r="V3297" t="s">
        <v>13610</v>
      </c>
      <c r="W3297" t="s">
        <v>16853</v>
      </c>
      <c r="X3297">
        <v>3</v>
      </c>
      <c r="Y3297" t="s">
        <v>23479</v>
      </c>
      <c r="Z3297" t="s">
        <v>30152</v>
      </c>
      <c r="AA3297">
        <v>0.42253458335895799</v>
      </c>
      <c r="AB3297" t="str">
        <f>HYPERLINK("Melting_Curves/meltCurve_Q13825_AUH.pdf", "Melting_Curves/meltCurve_Q13825_AUH.pdf")</f>
        <v>Melting_Curves/meltCurve_Q13825_AUH.pdf</v>
      </c>
    </row>
    <row r="3298" spans="1:28" x14ac:dyDescent="0.25">
      <c r="A3298" t="s">
        <v>3302</v>
      </c>
      <c r="B3298">
        <v>0.995954080203443</v>
      </c>
      <c r="C3298">
        <v>0.91486728791249305</v>
      </c>
      <c r="D3298">
        <v>0.83382813581335302</v>
      </c>
      <c r="E3298">
        <v>0.76613006180918397</v>
      </c>
      <c r="F3298">
        <v>0.49878333180946</v>
      </c>
      <c r="G3298">
        <v>0.129524461070534</v>
      </c>
      <c r="H3298">
        <v>7.9531286931560793E-2</v>
      </c>
      <c r="I3298">
        <v>6.7935120611183203E-2</v>
      </c>
      <c r="J3298">
        <v>7.8396271179307697E-2</v>
      </c>
      <c r="K3298">
        <v>6.9200972812826306E-2</v>
      </c>
      <c r="L3298">
        <v>1031.1906612304899</v>
      </c>
      <c r="M3298">
        <v>19.702680228930799</v>
      </c>
      <c r="N3298">
        <v>52.561713594299903</v>
      </c>
      <c r="O3298">
        <v>51.8073615220544</v>
      </c>
      <c r="P3298">
        <v>-9.1248704419844603E-2</v>
      </c>
      <c r="Q3298">
        <v>4.0294526112226899E-2</v>
      </c>
      <c r="R3298">
        <v>0.98188036131565604</v>
      </c>
      <c r="S3298" t="s">
        <v>10104</v>
      </c>
      <c r="T3298" t="s">
        <v>13610</v>
      </c>
      <c r="U3298" t="s">
        <v>13610</v>
      </c>
      <c r="V3298" t="s">
        <v>13610</v>
      </c>
      <c r="W3298" t="s">
        <v>16854</v>
      </c>
      <c r="X3298">
        <v>24</v>
      </c>
      <c r="Y3298" t="s">
        <v>23480</v>
      </c>
      <c r="Z3298" t="s">
        <v>30153</v>
      </c>
      <c r="AA3298">
        <v>0.44858968075638472</v>
      </c>
      <c r="AB3298" t="str">
        <f>HYPERLINK("Melting_Curves/meltCurve_Q13838_DDX39B.pdf", "Melting_Curves/meltCurve_Q13838_DDX39B.pdf")</f>
        <v>Melting_Curves/meltCurve_Q13838_DDX39B.pdf</v>
      </c>
    </row>
    <row r="3299" spans="1:28" x14ac:dyDescent="0.25">
      <c r="A3299" t="s">
        <v>3303</v>
      </c>
      <c r="B3299">
        <v>0.995954080203443</v>
      </c>
      <c r="C3299">
        <v>0.84822663564365097</v>
      </c>
      <c r="D3299">
        <v>0.72861684789258696</v>
      </c>
      <c r="E3299">
        <v>0.88889435183881205</v>
      </c>
      <c r="F3299">
        <v>0.67858035332359001</v>
      </c>
      <c r="G3299">
        <v>0.54745179106501995</v>
      </c>
      <c r="H3299">
        <v>0.32670142723173301</v>
      </c>
      <c r="I3299">
        <v>0.38114937633710699</v>
      </c>
      <c r="J3299">
        <v>0.199789659432177</v>
      </c>
      <c r="K3299">
        <v>0.394450086441551</v>
      </c>
      <c r="L3299">
        <v>420.00579963117099</v>
      </c>
      <c r="M3299">
        <v>7.4948216694194398</v>
      </c>
      <c r="N3299">
        <v>57.983521863514802</v>
      </c>
      <c r="O3299">
        <v>52.4660150134209</v>
      </c>
      <c r="P3299">
        <v>-3.1790846467331497E-2</v>
      </c>
      <c r="Q3299">
        <v>0.111099448376904</v>
      </c>
      <c r="R3299">
        <v>0.87468319904478797</v>
      </c>
      <c r="S3299" t="s">
        <v>10105</v>
      </c>
      <c r="T3299" t="s">
        <v>13610</v>
      </c>
      <c r="U3299" t="s">
        <v>13610</v>
      </c>
      <c r="V3299" t="s">
        <v>13610</v>
      </c>
      <c r="W3299" t="s">
        <v>16855</v>
      </c>
      <c r="X3299">
        <v>30</v>
      </c>
      <c r="Y3299" t="s">
        <v>23481</v>
      </c>
      <c r="Z3299" t="s">
        <v>30154</v>
      </c>
      <c r="AA3299">
        <v>0.60294112368452091</v>
      </c>
      <c r="AB3299" t="str">
        <f>HYPERLINK("Melting_Curves/meltCurve_Q13867_BLMH.pdf", "Melting_Curves/meltCurve_Q13867_BLMH.pdf")</f>
        <v>Melting_Curves/meltCurve_Q13867_BLMH.pdf</v>
      </c>
    </row>
    <row r="3300" spans="1:28" x14ac:dyDescent="0.25">
      <c r="A3300" t="s">
        <v>3304</v>
      </c>
      <c r="B3300">
        <v>0.995954080203443</v>
      </c>
      <c r="C3300">
        <v>0.87121517785762903</v>
      </c>
      <c r="D3300">
        <v>0.76782187625180198</v>
      </c>
      <c r="E3300">
        <v>0.84134855384653895</v>
      </c>
      <c r="F3300">
        <v>0.62964007462800897</v>
      </c>
      <c r="G3300">
        <v>0.466418584460496</v>
      </c>
      <c r="H3300">
        <v>0.218298667984232</v>
      </c>
      <c r="I3300">
        <v>0.109750612946815</v>
      </c>
      <c r="J3300">
        <v>9.0090516200816498E-2</v>
      </c>
      <c r="K3300">
        <v>9.1494169280553206E-2</v>
      </c>
      <c r="L3300">
        <v>630.35631167401596</v>
      </c>
      <c r="M3300">
        <v>11.4296826997191</v>
      </c>
      <c r="N3300">
        <v>55.150814608940202</v>
      </c>
      <c r="O3300">
        <v>53.543557647647503</v>
      </c>
      <c r="P3300">
        <v>-5.33818147438581E-2</v>
      </c>
      <c r="Q3300">
        <v>0</v>
      </c>
      <c r="R3300">
        <v>0.96286072280761104</v>
      </c>
      <c r="S3300" t="s">
        <v>10106</v>
      </c>
      <c r="T3300" t="s">
        <v>13610</v>
      </c>
      <c r="U3300" t="s">
        <v>13610</v>
      </c>
      <c r="V3300" t="s">
        <v>13610</v>
      </c>
      <c r="W3300" t="s">
        <v>16856</v>
      </c>
      <c r="X3300">
        <v>14</v>
      </c>
      <c r="Y3300" t="s">
        <v>23482</v>
      </c>
      <c r="Z3300" t="s">
        <v>30155</v>
      </c>
      <c r="AA3300">
        <v>0.52873487731877</v>
      </c>
      <c r="AB3300" t="str">
        <f>HYPERLINK("Melting_Curves/meltCurve_Q13868_EXOSC2.pdf", "Melting_Curves/meltCurve_Q13868_EXOSC2.pdf")</f>
        <v>Melting_Curves/meltCurve_Q13868_EXOSC2.pdf</v>
      </c>
    </row>
    <row r="3301" spans="1:28" x14ac:dyDescent="0.25">
      <c r="A3301" t="s">
        <v>3305</v>
      </c>
      <c r="B3301">
        <v>0.995954080203443</v>
      </c>
      <c r="C3301">
        <v>0.80748209393410098</v>
      </c>
      <c r="D3301">
        <v>1.0355410699637999</v>
      </c>
      <c r="E3301">
        <v>0.68896640635362405</v>
      </c>
      <c r="F3301">
        <v>0.93239651372599497</v>
      </c>
      <c r="G3301">
        <v>0.58096897174625095</v>
      </c>
      <c r="H3301">
        <v>0.56707586866806003</v>
      </c>
      <c r="I3301">
        <v>0.69904350027960604</v>
      </c>
      <c r="J3301">
        <v>0.72087098841262998</v>
      </c>
      <c r="K3301">
        <v>0.85778908216742</v>
      </c>
      <c r="L3301">
        <v>756.62597432195605</v>
      </c>
      <c r="M3301">
        <v>15.738816959596001</v>
      </c>
      <c r="O3301">
        <v>47.317852320800597</v>
      </c>
      <c r="P3301">
        <v>-2.51279452460378E-2</v>
      </c>
      <c r="Q3301">
        <v>0.69784236544530598</v>
      </c>
      <c r="R3301">
        <v>0.37959991322025</v>
      </c>
      <c r="S3301" t="s">
        <v>10107</v>
      </c>
      <c r="T3301" t="s">
        <v>13610</v>
      </c>
      <c r="U3301" t="s">
        <v>13610</v>
      </c>
      <c r="V3301" t="s">
        <v>13610</v>
      </c>
      <c r="W3301" t="s">
        <v>16857</v>
      </c>
      <c r="X3301">
        <v>1</v>
      </c>
      <c r="Y3301" t="s">
        <v>23483</v>
      </c>
      <c r="Z3301" t="s">
        <v>30156</v>
      </c>
      <c r="AA3301">
        <v>0.78620344780716755</v>
      </c>
      <c r="AB3301" t="str">
        <f>HYPERLINK("Melting_Curves/meltCurve_Q13873_BMPR2.pdf", "Melting_Curves/meltCurve_Q13873_BMPR2.pdf")</f>
        <v>Melting_Curves/meltCurve_Q13873_BMPR2.pdf</v>
      </c>
    </row>
    <row r="3302" spans="1:28" x14ac:dyDescent="0.25">
      <c r="A3302" t="s">
        <v>3306</v>
      </c>
      <c r="B3302">
        <v>0.995954080203443</v>
      </c>
      <c r="C3302">
        <v>0.52076836988290098</v>
      </c>
      <c r="D3302">
        <v>0.328603036035304</v>
      </c>
      <c r="E3302">
        <v>0.36213098753720702</v>
      </c>
      <c r="F3302">
        <v>0.20386411605521401</v>
      </c>
      <c r="G3302">
        <v>9.8833710108483894E-2</v>
      </c>
      <c r="H3302">
        <v>6.3829874459017E-2</v>
      </c>
      <c r="I3302">
        <v>5.8502813419601701E-2</v>
      </c>
      <c r="J3302">
        <v>5.2480379991675603E-2</v>
      </c>
      <c r="K3302">
        <v>5.8284241186581903E-2</v>
      </c>
      <c r="L3302">
        <v>627.65558240858297</v>
      </c>
      <c r="M3302">
        <v>14.1912748383441</v>
      </c>
      <c r="N3302">
        <v>44.706627607302501</v>
      </c>
      <c r="O3302">
        <v>43.377825578106098</v>
      </c>
      <c r="P3302">
        <v>-7.6037229681766905E-2</v>
      </c>
      <c r="Q3302">
        <v>7.0438224266036006E-2</v>
      </c>
      <c r="R3302">
        <v>0.91150287421172504</v>
      </c>
      <c r="S3302" t="s">
        <v>10108</v>
      </c>
      <c r="T3302" t="s">
        <v>13610</v>
      </c>
      <c r="U3302" t="s">
        <v>13610</v>
      </c>
      <c r="V3302" t="s">
        <v>13610</v>
      </c>
      <c r="W3302" t="s">
        <v>16858</v>
      </c>
      <c r="X3302">
        <v>20</v>
      </c>
      <c r="Y3302" t="s">
        <v>23484</v>
      </c>
      <c r="Z3302" t="s">
        <v>30157</v>
      </c>
      <c r="AA3302">
        <v>0.23805570709992349</v>
      </c>
      <c r="AB3302" t="str">
        <f>HYPERLINK("Melting_Curves/meltCurve_Q13885_TUBB2A.pdf", "Melting_Curves/meltCurve_Q13885_TUBB2A.pdf")</f>
        <v>Melting_Curves/meltCurve_Q13885_TUBB2A.pdf</v>
      </c>
    </row>
    <row r="3303" spans="1:28" x14ac:dyDescent="0.25">
      <c r="A3303" t="s">
        <v>3307</v>
      </c>
      <c r="B3303">
        <v>0.995954080203443</v>
      </c>
      <c r="C3303">
        <v>0.81788641998094302</v>
      </c>
      <c r="D3303">
        <v>0.82378482626843996</v>
      </c>
      <c r="E3303">
        <v>0.64040695669854597</v>
      </c>
      <c r="F3303">
        <v>0.63734142612914602</v>
      </c>
      <c r="G3303">
        <v>0.42675801449919498</v>
      </c>
      <c r="H3303">
        <v>0.42915103109327202</v>
      </c>
      <c r="I3303">
        <v>0.50399443644492403</v>
      </c>
      <c r="J3303">
        <v>0.45258180900802403</v>
      </c>
      <c r="K3303">
        <v>0.55341528837909104</v>
      </c>
      <c r="L3303">
        <v>624.13161406768495</v>
      </c>
      <c r="M3303">
        <v>13.1529667940419</v>
      </c>
      <c r="N3303">
        <v>59.0933367511212</v>
      </c>
      <c r="O3303">
        <v>46.395116266522898</v>
      </c>
      <c r="P3303">
        <v>-3.8099192909382899E-2</v>
      </c>
      <c r="Q3303">
        <v>0.462534010246056</v>
      </c>
      <c r="R3303">
        <v>0.90445774483442198</v>
      </c>
      <c r="S3303" t="s">
        <v>10109</v>
      </c>
      <c r="T3303" t="s">
        <v>13610</v>
      </c>
      <c r="U3303" t="s">
        <v>13610</v>
      </c>
      <c r="V3303" t="s">
        <v>13610</v>
      </c>
      <c r="W3303" t="s">
        <v>16859</v>
      </c>
      <c r="X3303">
        <v>1</v>
      </c>
      <c r="Y3303" t="s">
        <v>23485</v>
      </c>
      <c r="Z3303" t="s">
        <v>30158</v>
      </c>
      <c r="AA3303">
        <v>0.61445359513090625</v>
      </c>
      <c r="AB3303" t="str">
        <f>HYPERLINK("Melting_Curves/meltCurve_Q13886_KLF9.pdf", "Melting_Curves/meltCurve_Q13886_KLF9.pdf")</f>
        <v>Melting_Curves/meltCurve_Q13886_KLF9.pdf</v>
      </c>
    </row>
    <row r="3304" spans="1:28" x14ac:dyDescent="0.25">
      <c r="A3304" t="s">
        <v>3308</v>
      </c>
      <c r="B3304">
        <v>0.995954080203443</v>
      </c>
      <c r="C3304">
        <v>0.87767644992657301</v>
      </c>
      <c r="D3304">
        <v>0.74680184095775304</v>
      </c>
      <c r="E3304">
        <v>0.32478042454223699</v>
      </c>
      <c r="F3304">
        <v>0.23945163884208101</v>
      </c>
      <c r="G3304">
        <v>0.15738408703308501</v>
      </c>
      <c r="H3304">
        <v>0.13277447118218599</v>
      </c>
      <c r="I3304">
        <v>0.13859201510921801</v>
      </c>
      <c r="J3304">
        <v>0.17350845096438799</v>
      </c>
      <c r="K3304">
        <v>0.15646729944568699</v>
      </c>
      <c r="L3304">
        <v>1058.1481725394899</v>
      </c>
      <c r="M3304">
        <v>22.317900911793199</v>
      </c>
      <c r="N3304">
        <v>48.161566161866197</v>
      </c>
      <c r="O3304">
        <v>47.036782720732397</v>
      </c>
      <c r="P3304">
        <v>-0.10122803056801601</v>
      </c>
      <c r="Q3304">
        <v>0.14663271293046201</v>
      </c>
      <c r="R3304">
        <v>0.994430212822633</v>
      </c>
      <c r="S3304" t="s">
        <v>10110</v>
      </c>
      <c r="T3304" t="s">
        <v>13610</v>
      </c>
      <c r="U3304" t="s">
        <v>13610</v>
      </c>
      <c r="V3304" t="s">
        <v>13610</v>
      </c>
      <c r="W3304" t="s">
        <v>16860</v>
      </c>
      <c r="X3304">
        <v>17</v>
      </c>
      <c r="Y3304" t="s">
        <v>23486</v>
      </c>
      <c r="Z3304" t="s">
        <v>30159</v>
      </c>
      <c r="AA3304">
        <v>0.36718007975760031</v>
      </c>
      <c r="AB3304" t="str">
        <f>HYPERLINK("Melting_Curves/meltCurve_Q13895_BYSL.pdf", "Melting_Curves/meltCurve_Q13895_BYSL.pdf")</f>
        <v>Melting_Curves/meltCurve_Q13895_BYSL.pdf</v>
      </c>
    </row>
    <row r="3305" spans="1:28" x14ac:dyDescent="0.25">
      <c r="A3305" t="s">
        <v>3309</v>
      </c>
      <c r="B3305">
        <v>0.995954080203443</v>
      </c>
      <c r="C3305">
        <v>0.94145398799362801</v>
      </c>
      <c r="D3305">
        <v>1.2798011274538601</v>
      </c>
      <c r="E3305">
        <v>0.80449763670568897</v>
      </c>
      <c r="F3305">
        <v>0.54711345320807603</v>
      </c>
      <c r="G3305">
        <v>0.26454502753230202</v>
      </c>
      <c r="H3305">
        <v>0.19319460564472901</v>
      </c>
      <c r="I3305">
        <v>0.17060620382858599</v>
      </c>
      <c r="J3305">
        <v>0.17709012322162501</v>
      </c>
      <c r="K3305">
        <v>0.133515166116385</v>
      </c>
      <c r="L3305">
        <v>1565.19291362696</v>
      </c>
      <c r="M3305">
        <v>29.741836163944502</v>
      </c>
      <c r="N3305">
        <v>53.359193683097502</v>
      </c>
      <c r="O3305">
        <v>52.3897787956288</v>
      </c>
      <c r="P3305">
        <v>-0.11811980188755</v>
      </c>
      <c r="Q3305">
        <v>0.16774095043812201</v>
      </c>
      <c r="R3305">
        <v>0.94268659319708803</v>
      </c>
      <c r="S3305" t="s">
        <v>10111</v>
      </c>
      <c r="T3305" t="s">
        <v>13610</v>
      </c>
      <c r="U3305" t="s">
        <v>13610</v>
      </c>
      <c r="V3305" t="s">
        <v>13610</v>
      </c>
      <c r="W3305" t="s">
        <v>16861</v>
      </c>
      <c r="X3305">
        <v>3</v>
      </c>
      <c r="Y3305" t="s">
        <v>23487</v>
      </c>
      <c r="Z3305" t="s">
        <v>30160</v>
      </c>
      <c r="AA3305">
        <v>0.52347051799426125</v>
      </c>
      <c r="AB3305" t="str">
        <f>HYPERLINK("Melting_Curves/meltCurve_Q13901_C1D.pdf", "Melting_Curves/meltCurve_Q13901_C1D.pdf")</f>
        <v>Melting_Curves/meltCurve_Q13901_C1D.pdf</v>
      </c>
    </row>
    <row r="3306" spans="1:28" x14ac:dyDescent="0.25">
      <c r="A3306" t="s">
        <v>3310</v>
      </c>
      <c r="B3306">
        <v>0.995954080203443</v>
      </c>
      <c r="C3306">
        <v>0.972703217994764</v>
      </c>
      <c r="D3306">
        <v>0.87930936782135205</v>
      </c>
      <c r="E3306">
        <v>0.70166086465675703</v>
      </c>
      <c r="F3306">
        <v>0.49403330602650303</v>
      </c>
      <c r="G3306">
        <v>0.29377439638926101</v>
      </c>
      <c r="H3306">
        <v>0.18936459750304799</v>
      </c>
      <c r="I3306">
        <v>0.16242693758031701</v>
      </c>
      <c r="J3306">
        <v>0.19749010533750799</v>
      </c>
      <c r="K3306">
        <v>0.16997009755901901</v>
      </c>
      <c r="L3306">
        <v>863.19908743217502</v>
      </c>
      <c r="M3306">
        <v>16.709581211896602</v>
      </c>
      <c r="N3306">
        <v>52.789546382999603</v>
      </c>
      <c r="O3306">
        <v>50.936056011111603</v>
      </c>
      <c r="P3306">
        <v>-6.9680804396202695E-2</v>
      </c>
      <c r="Q3306">
        <v>0.15042020541124501</v>
      </c>
      <c r="R3306">
        <v>0.99762790273399005</v>
      </c>
      <c r="S3306" t="s">
        <v>10112</v>
      </c>
      <c r="T3306" t="s">
        <v>13610</v>
      </c>
      <c r="U3306" t="s">
        <v>13610</v>
      </c>
      <c r="V3306" t="s">
        <v>13610</v>
      </c>
      <c r="W3306" t="s">
        <v>16862</v>
      </c>
      <c r="X3306">
        <v>13</v>
      </c>
      <c r="Y3306" t="s">
        <v>23488</v>
      </c>
      <c r="Z3306" t="s">
        <v>30161</v>
      </c>
      <c r="AA3306">
        <v>0.49671880742939167</v>
      </c>
      <c r="AB3306" t="str">
        <f>HYPERLINK("Melting_Curves/meltCurve_Q13905_RAPGEF1.pdf", "Melting_Curves/meltCurve_Q13905_RAPGEF1.pdf")</f>
        <v>Melting_Curves/meltCurve_Q13905_RAPGEF1.pdf</v>
      </c>
    </row>
    <row r="3307" spans="1:28" x14ac:dyDescent="0.25">
      <c r="A3307" t="s">
        <v>3311</v>
      </c>
      <c r="B3307">
        <v>0.995954080203443</v>
      </c>
      <c r="C3307">
        <v>0.94542232086002098</v>
      </c>
      <c r="D3307">
        <v>0.96261811960593102</v>
      </c>
      <c r="E3307">
        <v>0.808597230707781</v>
      </c>
      <c r="F3307">
        <v>0.81672839412326403</v>
      </c>
      <c r="G3307">
        <v>0.60776313929346304</v>
      </c>
      <c r="H3307">
        <v>0.46335431448079201</v>
      </c>
      <c r="I3307">
        <v>0.47734129590548502</v>
      </c>
      <c r="J3307">
        <v>0.425159688836725</v>
      </c>
      <c r="K3307">
        <v>0.39021630463045098</v>
      </c>
      <c r="L3307">
        <v>651.31919554195804</v>
      </c>
      <c r="M3307">
        <v>11.7540040680354</v>
      </c>
      <c r="N3307">
        <v>61.362403986290197</v>
      </c>
      <c r="O3307">
        <v>53.881548759195603</v>
      </c>
      <c r="P3307">
        <v>-3.6001044578244601E-2</v>
      </c>
      <c r="Q3307">
        <v>0.34004255667467198</v>
      </c>
      <c r="R3307">
        <v>0.98094361143999698</v>
      </c>
      <c r="S3307" t="s">
        <v>10113</v>
      </c>
      <c r="T3307" t="s">
        <v>13610</v>
      </c>
      <c r="U3307" t="s">
        <v>13610</v>
      </c>
      <c r="V3307" t="s">
        <v>13610</v>
      </c>
      <c r="W3307" t="s">
        <v>16863</v>
      </c>
      <c r="X3307">
        <v>14</v>
      </c>
      <c r="Y3307" t="s">
        <v>23489</v>
      </c>
      <c r="Z3307" t="s">
        <v>30162</v>
      </c>
      <c r="AA3307">
        <v>0.69394408540581876</v>
      </c>
      <c r="AB3307" t="str">
        <f>HYPERLINK("Melting_Curves/meltCurve_Q13907_IDI1.pdf", "Melting_Curves/meltCurve_Q13907_IDI1.pdf")</f>
        <v>Melting_Curves/meltCurve_Q13907_IDI1.pdf</v>
      </c>
    </row>
    <row r="3308" spans="1:28" x14ac:dyDescent="0.25">
      <c r="A3308" t="s">
        <v>3312</v>
      </c>
      <c r="B3308">
        <v>0.995954080203443</v>
      </c>
      <c r="C3308">
        <v>0.99553485884932902</v>
      </c>
      <c r="D3308">
        <v>0.98419111454151098</v>
      </c>
      <c r="E3308">
        <v>0.83951338243433504</v>
      </c>
      <c r="F3308">
        <v>0.54794901541555496</v>
      </c>
      <c r="G3308">
        <v>0.19588661902058599</v>
      </c>
      <c r="H3308">
        <v>0.113597163629963</v>
      </c>
      <c r="I3308">
        <v>9.9180693520465199E-2</v>
      </c>
      <c r="J3308">
        <v>0.124474638468019</v>
      </c>
      <c r="K3308">
        <v>0.108079512298646</v>
      </c>
      <c r="L3308">
        <v>1485.95419876192</v>
      </c>
      <c r="M3308">
        <v>28.1039084248237</v>
      </c>
      <c r="N3308">
        <v>53.3084479746325</v>
      </c>
      <c r="O3308">
        <v>52.6080449600747</v>
      </c>
      <c r="P3308">
        <v>-0.11987320060736099</v>
      </c>
      <c r="Q3308">
        <v>0.102439231829196</v>
      </c>
      <c r="R3308">
        <v>0.99934331332422</v>
      </c>
      <c r="S3308" t="s">
        <v>10114</v>
      </c>
      <c r="T3308" t="s">
        <v>13610</v>
      </c>
      <c r="U3308" t="s">
        <v>13610</v>
      </c>
      <c r="V3308" t="s">
        <v>13610</v>
      </c>
      <c r="W3308" t="s">
        <v>16864</v>
      </c>
      <c r="X3308">
        <v>12</v>
      </c>
      <c r="Y3308" t="s">
        <v>23490</v>
      </c>
      <c r="Z3308" t="s">
        <v>30163</v>
      </c>
      <c r="AA3308">
        <v>0.49419968955013888</v>
      </c>
      <c r="AB3308" t="str">
        <f>HYPERLINK("Melting_Curves/meltCurve_Q13951_2_CBFB.pdf", "Melting_Curves/meltCurve_Q13951_2_CBFB.pdf")</f>
        <v>Melting_Curves/meltCurve_Q13951_2_CBFB.pdf</v>
      </c>
    </row>
    <row r="3309" spans="1:28" x14ac:dyDescent="0.25">
      <c r="A3309" t="s">
        <v>3313</v>
      </c>
      <c r="B3309">
        <v>0.995954080203443</v>
      </c>
      <c r="C3309">
        <v>1.16968009971875</v>
      </c>
      <c r="D3309">
        <v>1.29602423347954</v>
      </c>
      <c r="E3309">
        <v>1.0975999481805501</v>
      </c>
      <c r="F3309">
        <v>0.99758181704591897</v>
      </c>
      <c r="G3309">
        <v>0.44924760902282601</v>
      </c>
      <c r="H3309">
        <v>0.13620805955516599</v>
      </c>
      <c r="I3309">
        <v>9.8225281483938498E-2</v>
      </c>
      <c r="J3309">
        <v>9.3888409222183805E-2</v>
      </c>
      <c r="K3309">
        <v>7.8118180973338405E-2</v>
      </c>
      <c r="L3309">
        <v>3385.1771750080202</v>
      </c>
      <c r="M3309">
        <v>59.827330021024999</v>
      </c>
      <c r="N3309">
        <v>56.789638604457501</v>
      </c>
      <c r="O3309">
        <v>56.519339341020398</v>
      </c>
      <c r="P3309">
        <v>-0.238686508773018</v>
      </c>
      <c r="Q3309">
        <v>9.8044446749632599E-2</v>
      </c>
      <c r="R3309">
        <v>0.94633334198369101</v>
      </c>
      <c r="S3309" t="s">
        <v>10115</v>
      </c>
      <c r="T3309" t="s">
        <v>13610</v>
      </c>
      <c r="U3309" t="s">
        <v>13610</v>
      </c>
      <c r="V3309" t="s">
        <v>13610</v>
      </c>
      <c r="W3309" t="s">
        <v>16865</v>
      </c>
      <c r="X3309">
        <v>8</v>
      </c>
      <c r="Y3309" t="s">
        <v>23491</v>
      </c>
      <c r="Z3309" t="s">
        <v>30164</v>
      </c>
      <c r="AA3309">
        <v>0.59816822036634221</v>
      </c>
      <c r="AB3309" t="str">
        <f>HYPERLINK("Melting_Curves/meltCurve_Q13952_3_NFYC.pdf", "Melting_Curves/meltCurve_Q13952_3_NFYC.pdf")</f>
        <v>Melting_Curves/meltCurve_Q13952_3_NFYC.pdf</v>
      </c>
    </row>
    <row r="3310" spans="1:28" x14ac:dyDescent="0.25">
      <c r="A3310" t="s">
        <v>3314</v>
      </c>
      <c r="B3310">
        <v>0.995954080203443</v>
      </c>
      <c r="C3310">
        <v>0.94430958892957295</v>
      </c>
      <c r="D3310">
        <v>0.95303201263952197</v>
      </c>
      <c r="E3310">
        <v>0.79785077246896496</v>
      </c>
      <c r="F3310">
        <v>0.65661158583282098</v>
      </c>
      <c r="G3310">
        <v>0.42335549676923101</v>
      </c>
      <c r="H3310">
        <v>0.36680456263786398</v>
      </c>
      <c r="I3310">
        <v>0.44226588850683202</v>
      </c>
      <c r="J3310">
        <v>0.52155668362075003</v>
      </c>
      <c r="K3310">
        <v>0.49989960776532499</v>
      </c>
      <c r="L3310">
        <v>1339.0079310124199</v>
      </c>
      <c r="M3310">
        <v>26.1183535318205</v>
      </c>
      <c r="N3310">
        <v>56.077155509191101</v>
      </c>
      <c r="O3310">
        <v>50.969228549572001</v>
      </c>
      <c r="P3310">
        <v>-7.0871479801380102E-2</v>
      </c>
      <c r="Q3310">
        <v>0.44679149617035102</v>
      </c>
      <c r="R3310">
        <v>0.95288562924243403</v>
      </c>
      <c r="S3310" t="s">
        <v>10116</v>
      </c>
      <c r="T3310" t="s">
        <v>13610</v>
      </c>
      <c r="U3310" t="s">
        <v>13610</v>
      </c>
      <c r="V3310" t="s">
        <v>13610</v>
      </c>
      <c r="W3310" t="s">
        <v>16866</v>
      </c>
      <c r="X3310">
        <v>27</v>
      </c>
      <c r="Y3310" t="s">
        <v>23492</v>
      </c>
      <c r="Z3310" t="s">
        <v>30165</v>
      </c>
      <c r="AA3310">
        <v>0.65915651195248337</v>
      </c>
      <c r="AB3310" t="str">
        <f>HYPERLINK("Melting_Curves/meltCurve_Q14004_CDK13.pdf", "Melting_Curves/meltCurve_Q14004_CDK13.pdf")</f>
        <v>Melting_Curves/meltCurve_Q14004_CDK13.pdf</v>
      </c>
    </row>
    <row r="3311" spans="1:28" x14ac:dyDescent="0.25">
      <c r="A3311" t="s">
        <v>3315</v>
      </c>
      <c r="B3311">
        <v>0.995954080203443</v>
      </c>
      <c r="C3311">
        <v>1.02487362052829</v>
      </c>
      <c r="D3311">
        <v>0.996815655760665</v>
      </c>
      <c r="E3311">
        <v>0.59354648145182398</v>
      </c>
      <c r="F3311">
        <v>0.248462947199597</v>
      </c>
      <c r="G3311">
        <v>0.118814419589064</v>
      </c>
      <c r="H3311">
        <v>7.4352062058466506E-2</v>
      </c>
      <c r="I3311">
        <v>6.4191519836635E-2</v>
      </c>
      <c r="J3311">
        <v>7.0053080992789493E-2</v>
      </c>
      <c r="K3311">
        <v>6.5064160809666705E-2</v>
      </c>
      <c r="L3311">
        <v>1620.69514879128</v>
      </c>
      <c r="M3311">
        <v>32.105188586307499</v>
      </c>
      <c r="N3311">
        <v>50.731867001329803</v>
      </c>
      <c r="O3311">
        <v>50.286146957093997</v>
      </c>
      <c r="P3311">
        <v>-0.147888657724248</v>
      </c>
      <c r="Q3311">
        <v>7.3456531510417894E-2</v>
      </c>
      <c r="R3311">
        <v>0.99816705202834299</v>
      </c>
      <c r="S3311" t="s">
        <v>10117</v>
      </c>
      <c r="T3311" t="s">
        <v>13610</v>
      </c>
      <c r="U3311" t="s">
        <v>13610</v>
      </c>
      <c r="V3311" t="s">
        <v>13610</v>
      </c>
      <c r="W3311" t="s">
        <v>16867</v>
      </c>
      <c r="X3311">
        <v>90</v>
      </c>
      <c r="Y3311" t="s">
        <v>23493</v>
      </c>
      <c r="Z3311" t="s">
        <v>30166</v>
      </c>
      <c r="AA3311">
        <v>0.40219154665673662</v>
      </c>
      <c r="AB3311" t="str">
        <f>HYPERLINK("Melting_Curves/meltCurve_Q14008_CKAP5.pdf", "Melting_Curves/meltCurve_Q14008_CKAP5.pdf")</f>
        <v>Melting_Curves/meltCurve_Q14008_CKAP5.pdf</v>
      </c>
    </row>
    <row r="3312" spans="1:28" x14ac:dyDescent="0.25">
      <c r="A3312" t="s">
        <v>3316</v>
      </c>
      <c r="B3312">
        <v>0.995954080203443</v>
      </c>
      <c r="C3312">
        <v>1.0112776183597101</v>
      </c>
      <c r="D3312">
        <v>0.99926192599636599</v>
      </c>
      <c r="E3312">
        <v>0.95982596902344197</v>
      </c>
      <c r="F3312">
        <v>0.89836023941431498</v>
      </c>
      <c r="G3312">
        <v>0.69588075359023605</v>
      </c>
      <c r="H3312">
        <v>0.65250293192615105</v>
      </c>
      <c r="I3312">
        <v>0.73886978343054499</v>
      </c>
      <c r="J3312">
        <v>0.86861093157048197</v>
      </c>
      <c r="K3312">
        <v>0.86409759524165897</v>
      </c>
      <c r="L3312">
        <v>6473.54989672175</v>
      </c>
      <c r="M3312">
        <v>121.86591203468301</v>
      </c>
      <c r="O3312">
        <v>53.1059858711738</v>
      </c>
      <c r="P3312">
        <v>-0.13539537166075499</v>
      </c>
      <c r="Q3312">
        <v>0.76399300307038698</v>
      </c>
      <c r="R3312">
        <v>0.74126988980934605</v>
      </c>
      <c r="S3312" t="s">
        <v>10118</v>
      </c>
      <c r="T3312" t="s">
        <v>13610</v>
      </c>
      <c r="U3312" t="s">
        <v>13610</v>
      </c>
      <c r="V3312" t="s">
        <v>13610</v>
      </c>
      <c r="W3312" t="s">
        <v>16868</v>
      </c>
      <c r="X3312">
        <v>5</v>
      </c>
      <c r="Y3312" t="s">
        <v>23494</v>
      </c>
      <c r="Z3312" t="s">
        <v>30167</v>
      </c>
      <c r="AA3312">
        <v>0.86730149530456679</v>
      </c>
      <c r="AB3312" t="str">
        <f>HYPERLINK("Melting_Curves/meltCurve_Q14011_CIRBP.pdf", "Melting_Curves/meltCurve_Q14011_CIRBP.pdf")</f>
        <v>Melting_Curves/meltCurve_Q14011_CIRBP.pdf</v>
      </c>
    </row>
    <row r="3313" spans="1:28" x14ac:dyDescent="0.25">
      <c r="A3313" t="s">
        <v>3317</v>
      </c>
      <c r="B3313">
        <v>0.995954080203443</v>
      </c>
      <c r="C3313">
        <v>1.04803597913719</v>
      </c>
      <c r="D3313">
        <v>0.99296696606008195</v>
      </c>
      <c r="E3313">
        <v>0.89976661246563205</v>
      </c>
      <c r="F3313">
        <v>0.703584835880118</v>
      </c>
      <c r="G3313">
        <v>0.27815528339677997</v>
      </c>
      <c r="H3313">
        <v>0.107220014033235</v>
      </c>
      <c r="I3313">
        <v>0.10657664610599001</v>
      </c>
      <c r="J3313">
        <v>0.115326294383646</v>
      </c>
      <c r="K3313">
        <v>0.113708035154475</v>
      </c>
      <c r="L3313">
        <v>1550.7612572042999</v>
      </c>
      <c r="M3313">
        <v>28.606989723145102</v>
      </c>
      <c r="N3313">
        <v>54.628998155941296</v>
      </c>
      <c r="O3313">
        <v>53.9463453955522</v>
      </c>
      <c r="P3313">
        <v>-0.119490443703977</v>
      </c>
      <c r="Q3313">
        <v>9.8678719934737494E-2</v>
      </c>
      <c r="R3313">
        <v>0.99736989205899396</v>
      </c>
      <c r="S3313" t="s">
        <v>10119</v>
      </c>
      <c r="T3313" t="s">
        <v>13610</v>
      </c>
      <c r="U3313" t="s">
        <v>13610</v>
      </c>
      <c r="V3313" t="s">
        <v>13610</v>
      </c>
      <c r="W3313" t="s">
        <v>16869</v>
      </c>
      <c r="X3313">
        <v>9</v>
      </c>
      <c r="Y3313" t="s">
        <v>23495</v>
      </c>
      <c r="Z3313" t="s">
        <v>30168</v>
      </c>
      <c r="AA3313">
        <v>0.53207810894323204</v>
      </c>
      <c r="AB3313" t="str">
        <f>HYPERLINK("Melting_Curves/meltCurve_Q14012_CAMK1.pdf", "Melting_Curves/meltCurve_Q14012_CAMK1.pdf")</f>
        <v>Melting_Curves/meltCurve_Q14012_CAMK1.pdf</v>
      </c>
    </row>
    <row r="3314" spans="1:28" x14ac:dyDescent="0.25">
      <c r="A3314" t="s">
        <v>3318</v>
      </c>
      <c r="B3314">
        <v>0.995954080203443</v>
      </c>
      <c r="C3314">
        <v>1.05724425234895</v>
      </c>
      <c r="D3314">
        <v>1.1892400901167099</v>
      </c>
      <c r="E3314">
        <v>1.0189939692019601</v>
      </c>
      <c r="F3314">
        <v>1.0333152155068701</v>
      </c>
      <c r="G3314">
        <v>0.64156013405914603</v>
      </c>
      <c r="H3314">
        <v>0.20989335423097</v>
      </c>
      <c r="I3314">
        <v>9.6600933098514502E-2</v>
      </c>
      <c r="J3314">
        <v>7.5939767343393402E-2</v>
      </c>
      <c r="K3314">
        <v>7.0622004272409403E-2</v>
      </c>
      <c r="L3314">
        <v>2208.6643913330599</v>
      </c>
      <c r="M3314">
        <v>38.210741021746699</v>
      </c>
      <c r="N3314">
        <v>58.0559540202593</v>
      </c>
      <c r="O3314">
        <v>57.644560603165502</v>
      </c>
      <c r="P3314">
        <v>-0.152972207704548</v>
      </c>
      <c r="Q3314">
        <v>7.6909580476966999E-2</v>
      </c>
      <c r="R3314">
        <v>0.97809989736609704</v>
      </c>
      <c r="S3314" t="s">
        <v>10120</v>
      </c>
      <c r="T3314" t="s">
        <v>13610</v>
      </c>
      <c r="U3314" t="s">
        <v>13610</v>
      </c>
      <c r="V3314" t="s">
        <v>13610</v>
      </c>
      <c r="W3314" t="s">
        <v>16870</v>
      </c>
      <c r="X3314">
        <v>13</v>
      </c>
      <c r="Y3314" t="s">
        <v>23496</v>
      </c>
      <c r="Z3314" t="s">
        <v>30169</v>
      </c>
      <c r="AA3314">
        <v>0.62862976806538806</v>
      </c>
      <c r="AB3314" t="str">
        <f>HYPERLINK("Melting_Curves/meltCurve_Q14019_COTL1.pdf", "Melting_Curves/meltCurve_Q14019_COTL1.pdf")</f>
        <v>Melting_Curves/meltCurve_Q14019_COTL1.pdf</v>
      </c>
    </row>
    <row r="3315" spans="1:28" x14ac:dyDescent="0.25">
      <c r="A3315" t="s">
        <v>3319</v>
      </c>
      <c r="B3315">
        <v>0.995954080203443</v>
      </c>
      <c r="C3315">
        <v>1.04826929763562</v>
      </c>
      <c r="D3315">
        <v>1.2763948144545401</v>
      </c>
      <c r="E3315">
        <v>1.0608341399725201</v>
      </c>
      <c r="F3315">
        <v>1.2206044513301599</v>
      </c>
      <c r="G3315">
        <v>1.18127100722432</v>
      </c>
      <c r="H3315">
        <v>1.2108178505234</v>
      </c>
      <c r="I3315">
        <v>1.7193663633765599</v>
      </c>
      <c r="J3315">
        <v>1.61922895921584</v>
      </c>
      <c r="K3315">
        <v>2.0493097506067501</v>
      </c>
      <c r="L3315">
        <v>1183.628471494</v>
      </c>
      <c r="M3315">
        <v>21.040082636549201</v>
      </c>
      <c r="O3315">
        <v>55.755094708637401</v>
      </c>
      <c r="P3315">
        <v>4.7172019060213399E-2</v>
      </c>
      <c r="Q3315">
        <v>1.5</v>
      </c>
      <c r="R3315">
        <v>0.49585407497908701</v>
      </c>
      <c r="S3315" t="s">
        <v>10121</v>
      </c>
      <c r="T3315" t="s">
        <v>13610</v>
      </c>
      <c r="U3315" t="s">
        <v>13610</v>
      </c>
      <c r="V3315" t="s">
        <v>13610</v>
      </c>
      <c r="W3315" t="s">
        <v>16871</v>
      </c>
      <c r="X3315">
        <v>7</v>
      </c>
      <c r="Y3315" t="s">
        <v>23497</v>
      </c>
      <c r="Z3315" t="s">
        <v>30170</v>
      </c>
      <c r="AA3315">
        <v>1.2231228670455461</v>
      </c>
      <c r="AB3315" t="str">
        <f>HYPERLINK("Melting_Curves/meltCurve_Q14061_COX17.pdf", "Melting_Curves/meltCurve_Q14061_COX17.pdf")</f>
        <v>Melting_Curves/meltCurve_Q14061_COX17.pdf</v>
      </c>
    </row>
    <row r="3316" spans="1:28" x14ac:dyDescent="0.25">
      <c r="A3316" t="s">
        <v>3320</v>
      </c>
      <c r="B3316">
        <v>0.995954080203443</v>
      </c>
      <c r="C3316">
        <v>0.95587270732174001</v>
      </c>
      <c r="D3316">
        <v>1.0231592262468601</v>
      </c>
      <c r="E3316">
        <v>0.92987257227848996</v>
      </c>
      <c r="F3316">
        <v>0.91350317341014498</v>
      </c>
      <c r="G3316">
        <v>0.65665128791948202</v>
      </c>
      <c r="H3316">
        <v>0.52311455754855396</v>
      </c>
      <c r="I3316">
        <v>0.50177722819276105</v>
      </c>
      <c r="J3316">
        <v>0.69693439872164298</v>
      </c>
      <c r="K3316">
        <v>0.48152447795254499</v>
      </c>
      <c r="L3316">
        <v>1891.9918895405101</v>
      </c>
      <c r="M3316">
        <v>34.4141390921232</v>
      </c>
      <c r="O3316">
        <v>54.7925249441397</v>
      </c>
      <c r="P3316">
        <v>-7.1021944890460306E-2</v>
      </c>
      <c r="Q3316">
        <v>0.54769091045368301</v>
      </c>
      <c r="R3316">
        <v>0.91582063160884897</v>
      </c>
      <c r="S3316" t="s">
        <v>10122</v>
      </c>
      <c r="T3316" t="s">
        <v>13610</v>
      </c>
      <c r="U3316" t="s">
        <v>13610</v>
      </c>
      <c r="V3316" t="s">
        <v>13610</v>
      </c>
      <c r="W3316" t="s">
        <v>16872</v>
      </c>
      <c r="X3316">
        <v>24</v>
      </c>
      <c r="Y3316" t="s">
        <v>23498</v>
      </c>
      <c r="Z3316" t="s">
        <v>30171</v>
      </c>
      <c r="AA3316">
        <v>0.77580512601600693</v>
      </c>
      <c r="AB3316" t="str">
        <f>HYPERLINK("Melting_Curves/meltCurve_Q14103_3_HNRNPD.pdf", "Melting_Curves/meltCurve_Q14103_3_HNRNPD.pdf")</f>
        <v>Melting_Curves/meltCurve_Q14103_3_HNRNPD.pdf</v>
      </c>
    </row>
    <row r="3317" spans="1:28" x14ac:dyDescent="0.25">
      <c r="A3317" t="s">
        <v>3321</v>
      </c>
      <c r="B3317">
        <v>0.995954080203443</v>
      </c>
      <c r="C3317">
        <v>0.89547057410892705</v>
      </c>
      <c r="D3317">
        <v>0.83954226443443403</v>
      </c>
      <c r="E3317">
        <v>0.80783697626709305</v>
      </c>
      <c r="F3317">
        <v>0.79273097540322401</v>
      </c>
      <c r="G3317">
        <v>0.55981319337790203</v>
      </c>
      <c r="H3317">
        <v>0.58151702454711296</v>
      </c>
      <c r="I3317">
        <v>0.65874460387761602</v>
      </c>
      <c r="J3317">
        <v>0.70939849625211704</v>
      </c>
      <c r="K3317">
        <v>0.58854900639894403</v>
      </c>
      <c r="L3317">
        <v>546.05289763072597</v>
      </c>
      <c r="M3317">
        <v>11.214171808528199</v>
      </c>
      <c r="O3317">
        <v>47.221705714667799</v>
      </c>
      <c r="P3317">
        <v>-2.3517587486406501E-2</v>
      </c>
      <c r="Q3317">
        <v>0.604003543111859</v>
      </c>
      <c r="R3317">
        <v>0.82492901174952504</v>
      </c>
      <c r="S3317" t="s">
        <v>10123</v>
      </c>
      <c r="T3317" t="s">
        <v>13610</v>
      </c>
      <c r="U3317" t="s">
        <v>13610</v>
      </c>
      <c r="V3317" t="s">
        <v>13610</v>
      </c>
      <c r="W3317" t="s">
        <v>16873</v>
      </c>
      <c r="X3317">
        <v>23</v>
      </c>
      <c r="Y3317" t="s">
        <v>23498</v>
      </c>
      <c r="Z3317" t="s">
        <v>30172</v>
      </c>
      <c r="AA3317">
        <v>0.73534878062884323</v>
      </c>
      <c r="AB3317" t="str">
        <f>HYPERLINK("Melting_Curves/meltCurve_Q14103_4_HNRNPD.pdf", "Melting_Curves/meltCurve_Q14103_4_HNRNPD.pdf")</f>
        <v>Melting_Curves/meltCurve_Q14103_4_HNRNPD.pdf</v>
      </c>
    </row>
    <row r="3318" spans="1:28" x14ac:dyDescent="0.25">
      <c r="A3318" t="s">
        <v>3322</v>
      </c>
      <c r="B3318">
        <v>0.995954080203443</v>
      </c>
      <c r="C3318">
        <v>0.97783058644853404</v>
      </c>
      <c r="D3318">
        <v>0.94567947689488996</v>
      </c>
      <c r="E3318">
        <v>0.88347340794296103</v>
      </c>
      <c r="F3318">
        <v>0.815005344296863</v>
      </c>
      <c r="G3318">
        <v>0.64115723289543303</v>
      </c>
      <c r="H3318">
        <v>0.53003631116673</v>
      </c>
      <c r="I3318">
        <v>0.57591747480212996</v>
      </c>
      <c r="J3318">
        <v>0.63557168182718204</v>
      </c>
      <c r="K3318">
        <v>0.57498695591446203</v>
      </c>
      <c r="L3318">
        <v>1091.5410887570699</v>
      </c>
      <c r="M3318">
        <v>20.643623307195501</v>
      </c>
      <c r="O3318">
        <v>52.386789422199797</v>
      </c>
      <c r="P3318">
        <v>-4.2351981190992698E-2</v>
      </c>
      <c r="Q3318">
        <v>0.57011023335088995</v>
      </c>
      <c r="R3318">
        <v>0.96358293664827399</v>
      </c>
      <c r="S3318" t="s">
        <v>10124</v>
      </c>
      <c r="T3318" t="s">
        <v>13610</v>
      </c>
      <c r="U3318" t="s">
        <v>13610</v>
      </c>
      <c r="V3318" t="s">
        <v>13610</v>
      </c>
      <c r="W3318" t="s">
        <v>16874</v>
      </c>
      <c r="X3318">
        <v>4</v>
      </c>
      <c r="Y3318" t="s">
        <v>23499</v>
      </c>
      <c r="Z3318" t="s">
        <v>30173</v>
      </c>
      <c r="AA3318">
        <v>0.76021392732868809</v>
      </c>
      <c r="AB3318" t="str">
        <f>HYPERLINK("Melting_Curves/meltCurve_Q14118_DAG1.pdf", "Melting_Curves/meltCurve_Q14118_DAG1.pdf")</f>
        <v>Melting_Curves/meltCurve_Q14118_DAG1.pdf</v>
      </c>
    </row>
    <row r="3319" spans="1:28" x14ac:dyDescent="0.25">
      <c r="A3319" t="s">
        <v>3323</v>
      </c>
      <c r="B3319">
        <v>0.995954080203443</v>
      </c>
      <c r="C3319">
        <v>0.91516269301827402</v>
      </c>
      <c r="D3319">
        <v>0.89941180090214201</v>
      </c>
      <c r="E3319">
        <v>0.77486921897710703</v>
      </c>
      <c r="F3319">
        <v>0.69886547640980301</v>
      </c>
      <c r="G3319">
        <v>0.53243926066710001</v>
      </c>
      <c r="H3319">
        <v>0.48156645160163097</v>
      </c>
      <c r="I3319">
        <v>0.56445892904616601</v>
      </c>
      <c r="J3319">
        <v>0.62387696321887498</v>
      </c>
      <c r="K3319">
        <v>0.66689775244141902</v>
      </c>
      <c r="L3319">
        <v>884.48065423713797</v>
      </c>
      <c r="M3319">
        <v>17.998878134696799</v>
      </c>
      <c r="O3319">
        <v>48.546321740063497</v>
      </c>
      <c r="P3319">
        <v>-3.9737963792279299E-2</v>
      </c>
      <c r="Q3319">
        <v>0.57129844701820098</v>
      </c>
      <c r="R3319">
        <v>0.885113702935583</v>
      </c>
      <c r="S3319" t="s">
        <v>10125</v>
      </c>
      <c r="T3319" t="s">
        <v>13610</v>
      </c>
      <c r="U3319" t="s">
        <v>13610</v>
      </c>
      <c r="V3319" t="s">
        <v>13610</v>
      </c>
      <c r="W3319" t="s">
        <v>16875</v>
      </c>
      <c r="X3319">
        <v>9</v>
      </c>
      <c r="Y3319" t="s">
        <v>23500</v>
      </c>
      <c r="Z3319" t="s">
        <v>30174</v>
      </c>
      <c r="AA3319">
        <v>0.70932931846109681</v>
      </c>
      <c r="AB3319" t="str">
        <f>HYPERLINK("Melting_Curves/meltCurve_Q14126_DSG2.pdf", "Melting_Curves/meltCurve_Q14126_DSG2.pdf")</f>
        <v>Melting_Curves/meltCurve_Q14126_DSG2.pdf</v>
      </c>
    </row>
    <row r="3320" spans="1:28" x14ac:dyDescent="0.25">
      <c r="A3320" t="s">
        <v>3324</v>
      </c>
      <c r="B3320">
        <v>0.995954080203443</v>
      </c>
      <c r="C3320">
        <v>0.80344188744719802</v>
      </c>
      <c r="D3320">
        <v>0.56232791198132503</v>
      </c>
      <c r="E3320">
        <v>0.33777730544352502</v>
      </c>
      <c r="F3320">
        <v>0.206055660144016</v>
      </c>
      <c r="G3320">
        <v>0.133717261009897</v>
      </c>
      <c r="H3320">
        <v>0.12725206294470501</v>
      </c>
      <c r="I3320">
        <v>0.157121347719267</v>
      </c>
      <c r="J3320">
        <v>0.18752797275553501</v>
      </c>
      <c r="K3320">
        <v>0.174268654656585</v>
      </c>
      <c r="L3320">
        <v>867.51586722423303</v>
      </c>
      <c r="M3320">
        <v>18.8791463023612</v>
      </c>
      <c r="N3320">
        <v>46.847325893077802</v>
      </c>
      <c r="O3320">
        <v>45.444762060198897</v>
      </c>
      <c r="P3320">
        <v>-8.8118189820921095E-2</v>
      </c>
      <c r="Q3320">
        <v>0.15158314824385799</v>
      </c>
      <c r="R3320">
        <v>0.99091771934419404</v>
      </c>
      <c r="S3320" t="s">
        <v>10126</v>
      </c>
      <c r="T3320" t="s">
        <v>13610</v>
      </c>
      <c r="U3320" t="s">
        <v>13610</v>
      </c>
      <c r="V3320" t="s">
        <v>13610</v>
      </c>
      <c r="W3320" t="s">
        <v>16876</v>
      </c>
      <c r="X3320">
        <v>22</v>
      </c>
      <c r="Y3320" t="s">
        <v>23501</v>
      </c>
      <c r="Z3320" t="s">
        <v>30175</v>
      </c>
      <c r="AA3320">
        <v>0.33489419625930289</v>
      </c>
      <c r="AB3320" t="str">
        <f>HYPERLINK("Melting_Curves/meltCurve_Q14137_BOP1.pdf", "Melting_Curves/meltCurve_Q14137_BOP1.pdf")</f>
        <v>Melting_Curves/meltCurve_Q14137_BOP1.pdf</v>
      </c>
    </row>
    <row r="3321" spans="1:28" x14ac:dyDescent="0.25">
      <c r="A3321" t="s">
        <v>3325</v>
      </c>
      <c r="B3321">
        <v>0.995954080203443</v>
      </c>
      <c r="C3321">
        <v>0.991951997185895</v>
      </c>
      <c r="D3321">
        <v>0.92852731705879299</v>
      </c>
      <c r="E3321">
        <v>0.42551337102154002</v>
      </c>
      <c r="F3321">
        <v>0.185450374884505</v>
      </c>
      <c r="G3321">
        <v>0.113695818394554</v>
      </c>
      <c r="H3321">
        <v>8.32716870079903E-2</v>
      </c>
      <c r="I3321">
        <v>7.5274096980546198E-2</v>
      </c>
      <c r="J3321">
        <v>8.2739871141141105E-2</v>
      </c>
      <c r="K3321">
        <v>8.2823885554919999E-2</v>
      </c>
      <c r="L3321">
        <v>1592.65596624979</v>
      </c>
      <c r="M3321">
        <v>32.3321893631203</v>
      </c>
      <c r="N3321">
        <v>49.549696757523897</v>
      </c>
      <c r="O3321">
        <v>49.0718522827624</v>
      </c>
      <c r="P3321">
        <v>-0.150494705255516</v>
      </c>
      <c r="Q3321">
        <v>8.6357173976982393E-2</v>
      </c>
      <c r="R3321">
        <v>0.99938761973699797</v>
      </c>
      <c r="S3321" t="s">
        <v>10127</v>
      </c>
      <c r="T3321" t="s">
        <v>13610</v>
      </c>
      <c r="U3321" t="s">
        <v>13610</v>
      </c>
      <c r="V3321" t="s">
        <v>13610</v>
      </c>
      <c r="W3321" t="s">
        <v>16877</v>
      </c>
      <c r="X3321">
        <v>18</v>
      </c>
      <c r="Y3321" t="s">
        <v>23502</v>
      </c>
      <c r="Z3321" t="s">
        <v>30176</v>
      </c>
      <c r="AA3321">
        <v>0.37313698701005438</v>
      </c>
      <c r="AB3321" t="str">
        <f>HYPERLINK("Melting_Curves/meltCurve_Q14139_UBE4A.pdf", "Melting_Curves/meltCurve_Q14139_UBE4A.pdf")</f>
        <v>Melting_Curves/meltCurve_Q14139_UBE4A.pdf</v>
      </c>
    </row>
    <row r="3322" spans="1:28" x14ac:dyDescent="0.25">
      <c r="A3322" t="s">
        <v>3326</v>
      </c>
      <c r="B3322">
        <v>0.995954080203443</v>
      </c>
      <c r="C3322">
        <v>0.91318261175274196</v>
      </c>
      <c r="D3322">
        <v>0.77638840825006705</v>
      </c>
      <c r="E3322">
        <v>0.88989808468193698</v>
      </c>
      <c r="F3322">
        <v>0.62432559976719104</v>
      </c>
      <c r="G3322">
        <v>0.34619841978927701</v>
      </c>
      <c r="H3322">
        <v>0.21161166564299999</v>
      </c>
      <c r="I3322">
        <v>0.12793019414673101</v>
      </c>
      <c r="J3322">
        <v>0.100553355508262</v>
      </c>
      <c r="K3322">
        <v>7.5642265583676899E-2</v>
      </c>
      <c r="L3322">
        <v>695.15004363792298</v>
      </c>
      <c r="M3322">
        <v>12.6625483027084</v>
      </c>
      <c r="N3322">
        <v>54.898115837084298</v>
      </c>
      <c r="O3322">
        <v>53.582922836406901</v>
      </c>
      <c r="P3322">
        <v>-5.9090777673396003E-2</v>
      </c>
      <c r="Q3322">
        <v>0</v>
      </c>
      <c r="R3322">
        <v>0.96825170865795596</v>
      </c>
      <c r="S3322" t="s">
        <v>10128</v>
      </c>
      <c r="T3322" t="s">
        <v>13610</v>
      </c>
      <c r="U3322" t="s">
        <v>13610</v>
      </c>
      <c r="V3322" t="s">
        <v>13610</v>
      </c>
      <c r="W3322" t="s">
        <v>16878</v>
      </c>
      <c r="X3322">
        <v>26</v>
      </c>
      <c r="Y3322" t="s">
        <v>23503</v>
      </c>
      <c r="Z3322" t="s">
        <v>30177</v>
      </c>
      <c r="AA3322">
        <v>0.51939315653802065</v>
      </c>
      <c r="AB3322" t="str">
        <f>HYPERLINK("Melting_Curves/meltCurve_Q14141_2_SEPT6.pdf", "Melting_Curves/meltCurve_Q14141_2_SEPT6.pdf")</f>
        <v>Melting_Curves/meltCurve_Q14141_2_SEPT6.pdf</v>
      </c>
    </row>
    <row r="3323" spans="1:28" x14ac:dyDescent="0.25">
      <c r="A3323" t="s">
        <v>3327</v>
      </c>
      <c r="B3323">
        <v>0.995954080203443</v>
      </c>
      <c r="C3323">
        <v>0.91322990862995601</v>
      </c>
      <c r="D3323">
        <v>0.77432722380424801</v>
      </c>
      <c r="E3323">
        <v>0.70776419630969101</v>
      </c>
      <c r="F3323">
        <v>0.38518840088774398</v>
      </c>
      <c r="G3323">
        <v>0.25410893096273501</v>
      </c>
      <c r="H3323">
        <v>0.17510179450834101</v>
      </c>
      <c r="I3323">
        <v>0.14819854319911099</v>
      </c>
      <c r="J3323">
        <v>0.14693218879306399</v>
      </c>
      <c r="K3323">
        <v>0.10671475964313</v>
      </c>
      <c r="L3323">
        <v>683.497126380292</v>
      </c>
      <c r="M3323">
        <v>13.376318777706</v>
      </c>
      <c r="N3323">
        <v>51.844262121811198</v>
      </c>
      <c r="O3323">
        <v>49.996064913230597</v>
      </c>
      <c r="P3323">
        <v>-6.1036014075088699E-2</v>
      </c>
      <c r="Q3323">
        <v>8.7618280650320707E-2</v>
      </c>
      <c r="R3323">
        <v>0.98462469175033096</v>
      </c>
      <c r="S3323" t="s">
        <v>10129</v>
      </c>
      <c r="T3323" t="s">
        <v>13610</v>
      </c>
      <c r="U3323" t="s">
        <v>13610</v>
      </c>
      <c r="V3323" t="s">
        <v>13610</v>
      </c>
      <c r="W3323" t="s">
        <v>16879</v>
      </c>
      <c r="X3323">
        <v>10</v>
      </c>
      <c r="Y3323" t="s">
        <v>23504</v>
      </c>
      <c r="Z3323" t="s">
        <v>30178</v>
      </c>
      <c r="AA3323">
        <v>0.45033000288378677</v>
      </c>
      <c r="AB3323" t="str">
        <f>HYPERLINK("Melting_Curves/meltCurve_Q14145_KEAP1.pdf", "Melting_Curves/meltCurve_Q14145_KEAP1.pdf")</f>
        <v>Melting_Curves/meltCurve_Q14145_KEAP1.pdf</v>
      </c>
    </row>
    <row r="3324" spans="1:28" x14ac:dyDescent="0.25">
      <c r="A3324" t="s">
        <v>3328</v>
      </c>
      <c r="B3324">
        <v>0.995954080203443</v>
      </c>
      <c r="C3324">
        <v>0.81948351197594005</v>
      </c>
      <c r="D3324">
        <v>0.52377468357883805</v>
      </c>
      <c r="E3324">
        <v>0.29723055495082301</v>
      </c>
      <c r="F3324">
        <v>0.151468140395841</v>
      </c>
      <c r="G3324">
        <v>0.103143050563033</v>
      </c>
      <c r="H3324">
        <v>7.8067330372076596E-2</v>
      </c>
      <c r="I3324">
        <v>7.6359126353811299E-2</v>
      </c>
      <c r="J3324">
        <v>8.3955290636090696E-2</v>
      </c>
      <c r="K3324">
        <v>8.3266728610127794E-2</v>
      </c>
      <c r="L3324">
        <v>849.80142385583895</v>
      </c>
      <c r="M3324">
        <v>18.402340058380101</v>
      </c>
      <c r="N3324">
        <v>46.608490850611801</v>
      </c>
      <c r="O3324">
        <v>45.6440331967191</v>
      </c>
      <c r="P3324">
        <v>-9.2936020181674198E-2</v>
      </c>
      <c r="Q3324">
        <v>7.7990528685128901E-2</v>
      </c>
      <c r="R3324">
        <v>0.99541640484717697</v>
      </c>
      <c r="S3324" t="s">
        <v>10130</v>
      </c>
      <c r="T3324" t="s">
        <v>13610</v>
      </c>
      <c r="U3324" t="s">
        <v>13610</v>
      </c>
      <c r="V3324" t="s">
        <v>13610</v>
      </c>
      <c r="W3324" t="s">
        <v>16880</v>
      </c>
      <c r="X3324">
        <v>4</v>
      </c>
      <c r="Y3324" t="s">
        <v>23505</v>
      </c>
      <c r="Z3324" t="s">
        <v>30179</v>
      </c>
      <c r="AA3324">
        <v>0.28489430233398338</v>
      </c>
      <c r="AB3324" t="str">
        <f>HYPERLINK("Melting_Curves/meltCurve_Q14147_DHX34.pdf", "Melting_Curves/meltCurve_Q14147_DHX34.pdf")</f>
        <v>Melting_Curves/meltCurve_Q14147_DHX34.pdf</v>
      </c>
    </row>
    <row r="3325" spans="1:28" x14ac:dyDescent="0.25">
      <c r="A3325" t="s">
        <v>3329</v>
      </c>
      <c r="B3325">
        <v>0.995954080203443</v>
      </c>
      <c r="C3325">
        <v>1.0112690711093</v>
      </c>
      <c r="D3325">
        <v>0.83539521710738396</v>
      </c>
      <c r="E3325">
        <v>0.61531091141254501</v>
      </c>
      <c r="F3325">
        <v>0.47487295861909601</v>
      </c>
      <c r="G3325">
        <v>0.33569158705787999</v>
      </c>
      <c r="H3325">
        <v>0.30450219003160001</v>
      </c>
      <c r="I3325">
        <v>0.34336966127701302</v>
      </c>
      <c r="J3325">
        <v>0.45491797182231802</v>
      </c>
      <c r="K3325">
        <v>0.41703286710044501</v>
      </c>
      <c r="L3325">
        <v>1105.2977465331101</v>
      </c>
      <c r="M3325">
        <v>22.682704793266499</v>
      </c>
      <c r="N3325">
        <v>51.793474637738498</v>
      </c>
      <c r="O3325">
        <v>48.3546684409569</v>
      </c>
      <c r="P3325">
        <v>-7.3957334117128196E-2</v>
      </c>
      <c r="Q3325">
        <v>0.369367865742808</v>
      </c>
      <c r="R3325">
        <v>0.96748949404896301</v>
      </c>
      <c r="S3325" t="s">
        <v>10131</v>
      </c>
      <c r="T3325" t="s">
        <v>13610</v>
      </c>
      <c r="U3325" t="s">
        <v>13610</v>
      </c>
      <c r="V3325" t="s">
        <v>13610</v>
      </c>
      <c r="W3325" t="s">
        <v>16881</v>
      </c>
      <c r="X3325">
        <v>30</v>
      </c>
      <c r="Y3325" t="s">
        <v>23506</v>
      </c>
      <c r="Z3325" t="s">
        <v>30180</v>
      </c>
      <c r="AA3325">
        <v>0.55968247333968368</v>
      </c>
      <c r="AB3325" t="str">
        <f>HYPERLINK("Melting_Curves/meltCurve_Q14149_MORC3.pdf", "Melting_Curves/meltCurve_Q14149_MORC3.pdf")</f>
        <v>Melting_Curves/meltCurve_Q14149_MORC3.pdf</v>
      </c>
    </row>
    <row r="3326" spans="1:28" x14ac:dyDescent="0.25">
      <c r="A3326" t="s">
        <v>3330</v>
      </c>
      <c r="B3326">
        <v>0.995954080203443</v>
      </c>
      <c r="C3326">
        <v>1.05324661834752</v>
      </c>
      <c r="D3326">
        <v>1.0057873760889999</v>
      </c>
      <c r="E3326">
        <v>0.97009320958090495</v>
      </c>
      <c r="F3326">
        <v>0.89618046194036005</v>
      </c>
      <c r="G3326">
        <v>0.69520977495334602</v>
      </c>
      <c r="H3326">
        <v>0.66564185681097698</v>
      </c>
      <c r="I3326">
        <v>0.77816385901565399</v>
      </c>
      <c r="J3326">
        <v>0.93024357073375497</v>
      </c>
      <c r="K3326">
        <v>0.93087042130889996</v>
      </c>
      <c r="L3326">
        <v>6554.3859007771098</v>
      </c>
      <c r="M3326">
        <v>123.74731332285801</v>
      </c>
      <c r="O3326">
        <v>52.952055629549903</v>
      </c>
      <c r="P3326">
        <v>-0.116828622589653</v>
      </c>
      <c r="Q3326">
        <v>0.80003394404730899</v>
      </c>
      <c r="R3326">
        <v>0.58348252214642704</v>
      </c>
      <c r="S3326" t="s">
        <v>10132</v>
      </c>
      <c r="T3326" t="s">
        <v>13610</v>
      </c>
      <c r="U3326" t="s">
        <v>13610</v>
      </c>
      <c r="V3326" t="s">
        <v>13610</v>
      </c>
      <c r="W3326" t="s">
        <v>16882</v>
      </c>
      <c r="X3326">
        <v>27</v>
      </c>
      <c r="Y3326" t="s">
        <v>21353</v>
      </c>
      <c r="Z3326" t="s">
        <v>30181</v>
      </c>
      <c r="AA3326">
        <v>0.88653441889172757</v>
      </c>
      <c r="AB3326" t="str">
        <f>HYPERLINK("Melting_Curves/meltCurve_Q14151_SAFB2.pdf", "Melting_Curves/meltCurve_Q14151_SAFB2.pdf")</f>
        <v>Melting_Curves/meltCurve_Q14151_SAFB2.pdf</v>
      </c>
    </row>
    <row r="3327" spans="1:28" x14ac:dyDescent="0.25">
      <c r="A3327" t="s">
        <v>3331</v>
      </c>
      <c r="B3327">
        <v>0.995954080203443</v>
      </c>
      <c r="C3327">
        <v>0.69044931864724901</v>
      </c>
      <c r="D3327">
        <v>0.49649734433297099</v>
      </c>
      <c r="E3327">
        <v>0.33385957990605503</v>
      </c>
      <c r="F3327">
        <v>0.26516674537380602</v>
      </c>
      <c r="G3327">
        <v>0.190807522073832</v>
      </c>
      <c r="H3327">
        <v>0.16693456663990699</v>
      </c>
      <c r="I3327">
        <v>0.199121815134049</v>
      </c>
      <c r="J3327">
        <v>0.243202062329614</v>
      </c>
      <c r="K3327">
        <v>0.22218171815148099</v>
      </c>
      <c r="L3327">
        <v>838.73599960773595</v>
      </c>
      <c r="M3327">
        <v>18.811953298059301</v>
      </c>
      <c r="N3327">
        <v>45.9001567561453</v>
      </c>
      <c r="O3327">
        <v>44.090630319895297</v>
      </c>
      <c r="P3327">
        <v>-8.4450757979227506E-2</v>
      </c>
      <c r="Q3327">
        <v>0.20830516944035701</v>
      </c>
      <c r="R3327">
        <v>0.97732075393933704</v>
      </c>
      <c r="S3327" t="s">
        <v>10133</v>
      </c>
      <c r="T3327" t="s">
        <v>13610</v>
      </c>
      <c r="U3327" t="s">
        <v>13610</v>
      </c>
      <c r="V3327" t="s">
        <v>13610</v>
      </c>
      <c r="W3327" t="s">
        <v>16883</v>
      </c>
      <c r="X3327">
        <v>70</v>
      </c>
      <c r="Y3327" t="s">
        <v>23507</v>
      </c>
      <c r="Z3327" t="s">
        <v>30182</v>
      </c>
      <c r="AA3327">
        <v>0.34555410278550519</v>
      </c>
      <c r="AB3327" t="str">
        <f>HYPERLINK("Melting_Curves/meltCurve_Q14152_EIF3A.pdf", "Melting_Curves/meltCurve_Q14152_EIF3A.pdf")</f>
        <v>Melting_Curves/meltCurve_Q14152_EIF3A.pdf</v>
      </c>
    </row>
    <row r="3328" spans="1:28" x14ac:dyDescent="0.25">
      <c r="A3328" t="s">
        <v>3332</v>
      </c>
      <c r="B3328">
        <v>0.995954080203443</v>
      </c>
      <c r="C3328">
        <v>0.96805772503841803</v>
      </c>
      <c r="D3328">
        <v>1.1026490159070701</v>
      </c>
      <c r="E3328">
        <v>0.81590893908736295</v>
      </c>
      <c r="F3328">
        <v>0.68789564180930796</v>
      </c>
      <c r="G3328">
        <v>0.470253439133549</v>
      </c>
      <c r="H3328">
        <v>0.39713366138543399</v>
      </c>
      <c r="I3328">
        <v>0.49432730591937202</v>
      </c>
      <c r="J3328">
        <v>0.69496288951832597</v>
      </c>
      <c r="K3328">
        <v>0.65053422133925398</v>
      </c>
      <c r="L3328">
        <v>1855.1743861263501</v>
      </c>
      <c r="M3328">
        <v>36.374152696455099</v>
      </c>
      <c r="O3328">
        <v>50.849124743467499</v>
      </c>
      <c r="P3328">
        <v>-8.1245182904973304E-2</v>
      </c>
      <c r="Q3328">
        <v>0.54569565107455797</v>
      </c>
      <c r="R3328">
        <v>0.83979401289425404</v>
      </c>
      <c r="S3328" t="s">
        <v>10134</v>
      </c>
      <c r="T3328" t="s">
        <v>13610</v>
      </c>
      <c r="U3328" t="s">
        <v>13610</v>
      </c>
      <c r="V3328" t="s">
        <v>13610</v>
      </c>
      <c r="W3328" t="s">
        <v>16884</v>
      </c>
      <c r="X3328">
        <v>4</v>
      </c>
      <c r="Y3328" t="s">
        <v>23508</v>
      </c>
      <c r="Z3328" t="s">
        <v>30183</v>
      </c>
      <c r="AA3328">
        <v>0.7142518214430601</v>
      </c>
      <c r="AB3328" t="str">
        <f>HYPERLINK("Melting_Curves/meltCurve_Q14153_FAM53B.pdf", "Melting_Curves/meltCurve_Q14153_FAM53B.pdf")</f>
        <v>Melting_Curves/meltCurve_Q14153_FAM53B.pdf</v>
      </c>
    </row>
    <row r="3329" spans="1:28" x14ac:dyDescent="0.25">
      <c r="A3329" t="s">
        <v>3333</v>
      </c>
      <c r="B3329">
        <v>0.995954080203443</v>
      </c>
      <c r="C3329">
        <v>0.96580939195194404</v>
      </c>
      <c r="D3329">
        <v>1.02247281712189</v>
      </c>
      <c r="E3329">
        <v>0.75095983835552704</v>
      </c>
      <c r="F3329">
        <v>0.373376151739787</v>
      </c>
      <c r="G3329">
        <v>0.25487064010312399</v>
      </c>
      <c r="H3329">
        <v>0.20465306059908001</v>
      </c>
      <c r="I3329">
        <v>0.246454860296833</v>
      </c>
      <c r="J3329">
        <v>0.23889672139896001</v>
      </c>
      <c r="K3329">
        <v>0.26505659079712202</v>
      </c>
      <c r="L3329">
        <v>2061.2333962165999</v>
      </c>
      <c r="M3329">
        <v>40.478769096204701</v>
      </c>
      <c r="N3329">
        <v>51.758595449807203</v>
      </c>
      <c r="O3329">
        <v>50.797548826694303</v>
      </c>
      <c r="P3329">
        <v>-0.15136002474524801</v>
      </c>
      <c r="Q3329">
        <v>0.24022377107603199</v>
      </c>
      <c r="R3329">
        <v>0.99626876123651398</v>
      </c>
      <c r="S3329" t="s">
        <v>10135</v>
      </c>
      <c r="T3329" t="s">
        <v>13610</v>
      </c>
      <c r="U3329" t="s">
        <v>13610</v>
      </c>
      <c r="V3329" t="s">
        <v>13610</v>
      </c>
      <c r="W3329" t="s">
        <v>16885</v>
      </c>
      <c r="X3329">
        <v>19</v>
      </c>
      <c r="Y3329" t="s">
        <v>23509</v>
      </c>
      <c r="Z3329" t="s">
        <v>30184</v>
      </c>
      <c r="AA3329">
        <v>0.51942725493315622</v>
      </c>
      <c r="AB3329" t="str">
        <f>HYPERLINK("Melting_Curves/meltCurve_Q14155_1_ARHGEF7.pdf", "Melting_Curves/meltCurve_Q14155_1_ARHGEF7.pdf")</f>
        <v>Melting_Curves/meltCurve_Q14155_1_ARHGEF7.pdf</v>
      </c>
    </row>
    <row r="3330" spans="1:28" x14ac:dyDescent="0.25">
      <c r="A3330" t="s">
        <v>3334</v>
      </c>
      <c r="B3330">
        <v>0.995954080203443</v>
      </c>
      <c r="C3330">
        <v>0.98033075071353204</v>
      </c>
      <c r="D3330">
        <v>1.0114315744165201</v>
      </c>
      <c r="E3330">
        <v>0.90889648065755402</v>
      </c>
      <c r="F3330">
        <v>0.89817797613485895</v>
      </c>
      <c r="G3330">
        <v>0.68174581610362694</v>
      </c>
      <c r="H3330">
        <v>0.651289278174913</v>
      </c>
      <c r="I3330">
        <v>0.76549458243372703</v>
      </c>
      <c r="J3330">
        <v>0.889580444373548</v>
      </c>
      <c r="K3330">
        <v>0.863744296266309</v>
      </c>
      <c r="L3330">
        <v>1740.55564327771</v>
      </c>
      <c r="M3330">
        <v>33.646498866406098</v>
      </c>
      <c r="O3330">
        <v>51.5489534048168</v>
      </c>
      <c r="P3330">
        <v>-3.6748762343812302E-2</v>
      </c>
      <c r="Q3330">
        <v>0.77479352823109005</v>
      </c>
      <c r="R3330">
        <v>0.63920512881487601</v>
      </c>
      <c r="S3330" t="s">
        <v>10136</v>
      </c>
      <c r="T3330" t="s">
        <v>13610</v>
      </c>
      <c r="U3330" t="s">
        <v>13610</v>
      </c>
      <c r="V3330" t="s">
        <v>13610</v>
      </c>
      <c r="W3330" t="s">
        <v>16886</v>
      </c>
      <c r="X3330">
        <v>26</v>
      </c>
      <c r="Y3330" t="s">
        <v>23510</v>
      </c>
      <c r="Z3330" t="s">
        <v>30185</v>
      </c>
      <c r="AA3330">
        <v>0.86399370970466005</v>
      </c>
      <c r="AB3330" t="str">
        <f>HYPERLINK("Melting_Curves/meltCurve_Q14157_UBAP2L.pdf", "Melting_Curves/meltCurve_Q14157_UBAP2L.pdf")</f>
        <v>Melting_Curves/meltCurve_Q14157_UBAP2L.pdf</v>
      </c>
    </row>
    <row r="3331" spans="1:28" x14ac:dyDescent="0.25">
      <c r="A3331" t="s">
        <v>3335</v>
      </c>
      <c r="B3331">
        <v>0.995954080203443</v>
      </c>
      <c r="C3331">
        <v>0.94999323297061</v>
      </c>
      <c r="D3331">
        <v>0.81955082482880603</v>
      </c>
      <c r="E3331">
        <v>0.56745677368307301</v>
      </c>
      <c r="F3331">
        <v>0.49251428256557001</v>
      </c>
      <c r="G3331">
        <v>0.36480278579363601</v>
      </c>
      <c r="H3331">
        <v>0.33428049058732301</v>
      </c>
      <c r="I3331">
        <v>0.41590487513034502</v>
      </c>
      <c r="J3331">
        <v>0.44658569983060598</v>
      </c>
      <c r="K3331">
        <v>0.48391755299167599</v>
      </c>
      <c r="L3331">
        <v>1080.3786458085999</v>
      </c>
      <c r="M3331">
        <v>22.645386500601902</v>
      </c>
      <c r="N3331">
        <v>51.621501215030001</v>
      </c>
      <c r="O3331">
        <v>47.341202839444101</v>
      </c>
      <c r="P3331">
        <v>-7.0538492381108903E-2</v>
      </c>
      <c r="Q3331">
        <v>0.41015630656253299</v>
      </c>
      <c r="R3331">
        <v>0.96745225856809303</v>
      </c>
      <c r="S3331" t="s">
        <v>10137</v>
      </c>
      <c r="T3331" t="s">
        <v>13610</v>
      </c>
      <c r="U3331" t="s">
        <v>13610</v>
      </c>
      <c r="V3331" t="s">
        <v>13610</v>
      </c>
      <c r="W3331" t="s">
        <v>16887</v>
      </c>
      <c r="X3331">
        <v>48</v>
      </c>
      <c r="Y3331" t="s">
        <v>21108</v>
      </c>
      <c r="Z3331" t="s">
        <v>30186</v>
      </c>
      <c r="AA3331">
        <v>0.56817566272128595</v>
      </c>
      <c r="AB3331" t="str">
        <f>HYPERLINK("Melting_Curves/meltCurve_Q14160_SCRIB.pdf", "Melting_Curves/meltCurve_Q14160_SCRIB.pdf")</f>
        <v>Melting_Curves/meltCurve_Q14160_SCRIB.pdf</v>
      </c>
    </row>
    <row r="3332" spans="1:28" x14ac:dyDescent="0.25">
      <c r="A3332" t="s">
        <v>3336</v>
      </c>
      <c r="B3332">
        <v>0.995954080203443</v>
      </c>
      <c r="C3332">
        <v>0.89465457947077298</v>
      </c>
      <c r="D3332">
        <v>0.78999815374149895</v>
      </c>
      <c r="E3332">
        <v>0.62646480461470799</v>
      </c>
      <c r="F3332">
        <v>0.54035437950932896</v>
      </c>
      <c r="G3332">
        <v>0.41557523073790897</v>
      </c>
      <c r="H3332">
        <v>0.37192231676885901</v>
      </c>
      <c r="I3332">
        <v>0.37907371421278002</v>
      </c>
      <c r="J3332">
        <v>0.41883214099146598</v>
      </c>
      <c r="K3332">
        <v>0.29138662667538601</v>
      </c>
      <c r="L3332">
        <v>613.56686297591102</v>
      </c>
      <c r="M3332">
        <v>12.499203263112101</v>
      </c>
      <c r="N3332">
        <v>53.793064048753997</v>
      </c>
      <c r="O3332">
        <v>47.882778301319597</v>
      </c>
      <c r="P3332">
        <v>-4.3574861710319102E-2</v>
      </c>
      <c r="Q3332">
        <v>0.33241948879012301</v>
      </c>
      <c r="R3332">
        <v>0.982419357454552</v>
      </c>
      <c r="S3332" t="s">
        <v>10138</v>
      </c>
      <c r="T3332" t="s">
        <v>13610</v>
      </c>
      <c r="U3332" t="s">
        <v>13610</v>
      </c>
      <c r="V3332" t="s">
        <v>13610</v>
      </c>
      <c r="W3332" t="s">
        <v>16888</v>
      </c>
      <c r="X3332">
        <v>15</v>
      </c>
      <c r="Y3332" t="s">
        <v>23511</v>
      </c>
      <c r="Z3332" t="s">
        <v>30187</v>
      </c>
      <c r="AA3332">
        <v>0.55743700748412905</v>
      </c>
      <c r="AB3332" t="str">
        <f>HYPERLINK("Melting_Curves/meltCurve_Q14161_4_GIT2.pdf", "Melting_Curves/meltCurve_Q14161_4_GIT2.pdf")</f>
        <v>Melting_Curves/meltCurve_Q14161_4_GIT2.pdf</v>
      </c>
    </row>
    <row r="3333" spans="1:28" x14ac:dyDescent="0.25">
      <c r="A3333" t="s">
        <v>3337</v>
      </c>
      <c r="B3333">
        <v>0.995954080203443</v>
      </c>
      <c r="C3333">
        <v>0.99018003188090298</v>
      </c>
      <c r="D3333">
        <v>0.483975311547854</v>
      </c>
      <c r="E3333">
        <v>0.23958215960005499</v>
      </c>
      <c r="F3333">
        <v>0.121166136205868</v>
      </c>
      <c r="G3333">
        <v>7.8504223556230601E-2</v>
      </c>
      <c r="H3333">
        <v>5.79643671247312E-2</v>
      </c>
      <c r="I3333">
        <v>5.3105143258462099E-2</v>
      </c>
      <c r="J3333">
        <v>5.8460212937171303E-2</v>
      </c>
      <c r="K3333">
        <v>5.2332194791391597E-2</v>
      </c>
      <c r="L3333">
        <v>1343.7953780895</v>
      </c>
      <c r="M3333">
        <v>29.176954565501401</v>
      </c>
      <c r="N3333">
        <v>46.3139285493979</v>
      </c>
      <c r="O3333">
        <v>45.8420115411515</v>
      </c>
      <c r="P3333">
        <v>-0.14721762073120701</v>
      </c>
      <c r="Q3333">
        <v>7.4789990138755494E-2</v>
      </c>
      <c r="R3333">
        <v>0.98466841405819305</v>
      </c>
      <c r="S3333" t="s">
        <v>10139</v>
      </c>
      <c r="T3333" t="s">
        <v>13610</v>
      </c>
      <c r="U3333" t="s">
        <v>13610</v>
      </c>
      <c r="V3333" t="s">
        <v>13610</v>
      </c>
      <c r="W3333" t="s">
        <v>16889</v>
      </c>
      <c r="X3333">
        <v>27</v>
      </c>
      <c r="Y3333" t="s">
        <v>23512</v>
      </c>
      <c r="Z3333" t="s">
        <v>30188</v>
      </c>
      <c r="AA3333">
        <v>0.2675737983425569</v>
      </c>
      <c r="AB3333" t="str">
        <f>HYPERLINK("Melting_Curves/meltCurve_Q14166_TTLL12.pdf", "Melting_Curves/meltCurve_Q14166_TTLL12.pdf")</f>
        <v>Melting_Curves/meltCurve_Q14166_TTLL12.pdf</v>
      </c>
    </row>
    <row r="3334" spans="1:28" x14ac:dyDescent="0.25">
      <c r="A3334" t="s">
        <v>3338</v>
      </c>
      <c r="B3334">
        <v>0.995954080203443</v>
      </c>
      <c r="C3334">
        <v>0.96439693416113703</v>
      </c>
      <c r="D3334">
        <v>0.79194017835628905</v>
      </c>
      <c r="E3334">
        <v>0.71542496930493904</v>
      </c>
      <c r="F3334">
        <v>0.43513565778802099</v>
      </c>
      <c r="G3334">
        <v>0.256025468887074</v>
      </c>
      <c r="H3334">
        <v>0.19860905915796701</v>
      </c>
      <c r="I3334">
        <v>0.20328276790062</v>
      </c>
      <c r="J3334">
        <v>0.23153429629474001</v>
      </c>
      <c r="K3334">
        <v>0.21756311842328499</v>
      </c>
      <c r="L3334">
        <v>841.10796054525599</v>
      </c>
      <c r="M3334">
        <v>16.6003990442643</v>
      </c>
      <c r="N3334">
        <v>52.111424362411597</v>
      </c>
      <c r="O3334">
        <v>49.9497920102256</v>
      </c>
      <c r="P3334">
        <v>-6.7776859335786199E-2</v>
      </c>
      <c r="Q3334">
        <v>0.18430628645573</v>
      </c>
      <c r="R3334">
        <v>0.98259624911205901</v>
      </c>
      <c r="S3334" t="s">
        <v>10140</v>
      </c>
      <c r="T3334" t="s">
        <v>13610</v>
      </c>
      <c r="U3334" t="s">
        <v>13610</v>
      </c>
      <c r="V3334" t="s">
        <v>13610</v>
      </c>
      <c r="W3334" t="s">
        <v>16890</v>
      </c>
      <c r="X3334">
        <v>12</v>
      </c>
      <c r="Y3334" t="s">
        <v>23513</v>
      </c>
      <c r="Z3334" t="s">
        <v>30189</v>
      </c>
      <c r="AA3334">
        <v>0.49033564150823461</v>
      </c>
      <c r="AB3334" t="str">
        <f>HYPERLINK("Melting_Curves/meltCurve_Q14181_POLA2.pdf", "Melting_Curves/meltCurve_Q14181_POLA2.pdf")</f>
        <v>Melting_Curves/meltCurve_Q14181_POLA2.pdf</v>
      </c>
    </row>
    <row r="3335" spans="1:28" x14ac:dyDescent="0.25">
      <c r="A3335" t="s">
        <v>3339</v>
      </c>
      <c r="B3335">
        <v>0.995954080203443</v>
      </c>
      <c r="C3335">
        <v>0.94205392154370204</v>
      </c>
      <c r="D3335">
        <v>0.82148348654104197</v>
      </c>
      <c r="E3335">
        <v>0.60889671284600499</v>
      </c>
      <c r="F3335">
        <v>0.47403095816261398</v>
      </c>
      <c r="G3335">
        <v>0.31935521348698698</v>
      </c>
      <c r="H3335">
        <v>0.273276200371668</v>
      </c>
      <c r="I3335">
        <v>0.25726645128519399</v>
      </c>
      <c r="J3335">
        <v>0.35521358686267201</v>
      </c>
      <c r="K3335">
        <v>0.28078626122185901</v>
      </c>
      <c r="L3335">
        <v>822.93305041274698</v>
      </c>
      <c r="M3335">
        <v>16.661912361955899</v>
      </c>
      <c r="N3335">
        <v>51.883505531800601</v>
      </c>
      <c r="O3335">
        <v>48.695078584517702</v>
      </c>
      <c r="P3335">
        <v>-6.1979168655766199E-2</v>
      </c>
      <c r="Q3335">
        <v>0.27550245675861901</v>
      </c>
      <c r="R3335">
        <v>0.98845885656245702</v>
      </c>
      <c r="S3335" t="s">
        <v>10141</v>
      </c>
      <c r="T3335" t="s">
        <v>13610</v>
      </c>
      <c r="U3335" t="s">
        <v>13610</v>
      </c>
      <c r="V3335" t="s">
        <v>13610</v>
      </c>
      <c r="W3335" t="s">
        <v>16891</v>
      </c>
      <c r="X3335">
        <v>18</v>
      </c>
      <c r="Y3335" t="s">
        <v>23514</v>
      </c>
      <c r="Z3335" t="s">
        <v>30190</v>
      </c>
      <c r="AA3335">
        <v>0.51674664197297937</v>
      </c>
      <c r="AB3335" t="str">
        <f>HYPERLINK("Melting_Curves/meltCurve_Q14191_WRN.pdf", "Melting_Curves/meltCurve_Q14191_WRN.pdf")</f>
        <v>Melting_Curves/meltCurve_Q14191_WRN.pdf</v>
      </c>
    </row>
    <row r="3336" spans="1:28" x14ac:dyDescent="0.25">
      <c r="A3336" t="s">
        <v>3340</v>
      </c>
      <c r="B3336">
        <v>0.995954080203443</v>
      </c>
      <c r="C3336">
        <v>0.83483101929271697</v>
      </c>
      <c r="D3336">
        <v>0.67796241198769203</v>
      </c>
      <c r="E3336">
        <v>0.45593398041480998</v>
      </c>
      <c r="F3336">
        <v>0.24845468637568</v>
      </c>
      <c r="G3336">
        <v>0.144861000099404</v>
      </c>
      <c r="H3336">
        <v>8.7341161540940307E-2</v>
      </c>
      <c r="I3336">
        <v>7.0995899467484802E-2</v>
      </c>
      <c r="J3336">
        <v>7.6177016256151503E-2</v>
      </c>
      <c r="K3336">
        <v>6.99058964826971E-2</v>
      </c>
      <c r="L3336">
        <v>674.61414651856001</v>
      </c>
      <c r="M3336">
        <v>13.931547820221599</v>
      </c>
      <c r="N3336">
        <v>48.765876594630399</v>
      </c>
      <c r="O3336">
        <v>47.458496416419003</v>
      </c>
      <c r="P3336">
        <v>-6.9978369725183301E-2</v>
      </c>
      <c r="Q3336">
        <v>4.6589700580984501E-2</v>
      </c>
      <c r="R3336">
        <v>0.99556835749615802</v>
      </c>
      <c r="S3336" t="s">
        <v>10142</v>
      </c>
      <c r="T3336" t="s">
        <v>13610</v>
      </c>
      <c r="U3336" t="s">
        <v>13610</v>
      </c>
      <c r="V3336" t="s">
        <v>13610</v>
      </c>
      <c r="W3336" t="s">
        <v>16892</v>
      </c>
      <c r="X3336">
        <v>7</v>
      </c>
      <c r="Y3336" t="s">
        <v>23515</v>
      </c>
      <c r="Z3336" t="s">
        <v>30191</v>
      </c>
      <c r="AA3336">
        <v>0.34201395873424012</v>
      </c>
      <c r="AB3336" t="str">
        <f>HYPERLINK("Melting_Curves/meltCurve_Q14192_FHL2.pdf", "Melting_Curves/meltCurve_Q14192_FHL2.pdf")</f>
        <v>Melting_Curves/meltCurve_Q14192_FHL2.pdf</v>
      </c>
    </row>
    <row r="3337" spans="1:28" x14ac:dyDescent="0.25">
      <c r="A3337" t="s">
        <v>3341</v>
      </c>
      <c r="B3337">
        <v>0.995954080203443</v>
      </c>
      <c r="C3337">
        <v>0.72292934999529601</v>
      </c>
      <c r="D3337">
        <v>0.750157521400868</v>
      </c>
      <c r="E3337">
        <v>0.42941737597106899</v>
      </c>
      <c r="F3337">
        <v>0.26904966039179601</v>
      </c>
      <c r="G3337">
        <v>0.15051792410280601</v>
      </c>
      <c r="H3337">
        <v>0.10781853784008399</v>
      </c>
      <c r="I3337">
        <v>0.103006789534212</v>
      </c>
      <c r="J3337">
        <v>0.12204935909088099</v>
      </c>
      <c r="K3337">
        <v>0.116801775207222</v>
      </c>
      <c r="L3337">
        <v>643.48552683037997</v>
      </c>
      <c r="M3337">
        <v>13.3918252174052</v>
      </c>
      <c r="N3337">
        <v>48.6690209008812</v>
      </c>
      <c r="O3337">
        <v>47.017105909973303</v>
      </c>
      <c r="P3337">
        <v>-6.5646457226706006E-2</v>
      </c>
      <c r="Q3337">
        <v>7.8237282438287606E-2</v>
      </c>
      <c r="R3337">
        <v>0.97282776435442098</v>
      </c>
      <c r="S3337" t="s">
        <v>10143</v>
      </c>
      <c r="T3337" t="s">
        <v>13610</v>
      </c>
      <c r="U3337" t="s">
        <v>13610</v>
      </c>
      <c r="V3337" t="s">
        <v>13610</v>
      </c>
      <c r="W3337" t="s">
        <v>16893</v>
      </c>
      <c r="X3337">
        <v>12</v>
      </c>
      <c r="Y3337" t="s">
        <v>23516</v>
      </c>
      <c r="Z3337" t="s">
        <v>30192</v>
      </c>
      <c r="AA3337">
        <v>0.35503896511880961</v>
      </c>
      <c r="AB3337" t="str">
        <f>HYPERLINK("Melting_Curves/meltCurve_Q14202_2_ZMYM3.pdf", "Melting_Curves/meltCurve_Q14202_2_ZMYM3.pdf")</f>
        <v>Melting_Curves/meltCurve_Q14202_2_ZMYM3.pdf</v>
      </c>
    </row>
    <row r="3338" spans="1:28" x14ac:dyDescent="0.25">
      <c r="A3338" t="s">
        <v>3342</v>
      </c>
      <c r="B3338">
        <v>0.995954080203443</v>
      </c>
      <c r="C3338">
        <v>0.78675467180946701</v>
      </c>
      <c r="D3338">
        <v>0.80838566621366903</v>
      </c>
      <c r="E3338">
        <v>0.50835520842246096</v>
      </c>
      <c r="F3338">
        <v>0.240933321473706</v>
      </c>
      <c r="G3338">
        <v>0.14196056884162001</v>
      </c>
      <c r="H3338">
        <v>9.4656808128533998E-2</v>
      </c>
      <c r="I3338">
        <v>8.9647413362846207E-2</v>
      </c>
      <c r="J3338">
        <v>9.5902422840352095E-2</v>
      </c>
      <c r="K3338">
        <v>9.7256271976229103E-2</v>
      </c>
      <c r="L3338">
        <v>759.84330478692505</v>
      </c>
      <c r="M3338">
        <v>15.4853915545915</v>
      </c>
      <c r="N3338">
        <v>49.511411481363503</v>
      </c>
      <c r="O3338">
        <v>48.271947137821002</v>
      </c>
      <c r="P3338">
        <v>-7.5016993357343506E-2</v>
      </c>
      <c r="Q3338">
        <v>6.4694365947115307E-2</v>
      </c>
      <c r="R3338">
        <v>0.97907010548300399</v>
      </c>
      <c r="S3338" t="s">
        <v>10144</v>
      </c>
      <c r="T3338" t="s">
        <v>13610</v>
      </c>
      <c r="U3338" t="s">
        <v>13610</v>
      </c>
      <c r="V3338" t="s">
        <v>13610</v>
      </c>
      <c r="W3338" t="s">
        <v>16894</v>
      </c>
      <c r="X3338">
        <v>61</v>
      </c>
      <c r="Y3338" t="s">
        <v>23517</v>
      </c>
      <c r="Z3338" t="s">
        <v>30193</v>
      </c>
      <c r="AA3338">
        <v>0.36910168032888307</v>
      </c>
      <c r="AB3338" t="str">
        <f>HYPERLINK("Melting_Curves/meltCurve_Q14203_6_DCTN1.pdf", "Melting_Curves/meltCurve_Q14203_6_DCTN1.pdf")</f>
        <v>Melting_Curves/meltCurve_Q14203_6_DCTN1.pdf</v>
      </c>
    </row>
    <row r="3339" spans="1:28" x14ac:dyDescent="0.25">
      <c r="A3339" t="s">
        <v>3343</v>
      </c>
      <c r="B3339">
        <v>0.995954080203443</v>
      </c>
      <c r="C3339">
        <v>0.57484557829626404</v>
      </c>
      <c r="D3339">
        <v>0.32547384826118397</v>
      </c>
      <c r="E3339">
        <v>0.25771614308381102</v>
      </c>
      <c r="F3339">
        <v>0.118566032651755</v>
      </c>
      <c r="G3339">
        <v>6.8555777688436195E-2</v>
      </c>
      <c r="H3339">
        <v>4.5432230272879098E-2</v>
      </c>
      <c r="I3339">
        <v>4.1127886799709697E-2</v>
      </c>
      <c r="J3339">
        <v>4.69979942218859E-2</v>
      </c>
      <c r="K3339">
        <v>4.2079438128144499E-2</v>
      </c>
      <c r="L3339">
        <v>826.30862401312595</v>
      </c>
      <c r="M3339">
        <v>18.753791515480799</v>
      </c>
      <c r="N3339">
        <v>44.367493292472197</v>
      </c>
      <c r="O3339">
        <v>43.569062769072602</v>
      </c>
      <c r="P3339">
        <v>-0.10107367380240299</v>
      </c>
      <c r="Q3339">
        <v>6.0776401443519999E-2</v>
      </c>
      <c r="R3339">
        <v>0.96285607610188995</v>
      </c>
      <c r="S3339" t="s">
        <v>10145</v>
      </c>
      <c r="T3339" t="s">
        <v>13610</v>
      </c>
      <c r="U3339" t="s">
        <v>13610</v>
      </c>
      <c r="V3339" t="s">
        <v>13610</v>
      </c>
      <c r="W3339" t="s">
        <v>16895</v>
      </c>
      <c r="X3339">
        <v>154</v>
      </c>
      <c r="Y3339" t="s">
        <v>23518</v>
      </c>
      <c r="Z3339" t="s">
        <v>30194</v>
      </c>
      <c r="AA3339">
        <v>0.20883711816276351</v>
      </c>
      <c r="AB3339" t="str">
        <f>HYPERLINK("Melting_Curves/meltCurve_Q14204_DYNC1H1.pdf", "Melting_Curves/meltCurve_Q14204_DYNC1H1.pdf")</f>
        <v>Melting_Curves/meltCurve_Q14204_DYNC1H1.pdf</v>
      </c>
    </row>
    <row r="3340" spans="1:28" x14ac:dyDescent="0.25">
      <c r="A3340" t="s">
        <v>3344</v>
      </c>
      <c r="B3340">
        <v>0.995954080203443</v>
      </c>
      <c r="C3340">
        <v>1.07354107265151</v>
      </c>
      <c r="D3340">
        <v>1.0807869969568999</v>
      </c>
      <c r="E3340">
        <v>0.97546803869207399</v>
      </c>
      <c r="F3340">
        <v>0.92310880549305396</v>
      </c>
      <c r="G3340">
        <v>0.68946046913279402</v>
      </c>
      <c r="H3340">
        <v>0.63543324609101404</v>
      </c>
      <c r="I3340">
        <v>0.74062433856653898</v>
      </c>
      <c r="J3340">
        <v>0.93895404195579202</v>
      </c>
      <c r="K3340">
        <v>0.88714565219907804</v>
      </c>
      <c r="L3340">
        <v>13283.5415594721</v>
      </c>
      <c r="M3340">
        <v>250</v>
      </c>
      <c r="O3340">
        <v>53.130766036325603</v>
      </c>
      <c r="P3340">
        <v>-0.26076752110268397</v>
      </c>
      <c r="Q3340">
        <v>0.77832354993877195</v>
      </c>
      <c r="R3340">
        <v>0.63548958154417601</v>
      </c>
      <c r="S3340" t="s">
        <v>10146</v>
      </c>
      <c r="T3340" t="s">
        <v>13610</v>
      </c>
      <c r="U3340" t="s">
        <v>13610</v>
      </c>
      <c r="V3340" t="s">
        <v>13610</v>
      </c>
      <c r="W3340" t="s">
        <v>16896</v>
      </c>
      <c r="X3340">
        <v>13</v>
      </c>
      <c r="Y3340" t="s">
        <v>23519</v>
      </c>
      <c r="Z3340" t="s">
        <v>30195</v>
      </c>
      <c r="AA3340">
        <v>0.87539539939108779</v>
      </c>
      <c r="AB3340" t="str">
        <f>HYPERLINK("Melting_Curves/meltCurve_Q14207_NPAT.pdf", "Melting_Curves/meltCurve_Q14207_NPAT.pdf")</f>
        <v>Melting_Curves/meltCurve_Q14207_NPAT.pdf</v>
      </c>
    </row>
    <row r="3341" spans="1:28" x14ac:dyDescent="0.25">
      <c r="A3341" t="s">
        <v>3345</v>
      </c>
      <c r="B3341">
        <v>0.995954080203443</v>
      </c>
      <c r="C3341">
        <v>0.988810620768518</v>
      </c>
      <c r="D3341">
        <v>0.97875709977760195</v>
      </c>
      <c r="E3341">
        <v>0.92845295141950801</v>
      </c>
      <c r="F3341">
        <v>0.87691680400796201</v>
      </c>
      <c r="G3341">
        <v>0.57977684551324105</v>
      </c>
      <c r="H3341">
        <v>0.113729645029552</v>
      </c>
      <c r="I3341">
        <v>7.7609520097541101E-2</v>
      </c>
      <c r="J3341">
        <v>8.2278138540635898E-2</v>
      </c>
      <c r="K3341">
        <v>7.0871561626380503E-2</v>
      </c>
      <c r="L3341">
        <v>1763.82591063974</v>
      </c>
      <c r="M3341">
        <v>30.8803417293643</v>
      </c>
      <c r="N3341">
        <v>57.3164399008446</v>
      </c>
      <c r="O3341">
        <v>56.880161310320801</v>
      </c>
      <c r="P3341">
        <v>-0.12884780337481599</v>
      </c>
      <c r="Q3341">
        <v>5.0678857297222303E-2</v>
      </c>
      <c r="R3341">
        <v>0.99327537174645797</v>
      </c>
      <c r="S3341" t="s">
        <v>10147</v>
      </c>
      <c r="T3341" t="s">
        <v>13610</v>
      </c>
      <c r="U3341" t="s">
        <v>13610</v>
      </c>
      <c r="V3341" t="s">
        <v>13610</v>
      </c>
      <c r="W3341" t="s">
        <v>13732</v>
      </c>
      <c r="X3341">
        <v>23</v>
      </c>
      <c r="Y3341" t="s">
        <v>20453</v>
      </c>
      <c r="Z3341" t="s">
        <v>30196</v>
      </c>
      <c r="AA3341">
        <v>0.59836744366789119</v>
      </c>
      <c r="AB3341" t="str">
        <f>HYPERLINK("Melting_Curves/meltCurve_Q14232_EIF2B1.pdf", "Melting_Curves/meltCurve_Q14232_EIF2B1.pdf")</f>
        <v>Melting_Curves/meltCurve_Q14232_EIF2B1.pdf</v>
      </c>
    </row>
    <row r="3342" spans="1:28" x14ac:dyDescent="0.25">
      <c r="A3342" t="s">
        <v>3346</v>
      </c>
      <c r="B3342">
        <v>0.995954080203443</v>
      </c>
      <c r="C3342">
        <v>0.97739019014516904</v>
      </c>
      <c r="D3342">
        <v>0.95721058993110197</v>
      </c>
      <c r="E3342">
        <v>0.75401918537372803</v>
      </c>
      <c r="F3342">
        <v>0.66577460103265296</v>
      </c>
      <c r="G3342">
        <v>0.48532114447025998</v>
      </c>
      <c r="H3342">
        <v>0.45188116199593398</v>
      </c>
      <c r="I3342">
        <v>0.51619338269406401</v>
      </c>
      <c r="J3342">
        <v>0.67579216941560105</v>
      </c>
      <c r="K3342">
        <v>0.61544194187361601</v>
      </c>
      <c r="L3342">
        <v>1387.2614677470499</v>
      </c>
      <c r="M3342">
        <v>27.8522721652859</v>
      </c>
      <c r="O3342">
        <v>49.5532109413071</v>
      </c>
      <c r="P3342">
        <v>-6.2923293942179603E-2</v>
      </c>
      <c r="Q3342">
        <v>0.552205549275951</v>
      </c>
      <c r="R3342">
        <v>0.896094034627126</v>
      </c>
      <c r="S3342" t="s">
        <v>10148</v>
      </c>
      <c r="T3342" t="s">
        <v>13610</v>
      </c>
      <c r="U3342" t="s">
        <v>13610</v>
      </c>
      <c r="V3342" t="s">
        <v>13610</v>
      </c>
      <c r="W3342" t="s">
        <v>16897</v>
      </c>
      <c r="X3342">
        <v>20</v>
      </c>
      <c r="Y3342" t="s">
        <v>23520</v>
      </c>
      <c r="Z3342" t="s">
        <v>30197</v>
      </c>
      <c r="AA3342">
        <v>0.70181206586738076</v>
      </c>
      <c r="AB3342" t="str">
        <f>HYPERLINK("Melting_Curves/meltCurve_Q14241_TCEB3.pdf", "Melting_Curves/meltCurve_Q14241_TCEB3.pdf")</f>
        <v>Melting_Curves/meltCurve_Q14241_TCEB3.pdf</v>
      </c>
    </row>
    <row r="3343" spans="1:28" x14ac:dyDescent="0.25">
      <c r="A3343" t="s">
        <v>3347</v>
      </c>
      <c r="B3343">
        <v>0.995954080203443</v>
      </c>
      <c r="C3343">
        <v>0.89075449021202502</v>
      </c>
      <c r="D3343">
        <v>1.1744633586373101</v>
      </c>
      <c r="E3343">
        <v>0.89797946526388805</v>
      </c>
      <c r="F3343">
        <v>1.08857149053545</v>
      </c>
      <c r="G3343">
        <v>1.0037669798125499</v>
      </c>
      <c r="H3343">
        <v>1.0315806814800701</v>
      </c>
      <c r="I3343">
        <v>1.3944782480062701</v>
      </c>
      <c r="J3343">
        <v>1.4165645580548101</v>
      </c>
      <c r="K3343">
        <v>1.62644501609373</v>
      </c>
      <c r="L3343">
        <v>4777.2336712390097</v>
      </c>
      <c r="M3343">
        <v>75.872712938221099</v>
      </c>
      <c r="O3343">
        <v>62.9200918554343</v>
      </c>
      <c r="P3343">
        <v>0.15073230763227299</v>
      </c>
      <c r="Q3343">
        <v>1.5</v>
      </c>
      <c r="R3343">
        <v>0.84970102817674198</v>
      </c>
      <c r="S3343" t="s">
        <v>10149</v>
      </c>
      <c r="T3343" t="s">
        <v>13610</v>
      </c>
      <c r="U3343" t="s">
        <v>13610</v>
      </c>
      <c r="V3343" t="s">
        <v>13610</v>
      </c>
      <c r="W3343" t="s">
        <v>16898</v>
      </c>
      <c r="X3343">
        <v>16</v>
      </c>
      <c r="Y3343" t="s">
        <v>23521</v>
      </c>
      <c r="Z3343" t="s">
        <v>30198</v>
      </c>
      <c r="AA3343">
        <v>1.1166775628918859</v>
      </c>
      <c r="AB3343" t="str">
        <f>HYPERLINK("Melting_Curves/meltCurve_Q14244_2_MAP7.pdf", "Melting_Curves/meltCurve_Q14244_2_MAP7.pdf")</f>
        <v>Melting_Curves/meltCurve_Q14244_2_MAP7.pdf</v>
      </c>
    </row>
    <row r="3344" spans="1:28" x14ac:dyDescent="0.25">
      <c r="A3344" t="s">
        <v>3348</v>
      </c>
      <c r="B3344">
        <v>0.995954080203443</v>
      </c>
      <c r="C3344">
        <v>0.99581762703952803</v>
      </c>
      <c r="D3344">
        <v>1.0937517620399499</v>
      </c>
      <c r="E3344">
        <v>0.98081772311984805</v>
      </c>
      <c r="F3344">
        <v>1.0568169839458701</v>
      </c>
      <c r="G3344">
        <v>0.85967181130430803</v>
      </c>
      <c r="H3344">
        <v>0.90041945809299795</v>
      </c>
      <c r="I3344">
        <v>1.04036040088031</v>
      </c>
      <c r="J3344">
        <v>1.57292784699018</v>
      </c>
      <c r="K3344">
        <v>1.2474103186413099</v>
      </c>
      <c r="L3344">
        <v>15000</v>
      </c>
      <c r="M3344">
        <v>232.17225472484799</v>
      </c>
      <c r="O3344">
        <v>64.602410807748399</v>
      </c>
      <c r="P3344">
        <v>0.368530444256982</v>
      </c>
      <c r="Q3344">
        <v>1.41017742820596</v>
      </c>
      <c r="R3344">
        <v>0.74841168680317904</v>
      </c>
      <c r="S3344" t="s">
        <v>10150</v>
      </c>
      <c r="T3344" t="s">
        <v>13610</v>
      </c>
      <c r="U3344" t="s">
        <v>13610</v>
      </c>
      <c r="V3344" t="s">
        <v>13610</v>
      </c>
      <c r="W3344" t="s">
        <v>16899</v>
      </c>
      <c r="X3344">
        <v>48</v>
      </c>
      <c r="Y3344" t="s">
        <v>23522</v>
      </c>
      <c r="Z3344" t="s">
        <v>30199</v>
      </c>
      <c r="AA3344">
        <v>1.073679526775082</v>
      </c>
      <c r="AB3344" t="str">
        <f>HYPERLINK("Melting_Curves/meltCurve_Q14247_CTTN.pdf", "Melting_Curves/meltCurve_Q14247_CTTN.pdf")</f>
        <v>Melting_Curves/meltCurve_Q14247_CTTN.pdf</v>
      </c>
    </row>
    <row r="3345" spans="1:28" x14ac:dyDescent="0.25">
      <c r="A3345" t="s">
        <v>3349</v>
      </c>
      <c r="B3345">
        <v>0.995954080203443</v>
      </c>
      <c r="C3345">
        <v>0.77474697688124905</v>
      </c>
      <c r="D3345">
        <v>0.82433055745221795</v>
      </c>
      <c r="E3345">
        <v>0.59860979546348503</v>
      </c>
      <c r="F3345">
        <v>0.766435864851163</v>
      </c>
      <c r="G3345">
        <v>0.52113944545413404</v>
      </c>
      <c r="H3345">
        <v>0.62366901942668995</v>
      </c>
      <c r="I3345">
        <v>0.66562338777560603</v>
      </c>
      <c r="J3345">
        <v>2.2420192645384698</v>
      </c>
      <c r="K3345">
        <v>0.45994695564022797</v>
      </c>
      <c r="L3345">
        <v>10148.3521689843</v>
      </c>
      <c r="M3345">
        <v>250</v>
      </c>
      <c r="O3345">
        <v>40.5908109211707</v>
      </c>
      <c r="P3345">
        <v>-0.26064308114326401</v>
      </c>
      <c r="Q3345">
        <v>0.83072457561359203</v>
      </c>
      <c r="R3345">
        <v>1.0319663377781899E-2</v>
      </c>
      <c r="S3345" t="s">
        <v>10151</v>
      </c>
      <c r="T3345" t="s">
        <v>13610</v>
      </c>
      <c r="U3345" t="s">
        <v>13610</v>
      </c>
      <c r="V3345" t="s">
        <v>13610</v>
      </c>
      <c r="W3345" t="s">
        <v>16900</v>
      </c>
      <c r="X3345">
        <v>44</v>
      </c>
      <c r="Y3345" t="s">
        <v>23522</v>
      </c>
      <c r="Z3345" t="s">
        <v>30200</v>
      </c>
      <c r="AA3345">
        <v>0.83410632147414931</v>
      </c>
      <c r="AB3345" t="str">
        <f>HYPERLINK("Melting_Curves/meltCurve_Q14247_3_CTTN.pdf", "Melting_Curves/meltCurve_Q14247_3_CTTN.pdf")</f>
        <v>Melting_Curves/meltCurve_Q14247_3_CTTN.pdf</v>
      </c>
    </row>
    <row r="3346" spans="1:28" x14ac:dyDescent="0.25">
      <c r="A3346" t="s">
        <v>3350</v>
      </c>
      <c r="B3346">
        <v>0.995954080203443</v>
      </c>
      <c r="C3346">
        <v>0.88505155533797797</v>
      </c>
      <c r="D3346">
        <v>0.67128054756759503</v>
      </c>
      <c r="E3346">
        <v>0.54578681700422904</v>
      </c>
      <c r="F3346">
        <v>0.22357784109061299</v>
      </c>
      <c r="G3346">
        <v>0.13432875750679599</v>
      </c>
      <c r="H3346">
        <v>8.3568444800483199E-2</v>
      </c>
      <c r="I3346">
        <v>6.6813932541629595E-2</v>
      </c>
      <c r="J3346">
        <v>7.8800257491409495E-2</v>
      </c>
      <c r="K3346">
        <v>6.3234734052876995E-2</v>
      </c>
      <c r="L3346">
        <v>705.14178879688097</v>
      </c>
      <c r="M3346">
        <v>14.395816576067901</v>
      </c>
      <c r="N3346">
        <v>49.262244901294501</v>
      </c>
      <c r="O3346">
        <v>48.066322199033998</v>
      </c>
      <c r="P3346">
        <v>-7.1943673039431402E-2</v>
      </c>
      <c r="Q3346">
        <v>3.92606690948199E-2</v>
      </c>
      <c r="R3346">
        <v>0.98527944193017003</v>
      </c>
      <c r="S3346" t="s">
        <v>10152</v>
      </c>
      <c r="T3346" t="s">
        <v>13610</v>
      </c>
      <c r="U3346" t="s">
        <v>13610</v>
      </c>
      <c r="V3346" t="s">
        <v>13610</v>
      </c>
      <c r="W3346" t="s">
        <v>16901</v>
      </c>
      <c r="X3346">
        <v>10</v>
      </c>
      <c r="Y3346" t="s">
        <v>23523</v>
      </c>
      <c r="Z3346" t="s">
        <v>30201</v>
      </c>
      <c r="AA3346">
        <v>0.35253857564827101</v>
      </c>
      <c r="AB3346" t="str">
        <f>HYPERLINK("Melting_Curves/meltCurve_Q14249_ENDOG.pdf", "Melting_Curves/meltCurve_Q14249_ENDOG.pdf")</f>
        <v>Melting_Curves/meltCurve_Q14249_ENDOG.pdf</v>
      </c>
    </row>
    <row r="3347" spans="1:28" x14ac:dyDescent="0.25">
      <c r="A3347" t="s">
        <v>3351</v>
      </c>
      <c r="B3347">
        <v>0.995954080203443</v>
      </c>
      <c r="C3347">
        <v>0.82535429549148498</v>
      </c>
      <c r="D3347">
        <v>1.03920832579587</v>
      </c>
      <c r="E3347">
        <v>0.62817444765962804</v>
      </c>
      <c r="F3347">
        <v>0.29592217270856602</v>
      </c>
      <c r="G3347">
        <v>0.119251689231387</v>
      </c>
      <c r="H3347">
        <v>7.6545132400953897E-2</v>
      </c>
      <c r="I3347">
        <v>6.7808128551433602E-2</v>
      </c>
      <c r="J3347">
        <v>7.4911990589472705E-2</v>
      </c>
      <c r="K3347">
        <v>6.7355477353675697E-2</v>
      </c>
      <c r="L3347">
        <v>1514.66097795315</v>
      </c>
      <c r="M3347">
        <v>29.798290882510901</v>
      </c>
      <c r="N3347">
        <v>51.100662280203601</v>
      </c>
      <c r="O3347">
        <v>50.603187969264503</v>
      </c>
      <c r="P3347">
        <v>-0.136486440464828</v>
      </c>
      <c r="Q3347">
        <v>7.2886062756202394E-2</v>
      </c>
      <c r="R3347">
        <v>0.97616017044970504</v>
      </c>
      <c r="S3347" t="s">
        <v>10153</v>
      </c>
      <c r="T3347" t="s">
        <v>13610</v>
      </c>
      <c r="U3347" t="s">
        <v>13610</v>
      </c>
      <c r="V3347" t="s">
        <v>13610</v>
      </c>
      <c r="W3347" t="s">
        <v>16902</v>
      </c>
      <c r="X3347">
        <v>28</v>
      </c>
      <c r="Y3347" t="s">
        <v>23524</v>
      </c>
      <c r="Z3347" t="s">
        <v>30202</v>
      </c>
      <c r="AA3347">
        <v>0.41348071975513939</v>
      </c>
      <c r="AB3347" t="str">
        <f>HYPERLINK("Melting_Curves/meltCurve_Q14258_TRIM25.pdf", "Melting_Curves/meltCurve_Q14258_TRIM25.pdf")</f>
        <v>Melting_Curves/meltCurve_Q14258_TRIM25.pdf</v>
      </c>
    </row>
    <row r="3348" spans="1:28" x14ac:dyDescent="0.25">
      <c r="A3348" t="s">
        <v>3352</v>
      </c>
      <c r="B3348">
        <v>0.995954080203443</v>
      </c>
      <c r="C3348">
        <v>1.0225106564020701</v>
      </c>
      <c r="D3348">
        <v>0.91366250277264704</v>
      </c>
      <c r="E3348">
        <v>0.62047458425746105</v>
      </c>
      <c r="F3348">
        <v>0.36527743326128398</v>
      </c>
      <c r="G3348">
        <v>0.181547780338952</v>
      </c>
      <c r="H3348">
        <v>0.101790699274976</v>
      </c>
      <c r="I3348">
        <v>8.2228846926477597E-2</v>
      </c>
      <c r="J3348">
        <v>0.10480129501836</v>
      </c>
      <c r="K3348">
        <v>8.6649808656950905E-2</v>
      </c>
      <c r="L3348">
        <v>1085.4192727756999</v>
      </c>
      <c r="M3348">
        <v>21.322516312367899</v>
      </c>
      <c r="N3348">
        <v>51.354704804332201</v>
      </c>
      <c r="O3348">
        <v>50.463438078105902</v>
      </c>
      <c r="P3348">
        <v>-9.6637153178026305E-2</v>
      </c>
      <c r="Q3348">
        <v>8.5188692194921006E-2</v>
      </c>
      <c r="R3348">
        <v>0.99842708001404001</v>
      </c>
      <c r="S3348" t="s">
        <v>10154</v>
      </c>
      <c r="T3348" t="s">
        <v>13610</v>
      </c>
      <c r="U3348" t="s">
        <v>13610</v>
      </c>
      <c r="V3348" t="s">
        <v>13610</v>
      </c>
      <c r="W3348" t="s">
        <v>16903</v>
      </c>
      <c r="X3348">
        <v>27</v>
      </c>
      <c r="Y3348" t="s">
        <v>23525</v>
      </c>
      <c r="Z3348" t="s">
        <v>30203</v>
      </c>
      <c r="AA3348">
        <v>0.42896730895486562</v>
      </c>
      <c r="AB3348" t="str">
        <f>HYPERLINK("Melting_Curves/meltCurve_Q14289_2_PTK2B.pdf", "Melting_Curves/meltCurve_Q14289_2_PTK2B.pdf")</f>
        <v>Melting_Curves/meltCurve_Q14289_2_PTK2B.pdf</v>
      </c>
    </row>
    <row r="3349" spans="1:28" x14ac:dyDescent="0.25">
      <c r="A3349" t="s">
        <v>3353</v>
      </c>
      <c r="B3349">
        <v>0.995954080203443</v>
      </c>
      <c r="C3349">
        <v>1.0069859540682999</v>
      </c>
      <c r="D3349">
        <v>0.99352670749562999</v>
      </c>
      <c r="E3349">
        <v>0.91090167305060399</v>
      </c>
      <c r="F3349">
        <v>0.69867960022513997</v>
      </c>
      <c r="G3349">
        <v>0.47281900784523101</v>
      </c>
      <c r="H3349">
        <v>0.18903926548896099</v>
      </c>
      <c r="I3349">
        <v>0.13359303617582</v>
      </c>
      <c r="J3349">
        <v>0.13477958537280099</v>
      </c>
      <c r="K3349">
        <v>0.121470225924472</v>
      </c>
      <c r="L3349">
        <v>1064.3113379607701</v>
      </c>
      <c r="M3349">
        <v>19.201819960531999</v>
      </c>
      <c r="N3349">
        <v>56.0025934702442</v>
      </c>
      <c r="O3349">
        <v>54.836964845563102</v>
      </c>
      <c r="P3349">
        <v>-7.97119650593687E-2</v>
      </c>
      <c r="Q3349">
        <v>8.9462329524852793E-2</v>
      </c>
      <c r="R3349">
        <v>0.99597907433083799</v>
      </c>
      <c r="S3349" t="s">
        <v>10155</v>
      </c>
      <c r="T3349" t="s">
        <v>13610</v>
      </c>
      <c r="U3349" t="s">
        <v>13610</v>
      </c>
      <c r="V3349" t="s">
        <v>13610</v>
      </c>
      <c r="W3349" t="s">
        <v>16904</v>
      </c>
      <c r="X3349">
        <v>146</v>
      </c>
      <c r="Y3349" t="s">
        <v>23526</v>
      </c>
      <c r="Z3349" t="s">
        <v>30204</v>
      </c>
      <c r="AA3349">
        <v>0.57039376936842101</v>
      </c>
      <c r="AB3349" t="str">
        <f>HYPERLINK("Melting_Curves/meltCurve_Q14315_FLNC.pdf", "Melting_Curves/meltCurve_Q14315_FLNC.pdf")</f>
        <v>Melting_Curves/meltCurve_Q14315_FLNC.pdf</v>
      </c>
    </row>
    <row r="3350" spans="1:28" x14ac:dyDescent="0.25">
      <c r="A3350" t="s">
        <v>3354</v>
      </c>
      <c r="B3350">
        <v>0.995954080203443</v>
      </c>
      <c r="C3350">
        <v>0.92100640804785805</v>
      </c>
      <c r="D3350">
        <v>0.57557818791820303</v>
      </c>
      <c r="E3350">
        <v>0.32141484661808301</v>
      </c>
      <c r="F3350">
        <v>0.15713343847414399</v>
      </c>
      <c r="G3350">
        <v>8.8164874570854299E-2</v>
      </c>
      <c r="H3350">
        <v>5.9632123812632797E-2</v>
      </c>
      <c r="I3350">
        <v>5.49660819228266E-2</v>
      </c>
      <c r="J3350">
        <v>6.2467875975774398E-2</v>
      </c>
      <c r="K3350">
        <v>6.4099362502455001E-2</v>
      </c>
      <c r="L3350">
        <v>911.22486202081802</v>
      </c>
      <c r="M3350">
        <v>19.374795273412602</v>
      </c>
      <c r="N3350">
        <v>47.336858998548699</v>
      </c>
      <c r="O3350">
        <v>46.539022303098697</v>
      </c>
      <c r="P3350">
        <v>-9.7966950155470703E-2</v>
      </c>
      <c r="Q3350">
        <v>5.87528243451177E-2</v>
      </c>
      <c r="R3350">
        <v>0.993989063023488</v>
      </c>
      <c r="S3350" t="s">
        <v>10156</v>
      </c>
      <c r="T3350" t="s">
        <v>13610</v>
      </c>
      <c r="U3350" t="s">
        <v>13610</v>
      </c>
      <c r="V3350" t="s">
        <v>13610</v>
      </c>
      <c r="W3350" t="s">
        <v>16905</v>
      </c>
      <c r="X3350">
        <v>11</v>
      </c>
      <c r="Y3350" t="s">
        <v>23527</v>
      </c>
      <c r="Z3350" t="s">
        <v>30205</v>
      </c>
      <c r="AA3350">
        <v>0.29412406445377398</v>
      </c>
      <c r="AB3350" t="str">
        <f>HYPERLINK("Melting_Curves/meltCurve_Q14318_2_FKBP8.pdf", "Melting_Curves/meltCurve_Q14318_2_FKBP8.pdf")</f>
        <v>Melting_Curves/meltCurve_Q14318_2_FKBP8.pdf</v>
      </c>
    </row>
    <row r="3351" spans="1:28" x14ac:dyDescent="0.25">
      <c r="A3351" t="s">
        <v>3355</v>
      </c>
      <c r="B3351">
        <v>0.995954080203443</v>
      </c>
      <c r="C3351">
        <v>1.0852411662591199</v>
      </c>
      <c r="D3351">
        <v>1.1240985177752501</v>
      </c>
      <c r="E3351">
        <v>0.97614781938841999</v>
      </c>
      <c r="F3351">
        <v>0.78024842714583398</v>
      </c>
      <c r="G3351">
        <v>0.36713771683121799</v>
      </c>
      <c r="H3351">
        <v>0.20318374586122001</v>
      </c>
      <c r="I3351">
        <v>0.17983658455464799</v>
      </c>
      <c r="J3351">
        <v>0.212754273124549</v>
      </c>
      <c r="K3351">
        <v>0.192792556724807</v>
      </c>
      <c r="L3351">
        <v>1820.4128782181399</v>
      </c>
      <c r="M3351">
        <v>33.294230766235302</v>
      </c>
      <c r="N3351">
        <v>55.476020127957497</v>
      </c>
      <c r="O3351">
        <v>54.480406212951799</v>
      </c>
      <c r="P3351">
        <v>-0.123668509665249</v>
      </c>
      <c r="Q3351">
        <v>0.19055265479876299</v>
      </c>
      <c r="R3351">
        <v>0.98427371948286002</v>
      </c>
      <c r="S3351" t="s">
        <v>10157</v>
      </c>
      <c r="T3351" t="s">
        <v>13610</v>
      </c>
      <c r="U3351" t="s">
        <v>13610</v>
      </c>
      <c r="V3351" t="s">
        <v>13610</v>
      </c>
      <c r="W3351" t="s">
        <v>16906</v>
      </c>
      <c r="X3351">
        <v>18</v>
      </c>
      <c r="Y3351" t="s">
        <v>23528</v>
      </c>
      <c r="Z3351" t="s">
        <v>30206</v>
      </c>
      <c r="AA3351">
        <v>0.59092917293477987</v>
      </c>
      <c r="AB3351" t="str">
        <f>HYPERLINK("Melting_Curves/meltCurve_Q14320_FAM50A.pdf", "Melting_Curves/meltCurve_Q14320_FAM50A.pdf")</f>
        <v>Melting_Curves/meltCurve_Q14320_FAM50A.pdf</v>
      </c>
    </row>
    <row r="3352" spans="1:28" x14ac:dyDescent="0.25">
      <c r="A3352" t="s">
        <v>3356</v>
      </c>
      <c r="B3352">
        <v>0.995954080203443</v>
      </c>
      <c r="C3352">
        <v>0.986336621544189</v>
      </c>
      <c r="D3352">
        <v>1.2310288248566099</v>
      </c>
      <c r="E3352">
        <v>0.83199328454611399</v>
      </c>
      <c r="F3352">
        <v>0.58446599756262996</v>
      </c>
      <c r="G3352">
        <v>0.25905958169721899</v>
      </c>
      <c r="H3352">
        <v>0.19544549459083199</v>
      </c>
      <c r="I3352">
        <v>0.20187144208817301</v>
      </c>
      <c r="J3352">
        <v>0.27682762883634698</v>
      </c>
      <c r="K3352">
        <v>0.23710752653008399</v>
      </c>
      <c r="L3352">
        <v>1779.66918509839</v>
      </c>
      <c r="M3352">
        <v>33.851151662509103</v>
      </c>
      <c r="N3352">
        <v>53.510622926347303</v>
      </c>
      <c r="O3352">
        <v>52.390916412709501</v>
      </c>
      <c r="P3352">
        <v>-0.12540686751611799</v>
      </c>
      <c r="Q3352">
        <v>0.22364189478972399</v>
      </c>
      <c r="R3352">
        <v>0.95462201755160803</v>
      </c>
      <c r="S3352" t="s">
        <v>10158</v>
      </c>
      <c r="T3352" t="s">
        <v>13610</v>
      </c>
      <c r="U3352" t="s">
        <v>13610</v>
      </c>
      <c r="V3352" t="s">
        <v>13610</v>
      </c>
      <c r="W3352" t="s">
        <v>16907</v>
      </c>
      <c r="X3352">
        <v>9</v>
      </c>
      <c r="Y3352" t="s">
        <v>23529</v>
      </c>
      <c r="Z3352" t="s">
        <v>30207</v>
      </c>
      <c r="AA3352">
        <v>0.55296125119186945</v>
      </c>
      <c r="AB3352" t="str">
        <f>HYPERLINK("Melting_Curves/meltCurve_Q14331_FRG1.pdf", "Melting_Curves/meltCurve_Q14331_FRG1.pdf")</f>
        <v>Melting_Curves/meltCurve_Q14331_FRG1.pdf</v>
      </c>
    </row>
    <row r="3353" spans="1:28" x14ac:dyDescent="0.25">
      <c r="A3353" t="s">
        <v>3357</v>
      </c>
      <c r="B3353">
        <v>0.995954080203443</v>
      </c>
      <c r="C3353">
        <v>0.98970711547007595</v>
      </c>
      <c r="D3353">
        <v>1.15010035802275</v>
      </c>
      <c r="E3353">
        <v>0.83504312638247302</v>
      </c>
      <c r="F3353">
        <v>0.37685105764504501</v>
      </c>
      <c r="G3353">
        <v>8.1875559084270494E-2</v>
      </c>
      <c r="H3353">
        <v>4.2669927455863503E-2</v>
      </c>
      <c r="I3353">
        <v>3.01101139109482E-2</v>
      </c>
      <c r="J3353">
        <v>3.1334694053125202E-2</v>
      </c>
      <c r="K3353">
        <v>3.02792225546267E-2</v>
      </c>
      <c r="L3353">
        <v>2017.52656884214</v>
      </c>
      <c r="M3353">
        <v>38.675982839472702</v>
      </c>
      <c r="N3353">
        <v>52.263709746489297</v>
      </c>
      <c r="O3353">
        <v>52.025968142526096</v>
      </c>
      <c r="P3353">
        <v>-0.179293911655344</v>
      </c>
      <c r="Q3353">
        <v>3.5275491330371299E-2</v>
      </c>
      <c r="R3353">
        <v>0.98802800218907605</v>
      </c>
      <c r="S3353" t="s">
        <v>10159</v>
      </c>
      <c r="T3353" t="s">
        <v>13610</v>
      </c>
      <c r="U3353" t="s">
        <v>13610</v>
      </c>
      <c r="V3353" t="s">
        <v>13610</v>
      </c>
      <c r="W3353" t="s">
        <v>16908</v>
      </c>
      <c r="X3353">
        <v>7</v>
      </c>
      <c r="Y3353" t="s">
        <v>23530</v>
      </c>
      <c r="Z3353" t="s">
        <v>30208</v>
      </c>
      <c r="AA3353">
        <v>0.43018621731480627</v>
      </c>
      <c r="AB3353" t="str">
        <f>HYPERLINK("Melting_Curves/meltCurve_Q14353_GAMT.pdf", "Melting_Curves/meltCurve_Q14353_GAMT.pdf")</f>
        <v>Melting_Curves/meltCurve_Q14353_GAMT.pdf</v>
      </c>
    </row>
    <row r="3354" spans="1:28" x14ac:dyDescent="0.25">
      <c r="A3354" t="s">
        <v>3358</v>
      </c>
      <c r="B3354">
        <v>0.995954080203443</v>
      </c>
      <c r="C3354">
        <v>1.0593367915388801</v>
      </c>
      <c r="D3354">
        <v>1.07219964358071</v>
      </c>
      <c r="E3354">
        <v>0.91189208798527999</v>
      </c>
      <c r="F3354">
        <v>0.225243617562809</v>
      </c>
      <c r="G3354">
        <v>0.117318868905645</v>
      </c>
      <c r="H3354">
        <v>7.3798984727505096E-2</v>
      </c>
      <c r="I3354">
        <v>6.7212319238769094E-2</v>
      </c>
      <c r="J3354">
        <v>7.6589941082305102E-2</v>
      </c>
      <c r="K3354">
        <v>7.4933961821492701E-2</v>
      </c>
      <c r="L3354">
        <v>3459.87741063677</v>
      </c>
      <c r="M3354">
        <v>66.958123657486198</v>
      </c>
      <c r="N3354">
        <v>51.809877616079703</v>
      </c>
      <c r="O3354">
        <v>51.626227836798002</v>
      </c>
      <c r="P3354">
        <v>-0.297829006361438</v>
      </c>
      <c r="Q3354">
        <v>8.1468693489692504E-2</v>
      </c>
      <c r="R3354">
        <v>0.99485155147992999</v>
      </c>
      <c r="S3354" t="s">
        <v>10160</v>
      </c>
      <c r="T3354" t="s">
        <v>13610</v>
      </c>
      <c r="U3354" t="s">
        <v>13610</v>
      </c>
      <c r="V3354" t="s">
        <v>13610</v>
      </c>
      <c r="W3354" t="s">
        <v>16909</v>
      </c>
      <c r="X3354">
        <v>17</v>
      </c>
      <c r="Y3354" t="s">
        <v>23531</v>
      </c>
      <c r="Z3354" t="s">
        <v>30209</v>
      </c>
      <c r="AA3354">
        <v>0.44001101419100952</v>
      </c>
      <c r="AB3354" t="str">
        <f>HYPERLINK("Melting_Curves/meltCurve_Q14376_GALE.pdf", "Melting_Curves/meltCurve_Q14376_GALE.pdf")</f>
        <v>Melting_Curves/meltCurve_Q14376_GALE.pdf</v>
      </c>
    </row>
    <row r="3355" spans="1:28" x14ac:dyDescent="0.25">
      <c r="A3355" t="s">
        <v>3359</v>
      </c>
      <c r="B3355">
        <v>0.995954080203443</v>
      </c>
      <c r="C3355">
        <v>1.00184584299464</v>
      </c>
      <c r="D3355">
        <v>1.06817337126737</v>
      </c>
      <c r="E3355">
        <v>0.96543432795750606</v>
      </c>
      <c r="F3355">
        <v>0.96577043547681296</v>
      </c>
      <c r="G3355">
        <v>0.82520116110703901</v>
      </c>
      <c r="H3355">
        <v>0.865673288529061</v>
      </c>
      <c r="I3355">
        <v>1.19397153416845</v>
      </c>
      <c r="J3355">
        <v>1.3953495707496499</v>
      </c>
      <c r="K3355">
        <v>1.3094630487260399</v>
      </c>
      <c r="L3355">
        <v>15000</v>
      </c>
      <c r="M3355">
        <v>234.57731672302799</v>
      </c>
      <c r="O3355">
        <v>63.9401604998747</v>
      </c>
      <c r="P3355">
        <v>0.32322148944124901</v>
      </c>
      <c r="Q3355">
        <v>1.3524097224057701</v>
      </c>
      <c r="R3355">
        <v>0.80918464540244095</v>
      </c>
      <c r="S3355" t="s">
        <v>10161</v>
      </c>
      <c r="T3355" t="s">
        <v>13610</v>
      </c>
      <c r="U3355" t="s">
        <v>13610</v>
      </c>
      <c r="V3355" t="s">
        <v>13610</v>
      </c>
      <c r="W3355" t="s">
        <v>16910</v>
      </c>
      <c r="X3355">
        <v>23</v>
      </c>
      <c r="Y3355" t="s">
        <v>23532</v>
      </c>
      <c r="Z3355" t="s">
        <v>30210</v>
      </c>
      <c r="AA3355">
        <v>1.0710854376699539</v>
      </c>
      <c r="AB3355" t="str">
        <f>HYPERLINK("Melting_Curves/meltCurve_Q14444_2_CAPRIN1.pdf", "Melting_Curves/meltCurve_Q14444_2_CAPRIN1.pdf")</f>
        <v>Melting_Curves/meltCurve_Q14444_2_CAPRIN1.pdf</v>
      </c>
    </row>
    <row r="3356" spans="1:28" x14ac:dyDescent="0.25">
      <c r="A3356" t="s">
        <v>3360</v>
      </c>
      <c r="B3356">
        <v>0.995954080203443</v>
      </c>
      <c r="C3356">
        <v>0.76002271916322395</v>
      </c>
      <c r="D3356">
        <v>0.57059183125206703</v>
      </c>
      <c r="E3356">
        <v>0.58758097952121102</v>
      </c>
      <c r="F3356">
        <v>0.230652835203951</v>
      </c>
      <c r="G3356">
        <v>0.109011949054258</v>
      </c>
      <c r="H3356">
        <v>8.6890800507986199E-2</v>
      </c>
      <c r="I3356">
        <v>6.9533085300766198E-2</v>
      </c>
      <c r="J3356">
        <v>8.8220509073317299E-2</v>
      </c>
      <c r="K3356">
        <v>8.0873922490683495E-2</v>
      </c>
      <c r="L3356">
        <v>551.04329810532295</v>
      </c>
      <c r="M3356">
        <v>11.3898590181649</v>
      </c>
      <c r="N3356">
        <v>48.573988775658798</v>
      </c>
      <c r="O3356">
        <v>46.960827087021201</v>
      </c>
      <c r="P3356">
        <v>-5.9305364293338901E-2</v>
      </c>
      <c r="Q3356">
        <v>2.22152286885955E-2</v>
      </c>
      <c r="R3356">
        <v>0.95042766350665597</v>
      </c>
      <c r="S3356" t="s">
        <v>10162</v>
      </c>
      <c r="T3356" t="s">
        <v>13610</v>
      </c>
      <c r="U3356" t="s">
        <v>13610</v>
      </c>
      <c r="V3356" t="s">
        <v>13610</v>
      </c>
      <c r="W3356" t="s">
        <v>16911</v>
      </c>
      <c r="X3356">
        <v>5</v>
      </c>
      <c r="Y3356" t="s">
        <v>23533</v>
      </c>
      <c r="Z3356" t="s">
        <v>30211</v>
      </c>
      <c r="AA3356">
        <v>0.33615306067851342</v>
      </c>
      <c r="AB3356" t="str">
        <f>HYPERLINK("Melting_Curves/meltCurve_Q14457_BECN1.pdf", "Melting_Curves/meltCurve_Q14457_BECN1.pdf")</f>
        <v>Melting_Curves/meltCurve_Q14457_BECN1.pdf</v>
      </c>
    </row>
    <row r="3357" spans="1:28" x14ac:dyDescent="0.25">
      <c r="A3357" t="s">
        <v>3361</v>
      </c>
      <c r="B3357">
        <v>0.995954080203443</v>
      </c>
      <c r="C3357">
        <v>0.86504788657508203</v>
      </c>
      <c r="D3357">
        <v>0.953337184125294</v>
      </c>
      <c r="E3357">
        <v>0.79329793667347503</v>
      </c>
      <c r="F3357">
        <v>0.895805456615139</v>
      </c>
      <c r="G3357">
        <v>0.68839738078818202</v>
      </c>
      <c r="H3357">
        <v>0.70593323856439305</v>
      </c>
      <c r="I3357">
        <v>0.91803442213171504</v>
      </c>
      <c r="J3357">
        <v>1.0594047652055101</v>
      </c>
      <c r="K3357">
        <v>1.09182436074921</v>
      </c>
      <c r="L3357">
        <v>10132.206149592699</v>
      </c>
      <c r="M3357">
        <v>250</v>
      </c>
      <c r="O3357">
        <v>40.526231053154099</v>
      </c>
      <c r="P3357">
        <v>-0.17631197976410101</v>
      </c>
      <c r="Q3357">
        <v>0.88567583975096498</v>
      </c>
      <c r="R3357">
        <v>6.4559002060222803E-2</v>
      </c>
      <c r="S3357" t="s">
        <v>10163</v>
      </c>
      <c r="T3357" t="s">
        <v>13610</v>
      </c>
      <c r="U3357" t="s">
        <v>13610</v>
      </c>
      <c r="V3357" t="s">
        <v>13610</v>
      </c>
      <c r="W3357" t="s">
        <v>16912</v>
      </c>
      <c r="X3357">
        <v>8</v>
      </c>
      <c r="Y3357" t="s">
        <v>23534</v>
      </c>
      <c r="Z3357" t="s">
        <v>30212</v>
      </c>
      <c r="AA3357">
        <v>0.88772073392221151</v>
      </c>
      <c r="AB3357" t="str">
        <f>HYPERLINK("Melting_Curves/meltCurve_Q14493_SLBP.pdf", "Melting_Curves/meltCurve_Q14493_SLBP.pdf")</f>
        <v>Melting_Curves/meltCurve_Q14493_SLBP.pdf</v>
      </c>
    </row>
    <row r="3358" spans="1:28" x14ac:dyDescent="0.25">
      <c r="A3358" t="s">
        <v>3362</v>
      </c>
      <c r="B3358">
        <v>0.995954080203443</v>
      </c>
      <c r="C3358">
        <v>0.98707859777100904</v>
      </c>
      <c r="D3358">
        <v>0.94896114161565803</v>
      </c>
      <c r="E3358">
        <v>0.733386320282436</v>
      </c>
      <c r="F3358">
        <v>0.43843002680513898</v>
      </c>
      <c r="G3358">
        <v>0.23980529990044899</v>
      </c>
      <c r="H3358">
        <v>0.13759674527888399</v>
      </c>
      <c r="I3358">
        <v>0.12892798630657301</v>
      </c>
      <c r="J3358">
        <v>0.123289102977596</v>
      </c>
      <c r="K3358">
        <v>0.12776803193330499</v>
      </c>
      <c r="L3358">
        <v>1150.7589023021001</v>
      </c>
      <c r="M3358">
        <v>22.2184586201708</v>
      </c>
      <c r="N3358">
        <v>52.437269794608802</v>
      </c>
      <c r="O3358">
        <v>51.378838234920799</v>
      </c>
      <c r="P3358">
        <v>-9.5197934789525193E-2</v>
      </c>
      <c r="Q3358">
        <v>0.119461097076759</v>
      </c>
      <c r="R3358">
        <v>0.99946235840408104</v>
      </c>
      <c r="S3358" t="s">
        <v>10164</v>
      </c>
      <c r="T3358" t="s">
        <v>13610</v>
      </c>
      <c r="U3358" t="s">
        <v>13610</v>
      </c>
      <c r="V3358" t="s">
        <v>13610</v>
      </c>
      <c r="W3358" t="s">
        <v>16913</v>
      </c>
      <c r="X3358">
        <v>21</v>
      </c>
      <c r="Y3358" t="s">
        <v>23535</v>
      </c>
      <c r="Z3358" t="s">
        <v>30213</v>
      </c>
      <c r="AA3358">
        <v>0.47564375909352891</v>
      </c>
      <c r="AB3358" t="str">
        <f>HYPERLINK("Melting_Curves/meltCurve_Q14498_2_RBM39.pdf", "Melting_Curves/meltCurve_Q14498_2_RBM39.pdf")</f>
        <v>Melting_Curves/meltCurve_Q14498_2_RBM39.pdf</v>
      </c>
    </row>
    <row r="3359" spans="1:28" x14ac:dyDescent="0.25">
      <c r="A3359" t="s">
        <v>3363</v>
      </c>
      <c r="B3359">
        <v>0.995954080203443</v>
      </c>
      <c r="C3359">
        <v>1.0784304819471999</v>
      </c>
      <c r="D3359">
        <v>1.1347518776000001</v>
      </c>
      <c r="E3359">
        <v>1.024017504338</v>
      </c>
      <c r="F3359">
        <v>0.99857802539811402</v>
      </c>
      <c r="G3359">
        <v>0.72591852543214697</v>
      </c>
      <c r="H3359">
        <v>0.26915946360003401</v>
      </c>
      <c r="I3359">
        <v>8.9801670337797707E-2</v>
      </c>
      <c r="J3359">
        <v>0.101017029951243</v>
      </c>
      <c r="K3359">
        <v>9.8591409166119207E-2</v>
      </c>
      <c r="L3359">
        <v>2094.4488301942501</v>
      </c>
      <c r="M3359">
        <v>35.840694299341898</v>
      </c>
      <c r="N3359">
        <v>58.740369018488003</v>
      </c>
      <c r="O3359">
        <v>58.256702044845298</v>
      </c>
      <c r="P3359">
        <v>-0.140838959492296</v>
      </c>
      <c r="Q3359">
        <v>8.4304956561587305E-2</v>
      </c>
      <c r="R3359">
        <v>0.98543378993756503</v>
      </c>
      <c r="S3359" t="s">
        <v>10165</v>
      </c>
      <c r="T3359" t="s">
        <v>13610</v>
      </c>
      <c r="U3359" t="s">
        <v>13610</v>
      </c>
      <c r="V3359" t="s">
        <v>13610</v>
      </c>
      <c r="W3359" t="s">
        <v>16914</v>
      </c>
      <c r="X3359">
        <v>1</v>
      </c>
      <c r="Y3359" t="s">
        <v>23536</v>
      </c>
      <c r="Z3359" t="s">
        <v>30214</v>
      </c>
      <c r="AA3359">
        <v>0.65149573496900992</v>
      </c>
      <c r="AB3359" t="str">
        <f>HYPERLINK("Melting_Curves/meltCurve_Q14520_2_HABP2.pdf", "Melting_Curves/meltCurve_Q14520_2_HABP2.pdf")</f>
        <v>Melting_Curves/meltCurve_Q14520_2_HABP2.pdf</v>
      </c>
    </row>
    <row r="3360" spans="1:28" x14ac:dyDescent="0.25">
      <c r="A3360" t="s">
        <v>3364</v>
      </c>
      <c r="B3360">
        <v>0.995954080203443</v>
      </c>
      <c r="C3360">
        <v>0.77117681657582604</v>
      </c>
      <c r="D3360">
        <v>0.84824564670735703</v>
      </c>
      <c r="E3360">
        <v>0.58736809572897897</v>
      </c>
      <c r="F3360">
        <v>0.72251837260506602</v>
      </c>
      <c r="G3360">
        <v>0.54135249615400705</v>
      </c>
      <c r="H3360">
        <v>0.59124952776179296</v>
      </c>
      <c r="I3360">
        <v>0.72771768631450096</v>
      </c>
      <c r="J3360">
        <v>1.17111458141928</v>
      </c>
      <c r="K3360">
        <v>0.89554162969081597</v>
      </c>
      <c r="L3360">
        <v>4163.7002442994799</v>
      </c>
      <c r="M3360">
        <v>100.10454034262401</v>
      </c>
      <c r="O3360">
        <v>41.576928861961299</v>
      </c>
      <c r="P3360">
        <v>-0.14409779202329301</v>
      </c>
      <c r="Q3360">
        <v>0.76060453202464096</v>
      </c>
      <c r="R3360">
        <v>0.140007710344144</v>
      </c>
      <c r="S3360" t="s">
        <v>10166</v>
      </c>
      <c r="T3360" t="s">
        <v>13610</v>
      </c>
      <c r="U3360" t="s">
        <v>13610</v>
      </c>
      <c r="V3360" t="s">
        <v>13610</v>
      </c>
      <c r="W3360" t="s">
        <v>16915</v>
      </c>
      <c r="X3360">
        <v>10</v>
      </c>
      <c r="Y3360" t="s">
        <v>23537</v>
      </c>
      <c r="Z3360" t="s">
        <v>30215</v>
      </c>
      <c r="AA3360">
        <v>0.77348496767028574</v>
      </c>
      <c r="AB3360" t="str">
        <f>HYPERLINK("Melting_Curves/meltCurve_Q14527_HLTF.pdf", "Melting_Curves/meltCurve_Q14527_HLTF.pdf")</f>
        <v>Melting_Curves/meltCurve_Q14527_HLTF.pdf</v>
      </c>
    </row>
    <row r="3361" spans="1:28" x14ac:dyDescent="0.25">
      <c r="A3361" t="s">
        <v>3365</v>
      </c>
      <c r="B3361">
        <v>0.995954080203443</v>
      </c>
      <c r="C3361">
        <v>0.92947315467248004</v>
      </c>
      <c r="D3361">
        <v>0.97840055986349295</v>
      </c>
      <c r="E3361">
        <v>0.80645471688567105</v>
      </c>
      <c r="F3361">
        <v>0.473541804855519</v>
      </c>
      <c r="G3361">
        <v>0.13921974395279499</v>
      </c>
      <c r="H3361">
        <v>9.2295346533626296E-2</v>
      </c>
      <c r="I3361">
        <v>7.4625246840082704E-2</v>
      </c>
      <c r="J3361">
        <v>8.7966361282245206E-2</v>
      </c>
      <c r="K3361">
        <v>8.0400132003039804E-2</v>
      </c>
      <c r="L3361">
        <v>1502.1612891135701</v>
      </c>
      <c r="M3361">
        <v>28.6710032170453</v>
      </c>
      <c r="N3361">
        <v>52.6915597794532</v>
      </c>
      <c r="O3361">
        <v>52.140152200324003</v>
      </c>
      <c r="P3361">
        <v>-0.12716685462994701</v>
      </c>
      <c r="Q3361">
        <v>7.4961225861673503E-2</v>
      </c>
      <c r="R3361">
        <v>0.99649587541547002</v>
      </c>
      <c r="S3361" t="s">
        <v>10167</v>
      </c>
      <c r="T3361" t="s">
        <v>13610</v>
      </c>
      <c r="U3361" t="s">
        <v>13610</v>
      </c>
      <c r="V3361" t="s">
        <v>13610</v>
      </c>
      <c r="W3361" t="s">
        <v>16916</v>
      </c>
      <c r="X3361">
        <v>18</v>
      </c>
      <c r="Y3361" t="s">
        <v>23538</v>
      </c>
      <c r="Z3361" t="s">
        <v>30216</v>
      </c>
      <c r="AA3361">
        <v>0.46359694472641327</v>
      </c>
      <c r="AB3361" t="str">
        <f>HYPERLINK("Melting_Curves/meltCurve_Q14554_PDIA5.pdf", "Melting_Curves/meltCurve_Q14554_PDIA5.pdf")</f>
        <v>Melting_Curves/meltCurve_Q14554_PDIA5.pdf</v>
      </c>
    </row>
    <row r="3362" spans="1:28" x14ac:dyDescent="0.25">
      <c r="A3362" t="s">
        <v>3366</v>
      </c>
      <c r="B3362">
        <v>0.995954080203443</v>
      </c>
      <c r="C3362">
        <v>0.78899653796375402</v>
      </c>
      <c r="D3362">
        <v>0.56192014279147096</v>
      </c>
      <c r="E3362">
        <v>0.892675412941207</v>
      </c>
      <c r="F3362">
        <v>0.45928471081025501</v>
      </c>
      <c r="G3362">
        <v>0.20840354740141001</v>
      </c>
      <c r="H3362">
        <v>0.117564836750282</v>
      </c>
      <c r="I3362">
        <v>8.8192643208822696E-2</v>
      </c>
      <c r="J3362">
        <v>9.7217430463427498E-2</v>
      </c>
      <c r="K3362">
        <v>8.62850496461956E-2</v>
      </c>
      <c r="L3362">
        <v>518.01883327863504</v>
      </c>
      <c r="M3362">
        <v>9.9858916688420294</v>
      </c>
      <c r="N3362">
        <v>51.875061898178402</v>
      </c>
      <c r="O3362">
        <v>49.923415591086297</v>
      </c>
      <c r="P3362">
        <v>-5.0030505775512303E-2</v>
      </c>
      <c r="Q3362">
        <v>0</v>
      </c>
      <c r="R3362">
        <v>0.86054246547635005</v>
      </c>
      <c r="S3362" t="s">
        <v>10168</v>
      </c>
      <c r="T3362" t="s">
        <v>13610</v>
      </c>
      <c r="U3362" t="s">
        <v>13610</v>
      </c>
      <c r="V3362" t="s">
        <v>13610</v>
      </c>
      <c r="W3362" t="s">
        <v>16917</v>
      </c>
      <c r="X3362">
        <v>9</v>
      </c>
      <c r="Y3362" t="s">
        <v>23539</v>
      </c>
      <c r="Z3362" t="s">
        <v>30217</v>
      </c>
      <c r="AA3362">
        <v>0.43431981307962919</v>
      </c>
      <c r="AB3362" t="str">
        <f>HYPERLINK("Melting_Curves/meltCurve_Q14558_PRPSAP1.pdf", "Melting_Curves/meltCurve_Q14558_PRPSAP1.pdf")</f>
        <v>Melting_Curves/meltCurve_Q14558_PRPSAP1.pdf</v>
      </c>
    </row>
    <row r="3363" spans="1:28" x14ac:dyDescent="0.25">
      <c r="A3363" t="s">
        <v>3367</v>
      </c>
      <c r="B3363">
        <v>0.995954080203443</v>
      </c>
      <c r="C3363">
        <v>0.95477169261205797</v>
      </c>
      <c r="D3363">
        <v>0.87081426428353603</v>
      </c>
      <c r="E3363">
        <v>0.80898224708174804</v>
      </c>
      <c r="F3363">
        <v>0.59755485276409204</v>
      </c>
      <c r="G3363">
        <v>0.259229136042257</v>
      </c>
      <c r="H3363">
        <v>0.113711466661598</v>
      </c>
      <c r="I3363">
        <v>9.3629580493925404E-2</v>
      </c>
      <c r="J3363">
        <v>9.74253522300981E-2</v>
      </c>
      <c r="K3363">
        <v>9.7248943392980694E-2</v>
      </c>
      <c r="L3363">
        <v>1003.29089622888</v>
      </c>
      <c r="M3363">
        <v>18.785345838405199</v>
      </c>
      <c r="N3363">
        <v>53.785870792882903</v>
      </c>
      <c r="O3363">
        <v>52.813990855465697</v>
      </c>
      <c r="P3363">
        <v>-8.3431117238948596E-2</v>
      </c>
      <c r="Q3363">
        <v>6.1790902474191799E-2</v>
      </c>
      <c r="R3363">
        <v>0.99119271182157398</v>
      </c>
      <c r="S3363" t="s">
        <v>10169</v>
      </c>
      <c r="T3363" t="s">
        <v>13610</v>
      </c>
      <c r="U3363" t="s">
        <v>13610</v>
      </c>
      <c r="V3363" t="s">
        <v>13610</v>
      </c>
      <c r="W3363" t="s">
        <v>16918</v>
      </c>
      <c r="X3363">
        <v>24</v>
      </c>
      <c r="Y3363" t="s">
        <v>23540</v>
      </c>
      <c r="Z3363" t="s">
        <v>30218</v>
      </c>
      <c r="AA3363">
        <v>0.49535315650691059</v>
      </c>
      <c r="AB3363" t="str">
        <f>HYPERLINK("Melting_Curves/meltCurve_Q14562_DHX8.pdf", "Melting_Curves/meltCurve_Q14562_DHX8.pdf")</f>
        <v>Melting_Curves/meltCurve_Q14562_DHX8.pdf</v>
      </c>
    </row>
    <row r="3364" spans="1:28" x14ac:dyDescent="0.25">
      <c r="A3364" t="s">
        <v>3368</v>
      </c>
      <c r="B3364">
        <v>0.995954080203443</v>
      </c>
      <c r="C3364">
        <v>0.74890710166135899</v>
      </c>
      <c r="D3364">
        <v>0.60705258313710897</v>
      </c>
      <c r="E3364">
        <v>0.36306537667912298</v>
      </c>
      <c r="F3364">
        <v>0.16040261947532899</v>
      </c>
      <c r="G3364">
        <v>9.5502481548610102E-2</v>
      </c>
      <c r="H3364">
        <v>6.4070027474195407E-2</v>
      </c>
      <c r="I3364">
        <v>5.5726659672795102E-2</v>
      </c>
      <c r="J3364">
        <v>6.2630770218473297E-2</v>
      </c>
      <c r="K3364">
        <v>5.6557310944933201E-2</v>
      </c>
      <c r="L3364">
        <v>687.07536346135998</v>
      </c>
      <c r="M3364">
        <v>14.609119244613501</v>
      </c>
      <c r="N3364">
        <v>47.287529049481201</v>
      </c>
      <c r="O3364">
        <v>46.175721520563599</v>
      </c>
      <c r="P3364">
        <v>-7.6085761461303303E-2</v>
      </c>
      <c r="Q3364">
        <v>3.8156579639627999E-2</v>
      </c>
      <c r="R3364">
        <v>0.98947700272140404</v>
      </c>
      <c r="S3364" t="s">
        <v>10170</v>
      </c>
      <c r="T3364" t="s">
        <v>13610</v>
      </c>
      <c r="U3364" t="s">
        <v>13610</v>
      </c>
      <c r="V3364" t="s">
        <v>13610</v>
      </c>
      <c r="W3364" t="s">
        <v>16919</v>
      </c>
      <c r="X3364">
        <v>47</v>
      </c>
      <c r="Y3364" t="s">
        <v>23541</v>
      </c>
      <c r="Z3364" t="s">
        <v>30219</v>
      </c>
      <c r="AA3364">
        <v>0.29109716639455102</v>
      </c>
      <c r="AB3364" t="str">
        <f>HYPERLINK("Melting_Curves/meltCurve_Q14566_MCM6.pdf", "Melting_Curves/meltCurve_Q14566_MCM6.pdf")</f>
        <v>Melting_Curves/meltCurve_Q14566_MCM6.pdf</v>
      </c>
    </row>
    <row r="3365" spans="1:28" x14ac:dyDescent="0.25">
      <c r="A3365" t="s">
        <v>3369</v>
      </c>
      <c r="B3365">
        <v>0.995954080203443</v>
      </c>
      <c r="C3365">
        <v>0.99995729407273104</v>
      </c>
      <c r="D3365">
        <v>0.93916278947658205</v>
      </c>
      <c r="E3365">
        <v>0.84443227067779603</v>
      </c>
      <c r="F3365">
        <v>0.67965241044195002</v>
      </c>
      <c r="G3365">
        <v>0.52805227990527204</v>
      </c>
      <c r="H3365">
        <v>0.473742617157898</v>
      </c>
      <c r="I3365">
        <v>0.56789324866842195</v>
      </c>
      <c r="J3365">
        <v>0.643943398516028</v>
      </c>
      <c r="K3365">
        <v>0.64253082858113597</v>
      </c>
      <c r="L3365">
        <v>1606.7939208566099</v>
      </c>
      <c r="M3365">
        <v>31.6122845034295</v>
      </c>
      <c r="O3365">
        <v>50.626050521344197</v>
      </c>
      <c r="P3365">
        <v>-6.69824117845636E-2</v>
      </c>
      <c r="Q3365">
        <v>0.57092162627757403</v>
      </c>
      <c r="R3365">
        <v>0.92616438190933503</v>
      </c>
      <c r="S3365" t="s">
        <v>10171</v>
      </c>
      <c r="T3365" t="s">
        <v>13610</v>
      </c>
      <c r="U3365" t="s">
        <v>13610</v>
      </c>
      <c r="V3365" t="s">
        <v>13610</v>
      </c>
      <c r="W3365" t="s">
        <v>16920</v>
      </c>
      <c r="X3365">
        <v>5</v>
      </c>
      <c r="Y3365" t="s">
        <v>23542</v>
      </c>
      <c r="Z3365" t="s">
        <v>30220</v>
      </c>
      <c r="AA3365">
        <v>0.7282141473107866</v>
      </c>
      <c r="AB3365" t="str">
        <f>HYPERLINK("Melting_Curves/meltCurve_Q14596_2_NBR1.pdf", "Melting_Curves/meltCurve_Q14596_2_NBR1.pdf")</f>
        <v>Melting_Curves/meltCurve_Q14596_2_NBR1.pdf</v>
      </c>
    </row>
    <row r="3366" spans="1:28" x14ac:dyDescent="0.25">
      <c r="A3366" t="s">
        <v>3370</v>
      </c>
      <c r="B3366">
        <v>0.995954080203443</v>
      </c>
      <c r="C3366">
        <v>1.0057302882230199</v>
      </c>
      <c r="D3366">
        <v>0.97472264808573506</v>
      </c>
      <c r="E3366">
        <v>0.86580939415321301</v>
      </c>
      <c r="F3366">
        <v>0.41164081792017698</v>
      </c>
      <c r="G3366">
        <v>0.15984971677929799</v>
      </c>
      <c r="H3366">
        <v>9.8428299315727399E-2</v>
      </c>
      <c r="I3366">
        <v>8.1051749466277995E-2</v>
      </c>
      <c r="J3366">
        <v>9.4838224977823807E-2</v>
      </c>
      <c r="K3366">
        <v>8.3546204398189203E-2</v>
      </c>
      <c r="L3366">
        <v>1953.04003151856</v>
      </c>
      <c r="M3366">
        <v>37.411085538163</v>
      </c>
      <c r="N3366">
        <v>52.496032306887798</v>
      </c>
      <c r="O3366">
        <v>52.056354433463198</v>
      </c>
      <c r="P3366">
        <v>-0.162832346646576</v>
      </c>
      <c r="Q3366">
        <v>9.3698001015377799E-2</v>
      </c>
      <c r="R3366">
        <v>0.99889973930707898</v>
      </c>
      <c r="S3366" t="s">
        <v>10172</v>
      </c>
      <c r="T3366" t="s">
        <v>13610</v>
      </c>
      <c r="U3366" t="s">
        <v>13610</v>
      </c>
      <c r="V3366" t="s">
        <v>13610</v>
      </c>
      <c r="W3366" t="s">
        <v>16921</v>
      </c>
      <c r="X3366">
        <v>16</v>
      </c>
      <c r="Y3366" t="s">
        <v>23543</v>
      </c>
      <c r="Z3366" t="s">
        <v>30221</v>
      </c>
      <c r="AA3366">
        <v>0.46614606820433402</v>
      </c>
      <c r="AB3366" t="str">
        <f>HYPERLINK("Melting_Curves/meltCurve_Q14651_PLS1.pdf", "Melting_Curves/meltCurve_Q14651_PLS1.pdf")</f>
        <v>Melting_Curves/meltCurve_Q14651_PLS1.pdf</v>
      </c>
    </row>
    <row r="3367" spans="1:28" x14ac:dyDescent="0.25">
      <c r="A3367" t="s">
        <v>3371</v>
      </c>
      <c r="B3367">
        <v>0.995954080203443</v>
      </c>
      <c r="C3367">
        <v>1.0633632679152201</v>
      </c>
      <c r="D3367">
        <v>1.08122376938717</v>
      </c>
      <c r="E3367">
        <v>0.90687600947191704</v>
      </c>
      <c r="F3367">
        <v>0.73411300913020205</v>
      </c>
      <c r="G3367">
        <v>0.28514655397657901</v>
      </c>
      <c r="H3367">
        <v>8.9193077701921905E-2</v>
      </c>
      <c r="I3367">
        <v>6.4272947262701496E-2</v>
      </c>
      <c r="J3367">
        <v>6.6370441951673895E-2</v>
      </c>
      <c r="K3367">
        <v>7.0335221373408002E-2</v>
      </c>
      <c r="L3367">
        <v>1554.11721850243</v>
      </c>
      <c r="M3367">
        <v>28.4263035541844</v>
      </c>
      <c r="N3367">
        <v>54.903082501338702</v>
      </c>
      <c r="O3367">
        <v>54.403378934779198</v>
      </c>
      <c r="P3367">
        <v>-0.12325757039139</v>
      </c>
      <c r="Q3367">
        <v>5.6426852726157599E-2</v>
      </c>
      <c r="R3367">
        <v>0.99317272843027404</v>
      </c>
      <c r="S3367" t="s">
        <v>10173</v>
      </c>
      <c r="T3367" t="s">
        <v>13610</v>
      </c>
      <c r="U3367" t="s">
        <v>13610</v>
      </c>
      <c r="V3367" t="s">
        <v>13610</v>
      </c>
      <c r="W3367" t="s">
        <v>16922</v>
      </c>
      <c r="X3367">
        <v>10</v>
      </c>
      <c r="Y3367" t="s">
        <v>23544</v>
      </c>
      <c r="Z3367" t="s">
        <v>30222</v>
      </c>
      <c r="AA3367">
        <v>0.52480052223710139</v>
      </c>
      <c r="AB3367" t="str">
        <f>HYPERLINK("Melting_Curves/meltCurve_Q14653_IRF3.pdf", "Melting_Curves/meltCurve_Q14653_IRF3.pdf")</f>
        <v>Melting_Curves/meltCurve_Q14653_IRF3.pdf</v>
      </c>
    </row>
    <row r="3368" spans="1:28" x14ac:dyDescent="0.25">
      <c r="A3368" t="s">
        <v>3372</v>
      </c>
      <c r="B3368">
        <v>0.995954080203443</v>
      </c>
      <c r="C3368">
        <v>0.91340921749211701</v>
      </c>
      <c r="D3368">
        <v>0.99583862931573797</v>
      </c>
      <c r="E3368">
        <v>0.79664452687406595</v>
      </c>
      <c r="F3368">
        <v>0.683607003588388</v>
      </c>
      <c r="G3368">
        <v>0.50194213125451903</v>
      </c>
      <c r="H3368">
        <v>0.309461737965877</v>
      </c>
      <c r="I3368">
        <v>0.18765100733277601</v>
      </c>
      <c r="J3368">
        <v>0.17598951789422501</v>
      </c>
      <c r="K3368">
        <v>0.13826893811403401</v>
      </c>
      <c r="L3368">
        <v>681.77208048391196</v>
      </c>
      <c r="M3368">
        <v>12.1569459284053</v>
      </c>
      <c r="N3368">
        <v>56.570979990650201</v>
      </c>
      <c r="O3368">
        <v>54.628135544403598</v>
      </c>
      <c r="P3368">
        <v>-5.2866260297696997E-2</v>
      </c>
      <c r="Q3368">
        <v>4.9984145117305E-2</v>
      </c>
      <c r="R3368">
        <v>0.99074568354442905</v>
      </c>
      <c r="S3368" t="s">
        <v>10174</v>
      </c>
      <c r="T3368" t="s">
        <v>13610</v>
      </c>
      <c r="U3368" t="s">
        <v>13610</v>
      </c>
      <c r="V3368" t="s">
        <v>13610</v>
      </c>
      <c r="W3368" t="s">
        <v>16923</v>
      </c>
      <c r="X3368">
        <v>7</v>
      </c>
      <c r="Y3368" t="s">
        <v>23545</v>
      </c>
      <c r="Z3368" t="s">
        <v>30223</v>
      </c>
      <c r="AA3368">
        <v>0.57823818082699141</v>
      </c>
      <c r="AB3368" t="str">
        <f>HYPERLINK("Melting_Curves/meltCurve_Q14657_LAGE3.pdf", "Melting_Curves/meltCurve_Q14657_LAGE3.pdf")</f>
        <v>Melting_Curves/meltCurve_Q14657_LAGE3.pdf</v>
      </c>
    </row>
    <row r="3369" spans="1:28" x14ac:dyDescent="0.25">
      <c r="A3369" t="s">
        <v>3373</v>
      </c>
      <c r="B3369">
        <v>0.995954080203443</v>
      </c>
      <c r="C3369">
        <v>0.87246088489906504</v>
      </c>
      <c r="D3369">
        <v>0.70348972160234302</v>
      </c>
      <c r="E3369">
        <v>0.63624478374816396</v>
      </c>
      <c r="F3369">
        <v>0.38207848626024499</v>
      </c>
      <c r="G3369">
        <v>0.19868069961711299</v>
      </c>
      <c r="H3369">
        <v>0.13658255536421501</v>
      </c>
      <c r="I3369">
        <v>0.14986267676457701</v>
      </c>
      <c r="J3369">
        <v>0.169404341886458</v>
      </c>
      <c r="K3369">
        <v>0.16600938591794501</v>
      </c>
      <c r="L3369">
        <v>639.84699241608598</v>
      </c>
      <c r="M3369">
        <v>12.8618432799678</v>
      </c>
      <c r="N3369">
        <v>50.703655030937</v>
      </c>
      <c r="O3369">
        <v>48.591142222318503</v>
      </c>
      <c r="P3369">
        <v>-5.9059972927141297E-2</v>
      </c>
      <c r="Q3369">
        <v>0.10766680558867001</v>
      </c>
      <c r="R3369">
        <v>0.97685544670357505</v>
      </c>
      <c r="S3369" t="s">
        <v>10175</v>
      </c>
      <c r="T3369" t="s">
        <v>13610</v>
      </c>
      <c r="U3369" t="s">
        <v>13610</v>
      </c>
      <c r="V3369" t="s">
        <v>13610</v>
      </c>
      <c r="W3369" t="s">
        <v>16924</v>
      </c>
      <c r="X3369">
        <v>48</v>
      </c>
      <c r="Y3369" t="s">
        <v>23546</v>
      </c>
      <c r="Z3369" t="s">
        <v>30224</v>
      </c>
      <c r="AA3369">
        <v>0.42561306707485469</v>
      </c>
      <c r="AB3369" t="str">
        <f>HYPERLINK("Melting_Curves/meltCurve_Q14669_2_TRIP12.pdf", "Melting_Curves/meltCurve_Q14669_2_TRIP12.pdf")</f>
        <v>Melting_Curves/meltCurve_Q14669_2_TRIP12.pdf</v>
      </c>
    </row>
    <row r="3370" spans="1:28" x14ac:dyDescent="0.25">
      <c r="A3370" t="s">
        <v>3374</v>
      </c>
      <c r="B3370">
        <v>0.995954080203443</v>
      </c>
      <c r="C3370">
        <v>0.94670515088651597</v>
      </c>
      <c r="D3370">
        <v>0.80011571715769902</v>
      </c>
      <c r="E3370">
        <v>0.604058215635354</v>
      </c>
      <c r="F3370">
        <v>0.40687042636403098</v>
      </c>
      <c r="G3370">
        <v>0.22730813572404099</v>
      </c>
      <c r="H3370">
        <v>0.147380550294468</v>
      </c>
      <c r="I3370">
        <v>0.107405013697151</v>
      </c>
      <c r="J3370">
        <v>0.10578580455523</v>
      </c>
      <c r="K3370">
        <v>8.4906640998850105E-2</v>
      </c>
      <c r="L3370">
        <v>709.550777513036</v>
      </c>
      <c r="M3370">
        <v>13.9457733562895</v>
      </c>
      <c r="N3370">
        <v>51.385078949028099</v>
      </c>
      <c r="O3370">
        <v>49.867338932041797</v>
      </c>
      <c r="P3370">
        <v>-6.5439214699029302E-2</v>
      </c>
      <c r="Q3370">
        <v>6.4134761359778095E-2</v>
      </c>
      <c r="R3370">
        <v>0.99871157553115897</v>
      </c>
      <c r="S3370" t="s">
        <v>10176</v>
      </c>
      <c r="T3370" t="s">
        <v>13610</v>
      </c>
      <c r="U3370" t="s">
        <v>13610</v>
      </c>
      <c r="V3370" t="s">
        <v>13610</v>
      </c>
      <c r="W3370" t="s">
        <v>16925</v>
      </c>
      <c r="X3370">
        <v>25</v>
      </c>
      <c r="Y3370" t="s">
        <v>23547</v>
      </c>
      <c r="Z3370" t="s">
        <v>30225</v>
      </c>
      <c r="AA3370">
        <v>0.42797018621179928</v>
      </c>
      <c r="AB3370" t="str">
        <f>HYPERLINK("Melting_Curves/meltCurve_Q14671_PUM1.pdf", "Melting_Curves/meltCurve_Q14671_PUM1.pdf")</f>
        <v>Melting_Curves/meltCurve_Q14671_PUM1.pdf</v>
      </c>
    </row>
    <row r="3371" spans="1:28" x14ac:dyDescent="0.25">
      <c r="A3371" t="s">
        <v>3375</v>
      </c>
      <c r="B3371">
        <v>0.995954080203443</v>
      </c>
      <c r="C3371">
        <v>0.97685210295091796</v>
      </c>
      <c r="D3371">
        <v>0.99837019478581601</v>
      </c>
      <c r="E3371">
        <v>0.891737242844448</v>
      </c>
      <c r="F3371">
        <v>0.829010014352208</v>
      </c>
      <c r="G3371">
        <v>0.62334318400354605</v>
      </c>
      <c r="H3371">
        <v>0.604307882371386</v>
      </c>
      <c r="I3371">
        <v>0.70039931898306196</v>
      </c>
      <c r="J3371">
        <v>0.799673272147579</v>
      </c>
      <c r="K3371">
        <v>0.82260999834460202</v>
      </c>
      <c r="L3371">
        <v>1730.4398357340599</v>
      </c>
      <c r="M3371">
        <v>33.761324514966603</v>
      </c>
      <c r="O3371">
        <v>51.0762478277939</v>
      </c>
      <c r="P3371">
        <v>-4.7273066706181303E-2</v>
      </c>
      <c r="Q3371">
        <v>0.71393041548274605</v>
      </c>
      <c r="R3371">
        <v>0.768086813334517</v>
      </c>
      <c r="S3371" t="s">
        <v>10177</v>
      </c>
      <c r="T3371" t="s">
        <v>13610</v>
      </c>
      <c r="U3371" t="s">
        <v>13610</v>
      </c>
      <c r="V3371" t="s">
        <v>13610</v>
      </c>
      <c r="W3371" t="s">
        <v>16926</v>
      </c>
      <c r="X3371">
        <v>25</v>
      </c>
      <c r="Y3371" t="s">
        <v>23547</v>
      </c>
      <c r="Z3371" t="s">
        <v>30226</v>
      </c>
      <c r="AA3371">
        <v>0.82268048248414161</v>
      </c>
      <c r="AB3371" t="str">
        <f>HYPERLINK("Melting_Curves/meltCurve_Q14671_2_PUM1.pdf", "Melting_Curves/meltCurve_Q14671_2_PUM1.pdf")</f>
        <v>Melting_Curves/meltCurve_Q14671_2_PUM1.pdf</v>
      </c>
    </row>
    <row r="3372" spans="1:28" x14ac:dyDescent="0.25">
      <c r="A3372" t="s">
        <v>3376</v>
      </c>
      <c r="B3372">
        <v>0.995954080203443</v>
      </c>
      <c r="C3372">
        <v>0.96436237330999797</v>
      </c>
      <c r="D3372">
        <v>0.92847257781791803</v>
      </c>
      <c r="E3372">
        <v>0.719108939076186</v>
      </c>
      <c r="F3372">
        <v>0.68679976331680104</v>
      </c>
      <c r="G3372">
        <v>0.53004929893106001</v>
      </c>
      <c r="H3372">
        <v>0.51618597878658001</v>
      </c>
      <c r="I3372">
        <v>0.63180395266918599</v>
      </c>
      <c r="J3372">
        <v>0.75807127719480505</v>
      </c>
      <c r="K3372">
        <v>0.76333855672422102</v>
      </c>
      <c r="L3372">
        <v>1503.0426560410101</v>
      </c>
      <c r="M3372">
        <v>31.3601891568537</v>
      </c>
      <c r="O3372">
        <v>47.7347529226112</v>
      </c>
      <c r="P3372">
        <v>-5.8438818388652301E-2</v>
      </c>
      <c r="Q3372">
        <v>0.64419262902975905</v>
      </c>
      <c r="R3372">
        <v>0.77429982335240199</v>
      </c>
      <c r="S3372" t="s">
        <v>10178</v>
      </c>
      <c r="T3372" t="s">
        <v>13610</v>
      </c>
      <c r="U3372" t="s">
        <v>13610</v>
      </c>
      <c r="V3372" t="s">
        <v>13610</v>
      </c>
      <c r="W3372" t="s">
        <v>16927</v>
      </c>
      <c r="X3372">
        <v>8</v>
      </c>
      <c r="Y3372" t="s">
        <v>23548</v>
      </c>
      <c r="Z3372" t="s">
        <v>30227</v>
      </c>
      <c r="AA3372">
        <v>0.74017594838032619</v>
      </c>
      <c r="AB3372" t="str">
        <f>HYPERLINK("Melting_Curves/meltCurve_Q14674_ESPL1.pdf", "Melting_Curves/meltCurve_Q14674_ESPL1.pdf")</f>
        <v>Melting_Curves/meltCurve_Q14674_ESPL1.pdf</v>
      </c>
    </row>
    <row r="3373" spans="1:28" x14ac:dyDescent="0.25">
      <c r="A3373" t="s">
        <v>3377</v>
      </c>
      <c r="B3373">
        <v>0.995954080203443</v>
      </c>
      <c r="C3373">
        <v>1.0279140728752501</v>
      </c>
      <c r="D3373">
        <v>1.06812350333151</v>
      </c>
      <c r="E3373">
        <v>0.94442812789582997</v>
      </c>
      <c r="F3373">
        <v>0.92597122927057496</v>
      </c>
      <c r="G3373">
        <v>0.65296360158251199</v>
      </c>
      <c r="H3373">
        <v>0.595807805026494</v>
      </c>
      <c r="I3373">
        <v>0.695157326545776</v>
      </c>
      <c r="J3373">
        <v>0.810618545335962</v>
      </c>
      <c r="K3373">
        <v>0.81476406631852305</v>
      </c>
      <c r="L3373">
        <v>12300.3877977048</v>
      </c>
      <c r="M3373">
        <v>231.03014490409299</v>
      </c>
      <c r="O3373">
        <v>53.237494649665997</v>
      </c>
      <c r="P3373">
        <v>-0.31043178895828599</v>
      </c>
      <c r="Q3373">
        <v>0.71386226366446304</v>
      </c>
      <c r="R3373">
        <v>0.81223892793293695</v>
      </c>
      <c r="S3373" t="s">
        <v>10179</v>
      </c>
      <c r="T3373" t="s">
        <v>13610</v>
      </c>
      <c r="U3373" t="s">
        <v>13610</v>
      </c>
      <c r="V3373" t="s">
        <v>13610</v>
      </c>
      <c r="W3373" t="s">
        <v>16928</v>
      </c>
      <c r="X3373">
        <v>50</v>
      </c>
      <c r="Y3373" t="s">
        <v>23549</v>
      </c>
      <c r="Z3373" t="s">
        <v>30228</v>
      </c>
      <c r="AA3373">
        <v>0.84018984850049605</v>
      </c>
      <c r="AB3373" t="str">
        <f>HYPERLINK("Melting_Curves/meltCurve_Q14676_MDC1.pdf", "Melting_Curves/meltCurve_Q14676_MDC1.pdf")</f>
        <v>Melting_Curves/meltCurve_Q14676_MDC1.pdf</v>
      </c>
    </row>
    <row r="3374" spans="1:28" x14ac:dyDescent="0.25">
      <c r="A3374" t="s">
        <v>3378</v>
      </c>
      <c r="B3374">
        <v>0.995954080203443</v>
      </c>
      <c r="C3374">
        <v>1.0032269689578399</v>
      </c>
      <c r="D3374">
        <v>0.97885931616348398</v>
      </c>
      <c r="E3374">
        <v>0.903271218944383</v>
      </c>
      <c r="F3374">
        <v>0.80615258151869296</v>
      </c>
      <c r="G3374">
        <v>0.52642264726462695</v>
      </c>
      <c r="H3374">
        <v>0.42370884263647202</v>
      </c>
      <c r="I3374">
        <v>0.44667671342800502</v>
      </c>
      <c r="J3374">
        <v>0.43402701257312698</v>
      </c>
      <c r="K3374">
        <v>0.450864571357177</v>
      </c>
      <c r="L3374">
        <v>1463.0915577957501</v>
      </c>
      <c r="M3374">
        <v>27.1368209000082</v>
      </c>
      <c r="N3374">
        <v>58.117709435637501</v>
      </c>
      <c r="O3374">
        <v>53.625130342697297</v>
      </c>
      <c r="P3374">
        <v>-7.2147116688699095E-2</v>
      </c>
      <c r="Q3374">
        <v>0.42972523877622598</v>
      </c>
      <c r="R3374">
        <v>0.99399879075217501</v>
      </c>
      <c r="S3374" t="s">
        <v>10180</v>
      </c>
      <c r="T3374" t="s">
        <v>13610</v>
      </c>
      <c r="U3374" t="s">
        <v>13610</v>
      </c>
      <c r="V3374" t="s">
        <v>13610</v>
      </c>
      <c r="W3374" t="s">
        <v>16929</v>
      </c>
      <c r="X3374">
        <v>23</v>
      </c>
      <c r="Y3374" t="s">
        <v>23550</v>
      </c>
      <c r="Z3374" t="s">
        <v>30229</v>
      </c>
      <c r="AA3374">
        <v>0.69877601667252265</v>
      </c>
      <c r="AB3374" t="str">
        <f>HYPERLINK("Melting_Curves/meltCurve_Q14677_CLINT1.pdf", "Melting_Curves/meltCurve_Q14677_CLINT1.pdf")</f>
        <v>Melting_Curves/meltCurve_Q14677_CLINT1.pdf</v>
      </c>
    </row>
    <row r="3375" spans="1:28" x14ac:dyDescent="0.25">
      <c r="A3375" t="s">
        <v>3379</v>
      </c>
      <c r="B3375">
        <v>0.995954080203443</v>
      </c>
      <c r="C3375">
        <v>0.79327854644375695</v>
      </c>
      <c r="D3375">
        <v>1.0063411705927801</v>
      </c>
      <c r="E3375">
        <v>0.70309553004080205</v>
      </c>
      <c r="F3375">
        <v>0.728807695415988</v>
      </c>
      <c r="G3375">
        <v>0.56682727403909505</v>
      </c>
      <c r="H3375">
        <v>0.48693081206026401</v>
      </c>
      <c r="I3375">
        <v>0.50598301038545701</v>
      </c>
      <c r="J3375">
        <v>0.67217934024646298</v>
      </c>
      <c r="K3375">
        <v>0.59054713897704003</v>
      </c>
      <c r="L3375">
        <v>760.31077819219797</v>
      </c>
      <c r="M3375">
        <v>15.408090595919001</v>
      </c>
      <c r="O3375">
        <v>48.5361310231972</v>
      </c>
      <c r="P3375">
        <v>-3.5492078590312698E-2</v>
      </c>
      <c r="Q3375">
        <v>0.55283451509632497</v>
      </c>
      <c r="R3375">
        <v>0.75720079763150705</v>
      </c>
      <c r="S3375" t="s">
        <v>10181</v>
      </c>
      <c r="T3375" t="s">
        <v>13610</v>
      </c>
      <c r="U3375" t="s">
        <v>13610</v>
      </c>
      <c r="V3375" t="s">
        <v>13610</v>
      </c>
      <c r="W3375" t="s">
        <v>16930</v>
      </c>
      <c r="X3375">
        <v>1</v>
      </c>
      <c r="Y3375" t="s">
        <v>23551</v>
      </c>
      <c r="Z3375" t="s">
        <v>30230</v>
      </c>
      <c r="AA3375">
        <v>0.70249557667642393</v>
      </c>
      <c r="AB3375" t="str">
        <f>HYPERLINK("Melting_Curves/meltCurve_Q14681_KCTD2.pdf", "Melting_Curves/meltCurve_Q14681_KCTD2.pdf")</f>
        <v>Melting_Curves/meltCurve_Q14681_KCTD2.pdf</v>
      </c>
    </row>
    <row r="3376" spans="1:28" x14ac:dyDescent="0.25">
      <c r="A3376" t="s">
        <v>3380</v>
      </c>
      <c r="B3376">
        <v>0.995954080203443</v>
      </c>
      <c r="C3376">
        <v>0.71765024701937197</v>
      </c>
      <c r="D3376">
        <v>0.55673512708536599</v>
      </c>
      <c r="E3376">
        <v>0.66048337311262495</v>
      </c>
      <c r="F3376">
        <v>0.22753620638281699</v>
      </c>
      <c r="G3376">
        <v>0.12666562804620601</v>
      </c>
      <c r="H3376">
        <v>8.0111451811392898E-2</v>
      </c>
      <c r="I3376">
        <v>7.1263608352995195E-2</v>
      </c>
      <c r="J3376">
        <v>7.1734030491866496E-2</v>
      </c>
      <c r="K3376">
        <v>7.2149860089640597E-2</v>
      </c>
      <c r="L3376">
        <v>502.55883873345499</v>
      </c>
      <c r="M3376">
        <v>10.300644619097501</v>
      </c>
      <c r="N3376">
        <v>48.7890668930633</v>
      </c>
      <c r="O3376">
        <v>47.057578827503299</v>
      </c>
      <c r="P3376">
        <v>-5.4747403694143999E-2</v>
      </c>
      <c r="Q3376">
        <v>0</v>
      </c>
      <c r="R3376">
        <v>0.919028558802642</v>
      </c>
      <c r="S3376" t="s">
        <v>10182</v>
      </c>
      <c r="T3376" t="s">
        <v>13610</v>
      </c>
      <c r="U3376" t="s">
        <v>13610</v>
      </c>
      <c r="V3376" t="s">
        <v>13610</v>
      </c>
      <c r="W3376" t="s">
        <v>16931</v>
      </c>
      <c r="X3376">
        <v>71</v>
      </c>
      <c r="Y3376" t="s">
        <v>23552</v>
      </c>
      <c r="Z3376" t="s">
        <v>30231</v>
      </c>
      <c r="AA3376">
        <v>0.34056240285229711</v>
      </c>
      <c r="AB3376" t="str">
        <f>HYPERLINK("Melting_Curves/meltCurve_Q14683_SMC1A.pdf", "Melting_Curves/meltCurve_Q14683_SMC1A.pdf")</f>
        <v>Melting_Curves/meltCurve_Q14683_SMC1A.pdf</v>
      </c>
    </row>
    <row r="3377" spans="1:28" x14ac:dyDescent="0.25">
      <c r="A3377" t="s">
        <v>3381</v>
      </c>
      <c r="B3377">
        <v>0.995954080203443</v>
      </c>
      <c r="C3377">
        <v>0.77835624808526904</v>
      </c>
      <c r="D3377">
        <v>0.58207489374752697</v>
      </c>
      <c r="E3377">
        <v>0.46331917934293998</v>
      </c>
      <c r="F3377">
        <v>0.38535285876358499</v>
      </c>
      <c r="G3377">
        <v>0.26814088354881599</v>
      </c>
      <c r="H3377">
        <v>0.23394051508255401</v>
      </c>
      <c r="I3377">
        <v>0.27452090152769698</v>
      </c>
      <c r="J3377">
        <v>0.32791787337609402</v>
      </c>
      <c r="K3377">
        <v>0.32420729344592197</v>
      </c>
      <c r="L3377">
        <v>743.49192248595295</v>
      </c>
      <c r="M3377">
        <v>16.343148244307699</v>
      </c>
      <c r="N3377">
        <v>47.991007113779503</v>
      </c>
      <c r="O3377">
        <v>44.8278218339684</v>
      </c>
      <c r="P3377">
        <v>-6.5038710687744805E-2</v>
      </c>
      <c r="Q3377">
        <v>0.28646958498576203</v>
      </c>
      <c r="R3377">
        <v>0.96851541833391697</v>
      </c>
      <c r="S3377" t="s">
        <v>10183</v>
      </c>
      <c r="T3377" t="s">
        <v>13610</v>
      </c>
      <c r="U3377" t="s">
        <v>13610</v>
      </c>
      <c r="V3377" t="s">
        <v>13610</v>
      </c>
      <c r="W3377" t="s">
        <v>16932</v>
      </c>
      <c r="X3377">
        <v>19</v>
      </c>
      <c r="Y3377" t="s">
        <v>23553</v>
      </c>
      <c r="Z3377" t="s">
        <v>30232</v>
      </c>
      <c r="AA3377">
        <v>0.43523916686438918</v>
      </c>
      <c r="AB3377" t="str">
        <f>HYPERLINK("Melting_Curves/meltCurve_Q14684_RRP1B.pdf", "Melting_Curves/meltCurve_Q14684_RRP1B.pdf")</f>
        <v>Melting_Curves/meltCurve_Q14684_RRP1B.pdf</v>
      </c>
    </row>
    <row r="3378" spans="1:28" x14ac:dyDescent="0.25">
      <c r="A3378" t="s">
        <v>3382</v>
      </c>
      <c r="B3378">
        <v>0.995954080203443</v>
      </c>
      <c r="C3378">
        <v>0.98699723760682601</v>
      </c>
      <c r="D3378">
        <v>1.05450529153719</v>
      </c>
      <c r="E3378">
        <v>0.87388249408485597</v>
      </c>
      <c r="F3378">
        <v>0.87780166213317501</v>
      </c>
      <c r="G3378">
        <v>0.71077127743783097</v>
      </c>
      <c r="H3378">
        <v>0.63068382541562695</v>
      </c>
      <c r="I3378">
        <v>0.76688895842882898</v>
      </c>
      <c r="J3378">
        <v>0.86540415702649698</v>
      </c>
      <c r="K3378">
        <v>0.90623909502570199</v>
      </c>
      <c r="L3378">
        <v>1687.80257620772</v>
      </c>
      <c r="M3378">
        <v>33.441771786002597</v>
      </c>
      <c r="O3378">
        <v>50.290448476297001</v>
      </c>
      <c r="P3378">
        <v>-3.61407774274983E-2</v>
      </c>
      <c r="Q3378">
        <v>0.78260385375307495</v>
      </c>
      <c r="R3378">
        <v>0.61931442585701002</v>
      </c>
      <c r="S3378" t="s">
        <v>10184</v>
      </c>
      <c r="T3378" t="s">
        <v>13610</v>
      </c>
      <c r="U3378" t="s">
        <v>13610</v>
      </c>
      <c r="V3378" t="s">
        <v>13610</v>
      </c>
      <c r="W3378" t="s">
        <v>16933</v>
      </c>
      <c r="X3378">
        <v>12</v>
      </c>
      <c r="Y3378" t="s">
        <v>23554</v>
      </c>
      <c r="Z3378" t="s">
        <v>30233</v>
      </c>
      <c r="AA3378">
        <v>0.85956287348847027</v>
      </c>
      <c r="AB3378" t="str">
        <f>HYPERLINK("Melting_Curves/meltCurve_Q14686_NCOA6.pdf", "Melting_Curves/meltCurve_Q14686_NCOA6.pdf")</f>
        <v>Melting_Curves/meltCurve_Q14686_NCOA6.pdf</v>
      </c>
    </row>
    <row r="3379" spans="1:28" x14ac:dyDescent="0.25">
      <c r="A3379" t="s">
        <v>3383</v>
      </c>
      <c r="B3379">
        <v>0.995954080203443</v>
      </c>
      <c r="C3379">
        <v>0.84811299120323203</v>
      </c>
      <c r="D3379">
        <v>0.86321784600288398</v>
      </c>
      <c r="E3379">
        <v>0.66570227633433798</v>
      </c>
      <c r="F3379">
        <v>0.57285092575673902</v>
      </c>
      <c r="G3379">
        <v>0.36887782070439901</v>
      </c>
      <c r="H3379">
        <v>0.34644162480075102</v>
      </c>
      <c r="I3379">
        <v>0.401084801614433</v>
      </c>
      <c r="J3379">
        <v>0.563247298432202</v>
      </c>
      <c r="K3379">
        <v>0.49568770675846102</v>
      </c>
      <c r="L3379">
        <v>818.83355973164896</v>
      </c>
      <c r="M3379">
        <v>16.9133110770047</v>
      </c>
      <c r="N3379">
        <v>54.814145311904198</v>
      </c>
      <c r="O3379">
        <v>47.7519746768142</v>
      </c>
      <c r="P3379">
        <v>-5.0420826976449402E-2</v>
      </c>
      <c r="Q3379">
        <v>0.43061625182617003</v>
      </c>
      <c r="R3379">
        <v>0.88266502482437104</v>
      </c>
      <c r="S3379" t="s">
        <v>10185</v>
      </c>
      <c r="T3379" t="s">
        <v>13610</v>
      </c>
      <c r="U3379" t="s">
        <v>13610</v>
      </c>
      <c r="V3379" t="s">
        <v>13610</v>
      </c>
      <c r="W3379" t="s">
        <v>16934</v>
      </c>
      <c r="X3379">
        <v>25</v>
      </c>
      <c r="Y3379" t="s">
        <v>23555</v>
      </c>
      <c r="Z3379" t="s">
        <v>30234</v>
      </c>
      <c r="AA3379">
        <v>0.60163877149764267</v>
      </c>
      <c r="AB3379" t="str">
        <f>HYPERLINK("Melting_Curves/meltCurve_Q14687_GSE1.pdf", "Melting_Curves/meltCurve_Q14687_GSE1.pdf")</f>
        <v>Melting_Curves/meltCurve_Q14687_GSE1.pdf</v>
      </c>
    </row>
    <row r="3380" spans="1:28" x14ac:dyDescent="0.25">
      <c r="A3380" t="s">
        <v>3384</v>
      </c>
      <c r="B3380">
        <v>0.995954080203443</v>
      </c>
      <c r="C3380">
        <v>0.93011863677443696</v>
      </c>
      <c r="D3380">
        <v>0.75597549934160801</v>
      </c>
      <c r="E3380">
        <v>0.60921142062251199</v>
      </c>
      <c r="F3380">
        <v>0.34884999133476402</v>
      </c>
      <c r="G3380">
        <v>0.249288421594794</v>
      </c>
      <c r="H3380">
        <v>0.19574084817928</v>
      </c>
      <c r="I3380">
        <v>0.211079247544459</v>
      </c>
      <c r="J3380">
        <v>0.249827855460551</v>
      </c>
      <c r="K3380">
        <v>0.23359569954349599</v>
      </c>
      <c r="L3380">
        <v>815.12277721103703</v>
      </c>
      <c r="M3380">
        <v>16.617368691990901</v>
      </c>
      <c r="N3380">
        <v>50.638279195218701</v>
      </c>
      <c r="O3380">
        <v>48.358594446064799</v>
      </c>
      <c r="P3380">
        <v>-6.8484693092106697E-2</v>
      </c>
      <c r="Q3380">
        <v>0.20285819757611201</v>
      </c>
      <c r="R3380">
        <v>0.98623125429004799</v>
      </c>
      <c r="S3380" t="s">
        <v>10186</v>
      </c>
      <c r="T3380" t="s">
        <v>13610</v>
      </c>
      <c r="U3380" t="s">
        <v>13610</v>
      </c>
      <c r="V3380" t="s">
        <v>13610</v>
      </c>
      <c r="W3380" t="s">
        <v>16935</v>
      </c>
      <c r="X3380">
        <v>9</v>
      </c>
      <c r="Y3380" t="s">
        <v>23556</v>
      </c>
      <c r="Z3380" t="s">
        <v>30235</v>
      </c>
      <c r="AA3380">
        <v>0.45953840450334049</v>
      </c>
      <c r="AB3380" t="str">
        <f>HYPERLINK("Melting_Curves/meltCurve_Q14689_6_DIP2A.pdf", "Melting_Curves/meltCurve_Q14689_6_DIP2A.pdf")</f>
        <v>Melting_Curves/meltCurve_Q14689_6_DIP2A.pdf</v>
      </c>
    </row>
    <row r="3381" spans="1:28" x14ac:dyDescent="0.25">
      <c r="A3381" t="s">
        <v>3385</v>
      </c>
      <c r="B3381">
        <v>0.995954080203443</v>
      </c>
      <c r="C3381">
        <v>0.77317364103832198</v>
      </c>
      <c r="D3381">
        <v>0.39852119938985298</v>
      </c>
      <c r="E3381">
        <v>0.304481927179235</v>
      </c>
      <c r="F3381">
        <v>0.26947658076201098</v>
      </c>
      <c r="G3381">
        <v>0.18712364059674599</v>
      </c>
      <c r="H3381">
        <v>0.16864951457153199</v>
      </c>
      <c r="I3381">
        <v>0.17944479860024901</v>
      </c>
      <c r="J3381">
        <v>0.23371222110284101</v>
      </c>
      <c r="K3381">
        <v>0.21167094765238501</v>
      </c>
      <c r="L3381">
        <v>1232.6906116213299</v>
      </c>
      <c r="M3381">
        <v>27.830149549412599</v>
      </c>
      <c r="N3381">
        <v>45.198679310479299</v>
      </c>
      <c r="O3381">
        <v>44.066569958121903</v>
      </c>
      <c r="P3381">
        <v>-0.124153634142386</v>
      </c>
      <c r="Q3381">
        <v>0.213662280734705</v>
      </c>
      <c r="R3381">
        <v>0.98363369457987504</v>
      </c>
      <c r="S3381" t="s">
        <v>10187</v>
      </c>
      <c r="T3381" t="s">
        <v>13610</v>
      </c>
      <c r="U3381" t="s">
        <v>13610</v>
      </c>
      <c r="V3381" t="s">
        <v>13610</v>
      </c>
      <c r="W3381" t="s">
        <v>16936</v>
      </c>
      <c r="X3381">
        <v>10</v>
      </c>
      <c r="Y3381" t="s">
        <v>23557</v>
      </c>
      <c r="Z3381" t="s">
        <v>30236</v>
      </c>
      <c r="AA3381">
        <v>0.33278888748288449</v>
      </c>
      <c r="AB3381" t="str">
        <f>HYPERLINK("Melting_Curves/meltCurve_Q14690_PDCD11.pdf", "Melting_Curves/meltCurve_Q14690_PDCD11.pdf")</f>
        <v>Melting_Curves/meltCurve_Q14690_PDCD11.pdf</v>
      </c>
    </row>
    <row r="3382" spans="1:28" x14ac:dyDescent="0.25">
      <c r="A3382" t="s">
        <v>3386</v>
      </c>
      <c r="B3382">
        <v>0.995954080203443</v>
      </c>
      <c r="C3382">
        <v>0.99209690710033804</v>
      </c>
      <c r="D3382">
        <v>1.03432900098434</v>
      </c>
      <c r="E3382">
        <v>0.74258971496092296</v>
      </c>
      <c r="F3382">
        <v>0.25843866566069101</v>
      </c>
      <c r="G3382">
        <v>0.143826082629151</v>
      </c>
      <c r="H3382">
        <v>9.7001249254539595E-2</v>
      </c>
      <c r="I3382">
        <v>8.7824812048490894E-2</v>
      </c>
      <c r="J3382">
        <v>0.100186184320956</v>
      </c>
      <c r="K3382">
        <v>0.100005349594102</v>
      </c>
      <c r="L3382">
        <v>2189.8772436355998</v>
      </c>
      <c r="M3382">
        <v>42.873267037633802</v>
      </c>
      <c r="N3382">
        <v>51.354722510300299</v>
      </c>
      <c r="O3382">
        <v>50.967167437137</v>
      </c>
      <c r="P3382">
        <v>-0.18860246851014301</v>
      </c>
      <c r="Q3382">
        <v>0.10316902390719999</v>
      </c>
      <c r="R3382">
        <v>0.99812729182387205</v>
      </c>
      <c r="S3382" t="s">
        <v>10188</v>
      </c>
      <c r="T3382" t="s">
        <v>13610</v>
      </c>
      <c r="U3382" t="s">
        <v>13610</v>
      </c>
      <c r="V3382" t="s">
        <v>13610</v>
      </c>
      <c r="W3382" t="s">
        <v>16937</v>
      </c>
      <c r="X3382">
        <v>10</v>
      </c>
      <c r="Y3382" t="s">
        <v>23558</v>
      </c>
      <c r="Z3382" t="s">
        <v>30237</v>
      </c>
      <c r="AA3382">
        <v>0.43708968884567129</v>
      </c>
      <c r="AB3382" t="str">
        <f>HYPERLINK("Melting_Curves/meltCurve_Q14691_GINS1.pdf", "Melting_Curves/meltCurve_Q14691_GINS1.pdf")</f>
        <v>Melting_Curves/meltCurve_Q14691_GINS1.pdf</v>
      </c>
    </row>
    <row r="3383" spans="1:28" x14ac:dyDescent="0.25">
      <c r="A3383" t="s">
        <v>3387</v>
      </c>
      <c r="B3383">
        <v>0.995954080203443</v>
      </c>
      <c r="C3383">
        <v>0.92238368885409705</v>
      </c>
      <c r="D3383">
        <v>1.38921937088197</v>
      </c>
      <c r="E3383">
        <v>0.95799982890549096</v>
      </c>
      <c r="F3383">
        <v>1.2484091533089201</v>
      </c>
      <c r="G3383">
        <v>1.1150322097235701</v>
      </c>
      <c r="H3383">
        <v>1.0760727027550101</v>
      </c>
      <c r="I3383">
        <v>1.38196228725597</v>
      </c>
      <c r="J3383">
        <v>1.5708523495148701</v>
      </c>
      <c r="K3383">
        <v>1.6670214520047599</v>
      </c>
      <c r="L3383">
        <v>4139.3377068498903</v>
      </c>
      <c r="M3383">
        <v>66.015765412277204</v>
      </c>
      <c r="O3383">
        <v>62.644794385416198</v>
      </c>
      <c r="P3383">
        <v>0.13172638865940001</v>
      </c>
      <c r="Q3383">
        <v>1.5</v>
      </c>
      <c r="R3383">
        <v>0.56427428234364796</v>
      </c>
      <c r="S3383" t="s">
        <v>10189</v>
      </c>
      <c r="T3383" t="s">
        <v>13610</v>
      </c>
      <c r="U3383" t="s">
        <v>13610</v>
      </c>
      <c r="V3383" t="s">
        <v>13610</v>
      </c>
      <c r="W3383" t="s">
        <v>16938</v>
      </c>
      <c r="X3383">
        <v>9</v>
      </c>
      <c r="Y3383" t="s">
        <v>23559</v>
      </c>
      <c r="Z3383" t="s">
        <v>30238</v>
      </c>
      <c r="AA3383">
        <v>1.1208585359102721</v>
      </c>
      <c r="AB3383" t="str">
        <f>HYPERLINK("Melting_Curves/meltCurve_Q14692_BMS1.pdf", "Melting_Curves/meltCurve_Q14692_BMS1.pdf")</f>
        <v>Melting_Curves/meltCurve_Q14692_BMS1.pdf</v>
      </c>
    </row>
    <row r="3384" spans="1:28" x14ac:dyDescent="0.25">
      <c r="A3384" t="s">
        <v>3388</v>
      </c>
      <c r="B3384">
        <v>0.995954080203443</v>
      </c>
      <c r="C3384">
        <v>0.95205773518218895</v>
      </c>
      <c r="D3384">
        <v>0.72734963634011895</v>
      </c>
      <c r="E3384">
        <v>0.79835584563657502</v>
      </c>
      <c r="F3384">
        <v>0.49751386628712302</v>
      </c>
      <c r="G3384">
        <v>0.29824644994129301</v>
      </c>
      <c r="H3384">
        <v>0.21878693903806001</v>
      </c>
      <c r="I3384">
        <v>0.159121695707657</v>
      </c>
      <c r="J3384">
        <v>0.123432795701914</v>
      </c>
      <c r="K3384">
        <v>0.11890888897279001</v>
      </c>
      <c r="L3384">
        <v>598.43358690016396</v>
      </c>
      <c r="M3384">
        <v>11.307722019892299</v>
      </c>
      <c r="N3384">
        <v>53.3534339907293</v>
      </c>
      <c r="O3384">
        <v>51.3484292113436</v>
      </c>
      <c r="P3384">
        <v>-5.26674131341376E-2</v>
      </c>
      <c r="Q3384">
        <v>4.3638112290615198E-2</v>
      </c>
      <c r="R3384">
        <v>0.969397773936437</v>
      </c>
      <c r="S3384" t="s">
        <v>10190</v>
      </c>
      <c r="T3384" t="s">
        <v>13610</v>
      </c>
      <c r="U3384" t="s">
        <v>13610</v>
      </c>
      <c r="V3384" t="s">
        <v>13610</v>
      </c>
      <c r="W3384" t="s">
        <v>16939</v>
      </c>
      <c r="X3384">
        <v>2</v>
      </c>
      <c r="Y3384" t="s">
        <v>23560</v>
      </c>
      <c r="Z3384" t="s">
        <v>30239</v>
      </c>
      <c r="AA3384">
        <v>0.48482649375905679</v>
      </c>
      <c r="AB3384" t="str">
        <f>HYPERLINK("Melting_Curves/meltCurve_Q14693_LPIN1.pdf", "Melting_Curves/meltCurve_Q14693_LPIN1.pdf")</f>
        <v>Melting_Curves/meltCurve_Q14693_LPIN1.pdf</v>
      </c>
    </row>
    <row r="3385" spans="1:28" x14ac:dyDescent="0.25">
      <c r="A3385" t="s">
        <v>3389</v>
      </c>
      <c r="B3385">
        <v>0.995954080203443</v>
      </c>
      <c r="C3385">
        <v>0.63266923466096103</v>
      </c>
      <c r="D3385">
        <v>0.44559571155140099</v>
      </c>
      <c r="E3385">
        <v>0.39728865232697602</v>
      </c>
      <c r="F3385">
        <v>0.33404965112524998</v>
      </c>
      <c r="G3385">
        <v>0.242845555236085</v>
      </c>
      <c r="H3385">
        <v>0.21301605947067501</v>
      </c>
      <c r="I3385">
        <v>0.24032461967905799</v>
      </c>
      <c r="J3385">
        <v>0.30321279673687601</v>
      </c>
      <c r="K3385">
        <v>0.29232465480742897</v>
      </c>
      <c r="L3385">
        <v>984.055654944656</v>
      </c>
      <c r="M3385">
        <v>22.645302086426899</v>
      </c>
      <c r="N3385">
        <v>45.084303102445404</v>
      </c>
      <c r="O3385">
        <v>43.120563311381297</v>
      </c>
      <c r="P3385">
        <v>-9.4608895697959702E-2</v>
      </c>
      <c r="Q3385">
        <v>0.27940769007026001</v>
      </c>
      <c r="R3385">
        <v>0.94646171233978604</v>
      </c>
      <c r="S3385" t="s">
        <v>10191</v>
      </c>
      <c r="T3385" t="s">
        <v>13610</v>
      </c>
      <c r="U3385" t="s">
        <v>13610</v>
      </c>
      <c r="V3385" t="s">
        <v>13610</v>
      </c>
      <c r="W3385" t="s">
        <v>16940</v>
      </c>
      <c r="X3385">
        <v>16</v>
      </c>
      <c r="Y3385" t="s">
        <v>23561</v>
      </c>
      <c r="Z3385" t="s">
        <v>30240</v>
      </c>
      <c r="AA3385">
        <v>0.37404084472983662</v>
      </c>
      <c r="AB3385" t="str">
        <f>HYPERLINK("Melting_Curves/meltCurve_Q14694_USP10.pdf", "Melting_Curves/meltCurve_Q14694_USP10.pdf")</f>
        <v>Melting_Curves/meltCurve_Q14694_USP10.pdf</v>
      </c>
    </row>
    <row r="3386" spans="1:28" x14ac:dyDescent="0.25">
      <c r="A3386" t="s">
        <v>3390</v>
      </c>
      <c r="B3386">
        <v>0.995954080203443</v>
      </c>
      <c r="C3386">
        <v>1.06940136099435</v>
      </c>
      <c r="D3386">
        <v>1.1609520878233801</v>
      </c>
      <c r="E3386">
        <v>1.0430600344887899</v>
      </c>
      <c r="F3386">
        <v>1.02980259392825</v>
      </c>
      <c r="G3386">
        <v>0.79392808172350804</v>
      </c>
      <c r="H3386">
        <v>0.529820712543568</v>
      </c>
      <c r="I3386">
        <v>0.37537719005682602</v>
      </c>
      <c r="J3386">
        <v>0.26264734386541899</v>
      </c>
      <c r="K3386">
        <v>0.23721922448657201</v>
      </c>
      <c r="L3386">
        <v>1469.0391571786899</v>
      </c>
      <c r="M3386">
        <v>24.516874490949501</v>
      </c>
      <c r="N3386">
        <v>61.366042644984397</v>
      </c>
      <c r="O3386">
        <v>59.525128217904701</v>
      </c>
      <c r="P3386">
        <v>-8.0371573786670703E-2</v>
      </c>
      <c r="Q3386">
        <v>0.219466742694721</v>
      </c>
      <c r="R3386">
        <v>0.96745701953754404</v>
      </c>
      <c r="S3386" t="s">
        <v>10192</v>
      </c>
      <c r="T3386" t="s">
        <v>13610</v>
      </c>
      <c r="U3386" t="s">
        <v>13610</v>
      </c>
      <c r="V3386" t="s">
        <v>13610</v>
      </c>
      <c r="W3386" t="s">
        <v>16941</v>
      </c>
      <c r="X3386">
        <v>10</v>
      </c>
      <c r="Y3386" t="s">
        <v>23562</v>
      </c>
      <c r="Z3386" t="s">
        <v>30241</v>
      </c>
      <c r="AA3386">
        <v>0.74367950066158839</v>
      </c>
      <c r="AB3386" t="str">
        <f>HYPERLINK("Melting_Curves/meltCurve_Q14696_MESDC2.pdf", "Melting_Curves/meltCurve_Q14696_MESDC2.pdf")</f>
        <v>Melting_Curves/meltCurve_Q14696_MESDC2.pdf</v>
      </c>
    </row>
    <row r="3387" spans="1:28" x14ac:dyDescent="0.25">
      <c r="A3387" t="s">
        <v>3391</v>
      </c>
      <c r="B3387">
        <v>0.995954080203443</v>
      </c>
      <c r="C3387">
        <v>1.1543714680669901</v>
      </c>
      <c r="D3387">
        <v>0.66346959286803797</v>
      </c>
      <c r="E3387">
        <v>0.45585930447192202</v>
      </c>
      <c r="F3387">
        <v>0.144198177685462</v>
      </c>
      <c r="G3387">
        <v>8.0197464194809095E-2</v>
      </c>
      <c r="H3387">
        <v>5.4569405896845502E-2</v>
      </c>
      <c r="I3387">
        <v>4.8979391431556898E-2</v>
      </c>
      <c r="J3387">
        <v>5.64441509734354E-2</v>
      </c>
      <c r="K3387">
        <v>5.0718600250724603E-2</v>
      </c>
      <c r="L3387">
        <v>1068.2904230178799</v>
      </c>
      <c r="M3387">
        <v>21.966963570675698</v>
      </c>
      <c r="N3387">
        <v>48.849069938919698</v>
      </c>
      <c r="O3387">
        <v>48.234050503452799</v>
      </c>
      <c r="P3387">
        <v>-0.108556832307171</v>
      </c>
      <c r="Q3387">
        <v>4.6565150486515799E-2</v>
      </c>
      <c r="R3387">
        <v>0.96138020606944896</v>
      </c>
      <c r="S3387" t="s">
        <v>10193</v>
      </c>
      <c r="T3387" t="s">
        <v>13610</v>
      </c>
      <c r="U3387" t="s">
        <v>13610</v>
      </c>
      <c r="V3387" t="s">
        <v>13610</v>
      </c>
      <c r="W3387" t="s">
        <v>16942</v>
      </c>
      <c r="X3387">
        <v>44</v>
      </c>
      <c r="Y3387" t="s">
        <v>23563</v>
      </c>
      <c r="Z3387" t="s">
        <v>30242</v>
      </c>
      <c r="AA3387">
        <v>0.3319293077893547</v>
      </c>
      <c r="AB3387" t="str">
        <f>HYPERLINK("Melting_Curves/meltCurve_Q14697_GANAB.pdf", "Melting_Curves/meltCurve_Q14697_GANAB.pdf")</f>
        <v>Melting_Curves/meltCurve_Q14697_GANAB.pdf</v>
      </c>
    </row>
    <row r="3388" spans="1:28" x14ac:dyDescent="0.25">
      <c r="A3388" t="s">
        <v>3392</v>
      </c>
      <c r="B3388">
        <v>0.995954080203443</v>
      </c>
      <c r="C3388">
        <v>0.88182214761838795</v>
      </c>
      <c r="D3388">
        <v>0.73535673929561196</v>
      </c>
      <c r="E3388">
        <v>0.53954267575874204</v>
      </c>
      <c r="F3388">
        <v>0.24764937027477801</v>
      </c>
      <c r="G3388">
        <v>0.126216932860124</v>
      </c>
      <c r="H3388">
        <v>0.13171845361898099</v>
      </c>
      <c r="I3388">
        <v>0.148814702757149</v>
      </c>
      <c r="J3388">
        <v>0.18010419886015799</v>
      </c>
      <c r="K3388">
        <v>0.15127139082527499</v>
      </c>
      <c r="L3388">
        <v>841.04810247034095</v>
      </c>
      <c r="M3388">
        <v>17.309872120622099</v>
      </c>
      <c r="N3388">
        <v>49.420472098595503</v>
      </c>
      <c r="O3388">
        <v>47.953209907048901</v>
      </c>
      <c r="P3388">
        <v>-7.8833315479019395E-2</v>
      </c>
      <c r="Q3388">
        <v>0.12648854082038299</v>
      </c>
      <c r="R3388">
        <v>0.98295947610426404</v>
      </c>
      <c r="S3388" t="s">
        <v>10194</v>
      </c>
      <c r="T3388" t="s">
        <v>13610</v>
      </c>
      <c r="U3388" t="s">
        <v>13610</v>
      </c>
      <c r="V3388" t="s">
        <v>13610</v>
      </c>
      <c r="W3388" t="s">
        <v>16943</v>
      </c>
      <c r="X3388">
        <v>44</v>
      </c>
      <c r="Y3388" t="s">
        <v>23563</v>
      </c>
      <c r="Z3388" t="s">
        <v>30243</v>
      </c>
      <c r="AA3388">
        <v>0.39305564178606511</v>
      </c>
      <c r="AB3388" t="str">
        <f>HYPERLINK("Melting_Curves/meltCurve_Q14697_2_GANAB.pdf", "Melting_Curves/meltCurve_Q14697_2_GANAB.pdf")</f>
        <v>Melting_Curves/meltCurve_Q14697_2_GANAB.pdf</v>
      </c>
    </row>
    <row r="3389" spans="1:28" x14ac:dyDescent="0.25">
      <c r="A3389" t="s">
        <v>3393</v>
      </c>
      <c r="B3389">
        <v>0.995954080203443</v>
      </c>
      <c r="C3389">
        <v>1.0232579435729601</v>
      </c>
      <c r="D3389">
        <v>1.1649942898463801</v>
      </c>
      <c r="E3389">
        <v>0.99142586410397304</v>
      </c>
      <c r="F3389">
        <v>0.91807796125490704</v>
      </c>
      <c r="G3389">
        <v>0.68990779446971495</v>
      </c>
      <c r="H3389">
        <v>0.58113031699557105</v>
      </c>
      <c r="I3389">
        <v>0.64067360241159799</v>
      </c>
      <c r="J3389">
        <v>0.69995199535891905</v>
      </c>
      <c r="K3389">
        <v>0.778196804410479</v>
      </c>
      <c r="L3389">
        <v>3348.2125951921998</v>
      </c>
      <c r="M3389">
        <v>62.089962347505399</v>
      </c>
      <c r="O3389">
        <v>53.869329290334903</v>
      </c>
      <c r="P3389">
        <v>-9.3445367836048801E-2</v>
      </c>
      <c r="Q3389">
        <v>0.67570684610113396</v>
      </c>
      <c r="R3389">
        <v>0.85737870854179199</v>
      </c>
      <c r="S3389" t="s">
        <v>10195</v>
      </c>
      <c r="T3389" t="s">
        <v>13610</v>
      </c>
      <c r="U3389" t="s">
        <v>13610</v>
      </c>
      <c r="V3389" t="s">
        <v>13610</v>
      </c>
      <c r="W3389" t="s">
        <v>16944</v>
      </c>
      <c r="X3389">
        <v>9</v>
      </c>
      <c r="Y3389" t="s">
        <v>23564</v>
      </c>
      <c r="Z3389" t="s">
        <v>30244</v>
      </c>
      <c r="AA3389">
        <v>0.82673412940262891</v>
      </c>
      <c r="AB3389" t="str">
        <f>HYPERLINK("Melting_Curves/meltCurve_Q14739_LBR.pdf", "Melting_Curves/meltCurve_Q14739_LBR.pdf")</f>
        <v>Melting_Curves/meltCurve_Q14739_LBR.pdf</v>
      </c>
    </row>
    <row r="3390" spans="1:28" x14ac:dyDescent="0.25">
      <c r="A3390" t="s">
        <v>3394</v>
      </c>
      <c r="B3390">
        <v>0.995954080203443</v>
      </c>
      <c r="C3390">
        <v>0.69133204410861604</v>
      </c>
      <c r="D3390">
        <v>0.343871921374097</v>
      </c>
      <c r="E3390">
        <v>0.23378034856368099</v>
      </c>
      <c r="F3390">
        <v>0.13842068943567801</v>
      </c>
      <c r="G3390">
        <v>7.6951499058207598E-2</v>
      </c>
      <c r="H3390">
        <v>4.3100715403166498E-2</v>
      </c>
      <c r="I3390">
        <v>3.6644952529597798E-2</v>
      </c>
      <c r="J3390">
        <v>3.9819514574002297E-2</v>
      </c>
      <c r="K3390">
        <v>2.5393456733779299E-2</v>
      </c>
      <c r="L3390">
        <v>872.17756024686105</v>
      </c>
      <c r="M3390">
        <v>19.5231064419205</v>
      </c>
      <c r="N3390">
        <v>44.939877820076298</v>
      </c>
      <c r="O3390">
        <v>44.213323578573998</v>
      </c>
      <c r="P3390">
        <v>-0.104376630170931</v>
      </c>
      <c r="Q3390">
        <v>5.4520859148722102E-2</v>
      </c>
      <c r="R3390">
        <v>0.98033723103399895</v>
      </c>
      <c r="S3390" t="s">
        <v>10196</v>
      </c>
      <c r="T3390" t="s">
        <v>13610</v>
      </c>
      <c r="U3390" t="s">
        <v>13610</v>
      </c>
      <c r="V3390" t="s">
        <v>13610</v>
      </c>
      <c r="W3390" t="s">
        <v>16945</v>
      </c>
      <c r="X3390">
        <v>11</v>
      </c>
      <c r="Y3390" t="s">
        <v>23565</v>
      </c>
      <c r="Z3390" t="s">
        <v>30245</v>
      </c>
      <c r="AA3390">
        <v>0.2194389260674941</v>
      </c>
      <c r="AB3390" t="str">
        <f>HYPERLINK("Melting_Curves/meltCurve_Q14746_2_COG2.pdf", "Melting_Curves/meltCurve_Q14746_2_COG2.pdf")</f>
        <v>Melting_Curves/meltCurve_Q14746_2_COG2.pdf</v>
      </c>
    </row>
    <row r="3391" spans="1:28" x14ac:dyDescent="0.25">
      <c r="A3391" t="s">
        <v>3395</v>
      </c>
      <c r="B3391">
        <v>0.995954080203443</v>
      </c>
      <c r="C3391">
        <v>0.95134666806110102</v>
      </c>
      <c r="D3391">
        <v>1.07457106395794</v>
      </c>
      <c r="E3391">
        <v>0.86127417678282803</v>
      </c>
      <c r="F3391">
        <v>0.94674913793289195</v>
      </c>
      <c r="G3391">
        <v>0.80479999237562905</v>
      </c>
      <c r="H3391">
        <v>0.73281473759065996</v>
      </c>
      <c r="I3391">
        <v>0.91487095366164195</v>
      </c>
      <c r="J3391">
        <v>0.87170825313576095</v>
      </c>
      <c r="K3391">
        <v>1.0408490620384001</v>
      </c>
      <c r="L3391">
        <v>12010.856834001401</v>
      </c>
      <c r="M3391">
        <v>250</v>
      </c>
      <c r="O3391">
        <v>48.040374326714698</v>
      </c>
      <c r="P3391">
        <v>-0.15369111866437801</v>
      </c>
      <c r="Q3391">
        <v>0.88186599057966897</v>
      </c>
      <c r="R3391">
        <v>0.32849920486759998</v>
      </c>
      <c r="S3391" t="s">
        <v>10197</v>
      </c>
      <c r="T3391" t="s">
        <v>13610</v>
      </c>
      <c r="U3391" t="s">
        <v>13610</v>
      </c>
      <c r="V3391" t="s">
        <v>13610</v>
      </c>
      <c r="W3391" t="s">
        <v>16946</v>
      </c>
      <c r="X3391">
        <v>5</v>
      </c>
      <c r="Y3391" t="s">
        <v>23566</v>
      </c>
      <c r="Z3391" t="s">
        <v>30246</v>
      </c>
      <c r="AA3391">
        <v>0.91354936179331969</v>
      </c>
      <c r="AB3391" t="str">
        <f>HYPERLINK("Melting_Curves/meltCurve_Q14781_CBX2.pdf", "Melting_Curves/meltCurve_Q14781_CBX2.pdf")</f>
        <v>Melting_Curves/meltCurve_Q14781_CBX2.pdf</v>
      </c>
    </row>
    <row r="3392" spans="1:28" x14ac:dyDescent="0.25">
      <c r="A3392" t="s">
        <v>3396</v>
      </c>
      <c r="B3392">
        <v>0.995954080203443</v>
      </c>
      <c r="C3392">
        <v>0.99939212482988304</v>
      </c>
      <c r="D3392">
        <v>0.92351341338945203</v>
      </c>
      <c r="E3392">
        <v>0.82320047536534602</v>
      </c>
      <c r="F3392">
        <v>0.592639045485018</v>
      </c>
      <c r="G3392">
        <v>0.41400920908872102</v>
      </c>
      <c r="H3392">
        <v>0.31814278517614403</v>
      </c>
      <c r="I3392">
        <v>0.30002829444650803</v>
      </c>
      <c r="J3392">
        <v>0.37551373061084597</v>
      </c>
      <c r="K3392">
        <v>0.33904304889832199</v>
      </c>
      <c r="L3392">
        <v>1171.00990901299</v>
      </c>
      <c r="M3392">
        <v>22.4996614996865</v>
      </c>
      <c r="N3392">
        <v>54.590478855862997</v>
      </c>
      <c r="O3392">
        <v>51.639765257392497</v>
      </c>
      <c r="P3392">
        <v>-7.3545061796689196E-2</v>
      </c>
      <c r="Q3392">
        <v>0.324830347072952</v>
      </c>
      <c r="R3392">
        <v>0.99166731799382302</v>
      </c>
      <c r="S3392" t="s">
        <v>10198</v>
      </c>
      <c r="T3392" t="s">
        <v>13610</v>
      </c>
      <c r="U3392" t="s">
        <v>13610</v>
      </c>
      <c r="V3392" t="s">
        <v>13610</v>
      </c>
      <c r="W3392" t="s">
        <v>16947</v>
      </c>
      <c r="X3392">
        <v>55</v>
      </c>
      <c r="Y3392" t="s">
        <v>23567</v>
      </c>
      <c r="Z3392" t="s">
        <v>30247</v>
      </c>
      <c r="AA3392">
        <v>0.60345666039322055</v>
      </c>
      <c r="AB3392" t="str">
        <f>HYPERLINK("Melting_Curves/meltCurve_Q14789_GOLGB1.pdf", "Melting_Curves/meltCurve_Q14789_GOLGB1.pdf")</f>
        <v>Melting_Curves/meltCurve_Q14789_GOLGB1.pdf</v>
      </c>
    </row>
    <row r="3393" spans="1:28" x14ac:dyDescent="0.25">
      <c r="A3393" t="s">
        <v>3397</v>
      </c>
      <c r="B3393">
        <v>0.995954080203443</v>
      </c>
      <c r="C3393">
        <v>1.1148080301404399</v>
      </c>
      <c r="D3393">
        <v>0.50605179267563705</v>
      </c>
      <c r="E3393">
        <v>0.488150243278409</v>
      </c>
      <c r="F3393">
        <v>0.15226533989910901</v>
      </c>
      <c r="G3393">
        <v>6.6394006326339502E-2</v>
      </c>
      <c r="H3393">
        <v>4.2661644918482303E-2</v>
      </c>
      <c r="I3393">
        <v>3.8141188775902397E-2</v>
      </c>
      <c r="J3393">
        <v>4.8739226556467799E-2</v>
      </c>
      <c r="K3393">
        <v>3.93958181317259E-2</v>
      </c>
      <c r="L3393">
        <v>867.42684080777497</v>
      </c>
      <c r="M3393">
        <v>18.019803640064101</v>
      </c>
      <c r="N3393">
        <v>48.310920791218599</v>
      </c>
      <c r="O3393">
        <v>47.556329236906002</v>
      </c>
      <c r="P3393">
        <v>-9.1764731827913795E-2</v>
      </c>
      <c r="Q3393">
        <v>3.13369664527679E-2</v>
      </c>
      <c r="R3393">
        <v>0.93250760832781399</v>
      </c>
      <c r="S3393" t="s">
        <v>10199</v>
      </c>
      <c r="T3393" t="s">
        <v>13610</v>
      </c>
      <c r="U3393" t="s">
        <v>13610</v>
      </c>
      <c r="V3393" t="s">
        <v>13610</v>
      </c>
      <c r="W3393" t="s">
        <v>16948</v>
      </c>
      <c r="X3393">
        <v>13</v>
      </c>
      <c r="Y3393" t="s">
        <v>23568</v>
      </c>
      <c r="Z3393" t="s">
        <v>30248</v>
      </c>
      <c r="AA3393">
        <v>0.31116256489001082</v>
      </c>
      <c r="AB3393" t="str">
        <f>HYPERLINK("Melting_Curves/meltCurve_Q14790_9_CASP8.pdf", "Melting_Curves/meltCurve_Q14790_9_CASP8.pdf")</f>
        <v>Melting_Curves/meltCurve_Q14790_9_CASP8.pdf</v>
      </c>
    </row>
    <row r="3394" spans="1:28" x14ac:dyDescent="0.25">
      <c r="A3394" t="s">
        <v>3398</v>
      </c>
      <c r="B3394">
        <v>0.995954080203443</v>
      </c>
      <c r="C3394">
        <v>0.941572887078577</v>
      </c>
      <c r="D3394">
        <v>0.88638463062790196</v>
      </c>
      <c r="E3394">
        <v>0.64811358547883502</v>
      </c>
      <c r="F3394">
        <v>0.582155654934848</v>
      </c>
      <c r="G3394">
        <v>0.51952821108195302</v>
      </c>
      <c r="H3394">
        <v>0.52037418460721396</v>
      </c>
      <c r="I3394">
        <v>0.70326205419559595</v>
      </c>
      <c r="J3394">
        <v>0.65993775594614301</v>
      </c>
      <c r="K3394">
        <v>0.83334951347430897</v>
      </c>
      <c r="L3394">
        <v>2085.0945771441998</v>
      </c>
      <c r="M3394">
        <v>44.6232755053936</v>
      </c>
      <c r="O3394">
        <v>46.633062742234102</v>
      </c>
      <c r="P3394">
        <v>-8.7211874854359397E-2</v>
      </c>
      <c r="Q3394">
        <v>0.63544125003394403</v>
      </c>
      <c r="R3394">
        <v>0.71841165312462996</v>
      </c>
      <c r="S3394" t="s">
        <v>10200</v>
      </c>
      <c r="T3394" t="s">
        <v>13610</v>
      </c>
      <c r="U3394" t="s">
        <v>13610</v>
      </c>
      <c r="V3394" t="s">
        <v>13610</v>
      </c>
      <c r="W3394" t="s">
        <v>16949</v>
      </c>
      <c r="X3394">
        <v>5</v>
      </c>
      <c r="Y3394" t="s">
        <v>23569</v>
      </c>
      <c r="Z3394" t="s">
        <v>30249</v>
      </c>
      <c r="AA3394">
        <v>0.7181324742152505</v>
      </c>
      <c r="AB3394" t="str">
        <f>HYPERLINK("Melting_Curves/meltCurve_Q147X3_NAA30.pdf", "Melting_Curves/meltCurve_Q147X3_NAA30.pdf")</f>
        <v>Melting_Curves/meltCurve_Q147X3_NAA30.pdf</v>
      </c>
    </row>
    <row r="3395" spans="1:28" x14ac:dyDescent="0.25">
      <c r="A3395" t="s">
        <v>3399</v>
      </c>
      <c r="B3395">
        <v>0.995954080203443</v>
      </c>
      <c r="C3395">
        <v>0.85745756561305897</v>
      </c>
      <c r="D3395">
        <v>0.74755684731222805</v>
      </c>
      <c r="E3395">
        <v>0.68966650620664605</v>
      </c>
      <c r="F3395">
        <v>0.59054376693753796</v>
      </c>
      <c r="G3395">
        <v>0.41384063124187997</v>
      </c>
      <c r="H3395">
        <v>0.36484942093113198</v>
      </c>
      <c r="I3395">
        <v>0.40907707047180403</v>
      </c>
      <c r="J3395">
        <v>0.52904002594954902</v>
      </c>
      <c r="K3395">
        <v>0.499372256132458</v>
      </c>
      <c r="L3395">
        <v>631.35107150365604</v>
      </c>
      <c r="M3395">
        <v>13.264375911393699</v>
      </c>
      <c r="N3395">
        <v>56.017720007818603</v>
      </c>
      <c r="O3395">
        <v>46.554681021231602</v>
      </c>
      <c r="P3395">
        <v>-4.0471524445479697E-2</v>
      </c>
      <c r="Q3395">
        <v>0.43191261883612603</v>
      </c>
      <c r="R3395">
        <v>0.90677704722988195</v>
      </c>
      <c r="S3395" t="s">
        <v>10201</v>
      </c>
      <c r="T3395" t="s">
        <v>13610</v>
      </c>
      <c r="U3395" t="s">
        <v>13610</v>
      </c>
      <c r="V3395" t="s">
        <v>13610</v>
      </c>
      <c r="W3395" t="s">
        <v>16950</v>
      </c>
      <c r="X3395">
        <v>9</v>
      </c>
      <c r="Y3395" t="s">
        <v>23570</v>
      </c>
      <c r="Z3395" t="s">
        <v>30250</v>
      </c>
      <c r="AA3395">
        <v>0.59476097980812703</v>
      </c>
      <c r="AB3395" t="str">
        <f>HYPERLINK("Melting_Curves/meltCurve_Q14807_KIF22.pdf", "Melting_Curves/meltCurve_Q14807_KIF22.pdf")</f>
        <v>Melting_Curves/meltCurve_Q14807_KIF22.pdf</v>
      </c>
    </row>
    <row r="3396" spans="1:28" x14ac:dyDescent="0.25">
      <c r="A3396" t="s">
        <v>3400</v>
      </c>
      <c r="B3396">
        <v>0.995954080203443</v>
      </c>
      <c r="C3396">
        <v>1.0422518862668699</v>
      </c>
      <c r="D3396">
        <v>1.0007280216191401</v>
      </c>
      <c r="E3396">
        <v>0.89299249893365196</v>
      </c>
      <c r="F3396">
        <v>0.70022751709310505</v>
      </c>
      <c r="G3396">
        <v>0.34892206453130897</v>
      </c>
      <c r="H3396">
        <v>0.197955879254643</v>
      </c>
      <c r="I3396">
        <v>0.20453242559465401</v>
      </c>
      <c r="J3396">
        <v>0.176212824353774</v>
      </c>
      <c r="K3396">
        <v>0.21191497304460299</v>
      </c>
      <c r="L3396">
        <v>1430.3602823112001</v>
      </c>
      <c r="M3396">
        <v>26.494570493674601</v>
      </c>
      <c r="N3396">
        <v>54.9437920483374</v>
      </c>
      <c r="O3396">
        <v>53.682176417572798</v>
      </c>
      <c r="P3396">
        <v>-0.10058499304521</v>
      </c>
      <c r="Q3396">
        <v>0.18480449188317</v>
      </c>
      <c r="R3396">
        <v>0.99707812141263696</v>
      </c>
      <c r="S3396" t="s">
        <v>10202</v>
      </c>
      <c r="T3396" t="s">
        <v>13610</v>
      </c>
      <c r="U3396" t="s">
        <v>13610</v>
      </c>
      <c r="V3396" t="s">
        <v>13610</v>
      </c>
      <c r="W3396" t="s">
        <v>16951</v>
      </c>
      <c r="X3396">
        <v>7</v>
      </c>
      <c r="Y3396" t="s">
        <v>23571</v>
      </c>
      <c r="Z3396" t="s">
        <v>30251</v>
      </c>
      <c r="AA3396">
        <v>0.57165159101607033</v>
      </c>
      <c r="AB3396" t="str">
        <f>HYPERLINK("Melting_Curves/meltCurve_Q14814_4_MEF2D.pdf", "Melting_Curves/meltCurve_Q14814_4_MEF2D.pdf")</f>
        <v>Melting_Curves/meltCurve_Q14814_4_MEF2D.pdf</v>
      </c>
    </row>
    <row r="3397" spans="1:28" x14ac:dyDescent="0.25">
      <c r="A3397" t="s">
        <v>3401</v>
      </c>
      <c r="B3397">
        <v>0.995954080203443</v>
      </c>
      <c r="C3397">
        <v>0.88667242356515996</v>
      </c>
      <c r="D3397">
        <v>0.73900467660291302</v>
      </c>
      <c r="E3397">
        <v>0.40924757974978498</v>
      </c>
      <c r="F3397">
        <v>0.19908919683128601</v>
      </c>
      <c r="G3397">
        <v>0.11457723710956599</v>
      </c>
      <c r="H3397">
        <v>7.7130243923064098E-2</v>
      </c>
      <c r="I3397">
        <v>6.8021510094477003E-2</v>
      </c>
      <c r="J3397">
        <v>7.6881644187193704E-2</v>
      </c>
      <c r="K3397">
        <v>7.0933582747486998E-2</v>
      </c>
      <c r="L3397">
        <v>876.66997161541201</v>
      </c>
      <c r="M3397">
        <v>18.135123383307501</v>
      </c>
      <c r="N3397">
        <v>48.688066774040699</v>
      </c>
      <c r="O3397">
        <v>47.764702848690597</v>
      </c>
      <c r="P3397">
        <v>-8.9168045953646996E-2</v>
      </c>
      <c r="Q3397">
        <v>6.0633646437111402E-2</v>
      </c>
      <c r="R3397">
        <v>0.99843117161671902</v>
      </c>
      <c r="S3397" t="s">
        <v>10203</v>
      </c>
      <c r="T3397" t="s">
        <v>13610</v>
      </c>
      <c r="U3397" t="s">
        <v>13610</v>
      </c>
      <c r="V3397" t="s">
        <v>13610</v>
      </c>
      <c r="W3397" t="s">
        <v>16952</v>
      </c>
      <c r="X3397">
        <v>74</v>
      </c>
      <c r="Y3397" t="s">
        <v>23572</v>
      </c>
      <c r="Z3397" t="s">
        <v>30252</v>
      </c>
      <c r="AA3397">
        <v>0.33806528661647223</v>
      </c>
      <c r="AB3397" t="str">
        <f>HYPERLINK("Melting_Curves/meltCurve_Q14839_2_CHD4.pdf", "Melting_Curves/meltCurve_Q14839_2_CHD4.pdf")</f>
        <v>Melting_Curves/meltCurve_Q14839_2_CHD4.pdf</v>
      </c>
    </row>
    <row r="3398" spans="1:28" x14ac:dyDescent="0.25">
      <c r="A3398" t="s">
        <v>3402</v>
      </c>
      <c r="B3398">
        <v>0.995954080203443</v>
      </c>
      <c r="C3398">
        <v>0.92145265646456698</v>
      </c>
      <c r="D3398">
        <v>1.0755409898233901</v>
      </c>
      <c r="E3398">
        <v>0.86617231333609301</v>
      </c>
      <c r="F3398">
        <v>0.96601631179838798</v>
      </c>
      <c r="G3398">
        <v>0.79167688380660595</v>
      </c>
      <c r="H3398">
        <v>0.81600806902329204</v>
      </c>
      <c r="I3398">
        <v>1.0761124046113</v>
      </c>
      <c r="J3398">
        <v>1.2983748320014801</v>
      </c>
      <c r="K3398">
        <v>1.2317055691236001</v>
      </c>
      <c r="L3398">
        <v>15000</v>
      </c>
      <c r="M3398">
        <v>233.465952385544</v>
      </c>
      <c r="O3398">
        <v>64.244474386517695</v>
      </c>
      <c r="P3398">
        <v>0.24079647869572399</v>
      </c>
      <c r="Q3398">
        <v>1.2650467022552501</v>
      </c>
      <c r="R3398">
        <v>0.56957137538769698</v>
      </c>
      <c r="S3398" t="s">
        <v>10204</v>
      </c>
      <c r="T3398" t="s">
        <v>13610</v>
      </c>
      <c r="U3398" t="s">
        <v>13610</v>
      </c>
      <c r="V3398" t="s">
        <v>13610</v>
      </c>
      <c r="W3398" t="s">
        <v>16953</v>
      </c>
      <c r="X3398">
        <v>20</v>
      </c>
      <c r="Y3398" t="s">
        <v>23573</v>
      </c>
      <c r="Z3398" t="s">
        <v>30253</v>
      </c>
      <c r="AA3398">
        <v>1.0507734414307259</v>
      </c>
      <c r="AB3398" t="str">
        <f>HYPERLINK("Melting_Curves/meltCurve_Q14847_LASP1.pdf", "Melting_Curves/meltCurve_Q14847_LASP1.pdf")</f>
        <v>Melting_Curves/meltCurve_Q14847_LASP1.pdf</v>
      </c>
    </row>
    <row r="3399" spans="1:28" x14ac:dyDescent="0.25">
      <c r="A3399" t="s">
        <v>3403</v>
      </c>
      <c r="B3399">
        <v>0.995954080203443</v>
      </c>
      <c r="C3399">
        <v>0.64021749047170295</v>
      </c>
      <c r="D3399">
        <v>1.0962868929134799</v>
      </c>
      <c r="E3399">
        <v>0.81433214949271904</v>
      </c>
      <c r="F3399">
        <v>0.32893856064105698</v>
      </c>
      <c r="G3399">
        <v>0.110919175771945</v>
      </c>
      <c r="H3399">
        <v>7.0965056787814298E-2</v>
      </c>
      <c r="I3399">
        <v>6.2277742830488897E-2</v>
      </c>
      <c r="J3399">
        <v>6.1737988931242403E-2</v>
      </c>
      <c r="K3399">
        <v>5.4145867947399597E-2</v>
      </c>
      <c r="L3399">
        <v>2078.1561047444102</v>
      </c>
      <c r="M3399">
        <v>40.139220876124703</v>
      </c>
      <c r="N3399">
        <v>51.958259585545001</v>
      </c>
      <c r="O3399">
        <v>51.645704392023802</v>
      </c>
      <c r="P3399">
        <v>-0.18139216130174601</v>
      </c>
      <c r="Q3399">
        <v>6.6438778664937401E-2</v>
      </c>
      <c r="R3399">
        <v>0.91269846515233499</v>
      </c>
      <c r="S3399" t="s">
        <v>10205</v>
      </c>
      <c r="T3399" t="s">
        <v>13610</v>
      </c>
      <c r="U3399" t="s">
        <v>13610</v>
      </c>
      <c r="V3399" t="s">
        <v>13610</v>
      </c>
      <c r="W3399" t="s">
        <v>16954</v>
      </c>
      <c r="X3399">
        <v>11</v>
      </c>
      <c r="Y3399" t="s">
        <v>23574</v>
      </c>
      <c r="Z3399" t="s">
        <v>30254</v>
      </c>
      <c r="AA3399">
        <v>0.43613768548095128</v>
      </c>
      <c r="AB3399" t="str">
        <f>HYPERLINK("Melting_Curves/meltCurve_Q14914_2_PTGR1.pdf", "Melting_Curves/meltCurve_Q14914_2_PTGR1.pdf")</f>
        <v>Melting_Curves/meltCurve_Q14914_2_PTGR1.pdf</v>
      </c>
    </row>
    <row r="3400" spans="1:28" x14ac:dyDescent="0.25">
      <c r="A3400" t="s">
        <v>3404</v>
      </c>
      <c r="B3400">
        <v>0.995954080203443</v>
      </c>
      <c r="C3400">
        <v>0.95956345989837499</v>
      </c>
      <c r="D3400">
        <v>0.91603604779986703</v>
      </c>
      <c r="E3400">
        <v>0.86441805950820905</v>
      </c>
      <c r="F3400">
        <v>0.75663597315427999</v>
      </c>
      <c r="G3400">
        <v>0.49438985605278502</v>
      </c>
      <c r="H3400">
        <v>0.25901188875760101</v>
      </c>
      <c r="I3400">
        <v>0.15710895753505</v>
      </c>
      <c r="J3400">
        <v>0.16365954187291501</v>
      </c>
      <c r="K3400">
        <v>0.149218573806876</v>
      </c>
      <c r="L3400">
        <v>890.86197784705303</v>
      </c>
      <c r="M3400">
        <v>15.929530932001301</v>
      </c>
      <c r="N3400">
        <v>56.616699644267499</v>
      </c>
      <c r="O3400">
        <v>55.066088888919403</v>
      </c>
      <c r="P3400">
        <v>-6.5931894444820394E-2</v>
      </c>
      <c r="Q3400">
        <v>8.8404586406743799E-2</v>
      </c>
      <c r="R3400">
        <v>0.99315409342255401</v>
      </c>
      <c r="S3400" t="s">
        <v>10206</v>
      </c>
      <c r="T3400" t="s">
        <v>13610</v>
      </c>
      <c r="U3400" t="s">
        <v>13610</v>
      </c>
      <c r="V3400" t="s">
        <v>13610</v>
      </c>
      <c r="W3400" t="s">
        <v>16955</v>
      </c>
      <c r="X3400">
        <v>8</v>
      </c>
      <c r="Y3400" t="s">
        <v>23575</v>
      </c>
      <c r="Z3400" t="s">
        <v>30255</v>
      </c>
      <c r="AA3400">
        <v>0.58772575853472442</v>
      </c>
      <c r="AB3400" t="str">
        <f>HYPERLINK("Melting_Curves/meltCurve_Q14919_DRAP1.pdf", "Melting_Curves/meltCurve_Q14919_DRAP1.pdf")</f>
        <v>Melting_Curves/meltCurve_Q14919_DRAP1.pdf</v>
      </c>
    </row>
    <row r="3401" spans="1:28" x14ac:dyDescent="0.25">
      <c r="A3401" t="s">
        <v>3405</v>
      </c>
      <c r="B3401">
        <v>0.995954080203443</v>
      </c>
      <c r="C3401">
        <v>1.06310441049811</v>
      </c>
      <c r="D3401">
        <v>1.0461261113498299</v>
      </c>
      <c r="E3401">
        <v>0.986256000507165</v>
      </c>
      <c r="F3401">
        <v>1.0204541381879499</v>
      </c>
      <c r="G3401">
        <v>0.72256869629635101</v>
      </c>
      <c r="H3401">
        <v>0.64805275863188805</v>
      </c>
      <c r="I3401">
        <v>0.80513151295004004</v>
      </c>
      <c r="J3401">
        <v>0.90109272698115905</v>
      </c>
      <c r="K3401">
        <v>1.0367399599981799</v>
      </c>
      <c r="L3401">
        <v>6220.1576053090603</v>
      </c>
      <c r="M3401">
        <v>113.927236189667</v>
      </c>
      <c r="O3401">
        <v>54.580819087270399</v>
      </c>
      <c r="P3401">
        <v>-9.2401927393131397E-2</v>
      </c>
      <c r="Q3401">
        <v>0.82292653723227305</v>
      </c>
      <c r="R3401">
        <v>0.491182048221254</v>
      </c>
      <c r="S3401" t="s">
        <v>10207</v>
      </c>
      <c r="T3401" t="s">
        <v>13610</v>
      </c>
      <c r="U3401" t="s">
        <v>13610</v>
      </c>
      <c r="V3401" t="s">
        <v>13610</v>
      </c>
      <c r="W3401" t="s">
        <v>16956</v>
      </c>
      <c r="X3401">
        <v>3</v>
      </c>
      <c r="Y3401" t="s">
        <v>23576</v>
      </c>
      <c r="Z3401" t="s">
        <v>30256</v>
      </c>
      <c r="AA3401">
        <v>0.90917009683064454</v>
      </c>
      <c r="AB3401" t="str">
        <f>HYPERLINK("Melting_Curves/meltCurve_Q14934_8_NFATC4.pdf", "Melting_Curves/meltCurve_Q14934_8_NFATC4.pdf")</f>
        <v>Melting_Curves/meltCurve_Q14934_8_NFATC4.pdf</v>
      </c>
    </row>
    <row r="3402" spans="1:28" x14ac:dyDescent="0.25">
      <c r="A3402" t="s">
        <v>3406</v>
      </c>
      <c r="B3402">
        <v>0.995954080203443</v>
      </c>
      <c r="C3402">
        <v>0.95658628093291698</v>
      </c>
      <c r="D3402">
        <v>0.91228411584778002</v>
      </c>
      <c r="E3402">
        <v>0.824093193338856</v>
      </c>
      <c r="F3402">
        <v>0.60092781176231802</v>
      </c>
      <c r="G3402">
        <v>0.21154888628635499</v>
      </c>
      <c r="H3402">
        <v>5.8920869711707402E-2</v>
      </c>
      <c r="I3402">
        <v>3.9870028222875997E-2</v>
      </c>
      <c r="J3402">
        <v>4.43306511598619E-2</v>
      </c>
      <c r="K3402">
        <v>2.6680808830898399E-2</v>
      </c>
      <c r="L3402">
        <v>1158.6378030774699</v>
      </c>
      <c r="M3402">
        <v>21.592054359063901</v>
      </c>
      <c r="N3402">
        <v>53.722141134826003</v>
      </c>
      <c r="O3402">
        <v>53.206486055286298</v>
      </c>
      <c r="P3402">
        <v>-0.100212774384072</v>
      </c>
      <c r="Q3402">
        <v>1.2259008557521101E-2</v>
      </c>
      <c r="R3402">
        <v>0.99551342046900504</v>
      </c>
      <c r="S3402" t="s">
        <v>10208</v>
      </c>
      <c r="T3402" t="s">
        <v>13610</v>
      </c>
      <c r="U3402" t="s">
        <v>13610</v>
      </c>
      <c r="V3402" t="s">
        <v>13610</v>
      </c>
      <c r="W3402" t="s">
        <v>16957</v>
      </c>
      <c r="X3402">
        <v>3</v>
      </c>
      <c r="Y3402" t="s">
        <v>23577</v>
      </c>
      <c r="Z3402" t="s">
        <v>30257</v>
      </c>
      <c r="AA3402">
        <v>0.4738807045777288</v>
      </c>
      <c r="AB3402" t="str">
        <f>HYPERLINK("Melting_Curves/meltCurve_Q14964_RAB39A.pdf", "Melting_Curves/meltCurve_Q14964_RAB39A.pdf")</f>
        <v>Melting_Curves/meltCurve_Q14964_RAB39A.pdf</v>
      </c>
    </row>
    <row r="3403" spans="1:28" x14ac:dyDescent="0.25">
      <c r="A3403" t="s">
        <v>3407</v>
      </c>
      <c r="B3403">
        <v>0.995954080203443</v>
      </c>
      <c r="C3403">
        <v>1.00826515201792</v>
      </c>
      <c r="D3403">
        <v>1.00969517236618</v>
      </c>
      <c r="E3403">
        <v>0.93245545063943502</v>
      </c>
      <c r="F3403">
        <v>0.88716881136742198</v>
      </c>
      <c r="G3403">
        <v>0.64934751083239095</v>
      </c>
      <c r="H3403">
        <v>0.57931461518030702</v>
      </c>
      <c r="I3403">
        <v>0.66392346152758297</v>
      </c>
      <c r="J3403">
        <v>0.76897003884475501</v>
      </c>
      <c r="K3403">
        <v>0.74494803277131605</v>
      </c>
      <c r="L3403">
        <v>3702.1300819829899</v>
      </c>
      <c r="M3403">
        <v>69.307333035158393</v>
      </c>
      <c r="O3403">
        <v>53.3717146986735</v>
      </c>
      <c r="P3403">
        <v>-0.103631666105756</v>
      </c>
      <c r="Q3403">
        <v>0.68078420358325997</v>
      </c>
      <c r="R3403">
        <v>0.88228879009733396</v>
      </c>
      <c r="S3403" t="s">
        <v>10209</v>
      </c>
      <c r="T3403" t="s">
        <v>13610</v>
      </c>
      <c r="U3403" t="s">
        <v>13610</v>
      </c>
      <c r="V3403" t="s">
        <v>13610</v>
      </c>
      <c r="W3403" t="s">
        <v>16958</v>
      </c>
      <c r="X3403">
        <v>62</v>
      </c>
      <c r="Y3403" t="s">
        <v>23578</v>
      </c>
      <c r="Z3403" t="s">
        <v>30258</v>
      </c>
      <c r="AA3403">
        <v>0.82392937894910034</v>
      </c>
      <c r="AB3403" t="str">
        <f>HYPERLINK("Melting_Curves/meltCurve_Q14966_ZNF638.pdf", "Melting_Curves/meltCurve_Q14966_ZNF638.pdf")</f>
        <v>Melting_Curves/meltCurve_Q14966_ZNF638.pdf</v>
      </c>
    </row>
    <row r="3404" spans="1:28" x14ac:dyDescent="0.25">
      <c r="A3404" t="s">
        <v>3408</v>
      </c>
      <c r="B3404">
        <v>0.995954080203443</v>
      </c>
      <c r="C3404">
        <v>1.0787361734805501</v>
      </c>
      <c r="D3404">
        <v>0.674985852494838</v>
      </c>
      <c r="E3404">
        <v>0.58879718813982695</v>
      </c>
      <c r="F3404">
        <v>0.191703763770803</v>
      </c>
      <c r="G3404">
        <v>0.100762681794706</v>
      </c>
      <c r="H3404">
        <v>5.5945812017757397E-2</v>
      </c>
      <c r="I3404">
        <v>4.8395847000297899E-2</v>
      </c>
      <c r="J3404">
        <v>5.1633507660890497E-2</v>
      </c>
      <c r="K3404">
        <v>4.7832464832254999E-2</v>
      </c>
      <c r="L3404">
        <v>913.77073200509199</v>
      </c>
      <c r="M3404">
        <v>18.429805104264201</v>
      </c>
      <c r="N3404">
        <v>49.756252885336501</v>
      </c>
      <c r="O3404">
        <v>49.008463421705102</v>
      </c>
      <c r="P3404">
        <v>-9.1065306757672701E-2</v>
      </c>
      <c r="Q3404">
        <v>3.1401798322742903E-2</v>
      </c>
      <c r="R3404">
        <v>0.96546065667986503</v>
      </c>
      <c r="S3404" t="s">
        <v>10210</v>
      </c>
      <c r="T3404" t="s">
        <v>13610</v>
      </c>
      <c r="U3404" t="s">
        <v>13610</v>
      </c>
      <c r="V3404" t="s">
        <v>13610</v>
      </c>
      <c r="W3404" t="s">
        <v>16959</v>
      </c>
      <c r="X3404">
        <v>35</v>
      </c>
      <c r="Y3404" t="s">
        <v>23579</v>
      </c>
      <c r="Z3404" t="s">
        <v>30259</v>
      </c>
      <c r="AA3404">
        <v>0.35661370157566391</v>
      </c>
      <c r="AB3404" t="str">
        <f>HYPERLINK("Melting_Curves/meltCurve_Q14974_KPNB1.pdf", "Melting_Curves/meltCurve_Q14974_KPNB1.pdf")</f>
        <v>Melting_Curves/meltCurve_Q14974_KPNB1.pdf</v>
      </c>
    </row>
    <row r="3405" spans="1:28" x14ac:dyDescent="0.25">
      <c r="A3405" t="s">
        <v>3409</v>
      </c>
      <c r="B3405">
        <v>0.995954080203443</v>
      </c>
      <c r="C3405">
        <v>0.812905438588021</v>
      </c>
      <c r="D3405">
        <v>0.95036298457114599</v>
      </c>
      <c r="E3405">
        <v>0.75729982047674504</v>
      </c>
      <c r="F3405">
        <v>0.99816964878599801</v>
      </c>
      <c r="G3405">
        <v>0.84703340455820697</v>
      </c>
      <c r="H3405">
        <v>0.992952920494097</v>
      </c>
      <c r="I3405">
        <v>1.2775082932592201</v>
      </c>
      <c r="J3405">
        <v>2.1685826682004699</v>
      </c>
      <c r="K3405">
        <v>1.55963212427863</v>
      </c>
      <c r="L3405">
        <v>15000</v>
      </c>
      <c r="M3405">
        <v>234.596444637351</v>
      </c>
      <c r="O3405">
        <v>63.934942118335698</v>
      </c>
      <c r="P3405">
        <v>0.458662431162289</v>
      </c>
      <c r="Q3405">
        <v>1.5</v>
      </c>
      <c r="R3405">
        <v>0.66258805208183003</v>
      </c>
      <c r="S3405" t="s">
        <v>10211</v>
      </c>
      <c r="T3405" t="s">
        <v>13610</v>
      </c>
      <c r="U3405" t="s">
        <v>13610</v>
      </c>
      <c r="V3405" t="s">
        <v>13610</v>
      </c>
      <c r="W3405" t="s">
        <v>16960</v>
      </c>
      <c r="X3405">
        <v>26</v>
      </c>
      <c r="Y3405" t="s">
        <v>23580</v>
      </c>
      <c r="Z3405" t="s">
        <v>30260</v>
      </c>
      <c r="AA3405">
        <v>1.1009431496668269</v>
      </c>
      <c r="AB3405" t="str">
        <f>HYPERLINK("Melting_Curves/meltCurve_Q14978_3_NOLC1.pdf", "Melting_Curves/meltCurve_Q14978_3_NOLC1.pdf")</f>
        <v>Melting_Curves/meltCurve_Q14978_3_NOLC1.pdf</v>
      </c>
    </row>
    <row r="3406" spans="1:28" x14ac:dyDescent="0.25">
      <c r="A3406" t="s">
        <v>3410</v>
      </c>
      <c r="B3406">
        <v>0.995954080203443</v>
      </c>
      <c r="C3406">
        <v>0.95729173240063403</v>
      </c>
      <c r="D3406">
        <v>0.87969251379063995</v>
      </c>
      <c r="E3406">
        <v>0.90438686219145703</v>
      </c>
      <c r="F3406">
        <v>0.66179820856989602</v>
      </c>
      <c r="G3406">
        <v>0.38594032829084401</v>
      </c>
      <c r="H3406">
        <v>0.27582311345136801</v>
      </c>
      <c r="I3406">
        <v>0.207976466176997</v>
      </c>
      <c r="J3406">
        <v>0.24678247364169101</v>
      </c>
      <c r="K3406">
        <v>0.17673684426035499</v>
      </c>
      <c r="L3406">
        <v>1057.1260016235501</v>
      </c>
      <c r="M3406">
        <v>19.5884040971413</v>
      </c>
      <c r="N3406">
        <v>55.314744054825297</v>
      </c>
      <c r="O3406">
        <v>53.413923623356197</v>
      </c>
      <c r="P3406">
        <v>-7.4286380142343206E-2</v>
      </c>
      <c r="Q3406">
        <v>0.18976821741642799</v>
      </c>
      <c r="R3406">
        <v>0.98578956495097603</v>
      </c>
      <c r="S3406" t="s">
        <v>10212</v>
      </c>
      <c r="T3406" t="s">
        <v>13610</v>
      </c>
      <c r="U3406" t="s">
        <v>13610</v>
      </c>
      <c r="V3406" t="s">
        <v>13610</v>
      </c>
      <c r="W3406" t="s">
        <v>16961</v>
      </c>
      <c r="X3406">
        <v>150</v>
      </c>
      <c r="Y3406" t="s">
        <v>21121</v>
      </c>
      <c r="Z3406" t="s">
        <v>30261</v>
      </c>
      <c r="AA3406">
        <v>0.57837423261380616</v>
      </c>
      <c r="AB3406" t="str">
        <f>HYPERLINK("Melting_Curves/meltCurve_Q14980_NUMA1.pdf", "Melting_Curves/meltCurve_Q14980_NUMA1.pdf")</f>
        <v>Melting_Curves/meltCurve_Q14980_NUMA1.pdf</v>
      </c>
    </row>
    <row r="3407" spans="1:28" x14ac:dyDescent="0.25">
      <c r="A3407" t="s">
        <v>3411</v>
      </c>
      <c r="B3407">
        <v>0.995954080203443</v>
      </c>
      <c r="C3407">
        <v>0.979913085098709</v>
      </c>
      <c r="D3407">
        <v>1.0155044633555199</v>
      </c>
      <c r="E3407">
        <v>0.86573769192559702</v>
      </c>
      <c r="F3407">
        <v>0.66014116774739195</v>
      </c>
      <c r="G3407">
        <v>0.42164606120590498</v>
      </c>
      <c r="H3407">
        <v>0.34069415211583698</v>
      </c>
      <c r="I3407">
        <v>0.349819594599794</v>
      </c>
      <c r="J3407">
        <v>0.43501058458261699</v>
      </c>
      <c r="K3407">
        <v>0.38042863204085697</v>
      </c>
      <c r="L3407">
        <v>1557.3336108255701</v>
      </c>
      <c r="M3407">
        <v>29.651759554937598</v>
      </c>
      <c r="N3407">
        <v>55.063879615392104</v>
      </c>
      <c r="O3407">
        <v>52.283648798819897</v>
      </c>
      <c r="P3407">
        <v>-8.89161131621128E-2</v>
      </c>
      <c r="Q3407">
        <v>0.37287686275131898</v>
      </c>
      <c r="R3407">
        <v>0.98966571514438295</v>
      </c>
      <c r="S3407" t="s">
        <v>10213</v>
      </c>
      <c r="T3407" t="s">
        <v>13610</v>
      </c>
      <c r="U3407" t="s">
        <v>13610</v>
      </c>
      <c r="V3407" t="s">
        <v>13610</v>
      </c>
      <c r="W3407" t="s">
        <v>16962</v>
      </c>
      <c r="X3407">
        <v>149</v>
      </c>
      <c r="Y3407" t="s">
        <v>21121</v>
      </c>
      <c r="Z3407" t="s">
        <v>30262</v>
      </c>
      <c r="AA3407">
        <v>0.63874539888614756</v>
      </c>
      <c r="AB3407" t="str">
        <f>HYPERLINK("Melting_Curves/meltCurve_Q14980_2_NUMA1.pdf", "Melting_Curves/meltCurve_Q14980_2_NUMA1.pdf")</f>
        <v>Melting_Curves/meltCurve_Q14980_2_NUMA1.pdf</v>
      </c>
    </row>
    <row r="3408" spans="1:28" x14ac:dyDescent="0.25">
      <c r="A3408" t="s">
        <v>3412</v>
      </c>
      <c r="B3408">
        <v>0.995954080203443</v>
      </c>
      <c r="C3408">
        <v>0.87963395106545805</v>
      </c>
      <c r="D3408">
        <v>0.79295871684399</v>
      </c>
      <c r="E3408">
        <v>0.65220883955021303</v>
      </c>
      <c r="F3408">
        <v>0.46917227038147802</v>
      </c>
      <c r="G3408">
        <v>0.272003365718962</v>
      </c>
      <c r="H3408">
        <v>0.19190205941177799</v>
      </c>
      <c r="I3408">
        <v>0.19596561908283</v>
      </c>
      <c r="J3408">
        <v>0.21929339146301499</v>
      </c>
      <c r="K3408">
        <v>0.15660776263162501</v>
      </c>
      <c r="L3408">
        <v>636.90749604858604</v>
      </c>
      <c r="M3408">
        <v>12.543188700798099</v>
      </c>
      <c r="N3408">
        <v>52.069703170881901</v>
      </c>
      <c r="O3408">
        <v>49.538364815165103</v>
      </c>
      <c r="P3408">
        <v>-5.48434302508563E-2</v>
      </c>
      <c r="Q3408">
        <v>0.133776128306766</v>
      </c>
      <c r="R3408">
        <v>0.98960343163869702</v>
      </c>
      <c r="S3408" t="s">
        <v>10214</v>
      </c>
      <c r="T3408" t="s">
        <v>13610</v>
      </c>
      <c r="U3408" t="s">
        <v>13610</v>
      </c>
      <c r="V3408" t="s">
        <v>13610</v>
      </c>
      <c r="W3408" t="s">
        <v>16963</v>
      </c>
      <c r="X3408">
        <v>125</v>
      </c>
      <c r="Y3408" t="s">
        <v>21121</v>
      </c>
      <c r="Z3408" t="s">
        <v>30263</v>
      </c>
      <c r="AA3408">
        <v>0.47177086549607922</v>
      </c>
      <c r="AB3408" t="str">
        <f>HYPERLINK("Melting_Curves/meltCurve_Q14980_4_NUMA1.pdf", "Melting_Curves/meltCurve_Q14980_4_NUMA1.pdf")</f>
        <v>Melting_Curves/meltCurve_Q14980_4_NUMA1.pdf</v>
      </c>
    </row>
    <row r="3409" spans="1:28" x14ac:dyDescent="0.25">
      <c r="A3409" t="s">
        <v>3413</v>
      </c>
      <c r="B3409">
        <v>0.995954080203443</v>
      </c>
      <c r="C3409">
        <v>0.70899305715415495</v>
      </c>
      <c r="D3409">
        <v>0.485913598754114</v>
      </c>
      <c r="E3409">
        <v>0.83562997256273597</v>
      </c>
      <c r="F3409">
        <v>0.22958488593583201</v>
      </c>
      <c r="G3409">
        <v>0.118109453675869</v>
      </c>
      <c r="H3409">
        <v>8.3001172654326397E-2</v>
      </c>
      <c r="I3409">
        <v>8.6300277186278501E-2</v>
      </c>
      <c r="J3409">
        <v>0.107249591240641</v>
      </c>
      <c r="K3409">
        <v>9.2925443089486706E-2</v>
      </c>
      <c r="L3409">
        <v>468.72738386270998</v>
      </c>
      <c r="M3409">
        <v>9.5076346334844999</v>
      </c>
      <c r="N3409">
        <v>49.300104831429501</v>
      </c>
      <c r="O3409">
        <v>47.266920959403599</v>
      </c>
      <c r="P3409">
        <v>-5.0316590049433001E-2</v>
      </c>
      <c r="Q3409">
        <v>0</v>
      </c>
      <c r="R3409">
        <v>0.810675644167134</v>
      </c>
      <c r="S3409" t="s">
        <v>10215</v>
      </c>
      <c r="T3409" t="s">
        <v>13610</v>
      </c>
      <c r="U3409" t="s">
        <v>13610</v>
      </c>
      <c r="V3409" t="s">
        <v>13610</v>
      </c>
      <c r="W3409" t="s">
        <v>16964</v>
      </c>
      <c r="X3409">
        <v>39</v>
      </c>
      <c r="Y3409" t="s">
        <v>23581</v>
      </c>
      <c r="Z3409" t="s">
        <v>30264</v>
      </c>
      <c r="AA3409">
        <v>0.36133817549125508</v>
      </c>
      <c r="AB3409" t="str">
        <f>HYPERLINK("Melting_Curves/meltCurve_Q14997_PSME4.pdf", "Melting_Curves/meltCurve_Q14997_PSME4.pdf")</f>
        <v>Melting_Curves/meltCurve_Q14997_PSME4.pdf</v>
      </c>
    </row>
    <row r="3410" spans="1:28" x14ac:dyDescent="0.25">
      <c r="A3410" t="s">
        <v>3414</v>
      </c>
      <c r="B3410">
        <v>0.995954080203443</v>
      </c>
      <c r="C3410">
        <v>0.76730585982405597</v>
      </c>
      <c r="D3410">
        <v>0.73504680719799198</v>
      </c>
      <c r="E3410">
        <v>0.55405470028679904</v>
      </c>
      <c r="F3410">
        <v>0.47083242379921603</v>
      </c>
      <c r="G3410">
        <v>0.31769631603345799</v>
      </c>
      <c r="H3410">
        <v>0.251464175614032</v>
      </c>
      <c r="I3410">
        <v>0.28994849967659198</v>
      </c>
      <c r="J3410">
        <v>0.40767762442014399</v>
      </c>
      <c r="K3410">
        <v>0.30020270195786197</v>
      </c>
      <c r="L3410">
        <v>593.34869686342597</v>
      </c>
      <c r="M3410">
        <v>12.512366405313299</v>
      </c>
      <c r="N3410">
        <v>50.897313380377703</v>
      </c>
      <c r="O3410">
        <v>46.258589876335499</v>
      </c>
      <c r="P3410">
        <v>-4.8205695221671299E-2</v>
      </c>
      <c r="Q3410">
        <v>0.28727455100321297</v>
      </c>
      <c r="R3410">
        <v>0.94372196731326197</v>
      </c>
      <c r="S3410" t="s">
        <v>10216</v>
      </c>
      <c r="T3410" t="s">
        <v>13610</v>
      </c>
      <c r="U3410" t="s">
        <v>13610</v>
      </c>
      <c r="V3410" t="s">
        <v>13610</v>
      </c>
      <c r="W3410" t="s">
        <v>16965</v>
      </c>
      <c r="X3410">
        <v>3</v>
      </c>
      <c r="Y3410" t="s">
        <v>23582</v>
      </c>
      <c r="Z3410" t="s">
        <v>30265</v>
      </c>
      <c r="AA3410">
        <v>0.49045858333939019</v>
      </c>
      <c r="AB3410" t="str">
        <f>HYPERLINK("Melting_Curves/meltCurve_Q14BN4_2_SLMAP.pdf", "Melting_Curves/meltCurve_Q14BN4_2_SLMAP.pdf")</f>
        <v>Melting_Curves/meltCurve_Q14BN4_2_SLMAP.pdf</v>
      </c>
    </row>
    <row r="3411" spans="1:28" x14ac:dyDescent="0.25">
      <c r="A3411" t="s">
        <v>3415</v>
      </c>
      <c r="B3411">
        <v>0.995954080203443</v>
      </c>
      <c r="C3411">
        <v>0.94101945256931296</v>
      </c>
      <c r="D3411">
        <v>0.80562867838852703</v>
      </c>
      <c r="E3411">
        <v>0.57345660117508701</v>
      </c>
      <c r="F3411">
        <v>0.25215985122120499</v>
      </c>
      <c r="G3411">
        <v>0.13999703759603299</v>
      </c>
      <c r="H3411">
        <v>9.7896687180257402E-2</v>
      </c>
      <c r="I3411">
        <v>9.5921274418592398E-2</v>
      </c>
      <c r="J3411">
        <v>0.10783115284370801</v>
      </c>
      <c r="K3411">
        <v>9.8296749797088301E-2</v>
      </c>
      <c r="L3411">
        <v>961.10316341128305</v>
      </c>
      <c r="M3411">
        <v>19.335229494959101</v>
      </c>
      <c r="N3411">
        <v>50.177464336431903</v>
      </c>
      <c r="O3411">
        <v>49.184798884465302</v>
      </c>
      <c r="P3411">
        <v>-9.0139981588586798E-2</v>
      </c>
      <c r="Q3411">
        <v>8.28445254956202E-2</v>
      </c>
      <c r="R3411">
        <v>0.99414862729762499</v>
      </c>
      <c r="S3411" t="s">
        <v>10217</v>
      </c>
      <c r="T3411" t="s">
        <v>13610</v>
      </c>
      <c r="U3411" t="s">
        <v>13610</v>
      </c>
      <c r="V3411" t="s">
        <v>13610</v>
      </c>
      <c r="W3411" t="s">
        <v>16966</v>
      </c>
      <c r="X3411">
        <v>56</v>
      </c>
      <c r="Y3411" t="s">
        <v>23583</v>
      </c>
      <c r="Z3411" t="s">
        <v>30266</v>
      </c>
      <c r="AA3411">
        <v>0.39328000490682252</v>
      </c>
      <c r="AB3411" t="str">
        <f>HYPERLINK("Melting_Curves/meltCurve_Q14C86_6_GAPVD1.pdf", "Melting_Curves/meltCurve_Q14C86_6_GAPVD1.pdf")</f>
        <v>Melting_Curves/meltCurve_Q14C86_6_GAPVD1.pdf</v>
      </c>
    </row>
    <row r="3412" spans="1:28" x14ac:dyDescent="0.25">
      <c r="A3412" t="s">
        <v>3416</v>
      </c>
      <c r="B3412">
        <v>0.995954080203443</v>
      </c>
      <c r="C3412">
        <v>0.94380848380472004</v>
      </c>
      <c r="D3412">
        <v>0.80132038270528905</v>
      </c>
      <c r="E3412">
        <v>0.70191546083756995</v>
      </c>
      <c r="F3412">
        <v>0.53116053555342602</v>
      </c>
      <c r="G3412">
        <v>0.35006461796871802</v>
      </c>
      <c r="H3412">
        <v>0.28025188617082197</v>
      </c>
      <c r="I3412">
        <v>0.32726928277565198</v>
      </c>
      <c r="J3412">
        <v>0.45678727523108498</v>
      </c>
      <c r="K3412">
        <v>0.39015287683843303</v>
      </c>
      <c r="L3412">
        <v>820.41063393981904</v>
      </c>
      <c r="M3412">
        <v>16.5750234453904</v>
      </c>
      <c r="N3412">
        <v>53.2643442769511</v>
      </c>
      <c r="O3412">
        <v>48.793156500123096</v>
      </c>
      <c r="P3412">
        <v>-5.5613627816003999E-2</v>
      </c>
      <c r="Q3412">
        <v>0.34518845163087097</v>
      </c>
      <c r="R3412">
        <v>0.94855477720722003</v>
      </c>
      <c r="S3412" t="s">
        <v>10218</v>
      </c>
      <c r="T3412" t="s">
        <v>13610</v>
      </c>
      <c r="U3412" t="s">
        <v>13610</v>
      </c>
      <c r="V3412" t="s">
        <v>13610</v>
      </c>
      <c r="W3412" t="s">
        <v>16967</v>
      </c>
      <c r="X3412">
        <v>1</v>
      </c>
      <c r="Y3412" t="s">
        <v>23584</v>
      </c>
      <c r="Z3412" t="s">
        <v>30267</v>
      </c>
      <c r="AA3412">
        <v>0.56565589448773546</v>
      </c>
      <c r="AB3412" t="str">
        <f>HYPERLINK("Melting_Curves/meltCurve_Q14CM0_FRMPD4.pdf", "Melting_Curves/meltCurve_Q14CM0_FRMPD4.pdf")</f>
        <v>Melting_Curves/meltCurve_Q14CM0_FRMPD4.pdf</v>
      </c>
    </row>
    <row r="3413" spans="1:28" x14ac:dyDescent="0.25">
      <c r="A3413" t="s">
        <v>3417</v>
      </c>
      <c r="B3413">
        <v>0.995954080203443</v>
      </c>
      <c r="C3413">
        <v>0.92481173606071299</v>
      </c>
      <c r="D3413">
        <v>0.85314968022932802</v>
      </c>
      <c r="E3413">
        <v>0.76047156731269405</v>
      </c>
      <c r="F3413">
        <v>0.70808884256024696</v>
      </c>
      <c r="G3413">
        <v>0.49756498174063402</v>
      </c>
      <c r="H3413">
        <v>0.285185430944151</v>
      </c>
      <c r="I3413">
        <v>0.50529789080866205</v>
      </c>
      <c r="J3413">
        <v>0.66697494351745901</v>
      </c>
      <c r="K3413">
        <v>0.563828149402824</v>
      </c>
      <c r="L3413">
        <v>806.86871526663299</v>
      </c>
      <c r="M3413">
        <v>16.264026184210501</v>
      </c>
      <c r="O3413">
        <v>48.878810166106803</v>
      </c>
      <c r="P3413">
        <v>-4.1712146389070802E-2</v>
      </c>
      <c r="Q3413">
        <v>0.49860136271814798</v>
      </c>
      <c r="R3413">
        <v>0.77110474923387495</v>
      </c>
      <c r="S3413" t="s">
        <v>10219</v>
      </c>
      <c r="T3413" t="s">
        <v>13610</v>
      </c>
      <c r="U3413" t="s">
        <v>13610</v>
      </c>
      <c r="V3413" t="s">
        <v>13610</v>
      </c>
      <c r="W3413" t="s">
        <v>16968</v>
      </c>
      <c r="X3413">
        <v>7</v>
      </c>
      <c r="Y3413" t="s">
        <v>23585</v>
      </c>
      <c r="Z3413" t="s">
        <v>30268</v>
      </c>
      <c r="AA3413">
        <v>0.66965751088690673</v>
      </c>
      <c r="AB3413" t="str">
        <f>HYPERLINK("Melting_Curves/meltCurve_Q14CS0_UBXN2B.pdf", "Melting_Curves/meltCurve_Q14CS0_UBXN2B.pdf")</f>
        <v>Melting_Curves/meltCurve_Q14CS0_UBXN2B.pdf</v>
      </c>
    </row>
    <row r="3414" spans="1:28" x14ac:dyDescent="0.25">
      <c r="A3414" t="s">
        <v>3418</v>
      </c>
      <c r="B3414">
        <v>0.995954080203443</v>
      </c>
      <c r="C3414">
        <v>0.96424715482521395</v>
      </c>
      <c r="D3414">
        <v>0.92445393647293905</v>
      </c>
      <c r="E3414">
        <v>0.82721665698716396</v>
      </c>
      <c r="F3414">
        <v>0.23273120364497199</v>
      </c>
      <c r="G3414">
        <v>0.10311394313477799</v>
      </c>
      <c r="H3414">
        <v>5.95439282722173E-2</v>
      </c>
      <c r="I3414">
        <v>5.0481319144810702E-2</v>
      </c>
      <c r="J3414">
        <v>5.5074731316003801E-2</v>
      </c>
      <c r="K3414">
        <v>5.09279136761683E-2</v>
      </c>
      <c r="L3414">
        <v>2572.4640714718898</v>
      </c>
      <c r="M3414">
        <v>49.997003282735299</v>
      </c>
      <c r="N3414">
        <v>51.587778490187802</v>
      </c>
      <c r="O3414">
        <v>51.370258142193002</v>
      </c>
      <c r="P3414">
        <v>-0.22835432627256499</v>
      </c>
      <c r="Q3414">
        <v>6.14950346798167E-2</v>
      </c>
      <c r="R3414">
        <v>0.99525711338690503</v>
      </c>
      <c r="S3414" t="s">
        <v>10220</v>
      </c>
      <c r="T3414" t="s">
        <v>13610</v>
      </c>
      <c r="U3414" t="s">
        <v>13610</v>
      </c>
      <c r="V3414" t="s">
        <v>13610</v>
      </c>
      <c r="W3414" t="s">
        <v>16969</v>
      </c>
      <c r="X3414">
        <v>33</v>
      </c>
      <c r="Y3414" t="s">
        <v>23586</v>
      </c>
      <c r="Z3414" t="s">
        <v>30269</v>
      </c>
      <c r="AA3414">
        <v>0.4218952633423998</v>
      </c>
      <c r="AB3414" t="str">
        <f>HYPERLINK("Melting_Curves/meltCurve_Q14CX7_NAA25.pdf", "Melting_Curves/meltCurve_Q14CX7_NAA25.pdf")</f>
        <v>Melting_Curves/meltCurve_Q14CX7_NAA25.pdf</v>
      </c>
    </row>
    <row r="3415" spans="1:28" x14ac:dyDescent="0.25">
      <c r="A3415" t="s">
        <v>3419</v>
      </c>
      <c r="B3415">
        <v>0.995954080203443</v>
      </c>
      <c r="C3415">
        <v>0.72287584296465002</v>
      </c>
      <c r="D3415">
        <v>0.45384388253883201</v>
      </c>
      <c r="E3415">
        <v>0.29699278906785298</v>
      </c>
      <c r="F3415">
        <v>0.19028771148104701</v>
      </c>
      <c r="G3415">
        <v>0.11750933190328</v>
      </c>
      <c r="H3415">
        <v>9.4965977524386305E-2</v>
      </c>
      <c r="I3415">
        <v>0.102299176510183</v>
      </c>
      <c r="J3415">
        <v>0.12551870612577901</v>
      </c>
      <c r="K3415">
        <v>0.11996574211722499</v>
      </c>
      <c r="L3415">
        <v>807.77241598312196</v>
      </c>
      <c r="M3415">
        <v>17.8865479861898</v>
      </c>
      <c r="N3415">
        <v>45.816027155154998</v>
      </c>
      <c r="O3415">
        <v>44.607742876012701</v>
      </c>
      <c r="P3415">
        <v>-8.8936719657502397E-2</v>
      </c>
      <c r="Q3415">
        <v>0.112838174287925</v>
      </c>
      <c r="R3415">
        <v>0.98644764932368401</v>
      </c>
      <c r="S3415" t="s">
        <v>10221</v>
      </c>
      <c r="T3415" t="s">
        <v>13610</v>
      </c>
      <c r="U3415" t="s">
        <v>13610</v>
      </c>
      <c r="V3415" t="s">
        <v>13610</v>
      </c>
      <c r="W3415" t="s">
        <v>16970</v>
      </c>
      <c r="X3415">
        <v>25</v>
      </c>
      <c r="Y3415" t="s">
        <v>23587</v>
      </c>
      <c r="Z3415" t="s">
        <v>30270</v>
      </c>
      <c r="AA3415">
        <v>0.28452631794908168</v>
      </c>
      <c r="AB3415" t="str">
        <f>HYPERLINK("Melting_Curves/meltCurve_Q15003_NCAPH.pdf", "Melting_Curves/meltCurve_Q15003_NCAPH.pdf")</f>
        <v>Melting_Curves/meltCurve_Q15003_NCAPH.pdf</v>
      </c>
    </row>
    <row r="3416" spans="1:28" x14ac:dyDescent="0.25">
      <c r="A3416" t="s">
        <v>3420</v>
      </c>
      <c r="B3416">
        <v>0.995954080203443</v>
      </c>
      <c r="C3416">
        <v>0.94347550705348904</v>
      </c>
      <c r="D3416">
        <v>0.851140369992748</v>
      </c>
      <c r="E3416">
        <v>0.68920493720529696</v>
      </c>
      <c r="F3416">
        <v>0.223100629996936</v>
      </c>
      <c r="G3416">
        <v>0.12727298129588799</v>
      </c>
      <c r="H3416">
        <v>8.7568804590912902E-2</v>
      </c>
      <c r="I3416">
        <v>8.2340195023716103E-2</v>
      </c>
      <c r="J3416">
        <v>9.7013800786367399E-2</v>
      </c>
      <c r="K3416">
        <v>9.5791843185192294E-2</v>
      </c>
      <c r="L3416">
        <v>1576.5048766299899</v>
      </c>
      <c r="M3416">
        <v>31.107396746043499</v>
      </c>
      <c r="N3416">
        <v>50.989461890167803</v>
      </c>
      <c r="O3416">
        <v>50.471375218927498</v>
      </c>
      <c r="P3416">
        <v>-0.140808063369317</v>
      </c>
      <c r="Q3416">
        <v>8.6167850035730006E-2</v>
      </c>
      <c r="R3416">
        <v>0.985376609667593</v>
      </c>
      <c r="S3416" t="s">
        <v>10222</v>
      </c>
      <c r="T3416" t="s">
        <v>13610</v>
      </c>
      <c r="U3416" t="s">
        <v>13610</v>
      </c>
      <c r="V3416" t="s">
        <v>13610</v>
      </c>
      <c r="W3416" t="s">
        <v>16971</v>
      </c>
      <c r="X3416">
        <v>14</v>
      </c>
      <c r="Y3416" t="s">
        <v>23588</v>
      </c>
      <c r="Z3416" t="s">
        <v>30271</v>
      </c>
      <c r="AA3416">
        <v>0.41678818565265469</v>
      </c>
      <c r="AB3416" t="str">
        <f>HYPERLINK("Melting_Curves/meltCurve_Q15007_WTAP.pdf", "Melting_Curves/meltCurve_Q15007_WTAP.pdf")</f>
        <v>Melting_Curves/meltCurve_Q15007_WTAP.pdf</v>
      </c>
    </row>
    <row r="3417" spans="1:28" x14ac:dyDescent="0.25">
      <c r="A3417" t="s">
        <v>3421</v>
      </c>
      <c r="B3417">
        <v>0.995954080203443</v>
      </c>
      <c r="C3417">
        <v>0.674768835013419</v>
      </c>
      <c r="D3417">
        <v>0.477573534789484</v>
      </c>
      <c r="E3417">
        <v>0.59024577615305396</v>
      </c>
      <c r="F3417">
        <v>0.214399462904901</v>
      </c>
      <c r="G3417">
        <v>0.10752920841616501</v>
      </c>
      <c r="H3417">
        <v>5.3765492167749201E-2</v>
      </c>
      <c r="I3417">
        <v>4.1177467976466701E-2</v>
      </c>
      <c r="J3417">
        <v>4.3818917638721699E-2</v>
      </c>
      <c r="K3417">
        <v>4.07163730530955E-2</v>
      </c>
      <c r="L3417">
        <v>499.30171515808001</v>
      </c>
      <c r="M3417">
        <v>10.4801669690777</v>
      </c>
      <c r="N3417">
        <v>47.642535357118199</v>
      </c>
      <c r="O3417">
        <v>46.0059245433469</v>
      </c>
      <c r="P3417">
        <v>-5.6973244026376602E-2</v>
      </c>
      <c r="Q3417">
        <v>0</v>
      </c>
      <c r="R3417">
        <v>0.91888183170016102</v>
      </c>
      <c r="S3417" t="s">
        <v>10223</v>
      </c>
      <c r="T3417" t="s">
        <v>13610</v>
      </c>
      <c r="U3417" t="s">
        <v>13610</v>
      </c>
      <c r="V3417" t="s">
        <v>13610</v>
      </c>
      <c r="W3417" t="s">
        <v>13861</v>
      </c>
      <c r="X3417">
        <v>27</v>
      </c>
      <c r="Y3417" t="s">
        <v>20584</v>
      </c>
      <c r="Z3417" t="s">
        <v>30272</v>
      </c>
      <c r="AA3417">
        <v>0.30530927043930928</v>
      </c>
      <c r="AB3417" t="str">
        <f>HYPERLINK("Melting_Curves/meltCurve_Q15008_PSMD6.pdf", "Melting_Curves/meltCurve_Q15008_PSMD6.pdf")</f>
        <v>Melting_Curves/meltCurve_Q15008_PSMD6.pdf</v>
      </c>
    </row>
    <row r="3418" spans="1:28" x14ac:dyDescent="0.25">
      <c r="A3418" t="s">
        <v>3422</v>
      </c>
      <c r="B3418">
        <v>0.995954080203443</v>
      </c>
      <c r="C3418">
        <v>0.95882602311989995</v>
      </c>
      <c r="D3418">
        <v>0.863109757006568</v>
      </c>
      <c r="E3418">
        <v>0.54345008026561303</v>
      </c>
      <c r="F3418">
        <v>0.28478617080417401</v>
      </c>
      <c r="G3418">
        <v>0.15931765045094501</v>
      </c>
      <c r="H3418">
        <v>0.11824426037773</v>
      </c>
      <c r="I3418">
        <v>0.12268651110458401</v>
      </c>
      <c r="J3418">
        <v>0.13058040805226701</v>
      </c>
      <c r="K3418">
        <v>0.15048529741483099</v>
      </c>
      <c r="L3418">
        <v>1111.1485283546899</v>
      </c>
      <c r="M3418">
        <v>22.3758340693763</v>
      </c>
      <c r="N3418">
        <v>50.288394585662701</v>
      </c>
      <c r="O3418">
        <v>49.266891750498402</v>
      </c>
      <c r="P3418">
        <v>-9.9668415592173903E-2</v>
      </c>
      <c r="Q3418">
        <v>0.122222568517691</v>
      </c>
      <c r="R3418">
        <v>0.99849674987025505</v>
      </c>
      <c r="S3418" t="s">
        <v>10224</v>
      </c>
      <c r="T3418" t="s">
        <v>13610</v>
      </c>
      <c r="U3418" t="s">
        <v>13610</v>
      </c>
      <c r="V3418" t="s">
        <v>13610</v>
      </c>
      <c r="W3418" t="s">
        <v>16972</v>
      </c>
      <c r="X3418">
        <v>5</v>
      </c>
      <c r="Y3418" t="s">
        <v>23589</v>
      </c>
      <c r="Z3418" t="s">
        <v>30273</v>
      </c>
      <c r="AA3418">
        <v>0.41460285102031608</v>
      </c>
      <c r="AB3418" t="str">
        <f>HYPERLINK("Melting_Curves/meltCurve_Q15013_MAD2L1BP.pdf", "Melting_Curves/meltCurve_Q15013_MAD2L1BP.pdf")</f>
        <v>Melting_Curves/meltCurve_Q15013_MAD2L1BP.pdf</v>
      </c>
    </row>
    <row r="3419" spans="1:28" x14ac:dyDescent="0.25">
      <c r="A3419" t="s">
        <v>3423</v>
      </c>
      <c r="B3419">
        <v>0.995954080203443</v>
      </c>
      <c r="C3419">
        <v>1.0393935526209099</v>
      </c>
      <c r="D3419">
        <v>1.02405680961507</v>
      </c>
      <c r="E3419">
        <v>0.90532034189583699</v>
      </c>
      <c r="F3419">
        <v>0.684726990373419</v>
      </c>
      <c r="G3419">
        <v>0.37745773136066901</v>
      </c>
      <c r="H3419">
        <v>0.25175282539765498</v>
      </c>
      <c r="I3419">
        <v>0.26308847141351399</v>
      </c>
      <c r="J3419">
        <v>0.30730588344814702</v>
      </c>
      <c r="K3419">
        <v>0.292629361682755</v>
      </c>
      <c r="L3419">
        <v>1624.80528459476</v>
      </c>
      <c r="M3419">
        <v>30.418934312653999</v>
      </c>
      <c r="N3419">
        <v>54.856636412870998</v>
      </c>
      <c r="O3419">
        <v>53.185000507630903</v>
      </c>
      <c r="P3419">
        <v>-0.103623791659178</v>
      </c>
      <c r="Q3419">
        <v>0.27529354165470299</v>
      </c>
      <c r="R3419">
        <v>0.99466257589625395</v>
      </c>
      <c r="S3419" t="s">
        <v>10225</v>
      </c>
      <c r="T3419" t="s">
        <v>13610</v>
      </c>
      <c r="U3419" t="s">
        <v>13610</v>
      </c>
      <c r="V3419" t="s">
        <v>13610</v>
      </c>
      <c r="W3419" t="s">
        <v>16973</v>
      </c>
      <c r="X3419">
        <v>12</v>
      </c>
      <c r="Y3419" t="s">
        <v>23590</v>
      </c>
      <c r="Z3419" t="s">
        <v>30274</v>
      </c>
      <c r="AA3419">
        <v>0.60394066668713253</v>
      </c>
      <c r="AB3419" t="str">
        <f>HYPERLINK("Melting_Curves/meltCurve_Q15014_MORF4L2.pdf", "Melting_Curves/meltCurve_Q15014_MORF4L2.pdf")</f>
        <v>Melting_Curves/meltCurve_Q15014_MORF4L2.pdf</v>
      </c>
    </row>
    <row r="3420" spans="1:28" x14ac:dyDescent="0.25">
      <c r="A3420" t="s">
        <v>3424</v>
      </c>
      <c r="B3420">
        <v>0.995954080203443</v>
      </c>
      <c r="C3420">
        <v>0.81719062477527005</v>
      </c>
      <c r="D3420">
        <v>0.81163304734237496</v>
      </c>
      <c r="E3420">
        <v>0.793408725518299</v>
      </c>
      <c r="F3420">
        <v>0.70707234054536705</v>
      </c>
      <c r="G3420">
        <v>0.58209623268159005</v>
      </c>
      <c r="H3420">
        <v>0.33361665116358002</v>
      </c>
      <c r="I3420">
        <v>0.18124395977194699</v>
      </c>
      <c r="J3420">
        <v>0.113790706236995</v>
      </c>
      <c r="K3420">
        <v>0.118469519409133</v>
      </c>
      <c r="L3420">
        <v>562.12988580732201</v>
      </c>
      <c r="M3420">
        <v>9.92296517904696</v>
      </c>
      <c r="N3420">
        <v>56.6493909967812</v>
      </c>
      <c r="O3420">
        <v>54.492682103315602</v>
      </c>
      <c r="P3420">
        <v>-4.5547107950688101E-2</v>
      </c>
      <c r="Q3420">
        <v>0</v>
      </c>
      <c r="R3420">
        <v>0.94988303484311098</v>
      </c>
      <c r="S3420" t="s">
        <v>10226</v>
      </c>
      <c r="T3420" t="s">
        <v>13610</v>
      </c>
      <c r="U3420" t="s">
        <v>13610</v>
      </c>
      <c r="V3420" t="s">
        <v>13610</v>
      </c>
      <c r="W3420" t="s">
        <v>16974</v>
      </c>
      <c r="X3420">
        <v>16</v>
      </c>
      <c r="Y3420" t="s">
        <v>23591</v>
      </c>
      <c r="Z3420" t="s">
        <v>30275</v>
      </c>
      <c r="AA3420">
        <v>0.57264957352251611</v>
      </c>
      <c r="AB3420" t="str">
        <f>HYPERLINK("Melting_Curves/meltCurve_Q15018_FAM175B.pdf", "Melting_Curves/meltCurve_Q15018_FAM175B.pdf")</f>
        <v>Melting_Curves/meltCurve_Q15018_FAM175B.pdf</v>
      </c>
    </row>
    <row r="3421" spans="1:28" x14ac:dyDescent="0.25">
      <c r="A3421" t="s">
        <v>3425</v>
      </c>
      <c r="B3421">
        <v>0.995954080203443</v>
      </c>
      <c r="C3421">
        <v>0.86579728083361995</v>
      </c>
      <c r="D3421">
        <v>0.86010864465485004</v>
      </c>
      <c r="E3421">
        <v>0.87672623475103095</v>
      </c>
      <c r="F3421">
        <v>0.77770870978506002</v>
      </c>
      <c r="G3421">
        <v>0.48380789508952599</v>
      </c>
      <c r="H3421">
        <v>0.31254467499398603</v>
      </c>
      <c r="I3421">
        <v>0.19849374517858301</v>
      </c>
      <c r="J3421">
        <v>0.146328516573977</v>
      </c>
      <c r="K3421">
        <v>0.135612986614746</v>
      </c>
      <c r="L3421">
        <v>674.30578170919796</v>
      </c>
      <c r="M3421">
        <v>11.8054435271714</v>
      </c>
      <c r="N3421">
        <v>57.155241297203602</v>
      </c>
      <c r="O3421">
        <v>55.5531905284329</v>
      </c>
      <c r="P3421">
        <v>-5.2937918172989901E-2</v>
      </c>
      <c r="Q3421">
        <v>3.8101564957442602E-3</v>
      </c>
      <c r="R3421">
        <v>0.97416841666482601</v>
      </c>
      <c r="S3421" t="s">
        <v>10227</v>
      </c>
      <c r="T3421" t="s">
        <v>13610</v>
      </c>
      <c r="U3421" t="s">
        <v>13610</v>
      </c>
      <c r="V3421" t="s">
        <v>13610</v>
      </c>
      <c r="W3421" t="s">
        <v>16975</v>
      </c>
      <c r="X3421">
        <v>22</v>
      </c>
      <c r="Y3421" t="s">
        <v>23592</v>
      </c>
      <c r="Z3421" t="s">
        <v>30276</v>
      </c>
      <c r="AA3421">
        <v>0.58852073061410237</v>
      </c>
      <c r="AB3421" t="str">
        <f>HYPERLINK("Melting_Curves/meltCurve_Q15019_SEPT2.pdf", "Melting_Curves/meltCurve_Q15019_SEPT2.pdf")</f>
        <v>Melting_Curves/meltCurve_Q15019_SEPT2.pdf</v>
      </c>
    </row>
    <row r="3422" spans="1:28" x14ac:dyDescent="0.25">
      <c r="A3422" t="s">
        <v>3426</v>
      </c>
      <c r="B3422">
        <v>0.995954080203443</v>
      </c>
      <c r="C3422">
        <v>0.78919777350563602</v>
      </c>
      <c r="D3422">
        <v>0.62939449533647196</v>
      </c>
      <c r="E3422">
        <v>0.60919504771720001</v>
      </c>
      <c r="F3422">
        <v>0.242084751804437</v>
      </c>
      <c r="G3422">
        <v>0.140364402156646</v>
      </c>
      <c r="H3422">
        <v>0.109732932439178</v>
      </c>
      <c r="I3422">
        <v>0.119852305969399</v>
      </c>
      <c r="J3422">
        <v>0.135164265640623</v>
      </c>
      <c r="K3422">
        <v>0.13283361598888299</v>
      </c>
      <c r="L3422">
        <v>604.65796344544299</v>
      </c>
      <c r="M3422">
        <v>12.477045225175599</v>
      </c>
      <c r="N3422">
        <v>49.1164999599605</v>
      </c>
      <c r="O3422">
        <v>47.267287253363499</v>
      </c>
      <c r="P3422">
        <v>-6.0947810009100802E-2</v>
      </c>
      <c r="Q3422">
        <v>7.6627656983410897E-2</v>
      </c>
      <c r="R3422">
        <v>0.95296562156304898</v>
      </c>
      <c r="S3422" t="s">
        <v>10228</v>
      </c>
      <c r="T3422" t="s">
        <v>13610</v>
      </c>
      <c r="U3422" t="s">
        <v>13610</v>
      </c>
      <c r="V3422" t="s">
        <v>13610</v>
      </c>
      <c r="W3422" t="s">
        <v>16976</v>
      </c>
      <c r="X3422">
        <v>45</v>
      </c>
      <c r="Y3422" t="s">
        <v>20977</v>
      </c>
      <c r="Z3422" t="s">
        <v>30277</v>
      </c>
      <c r="AA3422">
        <v>0.3698315983083782</v>
      </c>
      <c r="AB3422" t="str">
        <f>HYPERLINK("Melting_Curves/meltCurve_Q15020_SART3.pdf", "Melting_Curves/meltCurve_Q15020_SART3.pdf")</f>
        <v>Melting_Curves/meltCurve_Q15020_SART3.pdf</v>
      </c>
    </row>
    <row r="3423" spans="1:28" x14ac:dyDescent="0.25">
      <c r="A3423" t="s">
        <v>3427</v>
      </c>
      <c r="B3423">
        <v>0.995954080203443</v>
      </c>
      <c r="C3423">
        <v>0.77917202687154596</v>
      </c>
      <c r="D3423">
        <v>0.40753321843875301</v>
      </c>
      <c r="E3423">
        <v>0.241627382622222</v>
      </c>
      <c r="F3423">
        <v>0.13363854997826499</v>
      </c>
      <c r="G3423">
        <v>8.1242552083923406E-2</v>
      </c>
      <c r="H3423">
        <v>5.9133671784999398E-2</v>
      </c>
      <c r="I3423">
        <v>5.7237272036655497E-2</v>
      </c>
      <c r="J3423">
        <v>6.7915018281159895E-2</v>
      </c>
      <c r="K3423">
        <v>6.0362251114872E-2</v>
      </c>
      <c r="L3423">
        <v>936.76673815398703</v>
      </c>
      <c r="M3423">
        <v>20.713830981088499</v>
      </c>
      <c r="N3423">
        <v>45.559180112950202</v>
      </c>
      <c r="O3423">
        <v>44.809041456165097</v>
      </c>
      <c r="P3423">
        <v>-0.10740722589191699</v>
      </c>
      <c r="Q3423">
        <v>7.0634797055361701E-2</v>
      </c>
      <c r="R3423">
        <v>0.99062578350186403</v>
      </c>
      <c r="S3423" t="s">
        <v>10229</v>
      </c>
      <c r="T3423" t="s">
        <v>13610</v>
      </c>
      <c r="U3423" t="s">
        <v>13610</v>
      </c>
      <c r="V3423" t="s">
        <v>13610</v>
      </c>
      <c r="W3423" t="s">
        <v>16977</v>
      </c>
      <c r="X3423">
        <v>40</v>
      </c>
      <c r="Y3423" t="s">
        <v>23593</v>
      </c>
      <c r="Z3423" t="s">
        <v>30278</v>
      </c>
      <c r="AA3423">
        <v>0.2466249220254281</v>
      </c>
      <c r="AB3423" t="str">
        <f>HYPERLINK("Melting_Curves/meltCurve_Q15021_NCAPD2.pdf", "Melting_Curves/meltCurve_Q15021_NCAPD2.pdf")</f>
        <v>Melting_Curves/meltCurve_Q15021_NCAPD2.pdf</v>
      </c>
    </row>
    <row r="3424" spans="1:28" x14ac:dyDescent="0.25">
      <c r="A3424" t="s">
        <v>3428</v>
      </c>
      <c r="B3424">
        <v>0.995954080203443</v>
      </c>
      <c r="C3424">
        <v>0.89944132294832801</v>
      </c>
      <c r="D3424">
        <v>0.80131997458158</v>
      </c>
      <c r="E3424">
        <v>0.88889056315230197</v>
      </c>
      <c r="F3424">
        <v>0.672710142599242</v>
      </c>
      <c r="G3424">
        <v>0.49363884351257498</v>
      </c>
      <c r="H3424">
        <v>0.247382838510294</v>
      </c>
      <c r="I3424">
        <v>0.123986853301983</v>
      </c>
      <c r="J3424">
        <v>9.1689362829418503E-2</v>
      </c>
      <c r="K3424">
        <v>7.9964306830699702E-2</v>
      </c>
      <c r="L3424">
        <v>715.583651969485</v>
      </c>
      <c r="M3424">
        <v>12.76521133984</v>
      </c>
      <c r="N3424">
        <v>56.057346511836698</v>
      </c>
      <c r="O3424">
        <v>54.735043375750401</v>
      </c>
      <c r="P3424">
        <v>-5.8315621166936601E-2</v>
      </c>
      <c r="Q3424">
        <v>0</v>
      </c>
      <c r="R3424">
        <v>0.97084876806116405</v>
      </c>
      <c r="S3424" t="s">
        <v>10230</v>
      </c>
      <c r="T3424" t="s">
        <v>13610</v>
      </c>
      <c r="U3424" t="s">
        <v>13610</v>
      </c>
      <c r="V3424" t="s">
        <v>13610</v>
      </c>
      <c r="W3424" t="s">
        <v>16978</v>
      </c>
      <c r="X3424">
        <v>15</v>
      </c>
      <c r="Y3424" t="s">
        <v>23594</v>
      </c>
      <c r="Z3424" t="s">
        <v>30279</v>
      </c>
      <c r="AA3424">
        <v>0.5549021913436275</v>
      </c>
      <c r="AB3424" t="str">
        <f>HYPERLINK("Melting_Curves/meltCurve_Q15024_EXOSC7.pdf", "Melting_Curves/meltCurve_Q15024_EXOSC7.pdf")</f>
        <v>Melting_Curves/meltCurve_Q15024_EXOSC7.pdf</v>
      </c>
    </row>
    <row r="3425" spans="1:28" x14ac:dyDescent="0.25">
      <c r="A3425" t="s">
        <v>3429</v>
      </c>
      <c r="B3425">
        <v>0.995954080203443</v>
      </c>
      <c r="C3425">
        <v>0.80074023698869001</v>
      </c>
      <c r="D3425">
        <v>0.74508528693683096</v>
      </c>
      <c r="E3425">
        <v>0.96973393457796597</v>
      </c>
      <c r="F3425">
        <v>0.98418774038215795</v>
      </c>
      <c r="G3425">
        <v>0.63634707372023802</v>
      </c>
      <c r="H3425">
        <v>0.243425178938312</v>
      </c>
      <c r="I3425">
        <v>0.10272635746846299</v>
      </c>
      <c r="J3425">
        <v>9.3904745898090197E-2</v>
      </c>
      <c r="K3425">
        <v>9.0379773952997206E-2</v>
      </c>
      <c r="L3425">
        <v>1867.61457756204</v>
      </c>
      <c r="M3425">
        <v>32.290559292947499</v>
      </c>
      <c r="N3425">
        <v>58.1592121148174</v>
      </c>
      <c r="O3425">
        <v>57.617320440996799</v>
      </c>
      <c r="P3425">
        <v>-0.128659415911727</v>
      </c>
      <c r="Q3425">
        <v>8.1716210478934598E-2</v>
      </c>
      <c r="R3425">
        <v>0.92271754820884799</v>
      </c>
      <c r="S3425" t="s">
        <v>10231</v>
      </c>
      <c r="T3425" t="s">
        <v>13610</v>
      </c>
      <c r="U3425" t="s">
        <v>13610</v>
      </c>
      <c r="V3425" t="s">
        <v>13610</v>
      </c>
      <c r="W3425" t="s">
        <v>16979</v>
      </c>
      <c r="X3425">
        <v>41</v>
      </c>
      <c r="Y3425" t="s">
        <v>23595</v>
      </c>
      <c r="Z3425" t="s">
        <v>30280</v>
      </c>
      <c r="AA3425">
        <v>0.63306529264968014</v>
      </c>
      <c r="AB3425" t="str">
        <f>HYPERLINK("Melting_Curves/meltCurve_Q15029_2_EFTUD2.pdf", "Melting_Curves/meltCurve_Q15029_2_EFTUD2.pdf")</f>
        <v>Melting_Curves/meltCurve_Q15029_2_EFTUD2.pdf</v>
      </c>
    </row>
    <row r="3426" spans="1:28" x14ac:dyDescent="0.25">
      <c r="A3426" t="s">
        <v>3430</v>
      </c>
      <c r="B3426">
        <v>0.995954080203443</v>
      </c>
      <c r="C3426">
        <v>0.9293085091287</v>
      </c>
      <c r="D3426">
        <v>0.88944148525022404</v>
      </c>
      <c r="E3426">
        <v>0.85343673858723401</v>
      </c>
      <c r="F3426">
        <v>0.722792674891514</v>
      </c>
      <c r="G3426">
        <v>0.46562498723511903</v>
      </c>
      <c r="H3426">
        <v>0.37628118447449999</v>
      </c>
      <c r="I3426">
        <v>0.42066069704444298</v>
      </c>
      <c r="J3426">
        <v>0.49647890958525098</v>
      </c>
      <c r="K3426">
        <v>0.47078538723388502</v>
      </c>
      <c r="L3426">
        <v>1179.7586933131099</v>
      </c>
      <c r="M3426">
        <v>22.5306759715968</v>
      </c>
      <c r="N3426">
        <v>57.320890106964903</v>
      </c>
      <c r="O3426">
        <v>51.955058704267699</v>
      </c>
      <c r="P3426">
        <v>-6.1928183929010699E-2</v>
      </c>
      <c r="Q3426">
        <v>0.42879342120439201</v>
      </c>
      <c r="R3426">
        <v>0.94693433269448701</v>
      </c>
      <c r="S3426" t="s">
        <v>10232</v>
      </c>
      <c r="T3426" t="s">
        <v>13610</v>
      </c>
      <c r="U3426" t="s">
        <v>13610</v>
      </c>
      <c r="V3426" t="s">
        <v>13610</v>
      </c>
      <c r="W3426" t="s">
        <v>16980</v>
      </c>
      <c r="X3426">
        <v>21</v>
      </c>
      <c r="Y3426" t="s">
        <v>23596</v>
      </c>
      <c r="Z3426" t="s">
        <v>30281</v>
      </c>
      <c r="AA3426">
        <v>0.6705371710004705</v>
      </c>
      <c r="AB3426" t="str">
        <f>HYPERLINK("Melting_Curves/meltCurve_Q15032_2_R3HDM1.pdf", "Melting_Curves/meltCurve_Q15032_2_R3HDM1.pdf")</f>
        <v>Melting_Curves/meltCurve_Q15032_2_R3HDM1.pdf</v>
      </c>
    </row>
    <row r="3427" spans="1:28" x14ac:dyDescent="0.25">
      <c r="A3427" t="s">
        <v>3431</v>
      </c>
      <c r="B3427">
        <v>0.995954080203443</v>
      </c>
      <c r="C3427">
        <v>0.77946504779510595</v>
      </c>
      <c r="D3427">
        <v>0.48063419470115099</v>
      </c>
      <c r="E3427">
        <v>0.27314105082871099</v>
      </c>
      <c r="F3427">
        <v>0.115060257168026</v>
      </c>
      <c r="G3427">
        <v>5.3270534814396697E-2</v>
      </c>
      <c r="H3427">
        <v>4.4098169363053101E-2</v>
      </c>
      <c r="I3427">
        <v>4.1105074439273602E-2</v>
      </c>
      <c r="J3427">
        <v>4.3686724850065098E-2</v>
      </c>
      <c r="K3427">
        <v>4.0420388901102298E-2</v>
      </c>
      <c r="L3427">
        <v>813.37551664000705</v>
      </c>
      <c r="M3427">
        <v>17.692565974561202</v>
      </c>
      <c r="N3427">
        <v>46.174703482283199</v>
      </c>
      <c r="O3427">
        <v>45.397480297938202</v>
      </c>
      <c r="P3427">
        <v>-9.3808454107692105E-2</v>
      </c>
      <c r="Q3427">
        <v>3.7235752165790503E-2</v>
      </c>
      <c r="R3427">
        <v>0.99308516431776495</v>
      </c>
      <c r="S3427" t="s">
        <v>10233</v>
      </c>
      <c r="T3427" t="s">
        <v>13610</v>
      </c>
      <c r="U3427" t="s">
        <v>13610</v>
      </c>
      <c r="V3427" t="s">
        <v>13610</v>
      </c>
      <c r="W3427" t="s">
        <v>16981</v>
      </c>
      <c r="X3427">
        <v>7</v>
      </c>
      <c r="Y3427" t="s">
        <v>23597</v>
      </c>
      <c r="Z3427" t="s">
        <v>30282</v>
      </c>
      <c r="AA3427">
        <v>0.24859911299655441</v>
      </c>
      <c r="AB3427" t="str">
        <f>HYPERLINK("Melting_Curves/meltCurve_Q15036_2_SNX17.pdf", "Melting_Curves/meltCurve_Q15036_2_SNX17.pdf")</f>
        <v>Melting_Curves/meltCurve_Q15036_2_SNX17.pdf</v>
      </c>
    </row>
    <row r="3428" spans="1:28" x14ac:dyDescent="0.25">
      <c r="A3428" t="s">
        <v>3432</v>
      </c>
      <c r="B3428">
        <v>0.995954080203443</v>
      </c>
      <c r="C3428">
        <v>0.83831550549451195</v>
      </c>
      <c r="D3428">
        <v>0.61413631146150305</v>
      </c>
      <c r="E3428">
        <v>0.33418000573624002</v>
      </c>
      <c r="F3428">
        <v>0.18108246861350899</v>
      </c>
      <c r="G3428">
        <v>0.108184984427277</v>
      </c>
      <c r="H3428">
        <v>7.30927219569842E-2</v>
      </c>
      <c r="I3428">
        <v>6.9841880064837006E-2</v>
      </c>
      <c r="J3428">
        <v>7.77083328820697E-2</v>
      </c>
      <c r="K3428">
        <v>7.1668176177609302E-2</v>
      </c>
      <c r="L3428">
        <v>802.24837383445197</v>
      </c>
      <c r="M3428">
        <v>17.0369796960209</v>
      </c>
      <c r="N3428">
        <v>47.470292055122897</v>
      </c>
      <c r="O3428">
        <v>46.4542395845654</v>
      </c>
      <c r="P3428">
        <v>-8.5824053995524494E-2</v>
      </c>
      <c r="Q3428">
        <v>6.4001260840080204E-2</v>
      </c>
      <c r="R3428">
        <v>0.99789927966008196</v>
      </c>
      <c r="S3428" t="s">
        <v>10234</v>
      </c>
      <c r="T3428" t="s">
        <v>13610</v>
      </c>
      <c r="U3428" t="s">
        <v>13610</v>
      </c>
      <c r="V3428" t="s">
        <v>13610</v>
      </c>
      <c r="W3428" t="s">
        <v>16982</v>
      </c>
      <c r="X3428">
        <v>30</v>
      </c>
      <c r="Y3428" t="s">
        <v>23598</v>
      </c>
      <c r="Z3428" t="s">
        <v>30283</v>
      </c>
      <c r="AA3428">
        <v>0.3045259476142802</v>
      </c>
      <c r="AB3428" t="str">
        <f>HYPERLINK("Melting_Curves/meltCurve_Q15042_RAB3GAP1.pdf", "Melting_Curves/meltCurve_Q15042_RAB3GAP1.pdf")</f>
        <v>Melting_Curves/meltCurve_Q15042_RAB3GAP1.pdf</v>
      </c>
    </row>
    <row r="3429" spans="1:28" x14ac:dyDescent="0.25">
      <c r="A3429" t="s">
        <v>3433</v>
      </c>
      <c r="B3429">
        <v>0.995954080203443</v>
      </c>
      <c r="C3429">
        <v>0.69568998709524299</v>
      </c>
      <c r="D3429">
        <v>0.59566871705706803</v>
      </c>
      <c r="E3429">
        <v>0.48176691746449801</v>
      </c>
      <c r="F3429">
        <v>0.245736697157591</v>
      </c>
      <c r="G3429">
        <v>0.123235586245536</v>
      </c>
      <c r="H3429">
        <v>7.4175525240377793E-2</v>
      </c>
      <c r="I3429">
        <v>6.1852372085429798E-2</v>
      </c>
      <c r="J3429">
        <v>6.4230645921744794E-2</v>
      </c>
      <c r="K3429">
        <v>6.1999150777532201E-2</v>
      </c>
      <c r="L3429">
        <v>527.56855791998998</v>
      </c>
      <c r="M3429">
        <v>11.0059807683696</v>
      </c>
      <c r="N3429">
        <v>48.021541242473802</v>
      </c>
      <c r="O3429">
        <v>46.433762521821102</v>
      </c>
      <c r="P3429">
        <v>-5.8692352684587702E-2</v>
      </c>
      <c r="Q3429">
        <v>9.8512576371559794E-3</v>
      </c>
      <c r="R3429">
        <v>0.97166190126605301</v>
      </c>
      <c r="S3429" t="s">
        <v>10235</v>
      </c>
      <c r="T3429" t="s">
        <v>13610</v>
      </c>
      <c r="U3429" t="s">
        <v>13610</v>
      </c>
      <c r="V3429" t="s">
        <v>13610</v>
      </c>
      <c r="W3429" t="s">
        <v>16983</v>
      </c>
      <c r="X3429">
        <v>32</v>
      </c>
      <c r="Y3429" t="s">
        <v>23599</v>
      </c>
      <c r="Z3429" t="s">
        <v>30284</v>
      </c>
      <c r="AA3429">
        <v>0.31689852338830538</v>
      </c>
      <c r="AB3429" t="str">
        <f>HYPERLINK("Melting_Curves/meltCurve_Q15046_KARS.pdf", "Melting_Curves/meltCurve_Q15046_KARS.pdf")</f>
        <v>Melting_Curves/meltCurve_Q15046_KARS.pdf</v>
      </c>
    </row>
    <row r="3430" spans="1:28" x14ac:dyDescent="0.25">
      <c r="A3430" t="s">
        <v>3434</v>
      </c>
      <c r="B3430">
        <v>0.995954080203443</v>
      </c>
      <c r="C3430">
        <v>0.96020646541863197</v>
      </c>
      <c r="D3430">
        <v>0.89771134650047801</v>
      </c>
      <c r="E3430">
        <v>0.67608851031898298</v>
      </c>
      <c r="F3430">
        <v>0.57905081326876995</v>
      </c>
      <c r="G3430">
        <v>0.42548509250628203</v>
      </c>
      <c r="H3430">
        <v>0.36129662154529102</v>
      </c>
      <c r="I3430">
        <v>0.38694842916795802</v>
      </c>
      <c r="J3430">
        <v>0.46756203272107</v>
      </c>
      <c r="K3430">
        <v>0.436478757442473</v>
      </c>
      <c r="L3430">
        <v>965.60712561996002</v>
      </c>
      <c r="M3430">
        <v>19.421073113656</v>
      </c>
      <c r="N3430">
        <v>54.383697708603698</v>
      </c>
      <c r="O3430">
        <v>49.201399474581002</v>
      </c>
      <c r="P3430">
        <v>-5.8671897747466999E-2</v>
      </c>
      <c r="Q3430">
        <v>0.405463422433541</v>
      </c>
      <c r="R3430">
        <v>0.98054126123596197</v>
      </c>
      <c r="S3430" t="s">
        <v>10236</v>
      </c>
      <c r="T3430" t="s">
        <v>13610</v>
      </c>
      <c r="U3430" t="s">
        <v>13610</v>
      </c>
      <c r="V3430" t="s">
        <v>13610</v>
      </c>
      <c r="W3430" t="s">
        <v>16984</v>
      </c>
      <c r="X3430">
        <v>21</v>
      </c>
      <c r="Y3430" t="s">
        <v>23600</v>
      </c>
      <c r="Z3430" t="s">
        <v>30285</v>
      </c>
      <c r="AA3430">
        <v>0.60686433376436244</v>
      </c>
      <c r="AB3430" t="str">
        <f>HYPERLINK("Melting_Curves/meltCurve_Q15047_3_SETDB1.pdf", "Melting_Curves/meltCurve_Q15047_3_SETDB1.pdf")</f>
        <v>Melting_Curves/meltCurve_Q15047_3_SETDB1.pdf</v>
      </c>
    </row>
    <row r="3431" spans="1:28" x14ac:dyDescent="0.25">
      <c r="A3431" t="s">
        <v>3435</v>
      </c>
      <c r="B3431">
        <v>0.995954080203443</v>
      </c>
      <c r="C3431">
        <v>0.769694972220485</v>
      </c>
      <c r="D3431">
        <v>0.41768378091061897</v>
      </c>
      <c r="E3431">
        <v>0.26949142090043898</v>
      </c>
      <c r="F3431">
        <v>0.139352932068699</v>
      </c>
      <c r="G3431">
        <v>8.1381500229498402E-2</v>
      </c>
      <c r="H3431">
        <v>5.0731564572618203E-2</v>
      </c>
      <c r="I3431">
        <v>3.3039754338173299E-2</v>
      </c>
      <c r="J3431">
        <v>3.88867156097484E-2</v>
      </c>
      <c r="K3431">
        <v>3.1300617564517401E-2</v>
      </c>
      <c r="L3431">
        <v>808.05075137444203</v>
      </c>
      <c r="M3431">
        <v>17.730438963766701</v>
      </c>
      <c r="N3431">
        <v>45.820160481732302</v>
      </c>
      <c r="O3431">
        <v>45.0063319588346</v>
      </c>
      <c r="P3431">
        <v>-9.4022904092867204E-2</v>
      </c>
      <c r="Q3431">
        <v>4.5392058870736302E-2</v>
      </c>
      <c r="R3431">
        <v>0.986731325043254</v>
      </c>
      <c r="S3431" t="s">
        <v>10237</v>
      </c>
      <c r="T3431" t="s">
        <v>13610</v>
      </c>
      <c r="U3431" t="s">
        <v>13610</v>
      </c>
      <c r="V3431" t="s">
        <v>13610</v>
      </c>
      <c r="W3431" t="s">
        <v>16985</v>
      </c>
      <c r="X3431">
        <v>6</v>
      </c>
      <c r="Y3431" t="s">
        <v>23601</v>
      </c>
      <c r="Z3431" t="s">
        <v>30286</v>
      </c>
      <c r="AA3431">
        <v>0.2428574928477486</v>
      </c>
      <c r="AB3431" t="str">
        <f>HYPERLINK("Melting_Curves/meltCurve_Q15048_LRRC14.pdf", "Melting_Curves/meltCurve_Q15048_LRRC14.pdf")</f>
        <v>Melting_Curves/meltCurve_Q15048_LRRC14.pdf</v>
      </c>
    </row>
    <row r="3432" spans="1:28" x14ac:dyDescent="0.25">
      <c r="A3432" t="s">
        <v>3436</v>
      </c>
      <c r="B3432">
        <v>0.995954080203443</v>
      </c>
      <c r="C3432">
        <v>0.86121653537591802</v>
      </c>
      <c r="D3432">
        <v>0.84470977628205202</v>
      </c>
      <c r="E3432">
        <v>0.62527564929481705</v>
      </c>
      <c r="F3432">
        <v>0.52039821892273497</v>
      </c>
      <c r="G3432">
        <v>0.33762312952368201</v>
      </c>
      <c r="H3432">
        <v>0.30535022743543999</v>
      </c>
      <c r="I3432">
        <v>0.343404636866743</v>
      </c>
      <c r="J3432">
        <v>0.43270577284046602</v>
      </c>
      <c r="K3432">
        <v>0.39841696943747201</v>
      </c>
      <c r="L3432">
        <v>791.524485676258</v>
      </c>
      <c r="M3432">
        <v>16.2360795516718</v>
      </c>
      <c r="N3432">
        <v>52.664509750218997</v>
      </c>
      <c r="O3432">
        <v>48.029397891334298</v>
      </c>
      <c r="P3432">
        <v>-5.4904091567387701E-2</v>
      </c>
      <c r="Q3432">
        <v>0.35038130483782698</v>
      </c>
      <c r="R3432">
        <v>0.95627558705427695</v>
      </c>
      <c r="S3432" t="s">
        <v>10238</v>
      </c>
      <c r="T3432" t="s">
        <v>13610</v>
      </c>
      <c r="U3432" t="s">
        <v>13610</v>
      </c>
      <c r="V3432" t="s">
        <v>13610</v>
      </c>
      <c r="W3432" t="s">
        <v>16986</v>
      </c>
      <c r="X3432">
        <v>16</v>
      </c>
      <c r="Y3432" t="s">
        <v>23602</v>
      </c>
      <c r="Z3432" t="s">
        <v>30287</v>
      </c>
      <c r="AA3432">
        <v>0.55376065667608687</v>
      </c>
      <c r="AB3432" t="str">
        <f>HYPERLINK("Melting_Curves/meltCurve_Q15050_RRS1.pdf", "Melting_Curves/meltCurve_Q15050_RRS1.pdf")</f>
        <v>Melting_Curves/meltCurve_Q15050_RRS1.pdf</v>
      </c>
    </row>
    <row r="3433" spans="1:28" x14ac:dyDescent="0.25">
      <c r="A3433" t="s">
        <v>3437</v>
      </c>
      <c r="B3433">
        <v>0.995954080203443</v>
      </c>
      <c r="C3433">
        <v>0.74785100453986897</v>
      </c>
      <c r="D3433">
        <v>0.40863604287948802</v>
      </c>
      <c r="E3433">
        <v>0.22027441666470099</v>
      </c>
      <c r="F3433">
        <v>8.7125215092617003E-2</v>
      </c>
      <c r="G3433">
        <v>5.0947227757279903E-2</v>
      </c>
      <c r="H3433">
        <v>2.76176723612362E-2</v>
      </c>
      <c r="I3433">
        <v>2.5700994307837999E-2</v>
      </c>
      <c r="J3433">
        <v>1.8175458720993201E-2</v>
      </c>
      <c r="K3433">
        <v>2.1858262502355501E-2</v>
      </c>
      <c r="L3433">
        <v>874.00335091877002</v>
      </c>
      <c r="M3433">
        <v>19.278953710033498</v>
      </c>
      <c r="N3433">
        <v>45.4723929566089</v>
      </c>
      <c r="O3433">
        <v>44.855267684818799</v>
      </c>
      <c r="P3433">
        <v>-0.10440575225977899</v>
      </c>
      <c r="Q3433">
        <v>2.8376376232222899E-2</v>
      </c>
      <c r="R3433">
        <v>0.99183827549872805</v>
      </c>
      <c r="S3433" t="s">
        <v>10239</v>
      </c>
      <c r="T3433" t="s">
        <v>13610</v>
      </c>
      <c r="U3433" t="s">
        <v>13610</v>
      </c>
      <c r="V3433" t="s">
        <v>13610</v>
      </c>
      <c r="W3433" t="s">
        <v>16987</v>
      </c>
      <c r="X3433">
        <v>3</v>
      </c>
      <c r="Y3433" t="s">
        <v>23603</v>
      </c>
      <c r="Z3433" t="s">
        <v>30288</v>
      </c>
      <c r="AA3433">
        <v>0.21843848684061401</v>
      </c>
      <c r="AB3433" t="str">
        <f>HYPERLINK("Melting_Curves/meltCurve_Q15051_IQCB1.pdf", "Melting_Curves/meltCurve_Q15051_IQCB1.pdf")</f>
        <v>Melting_Curves/meltCurve_Q15051_IQCB1.pdf</v>
      </c>
    </row>
    <row r="3434" spans="1:28" x14ac:dyDescent="0.25">
      <c r="A3434" t="s">
        <v>3438</v>
      </c>
      <c r="B3434">
        <v>0.995954080203443</v>
      </c>
      <c r="C3434">
        <v>0.97636690001196802</v>
      </c>
      <c r="D3434">
        <v>0.89867014691049496</v>
      </c>
      <c r="E3434">
        <v>0.67866011271218396</v>
      </c>
      <c r="F3434">
        <v>0.46261198807760401</v>
      </c>
      <c r="G3434">
        <v>0.33024554241169901</v>
      </c>
      <c r="H3434">
        <v>0.29416177900255103</v>
      </c>
      <c r="I3434">
        <v>0.32760976539890502</v>
      </c>
      <c r="J3434">
        <v>0.42647760395128897</v>
      </c>
      <c r="K3434">
        <v>0.377543337188808</v>
      </c>
      <c r="L3434">
        <v>1254.8625188823</v>
      </c>
      <c r="M3434">
        <v>25.1920647089994</v>
      </c>
      <c r="N3434">
        <v>52.250670954604502</v>
      </c>
      <c r="O3434">
        <v>49.5011296449266</v>
      </c>
      <c r="P3434">
        <v>-8.3244459296915999E-2</v>
      </c>
      <c r="Q3434">
        <v>0.345724064682981</v>
      </c>
      <c r="R3434">
        <v>0.98030478638393204</v>
      </c>
      <c r="S3434" t="s">
        <v>10240</v>
      </c>
      <c r="T3434" t="s">
        <v>13610</v>
      </c>
      <c r="U3434" t="s">
        <v>13610</v>
      </c>
      <c r="V3434" t="s">
        <v>13610</v>
      </c>
      <c r="W3434" t="s">
        <v>16988</v>
      </c>
      <c r="X3434">
        <v>19</v>
      </c>
      <c r="Y3434" t="s">
        <v>23604</v>
      </c>
      <c r="Z3434" t="s">
        <v>30289</v>
      </c>
      <c r="AA3434">
        <v>0.56545923115674379</v>
      </c>
      <c r="AB3434" t="str">
        <f>HYPERLINK("Melting_Curves/meltCurve_Q15052_ARHGEF6.pdf", "Melting_Curves/meltCurve_Q15052_ARHGEF6.pdf")</f>
        <v>Melting_Curves/meltCurve_Q15052_ARHGEF6.pdf</v>
      </c>
    </row>
    <row r="3435" spans="1:28" x14ac:dyDescent="0.25">
      <c r="A3435" t="s">
        <v>3439</v>
      </c>
      <c r="B3435">
        <v>0.995954080203443</v>
      </c>
      <c r="C3435">
        <v>1.1172563197529199</v>
      </c>
      <c r="D3435">
        <v>1.2223337040545099</v>
      </c>
      <c r="E3435">
        <v>1.07039463566918</v>
      </c>
      <c r="F3435">
        <v>1.09314700406892</v>
      </c>
      <c r="G3435">
        <v>0.91706804902705996</v>
      </c>
      <c r="H3435">
        <v>0.87921854677426503</v>
      </c>
      <c r="I3435">
        <v>1.0515685371849199</v>
      </c>
      <c r="J3435">
        <v>1.2460851020305499</v>
      </c>
      <c r="K3435">
        <v>1.3026534389043101</v>
      </c>
      <c r="L3435">
        <v>4808.877676436</v>
      </c>
      <c r="M3435">
        <v>73.333813667172706</v>
      </c>
      <c r="O3435">
        <v>65.5264670907697</v>
      </c>
      <c r="P3435">
        <v>8.4733099146933305E-2</v>
      </c>
      <c r="Q3435">
        <v>1.3028485135821399</v>
      </c>
      <c r="R3435">
        <v>0.42912447007463</v>
      </c>
      <c r="S3435" t="s">
        <v>10241</v>
      </c>
      <c r="T3435" t="s">
        <v>13610</v>
      </c>
      <c r="U3435" t="s">
        <v>13610</v>
      </c>
      <c r="V3435" t="s">
        <v>13610</v>
      </c>
      <c r="W3435" t="s">
        <v>16989</v>
      </c>
      <c r="X3435">
        <v>23</v>
      </c>
      <c r="Y3435" t="s">
        <v>23605</v>
      </c>
      <c r="Z3435" t="s">
        <v>30290</v>
      </c>
      <c r="AA3435">
        <v>1.044364714630329</v>
      </c>
      <c r="AB3435" t="str">
        <f>HYPERLINK("Melting_Curves/meltCurve_Q15056_EIF4H.pdf", "Melting_Curves/meltCurve_Q15056_EIF4H.pdf")</f>
        <v>Melting_Curves/meltCurve_Q15056_EIF4H.pdf</v>
      </c>
    </row>
    <row r="3436" spans="1:28" x14ac:dyDescent="0.25">
      <c r="A3436" t="s">
        <v>3440</v>
      </c>
      <c r="B3436">
        <v>0.995954080203443</v>
      </c>
      <c r="C3436">
        <v>0.95772800118613499</v>
      </c>
      <c r="D3436">
        <v>0.94262976534114096</v>
      </c>
      <c r="E3436">
        <v>0.82224700968708497</v>
      </c>
      <c r="F3436">
        <v>0.87597559603565001</v>
      </c>
      <c r="G3436">
        <v>0.63460341356605099</v>
      </c>
      <c r="H3436">
        <v>0.70239742407397099</v>
      </c>
      <c r="I3436">
        <v>0.82350409411946202</v>
      </c>
      <c r="J3436">
        <v>1.1887526235291801</v>
      </c>
      <c r="K3436">
        <v>1.01689079100192</v>
      </c>
      <c r="L3436">
        <v>1646.7754034764801</v>
      </c>
      <c r="M3436">
        <v>36.085764015014497</v>
      </c>
      <c r="O3436">
        <v>45.495576618980202</v>
      </c>
      <c r="P3436">
        <v>-2.6395554473207201E-2</v>
      </c>
      <c r="Q3436">
        <v>0.86688631895405199</v>
      </c>
      <c r="R3436">
        <v>8.7097224764484699E-2</v>
      </c>
      <c r="S3436" t="s">
        <v>10242</v>
      </c>
      <c r="T3436" t="s">
        <v>13610</v>
      </c>
      <c r="U3436" t="s">
        <v>13610</v>
      </c>
      <c r="V3436" t="s">
        <v>13610</v>
      </c>
      <c r="W3436" t="s">
        <v>16990</v>
      </c>
      <c r="X3436">
        <v>22</v>
      </c>
      <c r="Y3436" t="s">
        <v>23605</v>
      </c>
      <c r="Z3436" t="s">
        <v>30291</v>
      </c>
      <c r="AA3436">
        <v>0.89243220854518768</v>
      </c>
      <c r="AB3436" t="str">
        <f>HYPERLINK("Melting_Curves/meltCurve_Q15056_2_EIF4H.pdf", "Melting_Curves/meltCurve_Q15056_2_EIF4H.pdf")</f>
        <v>Melting_Curves/meltCurve_Q15056_2_EIF4H.pdf</v>
      </c>
    </row>
    <row r="3437" spans="1:28" x14ac:dyDescent="0.25">
      <c r="A3437" t="s">
        <v>3441</v>
      </c>
      <c r="B3437">
        <v>0.995954080203443</v>
      </c>
      <c r="C3437">
        <v>0.83805356148878796</v>
      </c>
      <c r="D3437">
        <v>0.76154511907155897</v>
      </c>
      <c r="E3437">
        <v>0.44707128411589497</v>
      </c>
      <c r="F3437">
        <v>0.26495844324433598</v>
      </c>
      <c r="G3437">
        <v>0.16820946635991901</v>
      </c>
      <c r="H3437">
        <v>0.130249331349619</v>
      </c>
      <c r="I3437">
        <v>0.13316165907425301</v>
      </c>
      <c r="J3437">
        <v>0.166946590349799</v>
      </c>
      <c r="K3437">
        <v>0.15192692977803501</v>
      </c>
      <c r="L3437">
        <v>817.98945508078396</v>
      </c>
      <c r="M3437">
        <v>16.980056944163199</v>
      </c>
      <c r="N3437">
        <v>49.032636143247601</v>
      </c>
      <c r="O3437">
        <v>47.5202776275449</v>
      </c>
      <c r="P3437">
        <v>-7.78418152447925E-2</v>
      </c>
      <c r="Q3437">
        <v>0.128663938284239</v>
      </c>
      <c r="R3437">
        <v>0.99158051282362902</v>
      </c>
      <c r="S3437" t="s">
        <v>10243</v>
      </c>
      <c r="T3437" t="s">
        <v>13610</v>
      </c>
      <c r="U3437" t="s">
        <v>13610</v>
      </c>
      <c r="V3437" t="s">
        <v>13610</v>
      </c>
      <c r="W3437" t="s">
        <v>16991</v>
      </c>
      <c r="X3437">
        <v>23</v>
      </c>
      <c r="Y3437" t="s">
        <v>23606</v>
      </c>
      <c r="Z3437" t="s">
        <v>30292</v>
      </c>
      <c r="AA3437">
        <v>0.38340546191068597</v>
      </c>
      <c r="AB3437" t="str">
        <f>HYPERLINK("Melting_Curves/meltCurve_Q15057_ACAP2.pdf", "Melting_Curves/meltCurve_Q15057_ACAP2.pdf")</f>
        <v>Melting_Curves/meltCurve_Q15057_ACAP2.pdf</v>
      </c>
    </row>
    <row r="3438" spans="1:28" x14ac:dyDescent="0.25">
      <c r="A3438" t="s">
        <v>3442</v>
      </c>
      <c r="B3438">
        <v>0.995954080203443</v>
      </c>
      <c r="C3438">
        <v>0.85489020039900798</v>
      </c>
      <c r="D3438">
        <v>0.60634088776343298</v>
      </c>
      <c r="E3438">
        <v>0.41384042443679903</v>
      </c>
      <c r="F3438">
        <v>0.21719818324142601</v>
      </c>
      <c r="G3438">
        <v>0.14053463619693099</v>
      </c>
      <c r="H3438">
        <v>0.108380731805438</v>
      </c>
      <c r="I3438">
        <v>0.108221311766227</v>
      </c>
      <c r="J3438">
        <v>0.125130469339468</v>
      </c>
      <c r="K3438">
        <v>0.11334539449490701</v>
      </c>
      <c r="L3438">
        <v>758.31105238755197</v>
      </c>
      <c r="M3438">
        <v>16.048687066634098</v>
      </c>
      <c r="N3438">
        <v>47.9178576420206</v>
      </c>
      <c r="O3438">
        <v>46.535261274783402</v>
      </c>
      <c r="P3438">
        <v>-7.7591214967758795E-2</v>
      </c>
      <c r="Q3438">
        <v>0.10012587125309701</v>
      </c>
      <c r="R3438">
        <v>0.99307433826928604</v>
      </c>
      <c r="S3438" t="s">
        <v>10244</v>
      </c>
      <c r="T3438" t="s">
        <v>13610</v>
      </c>
      <c r="U3438" t="s">
        <v>13610</v>
      </c>
      <c r="V3438" t="s">
        <v>13610</v>
      </c>
      <c r="W3438" t="s">
        <v>16992</v>
      </c>
      <c r="X3438">
        <v>29</v>
      </c>
      <c r="Y3438" t="s">
        <v>23607</v>
      </c>
      <c r="Z3438" t="s">
        <v>30293</v>
      </c>
      <c r="AA3438">
        <v>0.33855916060828117</v>
      </c>
      <c r="AB3438" t="str">
        <f>HYPERLINK("Melting_Curves/meltCurve_Q15058_KIF14.pdf", "Melting_Curves/meltCurve_Q15058_KIF14.pdf")</f>
        <v>Melting_Curves/meltCurve_Q15058_KIF14.pdf</v>
      </c>
    </row>
    <row r="3439" spans="1:28" x14ac:dyDescent="0.25">
      <c r="A3439" t="s">
        <v>3443</v>
      </c>
      <c r="B3439">
        <v>0.995954080203443</v>
      </c>
      <c r="C3439">
        <v>1.0330741378408199</v>
      </c>
      <c r="D3439">
        <v>1.04408230117024</v>
      </c>
      <c r="E3439">
        <v>0.904612331675401</v>
      </c>
      <c r="F3439">
        <v>0.66916738134425102</v>
      </c>
      <c r="G3439">
        <v>0.42182779824972699</v>
      </c>
      <c r="H3439">
        <v>0.35130754965523098</v>
      </c>
      <c r="I3439">
        <v>0.39979408380563303</v>
      </c>
      <c r="J3439">
        <v>0.47187423994789401</v>
      </c>
      <c r="K3439">
        <v>0.472087360802321</v>
      </c>
      <c r="L3439">
        <v>2030.9934275519499</v>
      </c>
      <c r="M3439">
        <v>38.7009424909619</v>
      </c>
      <c r="N3439">
        <v>55.0695226441701</v>
      </c>
      <c r="O3439">
        <v>52.339640886245299</v>
      </c>
      <c r="P3439">
        <v>-0.10739720082903199</v>
      </c>
      <c r="Q3439">
        <v>0.419020093381402</v>
      </c>
      <c r="R3439">
        <v>0.97941096985880105</v>
      </c>
      <c r="S3439" t="s">
        <v>10245</v>
      </c>
      <c r="T3439" t="s">
        <v>13610</v>
      </c>
      <c r="U3439" t="s">
        <v>13610</v>
      </c>
      <c r="V3439" t="s">
        <v>13610</v>
      </c>
      <c r="W3439" t="s">
        <v>16993</v>
      </c>
      <c r="X3439">
        <v>24</v>
      </c>
      <c r="Y3439" t="s">
        <v>23608</v>
      </c>
      <c r="Z3439" t="s">
        <v>30294</v>
      </c>
      <c r="AA3439">
        <v>0.66294205337111001</v>
      </c>
      <c r="AB3439" t="str">
        <f>HYPERLINK("Melting_Curves/meltCurve_Q15059_BRD3.pdf", "Melting_Curves/meltCurve_Q15059_BRD3.pdf")</f>
        <v>Melting_Curves/meltCurve_Q15059_BRD3.pdf</v>
      </c>
    </row>
    <row r="3440" spans="1:28" x14ac:dyDescent="0.25">
      <c r="A3440" t="s">
        <v>3444</v>
      </c>
      <c r="B3440">
        <v>0.995954080203443</v>
      </c>
      <c r="C3440">
        <v>0.96782466998774896</v>
      </c>
      <c r="D3440">
        <v>0.921303301053083</v>
      </c>
      <c r="E3440">
        <v>0.78438570913154604</v>
      </c>
      <c r="F3440">
        <v>0.67280077658632198</v>
      </c>
      <c r="G3440">
        <v>0.41674697464386601</v>
      </c>
      <c r="H3440">
        <v>0.20957734249264001</v>
      </c>
      <c r="I3440">
        <v>0.102930671102976</v>
      </c>
      <c r="J3440">
        <v>8.7492155801402599E-2</v>
      </c>
      <c r="K3440">
        <v>8.9326774861073002E-2</v>
      </c>
      <c r="L3440">
        <v>746.04070752294001</v>
      </c>
      <c r="M3440">
        <v>13.4864190438772</v>
      </c>
      <c r="N3440">
        <v>55.3315943431584</v>
      </c>
      <c r="O3440">
        <v>54.144156217846998</v>
      </c>
      <c r="P3440">
        <v>-6.2176704862441E-2</v>
      </c>
      <c r="Q3440">
        <v>1.6653493612538801E-3</v>
      </c>
      <c r="R3440">
        <v>0.99654840979870996</v>
      </c>
      <c r="S3440" t="s">
        <v>10246</v>
      </c>
      <c r="T3440" t="s">
        <v>13610</v>
      </c>
      <c r="U3440" t="s">
        <v>13610</v>
      </c>
      <c r="V3440" t="s">
        <v>13610</v>
      </c>
      <c r="W3440" t="s">
        <v>16994</v>
      </c>
      <c r="X3440">
        <v>14</v>
      </c>
      <c r="Y3440" t="s">
        <v>23609</v>
      </c>
      <c r="Z3440" t="s">
        <v>30295</v>
      </c>
      <c r="AA3440">
        <v>0.5321138267707457</v>
      </c>
      <c r="AB3440" t="str">
        <f>HYPERLINK("Melting_Curves/meltCurve_Q15061_WDR43.pdf", "Melting_Curves/meltCurve_Q15061_WDR43.pdf")</f>
        <v>Melting_Curves/meltCurve_Q15061_WDR43.pdf</v>
      </c>
    </row>
    <row r="3441" spans="1:28" x14ac:dyDescent="0.25">
      <c r="A3441" t="s">
        <v>3445</v>
      </c>
      <c r="B3441">
        <v>0.995954080203443</v>
      </c>
      <c r="C3441">
        <v>0.90044111574012897</v>
      </c>
      <c r="D3441">
        <v>0.63281952321041801</v>
      </c>
      <c r="E3441">
        <v>0.59446352809760294</v>
      </c>
      <c r="F3441">
        <v>0.43076943506133403</v>
      </c>
      <c r="G3441">
        <v>0.26646286060310198</v>
      </c>
      <c r="H3441">
        <v>0.189154974931695</v>
      </c>
      <c r="I3441">
        <v>0.14224682865605601</v>
      </c>
      <c r="J3441">
        <v>0.12434319742359499</v>
      </c>
      <c r="K3441">
        <v>8.7146136128393697E-2</v>
      </c>
      <c r="L3441">
        <v>498.746007029829</v>
      </c>
      <c r="M3441">
        <v>9.8415859444883491</v>
      </c>
      <c r="N3441">
        <v>51.058658130624302</v>
      </c>
      <c r="O3441">
        <v>48.718044101634703</v>
      </c>
      <c r="P3441">
        <v>-4.8738847034038198E-2</v>
      </c>
      <c r="Q3441">
        <v>3.5426045274319702E-2</v>
      </c>
      <c r="R3441">
        <v>0.98035864741234602</v>
      </c>
      <c r="S3441" t="s">
        <v>10247</v>
      </c>
      <c r="T3441" t="s">
        <v>13610</v>
      </c>
      <c r="U3441" t="s">
        <v>13610</v>
      </c>
      <c r="V3441" t="s">
        <v>13610</v>
      </c>
      <c r="W3441" t="s">
        <v>16995</v>
      </c>
      <c r="X3441">
        <v>2</v>
      </c>
      <c r="Y3441" t="s">
        <v>23610</v>
      </c>
      <c r="Z3441" t="s">
        <v>30296</v>
      </c>
      <c r="AA3441">
        <v>0.42081429319268349</v>
      </c>
      <c r="AB3441" t="str">
        <f>HYPERLINK("Melting_Curves/meltCurve_Q15067_2_ACOX1.pdf", "Melting_Curves/meltCurve_Q15067_2_ACOX1.pdf")</f>
        <v>Melting_Curves/meltCurve_Q15067_2_ACOX1.pdf</v>
      </c>
    </row>
    <row r="3442" spans="1:28" x14ac:dyDescent="0.25">
      <c r="A3442" t="s">
        <v>3446</v>
      </c>
      <c r="B3442">
        <v>0.995954080203443</v>
      </c>
      <c r="C3442">
        <v>0.99435815755162305</v>
      </c>
      <c r="D3442">
        <v>1.0407192026172001</v>
      </c>
      <c r="E3442">
        <v>0.93258615281496005</v>
      </c>
      <c r="F3442">
        <v>0.82009611541324701</v>
      </c>
      <c r="G3442">
        <v>0.55104430608854904</v>
      </c>
      <c r="H3442">
        <v>0.44299059290085302</v>
      </c>
      <c r="I3442">
        <v>0.49774035054292098</v>
      </c>
      <c r="J3442">
        <v>0.646740606770416</v>
      </c>
      <c r="K3442">
        <v>0.55434064384220705</v>
      </c>
      <c r="L3442">
        <v>2252.2406490338599</v>
      </c>
      <c r="M3442">
        <v>42.151161145653496</v>
      </c>
      <c r="O3442">
        <v>53.312630045455798</v>
      </c>
      <c r="P3442">
        <v>-9.2363973279222605E-2</v>
      </c>
      <c r="Q3442">
        <v>0.53271440817029903</v>
      </c>
      <c r="R3442">
        <v>0.94450923513051899</v>
      </c>
      <c r="S3442" t="s">
        <v>10248</v>
      </c>
      <c r="T3442" t="s">
        <v>13610</v>
      </c>
      <c r="U3442" t="s">
        <v>13610</v>
      </c>
      <c r="V3442" t="s">
        <v>13610</v>
      </c>
      <c r="W3442" t="s">
        <v>16996</v>
      </c>
      <c r="X3442">
        <v>3</v>
      </c>
      <c r="Y3442" t="s">
        <v>23611</v>
      </c>
      <c r="Z3442" t="s">
        <v>30297</v>
      </c>
      <c r="AA3442">
        <v>0.74349267158262244</v>
      </c>
      <c r="AB3442" t="str">
        <f>HYPERLINK("Melting_Curves/meltCurve_Q15072_ZNF146.pdf", "Melting_Curves/meltCurve_Q15072_ZNF146.pdf")</f>
        <v>Melting_Curves/meltCurve_Q15072_ZNF146.pdf</v>
      </c>
    </row>
    <row r="3443" spans="1:28" x14ac:dyDescent="0.25">
      <c r="A3443" t="s">
        <v>3447</v>
      </c>
      <c r="B3443">
        <v>0.995954080203443</v>
      </c>
      <c r="C3443">
        <v>1.0604723525855999</v>
      </c>
      <c r="D3443">
        <v>1.08402767715022</v>
      </c>
      <c r="E3443">
        <v>0.98419441247489103</v>
      </c>
      <c r="F3443">
        <v>0.88349343866228203</v>
      </c>
      <c r="G3443">
        <v>0.73686161798011596</v>
      </c>
      <c r="H3443">
        <v>0.618968493062379</v>
      </c>
      <c r="I3443">
        <v>0.637025279170921</v>
      </c>
      <c r="J3443">
        <v>0.74623654360891201</v>
      </c>
      <c r="K3443">
        <v>0.68315423853676804</v>
      </c>
      <c r="L3443">
        <v>1943.1160762606701</v>
      </c>
      <c r="M3443">
        <v>35.980848301221997</v>
      </c>
      <c r="O3443">
        <v>53.838176978832699</v>
      </c>
      <c r="P3443">
        <v>-5.4501271329671801E-2</v>
      </c>
      <c r="Q3443">
        <v>0.67379983855218695</v>
      </c>
      <c r="R3443">
        <v>0.92517639628076997</v>
      </c>
      <c r="S3443" t="s">
        <v>10249</v>
      </c>
      <c r="T3443" t="s">
        <v>13610</v>
      </c>
      <c r="U3443" t="s">
        <v>13610</v>
      </c>
      <c r="V3443" t="s">
        <v>13610</v>
      </c>
      <c r="W3443" t="s">
        <v>16997</v>
      </c>
      <c r="X3443">
        <v>103</v>
      </c>
      <c r="Y3443" t="s">
        <v>23612</v>
      </c>
      <c r="Z3443" t="s">
        <v>30298</v>
      </c>
      <c r="AA3443">
        <v>0.82757258101785958</v>
      </c>
      <c r="AB3443" t="str">
        <f>HYPERLINK("Melting_Curves/meltCurve_Q15075_EEA1.pdf", "Melting_Curves/meltCurve_Q15075_EEA1.pdf")</f>
        <v>Melting_Curves/meltCurve_Q15075_EEA1.pdf</v>
      </c>
    </row>
    <row r="3444" spans="1:28" x14ac:dyDescent="0.25">
      <c r="A3444" t="s">
        <v>3448</v>
      </c>
      <c r="B3444">
        <v>0.995954080203443</v>
      </c>
      <c r="C3444">
        <v>0.97699888611625396</v>
      </c>
      <c r="D3444">
        <v>0.77179901438444798</v>
      </c>
      <c r="E3444">
        <v>0.39329009814157001</v>
      </c>
      <c r="F3444">
        <v>0.14907791975501899</v>
      </c>
      <c r="G3444">
        <v>8.2357221422755797E-2</v>
      </c>
      <c r="H3444">
        <v>5.0315804915333703E-2</v>
      </c>
      <c r="I3444">
        <v>4.37270169640194E-2</v>
      </c>
      <c r="J3444">
        <v>4.5670103588748297E-2</v>
      </c>
      <c r="K3444">
        <v>4.0652067954672202E-2</v>
      </c>
      <c r="L3444">
        <v>1093.7541414827799</v>
      </c>
      <c r="M3444">
        <v>22.501964396865599</v>
      </c>
      <c r="N3444">
        <v>48.790960230268198</v>
      </c>
      <c r="O3444">
        <v>48.228046987542399</v>
      </c>
      <c r="P3444">
        <v>-0.111903145508959</v>
      </c>
      <c r="Q3444">
        <v>4.0659836821978698E-2</v>
      </c>
      <c r="R3444">
        <v>0.99883849229772503</v>
      </c>
      <c r="S3444" t="s">
        <v>10250</v>
      </c>
      <c r="T3444" t="s">
        <v>13610</v>
      </c>
      <c r="U3444" t="s">
        <v>13610</v>
      </c>
      <c r="V3444" t="s">
        <v>13610</v>
      </c>
      <c r="W3444" t="s">
        <v>16998</v>
      </c>
      <c r="X3444">
        <v>9</v>
      </c>
      <c r="Y3444" t="s">
        <v>23613</v>
      </c>
      <c r="Z3444" t="s">
        <v>30299</v>
      </c>
      <c r="AA3444">
        <v>0.32646209117179997</v>
      </c>
      <c r="AB3444" t="str">
        <f>HYPERLINK("Melting_Curves/meltCurve_Q15102_PAFAH1B3.pdf", "Melting_Curves/meltCurve_Q15102_PAFAH1B3.pdf")</f>
        <v>Melting_Curves/meltCurve_Q15102_PAFAH1B3.pdf</v>
      </c>
    </row>
    <row r="3445" spans="1:28" x14ac:dyDescent="0.25">
      <c r="A3445" t="s">
        <v>3449</v>
      </c>
      <c r="B3445">
        <v>0.995954080203443</v>
      </c>
      <c r="C3445">
        <v>0.98908082717889401</v>
      </c>
      <c r="D3445">
        <v>0.83746423771216405</v>
      </c>
      <c r="E3445">
        <v>0.45475690855704498</v>
      </c>
      <c r="F3445">
        <v>0.26110006547933501</v>
      </c>
      <c r="G3445">
        <v>0.168301747426018</v>
      </c>
      <c r="H3445">
        <v>0.124869788346963</v>
      </c>
      <c r="I3445">
        <v>0.13238256437357901</v>
      </c>
      <c r="J3445">
        <v>0.14825696637143701</v>
      </c>
      <c r="K3445">
        <v>0.14513282798357799</v>
      </c>
      <c r="L3445">
        <v>1167.18912058704</v>
      </c>
      <c r="M3445">
        <v>23.8698507667713</v>
      </c>
      <c r="N3445">
        <v>49.559975506706202</v>
      </c>
      <c r="O3445">
        <v>48.558731646137197</v>
      </c>
      <c r="P3445">
        <v>-0.106119668348402</v>
      </c>
      <c r="Q3445">
        <v>0.13649180203612399</v>
      </c>
      <c r="R3445">
        <v>0.99916067195228198</v>
      </c>
      <c r="S3445" t="s">
        <v>10251</v>
      </c>
      <c r="T3445" t="s">
        <v>13610</v>
      </c>
      <c r="U3445" t="s">
        <v>13610</v>
      </c>
      <c r="V3445" t="s">
        <v>13610</v>
      </c>
      <c r="W3445" t="s">
        <v>16999</v>
      </c>
      <c r="X3445">
        <v>17</v>
      </c>
      <c r="Y3445" t="s">
        <v>23614</v>
      </c>
      <c r="Z3445" t="s">
        <v>30300</v>
      </c>
      <c r="AA3445">
        <v>0.40102394816410369</v>
      </c>
      <c r="AB3445" t="str">
        <f>HYPERLINK("Melting_Curves/meltCurve_Q15111_PLCL1.pdf", "Melting_Curves/meltCurve_Q15111_PLCL1.pdf")</f>
        <v>Melting_Curves/meltCurve_Q15111_PLCL1.pdf</v>
      </c>
    </row>
    <row r="3446" spans="1:28" x14ac:dyDescent="0.25">
      <c r="A3446" t="s">
        <v>3450</v>
      </c>
      <c r="B3446">
        <v>0.995954080203443</v>
      </c>
      <c r="C3446">
        <v>1.0085786367976299</v>
      </c>
      <c r="D3446">
        <v>1.07942384570142</v>
      </c>
      <c r="E3446">
        <v>0.84111480925000803</v>
      </c>
      <c r="F3446">
        <v>0.82773782127250295</v>
      </c>
      <c r="G3446">
        <v>0.61517090076676395</v>
      </c>
      <c r="H3446">
        <v>0.50135150608339296</v>
      </c>
      <c r="I3446">
        <v>0.55530631134508901</v>
      </c>
      <c r="J3446">
        <v>0.68326573059161499</v>
      </c>
      <c r="K3446">
        <v>0.83536195989323303</v>
      </c>
      <c r="L3446">
        <v>1522.2098423083901</v>
      </c>
      <c r="M3446">
        <v>29.398927755937802</v>
      </c>
      <c r="O3446">
        <v>51.5399438463824</v>
      </c>
      <c r="P3446">
        <v>-5.1451955776843201E-2</v>
      </c>
      <c r="Q3446">
        <v>0.63919612185024899</v>
      </c>
      <c r="R3446">
        <v>0.75972245586925002</v>
      </c>
      <c r="S3446" t="s">
        <v>10252</v>
      </c>
      <c r="T3446" t="s">
        <v>13610</v>
      </c>
      <c r="U3446" t="s">
        <v>13610</v>
      </c>
      <c r="V3446" t="s">
        <v>13610</v>
      </c>
      <c r="W3446" t="s">
        <v>17000</v>
      </c>
      <c r="X3446">
        <v>11</v>
      </c>
      <c r="Y3446" t="s">
        <v>23615</v>
      </c>
      <c r="Z3446" t="s">
        <v>30301</v>
      </c>
      <c r="AA3446">
        <v>0.78323595360957288</v>
      </c>
      <c r="AB3446" t="str">
        <f>HYPERLINK("Melting_Curves/meltCurve_Q15121_PEA15.pdf", "Melting_Curves/meltCurve_Q15121_PEA15.pdf")</f>
        <v>Melting_Curves/meltCurve_Q15121_PEA15.pdf</v>
      </c>
    </row>
    <row r="3447" spans="1:28" x14ac:dyDescent="0.25">
      <c r="A3447" t="s">
        <v>3451</v>
      </c>
      <c r="B3447">
        <v>0.995954080203443</v>
      </c>
      <c r="C3447">
        <v>0.91190118182010904</v>
      </c>
      <c r="D3447">
        <v>0.46002988301508702</v>
      </c>
      <c r="E3447">
        <v>0.23840124784941999</v>
      </c>
      <c r="F3447">
        <v>0.12909422158732001</v>
      </c>
      <c r="G3447">
        <v>6.9351840905211501E-2</v>
      </c>
      <c r="H3447">
        <v>4.1970550428926702E-2</v>
      </c>
      <c r="I3447">
        <v>3.5558767956012302E-2</v>
      </c>
      <c r="J3447">
        <v>3.99092663649682E-2</v>
      </c>
      <c r="K3447">
        <v>3.5275204061007003E-2</v>
      </c>
      <c r="L3447">
        <v>1057.8304995861799</v>
      </c>
      <c r="M3447">
        <v>22.9877649433624</v>
      </c>
      <c r="N3447">
        <v>46.238914601223399</v>
      </c>
      <c r="O3447">
        <v>45.673111580276199</v>
      </c>
      <c r="P3447">
        <v>-0.119261420824456</v>
      </c>
      <c r="Q3447">
        <v>5.2202168752195098E-2</v>
      </c>
      <c r="R3447">
        <v>0.98852879371925595</v>
      </c>
      <c r="S3447" t="s">
        <v>10253</v>
      </c>
      <c r="T3447" t="s">
        <v>13610</v>
      </c>
      <c r="U3447" t="s">
        <v>13610</v>
      </c>
      <c r="V3447" t="s">
        <v>13610</v>
      </c>
      <c r="W3447" t="s">
        <v>17001</v>
      </c>
      <c r="X3447">
        <v>16</v>
      </c>
      <c r="Y3447" t="s">
        <v>23616</v>
      </c>
      <c r="Z3447" t="s">
        <v>30302</v>
      </c>
      <c r="AA3447">
        <v>0.25292081144976553</v>
      </c>
      <c r="AB3447" t="str">
        <f>HYPERLINK("Melting_Curves/meltCurve_Q15126_PMVK.pdf", "Melting_Curves/meltCurve_Q15126_PMVK.pdf")</f>
        <v>Melting_Curves/meltCurve_Q15126_PMVK.pdf</v>
      </c>
    </row>
    <row r="3448" spans="1:28" x14ac:dyDescent="0.25">
      <c r="A3448" t="s">
        <v>3452</v>
      </c>
      <c r="B3448">
        <v>0.995954080203443</v>
      </c>
      <c r="C3448">
        <v>1.24002253998472</v>
      </c>
      <c r="D3448">
        <v>0.94329653696442295</v>
      </c>
      <c r="E3448">
        <v>0.74010029328276306</v>
      </c>
      <c r="F3448">
        <v>0.28489622970164902</v>
      </c>
      <c r="G3448">
        <v>0.17001974270975601</v>
      </c>
      <c r="H3448">
        <v>0.141750611064339</v>
      </c>
      <c r="I3448">
        <v>3.6418027109453202E-2</v>
      </c>
      <c r="J3448">
        <v>0.19437193966024199</v>
      </c>
      <c r="K3448">
        <v>6.5802185992714604E-2</v>
      </c>
      <c r="L3448">
        <v>1928.92862353088</v>
      </c>
      <c r="M3448">
        <v>37.748199827691103</v>
      </c>
      <c r="N3448">
        <v>51.459572211968997</v>
      </c>
      <c r="O3448">
        <v>50.957116924347602</v>
      </c>
      <c r="P3448">
        <v>-0.16372136697325301</v>
      </c>
      <c r="Q3448">
        <v>0.11595834903171801</v>
      </c>
      <c r="R3448">
        <v>0.95779013290865</v>
      </c>
      <c r="S3448" t="s">
        <v>10254</v>
      </c>
      <c r="T3448" t="s">
        <v>13610</v>
      </c>
      <c r="U3448" t="s">
        <v>13610</v>
      </c>
      <c r="V3448" t="s">
        <v>13610</v>
      </c>
      <c r="W3448" t="s">
        <v>17002</v>
      </c>
      <c r="X3448">
        <v>2</v>
      </c>
      <c r="Y3448" t="s">
        <v>23617</v>
      </c>
      <c r="Z3448" t="s">
        <v>30303</v>
      </c>
      <c r="AA3448">
        <v>0.44655906752768237</v>
      </c>
      <c r="AB3448" t="str">
        <f>HYPERLINK("Melting_Curves/meltCurve_Q15147_2_PLCB4.pdf", "Melting_Curves/meltCurve_Q15147_2_PLCB4.pdf")</f>
        <v>Melting_Curves/meltCurve_Q15147_2_PLCB4.pdf</v>
      </c>
    </row>
    <row r="3449" spans="1:28" x14ac:dyDescent="0.25">
      <c r="A3449" t="s">
        <v>3453</v>
      </c>
      <c r="B3449">
        <v>0.995954080203443</v>
      </c>
      <c r="C3449">
        <v>0.90588876470096402</v>
      </c>
      <c r="D3449">
        <v>0.75262145350339904</v>
      </c>
      <c r="E3449">
        <v>0.69990749759742998</v>
      </c>
      <c r="F3449">
        <v>0.48834653075896001</v>
      </c>
      <c r="G3449">
        <v>0.29206999254572602</v>
      </c>
      <c r="H3449">
        <v>0.149167265855213</v>
      </c>
      <c r="I3449">
        <v>0.14980643079695899</v>
      </c>
      <c r="J3449">
        <v>0.16643547541220699</v>
      </c>
      <c r="K3449">
        <v>0.14882263101690699</v>
      </c>
      <c r="L3449">
        <v>606.66205610549503</v>
      </c>
      <c r="M3449">
        <v>11.7353798198092</v>
      </c>
      <c r="N3449">
        <v>52.451631666731203</v>
      </c>
      <c r="O3449">
        <v>50.262527538407802</v>
      </c>
      <c r="P3449">
        <v>-5.3840216468264999E-2</v>
      </c>
      <c r="Q3449">
        <v>7.7853671489709106E-2</v>
      </c>
      <c r="R3449">
        <v>0.983142797043985</v>
      </c>
      <c r="S3449" t="s">
        <v>10255</v>
      </c>
      <c r="T3449" t="s">
        <v>13610</v>
      </c>
      <c r="U3449" t="s">
        <v>13610</v>
      </c>
      <c r="V3449" t="s">
        <v>13610</v>
      </c>
      <c r="W3449" t="s">
        <v>17003</v>
      </c>
      <c r="X3449">
        <v>201</v>
      </c>
      <c r="Y3449" t="s">
        <v>23618</v>
      </c>
      <c r="Z3449" t="s">
        <v>30304</v>
      </c>
      <c r="AA3449">
        <v>0.46699372702554659</v>
      </c>
      <c r="AB3449" t="str">
        <f>HYPERLINK("Melting_Curves/meltCurve_Q15149_3_PLEC.pdf", "Melting_Curves/meltCurve_Q15149_3_PLEC.pdf")</f>
        <v>Melting_Curves/meltCurve_Q15149_3_PLEC.pdf</v>
      </c>
    </row>
    <row r="3450" spans="1:28" x14ac:dyDescent="0.25">
      <c r="A3450" t="s">
        <v>3454</v>
      </c>
      <c r="B3450">
        <v>0.995954080203443</v>
      </c>
      <c r="C3450">
        <v>0.88347929514331702</v>
      </c>
      <c r="D3450">
        <v>0.89095923094818397</v>
      </c>
      <c r="E3450">
        <v>0.62107438129012305</v>
      </c>
      <c r="F3450">
        <v>0.295774180691874</v>
      </c>
      <c r="G3450">
        <v>0.167120635442604</v>
      </c>
      <c r="H3450">
        <v>0.11519079259674</v>
      </c>
      <c r="I3450">
        <v>0.11089983884427999</v>
      </c>
      <c r="J3450">
        <v>0.129459573816923</v>
      </c>
      <c r="K3450">
        <v>0.116302455555632</v>
      </c>
      <c r="L3450">
        <v>1091.4044926510301</v>
      </c>
      <c r="M3450">
        <v>21.692592712578598</v>
      </c>
      <c r="N3450">
        <v>50.870966296962699</v>
      </c>
      <c r="O3450">
        <v>49.890600903143799</v>
      </c>
      <c r="P3450">
        <v>-9.7182350314152802E-2</v>
      </c>
      <c r="Q3450">
        <v>0.10598580557602599</v>
      </c>
      <c r="R3450">
        <v>0.99011514051434601</v>
      </c>
      <c r="S3450" t="s">
        <v>10256</v>
      </c>
      <c r="T3450" t="s">
        <v>13610</v>
      </c>
      <c r="U3450" t="s">
        <v>13610</v>
      </c>
      <c r="V3450" t="s">
        <v>13610</v>
      </c>
      <c r="W3450" t="s">
        <v>17004</v>
      </c>
      <c r="X3450">
        <v>202</v>
      </c>
      <c r="Y3450" t="s">
        <v>23618</v>
      </c>
      <c r="Z3450" t="s">
        <v>30305</v>
      </c>
      <c r="AA3450">
        <v>0.42391463019623532</v>
      </c>
      <c r="AB3450" t="str">
        <f>HYPERLINK("Melting_Curves/meltCurve_Q15149_4_PLEC.pdf", "Melting_Curves/meltCurve_Q15149_4_PLEC.pdf")</f>
        <v>Melting_Curves/meltCurve_Q15149_4_PLEC.pdf</v>
      </c>
    </row>
    <row r="3451" spans="1:28" x14ac:dyDescent="0.25">
      <c r="A3451" t="s">
        <v>3455</v>
      </c>
      <c r="B3451">
        <v>0.995954080203443</v>
      </c>
      <c r="C3451">
        <v>0.73127475288756605</v>
      </c>
      <c r="D3451">
        <v>0.75054057689673104</v>
      </c>
      <c r="E3451">
        <v>0.60191058695028798</v>
      </c>
      <c r="F3451">
        <v>0.633104128826663</v>
      </c>
      <c r="G3451">
        <v>0.35386158968123299</v>
      </c>
      <c r="H3451">
        <v>0.43579372029930102</v>
      </c>
      <c r="I3451">
        <v>0.42225063017854902</v>
      </c>
      <c r="J3451">
        <v>1.34227949838824</v>
      </c>
      <c r="K3451">
        <v>0.57219037440462595</v>
      </c>
      <c r="L3451">
        <v>1451.43960326505</v>
      </c>
      <c r="M3451">
        <v>34.326569858723502</v>
      </c>
      <c r="O3451">
        <v>42.140527890064597</v>
      </c>
      <c r="P3451">
        <v>-7.4776283119839304E-2</v>
      </c>
      <c r="Q3451">
        <v>0.63280912596943695</v>
      </c>
      <c r="R3451">
        <v>0.146009239733528</v>
      </c>
      <c r="S3451" t="s">
        <v>10257</v>
      </c>
      <c r="T3451" t="s">
        <v>13610</v>
      </c>
      <c r="U3451" t="s">
        <v>13610</v>
      </c>
      <c r="V3451" t="s">
        <v>13610</v>
      </c>
      <c r="W3451" t="s">
        <v>17005</v>
      </c>
      <c r="X3451">
        <v>51</v>
      </c>
      <c r="Y3451" t="s">
        <v>20755</v>
      </c>
      <c r="Z3451" t="s">
        <v>30306</v>
      </c>
      <c r="AA3451">
        <v>0.66390333977315419</v>
      </c>
      <c r="AB3451" t="str">
        <f>HYPERLINK("Melting_Curves/meltCurve_Q15154_PCM1.pdf", "Melting_Curves/meltCurve_Q15154_PCM1.pdf")</f>
        <v>Melting_Curves/meltCurve_Q15154_PCM1.pdf</v>
      </c>
    </row>
    <row r="3452" spans="1:28" x14ac:dyDescent="0.25">
      <c r="A3452" t="s">
        <v>3456</v>
      </c>
      <c r="B3452">
        <v>0.995954080203443</v>
      </c>
      <c r="C3452">
        <v>1.0961325594793301</v>
      </c>
      <c r="D3452">
        <v>0.90613852595202304</v>
      </c>
      <c r="E3452">
        <v>0.75886724757929302</v>
      </c>
      <c r="F3452">
        <v>0.49454466576165701</v>
      </c>
      <c r="G3452">
        <v>0.27333349681566599</v>
      </c>
      <c r="H3452">
        <v>0.142414542911486</v>
      </c>
      <c r="I3452">
        <v>9.3247131145945295E-2</v>
      </c>
      <c r="J3452">
        <v>4.7122977294273699E-2</v>
      </c>
      <c r="K3452">
        <v>6.75627942694524E-2</v>
      </c>
      <c r="L3452">
        <v>936.48043606365002</v>
      </c>
      <c r="M3452">
        <v>17.706824064533802</v>
      </c>
      <c r="N3452">
        <v>53.197537171220702</v>
      </c>
      <c r="O3452">
        <v>52.2273730116652</v>
      </c>
      <c r="P3452">
        <v>-8.0615116630727304E-2</v>
      </c>
      <c r="Q3452">
        <v>4.8932969581874999E-2</v>
      </c>
      <c r="R3452">
        <v>0.99046935213251697</v>
      </c>
      <c r="S3452" t="s">
        <v>10258</v>
      </c>
      <c r="T3452" t="s">
        <v>13610</v>
      </c>
      <c r="U3452" t="s">
        <v>13610</v>
      </c>
      <c r="V3452" t="s">
        <v>13610</v>
      </c>
      <c r="W3452" t="s">
        <v>17006</v>
      </c>
      <c r="X3452">
        <v>49</v>
      </c>
      <c r="Y3452" t="s">
        <v>20755</v>
      </c>
      <c r="Z3452" t="s">
        <v>30307</v>
      </c>
      <c r="AA3452">
        <v>0.47353681942859382</v>
      </c>
      <c r="AB3452" t="str">
        <f>HYPERLINK("Melting_Curves/meltCurve_Q15154_2_PCM1.pdf", "Melting_Curves/meltCurve_Q15154_2_PCM1.pdf")</f>
        <v>Melting_Curves/meltCurve_Q15154_2_PCM1.pdf</v>
      </c>
    </row>
    <row r="3453" spans="1:28" x14ac:dyDescent="0.25">
      <c r="A3453" t="s">
        <v>3457</v>
      </c>
      <c r="B3453">
        <v>0.995954080203443</v>
      </c>
      <c r="C3453">
        <v>0.84071494344682696</v>
      </c>
      <c r="D3453">
        <v>0.89748423317378101</v>
      </c>
      <c r="E3453">
        <v>0.78580782191237797</v>
      </c>
      <c r="F3453">
        <v>0.81110915428961405</v>
      </c>
      <c r="G3453">
        <v>0.67890545221731602</v>
      </c>
      <c r="H3453">
        <v>0.81453928296164302</v>
      </c>
      <c r="I3453">
        <v>1.31743698353605</v>
      </c>
      <c r="J3453">
        <v>1.32870740458504</v>
      </c>
      <c r="K3453">
        <v>1.5311538117491099</v>
      </c>
      <c r="L3453">
        <v>15000</v>
      </c>
      <c r="M3453">
        <v>235.41189472199099</v>
      </c>
      <c r="O3453">
        <v>63.7135109476921</v>
      </c>
      <c r="P3453">
        <v>0.39714323264778101</v>
      </c>
      <c r="Q3453">
        <v>1.42994239055248</v>
      </c>
      <c r="R3453">
        <v>0.630712057914813</v>
      </c>
      <c r="S3453" t="s">
        <v>10259</v>
      </c>
      <c r="T3453" t="s">
        <v>13610</v>
      </c>
      <c r="U3453" t="s">
        <v>13610</v>
      </c>
      <c r="V3453" t="s">
        <v>13610</v>
      </c>
      <c r="W3453" t="s">
        <v>17007</v>
      </c>
      <c r="X3453">
        <v>5</v>
      </c>
      <c r="Y3453" t="s">
        <v>23619</v>
      </c>
      <c r="Z3453" t="s">
        <v>30308</v>
      </c>
      <c r="AA3453">
        <v>1.0899741984096849</v>
      </c>
      <c r="AB3453" t="str">
        <f>HYPERLINK("Melting_Curves/meltCurve_Q15170_2_TCEAL1.pdf", "Melting_Curves/meltCurve_Q15170_2_TCEAL1.pdf")</f>
        <v>Melting_Curves/meltCurve_Q15170_2_TCEAL1.pdf</v>
      </c>
    </row>
    <row r="3454" spans="1:28" x14ac:dyDescent="0.25">
      <c r="A3454" t="s">
        <v>3458</v>
      </c>
      <c r="B3454">
        <v>0.995954080203443</v>
      </c>
      <c r="C3454">
        <v>0.89936784000291203</v>
      </c>
      <c r="D3454">
        <v>0.80943379081340705</v>
      </c>
      <c r="E3454">
        <v>0.41737959364041899</v>
      </c>
      <c r="F3454">
        <v>0.13211452150460501</v>
      </c>
      <c r="G3454">
        <v>7.7276224315847505E-2</v>
      </c>
      <c r="H3454">
        <v>5.0349004733952499E-2</v>
      </c>
      <c r="I3454">
        <v>4.5764890715098698E-2</v>
      </c>
      <c r="J3454">
        <v>4.6950114027919397E-2</v>
      </c>
      <c r="K3454">
        <v>4.6473052374826802E-2</v>
      </c>
      <c r="L3454">
        <v>1089.71236483758</v>
      </c>
      <c r="M3454">
        <v>22.344496551977102</v>
      </c>
      <c r="N3454">
        <v>48.941746649986001</v>
      </c>
      <c r="O3454">
        <v>48.383150312368599</v>
      </c>
      <c r="P3454">
        <v>-0.11107340475182401</v>
      </c>
      <c r="Q3454">
        <v>3.7979313773119701E-2</v>
      </c>
      <c r="R3454">
        <v>0.99563891516527303</v>
      </c>
      <c r="S3454" t="s">
        <v>10260</v>
      </c>
      <c r="T3454" t="s">
        <v>13610</v>
      </c>
      <c r="U3454" t="s">
        <v>13610</v>
      </c>
      <c r="V3454" t="s">
        <v>13610</v>
      </c>
      <c r="W3454" t="s">
        <v>17008</v>
      </c>
      <c r="X3454">
        <v>14</v>
      </c>
      <c r="Y3454" t="s">
        <v>23620</v>
      </c>
      <c r="Z3454" t="s">
        <v>30309</v>
      </c>
      <c r="AA3454">
        <v>0.32991483585231351</v>
      </c>
      <c r="AB3454" t="str">
        <f>HYPERLINK("Melting_Curves/meltCurve_Q15172_PPP2R5A.pdf", "Melting_Curves/meltCurve_Q15172_PPP2R5A.pdf")</f>
        <v>Melting_Curves/meltCurve_Q15172_PPP2R5A.pdf</v>
      </c>
    </row>
    <row r="3455" spans="1:28" x14ac:dyDescent="0.25">
      <c r="A3455" t="s">
        <v>3459</v>
      </c>
      <c r="B3455">
        <v>0.995954080203443</v>
      </c>
      <c r="C3455">
        <v>0.85116680676719503</v>
      </c>
      <c r="D3455">
        <v>0.55951103512609002</v>
      </c>
      <c r="E3455">
        <v>0.41476777184015801</v>
      </c>
      <c r="F3455">
        <v>0.15558202506039701</v>
      </c>
      <c r="G3455">
        <v>0.106246437727001</v>
      </c>
      <c r="H3455">
        <v>5.8239110454383999E-2</v>
      </c>
      <c r="I3455">
        <v>7.4453328165122595E-2</v>
      </c>
      <c r="J3455">
        <v>6.0532331699707502E-2</v>
      </c>
      <c r="K3455">
        <v>9.0815205121705503E-2</v>
      </c>
      <c r="L3455">
        <v>747.51472421829601</v>
      </c>
      <c r="M3455">
        <v>15.842714331408301</v>
      </c>
      <c r="N3455">
        <v>47.543661072886998</v>
      </c>
      <c r="O3455">
        <v>46.450949206017</v>
      </c>
      <c r="P3455">
        <v>-8.0450688285761698E-2</v>
      </c>
      <c r="Q3455">
        <v>5.6549424575070201E-2</v>
      </c>
      <c r="R3455">
        <v>0.98505731829594401</v>
      </c>
      <c r="S3455" t="s">
        <v>10261</v>
      </c>
      <c r="T3455" t="s">
        <v>13610</v>
      </c>
      <c r="U3455" t="s">
        <v>13610</v>
      </c>
      <c r="V3455" t="s">
        <v>13610</v>
      </c>
      <c r="W3455" t="s">
        <v>17009</v>
      </c>
      <c r="X3455">
        <v>4</v>
      </c>
      <c r="Y3455" t="s">
        <v>23621</v>
      </c>
      <c r="Z3455" t="s">
        <v>30310</v>
      </c>
      <c r="AA3455">
        <v>0.30509966120044701</v>
      </c>
      <c r="AB3455" t="str">
        <f>HYPERLINK("Melting_Curves/meltCurve_Q15173_PPP2R5B.pdf", "Melting_Curves/meltCurve_Q15173_PPP2R5B.pdf")</f>
        <v>Melting_Curves/meltCurve_Q15173_PPP2R5B.pdf</v>
      </c>
    </row>
    <row r="3456" spans="1:28" x14ac:dyDescent="0.25">
      <c r="A3456" t="s">
        <v>3460</v>
      </c>
      <c r="B3456">
        <v>0.995954080203443</v>
      </c>
      <c r="C3456">
        <v>0.84315355500654798</v>
      </c>
      <c r="D3456">
        <v>1.14634490355963</v>
      </c>
      <c r="E3456">
        <v>0.97595378891304796</v>
      </c>
      <c r="F3456">
        <v>0.52478823992274604</v>
      </c>
      <c r="G3456">
        <v>0.14472248255537801</v>
      </c>
      <c r="H3456">
        <v>6.4972097745584198E-2</v>
      </c>
      <c r="I3456">
        <v>4.3456520302511202E-2</v>
      </c>
      <c r="J3456">
        <v>5.0547055107924899E-2</v>
      </c>
      <c r="K3456">
        <v>4.3294217462719699E-2</v>
      </c>
      <c r="L3456">
        <v>2398.5361429234499</v>
      </c>
      <c r="M3456">
        <v>45.212183648492299</v>
      </c>
      <c r="N3456">
        <v>53.199673532344598</v>
      </c>
      <c r="O3456">
        <v>52.947187035690298</v>
      </c>
      <c r="P3456">
        <v>-0.20078293939128899</v>
      </c>
      <c r="Q3456">
        <v>5.9467840012791102E-2</v>
      </c>
      <c r="R3456">
        <v>0.97408516250128796</v>
      </c>
      <c r="S3456" t="s">
        <v>10262</v>
      </c>
      <c r="T3456" t="s">
        <v>13610</v>
      </c>
      <c r="U3456" t="s">
        <v>13610</v>
      </c>
      <c r="V3456" t="s">
        <v>13610</v>
      </c>
      <c r="W3456" t="s">
        <v>17010</v>
      </c>
      <c r="X3456">
        <v>23</v>
      </c>
      <c r="Y3456" t="s">
        <v>23622</v>
      </c>
      <c r="Z3456" t="s">
        <v>30311</v>
      </c>
      <c r="AA3456">
        <v>0.4713139477951408</v>
      </c>
      <c r="AB3456" t="str">
        <f>HYPERLINK("Melting_Curves/meltCurve_Q15181_PPA1.pdf", "Melting_Curves/meltCurve_Q15181_PPA1.pdf")</f>
        <v>Melting_Curves/meltCurve_Q15181_PPA1.pdf</v>
      </c>
    </row>
    <row r="3457" spans="1:28" x14ac:dyDescent="0.25">
      <c r="A3457" t="s">
        <v>3461</v>
      </c>
      <c r="B3457">
        <v>0.995954080203443</v>
      </c>
      <c r="C3457">
        <v>0.88219688218188097</v>
      </c>
      <c r="D3457">
        <v>0.77471973883615597</v>
      </c>
      <c r="E3457">
        <v>0.36621211344690102</v>
      </c>
      <c r="F3457">
        <v>0.201865502459465</v>
      </c>
      <c r="G3457">
        <v>0.12291111078563299</v>
      </c>
      <c r="H3457">
        <v>8.4993174286151801E-2</v>
      </c>
      <c r="I3457">
        <v>8.9033875939559096E-2</v>
      </c>
      <c r="J3457">
        <v>0.111027588187322</v>
      </c>
      <c r="K3457">
        <v>0.102640095358783</v>
      </c>
      <c r="L3457">
        <v>1004.5091575860901</v>
      </c>
      <c r="M3457">
        <v>20.884293803523899</v>
      </c>
      <c r="N3457">
        <v>48.563764069497502</v>
      </c>
      <c r="O3457">
        <v>47.664293262167497</v>
      </c>
      <c r="P3457">
        <v>-9.9614744320484797E-2</v>
      </c>
      <c r="Q3457">
        <v>9.0620695200799198E-2</v>
      </c>
      <c r="R3457">
        <v>0.99647210353897098</v>
      </c>
      <c r="S3457" t="s">
        <v>10263</v>
      </c>
      <c r="T3457" t="s">
        <v>13610</v>
      </c>
      <c r="U3457" t="s">
        <v>13610</v>
      </c>
      <c r="V3457" t="s">
        <v>13610</v>
      </c>
      <c r="W3457" t="s">
        <v>17011</v>
      </c>
      <c r="X3457">
        <v>17</v>
      </c>
      <c r="Y3457" t="s">
        <v>23623</v>
      </c>
      <c r="Z3457" t="s">
        <v>30312</v>
      </c>
      <c r="AA3457">
        <v>0.34788626940205591</v>
      </c>
      <c r="AB3457" t="str">
        <f>HYPERLINK("Melting_Curves/meltCurve_Q15208_STK38.pdf", "Melting_Curves/meltCurve_Q15208_STK38.pdf")</f>
        <v>Melting_Curves/meltCurve_Q15208_STK38.pdf</v>
      </c>
    </row>
    <row r="3458" spans="1:28" x14ac:dyDescent="0.25">
      <c r="A3458" t="s">
        <v>3462</v>
      </c>
      <c r="B3458">
        <v>0.995954080203443</v>
      </c>
      <c r="C3458">
        <v>0.76557298971820398</v>
      </c>
      <c r="D3458">
        <v>0.36857663855943001</v>
      </c>
      <c r="E3458">
        <v>0.24720820496377199</v>
      </c>
      <c r="F3458">
        <v>0.170336388260037</v>
      </c>
      <c r="G3458">
        <v>0.114991694641944</v>
      </c>
      <c r="H3458">
        <v>0.10058962835170999</v>
      </c>
      <c r="I3458">
        <v>0.109363891737428</v>
      </c>
      <c r="J3458">
        <v>0.13609517705451901</v>
      </c>
      <c r="K3458">
        <v>0.12596502669593501</v>
      </c>
      <c r="L3458">
        <v>1144.90541846877</v>
      </c>
      <c r="M3458">
        <v>25.7018093019194</v>
      </c>
      <c r="N3458">
        <v>45.076711253442603</v>
      </c>
      <c r="O3458">
        <v>44.278689290612597</v>
      </c>
      <c r="P3458">
        <v>-0.126161646446006</v>
      </c>
      <c r="Q3458">
        <v>0.13061336523563599</v>
      </c>
      <c r="R3458">
        <v>0.98939918491128498</v>
      </c>
      <c r="S3458" t="s">
        <v>10264</v>
      </c>
      <c r="T3458" t="s">
        <v>13610</v>
      </c>
      <c r="U3458" t="s">
        <v>13610</v>
      </c>
      <c r="V3458" t="s">
        <v>13610</v>
      </c>
      <c r="W3458" t="s">
        <v>17012</v>
      </c>
      <c r="X3458">
        <v>38</v>
      </c>
      <c r="Y3458" t="s">
        <v>23624</v>
      </c>
      <c r="Z3458" t="s">
        <v>30313</v>
      </c>
      <c r="AA3458">
        <v>0.27089332105183728</v>
      </c>
      <c r="AB3458" t="str">
        <f>HYPERLINK("Melting_Curves/meltCurve_Q15233_NONO.pdf", "Melting_Curves/meltCurve_Q15233_NONO.pdf")</f>
        <v>Melting_Curves/meltCurve_Q15233_NONO.pdf</v>
      </c>
    </row>
    <row r="3459" spans="1:28" x14ac:dyDescent="0.25">
      <c r="A3459" t="s">
        <v>3463</v>
      </c>
      <c r="B3459">
        <v>0.995954080203443</v>
      </c>
      <c r="C3459">
        <v>0.96233630044393703</v>
      </c>
      <c r="D3459">
        <v>1.0158417677635001</v>
      </c>
      <c r="E3459">
        <v>0.84212381238161604</v>
      </c>
      <c r="F3459">
        <v>0.80710535852017096</v>
      </c>
      <c r="G3459">
        <v>0.29659517311405098</v>
      </c>
      <c r="H3459">
        <v>9.1784748305446404E-2</v>
      </c>
      <c r="I3459">
        <v>8.1791387671857105E-2</v>
      </c>
      <c r="J3459">
        <v>8.9985175690478605E-2</v>
      </c>
      <c r="K3459">
        <v>8.4912372318178997E-2</v>
      </c>
      <c r="L3459">
        <v>1595.2901017991701</v>
      </c>
      <c r="M3459">
        <v>29.0443227998521</v>
      </c>
      <c r="N3459">
        <v>55.208730490063701</v>
      </c>
      <c r="O3459">
        <v>54.667656738027603</v>
      </c>
      <c r="P3459">
        <v>-0.123646440343786</v>
      </c>
      <c r="Q3459">
        <v>6.9090316309670496E-2</v>
      </c>
      <c r="R3459">
        <v>0.98978048819183295</v>
      </c>
      <c r="S3459" t="s">
        <v>10265</v>
      </c>
      <c r="T3459" t="s">
        <v>13610</v>
      </c>
      <c r="U3459" t="s">
        <v>13610</v>
      </c>
      <c r="V3459" t="s">
        <v>13610</v>
      </c>
      <c r="W3459" t="s">
        <v>17013</v>
      </c>
      <c r="X3459">
        <v>14</v>
      </c>
      <c r="Y3459" t="s">
        <v>23625</v>
      </c>
      <c r="Z3459" t="s">
        <v>30314</v>
      </c>
      <c r="AA3459">
        <v>0.53880970282980967</v>
      </c>
      <c r="AB3459" t="str">
        <f>HYPERLINK("Melting_Curves/meltCurve_Q15257_PPP2R4.pdf", "Melting_Curves/meltCurve_Q15257_PPP2R4.pdf")</f>
        <v>Melting_Curves/meltCurve_Q15257_PPP2R4.pdf</v>
      </c>
    </row>
    <row r="3460" spans="1:28" x14ac:dyDescent="0.25">
      <c r="A3460" t="s">
        <v>3464</v>
      </c>
      <c r="B3460">
        <v>0.995954080203443</v>
      </c>
      <c r="C3460">
        <v>1.00589859174893</v>
      </c>
      <c r="D3460">
        <v>0.77833229975973806</v>
      </c>
      <c r="E3460">
        <v>0.87414091362744994</v>
      </c>
      <c r="F3460">
        <v>0.55725257775276404</v>
      </c>
      <c r="G3460">
        <v>0.41775666494863301</v>
      </c>
      <c r="H3460">
        <v>0.275899979863302</v>
      </c>
      <c r="I3460">
        <v>0.38131314387676501</v>
      </c>
      <c r="J3460">
        <v>0.40997638964764699</v>
      </c>
      <c r="K3460">
        <v>0.36761731530692798</v>
      </c>
      <c r="L3460">
        <v>996.383178259332</v>
      </c>
      <c r="M3460">
        <v>19.3306178721433</v>
      </c>
      <c r="N3460">
        <v>54.8361572561668</v>
      </c>
      <c r="O3460">
        <v>51.002187109066703</v>
      </c>
      <c r="P3460">
        <v>-6.2224850764311702E-2</v>
      </c>
      <c r="Q3460">
        <v>0.34332459027572998</v>
      </c>
      <c r="R3460">
        <v>0.92375852537895697</v>
      </c>
      <c r="S3460" t="s">
        <v>10266</v>
      </c>
      <c r="T3460" t="s">
        <v>13610</v>
      </c>
      <c r="U3460" t="s">
        <v>13610</v>
      </c>
      <c r="V3460" t="s">
        <v>13610</v>
      </c>
      <c r="W3460" t="s">
        <v>17014</v>
      </c>
      <c r="X3460">
        <v>2</v>
      </c>
      <c r="Y3460" t="s">
        <v>23626</v>
      </c>
      <c r="Z3460" t="s">
        <v>30315</v>
      </c>
      <c r="AA3460">
        <v>0.60570307680623237</v>
      </c>
      <c r="AB3460" t="str">
        <f>HYPERLINK("Melting_Curves/meltCurve_Q15262_PTPRK.pdf", "Melting_Curves/meltCurve_Q15262_PTPRK.pdf")</f>
        <v>Melting_Curves/meltCurve_Q15262_PTPRK.pdf</v>
      </c>
    </row>
    <row r="3461" spans="1:28" x14ac:dyDescent="0.25">
      <c r="A3461" t="s">
        <v>3465</v>
      </c>
      <c r="B3461">
        <v>0.995954080203443</v>
      </c>
      <c r="C3461">
        <v>0.86898687739550695</v>
      </c>
      <c r="D3461">
        <v>0.62978062562384796</v>
      </c>
      <c r="E3461">
        <v>0.54429303205272705</v>
      </c>
      <c r="F3461">
        <v>0.29319230225458398</v>
      </c>
      <c r="G3461">
        <v>0.22652467230086301</v>
      </c>
      <c r="H3461">
        <v>0.107087339653108</v>
      </c>
      <c r="I3461">
        <v>6.2245479795447603E-2</v>
      </c>
      <c r="J3461">
        <v>2.2485924676676601E-2</v>
      </c>
      <c r="K3461">
        <v>2.4739017655702501E-2</v>
      </c>
      <c r="L3461">
        <v>562.177995459101</v>
      </c>
      <c r="M3461">
        <v>11.324108830537799</v>
      </c>
      <c r="N3461">
        <v>49.644347634492497</v>
      </c>
      <c r="O3461">
        <v>48.171784953141596</v>
      </c>
      <c r="P3461">
        <v>-5.8787136331136303E-2</v>
      </c>
      <c r="Q3461">
        <v>0</v>
      </c>
      <c r="R3461">
        <v>0.98477021331456205</v>
      </c>
      <c r="S3461" t="s">
        <v>10267</v>
      </c>
      <c r="T3461" t="s">
        <v>13610</v>
      </c>
      <c r="U3461" t="s">
        <v>13610</v>
      </c>
      <c r="V3461" t="s">
        <v>13610</v>
      </c>
      <c r="W3461" t="s">
        <v>17015</v>
      </c>
      <c r="X3461">
        <v>2</v>
      </c>
      <c r="Y3461" t="s">
        <v>23627</v>
      </c>
      <c r="Z3461" t="s">
        <v>30316</v>
      </c>
      <c r="AA3461">
        <v>0.360202978624871</v>
      </c>
      <c r="AB3461" t="str">
        <f>HYPERLINK("Melting_Curves/meltCurve_Q15269_PWP2.pdf", "Melting_Curves/meltCurve_Q15269_PWP2.pdf")</f>
        <v>Melting_Curves/meltCurve_Q15269_PWP2.pdf</v>
      </c>
    </row>
    <row r="3462" spans="1:28" x14ac:dyDescent="0.25">
      <c r="A3462" t="s">
        <v>3466</v>
      </c>
      <c r="B3462">
        <v>0.995954080203443</v>
      </c>
      <c r="C3462">
        <v>0.92471365640305503</v>
      </c>
      <c r="D3462">
        <v>0.91011589989686004</v>
      </c>
      <c r="E3462">
        <v>0.79216578803190396</v>
      </c>
      <c r="F3462">
        <v>0.70993356962086496</v>
      </c>
      <c r="G3462">
        <v>0.58714030608497203</v>
      </c>
      <c r="H3462">
        <v>0.46623900567364801</v>
      </c>
      <c r="I3462">
        <v>0.55228005544797598</v>
      </c>
      <c r="J3462">
        <v>0.61390208134025903</v>
      </c>
      <c r="K3462">
        <v>0.66090825217250204</v>
      </c>
      <c r="L3462">
        <v>870.16508083979897</v>
      </c>
      <c r="M3462">
        <v>17.470075621951299</v>
      </c>
      <c r="O3462">
        <v>49.170004442067203</v>
      </c>
      <c r="P3462">
        <v>-3.8427661132563497E-2</v>
      </c>
      <c r="Q3462">
        <v>0.56740120960903695</v>
      </c>
      <c r="R3462">
        <v>0.89864160129094295</v>
      </c>
      <c r="S3462" t="s">
        <v>10268</v>
      </c>
      <c r="T3462" t="s">
        <v>13610</v>
      </c>
      <c r="U3462" t="s">
        <v>13610</v>
      </c>
      <c r="V3462" t="s">
        <v>13610</v>
      </c>
      <c r="W3462" t="s">
        <v>17016</v>
      </c>
      <c r="X3462">
        <v>10</v>
      </c>
      <c r="Y3462" t="s">
        <v>23628</v>
      </c>
      <c r="Z3462" t="s">
        <v>30317</v>
      </c>
      <c r="AA3462">
        <v>0.71667540432962829</v>
      </c>
      <c r="AB3462" t="str">
        <f>HYPERLINK("Melting_Curves/meltCurve_Q15274_QPRT.pdf", "Melting_Curves/meltCurve_Q15274_QPRT.pdf")</f>
        <v>Melting_Curves/meltCurve_Q15274_QPRT.pdf</v>
      </c>
    </row>
    <row r="3463" spans="1:28" x14ac:dyDescent="0.25">
      <c r="A3463" t="s">
        <v>3467</v>
      </c>
      <c r="B3463">
        <v>0.995954080203443</v>
      </c>
      <c r="C3463">
        <v>1.02321362567832</v>
      </c>
      <c r="D3463">
        <v>0.99273027292212901</v>
      </c>
      <c r="E3463">
        <v>0.86889632625511204</v>
      </c>
      <c r="F3463">
        <v>0.66320581196191497</v>
      </c>
      <c r="G3463">
        <v>0.433762579155199</v>
      </c>
      <c r="H3463">
        <v>0.31111677135453403</v>
      </c>
      <c r="I3463">
        <v>0.32739357120595802</v>
      </c>
      <c r="J3463">
        <v>0.40751458965804599</v>
      </c>
      <c r="K3463">
        <v>0.41245081112938398</v>
      </c>
      <c r="L3463">
        <v>1508.026511925</v>
      </c>
      <c r="M3463">
        <v>28.645694122195799</v>
      </c>
      <c r="N3463">
        <v>55.134319780983397</v>
      </c>
      <c r="O3463">
        <v>52.389535586251299</v>
      </c>
      <c r="P3463">
        <v>-8.7090791043443E-2</v>
      </c>
      <c r="Q3463">
        <v>0.36289058027075399</v>
      </c>
      <c r="R3463">
        <v>0.986324029521087</v>
      </c>
      <c r="S3463" t="s">
        <v>10269</v>
      </c>
      <c r="T3463" t="s">
        <v>13610</v>
      </c>
      <c r="U3463" t="s">
        <v>13610</v>
      </c>
      <c r="V3463" t="s">
        <v>13610</v>
      </c>
      <c r="W3463" t="s">
        <v>17017</v>
      </c>
      <c r="X3463">
        <v>45</v>
      </c>
      <c r="Y3463" t="s">
        <v>23629</v>
      </c>
      <c r="Z3463" t="s">
        <v>30318</v>
      </c>
      <c r="AA3463">
        <v>0.63591331157125952</v>
      </c>
      <c r="AB3463" t="str">
        <f>HYPERLINK("Melting_Curves/meltCurve_Q15276_RABEP1.pdf", "Melting_Curves/meltCurve_Q15276_RABEP1.pdf")</f>
        <v>Melting_Curves/meltCurve_Q15276_RABEP1.pdf</v>
      </c>
    </row>
    <row r="3464" spans="1:28" x14ac:dyDescent="0.25">
      <c r="A3464" t="s">
        <v>3468</v>
      </c>
      <c r="B3464">
        <v>0.995954080203443</v>
      </c>
      <c r="C3464">
        <v>0.74474099312881104</v>
      </c>
      <c r="D3464">
        <v>0.31334960145483598</v>
      </c>
      <c r="E3464">
        <v>0.30873766068858899</v>
      </c>
      <c r="F3464">
        <v>0.183152227735427</v>
      </c>
      <c r="G3464">
        <v>8.9376588473431801E-2</v>
      </c>
      <c r="H3464">
        <v>5.43411685848798E-2</v>
      </c>
      <c r="I3464">
        <v>3.6958838104947302E-2</v>
      </c>
      <c r="J3464">
        <v>4.6012353564761903E-2</v>
      </c>
      <c r="K3464">
        <v>3.2729929936705503E-2</v>
      </c>
      <c r="L3464">
        <v>817.03540180696598</v>
      </c>
      <c r="M3464">
        <v>18.185323436866899</v>
      </c>
      <c r="N3464">
        <v>45.275657365081102</v>
      </c>
      <c r="O3464">
        <v>44.395569311364</v>
      </c>
      <c r="P3464">
        <v>-9.5741389803887494E-2</v>
      </c>
      <c r="Q3464">
        <v>6.5115975335432605E-2</v>
      </c>
      <c r="R3464">
        <v>0.95698679744308501</v>
      </c>
      <c r="S3464" t="s">
        <v>10270</v>
      </c>
      <c r="T3464" t="s">
        <v>13610</v>
      </c>
      <c r="U3464" t="s">
        <v>13610</v>
      </c>
      <c r="V3464" t="s">
        <v>13610</v>
      </c>
      <c r="W3464" t="s">
        <v>17018</v>
      </c>
      <c r="X3464">
        <v>4</v>
      </c>
      <c r="Y3464" t="s">
        <v>23630</v>
      </c>
      <c r="Z3464" t="s">
        <v>30319</v>
      </c>
      <c r="AA3464">
        <v>0.23855724278095791</v>
      </c>
      <c r="AB3464" t="str">
        <f>HYPERLINK("Melting_Curves/meltCurve_Q15283_2_RASA2.pdf", "Melting_Curves/meltCurve_Q15283_2_RASA2.pdf")</f>
        <v>Melting_Curves/meltCurve_Q15283_2_RASA2.pdf</v>
      </c>
    </row>
    <row r="3465" spans="1:28" x14ac:dyDescent="0.25">
      <c r="A3465" t="s">
        <v>3469</v>
      </c>
      <c r="B3465">
        <v>0.995954080203443</v>
      </c>
      <c r="C3465">
        <v>0.95920158677854395</v>
      </c>
      <c r="D3465">
        <v>1.13882559487234</v>
      </c>
      <c r="E3465">
        <v>0.90308121769216498</v>
      </c>
      <c r="F3465">
        <v>0.75046659396245097</v>
      </c>
      <c r="G3465">
        <v>0.28708784600161802</v>
      </c>
      <c r="H3465">
        <v>0.149886125261804</v>
      </c>
      <c r="I3465">
        <v>0.106921796791511</v>
      </c>
      <c r="J3465">
        <v>9.1270733967547896E-2</v>
      </c>
      <c r="K3465">
        <v>8.9594516548441E-2</v>
      </c>
      <c r="L3465">
        <v>1597.36746712634</v>
      </c>
      <c r="M3465">
        <v>29.2516986873521</v>
      </c>
      <c r="N3465">
        <v>54.995030020862401</v>
      </c>
      <c r="O3465">
        <v>54.354376745258797</v>
      </c>
      <c r="P3465">
        <v>-0.12201725842594099</v>
      </c>
      <c r="Q3465">
        <v>9.3095507583849102E-2</v>
      </c>
      <c r="R3465">
        <v>0.985949862676054</v>
      </c>
      <c r="S3465" t="s">
        <v>10271</v>
      </c>
      <c r="T3465" t="s">
        <v>13610</v>
      </c>
      <c r="U3465" t="s">
        <v>13610</v>
      </c>
      <c r="V3465" t="s">
        <v>13610</v>
      </c>
      <c r="W3465" t="s">
        <v>17019</v>
      </c>
      <c r="X3465">
        <v>9</v>
      </c>
      <c r="Y3465" t="s">
        <v>23631</v>
      </c>
      <c r="Z3465" t="s">
        <v>30320</v>
      </c>
      <c r="AA3465">
        <v>0.54097786349610866</v>
      </c>
      <c r="AB3465" t="str">
        <f>HYPERLINK("Melting_Curves/meltCurve_Q15286_RAB35.pdf", "Melting_Curves/meltCurve_Q15286_RAB35.pdf")</f>
        <v>Melting_Curves/meltCurve_Q15286_RAB35.pdf</v>
      </c>
    </row>
    <row r="3466" spans="1:28" x14ac:dyDescent="0.25">
      <c r="A3466" t="s">
        <v>3470</v>
      </c>
      <c r="B3466">
        <v>0.995954080203443</v>
      </c>
      <c r="C3466">
        <v>0.92267259668230905</v>
      </c>
      <c r="D3466">
        <v>0.88640637739224404</v>
      </c>
      <c r="E3466">
        <v>0.800611386322306</v>
      </c>
      <c r="F3466">
        <v>0.76693807024003302</v>
      </c>
      <c r="G3466">
        <v>0.64615187397596596</v>
      </c>
      <c r="H3466">
        <v>0.48847704234428801</v>
      </c>
      <c r="I3466">
        <v>0.38051340073395001</v>
      </c>
      <c r="J3466">
        <v>0.26663989799062998</v>
      </c>
      <c r="K3466">
        <v>0.16551454675020399</v>
      </c>
      <c r="L3466">
        <v>510.95152704668101</v>
      </c>
      <c r="M3466">
        <v>8.5393482703023604</v>
      </c>
      <c r="N3466">
        <v>59.834955221145599</v>
      </c>
      <c r="O3466">
        <v>56.824408219346502</v>
      </c>
      <c r="P3466">
        <v>-3.7602284953245697E-2</v>
      </c>
      <c r="Q3466">
        <v>0</v>
      </c>
      <c r="R3466">
        <v>0.98350497761670796</v>
      </c>
      <c r="S3466" t="s">
        <v>10272</v>
      </c>
      <c r="T3466" t="s">
        <v>13610</v>
      </c>
      <c r="U3466" t="s">
        <v>13610</v>
      </c>
      <c r="V3466" t="s">
        <v>13610</v>
      </c>
      <c r="W3466" t="s">
        <v>17020</v>
      </c>
      <c r="X3466">
        <v>17</v>
      </c>
      <c r="Y3466" t="s">
        <v>23632</v>
      </c>
      <c r="Z3466" t="s">
        <v>30321</v>
      </c>
      <c r="AA3466">
        <v>0.6511956541659637</v>
      </c>
      <c r="AB3466" t="str">
        <f>HYPERLINK("Melting_Curves/meltCurve_Q15291_RBBP5.pdf", "Melting_Curves/meltCurve_Q15291_RBBP5.pdf")</f>
        <v>Melting_Curves/meltCurve_Q15291_RBBP5.pdf</v>
      </c>
    </row>
    <row r="3467" spans="1:28" x14ac:dyDescent="0.25">
      <c r="A3467" t="s">
        <v>3471</v>
      </c>
      <c r="B3467">
        <v>0.995954080203443</v>
      </c>
      <c r="C3467">
        <v>0.96529911300025495</v>
      </c>
      <c r="D3467">
        <v>0.95169486543274695</v>
      </c>
      <c r="E3467">
        <v>0.84856968659743204</v>
      </c>
      <c r="F3467">
        <v>0.79246601741762601</v>
      </c>
      <c r="G3467">
        <v>0.63694895714096</v>
      </c>
      <c r="H3467">
        <v>0.63516364406802295</v>
      </c>
      <c r="I3467">
        <v>0.82227407161995902</v>
      </c>
      <c r="J3467">
        <v>0.88840326892906196</v>
      </c>
      <c r="K3467">
        <v>0.967164465283057</v>
      </c>
      <c r="L3467">
        <v>1515.4828500649901</v>
      </c>
      <c r="M3467">
        <v>31.680692313221101</v>
      </c>
      <c r="O3467">
        <v>47.6467769071742</v>
      </c>
      <c r="P3467">
        <v>-3.4791516188370397E-2</v>
      </c>
      <c r="Q3467">
        <v>0.79069966061092201</v>
      </c>
      <c r="R3467">
        <v>0.41488554750296402</v>
      </c>
      <c r="S3467" t="s">
        <v>10273</v>
      </c>
      <c r="T3467" t="s">
        <v>13610</v>
      </c>
      <c r="U3467" t="s">
        <v>13610</v>
      </c>
      <c r="V3467" t="s">
        <v>13610</v>
      </c>
      <c r="W3467" t="s">
        <v>17021</v>
      </c>
      <c r="X3467">
        <v>14</v>
      </c>
      <c r="Y3467" t="s">
        <v>23633</v>
      </c>
      <c r="Z3467" t="s">
        <v>30322</v>
      </c>
      <c r="AA3467">
        <v>0.84649257608141348</v>
      </c>
      <c r="AB3467" t="str">
        <f>HYPERLINK("Melting_Curves/meltCurve_Q15293_RCN1.pdf", "Melting_Curves/meltCurve_Q15293_RCN1.pdf")</f>
        <v>Melting_Curves/meltCurve_Q15293_RCN1.pdf</v>
      </c>
    </row>
    <row r="3468" spans="1:28" x14ac:dyDescent="0.25">
      <c r="A3468" t="s">
        <v>3472</v>
      </c>
      <c r="B3468">
        <v>0.995954080203443</v>
      </c>
      <c r="C3468">
        <v>0.91667725078293905</v>
      </c>
      <c r="D3468">
        <v>0.64153114409203504</v>
      </c>
      <c r="E3468">
        <v>0.30313428087820699</v>
      </c>
      <c r="F3468">
        <v>0.19235273747051801</v>
      </c>
      <c r="G3468">
        <v>0.13569119548495001</v>
      </c>
      <c r="H3468">
        <v>0.102965640645654</v>
      </c>
      <c r="I3468">
        <v>0.107786236575022</v>
      </c>
      <c r="J3468">
        <v>0.120863721247737</v>
      </c>
      <c r="K3468">
        <v>0.11731452547873999</v>
      </c>
      <c r="L3468">
        <v>1029.80727340365</v>
      </c>
      <c r="M3468">
        <v>21.930901800382699</v>
      </c>
      <c r="N3468">
        <v>47.514630035258399</v>
      </c>
      <c r="O3468">
        <v>46.571710111574703</v>
      </c>
      <c r="P3468">
        <v>-0.104369311042251</v>
      </c>
      <c r="Q3468">
        <v>0.11347969370623499</v>
      </c>
      <c r="R3468">
        <v>0.99889409908565496</v>
      </c>
      <c r="S3468" t="s">
        <v>10274</v>
      </c>
      <c r="T3468" t="s">
        <v>13610</v>
      </c>
      <c r="U3468" t="s">
        <v>13610</v>
      </c>
      <c r="V3468" t="s">
        <v>13610</v>
      </c>
      <c r="W3468" t="s">
        <v>17022</v>
      </c>
      <c r="X3468">
        <v>21</v>
      </c>
      <c r="Y3468" t="s">
        <v>23634</v>
      </c>
      <c r="Z3468" t="s">
        <v>30323</v>
      </c>
      <c r="AA3468">
        <v>0.32965563127649311</v>
      </c>
      <c r="AB3468" t="str">
        <f>HYPERLINK("Melting_Curves/meltCurve_Q15311_RALBP1.pdf", "Melting_Curves/meltCurve_Q15311_RALBP1.pdf")</f>
        <v>Melting_Curves/meltCurve_Q15311_RALBP1.pdf</v>
      </c>
    </row>
    <row r="3469" spans="1:28" x14ac:dyDescent="0.25">
      <c r="A3469" t="s">
        <v>3473</v>
      </c>
      <c r="B3469">
        <v>0.995954080203443</v>
      </c>
      <c r="C3469">
        <v>0.85991627394972003</v>
      </c>
      <c r="D3469">
        <v>0.62651148797932699</v>
      </c>
      <c r="E3469">
        <v>0.522486752819314</v>
      </c>
      <c r="F3469">
        <v>0.287547723351747</v>
      </c>
      <c r="G3469">
        <v>0.157940901506647</v>
      </c>
      <c r="H3469">
        <v>0.103239110280788</v>
      </c>
      <c r="I3469">
        <v>0.102067084475052</v>
      </c>
      <c r="J3469">
        <v>0.133294291728769</v>
      </c>
      <c r="K3469">
        <v>0.12224030654823601</v>
      </c>
      <c r="L3469">
        <v>650.58048749216903</v>
      </c>
      <c r="M3469">
        <v>13.451170035238</v>
      </c>
      <c r="N3469">
        <v>49.029655683591599</v>
      </c>
      <c r="O3469">
        <v>47.334654933153701</v>
      </c>
      <c r="P3469">
        <v>-6.5140890039809204E-2</v>
      </c>
      <c r="Q3469">
        <v>8.3219308494550601E-2</v>
      </c>
      <c r="R3469">
        <v>0.98334815970516998</v>
      </c>
      <c r="S3469" t="s">
        <v>10275</v>
      </c>
      <c r="T3469" t="s">
        <v>13610</v>
      </c>
      <c r="U3469" t="s">
        <v>13610</v>
      </c>
      <c r="V3469" t="s">
        <v>13610</v>
      </c>
      <c r="W3469" t="s">
        <v>17023</v>
      </c>
      <c r="X3469">
        <v>13</v>
      </c>
      <c r="Y3469" t="s">
        <v>23635</v>
      </c>
      <c r="Z3469" t="s">
        <v>30324</v>
      </c>
      <c r="AA3469">
        <v>0.36742607810007921</v>
      </c>
      <c r="AB3469" t="str">
        <f>HYPERLINK("Melting_Curves/meltCurve_Q15334_LLGL1.pdf", "Melting_Curves/meltCurve_Q15334_LLGL1.pdf")</f>
        <v>Melting_Curves/meltCurve_Q15334_LLGL1.pdf</v>
      </c>
    </row>
    <row r="3470" spans="1:28" x14ac:dyDescent="0.25">
      <c r="A3470" t="s">
        <v>3474</v>
      </c>
      <c r="B3470">
        <v>0.995954080203443</v>
      </c>
      <c r="C3470">
        <v>0.95486919922830205</v>
      </c>
      <c r="D3470">
        <v>0.79241246239358598</v>
      </c>
      <c r="E3470">
        <v>0.47877146569725498</v>
      </c>
      <c r="F3470">
        <v>0.32737404973327899</v>
      </c>
      <c r="G3470">
        <v>0.23449228594844901</v>
      </c>
      <c r="H3470">
        <v>0.23292688940624401</v>
      </c>
      <c r="I3470">
        <v>0.293844477440312</v>
      </c>
      <c r="J3470">
        <v>0.36139101192427098</v>
      </c>
      <c r="K3470">
        <v>0.33476996086848099</v>
      </c>
      <c r="L3470">
        <v>1217.1666350662899</v>
      </c>
      <c r="M3470">
        <v>25.518853434779</v>
      </c>
      <c r="N3470">
        <v>49.366493363768299</v>
      </c>
      <c r="O3470">
        <v>47.406752677277602</v>
      </c>
      <c r="P3470">
        <v>-9.5672526387008794E-2</v>
      </c>
      <c r="Q3470">
        <v>0.28907972881604199</v>
      </c>
      <c r="R3470">
        <v>0.98029059063007395</v>
      </c>
      <c r="S3470" t="s">
        <v>10276</v>
      </c>
      <c r="T3470" t="s">
        <v>13610</v>
      </c>
      <c r="U3470" t="s">
        <v>13610</v>
      </c>
      <c r="V3470" t="s">
        <v>13610</v>
      </c>
      <c r="W3470" t="s">
        <v>17024</v>
      </c>
      <c r="X3470">
        <v>12</v>
      </c>
      <c r="Y3470" t="s">
        <v>23636</v>
      </c>
      <c r="Z3470" t="s">
        <v>30325</v>
      </c>
      <c r="AA3470">
        <v>0.47749311686380802</v>
      </c>
      <c r="AB3470" t="str">
        <f>HYPERLINK("Melting_Curves/meltCurve_Q15345_LRRC41.pdf", "Melting_Curves/meltCurve_Q15345_LRRC41.pdf")</f>
        <v>Melting_Curves/meltCurve_Q15345_LRRC41.pdf</v>
      </c>
    </row>
    <row r="3471" spans="1:28" x14ac:dyDescent="0.25">
      <c r="A3471" t="s">
        <v>3475</v>
      </c>
      <c r="B3471">
        <v>0.995954080203443</v>
      </c>
      <c r="C3471">
        <v>0.97023234038017503</v>
      </c>
      <c r="D3471">
        <v>0.87858468533475698</v>
      </c>
      <c r="E3471">
        <v>0.87395942106373004</v>
      </c>
      <c r="F3471">
        <v>0.69233486412721301</v>
      </c>
      <c r="G3471">
        <v>0.483185856324505</v>
      </c>
      <c r="H3471">
        <v>0.38471227672693198</v>
      </c>
      <c r="I3471">
        <v>0.38729748575672002</v>
      </c>
      <c r="J3471">
        <v>0.42254489395894601</v>
      </c>
      <c r="K3471">
        <v>0.48038915296652202</v>
      </c>
      <c r="L3471">
        <v>1162.7684292572001</v>
      </c>
      <c r="M3471">
        <v>22.137341704375999</v>
      </c>
      <c r="N3471">
        <v>56.874157553099998</v>
      </c>
      <c r="O3471">
        <v>52.102206829304798</v>
      </c>
      <c r="P3471">
        <v>-6.2884624260853603E-2</v>
      </c>
      <c r="Q3471">
        <v>0.40799441346327098</v>
      </c>
      <c r="R3471">
        <v>0.96622263155974597</v>
      </c>
      <c r="S3471" t="s">
        <v>10277</v>
      </c>
      <c r="T3471" t="s">
        <v>13610</v>
      </c>
      <c r="U3471" t="s">
        <v>13610</v>
      </c>
      <c r="V3471" t="s">
        <v>13610</v>
      </c>
      <c r="W3471" t="s">
        <v>17025</v>
      </c>
      <c r="X3471">
        <v>2</v>
      </c>
      <c r="Y3471" t="s">
        <v>23637</v>
      </c>
      <c r="Z3471" t="s">
        <v>30326</v>
      </c>
      <c r="AA3471">
        <v>0.66197443586228388</v>
      </c>
      <c r="AB3471" t="str">
        <f>HYPERLINK("Melting_Curves/meltCurve_Q15361_TTF1.pdf", "Melting_Curves/meltCurve_Q15361_TTF1.pdf")</f>
        <v>Melting_Curves/meltCurve_Q15361_TTF1.pdf</v>
      </c>
    </row>
    <row r="3472" spans="1:28" x14ac:dyDescent="0.25">
      <c r="A3472" t="s">
        <v>3476</v>
      </c>
      <c r="B3472">
        <v>0.995954080203443</v>
      </c>
      <c r="C3472">
        <v>0.89987883419153303</v>
      </c>
      <c r="D3472">
        <v>0.92174804613122296</v>
      </c>
      <c r="E3472">
        <v>0.97942850488863498</v>
      </c>
      <c r="F3472">
        <v>0.396058537486073</v>
      </c>
      <c r="G3472">
        <v>0.19032533370346</v>
      </c>
      <c r="H3472">
        <v>0.14917951337486601</v>
      </c>
      <c r="I3472">
        <v>0.18540873624502799</v>
      </c>
      <c r="J3472">
        <v>0.22295250736802399</v>
      </c>
      <c r="K3472">
        <v>0.210182880138293</v>
      </c>
      <c r="L3472">
        <v>4177.7036915837098</v>
      </c>
      <c r="M3472">
        <v>79.906903789586394</v>
      </c>
      <c r="N3472">
        <v>52.599798443201799</v>
      </c>
      <c r="O3472">
        <v>52.2494186912731</v>
      </c>
      <c r="P3472">
        <v>-0.30915684207887101</v>
      </c>
      <c r="Q3472">
        <v>0.19139586736311301</v>
      </c>
      <c r="R3472">
        <v>0.98513699117448195</v>
      </c>
      <c r="S3472" t="s">
        <v>10278</v>
      </c>
      <c r="T3472" t="s">
        <v>13610</v>
      </c>
      <c r="U3472" t="s">
        <v>13610</v>
      </c>
      <c r="V3472" t="s">
        <v>13610</v>
      </c>
      <c r="W3472" t="s">
        <v>17026</v>
      </c>
      <c r="X3472">
        <v>3</v>
      </c>
      <c r="Y3472" t="s">
        <v>23638</v>
      </c>
      <c r="Z3472" t="s">
        <v>30327</v>
      </c>
      <c r="AA3472">
        <v>0.52316973998483041</v>
      </c>
      <c r="AB3472" t="str">
        <f>HYPERLINK("Melting_Curves/meltCurve_Q15363_TMED2.pdf", "Melting_Curves/meltCurve_Q15363_TMED2.pdf")</f>
        <v>Melting_Curves/meltCurve_Q15363_TMED2.pdf</v>
      </c>
    </row>
    <row r="3473" spans="1:28" x14ac:dyDescent="0.25">
      <c r="A3473" t="s">
        <v>3477</v>
      </c>
      <c r="B3473">
        <v>0.995954080203443</v>
      </c>
      <c r="C3473">
        <v>1.0024580580731299</v>
      </c>
      <c r="D3473">
        <v>0.96339813242365901</v>
      </c>
      <c r="E3473">
        <v>0.85079690807062602</v>
      </c>
      <c r="F3473">
        <v>0.72389497665792202</v>
      </c>
      <c r="G3473">
        <v>0.47853525215446602</v>
      </c>
      <c r="H3473">
        <v>0.34252492037448601</v>
      </c>
      <c r="I3473">
        <v>0.28582202348806701</v>
      </c>
      <c r="J3473">
        <v>0.26519363444070598</v>
      </c>
      <c r="K3473">
        <v>0.18442438787752799</v>
      </c>
      <c r="L3473">
        <v>824.59156040450205</v>
      </c>
      <c r="M3473">
        <v>14.9461203537128</v>
      </c>
      <c r="N3473">
        <v>56.902755111466298</v>
      </c>
      <c r="O3473">
        <v>54.211550513699699</v>
      </c>
      <c r="P3473">
        <v>-5.63355696565849E-2</v>
      </c>
      <c r="Q3473">
        <v>0.182737612779346</v>
      </c>
      <c r="R3473">
        <v>0.99746258054111003</v>
      </c>
      <c r="S3473" t="s">
        <v>10279</v>
      </c>
      <c r="T3473" t="s">
        <v>13610</v>
      </c>
      <c r="U3473" t="s">
        <v>13610</v>
      </c>
      <c r="V3473" t="s">
        <v>13610</v>
      </c>
      <c r="W3473" t="s">
        <v>17027</v>
      </c>
      <c r="X3473">
        <v>18</v>
      </c>
      <c r="Y3473" t="s">
        <v>23639</v>
      </c>
      <c r="Z3473" t="s">
        <v>30328</v>
      </c>
      <c r="AA3473">
        <v>0.61164633799582402</v>
      </c>
      <c r="AB3473" t="str">
        <f>HYPERLINK("Melting_Curves/meltCurve_Q15365_PCBP1.pdf", "Melting_Curves/meltCurve_Q15365_PCBP1.pdf")</f>
        <v>Melting_Curves/meltCurve_Q15365_PCBP1.pdf</v>
      </c>
    </row>
    <row r="3474" spans="1:28" x14ac:dyDescent="0.25">
      <c r="A3474" t="s">
        <v>3478</v>
      </c>
      <c r="B3474">
        <v>0.995954080203443</v>
      </c>
      <c r="C3474">
        <v>1.0084676553959799</v>
      </c>
      <c r="D3474">
        <v>1.01789328463634</v>
      </c>
      <c r="E3474">
        <v>0.82275800778729802</v>
      </c>
      <c r="F3474">
        <v>0.62937831541235301</v>
      </c>
      <c r="G3474">
        <v>0.32082251384293597</v>
      </c>
      <c r="H3474">
        <v>0.18151765651077301</v>
      </c>
      <c r="I3474">
        <v>0.161458140236201</v>
      </c>
      <c r="J3474">
        <v>0.167740429777191</v>
      </c>
      <c r="K3474">
        <v>0.13767971958331501</v>
      </c>
      <c r="L3474">
        <v>1174.2343533257999</v>
      </c>
      <c r="M3474">
        <v>21.935776127774702</v>
      </c>
      <c r="N3474">
        <v>54.343234529818503</v>
      </c>
      <c r="O3474">
        <v>53.091631821798998</v>
      </c>
      <c r="P3474">
        <v>-8.8850528912916199E-2</v>
      </c>
      <c r="Q3474">
        <v>0.13983202543773299</v>
      </c>
      <c r="R3474">
        <v>0.997627644774983</v>
      </c>
      <c r="S3474" t="s">
        <v>10280</v>
      </c>
      <c r="T3474" t="s">
        <v>13610</v>
      </c>
      <c r="U3474" t="s">
        <v>13610</v>
      </c>
      <c r="V3474" t="s">
        <v>13610</v>
      </c>
      <c r="W3474" t="s">
        <v>17028</v>
      </c>
      <c r="X3474">
        <v>19</v>
      </c>
      <c r="Y3474" t="s">
        <v>23640</v>
      </c>
      <c r="Z3474" t="s">
        <v>30329</v>
      </c>
      <c r="AA3474">
        <v>0.53783756497224777</v>
      </c>
      <c r="AB3474" t="str">
        <f>HYPERLINK("Melting_Curves/meltCurve_Q15366_2_PCBP2.pdf", "Melting_Curves/meltCurve_Q15366_2_PCBP2.pdf")</f>
        <v>Melting_Curves/meltCurve_Q15366_2_PCBP2.pdf</v>
      </c>
    </row>
    <row r="3475" spans="1:28" x14ac:dyDescent="0.25">
      <c r="A3475" t="s">
        <v>3479</v>
      </c>
      <c r="B3475">
        <v>0.995954080203443</v>
      </c>
      <c r="C3475">
        <v>1.0580569787962899</v>
      </c>
      <c r="D3475">
        <v>0.98702067019105</v>
      </c>
      <c r="E3475">
        <v>0.858882442228594</v>
      </c>
      <c r="F3475">
        <v>0.59837301775818397</v>
      </c>
      <c r="G3475">
        <v>0.281511724383194</v>
      </c>
      <c r="H3475">
        <v>9.3291424949356799E-2</v>
      </c>
      <c r="I3475">
        <v>5.63685875385894E-2</v>
      </c>
      <c r="J3475">
        <v>4.76020184772133E-2</v>
      </c>
      <c r="K3475">
        <v>4.7824680995478097E-2</v>
      </c>
      <c r="L3475">
        <v>1182.1616701246101</v>
      </c>
      <c r="M3475">
        <v>21.906555289924299</v>
      </c>
      <c r="N3475">
        <v>54.1356339444201</v>
      </c>
      <c r="O3475">
        <v>53.5201868371269</v>
      </c>
      <c r="P3475">
        <v>-9.8894530591311897E-2</v>
      </c>
      <c r="Q3475">
        <v>3.3579937742384401E-2</v>
      </c>
      <c r="R3475">
        <v>0.99734688807901495</v>
      </c>
      <c r="S3475" t="s">
        <v>10281</v>
      </c>
      <c r="T3475" t="s">
        <v>13610</v>
      </c>
      <c r="U3475" t="s">
        <v>13610</v>
      </c>
      <c r="V3475" t="s">
        <v>13610</v>
      </c>
      <c r="W3475" t="s">
        <v>17029</v>
      </c>
      <c r="X3475">
        <v>19</v>
      </c>
      <c r="Y3475" t="s">
        <v>23640</v>
      </c>
      <c r="Z3475" t="s">
        <v>30330</v>
      </c>
      <c r="AA3475">
        <v>0.49470666460637569</v>
      </c>
      <c r="AB3475" t="str">
        <f>HYPERLINK("Melting_Curves/meltCurve_Q15366_3_PCBP2.pdf", "Melting_Curves/meltCurve_Q15366_3_PCBP2.pdf")</f>
        <v>Melting_Curves/meltCurve_Q15366_3_PCBP2.pdf</v>
      </c>
    </row>
    <row r="3476" spans="1:28" x14ac:dyDescent="0.25">
      <c r="A3476" t="s">
        <v>3480</v>
      </c>
      <c r="B3476">
        <v>0.995954080203443</v>
      </c>
      <c r="C3476">
        <v>0.964950409654589</v>
      </c>
      <c r="D3476">
        <v>0.93075041407465597</v>
      </c>
      <c r="E3476">
        <v>0.57555323919935197</v>
      </c>
      <c r="F3476">
        <v>0.25984306642357502</v>
      </c>
      <c r="G3476">
        <v>0.110048295435659</v>
      </c>
      <c r="H3476">
        <v>4.8552571448009701E-2</v>
      </c>
      <c r="I3476">
        <v>3.4962273905225799E-2</v>
      </c>
      <c r="J3476">
        <v>3.6741433306589098E-2</v>
      </c>
      <c r="K3476">
        <v>3.33161758639621E-2</v>
      </c>
      <c r="L3476">
        <v>1231.5080229662301</v>
      </c>
      <c r="M3476">
        <v>24.386120089737599</v>
      </c>
      <c r="N3476">
        <v>50.653423541198002</v>
      </c>
      <c r="O3476">
        <v>50.164447591254898</v>
      </c>
      <c r="P3476">
        <v>-0.117216074254403</v>
      </c>
      <c r="Q3476">
        <v>3.5518185889766303E-2</v>
      </c>
      <c r="R3476">
        <v>0.99932198471086398</v>
      </c>
      <c r="S3476" t="s">
        <v>10282</v>
      </c>
      <c r="T3476" t="s">
        <v>13610</v>
      </c>
      <c r="U3476" t="s">
        <v>13610</v>
      </c>
      <c r="V3476" t="s">
        <v>13610</v>
      </c>
      <c r="W3476" t="s">
        <v>17030</v>
      </c>
      <c r="X3476">
        <v>11</v>
      </c>
      <c r="Y3476" t="s">
        <v>23641</v>
      </c>
      <c r="Z3476" t="s">
        <v>30331</v>
      </c>
      <c r="AA3476">
        <v>0.38220301830014658</v>
      </c>
      <c r="AB3476" t="str">
        <f>HYPERLINK("Melting_Curves/meltCurve_Q15382_RHEB.pdf", "Melting_Curves/meltCurve_Q15382_RHEB.pdf")</f>
        <v>Melting_Curves/meltCurve_Q15382_RHEB.pdf</v>
      </c>
    </row>
    <row r="3477" spans="1:28" x14ac:dyDescent="0.25">
      <c r="A3477" t="s">
        <v>3481</v>
      </c>
      <c r="B3477">
        <v>0.995954080203443</v>
      </c>
      <c r="C3477">
        <v>0.98714278087365603</v>
      </c>
      <c r="D3477">
        <v>0.91480048324060004</v>
      </c>
      <c r="E3477">
        <v>0.76388227936684705</v>
      </c>
      <c r="F3477">
        <v>0.185366580449564</v>
      </c>
      <c r="G3477">
        <v>9.8727178119609696E-2</v>
      </c>
      <c r="H3477">
        <v>7.3766680122389294E-2</v>
      </c>
      <c r="I3477">
        <v>8.3392975831312693E-2</v>
      </c>
      <c r="J3477">
        <v>8.9325372533745298E-2</v>
      </c>
      <c r="K3477">
        <v>8.7700866418279094E-2</v>
      </c>
      <c r="L3477">
        <v>2721.61862212798</v>
      </c>
      <c r="M3477">
        <v>53.3968152614015</v>
      </c>
      <c r="N3477">
        <v>51.1486716463913</v>
      </c>
      <c r="O3477">
        <v>50.898341688993597</v>
      </c>
      <c r="P3477">
        <v>-0.23992075584504399</v>
      </c>
      <c r="Q3477">
        <v>8.5221802260956797E-2</v>
      </c>
      <c r="R3477">
        <v>0.99553600749948701</v>
      </c>
      <c r="S3477" t="s">
        <v>10283</v>
      </c>
      <c r="T3477" t="s">
        <v>13610</v>
      </c>
      <c r="U3477" t="s">
        <v>13610</v>
      </c>
      <c r="V3477" t="s">
        <v>13610</v>
      </c>
      <c r="W3477" t="s">
        <v>17031</v>
      </c>
      <c r="X3477">
        <v>32</v>
      </c>
      <c r="Y3477" t="s">
        <v>23642</v>
      </c>
      <c r="Z3477" t="s">
        <v>30332</v>
      </c>
      <c r="AA3477">
        <v>0.42151803100052321</v>
      </c>
      <c r="AB3477" t="str">
        <f>HYPERLINK("Melting_Curves/meltCurve_Q15386_UBE3C.pdf", "Melting_Curves/meltCurve_Q15386_UBE3C.pdf")</f>
        <v>Melting_Curves/meltCurve_Q15386_UBE3C.pdf</v>
      </c>
    </row>
    <row r="3478" spans="1:28" x14ac:dyDescent="0.25">
      <c r="A3478" t="s">
        <v>3482</v>
      </c>
      <c r="B3478">
        <v>0.995954080203443</v>
      </c>
      <c r="C3478">
        <v>0.724250667305539</v>
      </c>
      <c r="D3478">
        <v>0.52673688849823197</v>
      </c>
      <c r="E3478">
        <v>0.73002337018316499</v>
      </c>
      <c r="F3478">
        <v>0.50721229918646804</v>
      </c>
      <c r="G3478">
        <v>0.20408258484720401</v>
      </c>
      <c r="H3478">
        <v>8.1264366230527296E-2</v>
      </c>
      <c r="I3478">
        <v>5.4567810783017402E-2</v>
      </c>
      <c r="J3478">
        <v>5.6741008693700197E-2</v>
      </c>
      <c r="K3478">
        <v>4.9903704946189099E-2</v>
      </c>
      <c r="L3478">
        <v>469.39102240809899</v>
      </c>
      <c r="M3478">
        <v>9.3060756233951505</v>
      </c>
      <c r="N3478">
        <v>50.439205150212103</v>
      </c>
      <c r="O3478">
        <v>48.274334996316199</v>
      </c>
      <c r="P3478">
        <v>-4.8224533624112602E-2</v>
      </c>
      <c r="Q3478">
        <v>0</v>
      </c>
      <c r="R3478">
        <v>0.88485906883667598</v>
      </c>
      <c r="S3478" t="s">
        <v>10284</v>
      </c>
      <c r="T3478" t="s">
        <v>13610</v>
      </c>
      <c r="U3478" t="s">
        <v>13610</v>
      </c>
      <c r="V3478" t="s">
        <v>13610</v>
      </c>
      <c r="W3478" t="s">
        <v>17032</v>
      </c>
      <c r="X3478">
        <v>45</v>
      </c>
      <c r="Y3478" t="s">
        <v>23643</v>
      </c>
      <c r="Z3478" t="s">
        <v>30333</v>
      </c>
      <c r="AA3478">
        <v>0.39576188417496372</v>
      </c>
      <c r="AB3478" t="str">
        <f>HYPERLINK("Melting_Curves/meltCurve_Q15393_SF3B3.pdf", "Melting_Curves/meltCurve_Q15393_SF3B3.pdf")</f>
        <v>Melting_Curves/meltCurve_Q15393_SF3B3.pdf</v>
      </c>
    </row>
    <row r="3479" spans="1:28" x14ac:dyDescent="0.25">
      <c r="A3479" t="s">
        <v>3483</v>
      </c>
      <c r="B3479">
        <v>0.995954080203443</v>
      </c>
      <c r="C3479">
        <v>0.94064002552290205</v>
      </c>
      <c r="D3479">
        <v>0.88226927406445499</v>
      </c>
      <c r="E3479">
        <v>0.67110835104566402</v>
      </c>
      <c r="F3479">
        <v>0.58287611951435903</v>
      </c>
      <c r="G3479">
        <v>0.42118584189471298</v>
      </c>
      <c r="H3479">
        <v>0.34331777971302502</v>
      </c>
      <c r="I3479">
        <v>0.40810413266002299</v>
      </c>
      <c r="J3479">
        <v>0.46665483516869199</v>
      </c>
      <c r="K3479">
        <v>0.46042269527070201</v>
      </c>
      <c r="L3479">
        <v>917.78951846578605</v>
      </c>
      <c r="M3479">
        <v>18.559623918895198</v>
      </c>
      <c r="N3479">
        <v>54.5052703370364</v>
      </c>
      <c r="O3479">
        <v>48.887496652202699</v>
      </c>
      <c r="P3479">
        <v>-5.5945801082491503E-2</v>
      </c>
      <c r="Q3479">
        <v>0.410563356192233</v>
      </c>
      <c r="R3479">
        <v>0.97005677607166096</v>
      </c>
      <c r="S3479" t="s">
        <v>10285</v>
      </c>
      <c r="T3479" t="s">
        <v>13610</v>
      </c>
      <c r="U3479" t="s">
        <v>13610</v>
      </c>
      <c r="V3479" t="s">
        <v>13610</v>
      </c>
      <c r="W3479" t="s">
        <v>17033</v>
      </c>
      <c r="X3479">
        <v>21</v>
      </c>
      <c r="Y3479" t="s">
        <v>23644</v>
      </c>
      <c r="Z3479" t="s">
        <v>30334</v>
      </c>
      <c r="AA3479">
        <v>0.6057942131673083</v>
      </c>
      <c r="AB3479" t="str">
        <f>HYPERLINK("Melting_Curves/meltCurve_Q15398_DLGAP5.pdf", "Melting_Curves/meltCurve_Q15398_DLGAP5.pdf")</f>
        <v>Melting_Curves/meltCurve_Q15398_DLGAP5.pdf</v>
      </c>
    </row>
    <row r="3480" spans="1:28" x14ac:dyDescent="0.25">
      <c r="A3480" t="s">
        <v>3484</v>
      </c>
      <c r="B3480">
        <v>0.995954080203443</v>
      </c>
      <c r="C3480">
        <v>1.0251606654900101</v>
      </c>
      <c r="D3480">
        <v>1.0311226086630301</v>
      </c>
      <c r="E3480">
        <v>0.80662169569100195</v>
      </c>
      <c r="F3480">
        <v>0.46849894879885601</v>
      </c>
      <c r="G3480">
        <v>0.17385666667845301</v>
      </c>
      <c r="H3480">
        <v>9.4500293985237294E-2</v>
      </c>
      <c r="I3480">
        <v>7.3508809139131798E-2</v>
      </c>
      <c r="J3480">
        <v>7.1742393693643797E-2</v>
      </c>
      <c r="K3480">
        <v>6.8253634380331704E-2</v>
      </c>
      <c r="L3480">
        <v>1472.5674556024101</v>
      </c>
      <c r="M3480">
        <v>28.064779539362199</v>
      </c>
      <c r="N3480">
        <v>52.763994301233303</v>
      </c>
      <c r="O3480">
        <v>52.206069090008903</v>
      </c>
      <c r="P3480">
        <v>-0.124677073286937</v>
      </c>
      <c r="Q3480">
        <v>7.2311396395827898E-2</v>
      </c>
      <c r="R3480">
        <v>0.99802928133172197</v>
      </c>
      <c r="S3480" t="s">
        <v>10286</v>
      </c>
      <c r="T3480" t="s">
        <v>13610</v>
      </c>
      <c r="U3480" t="s">
        <v>13610</v>
      </c>
      <c r="V3480" t="s">
        <v>13610</v>
      </c>
      <c r="W3480" t="s">
        <v>17034</v>
      </c>
      <c r="X3480">
        <v>12</v>
      </c>
      <c r="Y3480" t="s">
        <v>23645</v>
      </c>
      <c r="Z3480" t="s">
        <v>30335</v>
      </c>
      <c r="AA3480">
        <v>0.46473479002244139</v>
      </c>
      <c r="AB3480" t="str">
        <f>HYPERLINK("Melting_Curves/meltCurve_Q15404_RSU1.pdf", "Melting_Curves/meltCurve_Q15404_RSU1.pdf")</f>
        <v>Melting_Curves/meltCurve_Q15404_RSU1.pdf</v>
      </c>
    </row>
    <row r="3481" spans="1:28" x14ac:dyDescent="0.25">
      <c r="A3481" t="s">
        <v>3485</v>
      </c>
      <c r="B3481">
        <v>0.995954080203443</v>
      </c>
      <c r="C3481">
        <v>1.0875797245944001</v>
      </c>
      <c r="D3481">
        <v>1.0519576147269201</v>
      </c>
      <c r="E3481">
        <v>0.99854257955269898</v>
      </c>
      <c r="F3481">
        <v>0.99564480330718597</v>
      </c>
      <c r="G3481">
        <v>0.78888588726072595</v>
      </c>
      <c r="H3481">
        <v>0.73896537435671605</v>
      </c>
      <c r="I3481">
        <v>0.90512833225915901</v>
      </c>
      <c r="J3481">
        <v>1.1656033780358901</v>
      </c>
      <c r="K3481">
        <v>1.10893692927496</v>
      </c>
      <c r="L3481">
        <v>7213.4285164948496</v>
      </c>
      <c r="M3481">
        <v>109.642367824817</v>
      </c>
      <c r="O3481">
        <v>65.768642248786094</v>
      </c>
      <c r="P3481">
        <v>5.8863758789614903E-2</v>
      </c>
      <c r="Q3481">
        <v>1.14123698439091</v>
      </c>
      <c r="R3481">
        <v>0.193428852730992</v>
      </c>
      <c r="S3481" t="s">
        <v>10287</v>
      </c>
      <c r="T3481" t="s">
        <v>13610</v>
      </c>
      <c r="U3481" t="s">
        <v>13610</v>
      </c>
      <c r="V3481" t="s">
        <v>13610</v>
      </c>
      <c r="W3481" t="s">
        <v>17035</v>
      </c>
      <c r="X3481">
        <v>23</v>
      </c>
      <c r="Y3481" t="s">
        <v>23646</v>
      </c>
      <c r="Z3481" t="s">
        <v>30336</v>
      </c>
      <c r="AA3481">
        <v>1.0197374054710431</v>
      </c>
      <c r="AB3481" t="str">
        <f>HYPERLINK("Melting_Curves/meltCurve_Q15424_SAFB.pdf", "Melting_Curves/meltCurve_Q15424_SAFB.pdf")</f>
        <v>Melting_Curves/meltCurve_Q15424_SAFB.pdf</v>
      </c>
    </row>
    <row r="3482" spans="1:28" x14ac:dyDescent="0.25">
      <c r="A3482" t="s">
        <v>3486</v>
      </c>
      <c r="B3482">
        <v>0.995954080203443</v>
      </c>
      <c r="C3482">
        <v>0.798855882586608</v>
      </c>
      <c r="D3482">
        <v>0.71964933955160204</v>
      </c>
      <c r="E3482">
        <v>0.857164029414481</v>
      </c>
      <c r="F3482">
        <v>0.74980267611537399</v>
      </c>
      <c r="G3482">
        <v>0.48650912394518298</v>
      </c>
      <c r="H3482">
        <v>0.29210946197811299</v>
      </c>
      <c r="I3482">
        <v>0.31453654931296998</v>
      </c>
      <c r="J3482">
        <v>0.245354248280863</v>
      </c>
      <c r="K3482">
        <v>0.26585309383489503</v>
      </c>
      <c r="L3482">
        <v>401.75302479710598</v>
      </c>
      <c r="M3482">
        <v>7.0197032422378802</v>
      </c>
      <c r="N3482">
        <v>57.232194999031599</v>
      </c>
      <c r="O3482">
        <v>53.130879057875099</v>
      </c>
      <c r="P3482">
        <v>-3.3090856969988099E-2</v>
      </c>
      <c r="Q3482">
        <v>0</v>
      </c>
      <c r="R3482">
        <v>0.89917352930361405</v>
      </c>
      <c r="S3482" t="s">
        <v>10288</v>
      </c>
      <c r="T3482" t="s">
        <v>13610</v>
      </c>
      <c r="U3482" t="s">
        <v>13610</v>
      </c>
      <c r="V3482" t="s">
        <v>13610</v>
      </c>
      <c r="W3482" t="s">
        <v>17036</v>
      </c>
      <c r="X3482">
        <v>3</v>
      </c>
      <c r="Y3482" t="s">
        <v>23647</v>
      </c>
      <c r="Z3482" t="s">
        <v>30337</v>
      </c>
      <c r="AA3482">
        <v>0.58065280344780512</v>
      </c>
      <c r="AB3482" t="str">
        <f>HYPERLINK("Melting_Curves/meltCurve_Q15427_SF3B4.pdf", "Melting_Curves/meltCurve_Q15427_SF3B4.pdf")</f>
        <v>Melting_Curves/meltCurve_Q15427_SF3B4.pdf</v>
      </c>
    </row>
    <row r="3483" spans="1:28" x14ac:dyDescent="0.25">
      <c r="A3483" t="s">
        <v>3487</v>
      </c>
      <c r="B3483">
        <v>0.995954080203443</v>
      </c>
      <c r="C3483">
        <v>0.762994437367707</v>
      </c>
      <c r="D3483">
        <v>0.442025780965556</v>
      </c>
      <c r="E3483">
        <v>0.37960515846853099</v>
      </c>
      <c r="F3483">
        <v>0.20576475371831099</v>
      </c>
      <c r="G3483">
        <v>0.11755152351839</v>
      </c>
      <c r="H3483">
        <v>8.84107825580282E-2</v>
      </c>
      <c r="I3483">
        <v>7.8261234817311301E-2</v>
      </c>
      <c r="J3483">
        <v>8.0136099904045702E-2</v>
      </c>
      <c r="K3483">
        <v>7.0645045312082405E-2</v>
      </c>
      <c r="L3483">
        <v>669.80621559660005</v>
      </c>
      <c r="M3483">
        <v>14.549907589880799</v>
      </c>
      <c r="N3483">
        <v>46.537271167849397</v>
      </c>
      <c r="O3483">
        <v>45.191708391211598</v>
      </c>
      <c r="P3483">
        <v>-7.4650679690480906E-2</v>
      </c>
      <c r="Q3483">
        <v>7.2651924385416997E-2</v>
      </c>
      <c r="R3483">
        <v>0.973935874243681</v>
      </c>
      <c r="S3483" t="s">
        <v>10289</v>
      </c>
      <c r="T3483" t="s">
        <v>13610</v>
      </c>
      <c r="U3483" t="s">
        <v>13610</v>
      </c>
      <c r="V3483" t="s">
        <v>13610</v>
      </c>
      <c r="W3483" t="s">
        <v>17037</v>
      </c>
      <c r="X3483">
        <v>11</v>
      </c>
      <c r="Y3483" t="s">
        <v>23648</v>
      </c>
      <c r="Z3483" t="s">
        <v>30338</v>
      </c>
      <c r="AA3483">
        <v>0.28798495907108917</v>
      </c>
      <c r="AB3483" t="str">
        <f>HYPERLINK("Melting_Curves/meltCurve_Q15428_SF3A2.pdf", "Melting_Curves/meltCurve_Q15428_SF3A2.pdf")</f>
        <v>Melting_Curves/meltCurve_Q15428_SF3A2.pdf</v>
      </c>
    </row>
    <row r="3484" spans="1:28" x14ac:dyDescent="0.25">
      <c r="A3484" t="s">
        <v>3488</v>
      </c>
      <c r="B3484">
        <v>0.995954080203443</v>
      </c>
      <c r="C3484">
        <v>0.96317974519829697</v>
      </c>
      <c r="D3484">
        <v>0.88458404216423003</v>
      </c>
      <c r="E3484">
        <v>0.72496679651215301</v>
      </c>
      <c r="F3484">
        <v>0.32772358130634799</v>
      </c>
      <c r="G3484">
        <v>0.153456301178475</v>
      </c>
      <c r="H3484">
        <v>0.11201753093418</v>
      </c>
      <c r="I3484">
        <v>0.10298963182284</v>
      </c>
      <c r="J3484">
        <v>0.111046076023799</v>
      </c>
      <c r="K3484">
        <v>0.107347490945689</v>
      </c>
      <c r="L3484">
        <v>1375.17120118305</v>
      </c>
      <c r="M3484">
        <v>26.8831823740666</v>
      </c>
      <c r="N3484">
        <v>51.588008418247902</v>
      </c>
      <c r="O3484">
        <v>50.873048510621203</v>
      </c>
      <c r="P3484">
        <v>-0.118728539332539</v>
      </c>
      <c r="Q3484">
        <v>0.10129362504581001</v>
      </c>
      <c r="R3484">
        <v>0.99373342524149999</v>
      </c>
      <c r="S3484" t="s">
        <v>10290</v>
      </c>
      <c r="T3484" t="s">
        <v>13610</v>
      </c>
      <c r="U3484" t="s">
        <v>13610</v>
      </c>
      <c r="V3484" t="s">
        <v>13610</v>
      </c>
      <c r="W3484" t="s">
        <v>17038</v>
      </c>
      <c r="X3484">
        <v>22</v>
      </c>
      <c r="Y3484" t="s">
        <v>23649</v>
      </c>
      <c r="Z3484" t="s">
        <v>30339</v>
      </c>
      <c r="AA3484">
        <v>0.44246792891398701</v>
      </c>
      <c r="AB3484" t="str">
        <f>HYPERLINK("Melting_Curves/meltCurve_Q15435_PPP1R7.pdf", "Melting_Curves/meltCurve_Q15435_PPP1R7.pdf")</f>
        <v>Melting_Curves/meltCurve_Q15435_PPP1R7.pdf</v>
      </c>
    </row>
    <row r="3485" spans="1:28" x14ac:dyDescent="0.25">
      <c r="A3485" t="s">
        <v>3489</v>
      </c>
      <c r="B3485">
        <v>0.995954080203443</v>
      </c>
      <c r="C3485">
        <v>0.89707717750591898</v>
      </c>
      <c r="D3485">
        <v>0.79605542201208301</v>
      </c>
      <c r="E3485">
        <v>0.65712122953213903</v>
      </c>
      <c r="F3485">
        <v>0.363609418798714</v>
      </c>
      <c r="G3485">
        <v>0.24570388770263701</v>
      </c>
      <c r="H3485">
        <v>7.8111946509454702E-2</v>
      </c>
      <c r="I3485">
        <v>6.0045017033387903E-2</v>
      </c>
      <c r="J3485">
        <v>6.8565282204092304E-2</v>
      </c>
      <c r="K3485">
        <v>6.0199677909084003E-2</v>
      </c>
      <c r="L3485">
        <v>679.025534211837</v>
      </c>
      <c r="M3485">
        <v>13.2189827186423</v>
      </c>
      <c r="N3485">
        <v>51.438746076474402</v>
      </c>
      <c r="O3485">
        <v>50.234562024148701</v>
      </c>
      <c r="P3485">
        <v>-6.5199938576691596E-2</v>
      </c>
      <c r="Q3485">
        <v>9.0766303133645605E-3</v>
      </c>
      <c r="R3485">
        <v>0.99102956243435802</v>
      </c>
      <c r="S3485" t="s">
        <v>10291</v>
      </c>
      <c r="T3485" t="s">
        <v>13610</v>
      </c>
      <c r="U3485" t="s">
        <v>13610</v>
      </c>
      <c r="V3485" t="s">
        <v>13610</v>
      </c>
      <c r="W3485" t="s">
        <v>17039</v>
      </c>
      <c r="X3485">
        <v>31</v>
      </c>
      <c r="Y3485" t="s">
        <v>23650</v>
      </c>
      <c r="Z3485" t="s">
        <v>30340</v>
      </c>
      <c r="AA3485">
        <v>0.4120632257221149</v>
      </c>
      <c r="AB3485" t="str">
        <f>HYPERLINK("Melting_Curves/meltCurve_Q15437_SEC23B.pdf", "Melting_Curves/meltCurve_Q15437_SEC23B.pdf")</f>
        <v>Melting_Curves/meltCurve_Q15437_SEC23B.pdf</v>
      </c>
    </row>
    <row r="3486" spans="1:28" x14ac:dyDescent="0.25">
      <c r="A3486" t="s">
        <v>3490</v>
      </c>
      <c r="B3486">
        <v>0.995954080203443</v>
      </c>
      <c r="C3486">
        <v>1.02505162024304</v>
      </c>
      <c r="D3486">
        <v>0.93537588738034105</v>
      </c>
      <c r="E3486">
        <v>0.79851291094896004</v>
      </c>
      <c r="F3486">
        <v>0.43366026742562003</v>
      </c>
      <c r="G3486">
        <v>0.15837700084456399</v>
      </c>
      <c r="H3486">
        <v>0.107957451357588</v>
      </c>
      <c r="I3486">
        <v>0.10085009323284</v>
      </c>
      <c r="J3486">
        <v>0.24344565422027301</v>
      </c>
      <c r="K3486">
        <v>0.106740501786075</v>
      </c>
      <c r="L3486">
        <v>1653.58032244115</v>
      </c>
      <c r="M3486">
        <v>31.881863340918098</v>
      </c>
      <c r="N3486">
        <v>52.376288848765299</v>
      </c>
      <c r="O3486">
        <v>51.663085748052602</v>
      </c>
      <c r="P3486">
        <v>-0.13367711835996701</v>
      </c>
      <c r="Q3486">
        <v>0.13353407467599601</v>
      </c>
      <c r="R3486">
        <v>0.98713556167015004</v>
      </c>
      <c r="S3486" t="s">
        <v>10292</v>
      </c>
      <c r="T3486" t="s">
        <v>13610</v>
      </c>
      <c r="U3486" t="s">
        <v>13610</v>
      </c>
      <c r="V3486" t="s">
        <v>13610</v>
      </c>
      <c r="W3486" t="s">
        <v>17040</v>
      </c>
      <c r="X3486">
        <v>10</v>
      </c>
      <c r="Y3486" t="s">
        <v>23651</v>
      </c>
      <c r="Z3486" t="s">
        <v>30341</v>
      </c>
      <c r="AA3486">
        <v>0.48114051805687552</v>
      </c>
      <c r="AB3486" t="str">
        <f>HYPERLINK("Melting_Curves/meltCurve_Q15438_2_CYTH1.pdf", "Melting_Curves/meltCurve_Q15438_2_CYTH1.pdf")</f>
        <v>Melting_Curves/meltCurve_Q15438_2_CYTH1.pdf</v>
      </c>
    </row>
    <row r="3487" spans="1:28" x14ac:dyDescent="0.25">
      <c r="A3487" t="s">
        <v>3491</v>
      </c>
      <c r="B3487">
        <v>0.995954080203443</v>
      </c>
      <c r="C3487">
        <v>0.90793881581373403</v>
      </c>
      <c r="D3487">
        <v>1.1663232716635099</v>
      </c>
      <c r="E3487">
        <v>0.97014092423362497</v>
      </c>
      <c r="F3487">
        <v>1.24993716088153</v>
      </c>
      <c r="G3487">
        <v>1.1314711030067</v>
      </c>
      <c r="H3487">
        <v>1.1783108690807</v>
      </c>
      <c r="I3487">
        <v>1.5702937822904699</v>
      </c>
      <c r="J3487">
        <v>1.56702814887379</v>
      </c>
      <c r="K3487">
        <v>1.88217620720211</v>
      </c>
      <c r="L3487">
        <v>15000</v>
      </c>
      <c r="M3487">
        <v>245.31162979260401</v>
      </c>
      <c r="O3487">
        <v>61.1426287137256</v>
      </c>
      <c r="P3487">
        <v>0.50151496262908901</v>
      </c>
      <c r="Q3487">
        <v>1.5</v>
      </c>
      <c r="R3487">
        <v>0.69314464558051803</v>
      </c>
      <c r="S3487" t="s">
        <v>10293</v>
      </c>
      <c r="T3487" t="s">
        <v>13610</v>
      </c>
      <c r="U3487" t="s">
        <v>13610</v>
      </c>
      <c r="V3487" t="s">
        <v>13610</v>
      </c>
      <c r="W3487" t="s">
        <v>17041</v>
      </c>
      <c r="X3487">
        <v>2</v>
      </c>
      <c r="Y3487" t="s">
        <v>23652</v>
      </c>
      <c r="Z3487" t="s">
        <v>30342</v>
      </c>
      <c r="AA3487">
        <v>1.147499044506642</v>
      </c>
      <c r="AB3487" t="str">
        <f>HYPERLINK("Melting_Curves/meltCurve_Q15506_SPA17.pdf", "Melting_Curves/meltCurve_Q15506_SPA17.pdf")</f>
        <v>Melting_Curves/meltCurve_Q15506_SPA17.pdf</v>
      </c>
    </row>
    <row r="3488" spans="1:28" x14ac:dyDescent="0.25">
      <c r="A3488" t="s">
        <v>3492</v>
      </c>
      <c r="B3488">
        <v>0.995954080203443</v>
      </c>
      <c r="C3488">
        <v>0.81161393055707598</v>
      </c>
      <c r="D3488">
        <v>0.97568358810318401</v>
      </c>
      <c r="E3488">
        <v>0.57219911819720604</v>
      </c>
      <c r="F3488">
        <v>0.61625699436066395</v>
      </c>
      <c r="G3488">
        <v>0.48888347535313498</v>
      </c>
      <c r="H3488">
        <v>0.468437860251319</v>
      </c>
      <c r="I3488">
        <v>0.59824661662990797</v>
      </c>
      <c r="J3488">
        <v>0.56627737022842295</v>
      </c>
      <c r="K3488">
        <v>0.69338653866369604</v>
      </c>
      <c r="L3488">
        <v>4591.2623237809703</v>
      </c>
      <c r="M3488">
        <v>97.013235034153098</v>
      </c>
      <c r="O3488">
        <v>47.3060441838469</v>
      </c>
      <c r="P3488">
        <v>-0.21962778399476199</v>
      </c>
      <c r="Q3488">
        <v>0.57161634645563797</v>
      </c>
      <c r="R3488">
        <v>0.780441695988775</v>
      </c>
      <c r="S3488" t="s">
        <v>10294</v>
      </c>
      <c r="T3488" t="s">
        <v>13610</v>
      </c>
      <c r="U3488" t="s">
        <v>13610</v>
      </c>
      <c r="V3488" t="s">
        <v>13610</v>
      </c>
      <c r="W3488" t="s">
        <v>17042</v>
      </c>
      <c r="X3488">
        <v>1</v>
      </c>
      <c r="Y3488" t="s">
        <v>23653</v>
      </c>
      <c r="Z3488" t="s">
        <v>30343</v>
      </c>
      <c r="AA3488">
        <v>0.67646626473232907</v>
      </c>
      <c r="AB3488" t="str">
        <f>HYPERLINK("Melting_Curves/meltCurve_Q15526_2_SURF1.pdf", "Melting_Curves/meltCurve_Q15526_2_SURF1.pdf")</f>
        <v>Melting_Curves/meltCurve_Q15526_2_SURF1.pdf</v>
      </c>
    </row>
    <row r="3489" spans="1:28" x14ac:dyDescent="0.25">
      <c r="A3489" t="s">
        <v>3493</v>
      </c>
      <c r="B3489">
        <v>0.995954080203443</v>
      </c>
      <c r="C3489">
        <v>0.70109947721124699</v>
      </c>
      <c r="D3489">
        <v>1.06220578055806</v>
      </c>
      <c r="E3489">
        <v>0.622995156077362</v>
      </c>
      <c r="F3489">
        <v>0.33946112281298901</v>
      </c>
      <c r="G3489">
        <v>0.26158075610298498</v>
      </c>
      <c r="H3489">
        <v>0.27541696271248001</v>
      </c>
      <c r="I3489">
        <v>0.32124977176716302</v>
      </c>
      <c r="J3489">
        <v>0.33522212533950801</v>
      </c>
      <c r="K3489">
        <v>0.38277450146196401</v>
      </c>
      <c r="L3489">
        <v>3879.9071831722899</v>
      </c>
      <c r="M3489">
        <v>77.804740060502397</v>
      </c>
      <c r="N3489">
        <v>50.523643188867297</v>
      </c>
      <c r="O3489">
        <v>49.834320442524202</v>
      </c>
      <c r="P3489">
        <v>-0.266176489092594</v>
      </c>
      <c r="Q3489">
        <v>0.31805068335032899</v>
      </c>
      <c r="R3489">
        <v>0.87347818625076201</v>
      </c>
      <c r="S3489" t="s">
        <v>10295</v>
      </c>
      <c r="T3489" t="s">
        <v>13610</v>
      </c>
      <c r="U3489" t="s">
        <v>13610</v>
      </c>
      <c r="V3489" t="s">
        <v>13610</v>
      </c>
      <c r="W3489" t="s">
        <v>17043</v>
      </c>
      <c r="X3489">
        <v>8</v>
      </c>
      <c r="Y3489" t="s">
        <v>23654</v>
      </c>
      <c r="Z3489" t="s">
        <v>30344</v>
      </c>
      <c r="AA3489">
        <v>0.54296659263647773</v>
      </c>
      <c r="AB3489" t="str">
        <f>HYPERLINK("Melting_Curves/meltCurve_Q15527_SURF2.pdf", "Melting_Curves/meltCurve_Q15527_SURF2.pdf")</f>
        <v>Melting_Curves/meltCurve_Q15527_SURF2.pdf</v>
      </c>
    </row>
    <row r="3490" spans="1:28" x14ac:dyDescent="0.25">
      <c r="A3490" t="s">
        <v>3494</v>
      </c>
      <c r="B3490">
        <v>0.995954080203443</v>
      </c>
      <c r="C3490">
        <v>0.83133714585242802</v>
      </c>
      <c r="D3490">
        <v>0.61813501699527496</v>
      </c>
      <c r="E3490">
        <v>0.39732357495300802</v>
      </c>
      <c r="F3490">
        <v>0.220871586268446</v>
      </c>
      <c r="G3490">
        <v>0.13472193799635401</v>
      </c>
      <c r="H3490">
        <v>0.111854638929756</v>
      </c>
      <c r="I3490">
        <v>0.122902438353882</v>
      </c>
      <c r="J3490">
        <v>0.15184920125559101</v>
      </c>
      <c r="K3490">
        <v>0.13070013275376899</v>
      </c>
      <c r="L3490">
        <v>774.78267320136297</v>
      </c>
      <c r="M3490">
        <v>16.479155922841802</v>
      </c>
      <c r="N3490">
        <v>47.774696689008202</v>
      </c>
      <c r="O3490">
        <v>46.339952622055499</v>
      </c>
      <c r="P3490">
        <v>-7.8672667461286899E-2</v>
      </c>
      <c r="Q3490">
        <v>0.11514126450341999</v>
      </c>
      <c r="R3490">
        <v>0.99313958889780396</v>
      </c>
      <c r="S3490" t="s">
        <v>10296</v>
      </c>
      <c r="T3490" t="s">
        <v>13610</v>
      </c>
      <c r="U3490" t="s">
        <v>13610</v>
      </c>
      <c r="V3490" t="s">
        <v>13610</v>
      </c>
      <c r="W3490" t="s">
        <v>17044</v>
      </c>
      <c r="X3490">
        <v>11</v>
      </c>
      <c r="Y3490" t="s">
        <v>23655</v>
      </c>
      <c r="Z3490" t="s">
        <v>30345</v>
      </c>
      <c r="AA3490">
        <v>0.34180357299533531</v>
      </c>
      <c r="AB3490" t="str">
        <f>HYPERLINK("Melting_Curves/meltCurve_Q15542_2_TAF5.pdf", "Melting_Curves/meltCurve_Q15542_2_TAF5.pdf")</f>
        <v>Melting_Curves/meltCurve_Q15542_2_TAF5.pdf</v>
      </c>
    </row>
    <row r="3491" spans="1:28" x14ac:dyDescent="0.25">
      <c r="A3491" t="s">
        <v>3495</v>
      </c>
      <c r="B3491">
        <v>0.995954080203443</v>
      </c>
      <c r="C3491">
        <v>0.91323088674136599</v>
      </c>
      <c r="D3491">
        <v>0.65983297429515497</v>
      </c>
      <c r="E3491">
        <v>0.50993028344985303</v>
      </c>
      <c r="F3491">
        <v>0.18247826824281299</v>
      </c>
      <c r="G3491">
        <v>0.101858569077498</v>
      </c>
      <c r="H3491">
        <v>4.4536106305799801E-2</v>
      </c>
      <c r="I3491">
        <v>3.0488919594134901E-2</v>
      </c>
      <c r="J3491">
        <v>3.4783438213773103E-2</v>
      </c>
      <c r="K3491">
        <v>4.4190012776409202E-2</v>
      </c>
      <c r="L3491">
        <v>754.93711860226199</v>
      </c>
      <c r="M3491">
        <v>15.4532297258143</v>
      </c>
      <c r="N3491">
        <v>48.930728005313</v>
      </c>
      <c r="O3491">
        <v>48.056865305353</v>
      </c>
      <c r="P3491">
        <v>-7.9423166215319793E-2</v>
      </c>
      <c r="Q3491">
        <v>1.21197098254523E-2</v>
      </c>
      <c r="R3491">
        <v>0.98676904129477305</v>
      </c>
      <c r="S3491" t="s">
        <v>10297</v>
      </c>
      <c r="T3491" t="s">
        <v>13610</v>
      </c>
      <c r="U3491" t="s">
        <v>13610</v>
      </c>
      <c r="V3491" t="s">
        <v>13610</v>
      </c>
      <c r="W3491" t="s">
        <v>17045</v>
      </c>
      <c r="X3491">
        <v>1</v>
      </c>
      <c r="Y3491" t="s">
        <v>23656</v>
      </c>
      <c r="Z3491" t="s">
        <v>30346</v>
      </c>
      <c r="AA3491">
        <v>0.32680818500439363</v>
      </c>
      <c r="AB3491" t="str">
        <f>HYPERLINK("Melting_Curves/meltCurve_Q15543_TAF13.pdf", "Melting_Curves/meltCurve_Q15543_TAF13.pdf")</f>
        <v>Melting_Curves/meltCurve_Q15543_TAF13.pdf</v>
      </c>
    </row>
    <row r="3492" spans="1:28" x14ac:dyDescent="0.25">
      <c r="A3492" t="s">
        <v>3496</v>
      </c>
      <c r="B3492">
        <v>0.995954080203443</v>
      </c>
      <c r="C3492">
        <v>1.0069708424238799</v>
      </c>
      <c r="D3492">
        <v>0.97713583643670698</v>
      </c>
      <c r="E3492">
        <v>0.82605570707873799</v>
      </c>
      <c r="F3492">
        <v>0.75180348229143401</v>
      </c>
      <c r="G3492">
        <v>0.59161946743469496</v>
      </c>
      <c r="H3492">
        <v>0.60099677862775003</v>
      </c>
      <c r="I3492">
        <v>0.699594154949293</v>
      </c>
      <c r="J3492">
        <v>0.69513597109861303</v>
      </c>
      <c r="K3492">
        <v>0.86213629499244204</v>
      </c>
      <c r="L3492">
        <v>1748.66866719369</v>
      </c>
      <c r="M3492">
        <v>35.196996381780899</v>
      </c>
      <c r="O3492">
        <v>49.522769839210703</v>
      </c>
      <c r="P3492">
        <v>-5.4398765636099397E-2</v>
      </c>
      <c r="Q3492">
        <v>0.69384113386613999</v>
      </c>
      <c r="R3492">
        <v>0.78048988729073498</v>
      </c>
      <c r="S3492" t="s">
        <v>10298</v>
      </c>
      <c r="T3492" t="s">
        <v>13610</v>
      </c>
      <c r="U3492" t="s">
        <v>13610</v>
      </c>
      <c r="V3492" t="s">
        <v>13610</v>
      </c>
      <c r="W3492" t="s">
        <v>17046</v>
      </c>
      <c r="X3492">
        <v>2</v>
      </c>
      <c r="Y3492" t="s">
        <v>23657</v>
      </c>
      <c r="Z3492" t="s">
        <v>30347</v>
      </c>
      <c r="AA3492">
        <v>0.79401465782867708</v>
      </c>
      <c r="AB3492" t="str">
        <f>HYPERLINK("Melting_Curves/meltCurve_Q15544_2_TAF11.pdf", "Melting_Curves/meltCurve_Q15544_2_TAF11.pdf")</f>
        <v>Melting_Curves/meltCurve_Q15544_2_TAF11.pdf</v>
      </c>
    </row>
    <row r="3493" spans="1:28" x14ac:dyDescent="0.25">
      <c r="A3493" t="s">
        <v>3497</v>
      </c>
      <c r="B3493">
        <v>0.995954080203443</v>
      </c>
      <c r="C3493">
        <v>1.0314889855452001</v>
      </c>
      <c r="D3493">
        <v>1.0665356085664</v>
      </c>
      <c r="E3493">
        <v>0.85883393152354703</v>
      </c>
      <c r="F3493">
        <v>0.74815879762862803</v>
      </c>
      <c r="G3493">
        <v>0.558193333079684</v>
      </c>
      <c r="H3493">
        <v>0.53097382514536695</v>
      </c>
      <c r="I3493">
        <v>0.60667385250127204</v>
      </c>
      <c r="J3493">
        <v>0.66311390897754097</v>
      </c>
      <c r="K3493">
        <v>0.68246634058739897</v>
      </c>
      <c r="L3493">
        <v>1773.0268294714199</v>
      </c>
      <c r="M3493">
        <v>34.524227872260703</v>
      </c>
      <c r="O3493">
        <v>51.184627680252902</v>
      </c>
      <c r="P3493">
        <v>-6.5751198178517198E-2</v>
      </c>
      <c r="Q3493">
        <v>0.61007810663478801</v>
      </c>
      <c r="R3493">
        <v>0.92405038554349705</v>
      </c>
      <c r="S3493" t="s">
        <v>10299</v>
      </c>
      <c r="T3493" t="s">
        <v>13610</v>
      </c>
      <c r="U3493" t="s">
        <v>13610</v>
      </c>
      <c r="V3493" t="s">
        <v>13610</v>
      </c>
      <c r="W3493" t="s">
        <v>17047</v>
      </c>
      <c r="X3493">
        <v>11</v>
      </c>
      <c r="Y3493" t="s">
        <v>23658</v>
      </c>
      <c r="Z3493" t="s">
        <v>30348</v>
      </c>
      <c r="AA3493">
        <v>0.75953772890685733</v>
      </c>
      <c r="AB3493" t="str">
        <f>HYPERLINK("Melting_Curves/meltCurve_Q15545_TAF7.pdf", "Melting_Curves/meltCurve_Q15545_TAF7.pdf")</f>
        <v>Melting_Curves/meltCurve_Q15545_TAF7.pdf</v>
      </c>
    </row>
    <row r="3494" spans="1:28" x14ac:dyDescent="0.25">
      <c r="A3494" t="s">
        <v>3498</v>
      </c>
      <c r="B3494">
        <v>0.995954080203443</v>
      </c>
      <c r="C3494">
        <v>1.0160779716402599</v>
      </c>
      <c r="D3494">
        <v>0.95531347578237102</v>
      </c>
      <c r="E3494">
        <v>0.70279749678609305</v>
      </c>
      <c r="F3494">
        <v>0.48534482891969999</v>
      </c>
      <c r="G3494">
        <v>0.32903054368577</v>
      </c>
      <c r="H3494">
        <v>0.28911455863952301</v>
      </c>
      <c r="I3494">
        <v>0.31890885212076298</v>
      </c>
      <c r="J3494">
        <v>0.39110442429117298</v>
      </c>
      <c r="K3494">
        <v>0.35616883114937198</v>
      </c>
      <c r="L3494">
        <v>1447.6006538496799</v>
      </c>
      <c r="M3494">
        <v>28.6974810624321</v>
      </c>
      <c r="N3494">
        <v>52.4520223169948</v>
      </c>
      <c r="O3494">
        <v>50.200433307055299</v>
      </c>
      <c r="P3494">
        <v>-9.5269778628919805E-2</v>
      </c>
      <c r="Q3494">
        <v>0.33338442274807101</v>
      </c>
      <c r="R3494">
        <v>0.99030419402574399</v>
      </c>
      <c r="S3494" t="s">
        <v>10300</v>
      </c>
      <c r="T3494" t="s">
        <v>13610</v>
      </c>
      <c r="U3494" t="s">
        <v>13610</v>
      </c>
      <c r="V3494" t="s">
        <v>13610</v>
      </c>
      <c r="W3494" t="s">
        <v>17048</v>
      </c>
      <c r="X3494">
        <v>20</v>
      </c>
      <c r="Y3494" t="s">
        <v>23659</v>
      </c>
      <c r="Z3494" t="s">
        <v>30349</v>
      </c>
      <c r="AA3494">
        <v>0.56998504902874969</v>
      </c>
      <c r="AB3494" t="str">
        <f>HYPERLINK("Melting_Curves/meltCurve_Q15554_3_TERF2.pdf", "Melting_Curves/meltCurve_Q15554_3_TERF2.pdf")</f>
        <v>Melting_Curves/meltCurve_Q15554_3_TERF2.pdf</v>
      </c>
    </row>
    <row r="3495" spans="1:28" x14ac:dyDescent="0.25">
      <c r="A3495" t="s">
        <v>3499</v>
      </c>
      <c r="B3495">
        <v>0.995954080203443</v>
      </c>
      <c r="C3495">
        <v>0.72939118841323702</v>
      </c>
      <c r="D3495">
        <v>0.54319877515398995</v>
      </c>
      <c r="E3495">
        <v>0.37561521428631001</v>
      </c>
      <c r="F3495">
        <v>0.34375442182195898</v>
      </c>
      <c r="G3495">
        <v>0.30749696200080201</v>
      </c>
      <c r="H3495">
        <v>0.31818286502937299</v>
      </c>
      <c r="I3495">
        <v>0.387136039241123</v>
      </c>
      <c r="J3495">
        <v>0.52263648648022498</v>
      </c>
      <c r="K3495">
        <v>0.43985757306770001</v>
      </c>
      <c r="L3495">
        <v>1207.82455689991</v>
      </c>
      <c r="M3495">
        <v>27.6890466670195</v>
      </c>
      <c r="N3495">
        <v>46.065911510885599</v>
      </c>
      <c r="O3495">
        <v>43.395404710253899</v>
      </c>
      <c r="P3495">
        <v>-9.8105283851456199E-2</v>
      </c>
      <c r="Q3495">
        <v>0.384987150499986</v>
      </c>
      <c r="R3495">
        <v>0.90663116870745297</v>
      </c>
      <c r="S3495" t="s">
        <v>10301</v>
      </c>
      <c r="T3495" t="s">
        <v>13610</v>
      </c>
      <c r="U3495" t="s">
        <v>13610</v>
      </c>
      <c r="V3495" t="s">
        <v>13610</v>
      </c>
      <c r="W3495" t="s">
        <v>17049</v>
      </c>
      <c r="X3495">
        <v>11</v>
      </c>
      <c r="Y3495" t="s">
        <v>23660</v>
      </c>
      <c r="Z3495" t="s">
        <v>30350</v>
      </c>
      <c r="AA3495">
        <v>0.46512424675572323</v>
      </c>
      <c r="AB3495" t="str">
        <f>HYPERLINK("Melting_Curves/meltCurve_Q15555_MAPRE2.pdf", "Melting_Curves/meltCurve_Q15555_MAPRE2.pdf")</f>
        <v>Melting_Curves/meltCurve_Q15555_MAPRE2.pdf</v>
      </c>
    </row>
    <row r="3496" spans="1:28" x14ac:dyDescent="0.25">
      <c r="A3496" t="s">
        <v>3500</v>
      </c>
      <c r="B3496">
        <v>0.995954080203443</v>
      </c>
      <c r="C3496">
        <v>0.76992756572356502</v>
      </c>
      <c r="D3496">
        <v>0.70327085300940995</v>
      </c>
      <c r="E3496">
        <v>0.56090709520514204</v>
      </c>
      <c r="F3496">
        <v>0.45047731358349002</v>
      </c>
      <c r="G3496">
        <v>0.29239793701656802</v>
      </c>
      <c r="H3496">
        <v>0.228818260312388</v>
      </c>
      <c r="I3496">
        <v>0.21142342875197401</v>
      </c>
      <c r="J3496">
        <v>0.29481337123770401</v>
      </c>
      <c r="K3496">
        <v>0.26543891590902802</v>
      </c>
      <c r="L3496">
        <v>545.03449755383394</v>
      </c>
      <c r="M3496">
        <v>11.315976982751501</v>
      </c>
      <c r="N3496">
        <v>50.616367443504799</v>
      </c>
      <c r="O3496">
        <v>46.734377747319797</v>
      </c>
      <c r="P3496">
        <v>-4.7778031933544601E-2</v>
      </c>
      <c r="Q3496">
        <v>0.21095542606989501</v>
      </c>
      <c r="R3496">
        <v>0.96725782440794805</v>
      </c>
      <c r="S3496" t="s">
        <v>10302</v>
      </c>
      <c r="T3496" t="s">
        <v>13610</v>
      </c>
      <c r="U3496" t="s">
        <v>13610</v>
      </c>
      <c r="V3496" t="s">
        <v>13610</v>
      </c>
      <c r="W3496" t="s">
        <v>17050</v>
      </c>
      <c r="X3496">
        <v>8</v>
      </c>
      <c r="Y3496" t="s">
        <v>23661</v>
      </c>
      <c r="Z3496" t="s">
        <v>30351</v>
      </c>
      <c r="AA3496">
        <v>0.45949654044688693</v>
      </c>
      <c r="AB3496" t="str">
        <f>HYPERLINK("Melting_Curves/meltCurve_Q15560_2_TCEA2.pdf", "Melting_Curves/meltCurve_Q15560_2_TCEA2.pdf")</f>
        <v>Melting_Curves/meltCurve_Q15560_2_TCEA2.pdf</v>
      </c>
    </row>
    <row r="3497" spans="1:28" x14ac:dyDescent="0.25">
      <c r="A3497" t="s">
        <v>3501</v>
      </c>
      <c r="B3497">
        <v>0.995954080203443</v>
      </c>
      <c r="C3497">
        <v>0.99152945951628801</v>
      </c>
      <c r="D3497">
        <v>0.95288088837846796</v>
      </c>
      <c r="E3497">
        <v>0.79095421727715198</v>
      </c>
      <c r="F3497">
        <v>0.63663612776298795</v>
      </c>
      <c r="G3497">
        <v>0.22635929112664199</v>
      </c>
      <c r="H3497">
        <v>5.9865580032962697E-2</v>
      </c>
      <c r="I3497">
        <v>2.8083319587901799E-2</v>
      </c>
      <c r="J3497">
        <v>2.76430792086063E-2</v>
      </c>
      <c r="K3497">
        <v>2.3551278570928098E-2</v>
      </c>
      <c r="L3497">
        <v>1118.3419007216801</v>
      </c>
      <c r="M3497">
        <v>20.744976858083401</v>
      </c>
      <c r="N3497">
        <v>53.909045532652001</v>
      </c>
      <c r="O3497">
        <v>53.415585542798503</v>
      </c>
      <c r="P3497">
        <v>-9.70950404294465E-2</v>
      </c>
      <c r="Q3497">
        <v>0</v>
      </c>
      <c r="R3497">
        <v>0.99654112334185596</v>
      </c>
      <c r="S3497" t="s">
        <v>10303</v>
      </c>
      <c r="T3497" t="s">
        <v>13610</v>
      </c>
      <c r="U3497" t="s">
        <v>13610</v>
      </c>
      <c r="V3497" t="s">
        <v>13610</v>
      </c>
      <c r="W3497" t="s">
        <v>17051</v>
      </c>
      <c r="X3497">
        <v>6</v>
      </c>
      <c r="Y3497" t="s">
        <v>23662</v>
      </c>
      <c r="Z3497" t="s">
        <v>30352</v>
      </c>
      <c r="AA3497">
        <v>0.47645303047538151</v>
      </c>
      <c r="AB3497" t="str">
        <f>HYPERLINK("Melting_Curves/meltCurve_Q15561_2_TEAD4.pdf", "Melting_Curves/meltCurve_Q15561_2_TEAD4.pdf")</f>
        <v>Melting_Curves/meltCurve_Q15561_2_TEAD4.pdf</v>
      </c>
    </row>
    <row r="3498" spans="1:28" x14ac:dyDescent="0.25">
      <c r="A3498" t="s">
        <v>3502</v>
      </c>
      <c r="B3498">
        <v>0.995954080203443</v>
      </c>
      <c r="C3498">
        <v>0.927871733261456</v>
      </c>
      <c r="D3498">
        <v>0.76929036211733903</v>
      </c>
      <c r="E3498">
        <v>0.63830825920933698</v>
      </c>
      <c r="F3498">
        <v>0.54105992387870905</v>
      </c>
      <c r="G3498">
        <v>0.40140638569497999</v>
      </c>
      <c r="H3498">
        <v>0.35566740648246398</v>
      </c>
      <c r="I3498">
        <v>0.38415840915615102</v>
      </c>
      <c r="J3498">
        <v>0.45223946371760398</v>
      </c>
      <c r="K3498">
        <v>0.46431636869326798</v>
      </c>
      <c r="L3498">
        <v>771.07494347726799</v>
      </c>
      <c r="M3498">
        <v>16.056230238202399</v>
      </c>
      <c r="N3498">
        <v>53.469615994431201</v>
      </c>
      <c r="O3498">
        <v>47.297025048116097</v>
      </c>
      <c r="P3498">
        <v>-5.0707732376867397E-2</v>
      </c>
      <c r="Q3498">
        <v>0.402565045912051</v>
      </c>
      <c r="R3498">
        <v>0.96751391773351103</v>
      </c>
      <c r="S3498" t="s">
        <v>10304</v>
      </c>
      <c r="T3498" t="s">
        <v>13610</v>
      </c>
      <c r="U3498" t="s">
        <v>13610</v>
      </c>
      <c r="V3498" t="s">
        <v>13610</v>
      </c>
      <c r="W3498" t="s">
        <v>17052</v>
      </c>
      <c r="X3498">
        <v>17</v>
      </c>
      <c r="Y3498" t="s">
        <v>23663</v>
      </c>
      <c r="Z3498" t="s">
        <v>30353</v>
      </c>
      <c r="AA3498">
        <v>0.57574849084200674</v>
      </c>
      <c r="AB3498" t="str">
        <f>HYPERLINK("Melting_Curves/meltCurve_Q15596_NCOA2.pdf", "Melting_Curves/meltCurve_Q15596_NCOA2.pdf")</f>
        <v>Melting_Curves/meltCurve_Q15596_NCOA2.pdf</v>
      </c>
    </row>
    <row r="3499" spans="1:28" x14ac:dyDescent="0.25">
      <c r="A3499" t="s">
        <v>3503</v>
      </c>
      <c r="B3499">
        <v>0.995954080203443</v>
      </c>
      <c r="C3499">
        <v>0.93061588404426199</v>
      </c>
      <c r="D3499">
        <v>0.90138983292567199</v>
      </c>
      <c r="E3499">
        <v>0.76448727031297203</v>
      </c>
      <c r="F3499">
        <v>0.725783352781875</v>
      </c>
      <c r="G3499">
        <v>0.56187701044278304</v>
      </c>
      <c r="H3499">
        <v>0.50848065921395302</v>
      </c>
      <c r="I3499">
        <v>0.61387270105783598</v>
      </c>
      <c r="J3499">
        <v>0.76686860897813602</v>
      </c>
      <c r="K3499">
        <v>0.71919637534882896</v>
      </c>
      <c r="L3499">
        <v>970.28721434571298</v>
      </c>
      <c r="M3499">
        <v>20.1741545350968</v>
      </c>
      <c r="O3499">
        <v>47.630492755595697</v>
      </c>
      <c r="P3499">
        <v>-3.83057158485305E-2</v>
      </c>
      <c r="Q3499">
        <v>0.63825758498247798</v>
      </c>
      <c r="R3499">
        <v>0.76898737716167498</v>
      </c>
      <c r="S3499" t="s">
        <v>10305</v>
      </c>
      <c r="T3499" t="s">
        <v>13610</v>
      </c>
      <c r="U3499" t="s">
        <v>13610</v>
      </c>
      <c r="V3499" t="s">
        <v>13610</v>
      </c>
      <c r="W3499" t="s">
        <v>17053</v>
      </c>
      <c r="X3499">
        <v>9</v>
      </c>
      <c r="Y3499" t="s">
        <v>23664</v>
      </c>
      <c r="Z3499" t="s">
        <v>30354</v>
      </c>
      <c r="AA3499">
        <v>0.74091238530404069</v>
      </c>
      <c r="AB3499" t="str">
        <f>HYPERLINK("Melting_Curves/meltCurve_Q15599_SLC9A3R2.pdf", "Melting_Curves/meltCurve_Q15599_SLC9A3R2.pdf")</f>
        <v>Melting_Curves/meltCurve_Q15599_SLC9A3R2.pdf</v>
      </c>
    </row>
    <row r="3500" spans="1:28" x14ac:dyDescent="0.25">
      <c r="A3500" t="s">
        <v>3504</v>
      </c>
      <c r="B3500">
        <v>0.995954080203443</v>
      </c>
      <c r="C3500">
        <v>1.0011213046885199</v>
      </c>
      <c r="D3500">
        <v>0.90152544251076905</v>
      </c>
      <c r="E3500">
        <v>0.64278900613562195</v>
      </c>
      <c r="F3500">
        <v>0.36756972416589201</v>
      </c>
      <c r="G3500">
        <v>0.20798280159480501</v>
      </c>
      <c r="H3500">
        <v>0.119347962510418</v>
      </c>
      <c r="I3500">
        <v>9.4050033792421397E-2</v>
      </c>
      <c r="J3500">
        <v>8.3729105390270495E-2</v>
      </c>
      <c r="K3500">
        <v>7.7913976633603693E-2</v>
      </c>
      <c r="L3500">
        <v>1000.05827546091</v>
      </c>
      <c r="M3500">
        <v>19.571583318078499</v>
      </c>
      <c r="N3500">
        <v>51.5526909296062</v>
      </c>
      <c r="O3500">
        <v>50.572978836395201</v>
      </c>
      <c r="P3500">
        <v>-8.9074652114949499E-2</v>
      </c>
      <c r="Q3500">
        <v>7.9356903171714205E-2</v>
      </c>
      <c r="R3500">
        <v>0.99903411105859297</v>
      </c>
      <c r="S3500" t="s">
        <v>10306</v>
      </c>
      <c r="T3500" t="s">
        <v>13610</v>
      </c>
      <c r="U3500" t="s">
        <v>13610</v>
      </c>
      <c r="V3500" t="s">
        <v>13610</v>
      </c>
      <c r="W3500" t="s">
        <v>17054</v>
      </c>
      <c r="X3500">
        <v>10</v>
      </c>
      <c r="Y3500" t="s">
        <v>23665</v>
      </c>
      <c r="Z3500" t="s">
        <v>30355</v>
      </c>
      <c r="AA3500">
        <v>0.43321831215764839</v>
      </c>
      <c r="AB3500" t="str">
        <f>HYPERLINK("Melting_Curves/meltCurve_Q15628_TRADD.pdf", "Melting_Curves/meltCurve_Q15628_TRADD.pdf")</f>
        <v>Melting_Curves/meltCurve_Q15628_TRADD.pdf</v>
      </c>
    </row>
    <row r="3501" spans="1:28" x14ac:dyDescent="0.25">
      <c r="A3501" t="s">
        <v>3505</v>
      </c>
      <c r="B3501">
        <v>0.995954080203443</v>
      </c>
      <c r="C3501">
        <v>0.94926365920547995</v>
      </c>
      <c r="D3501">
        <v>0.872538004368966</v>
      </c>
      <c r="E3501">
        <v>0.76604765199698099</v>
      </c>
      <c r="F3501">
        <v>0.58498739564774704</v>
      </c>
      <c r="G3501">
        <v>0.40881300742201798</v>
      </c>
      <c r="H3501">
        <v>0.34623844541148102</v>
      </c>
      <c r="I3501">
        <v>0.38529712497267099</v>
      </c>
      <c r="J3501">
        <v>0.41975837339523597</v>
      </c>
      <c r="K3501">
        <v>0.467699308618575</v>
      </c>
      <c r="L3501">
        <v>970.40932671930602</v>
      </c>
      <c r="M3501">
        <v>19.187762337265401</v>
      </c>
      <c r="N3501">
        <v>54.912142622151698</v>
      </c>
      <c r="O3501">
        <v>50.034666434162901</v>
      </c>
      <c r="P3501">
        <v>-5.8467470825379501E-2</v>
      </c>
      <c r="Q3501">
        <v>0.39017626269795602</v>
      </c>
      <c r="R3501">
        <v>0.96910712918358899</v>
      </c>
      <c r="S3501" t="s">
        <v>10307</v>
      </c>
      <c r="T3501" t="s">
        <v>13610</v>
      </c>
      <c r="U3501" t="s">
        <v>13610</v>
      </c>
      <c r="V3501" t="s">
        <v>13610</v>
      </c>
      <c r="W3501" t="s">
        <v>17055</v>
      </c>
      <c r="X3501">
        <v>5</v>
      </c>
      <c r="Y3501" t="s">
        <v>23666</v>
      </c>
      <c r="Z3501" t="s">
        <v>30356</v>
      </c>
      <c r="AA3501">
        <v>0.61429336646271426</v>
      </c>
      <c r="AB3501" t="str">
        <f>HYPERLINK("Melting_Curves/meltCurve_Q15633_2_TARBP2.pdf", "Melting_Curves/meltCurve_Q15633_2_TARBP2.pdf")</f>
        <v>Melting_Curves/meltCurve_Q15633_2_TARBP2.pdf</v>
      </c>
    </row>
    <row r="3502" spans="1:28" x14ac:dyDescent="0.25">
      <c r="A3502" t="s">
        <v>3506</v>
      </c>
      <c r="B3502">
        <v>0.995954080203443</v>
      </c>
      <c r="C3502">
        <v>0.99297528253314105</v>
      </c>
      <c r="D3502">
        <v>1.0644772564256999</v>
      </c>
      <c r="E3502">
        <v>0.91307107981788704</v>
      </c>
      <c r="F3502">
        <v>0.90627950031590199</v>
      </c>
      <c r="G3502">
        <v>0.71055825490523605</v>
      </c>
      <c r="H3502">
        <v>0.60009805364816604</v>
      </c>
      <c r="I3502">
        <v>0.59363383826554805</v>
      </c>
      <c r="J3502">
        <v>0.744943308006352</v>
      </c>
      <c r="K3502">
        <v>0.65651563602280905</v>
      </c>
      <c r="L3502">
        <v>1722.3940253179401</v>
      </c>
      <c r="M3502">
        <v>31.791019873127201</v>
      </c>
      <c r="O3502">
        <v>53.965625567254797</v>
      </c>
      <c r="P3502">
        <v>-5.1942780376301297E-2</v>
      </c>
      <c r="Q3502">
        <v>0.64730802828337197</v>
      </c>
      <c r="R3502">
        <v>0.91142147683109498</v>
      </c>
      <c r="S3502" t="s">
        <v>10308</v>
      </c>
      <c r="T3502" t="s">
        <v>13610</v>
      </c>
      <c r="U3502" t="s">
        <v>13610</v>
      </c>
      <c r="V3502" t="s">
        <v>13610</v>
      </c>
      <c r="W3502" t="s">
        <v>17056</v>
      </c>
      <c r="X3502">
        <v>27</v>
      </c>
      <c r="Y3502" t="s">
        <v>23667</v>
      </c>
      <c r="Z3502" t="s">
        <v>30357</v>
      </c>
      <c r="AA3502">
        <v>0.81607277164168956</v>
      </c>
      <c r="AB3502" t="str">
        <f>HYPERLINK("Melting_Curves/meltCurve_Q15637_5_SF1.pdf", "Melting_Curves/meltCurve_Q15637_5_SF1.pdf")</f>
        <v>Melting_Curves/meltCurve_Q15637_5_SF1.pdf</v>
      </c>
    </row>
    <row r="3503" spans="1:28" x14ac:dyDescent="0.25">
      <c r="A3503" t="s">
        <v>3507</v>
      </c>
      <c r="B3503">
        <v>0.995954080203443</v>
      </c>
      <c r="C3503">
        <v>0.87179484704097199</v>
      </c>
      <c r="D3503">
        <v>1.13893075909719</v>
      </c>
      <c r="E3503">
        <v>0.66707670393442897</v>
      </c>
      <c r="F3503">
        <v>0.22860680622163801</v>
      </c>
      <c r="G3503">
        <v>0.15397465094003601</v>
      </c>
      <c r="H3503">
        <v>0.112092538552265</v>
      </c>
      <c r="I3503">
        <v>0.122096095197973</v>
      </c>
      <c r="J3503">
        <v>0.14572218456212699</v>
      </c>
      <c r="K3503">
        <v>0.13610961610859401</v>
      </c>
      <c r="L3503">
        <v>2544.8465262938198</v>
      </c>
      <c r="M3503">
        <v>50.378224572293199</v>
      </c>
      <c r="N3503">
        <v>50.835482415874502</v>
      </c>
      <c r="O3503">
        <v>50.435399076018498</v>
      </c>
      <c r="P3503">
        <v>-0.21572521746564499</v>
      </c>
      <c r="Q3503">
        <v>0.13612042192301299</v>
      </c>
      <c r="R3503">
        <v>0.97478378095606599</v>
      </c>
      <c r="S3503" t="s">
        <v>10309</v>
      </c>
      <c r="T3503" t="s">
        <v>13610</v>
      </c>
      <c r="U3503" t="s">
        <v>13610</v>
      </c>
      <c r="V3503" t="s">
        <v>13610</v>
      </c>
      <c r="W3503" t="s">
        <v>17057</v>
      </c>
      <c r="X3503">
        <v>26</v>
      </c>
      <c r="Y3503" t="s">
        <v>23668</v>
      </c>
      <c r="Z3503" t="s">
        <v>30358</v>
      </c>
      <c r="AA3503">
        <v>0.4408007424595265</v>
      </c>
      <c r="AB3503" t="str">
        <f>HYPERLINK("Melting_Curves/meltCurve_Q15642_2_TRIP10.pdf", "Melting_Curves/meltCurve_Q15642_2_TRIP10.pdf")</f>
        <v>Melting_Curves/meltCurve_Q15642_2_TRIP10.pdf</v>
      </c>
    </row>
    <row r="3504" spans="1:28" x14ac:dyDescent="0.25">
      <c r="A3504" t="s">
        <v>3508</v>
      </c>
      <c r="B3504">
        <v>0.995954080203443</v>
      </c>
      <c r="C3504">
        <v>0.93880607315028097</v>
      </c>
      <c r="D3504">
        <v>0.83731937986529104</v>
      </c>
      <c r="E3504">
        <v>0.72653500080878497</v>
      </c>
      <c r="F3504">
        <v>0.56620667573250405</v>
      </c>
      <c r="G3504">
        <v>0.41975498518285298</v>
      </c>
      <c r="H3504">
        <v>0.31261081826735698</v>
      </c>
      <c r="I3504">
        <v>0.30335926292436499</v>
      </c>
      <c r="J3504">
        <v>0.34873770510719299</v>
      </c>
      <c r="K3504">
        <v>0.33905982913004201</v>
      </c>
      <c r="L3504">
        <v>709.87814686830995</v>
      </c>
      <c r="M3504">
        <v>13.921353115420301</v>
      </c>
      <c r="N3504">
        <v>54.439036087591802</v>
      </c>
      <c r="O3504">
        <v>49.974418099774603</v>
      </c>
      <c r="P3504">
        <v>-4.924974015321E-2</v>
      </c>
      <c r="Q3504">
        <v>0.29291522539607801</v>
      </c>
      <c r="R3504">
        <v>0.98890096791085702</v>
      </c>
      <c r="S3504" t="s">
        <v>10310</v>
      </c>
      <c r="T3504" t="s">
        <v>13610</v>
      </c>
      <c r="U3504" t="s">
        <v>13610</v>
      </c>
      <c r="V3504" t="s">
        <v>13610</v>
      </c>
      <c r="W3504" t="s">
        <v>17058</v>
      </c>
      <c r="X3504">
        <v>48</v>
      </c>
      <c r="Y3504" t="s">
        <v>23669</v>
      </c>
      <c r="Z3504" t="s">
        <v>30359</v>
      </c>
      <c r="AA3504">
        <v>0.57043248744433839</v>
      </c>
      <c r="AB3504" t="str">
        <f>HYPERLINK("Melting_Curves/meltCurve_Q15643_TRIP11.pdf", "Melting_Curves/meltCurve_Q15643_TRIP11.pdf")</f>
        <v>Melting_Curves/meltCurve_Q15643_TRIP11.pdf</v>
      </c>
    </row>
    <row r="3505" spans="1:28" x14ac:dyDescent="0.25">
      <c r="A3505" t="s">
        <v>3509</v>
      </c>
      <c r="B3505">
        <v>0.995954080203443</v>
      </c>
      <c r="C3505">
        <v>0.67011257347605302</v>
      </c>
      <c r="D3505">
        <v>0.26803701640427402</v>
      </c>
      <c r="E3505">
        <v>0.220768335466836</v>
      </c>
      <c r="F3505">
        <v>0.115135485016178</v>
      </c>
      <c r="G3505">
        <v>6.7826106003698303E-2</v>
      </c>
      <c r="H3505">
        <v>4.1725092899654703E-2</v>
      </c>
      <c r="I3505">
        <v>3.5144171616352103E-2</v>
      </c>
      <c r="J3505">
        <v>3.6351944621607402E-2</v>
      </c>
      <c r="K3505">
        <v>3.2864091987171197E-2</v>
      </c>
      <c r="L3505">
        <v>1096.4186198754101</v>
      </c>
      <c r="M3505">
        <v>24.889798036465798</v>
      </c>
      <c r="N3505">
        <v>44.2967095623845</v>
      </c>
      <c r="O3505">
        <v>43.769520201579098</v>
      </c>
      <c r="P3505">
        <v>-0.132996544612874</v>
      </c>
      <c r="Q3505">
        <v>6.4497787884103194E-2</v>
      </c>
      <c r="R3505">
        <v>0.97655991976173995</v>
      </c>
      <c r="S3505" t="s">
        <v>10311</v>
      </c>
      <c r="T3505" t="s">
        <v>13610</v>
      </c>
      <c r="U3505" t="s">
        <v>13610</v>
      </c>
      <c r="V3505" t="s">
        <v>13610</v>
      </c>
      <c r="W3505" t="s">
        <v>17059</v>
      </c>
      <c r="X3505">
        <v>15</v>
      </c>
      <c r="Y3505" t="s">
        <v>23670</v>
      </c>
      <c r="Z3505" t="s">
        <v>30360</v>
      </c>
      <c r="AA3505">
        <v>0.20155292235146799</v>
      </c>
      <c r="AB3505" t="str">
        <f>HYPERLINK("Melting_Curves/meltCurve_Q15645_TRIP13.pdf", "Melting_Curves/meltCurve_Q15645_TRIP13.pdf")</f>
        <v>Melting_Curves/meltCurve_Q15645_TRIP13.pdf</v>
      </c>
    </row>
    <row r="3506" spans="1:28" x14ac:dyDescent="0.25">
      <c r="A3506" t="s">
        <v>3510</v>
      </c>
      <c r="B3506">
        <v>0.995954080203443</v>
      </c>
      <c r="C3506">
        <v>0.834023533190971</v>
      </c>
      <c r="D3506">
        <v>0.766566616983413</v>
      </c>
      <c r="E3506">
        <v>0.82645393670109901</v>
      </c>
      <c r="F3506">
        <v>0.55165666874675001</v>
      </c>
      <c r="G3506">
        <v>0.34866256860846101</v>
      </c>
      <c r="H3506">
        <v>0.30601114532552098</v>
      </c>
      <c r="I3506">
        <v>0.389060029617462</v>
      </c>
      <c r="J3506">
        <v>0.42488501946068202</v>
      </c>
      <c r="K3506">
        <v>0.42943888231954003</v>
      </c>
      <c r="L3506">
        <v>624.12669946134099</v>
      </c>
      <c r="M3506">
        <v>12.5262723371858</v>
      </c>
      <c r="N3506">
        <v>54.949372505863501</v>
      </c>
      <c r="O3506">
        <v>48.6066997460388</v>
      </c>
      <c r="P3506">
        <v>-4.2239355263921599E-2</v>
      </c>
      <c r="Q3506">
        <v>0.34451494116265702</v>
      </c>
      <c r="R3506">
        <v>0.87602816691438501</v>
      </c>
      <c r="S3506" t="s">
        <v>10312</v>
      </c>
      <c r="T3506" t="s">
        <v>13610</v>
      </c>
      <c r="U3506" t="s">
        <v>13610</v>
      </c>
      <c r="V3506" t="s">
        <v>13610</v>
      </c>
      <c r="W3506" t="s">
        <v>17060</v>
      </c>
      <c r="X3506">
        <v>23</v>
      </c>
      <c r="Y3506" t="s">
        <v>23671</v>
      </c>
      <c r="Z3506" t="s">
        <v>30361</v>
      </c>
      <c r="AA3506">
        <v>0.58059489518390872</v>
      </c>
      <c r="AB3506" t="str">
        <f>HYPERLINK("Melting_Curves/meltCurve_Q15648_MED1.pdf", "Melting_Curves/meltCurve_Q15648_MED1.pdf")</f>
        <v>Melting_Curves/meltCurve_Q15648_MED1.pdf</v>
      </c>
    </row>
    <row r="3507" spans="1:28" x14ac:dyDescent="0.25">
      <c r="A3507" t="s">
        <v>3511</v>
      </c>
      <c r="B3507">
        <v>0.995954080203443</v>
      </c>
      <c r="C3507">
        <v>0.98649779708858498</v>
      </c>
      <c r="D3507">
        <v>1.04207311055227</v>
      </c>
      <c r="E3507">
        <v>0.838989639467971</v>
      </c>
      <c r="F3507">
        <v>0.84204944456794595</v>
      </c>
      <c r="G3507">
        <v>0.633725922926066</v>
      </c>
      <c r="H3507">
        <v>0.61070011351148201</v>
      </c>
      <c r="I3507">
        <v>0.684551468697018</v>
      </c>
      <c r="J3507">
        <v>0.60066617787535503</v>
      </c>
      <c r="K3507">
        <v>0.73363515148567804</v>
      </c>
      <c r="L3507">
        <v>1281.03414495332</v>
      </c>
      <c r="M3507">
        <v>24.7306610335879</v>
      </c>
      <c r="O3507">
        <v>51.464299755459997</v>
      </c>
      <c r="P3507">
        <v>-4.2072776744828601E-2</v>
      </c>
      <c r="Q3507">
        <v>0.64979251946450001</v>
      </c>
      <c r="R3507">
        <v>0.89749091700620198</v>
      </c>
      <c r="S3507" t="s">
        <v>10313</v>
      </c>
      <c r="T3507" t="s">
        <v>13610</v>
      </c>
      <c r="U3507" t="s">
        <v>13610</v>
      </c>
      <c r="V3507" t="s">
        <v>13610</v>
      </c>
      <c r="W3507" t="s">
        <v>17061</v>
      </c>
      <c r="X3507">
        <v>5</v>
      </c>
      <c r="Y3507" t="s">
        <v>23672</v>
      </c>
      <c r="Z3507" t="s">
        <v>30362</v>
      </c>
      <c r="AA3507">
        <v>0.79079227505974481</v>
      </c>
      <c r="AB3507" t="str">
        <f>HYPERLINK("Melting_Curves/meltCurve_Q15649_ZNHIT3.pdf", "Melting_Curves/meltCurve_Q15649_ZNHIT3.pdf")</f>
        <v>Melting_Curves/meltCurve_Q15649_ZNHIT3.pdf</v>
      </c>
    </row>
    <row r="3508" spans="1:28" x14ac:dyDescent="0.25">
      <c r="A3508" t="s">
        <v>3512</v>
      </c>
      <c r="B3508">
        <v>0.995954080203443</v>
      </c>
      <c r="C3508">
        <v>1.0190855194947801</v>
      </c>
      <c r="D3508">
        <v>0.91991608048414597</v>
      </c>
      <c r="E3508">
        <v>0.82096848140269096</v>
      </c>
      <c r="F3508">
        <v>0.60212012302518603</v>
      </c>
      <c r="G3508">
        <v>0.44383973753894201</v>
      </c>
      <c r="H3508">
        <v>0.379395473670883</v>
      </c>
      <c r="I3508">
        <v>0.42771620871718802</v>
      </c>
      <c r="J3508">
        <v>0.411025918496079</v>
      </c>
      <c r="K3508">
        <v>0.46214131187049501</v>
      </c>
      <c r="L3508">
        <v>1318.75400493347</v>
      </c>
      <c r="M3508">
        <v>25.662192348149802</v>
      </c>
      <c r="N3508">
        <v>55.1803218849629</v>
      </c>
      <c r="O3508">
        <v>51.079979867536501</v>
      </c>
      <c r="P3508">
        <v>-7.3569746234788902E-2</v>
      </c>
      <c r="Q3508">
        <v>0.41425190109242599</v>
      </c>
      <c r="R3508">
        <v>0.98697910289912805</v>
      </c>
      <c r="S3508" t="s">
        <v>10314</v>
      </c>
      <c r="T3508" t="s">
        <v>13610</v>
      </c>
      <c r="U3508" t="s">
        <v>13610</v>
      </c>
      <c r="V3508" t="s">
        <v>13610</v>
      </c>
      <c r="W3508" t="s">
        <v>17062</v>
      </c>
      <c r="X3508">
        <v>21</v>
      </c>
      <c r="Y3508" t="s">
        <v>23673</v>
      </c>
      <c r="Z3508" t="s">
        <v>30363</v>
      </c>
      <c r="AA3508">
        <v>0.64167017476026089</v>
      </c>
      <c r="AB3508" t="str">
        <f>HYPERLINK("Melting_Curves/meltCurve_Q15650_TRIP4.pdf", "Melting_Curves/meltCurve_Q15650_TRIP4.pdf")</f>
        <v>Melting_Curves/meltCurve_Q15650_TRIP4.pdf</v>
      </c>
    </row>
    <row r="3509" spans="1:28" x14ac:dyDescent="0.25">
      <c r="A3509" t="s">
        <v>3513</v>
      </c>
      <c r="B3509">
        <v>0.995954080203443</v>
      </c>
      <c r="C3509">
        <v>0.94234823595272499</v>
      </c>
      <c r="D3509">
        <v>1.24400176586054</v>
      </c>
      <c r="E3509">
        <v>1.1238589545276101</v>
      </c>
      <c r="F3509">
        <v>1.1474552697678</v>
      </c>
      <c r="G3509">
        <v>1.0873426326451801</v>
      </c>
      <c r="H3509">
        <v>1.13903056415814</v>
      </c>
      <c r="I3509">
        <v>1.52941011953256</v>
      </c>
      <c r="J3509">
        <v>1.55357443692659</v>
      </c>
      <c r="K3509">
        <v>1.70827082367602</v>
      </c>
      <c r="L3509">
        <v>15000</v>
      </c>
      <c r="M3509">
        <v>244.947577297789</v>
      </c>
      <c r="O3509">
        <v>61.233525892783199</v>
      </c>
      <c r="P3509">
        <v>0.50002762899906295</v>
      </c>
      <c r="Q3509">
        <v>1.5</v>
      </c>
      <c r="R3509">
        <v>0.74411602282088596</v>
      </c>
      <c r="S3509" t="s">
        <v>10315</v>
      </c>
      <c r="T3509" t="s">
        <v>13610</v>
      </c>
      <c r="U3509" t="s">
        <v>13610</v>
      </c>
      <c r="V3509" t="s">
        <v>13610</v>
      </c>
      <c r="W3509" t="s">
        <v>17063</v>
      </c>
      <c r="X3509">
        <v>8</v>
      </c>
      <c r="Y3509" t="s">
        <v>23674</v>
      </c>
      <c r="Z3509" t="s">
        <v>30364</v>
      </c>
      <c r="AA3509">
        <v>1.145984144076166</v>
      </c>
      <c r="AB3509" t="str">
        <f>HYPERLINK("Melting_Curves/meltCurve_Q15651_HMGN3.pdf", "Melting_Curves/meltCurve_Q15651_HMGN3.pdf")</f>
        <v>Melting_Curves/meltCurve_Q15651_HMGN3.pdf</v>
      </c>
    </row>
    <row r="3510" spans="1:28" x14ac:dyDescent="0.25">
      <c r="A3510" t="s">
        <v>3514</v>
      </c>
      <c r="B3510">
        <v>0.995954080203443</v>
      </c>
      <c r="C3510">
        <v>1.08200210410229</v>
      </c>
      <c r="D3510">
        <v>1.1088600811621401</v>
      </c>
      <c r="E3510">
        <v>0.96149681055412395</v>
      </c>
      <c r="F3510">
        <v>0.849361376094531</v>
      </c>
      <c r="G3510">
        <v>0.71217383280009605</v>
      </c>
      <c r="H3510">
        <v>0.70046586792897203</v>
      </c>
      <c r="I3510">
        <v>0.82815118089078998</v>
      </c>
      <c r="J3510">
        <v>0.98982651699773405</v>
      </c>
      <c r="K3510">
        <v>0.97705288534464996</v>
      </c>
      <c r="L3510">
        <v>4121.11661172197</v>
      </c>
      <c r="M3510">
        <v>81.273760552536501</v>
      </c>
      <c r="O3510">
        <v>50.6759315377086</v>
      </c>
      <c r="P3510">
        <v>-6.3329445520367095E-2</v>
      </c>
      <c r="Q3510">
        <v>0.84205095287590803</v>
      </c>
      <c r="R3510">
        <v>0.47471210022995203</v>
      </c>
      <c r="S3510" t="s">
        <v>10316</v>
      </c>
      <c r="T3510" t="s">
        <v>13610</v>
      </c>
      <c r="U3510" t="s">
        <v>13610</v>
      </c>
      <c r="V3510" t="s">
        <v>13610</v>
      </c>
      <c r="W3510" t="s">
        <v>17064</v>
      </c>
      <c r="X3510">
        <v>25</v>
      </c>
      <c r="Y3510" t="s">
        <v>23675</v>
      </c>
      <c r="Z3510" t="s">
        <v>30365</v>
      </c>
      <c r="AA3510">
        <v>0.89855414180064885</v>
      </c>
      <c r="AB3510" t="str">
        <f>HYPERLINK("Melting_Curves/meltCurve_Q15652_JMJD1C.pdf", "Melting_Curves/meltCurve_Q15652_JMJD1C.pdf")</f>
        <v>Melting_Curves/meltCurve_Q15652_JMJD1C.pdf</v>
      </c>
    </row>
    <row r="3511" spans="1:28" x14ac:dyDescent="0.25">
      <c r="A3511" t="s">
        <v>3515</v>
      </c>
      <c r="B3511">
        <v>0.995954080203443</v>
      </c>
      <c r="C3511">
        <v>0.93709758763540496</v>
      </c>
      <c r="D3511">
        <v>0.78831536801716695</v>
      </c>
      <c r="E3511">
        <v>0.57655297873344002</v>
      </c>
      <c r="F3511">
        <v>0.37429623919335497</v>
      </c>
      <c r="G3511">
        <v>0.22213941712059401</v>
      </c>
      <c r="H3511">
        <v>0.166511463360838</v>
      </c>
      <c r="I3511">
        <v>0.16755295223613101</v>
      </c>
      <c r="J3511">
        <v>0.193266578513416</v>
      </c>
      <c r="K3511">
        <v>0.17878841419324201</v>
      </c>
      <c r="L3511">
        <v>811.847356290932</v>
      </c>
      <c r="M3511">
        <v>16.376716500968101</v>
      </c>
      <c r="N3511">
        <v>50.723992708207199</v>
      </c>
      <c r="O3511">
        <v>48.851779392009398</v>
      </c>
      <c r="P3511">
        <v>-7.0809779867533507E-2</v>
      </c>
      <c r="Q3511">
        <v>0.15515759159818401</v>
      </c>
      <c r="R3511">
        <v>0.99617437708853196</v>
      </c>
      <c r="S3511" t="s">
        <v>10317</v>
      </c>
      <c r="T3511" t="s">
        <v>13610</v>
      </c>
      <c r="U3511" t="s">
        <v>13610</v>
      </c>
      <c r="V3511" t="s">
        <v>13610</v>
      </c>
      <c r="W3511" t="s">
        <v>17065</v>
      </c>
      <c r="X3511">
        <v>25</v>
      </c>
      <c r="Y3511" t="s">
        <v>23676</v>
      </c>
      <c r="Z3511" t="s">
        <v>30366</v>
      </c>
      <c r="AA3511">
        <v>0.44211935040697597</v>
      </c>
      <c r="AB3511" t="str">
        <f>HYPERLINK("Melting_Curves/meltCurve_Q15654_TRIP6.pdf", "Melting_Curves/meltCurve_Q15654_TRIP6.pdf")</f>
        <v>Melting_Curves/meltCurve_Q15654_TRIP6.pdf</v>
      </c>
    </row>
    <row r="3512" spans="1:28" x14ac:dyDescent="0.25">
      <c r="A3512" t="s">
        <v>3516</v>
      </c>
      <c r="B3512">
        <v>0.995954080203443</v>
      </c>
      <c r="C3512">
        <v>0.99699757558426705</v>
      </c>
      <c r="D3512">
        <v>1.10165121758803</v>
      </c>
      <c r="E3512">
        <v>0.93201480725368202</v>
      </c>
      <c r="F3512">
        <v>0.86131209053998203</v>
      </c>
      <c r="G3512">
        <v>0.32177957504184801</v>
      </c>
      <c r="H3512">
        <v>0.19842631667774199</v>
      </c>
      <c r="I3512">
        <v>0.20872032069118901</v>
      </c>
      <c r="J3512">
        <v>0.29198912632207802</v>
      </c>
      <c r="K3512">
        <v>0.244281895238083</v>
      </c>
      <c r="L3512">
        <v>2640.8695890888498</v>
      </c>
      <c r="M3512">
        <v>48.375042562151698</v>
      </c>
      <c r="N3512">
        <v>55.315681251123003</v>
      </c>
      <c r="O3512">
        <v>54.498537641455798</v>
      </c>
      <c r="P3512">
        <v>-0.16985691237491499</v>
      </c>
      <c r="Q3512">
        <v>0.23456878507108</v>
      </c>
      <c r="R3512">
        <v>0.98549515195349202</v>
      </c>
      <c r="S3512" t="s">
        <v>10318</v>
      </c>
      <c r="T3512" t="s">
        <v>13610</v>
      </c>
      <c r="U3512" t="s">
        <v>13610</v>
      </c>
      <c r="V3512" t="s">
        <v>13610</v>
      </c>
      <c r="W3512" t="s">
        <v>17066</v>
      </c>
      <c r="X3512">
        <v>19</v>
      </c>
      <c r="Y3512" t="s">
        <v>23677</v>
      </c>
      <c r="Z3512" t="s">
        <v>30367</v>
      </c>
      <c r="AA3512">
        <v>0.60883227516946303</v>
      </c>
      <c r="AB3512" t="str">
        <f>HYPERLINK("Melting_Curves/meltCurve_Q15691_MAPRE1.pdf", "Melting_Curves/meltCurve_Q15691_MAPRE1.pdf")</f>
        <v>Melting_Curves/meltCurve_Q15691_MAPRE1.pdf</v>
      </c>
    </row>
    <row r="3513" spans="1:28" x14ac:dyDescent="0.25">
      <c r="A3513" t="s">
        <v>3517</v>
      </c>
      <c r="B3513">
        <v>0.995954080203443</v>
      </c>
      <c r="C3513">
        <v>1.0096552034186199</v>
      </c>
      <c r="D3513">
        <v>0.98260932521198396</v>
      </c>
      <c r="E3513">
        <v>0.85752882475738701</v>
      </c>
      <c r="F3513">
        <v>0.803428776309703</v>
      </c>
      <c r="G3513">
        <v>0.61917107530854998</v>
      </c>
      <c r="H3513">
        <v>0.60360246890929803</v>
      </c>
      <c r="I3513">
        <v>0.62577438747779202</v>
      </c>
      <c r="J3513">
        <v>0.79964033189860595</v>
      </c>
      <c r="K3513">
        <v>0.712409039167478</v>
      </c>
      <c r="L3513">
        <v>1438.35836636505</v>
      </c>
      <c r="M3513">
        <v>28.2409609988296</v>
      </c>
      <c r="O3513">
        <v>50.678313278105897</v>
      </c>
      <c r="P3513">
        <v>-4.5347859379468197E-2</v>
      </c>
      <c r="Q3513">
        <v>0.67449635820147902</v>
      </c>
      <c r="R3513">
        <v>0.85622526239345098</v>
      </c>
      <c r="S3513" t="s">
        <v>10319</v>
      </c>
      <c r="T3513" t="s">
        <v>13610</v>
      </c>
      <c r="U3513" t="s">
        <v>13610</v>
      </c>
      <c r="V3513" t="s">
        <v>13610</v>
      </c>
      <c r="W3513" t="s">
        <v>17067</v>
      </c>
      <c r="X3513">
        <v>2</v>
      </c>
      <c r="Y3513" t="s">
        <v>23678</v>
      </c>
      <c r="Z3513" t="s">
        <v>30368</v>
      </c>
      <c r="AA3513">
        <v>0.79541291384420565</v>
      </c>
      <c r="AB3513" t="str">
        <f>HYPERLINK("Melting_Curves/meltCurve_Q15697_2_ZNF174.pdf", "Melting_Curves/meltCurve_Q15697_2_ZNF174.pdf")</f>
        <v>Melting_Curves/meltCurve_Q15697_2_ZNF174.pdf</v>
      </c>
    </row>
    <row r="3514" spans="1:28" x14ac:dyDescent="0.25">
      <c r="A3514" t="s">
        <v>3518</v>
      </c>
      <c r="B3514">
        <v>0.995954080203443</v>
      </c>
      <c r="C3514">
        <v>1.13752003855434</v>
      </c>
      <c r="D3514">
        <v>1.12694603839793</v>
      </c>
      <c r="E3514">
        <v>1.04819105614682</v>
      </c>
      <c r="F3514">
        <v>0.935329707955038</v>
      </c>
      <c r="G3514">
        <v>0.77109386079060005</v>
      </c>
      <c r="H3514">
        <v>0.74436788663331199</v>
      </c>
      <c r="I3514">
        <v>0.83257150886655495</v>
      </c>
      <c r="J3514">
        <v>1.17888655480091</v>
      </c>
      <c r="K3514">
        <v>1.03641785962164</v>
      </c>
      <c r="L3514">
        <v>13194.424772169101</v>
      </c>
      <c r="M3514">
        <v>250</v>
      </c>
      <c r="O3514">
        <v>52.774321669317096</v>
      </c>
      <c r="P3514">
        <v>-0.103426829882709</v>
      </c>
      <c r="Q3514">
        <v>0.91266750747636705</v>
      </c>
      <c r="R3514">
        <v>0.17794377145749299</v>
      </c>
      <c r="S3514" t="s">
        <v>10320</v>
      </c>
      <c r="T3514" t="s">
        <v>13610</v>
      </c>
      <c r="U3514" t="s">
        <v>13610</v>
      </c>
      <c r="V3514" t="s">
        <v>13610</v>
      </c>
      <c r="W3514" t="s">
        <v>17068</v>
      </c>
      <c r="X3514">
        <v>4</v>
      </c>
      <c r="Y3514" t="s">
        <v>23679</v>
      </c>
      <c r="Z3514" t="s">
        <v>30369</v>
      </c>
      <c r="AA3514">
        <v>0.94987254023572676</v>
      </c>
      <c r="AB3514" t="str">
        <f>HYPERLINK("Melting_Curves/meltCurve_Q15714_2_TSC22D1.pdf", "Melting_Curves/meltCurve_Q15714_2_TSC22D1.pdf")</f>
        <v>Melting_Curves/meltCurve_Q15714_2_TSC22D1.pdf</v>
      </c>
    </row>
    <row r="3515" spans="1:28" x14ac:dyDescent="0.25">
      <c r="A3515" t="s">
        <v>3519</v>
      </c>
      <c r="B3515">
        <v>0.995954080203443</v>
      </c>
      <c r="C3515">
        <v>1.0322704536102001</v>
      </c>
      <c r="D3515">
        <v>0.97418787953561603</v>
      </c>
      <c r="E3515">
        <v>0.83436072202395195</v>
      </c>
      <c r="F3515">
        <v>0.68755520076839605</v>
      </c>
      <c r="G3515">
        <v>0.32163797363520902</v>
      </c>
      <c r="H3515">
        <v>0.16242978926447499</v>
      </c>
      <c r="I3515">
        <v>0.13751497791533601</v>
      </c>
      <c r="J3515">
        <v>0.15854830315204199</v>
      </c>
      <c r="K3515">
        <v>0.14988142217467601</v>
      </c>
      <c r="L3515">
        <v>1221.7232178512099</v>
      </c>
      <c r="M3515">
        <v>22.636703217280999</v>
      </c>
      <c r="N3515">
        <v>54.685690653016401</v>
      </c>
      <c r="O3515">
        <v>53.554999206989699</v>
      </c>
      <c r="P3515">
        <v>-9.2139783110770201E-2</v>
      </c>
      <c r="Q3515">
        <v>0.12806252564738199</v>
      </c>
      <c r="R3515">
        <v>0.99581597828461699</v>
      </c>
      <c r="S3515" t="s">
        <v>10321</v>
      </c>
      <c r="T3515" t="s">
        <v>13610</v>
      </c>
      <c r="U3515" t="s">
        <v>13610</v>
      </c>
      <c r="V3515" t="s">
        <v>13610</v>
      </c>
      <c r="W3515" t="s">
        <v>17069</v>
      </c>
      <c r="X3515">
        <v>14</v>
      </c>
      <c r="Y3515" t="s">
        <v>23680</v>
      </c>
      <c r="Z3515" t="s">
        <v>30370</v>
      </c>
      <c r="AA3515">
        <v>0.543751587593723</v>
      </c>
      <c r="AB3515" t="str">
        <f>HYPERLINK("Melting_Curves/meltCurve_Q15717_ELAVL1.pdf", "Melting_Curves/meltCurve_Q15717_ELAVL1.pdf")</f>
        <v>Melting_Curves/meltCurve_Q15717_ELAVL1.pdf</v>
      </c>
    </row>
    <row r="3516" spans="1:28" x14ac:dyDescent="0.25">
      <c r="A3516" t="s">
        <v>3520</v>
      </c>
      <c r="B3516">
        <v>0.995954080203443</v>
      </c>
      <c r="C3516">
        <v>1.1016541559478601</v>
      </c>
      <c r="D3516">
        <v>1.0705585398480799</v>
      </c>
      <c r="E3516">
        <v>1.0182322813464699</v>
      </c>
      <c r="F3516">
        <v>1.0667704859087099</v>
      </c>
      <c r="G3516">
        <v>0.771352031169796</v>
      </c>
      <c r="H3516">
        <v>0.74131814306069099</v>
      </c>
      <c r="I3516">
        <v>0.87416166228232095</v>
      </c>
      <c r="J3516">
        <v>1.1086062102381999</v>
      </c>
      <c r="K3516">
        <v>1.0443857202835201</v>
      </c>
      <c r="L3516">
        <v>3173.3605539455398</v>
      </c>
      <c r="M3516">
        <v>58.147081470596802</v>
      </c>
      <c r="O3516">
        <v>54.510279977843901</v>
      </c>
      <c r="P3516">
        <v>-2.3643983142037899E-2</v>
      </c>
      <c r="Q3516">
        <v>0.91133934795323901</v>
      </c>
      <c r="R3516">
        <v>0.206439435254621</v>
      </c>
      <c r="S3516" t="s">
        <v>10322</v>
      </c>
      <c r="T3516" t="s">
        <v>13610</v>
      </c>
      <c r="U3516" t="s">
        <v>13610</v>
      </c>
      <c r="V3516" t="s">
        <v>13610</v>
      </c>
      <c r="W3516" t="s">
        <v>17070</v>
      </c>
      <c r="X3516">
        <v>12</v>
      </c>
      <c r="Y3516" t="s">
        <v>23681</v>
      </c>
      <c r="Z3516" t="s">
        <v>30371</v>
      </c>
      <c r="AA3516">
        <v>0.95457038445604847</v>
      </c>
      <c r="AB3516" t="str">
        <f>HYPERLINK("Melting_Curves/meltCurve_Q15723_1_ELF2.pdf", "Melting_Curves/meltCurve_Q15723_1_ELF2.pdf")</f>
        <v>Melting_Curves/meltCurve_Q15723_1_ELF2.pdf</v>
      </c>
    </row>
    <row r="3517" spans="1:28" x14ac:dyDescent="0.25">
      <c r="A3517" t="s">
        <v>3521</v>
      </c>
      <c r="B3517">
        <v>0.995954080203443</v>
      </c>
      <c r="C3517">
        <v>0.91265001607779705</v>
      </c>
      <c r="D3517">
        <v>0.69164892677080703</v>
      </c>
      <c r="E3517">
        <v>0.68951457003922501</v>
      </c>
      <c r="F3517">
        <v>0.34785309810332699</v>
      </c>
      <c r="G3517">
        <v>0.16812063766681601</v>
      </c>
      <c r="H3517">
        <v>0.100315492393325</v>
      </c>
      <c r="I3517">
        <v>6.0868211818232897E-2</v>
      </c>
      <c r="J3517">
        <v>6.2077979026728999E-2</v>
      </c>
      <c r="K3517">
        <v>3.9333985235823002E-2</v>
      </c>
      <c r="L3517">
        <v>645.11473965970401</v>
      </c>
      <c r="M3517">
        <v>12.656533371361601</v>
      </c>
      <c r="N3517">
        <v>50.970876250142503</v>
      </c>
      <c r="O3517">
        <v>49.748660689611903</v>
      </c>
      <c r="P3517">
        <v>-6.3614847969300906E-2</v>
      </c>
      <c r="Q3517">
        <v>0</v>
      </c>
      <c r="R3517">
        <v>0.97563400640613596</v>
      </c>
      <c r="S3517" t="s">
        <v>10323</v>
      </c>
      <c r="T3517" t="s">
        <v>13610</v>
      </c>
      <c r="U3517" t="s">
        <v>13610</v>
      </c>
      <c r="V3517" t="s">
        <v>13610</v>
      </c>
      <c r="W3517" t="s">
        <v>17071</v>
      </c>
      <c r="X3517">
        <v>4</v>
      </c>
      <c r="Y3517" t="s">
        <v>23682</v>
      </c>
      <c r="Z3517" t="s">
        <v>30372</v>
      </c>
      <c r="AA3517">
        <v>0.39591947209068601</v>
      </c>
      <c r="AB3517" t="str">
        <f>HYPERLINK("Melting_Curves/meltCurve_Q15738_NSDHL.pdf", "Melting_Curves/meltCurve_Q15738_NSDHL.pdf")</f>
        <v>Melting_Curves/meltCurve_Q15738_NSDHL.pdf</v>
      </c>
    </row>
    <row r="3518" spans="1:28" x14ac:dyDescent="0.25">
      <c r="A3518" t="s">
        <v>3522</v>
      </c>
      <c r="B3518">
        <v>0.995954080203443</v>
      </c>
      <c r="C3518">
        <v>0.90246420493415003</v>
      </c>
      <c r="D3518">
        <v>0.64655388078240505</v>
      </c>
      <c r="E3518">
        <v>0.39346286527958302</v>
      </c>
      <c r="F3518">
        <v>0.239120997718198</v>
      </c>
      <c r="G3518">
        <v>0.14479033936150101</v>
      </c>
      <c r="H3518">
        <v>0.112489003445447</v>
      </c>
      <c r="I3518">
        <v>0.110486384376822</v>
      </c>
      <c r="J3518">
        <v>0.11520165780984901</v>
      </c>
      <c r="K3518">
        <v>0.12052859842554201</v>
      </c>
      <c r="L3518">
        <v>829.92864747420595</v>
      </c>
      <c r="M3518">
        <v>17.4573755837317</v>
      </c>
      <c r="N3518">
        <v>48.200375573510101</v>
      </c>
      <c r="O3518">
        <v>46.929652173959397</v>
      </c>
      <c r="P3518">
        <v>-8.3114868408591905E-2</v>
      </c>
      <c r="Q3518">
        <v>0.106318587302446</v>
      </c>
      <c r="R3518">
        <v>0.99705534569466303</v>
      </c>
      <c r="S3518" t="s">
        <v>10324</v>
      </c>
      <c r="T3518" t="s">
        <v>13610</v>
      </c>
      <c r="U3518" t="s">
        <v>13610</v>
      </c>
      <c r="V3518" t="s">
        <v>13610</v>
      </c>
      <c r="W3518" t="s">
        <v>17072</v>
      </c>
      <c r="X3518">
        <v>11</v>
      </c>
      <c r="Y3518" t="s">
        <v>23683</v>
      </c>
      <c r="Z3518" t="s">
        <v>30373</v>
      </c>
      <c r="AA3518">
        <v>0.34812693423347241</v>
      </c>
      <c r="AB3518" t="str">
        <f>HYPERLINK("Melting_Curves/meltCurve_Q15742_NAB2.pdf", "Melting_Curves/meltCurve_Q15742_NAB2.pdf")</f>
        <v>Melting_Curves/meltCurve_Q15742_NAB2.pdf</v>
      </c>
    </row>
    <row r="3519" spans="1:28" x14ac:dyDescent="0.25">
      <c r="A3519" t="s">
        <v>3523</v>
      </c>
      <c r="B3519">
        <v>0.995954080203443</v>
      </c>
      <c r="C3519">
        <v>0.93896981800362</v>
      </c>
      <c r="D3519">
        <v>0.62131549733638503</v>
      </c>
      <c r="E3519">
        <v>0.38278901963246598</v>
      </c>
      <c r="F3519">
        <v>0.15445374711958601</v>
      </c>
      <c r="G3519">
        <v>5.0927303326698897E-2</v>
      </c>
      <c r="H3519">
        <v>2.6407217191798501E-2</v>
      </c>
      <c r="I3519">
        <v>2.0121156478809701E-2</v>
      </c>
      <c r="J3519">
        <v>1.72349411133506E-2</v>
      </c>
      <c r="K3519">
        <v>1.6250795541326701E-2</v>
      </c>
      <c r="L3519">
        <v>840.61930657133701</v>
      </c>
      <c r="M3519">
        <v>17.514595809195001</v>
      </c>
      <c r="N3519">
        <v>48.033438951056702</v>
      </c>
      <c r="O3519">
        <v>47.382781963708901</v>
      </c>
      <c r="P3519">
        <v>-9.1778085991050404E-2</v>
      </c>
      <c r="Q3519">
        <v>6.8938533417720396E-3</v>
      </c>
      <c r="R3519">
        <v>0.99316935936567496</v>
      </c>
      <c r="S3519" t="s">
        <v>10325</v>
      </c>
      <c r="T3519" t="s">
        <v>13610</v>
      </c>
      <c r="U3519" t="s">
        <v>13610</v>
      </c>
      <c r="V3519" t="s">
        <v>13610</v>
      </c>
      <c r="W3519" t="s">
        <v>17073</v>
      </c>
      <c r="X3519">
        <v>4</v>
      </c>
      <c r="Y3519" t="s">
        <v>23684</v>
      </c>
      <c r="Z3519" t="s">
        <v>30374</v>
      </c>
      <c r="AA3519">
        <v>0.29022383546431191</v>
      </c>
      <c r="AB3519" t="str">
        <f>HYPERLINK("Melting_Curves/meltCurve_Q15746_4_MYLK.pdf", "Melting_Curves/meltCurve_Q15746_4_MYLK.pdf")</f>
        <v>Melting_Curves/meltCurve_Q15746_4_MYLK.pdf</v>
      </c>
    </row>
    <row r="3520" spans="1:28" x14ac:dyDescent="0.25">
      <c r="A3520" t="s">
        <v>3524</v>
      </c>
      <c r="B3520">
        <v>0.995954080203443</v>
      </c>
      <c r="C3520">
        <v>0.99109009173259299</v>
      </c>
      <c r="D3520">
        <v>0.94336591983690998</v>
      </c>
      <c r="E3520">
        <v>0.515516392881747</v>
      </c>
      <c r="F3520">
        <v>0.211738697361292</v>
      </c>
      <c r="G3520">
        <v>0.12513097289445099</v>
      </c>
      <c r="H3520">
        <v>8.5481665124860898E-2</v>
      </c>
      <c r="I3520">
        <v>7.73696838859841E-2</v>
      </c>
      <c r="J3520">
        <v>9.7621724491644593E-2</v>
      </c>
      <c r="K3520">
        <v>8.5591445409864395E-2</v>
      </c>
      <c r="L3520">
        <v>1550.3353462807399</v>
      </c>
      <c r="M3520">
        <v>31.120986583515801</v>
      </c>
      <c r="N3520">
        <v>50.134516856334599</v>
      </c>
      <c r="O3520">
        <v>49.612056390682397</v>
      </c>
      <c r="P3520">
        <v>-0.14277057507483701</v>
      </c>
      <c r="Q3520">
        <v>8.9604447578903706E-2</v>
      </c>
      <c r="R3520">
        <v>0.99953407745919098</v>
      </c>
      <c r="S3520" t="s">
        <v>10326</v>
      </c>
      <c r="T3520" t="s">
        <v>13610</v>
      </c>
      <c r="U3520" t="s">
        <v>13610</v>
      </c>
      <c r="V3520" t="s">
        <v>13610</v>
      </c>
      <c r="W3520" t="s">
        <v>17074</v>
      </c>
      <c r="X3520">
        <v>20</v>
      </c>
      <c r="Y3520" t="s">
        <v>23685</v>
      </c>
      <c r="Z3520" t="s">
        <v>30375</v>
      </c>
      <c r="AA3520">
        <v>0.39270970175945152</v>
      </c>
      <c r="AB3520" t="str">
        <f>HYPERLINK("Melting_Curves/meltCurve_Q15750_2_TAB1.pdf", "Melting_Curves/meltCurve_Q15750_2_TAB1.pdf")</f>
        <v>Melting_Curves/meltCurve_Q15750_2_TAB1.pdf</v>
      </c>
    </row>
    <row r="3521" spans="1:28" x14ac:dyDescent="0.25">
      <c r="A3521" t="s">
        <v>3525</v>
      </c>
      <c r="B3521">
        <v>0.995954080203443</v>
      </c>
      <c r="C3521">
        <v>0.757674153198863</v>
      </c>
      <c r="D3521">
        <v>0.90611328806656999</v>
      </c>
      <c r="E3521">
        <v>0.68594875693714097</v>
      </c>
      <c r="F3521">
        <v>0.70979888456908202</v>
      </c>
      <c r="G3521">
        <v>0.50147011360004301</v>
      </c>
      <c r="H3521">
        <v>0.49023763374692297</v>
      </c>
      <c r="I3521">
        <v>0.57499855530819899</v>
      </c>
      <c r="J3521">
        <v>0.74927702471003499</v>
      </c>
      <c r="K3521">
        <v>0.74135372486333295</v>
      </c>
      <c r="L3521">
        <v>647.60722925129801</v>
      </c>
      <c r="M3521">
        <v>14.244978180163301</v>
      </c>
      <c r="O3521">
        <v>44.594352273069902</v>
      </c>
      <c r="P3521">
        <v>-3.05940092636868E-2</v>
      </c>
      <c r="Q3521">
        <v>0.61694533461277701</v>
      </c>
      <c r="R3521">
        <v>0.55697769994424595</v>
      </c>
      <c r="S3521" t="s">
        <v>10327</v>
      </c>
      <c r="T3521" t="s">
        <v>13610</v>
      </c>
      <c r="U3521" t="s">
        <v>13610</v>
      </c>
      <c r="V3521" t="s">
        <v>13610</v>
      </c>
      <c r="W3521" t="s">
        <v>17075</v>
      </c>
      <c r="X3521">
        <v>8</v>
      </c>
      <c r="Y3521" t="s">
        <v>23686</v>
      </c>
      <c r="Z3521" t="s">
        <v>30376</v>
      </c>
      <c r="AA3521">
        <v>0.69975989544242956</v>
      </c>
      <c r="AB3521" t="str">
        <f>HYPERLINK("Melting_Curves/meltCurve_Q15751_HERC1.pdf", "Melting_Curves/meltCurve_Q15751_HERC1.pdf")</f>
        <v>Melting_Curves/meltCurve_Q15751_HERC1.pdf</v>
      </c>
    </row>
    <row r="3522" spans="1:28" x14ac:dyDescent="0.25">
      <c r="A3522" t="s">
        <v>3526</v>
      </c>
      <c r="B3522">
        <v>0.995954080203443</v>
      </c>
      <c r="C3522">
        <v>0.94126123081935897</v>
      </c>
      <c r="D3522">
        <v>1.0939422003233801</v>
      </c>
      <c r="E3522">
        <v>1.17356969606579</v>
      </c>
      <c r="F3522">
        <v>0.65809710151271705</v>
      </c>
      <c r="G3522">
        <v>0.47319266431421197</v>
      </c>
      <c r="H3522">
        <v>0.45583979529303298</v>
      </c>
      <c r="I3522">
        <v>0.65826025810183897</v>
      </c>
      <c r="J3522">
        <v>0.62644779895116198</v>
      </c>
      <c r="K3522">
        <v>0.763514458983795</v>
      </c>
      <c r="L3522">
        <v>13160.0605754927</v>
      </c>
      <c r="M3522">
        <v>250</v>
      </c>
      <c r="O3522">
        <v>52.636874087162603</v>
      </c>
      <c r="P3522">
        <v>-0.480354064771913</v>
      </c>
      <c r="Q3522">
        <v>0.59545062084231404</v>
      </c>
      <c r="R3522">
        <v>0.80989812730158095</v>
      </c>
      <c r="S3522" t="s">
        <v>10328</v>
      </c>
      <c r="T3522" t="s">
        <v>13610</v>
      </c>
      <c r="U3522" t="s">
        <v>13610</v>
      </c>
      <c r="V3522" t="s">
        <v>13610</v>
      </c>
      <c r="W3522" t="s">
        <v>17076</v>
      </c>
      <c r="X3522">
        <v>5</v>
      </c>
      <c r="Y3522" t="s">
        <v>23687</v>
      </c>
      <c r="Z3522" t="s">
        <v>30377</v>
      </c>
      <c r="AA3522">
        <v>0.76594140010461709</v>
      </c>
      <c r="AB3522" t="str">
        <f>HYPERLINK("Melting_Curves/meltCurve_Q15758_SLC1A5.pdf", "Melting_Curves/meltCurve_Q15758_SLC1A5.pdf")</f>
        <v>Melting_Curves/meltCurve_Q15758_SLC1A5.pdf</v>
      </c>
    </row>
    <row r="3523" spans="1:28" x14ac:dyDescent="0.25">
      <c r="A3523" t="s">
        <v>3527</v>
      </c>
      <c r="B3523">
        <v>0.995954080203443</v>
      </c>
      <c r="C3523">
        <v>1.0521269424073101</v>
      </c>
      <c r="D3523">
        <v>0.95077292223753695</v>
      </c>
      <c r="E3523">
        <v>0.51078416991131004</v>
      </c>
      <c r="F3523">
        <v>0.193298879620494</v>
      </c>
      <c r="G3523">
        <v>0.107166541540552</v>
      </c>
      <c r="H3523">
        <v>5.6942948484191298E-2</v>
      </c>
      <c r="I3523">
        <v>7.0195161593771899E-2</v>
      </c>
      <c r="J3523">
        <v>6.5563749543863098E-2</v>
      </c>
      <c r="K3523">
        <v>5.9779009934683602E-2</v>
      </c>
      <c r="L3523">
        <v>1630.03532064057</v>
      </c>
      <c r="M3523">
        <v>32.674344776522403</v>
      </c>
      <c r="N3523">
        <v>50.113358535737298</v>
      </c>
      <c r="O3523">
        <v>49.701571508986198</v>
      </c>
      <c r="P3523">
        <v>-0.15309258240904799</v>
      </c>
      <c r="Q3523">
        <v>6.8516265397202999E-2</v>
      </c>
      <c r="R3523">
        <v>0.99752598793996206</v>
      </c>
      <c r="S3523" t="s">
        <v>10329</v>
      </c>
      <c r="T3523" t="s">
        <v>13610</v>
      </c>
      <c r="U3523" t="s">
        <v>13610</v>
      </c>
      <c r="V3523" t="s">
        <v>13610</v>
      </c>
      <c r="W3523" t="s">
        <v>17077</v>
      </c>
      <c r="X3523">
        <v>4</v>
      </c>
      <c r="Y3523" t="s">
        <v>23688</v>
      </c>
      <c r="Z3523" t="s">
        <v>30378</v>
      </c>
      <c r="AA3523">
        <v>0.38034935169707712</v>
      </c>
      <c r="AB3523" t="str">
        <f>HYPERLINK("Melting_Curves/meltCurve_Q15759_MAPK11.pdf", "Melting_Curves/meltCurve_Q15759_MAPK11.pdf")</f>
        <v>Melting_Curves/meltCurve_Q15759_MAPK11.pdf</v>
      </c>
    </row>
    <row r="3524" spans="1:28" x14ac:dyDescent="0.25">
      <c r="A3524" t="s">
        <v>3528</v>
      </c>
      <c r="B3524">
        <v>0.995954080203443</v>
      </c>
      <c r="C3524">
        <v>0.62563185522490605</v>
      </c>
      <c r="D3524">
        <v>0.625175451100214</v>
      </c>
      <c r="E3524">
        <v>0.50717769083281705</v>
      </c>
      <c r="F3524">
        <v>0.423672439954702</v>
      </c>
      <c r="G3524">
        <v>0.24125587838427001</v>
      </c>
      <c r="H3524">
        <v>0.206838165095518</v>
      </c>
      <c r="I3524">
        <v>0.23668278852480601</v>
      </c>
      <c r="J3524">
        <v>0.26725462872313699</v>
      </c>
      <c r="K3524">
        <v>0.29277610764600898</v>
      </c>
      <c r="L3524">
        <v>509.74403910079201</v>
      </c>
      <c r="M3524">
        <v>11.0634294525165</v>
      </c>
      <c r="N3524">
        <v>48.662091133773302</v>
      </c>
      <c r="O3524">
        <v>44.646181116581502</v>
      </c>
      <c r="P3524">
        <v>-4.8191729106971698E-2</v>
      </c>
      <c r="Q3524">
        <v>0.22235114209040899</v>
      </c>
      <c r="R3524">
        <v>0.91148000385149297</v>
      </c>
      <c r="S3524" t="s">
        <v>10330</v>
      </c>
      <c r="T3524" t="s">
        <v>13610</v>
      </c>
      <c r="U3524" t="s">
        <v>13610</v>
      </c>
      <c r="V3524" t="s">
        <v>13610</v>
      </c>
      <c r="W3524" t="s">
        <v>17078</v>
      </c>
      <c r="X3524">
        <v>3</v>
      </c>
      <c r="Y3524" t="s">
        <v>23689</v>
      </c>
      <c r="Z3524" t="s">
        <v>30379</v>
      </c>
      <c r="AA3524">
        <v>0.42054640194564252</v>
      </c>
      <c r="AB3524" t="str">
        <f>HYPERLINK("Melting_Curves/meltCurve_Q15773_MLF2.pdf", "Melting_Curves/meltCurve_Q15773_MLF2.pdf")</f>
        <v>Melting_Curves/meltCurve_Q15773_MLF2.pdf</v>
      </c>
    </row>
    <row r="3525" spans="1:28" x14ac:dyDescent="0.25">
      <c r="A3525" t="s">
        <v>3529</v>
      </c>
      <c r="B3525">
        <v>0.995954080203443</v>
      </c>
      <c r="C3525">
        <v>0.92062182684285299</v>
      </c>
      <c r="D3525">
        <v>0.98021637564847497</v>
      </c>
      <c r="E3525">
        <v>0.783045839444513</v>
      </c>
      <c r="F3525">
        <v>0.74305796288964199</v>
      </c>
      <c r="G3525">
        <v>0.58242741216741001</v>
      </c>
      <c r="H3525">
        <v>0.43000730278690402</v>
      </c>
      <c r="I3525">
        <v>0.27453236346409299</v>
      </c>
      <c r="J3525">
        <v>0.28230424059487302</v>
      </c>
      <c r="K3525">
        <v>0.25372454045151199</v>
      </c>
      <c r="L3525">
        <v>587.66295664566599</v>
      </c>
      <c r="M3525">
        <v>10.306006757322001</v>
      </c>
      <c r="N3525">
        <v>58.551935732871499</v>
      </c>
      <c r="O3525">
        <v>54.999719995872397</v>
      </c>
      <c r="P3525">
        <v>-4.1332092994641599E-2</v>
      </c>
      <c r="Q3525">
        <v>0.118079847470451</v>
      </c>
      <c r="R3525">
        <v>0.98434501275089703</v>
      </c>
      <c r="S3525" t="s">
        <v>10331</v>
      </c>
      <c r="T3525" t="s">
        <v>13610</v>
      </c>
      <c r="U3525" t="s">
        <v>13610</v>
      </c>
      <c r="V3525" t="s">
        <v>13610</v>
      </c>
      <c r="W3525" t="s">
        <v>17079</v>
      </c>
      <c r="X3525">
        <v>14</v>
      </c>
      <c r="Y3525" t="s">
        <v>23690</v>
      </c>
      <c r="Z3525" t="s">
        <v>30380</v>
      </c>
      <c r="AA3525">
        <v>0.63256796101845902</v>
      </c>
      <c r="AB3525" t="str">
        <f>HYPERLINK("Melting_Curves/meltCurve_Q15776_ZKSCAN8.pdf", "Melting_Curves/meltCurve_Q15776_ZKSCAN8.pdf")</f>
        <v>Melting_Curves/meltCurve_Q15776_ZKSCAN8.pdf</v>
      </c>
    </row>
    <row r="3526" spans="1:28" x14ac:dyDescent="0.25">
      <c r="A3526" t="s">
        <v>3530</v>
      </c>
      <c r="B3526">
        <v>0.995954080203443</v>
      </c>
      <c r="C3526">
        <v>0.88814607404660895</v>
      </c>
      <c r="D3526">
        <v>0.45804091386288298</v>
      </c>
      <c r="E3526">
        <v>0.27000773436443398</v>
      </c>
      <c r="F3526">
        <v>0.13511278189927201</v>
      </c>
      <c r="G3526">
        <v>8.4734936249966905E-2</v>
      </c>
      <c r="H3526">
        <v>6.0275339058324398E-2</v>
      </c>
      <c r="I3526">
        <v>6.06571464192402E-2</v>
      </c>
      <c r="J3526">
        <v>6.5384506521329697E-2</v>
      </c>
      <c r="K3526">
        <v>6.5126139133133004E-2</v>
      </c>
      <c r="L3526">
        <v>1007.3514898541</v>
      </c>
      <c r="M3526">
        <v>21.939016937118101</v>
      </c>
      <c r="N3526">
        <v>46.245741677686603</v>
      </c>
      <c r="O3526">
        <v>45.539596163337599</v>
      </c>
      <c r="P3526">
        <v>-0.111721494380353</v>
      </c>
      <c r="Q3526">
        <v>7.2403771106996098E-2</v>
      </c>
      <c r="R3526">
        <v>0.98837833841118405</v>
      </c>
      <c r="S3526" t="s">
        <v>10332</v>
      </c>
      <c r="T3526" t="s">
        <v>13610</v>
      </c>
      <c r="U3526" t="s">
        <v>13610</v>
      </c>
      <c r="V3526" t="s">
        <v>13610</v>
      </c>
      <c r="W3526" t="s">
        <v>17080</v>
      </c>
      <c r="X3526">
        <v>21</v>
      </c>
      <c r="Y3526" t="s">
        <v>23691</v>
      </c>
      <c r="Z3526" t="s">
        <v>30381</v>
      </c>
      <c r="AA3526">
        <v>0.26697769518371361</v>
      </c>
      <c r="AB3526" t="str">
        <f>HYPERLINK("Melting_Curves/meltCurve_Q15785_TOMM34.pdf", "Melting_Curves/meltCurve_Q15785_TOMM34.pdf")</f>
        <v>Melting_Curves/meltCurve_Q15785_TOMM34.pdf</v>
      </c>
    </row>
    <row r="3527" spans="1:28" x14ac:dyDescent="0.25">
      <c r="A3527" t="s">
        <v>3531</v>
      </c>
      <c r="B3527">
        <v>0.995954080203443</v>
      </c>
      <c r="C3527">
        <v>0.95929057247291405</v>
      </c>
      <c r="D3527">
        <v>0.85211972377840295</v>
      </c>
      <c r="E3527">
        <v>0.80694799736711198</v>
      </c>
      <c r="F3527">
        <v>0.66946675358404495</v>
      </c>
      <c r="G3527">
        <v>0.47155952624292402</v>
      </c>
      <c r="H3527">
        <v>0.42467705031106601</v>
      </c>
      <c r="I3527">
        <v>0.497457598456717</v>
      </c>
      <c r="J3527">
        <v>0.471811687789565</v>
      </c>
      <c r="K3527">
        <v>0.58357111772596804</v>
      </c>
      <c r="L3527">
        <v>873.64187376214295</v>
      </c>
      <c r="M3527">
        <v>17.317009917068098</v>
      </c>
      <c r="N3527">
        <v>61.285211285076201</v>
      </c>
      <c r="O3527">
        <v>49.791580433215799</v>
      </c>
      <c r="P3527">
        <v>-4.5511355472971103E-2</v>
      </c>
      <c r="Q3527">
        <v>0.47659511237999702</v>
      </c>
      <c r="R3527">
        <v>0.92968666644628595</v>
      </c>
      <c r="S3527" t="s">
        <v>10333</v>
      </c>
      <c r="T3527" t="s">
        <v>13610</v>
      </c>
      <c r="U3527" t="s">
        <v>13610</v>
      </c>
      <c r="V3527" t="s">
        <v>13610</v>
      </c>
      <c r="W3527" t="s">
        <v>17081</v>
      </c>
      <c r="X3527">
        <v>12</v>
      </c>
      <c r="Y3527" t="s">
        <v>23692</v>
      </c>
      <c r="Z3527" t="s">
        <v>30382</v>
      </c>
      <c r="AA3527">
        <v>0.6684453588865521</v>
      </c>
      <c r="AB3527" t="str">
        <f>HYPERLINK("Melting_Curves/meltCurve_Q15788_2_NCOA1.pdf", "Melting_Curves/meltCurve_Q15788_2_NCOA1.pdf")</f>
        <v>Melting_Curves/meltCurve_Q15788_2_NCOA1.pdf</v>
      </c>
    </row>
    <row r="3528" spans="1:28" x14ac:dyDescent="0.25">
      <c r="A3528" t="s">
        <v>3532</v>
      </c>
      <c r="B3528">
        <v>0.995954080203443</v>
      </c>
      <c r="C3528">
        <v>0.96952742160766803</v>
      </c>
      <c r="D3528">
        <v>0.85861164712725702</v>
      </c>
      <c r="E3528">
        <v>0.59151638742872203</v>
      </c>
      <c r="F3528">
        <v>0.195463451720988</v>
      </c>
      <c r="G3528">
        <v>0.11820034157221999</v>
      </c>
      <c r="H3528">
        <v>7.2153035624732506E-2</v>
      </c>
      <c r="I3528">
        <v>5.8016899340257201E-2</v>
      </c>
      <c r="J3528">
        <v>6.3299812953118206E-2</v>
      </c>
      <c r="K3528">
        <v>5.7196328835085103E-2</v>
      </c>
      <c r="L3528">
        <v>1235.1851849510199</v>
      </c>
      <c r="M3528">
        <v>24.6509276135824</v>
      </c>
      <c r="N3528">
        <v>50.349346831081299</v>
      </c>
      <c r="O3528">
        <v>49.780787681964497</v>
      </c>
      <c r="P3528">
        <v>-0.11687486921049201</v>
      </c>
      <c r="Q3528">
        <v>5.59316008670366E-2</v>
      </c>
      <c r="R3528">
        <v>0.99433316855395504</v>
      </c>
      <c r="S3528" t="s">
        <v>10334</v>
      </c>
      <c r="T3528" t="s">
        <v>13610</v>
      </c>
      <c r="U3528" t="s">
        <v>13610</v>
      </c>
      <c r="V3528" t="s">
        <v>13610</v>
      </c>
      <c r="W3528" t="s">
        <v>17082</v>
      </c>
      <c r="X3528">
        <v>16</v>
      </c>
      <c r="Y3528" t="s">
        <v>23693</v>
      </c>
      <c r="Z3528" t="s">
        <v>30383</v>
      </c>
      <c r="AA3528">
        <v>0.38267832479645802</v>
      </c>
      <c r="AB3528" t="str">
        <f>HYPERLINK("Melting_Curves/meltCurve_Q15796_2_SMAD2.pdf", "Melting_Curves/meltCurve_Q15796_2_SMAD2.pdf")</f>
        <v>Melting_Curves/meltCurve_Q15796_2_SMAD2.pdf</v>
      </c>
    </row>
    <row r="3529" spans="1:28" x14ac:dyDescent="0.25">
      <c r="A3529" t="s">
        <v>3533</v>
      </c>
      <c r="B3529">
        <v>0.995954080203443</v>
      </c>
      <c r="C3529">
        <v>0.86500535421218805</v>
      </c>
      <c r="D3529">
        <v>0.91442819691814803</v>
      </c>
      <c r="E3529">
        <v>0.521203913869278</v>
      </c>
      <c r="F3529">
        <v>0.23399828281929</v>
      </c>
      <c r="G3529">
        <v>0.14134977531303899</v>
      </c>
      <c r="H3529">
        <v>0.100875011617274</v>
      </c>
      <c r="I3529">
        <v>0.121625831956289</v>
      </c>
      <c r="J3529">
        <v>0.13077306477422301</v>
      </c>
      <c r="K3529">
        <v>0.13530302451538501</v>
      </c>
      <c r="L3529">
        <v>1297.3182079840401</v>
      </c>
      <c r="M3529">
        <v>26.170969251953402</v>
      </c>
      <c r="N3529">
        <v>50.077857068261402</v>
      </c>
      <c r="O3529">
        <v>49.284179177081903</v>
      </c>
      <c r="P3529">
        <v>-0.117307891855639</v>
      </c>
      <c r="Q3529">
        <v>0.11637082017575701</v>
      </c>
      <c r="R3529">
        <v>0.98698824845492406</v>
      </c>
      <c r="S3529" t="s">
        <v>10335</v>
      </c>
      <c r="T3529" t="s">
        <v>13610</v>
      </c>
      <c r="U3529" t="s">
        <v>13610</v>
      </c>
      <c r="V3529" t="s">
        <v>13610</v>
      </c>
      <c r="W3529" t="s">
        <v>17083</v>
      </c>
      <c r="X3529">
        <v>10</v>
      </c>
      <c r="Y3529" t="s">
        <v>23694</v>
      </c>
      <c r="Z3529" t="s">
        <v>30384</v>
      </c>
      <c r="AA3529">
        <v>0.40544113841808249</v>
      </c>
      <c r="AB3529" t="str">
        <f>HYPERLINK("Melting_Curves/meltCurve_Q15797_SMAD1.pdf", "Melting_Curves/meltCurve_Q15797_SMAD1.pdf")</f>
        <v>Melting_Curves/meltCurve_Q15797_SMAD1.pdf</v>
      </c>
    </row>
    <row r="3530" spans="1:28" x14ac:dyDescent="0.25">
      <c r="A3530" t="s">
        <v>3534</v>
      </c>
      <c r="B3530">
        <v>0.995954080203443</v>
      </c>
      <c r="C3530">
        <v>0.80469508152458702</v>
      </c>
      <c r="D3530">
        <v>0.88530100237343901</v>
      </c>
      <c r="E3530">
        <v>0.63024409236532797</v>
      </c>
      <c r="F3530">
        <v>0.49163613592877098</v>
      </c>
      <c r="G3530">
        <v>0.32363116582802498</v>
      </c>
      <c r="H3530">
        <v>0.22538426819829499</v>
      </c>
      <c r="I3530">
        <v>0.17249222040842799</v>
      </c>
      <c r="J3530">
        <v>0.164459392844608</v>
      </c>
      <c r="K3530">
        <v>0.152417435594732</v>
      </c>
      <c r="L3530">
        <v>569.348971336212</v>
      </c>
      <c r="M3530">
        <v>10.9910889457515</v>
      </c>
      <c r="N3530">
        <v>52.724823557626699</v>
      </c>
      <c r="O3530">
        <v>50.174784963981999</v>
      </c>
      <c r="P3530">
        <v>-4.9984161184745898E-2</v>
      </c>
      <c r="Q3530">
        <v>8.7589766496524807E-2</v>
      </c>
      <c r="R3530">
        <v>0.98056105682262895</v>
      </c>
      <c r="S3530" t="s">
        <v>10336</v>
      </c>
      <c r="T3530" t="s">
        <v>13610</v>
      </c>
      <c r="U3530" t="s">
        <v>13610</v>
      </c>
      <c r="V3530" t="s">
        <v>13610</v>
      </c>
      <c r="W3530" t="s">
        <v>17084</v>
      </c>
      <c r="X3530">
        <v>25</v>
      </c>
      <c r="Y3530" t="s">
        <v>23695</v>
      </c>
      <c r="Z3530" t="s">
        <v>30385</v>
      </c>
      <c r="AA3530">
        <v>0.47812154318887501</v>
      </c>
      <c r="AB3530" t="str">
        <f>HYPERLINK("Melting_Curves/meltCurve_Q15813_TBCE.pdf", "Melting_Curves/meltCurve_Q15813_TBCE.pdf")</f>
        <v>Melting_Curves/meltCurve_Q15813_TBCE.pdf</v>
      </c>
    </row>
    <row r="3531" spans="1:28" x14ac:dyDescent="0.25">
      <c r="A3531" t="s">
        <v>3535</v>
      </c>
      <c r="B3531">
        <v>0.995954080203443</v>
      </c>
      <c r="C3531">
        <v>1.03427529144852</v>
      </c>
      <c r="D3531">
        <v>0.97932724374277402</v>
      </c>
      <c r="E3531">
        <v>0.91188796298997099</v>
      </c>
      <c r="F3531">
        <v>0.80209472063304499</v>
      </c>
      <c r="G3531">
        <v>0.39923493034507401</v>
      </c>
      <c r="H3531">
        <v>0.12728710947068</v>
      </c>
      <c r="I3531">
        <v>0.10776392653497099</v>
      </c>
      <c r="J3531">
        <v>0.10220395371148699</v>
      </c>
      <c r="K3531">
        <v>0.100497589588791</v>
      </c>
      <c r="L3531">
        <v>1452.46078725296</v>
      </c>
      <c r="M3531">
        <v>26.180041540078701</v>
      </c>
      <c r="N3531">
        <v>55.863142456666303</v>
      </c>
      <c r="O3531">
        <v>55.159029509138698</v>
      </c>
      <c r="P3531">
        <v>-0.10890001444731</v>
      </c>
      <c r="Q3531">
        <v>8.2239521951522801E-2</v>
      </c>
      <c r="R3531">
        <v>0.997094185706627</v>
      </c>
      <c r="S3531" t="s">
        <v>10337</v>
      </c>
      <c r="T3531" t="s">
        <v>13610</v>
      </c>
      <c r="U3531" t="s">
        <v>13610</v>
      </c>
      <c r="V3531" t="s">
        <v>13610</v>
      </c>
      <c r="W3531" t="s">
        <v>17085</v>
      </c>
      <c r="X3531">
        <v>13</v>
      </c>
      <c r="Y3531" t="s">
        <v>23696</v>
      </c>
      <c r="Z3531" t="s">
        <v>30386</v>
      </c>
      <c r="AA3531">
        <v>0.56361249317954498</v>
      </c>
      <c r="AB3531" t="str">
        <f>HYPERLINK("Melting_Curves/meltCurve_Q15814_TBCC.pdf", "Melting_Curves/meltCurve_Q15814_TBCC.pdf")</f>
        <v>Melting_Curves/meltCurve_Q15814_TBCC.pdf</v>
      </c>
    </row>
    <row r="3532" spans="1:28" x14ac:dyDescent="0.25">
      <c r="A3532" t="s">
        <v>3536</v>
      </c>
      <c r="B3532">
        <v>0.995954080203443</v>
      </c>
      <c r="C3532">
        <v>1.0176089241720401</v>
      </c>
      <c r="D3532">
        <v>1.0194076431876</v>
      </c>
      <c r="E3532">
        <v>0.91336621832916198</v>
      </c>
      <c r="F3532">
        <v>0.88404306548089595</v>
      </c>
      <c r="G3532">
        <v>0.36786738072576802</v>
      </c>
      <c r="H3532">
        <v>0.13446000978802899</v>
      </c>
      <c r="I3532">
        <v>8.9752900656407897E-2</v>
      </c>
      <c r="J3532">
        <v>0.102220334839158</v>
      </c>
      <c r="K3532">
        <v>9.2463300658254199E-2</v>
      </c>
      <c r="L3532">
        <v>1926.3806273494399</v>
      </c>
      <c r="M3532">
        <v>34.5944057249826</v>
      </c>
      <c r="N3532">
        <v>56.007038519848699</v>
      </c>
      <c r="O3532">
        <v>55.499646219936899</v>
      </c>
      <c r="P3532">
        <v>-0.14176745402862401</v>
      </c>
      <c r="Q3532">
        <v>9.0255668350879503E-2</v>
      </c>
      <c r="R3532">
        <v>0.99644029851127602</v>
      </c>
      <c r="S3532" t="s">
        <v>10338</v>
      </c>
      <c r="T3532" t="s">
        <v>13610</v>
      </c>
      <c r="U3532" t="s">
        <v>13610</v>
      </c>
      <c r="V3532" t="s">
        <v>13610</v>
      </c>
      <c r="W3532" t="s">
        <v>17086</v>
      </c>
      <c r="X3532">
        <v>13</v>
      </c>
      <c r="Y3532" t="s">
        <v>23697</v>
      </c>
      <c r="Z3532" t="s">
        <v>30387</v>
      </c>
      <c r="AA3532">
        <v>0.57051901707301933</v>
      </c>
      <c r="AB3532" t="str">
        <f>HYPERLINK("Melting_Curves/meltCurve_Q15819_UBE2V2.pdf", "Melting_Curves/meltCurve_Q15819_UBE2V2.pdf")</f>
        <v>Melting_Curves/meltCurve_Q15819_UBE2V2.pdf</v>
      </c>
    </row>
    <row r="3533" spans="1:28" x14ac:dyDescent="0.25">
      <c r="A3533" t="s">
        <v>3537</v>
      </c>
      <c r="B3533">
        <v>0.995954080203443</v>
      </c>
      <c r="C3533">
        <v>0.96037573020167699</v>
      </c>
      <c r="D3533">
        <v>0.87304285700171902</v>
      </c>
      <c r="E3533">
        <v>0.84816192331520401</v>
      </c>
      <c r="F3533">
        <v>0.66286948339589002</v>
      </c>
      <c r="G3533">
        <v>0.43965091890522201</v>
      </c>
      <c r="H3533">
        <v>0.20714479468392</v>
      </c>
      <c r="I3533">
        <v>0.111236277082293</v>
      </c>
      <c r="J3533">
        <v>0.10567621463429799</v>
      </c>
      <c r="K3533">
        <v>0.109797622252834</v>
      </c>
      <c r="L3533">
        <v>777.528674334838</v>
      </c>
      <c r="M3533">
        <v>14.0505404184331</v>
      </c>
      <c r="N3533">
        <v>55.536985764288097</v>
      </c>
      <c r="O3533">
        <v>54.253203782195001</v>
      </c>
      <c r="P3533">
        <v>-6.3163899925050698E-2</v>
      </c>
      <c r="Q3533">
        <v>2.4550883400875301E-2</v>
      </c>
      <c r="R3533">
        <v>0.99146993424602403</v>
      </c>
      <c r="S3533" t="s">
        <v>10339</v>
      </c>
      <c r="T3533" t="s">
        <v>13610</v>
      </c>
      <c r="U3533" t="s">
        <v>13610</v>
      </c>
      <c r="V3533" t="s">
        <v>13610</v>
      </c>
      <c r="W3533" t="s">
        <v>17087</v>
      </c>
      <c r="X3533">
        <v>8</v>
      </c>
      <c r="Y3533" t="s">
        <v>23698</v>
      </c>
      <c r="Z3533" t="s">
        <v>30388</v>
      </c>
      <c r="AA3533">
        <v>0.54276394003995032</v>
      </c>
      <c r="AB3533" t="str">
        <f>HYPERLINK("Melting_Curves/meltCurve_Q15831_2_STK11.pdf", "Melting_Curves/meltCurve_Q15831_2_STK11.pdf")</f>
        <v>Melting_Curves/meltCurve_Q15831_2_STK11.pdf</v>
      </c>
    </row>
    <row r="3534" spans="1:28" x14ac:dyDescent="0.25">
      <c r="A3534" t="s">
        <v>3538</v>
      </c>
      <c r="B3534">
        <v>0.995954080203443</v>
      </c>
      <c r="C3534">
        <v>0.987097454578864</v>
      </c>
      <c r="D3534">
        <v>0.87523375673030701</v>
      </c>
      <c r="E3534">
        <v>0.28651317409472699</v>
      </c>
      <c r="F3534">
        <v>0.14684194903277101</v>
      </c>
      <c r="G3534">
        <v>8.8318832346955298E-2</v>
      </c>
      <c r="H3534">
        <v>5.98691502291301E-2</v>
      </c>
      <c r="I3534">
        <v>5.6316181655198097E-2</v>
      </c>
      <c r="J3534">
        <v>5.98714908493179E-2</v>
      </c>
      <c r="K3534">
        <v>5.9469959132007102E-2</v>
      </c>
      <c r="L3534">
        <v>1656.46842269236</v>
      </c>
      <c r="M3534">
        <v>34.226516381047098</v>
      </c>
      <c r="N3534">
        <v>48.604549744102201</v>
      </c>
      <c r="O3534">
        <v>48.232908460634299</v>
      </c>
      <c r="P3534">
        <v>-0.16535399744645601</v>
      </c>
      <c r="Q3534">
        <v>6.79188358177997E-2</v>
      </c>
      <c r="R3534">
        <v>0.99869428371660895</v>
      </c>
      <c r="S3534" t="s">
        <v>10340</v>
      </c>
      <c r="T3534" t="s">
        <v>13610</v>
      </c>
      <c r="U3534" t="s">
        <v>13610</v>
      </c>
      <c r="V3534" t="s">
        <v>13610</v>
      </c>
      <c r="W3534" t="s">
        <v>17088</v>
      </c>
      <c r="X3534">
        <v>30</v>
      </c>
      <c r="Y3534" t="s">
        <v>23699</v>
      </c>
      <c r="Z3534" t="s">
        <v>30389</v>
      </c>
      <c r="AA3534">
        <v>0.33310850846698681</v>
      </c>
      <c r="AB3534" t="str">
        <f>HYPERLINK("Melting_Curves/meltCurve_Q15833_STXBP2.pdf", "Melting_Curves/meltCurve_Q15833_STXBP2.pdf")</f>
        <v>Melting_Curves/meltCurve_Q15833_STXBP2.pdf</v>
      </c>
    </row>
    <row r="3535" spans="1:28" x14ac:dyDescent="0.25">
      <c r="A3535" t="s">
        <v>3539</v>
      </c>
      <c r="B3535">
        <v>0.995954080203443</v>
      </c>
      <c r="C3535">
        <v>1.10152284338301</v>
      </c>
      <c r="D3535">
        <v>0.91557229780363802</v>
      </c>
      <c r="E3535">
        <v>0.94701727501566901</v>
      </c>
      <c r="F3535">
        <v>0.84042309615055599</v>
      </c>
      <c r="G3535">
        <v>0.49985420988957702</v>
      </c>
      <c r="H3535">
        <v>0.433175786789675</v>
      </c>
      <c r="I3535">
        <v>0.38770254312832902</v>
      </c>
      <c r="J3535">
        <v>0.48277383180734901</v>
      </c>
      <c r="K3535">
        <v>0.453477636369438</v>
      </c>
      <c r="L3535">
        <v>2107.8477394778001</v>
      </c>
      <c r="M3535">
        <v>38.929486128466799</v>
      </c>
      <c r="N3535">
        <v>57.167637261708897</v>
      </c>
      <c r="O3535">
        <v>54.002991985023698</v>
      </c>
      <c r="P3535">
        <v>-0.10161596516923301</v>
      </c>
      <c r="Q3535">
        <v>0.43615455703258998</v>
      </c>
      <c r="R3535">
        <v>0.96602568629077401</v>
      </c>
      <c r="S3535" t="s">
        <v>10341</v>
      </c>
      <c r="T3535" t="s">
        <v>13610</v>
      </c>
      <c r="U3535" t="s">
        <v>13610</v>
      </c>
      <c r="V3535" t="s">
        <v>13610</v>
      </c>
      <c r="W3535" t="s">
        <v>17089</v>
      </c>
      <c r="X3535">
        <v>1</v>
      </c>
      <c r="Y3535" t="s">
        <v>23700</v>
      </c>
      <c r="Z3535" t="s">
        <v>30390</v>
      </c>
      <c r="AA3535">
        <v>0.70423561776137111</v>
      </c>
      <c r="AB3535" t="str">
        <f>HYPERLINK("Melting_Curves/meltCurve_Q15836_VAMP3.pdf", "Melting_Curves/meltCurve_Q15836_VAMP3.pdf")</f>
        <v>Melting_Curves/meltCurve_Q15836_VAMP3.pdf</v>
      </c>
    </row>
    <row r="3536" spans="1:28" x14ac:dyDescent="0.25">
      <c r="A3536" t="s">
        <v>3540</v>
      </c>
      <c r="B3536">
        <v>0.995954080203443</v>
      </c>
      <c r="C3536">
        <v>0.69262808970612799</v>
      </c>
      <c r="D3536">
        <v>1.2907000710213401</v>
      </c>
      <c r="E3536">
        <v>0.78640836962046801</v>
      </c>
      <c r="F3536">
        <v>1.49308288270386</v>
      </c>
      <c r="G3536">
        <v>1.05147066803408</v>
      </c>
      <c r="H3536">
        <v>1.2165645163918499</v>
      </c>
      <c r="I3536">
        <v>1.0840260424902699</v>
      </c>
      <c r="J3536">
        <v>2.9952479595246801</v>
      </c>
      <c r="K3536">
        <v>1.0918123684540999</v>
      </c>
      <c r="L3536">
        <v>15000</v>
      </c>
      <c r="M3536">
        <v>232.79568870103699</v>
      </c>
      <c r="O3536">
        <v>64.429427548895603</v>
      </c>
      <c r="P3536">
        <v>0.45164860482817798</v>
      </c>
      <c r="Q3536">
        <v>1.5</v>
      </c>
      <c r="R3536">
        <v>0.228755326128223</v>
      </c>
      <c r="S3536" t="s">
        <v>10342</v>
      </c>
      <c r="T3536" t="s">
        <v>13610</v>
      </c>
      <c r="U3536" t="s">
        <v>13610</v>
      </c>
      <c r="V3536" t="s">
        <v>13610</v>
      </c>
      <c r="W3536" t="s">
        <v>17090</v>
      </c>
      <c r="X3536">
        <v>7</v>
      </c>
      <c r="Y3536" t="s">
        <v>17090</v>
      </c>
      <c r="Z3536" t="s">
        <v>30391</v>
      </c>
      <c r="AA3536">
        <v>1.0926984087044611</v>
      </c>
      <c r="AB3536" t="str">
        <f>HYPERLINK("Melting_Curves/meltCurve_Q15843_NEDD8.pdf", "Melting_Curves/meltCurve_Q15843_NEDD8.pdf")</f>
        <v>Melting_Curves/meltCurve_Q15843_NEDD8.pdf</v>
      </c>
    </row>
    <row r="3537" spans="1:28" x14ac:dyDescent="0.25">
      <c r="A3537" t="s">
        <v>3541</v>
      </c>
      <c r="B3537">
        <v>0.995954080203443</v>
      </c>
      <c r="C3537">
        <v>0.95244222278241197</v>
      </c>
      <c r="D3537">
        <v>0.73796156249135303</v>
      </c>
      <c r="E3537">
        <v>0.81386590437670303</v>
      </c>
      <c r="F3537">
        <v>0.34750029768810498</v>
      </c>
      <c r="G3537">
        <v>0.18814018883700101</v>
      </c>
      <c r="H3537">
        <v>0.120158371742127</v>
      </c>
      <c r="I3537">
        <v>0.115233035746826</v>
      </c>
      <c r="J3537">
        <v>0.16839339504702</v>
      </c>
      <c r="K3537">
        <v>0.14362207426089699</v>
      </c>
      <c r="L3537">
        <v>985.34157486110996</v>
      </c>
      <c r="M3537">
        <v>19.2313619022522</v>
      </c>
      <c r="N3537">
        <v>51.909950188906599</v>
      </c>
      <c r="O3537">
        <v>50.691831743148398</v>
      </c>
      <c r="P3537">
        <v>-8.4372173397493602E-2</v>
      </c>
      <c r="Q3537">
        <v>0.110449370416233</v>
      </c>
      <c r="R3537">
        <v>0.94777612167925795</v>
      </c>
      <c r="S3537" t="s">
        <v>10343</v>
      </c>
      <c r="T3537" t="s">
        <v>13610</v>
      </c>
      <c r="U3537" t="s">
        <v>13610</v>
      </c>
      <c r="V3537" t="s">
        <v>13610</v>
      </c>
      <c r="W3537" t="s">
        <v>17091</v>
      </c>
      <c r="X3537">
        <v>1</v>
      </c>
      <c r="Y3537" t="s">
        <v>23701</v>
      </c>
      <c r="Z3537" t="s">
        <v>30392</v>
      </c>
      <c r="AA3537">
        <v>0.45688533151686589</v>
      </c>
      <c r="AB3537" t="str">
        <f>HYPERLINK("Melting_Curves/meltCurve_Q15904_ATP6AP1.pdf", "Melting_Curves/meltCurve_Q15904_ATP6AP1.pdf")</f>
        <v>Melting_Curves/meltCurve_Q15904_ATP6AP1.pdf</v>
      </c>
    </row>
    <row r="3538" spans="1:28" x14ac:dyDescent="0.25">
      <c r="A3538" t="s">
        <v>3542</v>
      </c>
      <c r="B3538">
        <v>0.995954080203443</v>
      </c>
      <c r="C3538">
        <v>0.95992772979971097</v>
      </c>
      <c r="D3538">
        <v>0.82441804106382</v>
      </c>
      <c r="E3538">
        <v>0.73453022294405601</v>
      </c>
      <c r="F3538">
        <v>0.61756169144788298</v>
      </c>
      <c r="G3538">
        <v>0.43400099441741102</v>
      </c>
      <c r="H3538">
        <v>0.37630853442007201</v>
      </c>
      <c r="I3538">
        <v>0.39371834758726598</v>
      </c>
      <c r="J3538">
        <v>0.55032389292985195</v>
      </c>
      <c r="K3538">
        <v>0.44619530537109597</v>
      </c>
      <c r="L3538">
        <v>793.77477228075804</v>
      </c>
      <c r="M3538">
        <v>15.9770825797816</v>
      </c>
      <c r="N3538">
        <v>56.350682386543497</v>
      </c>
      <c r="O3538">
        <v>48.923312957018098</v>
      </c>
      <c r="P3538">
        <v>-4.6987905557587098E-2</v>
      </c>
      <c r="Q3538">
        <v>0.42452004191717302</v>
      </c>
      <c r="R3538">
        <v>0.93789404186557401</v>
      </c>
      <c r="S3538" t="s">
        <v>10344</v>
      </c>
      <c r="T3538" t="s">
        <v>13610</v>
      </c>
      <c r="U3538" t="s">
        <v>13610</v>
      </c>
      <c r="V3538" t="s">
        <v>13610</v>
      </c>
      <c r="W3538" t="s">
        <v>17092</v>
      </c>
      <c r="X3538">
        <v>4</v>
      </c>
      <c r="Y3538" t="s">
        <v>23702</v>
      </c>
      <c r="Z3538" t="s">
        <v>30393</v>
      </c>
      <c r="AA3538">
        <v>0.62260156054773996</v>
      </c>
      <c r="AB3538" t="str">
        <f>HYPERLINK("Melting_Curves/meltCurve_Q15906_VPS72.pdf", "Melting_Curves/meltCurve_Q15906_VPS72.pdf")</f>
        <v>Melting_Curves/meltCurve_Q15906_VPS72.pdf</v>
      </c>
    </row>
    <row r="3539" spans="1:28" x14ac:dyDescent="0.25">
      <c r="A3539" t="s">
        <v>3543</v>
      </c>
      <c r="B3539">
        <v>0.995954080203443</v>
      </c>
      <c r="C3539">
        <v>1.0248766707172701</v>
      </c>
      <c r="D3539">
        <v>1.0060552046260101</v>
      </c>
      <c r="E3539">
        <v>0.92065542960440205</v>
      </c>
      <c r="F3539">
        <v>0.77234060528952597</v>
      </c>
      <c r="G3539">
        <v>0.348353930435162</v>
      </c>
      <c r="H3539">
        <v>0.152391164590787</v>
      </c>
      <c r="I3539">
        <v>0.119111024158713</v>
      </c>
      <c r="J3539">
        <v>0.121625548541121</v>
      </c>
      <c r="K3539">
        <v>0.110568503192027</v>
      </c>
      <c r="L3539">
        <v>1510.1420383070699</v>
      </c>
      <c r="M3539">
        <v>27.478097923813898</v>
      </c>
      <c r="N3539">
        <v>55.437455443306803</v>
      </c>
      <c r="O3539">
        <v>54.669421015868799</v>
      </c>
      <c r="P3539">
        <v>-0.11236833356053499</v>
      </c>
      <c r="Q3539">
        <v>0.10575251807930899</v>
      </c>
      <c r="R3539">
        <v>0.99895714996935503</v>
      </c>
      <c r="S3539" t="s">
        <v>10345</v>
      </c>
      <c r="T3539" t="s">
        <v>13610</v>
      </c>
      <c r="U3539" t="s">
        <v>13610</v>
      </c>
      <c r="V3539" t="s">
        <v>13610</v>
      </c>
      <c r="W3539" t="s">
        <v>17093</v>
      </c>
      <c r="X3539">
        <v>14</v>
      </c>
      <c r="Y3539" t="s">
        <v>23703</v>
      </c>
      <c r="Z3539" t="s">
        <v>30394</v>
      </c>
      <c r="AA3539">
        <v>0.55860852790102988</v>
      </c>
      <c r="AB3539" t="str">
        <f>HYPERLINK("Melting_Curves/meltCurve_Q15907_RAB11B.pdf", "Melting_Curves/meltCurve_Q15907_RAB11B.pdf")</f>
        <v>Melting_Curves/meltCurve_Q15907_RAB11B.pdf</v>
      </c>
    </row>
    <row r="3540" spans="1:28" x14ac:dyDescent="0.25">
      <c r="A3540" t="s">
        <v>3544</v>
      </c>
      <c r="B3540">
        <v>0.995954080203443</v>
      </c>
      <c r="C3540">
        <v>0.72827000410193699</v>
      </c>
      <c r="D3540">
        <v>0.47704787217990502</v>
      </c>
      <c r="E3540">
        <v>0.336329376806494</v>
      </c>
      <c r="F3540">
        <v>0.186589919981513</v>
      </c>
      <c r="G3540">
        <v>0.12088518164463399</v>
      </c>
      <c r="H3540">
        <v>9.2714717842690197E-2</v>
      </c>
      <c r="I3540">
        <v>9.1527386405994296E-2</v>
      </c>
      <c r="J3540">
        <v>0.11059011054083</v>
      </c>
      <c r="K3540">
        <v>9.5445728669556501E-2</v>
      </c>
      <c r="L3540">
        <v>724.58823956924402</v>
      </c>
      <c r="M3540">
        <v>15.874480885335799</v>
      </c>
      <c r="N3540">
        <v>46.249527204827899</v>
      </c>
      <c r="O3540">
        <v>44.938900683198703</v>
      </c>
      <c r="P3540">
        <v>-8.0041971276134494E-2</v>
      </c>
      <c r="Q3540">
        <v>9.3712951194784205E-2</v>
      </c>
      <c r="R3540">
        <v>0.98451807185692597</v>
      </c>
      <c r="S3540" t="s">
        <v>10346</v>
      </c>
      <c r="T3540" t="s">
        <v>13610</v>
      </c>
      <c r="U3540" t="s">
        <v>13610</v>
      </c>
      <c r="V3540" t="s">
        <v>13610</v>
      </c>
      <c r="W3540" t="s">
        <v>17094</v>
      </c>
      <c r="X3540">
        <v>11</v>
      </c>
      <c r="Y3540" t="s">
        <v>23704</v>
      </c>
      <c r="Z3540" t="s">
        <v>30395</v>
      </c>
      <c r="AA3540">
        <v>0.28843082346133542</v>
      </c>
      <c r="AB3540" t="str">
        <f>HYPERLINK("Melting_Curves/meltCurve_Q15910_EZH2.pdf", "Melting_Curves/meltCurve_Q15910_EZH2.pdf")</f>
        <v>Melting_Curves/meltCurve_Q15910_EZH2.pdf</v>
      </c>
    </row>
    <row r="3541" spans="1:28" x14ac:dyDescent="0.25">
      <c r="A3541" t="s">
        <v>3545</v>
      </c>
      <c r="B3541">
        <v>0.995954080203443</v>
      </c>
      <c r="C3541">
        <v>0.89331742953608895</v>
      </c>
      <c r="D3541">
        <v>1.0863966385356401</v>
      </c>
      <c r="E3541">
        <v>0.80018222401670902</v>
      </c>
      <c r="F3541">
        <v>0.98426159490912901</v>
      </c>
      <c r="G3541">
        <v>0.83321998020759103</v>
      </c>
      <c r="H3541">
        <v>0.89523346246888502</v>
      </c>
      <c r="I3541">
        <v>1.0551069037257901</v>
      </c>
      <c r="J3541">
        <v>1.1807891997234601</v>
      </c>
      <c r="K3541">
        <v>1.1515666630310299</v>
      </c>
      <c r="L3541">
        <v>15000</v>
      </c>
      <c r="M3541">
        <v>233.67410849240099</v>
      </c>
      <c r="O3541">
        <v>64.187261270734695</v>
      </c>
      <c r="P3541">
        <v>0.15124634600287901</v>
      </c>
      <c r="Q3541">
        <v>1.16618167815115</v>
      </c>
      <c r="R3541">
        <v>0.366032092965486</v>
      </c>
      <c r="S3541" t="s">
        <v>10347</v>
      </c>
      <c r="T3541" t="s">
        <v>13610</v>
      </c>
      <c r="U3541" t="s">
        <v>13610</v>
      </c>
      <c r="V3541" t="s">
        <v>13610</v>
      </c>
      <c r="W3541" t="s">
        <v>17095</v>
      </c>
      <c r="X3541">
        <v>2</v>
      </c>
      <c r="Y3541" t="s">
        <v>23705</v>
      </c>
      <c r="Z3541" t="s">
        <v>30396</v>
      </c>
      <c r="AA3541">
        <v>1.0321515419790741</v>
      </c>
      <c r="AB3541" t="str">
        <f>HYPERLINK("Melting_Curves/meltCurve_Q15935_ZNF77.pdf", "Melting_Curves/meltCurve_Q15935_ZNF77.pdf")</f>
        <v>Melting_Curves/meltCurve_Q15935_ZNF77.pdf</v>
      </c>
    </row>
    <row r="3542" spans="1:28" x14ac:dyDescent="0.25">
      <c r="A3542" t="s">
        <v>3546</v>
      </c>
      <c r="B3542">
        <v>0.995954080203443</v>
      </c>
      <c r="C3542">
        <v>0.96508732745925097</v>
      </c>
      <c r="D3542">
        <v>1.0326902401403399</v>
      </c>
      <c r="E3542">
        <v>0.85026140965264696</v>
      </c>
      <c r="F3542">
        <v>0.83465584076125499</v>
      </c>
      <c r="G3542">
        <v>0.62102970701151605</v>
      </c>
      <c r="H3542">
        <v>0.52419694649589998</v>
      </c>
      <c r="I3542">
        <v>0.58050686133900098</v>
      </c>
      <c r="J3542">
        <v>0.66157560369691104</v>
      </c>
      <c r="K3542">
        <v>0.61709017447034398</v>
      </c>
      <c r="L3542">
        <v>1293.9039831948701</v>
      </c>
      <c r="M3542">
        <v>24.592508038834701</v>
      </c>
      <c r="O3542">
        <v>52.269555433113503</v>
      </c>
      <c r="P3542">
        <v>-4.8132396176879901E-2</v>
      </c>
      <c r="Q3542">
        <v>0.59079849751903601</v>
      </c>
      <c r="R3542">
        <v>0.92961627168055505</v>
      </c>
      <c r="S3542" t="s">
        <v>10348</v>
      </c>
      <c r="T3542" t="s">
        <v>13610</v>
      </c>
      <c r="U3542" t="s">
        <v>13610</v>
      </c>
      <c r="V3542" t="s">
        <v>13610</v>
      </c>
      <c r="W3542" t="s">
        <v>17096</v>
      </c>
      <c r="X3542">
        <v>22</v>
      </c>
      <c r="Y3542" t="s">
        <v>23706</v>
      </c>
      <c r="Z3542" t="s">
        <v>30397</v>
      </c>
      <c r="AA3542">
        <v>0.766725711706151</v>
      </c>
      <c r="AB3542" t="str">
        <f>HYPERLINK("Melting_Curves/meltCurve_Q15942_ZYX.pdf", "Melting_Curves/meltCurve_Q15942_ZYX.pdf")</f>
        <v>Melting_Curves/meltCurve_Q15942_ZYX.pdf</v>
      </c>
    </row>
    <row r="3543" spans="1:28" x14ac:dyDescent="0.25">
      <c r="A3543" t="s">
        <v>3547</v>
      </c>
      <c r="B3543">
        <v>0.995954080203443</v>
      </c>
      <c r="C3543">
        <v>0.90331816122736197</v>
      </c>
      <c r="D3543">
        <v>0.78667675113749302</v>
      </c>
      <c r="E3543">
        <v>0.92941926802145902</v>
      </c>
      <c r="F3543">
        <v>0.62375708085757198</v>
      </c>
      <c r="G3543">
        <v>0.18681949828894501</v>
      </c>
      <c r="H3543">
        <v>7.9831267813410503E-2</v>
      </c>
      <c r="I3543">
        <v>7.4317626537880793E-2</v>
      </c>
      <c r="J3543">
        <v>7.98018223875019E-2</v>
      </c>
      <c r="K3543">
        <v>7.52649810982466E-2</v>
      </c>
      <c r="L3543">
        <v>1671.2988436968201</v>
      </c>
      <c r="M3543">
        <v>31.1634157847894</v>
      </c>
      <c r="N3543">
        <v>53.885072245803798</v>
      </c>
      <c r="O3543">
        <v>53.410775088654098</v>
      </c>
      <c r="P3543">
        <v>-0.135870169345226</v>
      </c>
      <c r="Q3543">
        <v>6.8537336879752803E-2</v>
      </c>
      <c r="R3543">
        <v>0.96444938576022499</v>
      </c>
      <c r="S3543" t="s">
        <v>10349</v>
      </c>
      <c r="T3543" t="s">
        <v>13610</v>
      </c>
      <c r="U3543" t="s">
        <v>13610</v>
      </c>
      <c r="V3543" t="s">
        <v>13610</v>
      </c>
      <c r="W3543" t="s">
        <v>17097</v>
      </c>
      <c r="X3543">
        <v>32</v>
      </c>
      <c r="Y3543" t="s">
        <v>23707</v>
      </c>
      <c r="Z3543" t="s">
        <v>30398</v>
      </c>
      <c r="AA3543">
        <v>0.49739297661909659</v>
      </c>
      <c r="AB3543" t="str">
        <f>HYPERLINK("Melting_Curves/meltCurve_Q16181_SEPT7.pdf", "Melting_Curves/meltCurve_Q16181_SEPT7.pdf")</f>
        <v>Melting_Curves/meltCurve_Q16181_SEPT7.pdf</v>
      </c>
    </row>
    <row r="3544" spans="1:28" x14ac:dyDescent="0.25">
      <c r="A3544" t="s">
        <v>3548</v>
      </c>
      <c r="B3544">
        <v>0.995954080203443</v>
      </c>
      <c r="C3544">
        <v>0.83980993329929998</v>
      </c>
      <c r="D3544">
        <v>0.94870293497217095</v>
      </c>
      <c r="E3544">
        <v>0.75886225109033301</v>
      </c>
      <c r="F3544">
        <v>0.82077578306451604</v>
      </c>
      <c r="G3544">
        <v>0.63481901076079095</v>
      </c>
      <c r="H3544">
        <v>0.69401507096759496</v>
      </c>
      <c r="I3544">
        <v>0.84422869588750005</v>
      </c>
      <c r="J3544">
        <v>1.3590623782190101</v>
      </c>
      <c r="K3544">
        <v>1.0464438846961199</v>
      </c>
      <c r="L3544">
        <v>10133.1693269686</v>
      </c>
      <c r="M3544">
        <v>250</v>
      </c>
      <c r="O3544">
        <v>40.530083525322198</v>
      </c>
      <c r="P3544">
        <v>-0.18046952899921301</v>
      </c>
      <c r="Q3544">
        <v>0.88296887890670706</v>
      </c>
      <c r="R3544">
        <v>2.95261800641907E-2</v>
      </c>
      <c r="S3544" t="s">
        <v>10350</v>
      </c>
      <c r="T3544" t="s">
        <v>13610</v>
      </c>
      <c r="U3544" t="s">
        <v>13610</v>
      </c>
      <c r="V3544" t="s">
        <v>13610</v>
      </c>
      <c r="W3544" t="s">
        <v>17098</v>
      </c>
      <c r="X3544">
        <v>10</v>
      </c>
      <c r="Y3544" t="s">
        <v>23708</v>
      </c>
      <c r="Z3544" t="s">
        <v>30399</v>
      </c>
      <c r="AA3544">
        <v>0.88507670543706851</v>
      </c>
      <c r="AB3544" t="str">
        <f>HYPERLINK("Melting_Curves/meltCurve_Q16186_ADRM1.pdf", "Melting_Curves/meltCurve_Q16186_ADRM1.pdf")</f>
        <v>Melting_Curves/meltCurve_Q16186_ADRM1.pdf</v>
      </c>
    </row>
    <row r="3545" spans="1:28" x14ac:dyDescent="0.25">
      <c r="A3545" t="s">
        <v>3549</v>
      </c>
      <c r="B3545">
        <v>0.995954080203443</v>
      </c>
      <c r="C3545">
        <v>0.90223516576472895</v>
      </c>
      <c r="D3545">
        <v>0.84009531998948195</v>
      </c>
      <c r="E3545">
        <v>0.78583009205955201</v>
      </c>
      <c r="F3545">
        <v>0.61055091089950697</v>
      </c>
      <c r="G3545">
        <v>0.36833652738221501</v>
      </c>
      <c r="H3545">
        <v>0.23218632145213</v>
      </c>
      <c r="I3545">
        <v>0.22627567384081401</v>
      </c>
      <c r="J3545">
        <v>0.27106223868986801</v>
      </c>
      <c r="K3545">
        <v>0.234759691419302</v>
      </c>
      <c r="L3545">
        <v>725.28151467700604</v>
      </c>
      <c r="M3545">
        <v>13.7687912268199</v>
      </c>
      <c r="N3545">
        <v>54.486570041523997</v>
      </c>
      <c r="O3545">
        <v>51.601911611338899</v>
      </c>
      <c r="P3545">
        <v>-5.4467153010458902E-2</v>
      </c>
      <c r="Q3545">
        <v>0.18359955831437799</v>
      </c>
      <c r="R3545">
        <v>0.97794570674429504</v>
      </c>
      <c r="S3545" t="s">
        <v>10351</v>
      </c>
      <c r="T3545" t="s">
        <v>13610</v>
      </c>
      <c r="U3545" t="s">
        <v>13610</v>
      </c>
      <c r="V3545" t="s">
        <v>13610</v>
      </c>
      <c r="W3545" t="s">
        <v>17099</v>
      </c>
      <c r="X3545">
        <v>24</v>
      </c>
      <c r="Y3545" t="s">
        <v>23709</v>
      </c>
      <c r="Z3545" t="s">
        <v>30400</v>
      </c>
      <c r="AA3545">
        <v>0.54859706485897064</v>
      </c>
      <c r="AB3545" t="str">
        <f>HYPERLINK("Melting_Curves/meltCurve_Q16204_CCDC6.pdf", "Melting_Curves/meltCurve_Q16204_CCDC6.pdf")</f>
        <v>Melting_Curves/meltCurve_Q16204_CCDC6.pdf</v>
      </c>
    </row>
    <row r="3546" spans="1:28" x14ac:dyDescent="0.25">
      <c r="A3546" t="s">
        <v>3550</v>
      </c>
      <c r="B3546">
        <v>0.995954080203443</v>
      </c>
      <c r="C3546">
        <v>0.97012430271695604</v>
      </c>
      <c r="D3546">
        <v>0.96005360935833595</v>
      </c>
      <c r="E3546">
        <v>0.84737301646771501</v>
      </c>
      <c r="F3546">
        <v>0.64411154746717703</v>
      </c>
      <c r="G3546">
        <v>0.249941765398877</v>
      </c>
      <c r="H3546">
        <v>0.115727501603897</v>
      </c>
      <c r="I3546">
        <v>0.106592990780602</v>
      </c>
      <c r="J3546">
        <v>0.121604748339779</v>
      </c>
      <c r="K3546">
        <v>0.116635972501233</v>
      </c>
      <c r="L3546">
        <v>1350.15169501013</v>
      </c>
      <c r="M3546">
        <v>25.1758831956978</v>
      </c>
      <c r="N3546">
        <v>54.099087136967903</v>
      </c>
      <c r="O3546">
        <v>53.2938420356056</v>
      </c>
      <c r="P3546">
        <v>-0.10649321842723999</v>
      </c>
      <c r="Q3546">
        <v>9.8286453720721895E-2</v>
      </c>
      <c r="R3546">
        <v>0.99699810162183899</v>
      </c>
      <c r="S3546" t="s">
        <v>10352</v>
      </c>
      <c r="T3546" t="s">
        <v>13610</v>
      </c>
      <c r="U3546" t="s">
        <v>13610</v>
      </c>
      <c r="V3546" t="s">
        <v>13610</v>
      </c>
      <c r="W3546" t="s">
        <v>17100</v>
      </c>
      <c r="X3546">
        <v>23</v>
      </c>
      <c r="Y3546" t="s">
        <v>23710</v>
      </c>
      <c r="Z3546" t="s">
        <v>30401</v>
      </c>
      <c r="AA3546">
        <v>0.51615378630769626</v>
      </c>
      <c r="AB3546" t="str">
        <f>HYPERLINK("Melting_Curves/meltCurve_Q16222_2_UAP1.pdf", "Melting_Curves/meltCurve_Q16222_2_UAP1.pdf")</f>
        <v>Melting_Curves/meltCurve_Q16222_2_UAP1.pdf</v>
      </c>
    </row>
    <row r="3547" spans="1:28" x14ac:dyDescent="0.25">
      <c r="A3547" t="s">
        <v>3551</v>
      </c>
      <c r="B3547">
        <v>0.995954080203443</v>
      </c>
      <c r="C3547">
        <v>0.94814417956980901</v>
      </c>
      <c r="D3547">
        <v>0.74691456134601997</v>
      </c>
      <c r="E3547">
        <v>0.63774949863014596</v>
      </c>
      <c r="F3547">
        <v>0.37758421070134501</v>
      </c>
      <c r="G3547">
        <v>0.21799763064872099</v>
      </c>
      <c r="H3547">
        <v>0.16859424148517699</v>
      </c>
      <c r="I3547">
        <v>0.16192931395652199</v>
      </c>
      <c r="J3547">
        <v>0.17824114596108501</v>
      </c>
      <c r="K3547">
        <v>0.193670388625412</v>
      </c>
      <c r="L3547">
        <v>766.54074155325395</v>
      </c>
      <c r="M3547">
        <v>15.3702780000507</v>
      </c>
      <c r="N3547">
        <v>51.014014353769198</v>
      </c>
      <c r="O3547">
        <v>49.050297418379003</v>
      </c>
      <c r="P3547">
        <v>-6.6938931467683302E-2</v>
      </c>
      <c r="Q3547">
        <v>0.14560470388997401</v>
      </c>
      <c r="R3547">
        <v>0.98582222972841904</v>
      </c>
      <c r="S3547" t="s">
        <v>10353</v>
      </c>
      <c r="T3547" t="s">
        <v>13610</v>
      </c>
      <c r="U3547" t="s">
        <v>13610</v>
      </c>
      <c r="V3547" t="s">
        <v>13610</v>
      </c>
      <c r="W3547" t="s">
        <v>17101</v>
      </c>
      <c r="X3547">
        <v>8</v>
      </c>
      <c r="Y3547" t="s">
        <v>23711</v>
      </c>
      <c r="Z3547" t="s">
        <v>30402</v>
      </c>
      <c r="AA3547">
        <v>0.44632974865194402</v>
      </c>
      <c r="AB3547" t="str">
        <f>HYPERLINK("Melting_Curves/meltCurve_Q16254_E2F4.pdf", "Melting_Curves/meltCurve_Q16254_E2F4.pdf")</f>
        <v>Melting_Curves/meltCurve_Q16254_E2F4.pdf</v>
      </c>
    </row>
    <row r="3548" spans="1:28" x14ac:dyDescent="0.25">
      <c r="A3548" t="s">
        <v>3552</v>
      </c>
      <c r="B3548">
        <v>0.995954080203443</v>
      </c>
      <c r="C3548">
        <v>0.9221379465699</v>
      </c>
      <c r="D3548">
        <v>0.85894119011762804</v>
      </c>
      <c r="E3548">
        <v>0.61140759515134002</v>
      </c>
      <c r="F3548">
        <v>0.39007811750296201</v>
      </c>
      <c r="G3548">
        <v>0.22664606509487001</v>
      </c>
      <c r="H3548">
        <v>0.16403296285371999</v>
      </c>
      <c r="I3548">
        <v>0.180225926584729</v>
      </c>
      <c r="J3548">
        <v>0.228136606576478</v>
      </c>
      <c r="K3548">
        <v>0.21010425817830999</v>
      </c>
      <c r="L3548">
        <v>950.78069731072696</v>
      </c>
      <c r="M3548">
        <v>19.021003633317601</v>
      </c>
      <c r="N3548">
        <v>51.190136921156899</v>
      </c>
      <c r="O3548">
        <v>49.443176926007602</v>
      </c>
      <c r="P3548">
        <v>-7.8830416666333003E-2</v>
      </c>
      <c r="Q3548">
        <v>0.18038588572633399</v>
      </c>
      <c r="R3548">
        <v>0.99266500328599006</v>
      </c>
      <c r="S3548" t="s">
        <v>10354</v>
      </c>
      <c r="T3548" t="s">
        <v>13610</v>
      </c>
      <c r="U3548" t="s">
        <v>13610</v>
      </c>
      <c r="V3548" t="s">
        <v>13610</v>
      </c>
      <c r="W3548" t="s">
        <v>17102</v>
      </c>
      <c r="X3548">
        <v>7</v>
      </c>
      <c r="Y3548" t="s">
        <v>23712</v>
      </c>
      <c r="Z3548" t="s">
        <v>30403</v>
      </c>
      <c r="AA3548">
        <v>0.46578168926615721</v>
      </c>
      <c r="AB3548" t="str">
        <f>HYPERLINK("Melting_Curves/meltCurve_Q16352_INA.pdf", "Melting_Curves/meltCurve_Q16352_INA.pdf")</f>
        <v>Melting_Curves/meltCurve_Q16352_INA.pdf</v>
      </c>
    </row>
    <row r="3549" spans="1:28" x14ac:dyDescent="0.25">
      <c r="A3549" t="s">
        <v>3553</v>
      </c>
      <c r="B3549">
        <v>0.995954080203443</v>
      </c>
      <c r="C3549">
        <v>0.73251544151078796</v>
      </c>
      <c r="D3549">
        <v>0.52461707701617299</v>
      </c>
      <c r="E3549">
        <v>0.630793802955947</v>
      </c>
      <c r="F3549">
        <v>0.491997920897837</v>
      </c>
      <c r="G3549">
        <v>0.215651886635011</v>
      </c>
      <c r="H3549">
        <v>7.0520046302734493E-2</v>
      </c>
      <c r="I3549">
        <v>6.0625086854559897E-2</v>
      </c>
      <c r="J3549">
        <v>6.2367015059229002E-2</v>
      </c>
      <c r="K3549">
        <v>5.7293822703823598E-2</v>
      </c>
      <c r="L3549">
        <v>455.00699992061197</v>
      </c>
      <c r="M3549">
        <v>9.1289392944656207</v>
      </c>
      <c r="N3549">
        <v>49.842287669856901</v>
      </c>
      <c r="O3549">
        <v>47.625271073764097</v>
      </c>
      <c r="P3549">
        <v>-4.7953644169116301E-2</v>
      </c>
      <c r="Q3549">
        <v>0</v>
      </c>
      <c r="R3549">
        <v>0.91576274592894502</v>
      </c>
      <c r="S3549" t="s">
        <v>10355</v>
      </c>
      <c r="T3549" t="s">
        <v>13610</v>
      </c>
      <c r="U3549" t="s">
        <v>13610</v>
      </c>
      <c r="V3549" t="s">
        <v>13610</v>
      </c>
      <c r="W3549" t="s">
        <v>17103</v>
      </c>
      <c r="X3549">
        <v>23</v>
      </c>
      <c r="Y3549" t="s">
        <v>23713</v>
      </c>
      <c r="Z3549" t="s">
        <v>30404</v>
      </c>
      <c r="AA3549">
        <v>0.37976879160863669</v>
      </c>
      <c r="AB3549" t="str">
        <f>HYPERLINK("Melting_Curves/meltCurve_Q16401_2_PSMD5.pdf", "Melting_Curves/meltCurve_Q16401_2_PSMD5.pdf")</f>
        <v>Melting_Curves/meltCurve_Q16401_2_PSMD5.pdf</v>
      </c>
    </row>
    <row r="3550" spans="1:28" x14ac:dyDescent="0.25">
      <c r="A3550" t="s">
        <v>3554</v>
      </c>
      <c r="B3550">
        <v>0.995954080203443</v>
      </c>
      <c r="C3550">
        <v>0.93755586772452404</v>
      </c>
      <c r="D3550">
        <v>0.82627970848522303</v>
      </c>
      <c r="E3550">
        <v>0.445893088028531</v>
      </c>
      <c r="F3550">
        <v>0.158160269341663</v>
      </c>
      <c r="G3550">
        <v>0.10474331697403901</v>
      </c>
      <c r="H3550">
        <v>7.5959576878985594E-2</v>
      </c>
      <c r="I3550">
        <v>7.4991139983359101E-2</v>
      </c>
      <c r="J3550">
        <v>8.5355211166553605E-2</v>
      </c>
      <c r="K3550">
        <v>7.9552698895797594E-2</v>
      </c>
      <c r="L3550">
        <v>1171.5786151202999</v>
      </c>
      <c r="M3550">
        <v>23.952196675130001</v>
      </c>
      <c r="N3550">
        <v>49.230935163005803</v>
      </c>
      <c r="O3550">
        <v>48.576079990043603</v>
      </c>
      <c r="P3550">
        <v>-0.11444529142684599</v>
      </c>
      <c r="Q3550">
        <v>7.1615006239236306E-2</v>
      </c>
      <c r="R3550">
        <v>0.99736599737327802</v>
      </c>
      <c r="S3550" t="s">
        <v>10356</v>
      </c>
      <c r="T3550" t="s">
        <v>13610</v>
      </c>
      <c r="U3550" t="s">
        <v>13610</v>
      </c>
      <c r="V3550" t="s">
        <v>13610</v>
      </c>
      <c r="W3550" t="s">
        <v>17104</v>
      </c>
      <c r="X3550">
        <v>31</v>
      </c>
      <c r="Y3550" t="s">
        <v>23714</v>
      </c>
      <c r="Z3550" t="s">
        <v>30405</v>
      </c>
      <c r="AA3550">
        <v>0.35642711227589452</v>
      </c>
      <c r="AB3550" t="str">
        <f>HYPERLINK("Melting_Curves/meltCurve_Q16512_PKN1.pdf", "Melting_Curves/meltCurve_Q16512_PKN1.pdf")</f>
        <v>Melting_Curves/meltCurve_Q16512_PKN1.pdf</v>
      </c>
    </row>
    <row r="3551" spans="1:28" x14ac:dyDescent="0.25">
      <c r="A3551" t="s">
        <v>3555</v>
      </c>
      <c r="B3551">
        <v>0.995954080203443</v>
      </c>
      <c r="C3551">
        <v>0.89589190990677403</v>
      </c>
      <c r="D3551">
        <v>0.61284784834886197</v>
      </c>
      <c r="E3551">
        <v>0.42697532115576697</v>
      </c>
      <c r="F3551">
        <v>0.22517640373859699</v>
      </c>
      <c r="G3551">
        <v>0.15043966213901899</v>
      </c>
      <c r="H3551">
        <v>0.106297315008118</v>
      </c>
      <c r="I3551">
        <v>0.10357639739814101</v>
      </c>
      <c r="J3551">
        <v>0.107489060179465</v>
      </c>
      <c r="K3551">
        <v>0.10618846119015</v>
      </c>
      <c r="L3551">
        <v>769.82984050173502</v>
      </c>
      <c r="M3551">
        <v>16.179344118372001</v>
      </c>
      <c r="N3551">
        <v>48.201453832610703</v>
      </c>
      <c r="O3551">
        <v>46.871970443370998</v>
      </c>
      <c r="P3551">
        <v>-7.81896238887754E-2</v>
      </c>
      <c r="Q3551">
        <v>9.3999002066763607E-2</v>
      </c>
      <c r="R3551">
        <v>0.99239414804718895</v>
      </c>
      <c r="S3551" t="s">
        <v>10357</v>
      </c>
      <c r="T3551" t="s">
        <v>13610</v>
      </c>
      <c r="U3551" t="s">
        <v>13610</v>
      </c>
      <c r="V3551" t="s">
        <v>13610</v>
      </c>
      <c r="W3551" t="s">
        <v>17105</v>
      </c>
      <c r="X3551">
        <v>11</v>
      </c>
      <c r="Y3551" t="s">
        <v>23715</v>
      </c>
      <c r="Z3551" t="s">
        <v>30406</v>
      </c>
      <c r="AA3551">
        <v>0.34334221736860332</v>
      </c>
      <c r="AB3551" t="str">
        <f>HYPERLINK("Melting_Curves/meltCurve_Q16513_3_PKN2.pdf", "Melting_Curves/meltCurve_Q16513_3_PKN2.pdf")</f>
        <v>Melting_Curves/meltCurve_Q16513_3_PKN2.pdf</v>
      </c>
    </row>
    <row r="3552" spans="1:28" x14ac:dyDescent="0.25">
      <c r="A3552" t="s">
        <v>3556</v>
      </c>
      <c r="B3552">
        <v>0.995954080203443</v>
      </c>
      <c r="C3552">
        <v>0.86415682445688302</v>
      </c>
      <c r="D3552">
        <v>0.630592900382556</v>
      </c>
      <c r="E3552">
        <v>0.49133406909431399</v>
      </c>
      <c r="F3552">
        <v>0.28182193887103701</v>
      </c>
      <c r="G3552">
        <v>0.17501682437000499</v>
      </c>
      <c r="H3552">
        <v>0.123122401940056</v>
      </c>
      <c r="I3552">
        <v>0.132879640294152</v>
      </c>
      <c r="J3552">
        <v>0.15401128590488</v>
      </c>
      <c r="K3552">
        <v>0.147976653910801</v>
      </c>
      <c r="L3552">
        <v>691.58620681285902</v>
      </c>
      <c r="M3552">
        <v>14.443305718914001</v>
      </c>
      <c r="N3552">
        <v>48.788929967144703</v>
      </c>
      <c r="O3552">
        <v>46.992991070838301</v>
      </c>
      <c r="P3552">
        <v>-6.7806334566623994E-2</v>
      </c>
      <c r="Q3552">
        <v>0.11763995762741</v>
      </c>
      <c r="R3552">
        <v>0.98793972798557295</v>
      </c>
      <c r="S3552" t="s">
        <v>10358</v>
      </c>
      <c r="T3552" t="s">
        <v>13610</v>
      </c>
      <c r="U3552" t="s">
        <v>13610</v>
      </c>
      <c r="V3552" t="s">
        <v>13610</v>
      </c>
      <c r="W3552" t="s">
        <v>17106</v>
      </c>
      <c r="X3552">
        <v>3</v>
      </c>
      <c r="Y3552" t="s">
        <v>23716</v>
      </c>
      <c r="Z3552" t="s">
        <v>30407</v>
      </c>
      <c r="AA3552">
        <v>0.37409360569951222</v>
      </c>
      <c r="AB3552" t="str">
        <f>HYPERLINK("Melting_Curves/meltCurve_Q16514_2_TAF12.pdf", "Melting_Curves/meltCurve_Q16514_2_TAF12.pdf")</f>
        <v>Melting_Curves/meltCurve_Q16514_2_TAF12.pdf</v>
      </c>
    </row>
    <row r="3553" spans="1:28" x14ac:dyDescent="0.25">
      <c r="A3553" t="s">
        <v>3557</v>
      </c>
      <c r="B3553">
        <v>0.995954080203443</v>
      </c>
      <c r="C3553">
        <v>0.88382194576566797</v>
      </c>
      <c r="D3553">
        <v>0.78895187378172804</v>
      </c>
      <c r="E3553">
        <v>0.84354587296837502</v>
      </c>
      <c r="F3553">
        <v>0.74375255279813401</v>
      </c>
      <c r="G3553">
        <v>0.63367419454838503</v>
      </c>
      <c r="H3553">
        <v>0.354372287199469</v>
      </c>
      <c r="I3553">
        <v>0.10773640699582</v>
      </c>
      <c r="J3553">
        <v>7.7375900048480897E-2</v>
      </c>
      <c r="K3553">
        <v>7.2850114646880404E-2</v>
      </c>
      <c r="L3553">
        <v>749.57792957224603</v>
      </c>
      <c r="M3553">
        <v>13.056073857373301</v>
      </c>
      <c r="N3553">
        <v>57.412214825328299</v>
      </c>
      <c r="O3553">
        <v>56.115403920453403</v>
      </c>
      <c r="P3553">
        <v>-5.8176281957165503E-2</v>
      </c>
      <c r="Q3553">
        <v>0</v>
      </c>
      <c r="R3553">
        <v>0.94203337767852002</v>
      </c>
      <c r="S3553" t="s">
        <v>10359</v>
      </c>
      <c r="T3553" t="s">
        <v>13610</v>
      </c>
      <c r="U3553" t="s">
        <v>13610</v>
      </c>
      <c r="V3553" t="s">
        <v>13610</v>
      </c>
      <c r="W3553" t="s">
        <v>17107</v>
      </c>
      <c r="X3553">
        <v>59</v>
      </c>
      <c r="Y3553" t="s">
        <v>23717</v>
      </c>
      <c r="Z3553" t="s">
        <v>30408</v>
      </c>
      <c r="AA3553">
        <v>0.59577857166443493</v>
      </c>
      <c r="AB3553" t="str">
        <f>HYPERLINK("Melting_Curves/meltCurve_Q16531_DDB1.pdf", "Melting_Curves/meltCurve_Q16531_DDB1.pdf")</f>
        <v>Melting_Curves/meltCurve_Q16531_DDB1.pdf</v>
      </c>
    </row>
    <row r="3554" spans="1:28" x14ac:dyDescent="0.25">
      <c r="A3554" t="s">
        <v>3558</v>
      </c>
      <c r="B3554">
        <v>0.995954080203443</v>
      </c>
      <c r="C3554">
        <v>0.97330010424455704</v>
      </c>
      <c r="D3554">
        <v>0.619288073954678</v>
      </c>
      <c r="E3554">
        <v>0.23721471477423001</v>
      </c>
      <c r="F3554">
        <v>0.10493267337871701</v>
      </c>
      <c r="G3554">
        <v>6.5694318843698501E-2</v>
      </c>
      <c r="H3554">
        <v>4.3367631336992001E-2</v>
      </c>
      <c r="I3554">
        <v>3.5742587311667601E-2</v>
      </c>
      <c r="J3554">
        <v>5.12106737191814E-2</v>
      </c>
      <c r="K3554">
        <v>3.6413669394849399E-2</v>
      </c>
      <c r="L3554">
        <v>1190.06658875115</v>
      </c>
      <c r="M3554">
        <v>25.323079078918902</v>
      </c>
      <c r="N3554">
        <v>47.177190135219199</v>
      </c>
      <c r="O3554">
        <v>46.705181658576002</v>
      </c>
      <c r="P3554">
        <v>-0.129246083471457</v>
      </c>
      <c r="Q3554">
        <v>4.6500259412650499E-2</v>
      </c>
      <c r="R3554">
        <v>0.99679633043663596</v>
      </c>
      <c r="S3554" t="s">
        <v>10360</v>
      </c>
      <c r="T3554" t="s">
        <v>13610</v>
      </c>
      <c r="U3554" t="s">
        <v>13610</v>
      </c>
      <c r="V3554" t="s">
        <v>13610</v>
      </c>
      <c r="W3554" t="s">
        <v>17108</v>
      </c>
      <c r="X3554">
        <v>12</v>
      </c>
      <c r="Y3554" t="s">
        <v>23718</v>
      </c>
      <c r="Z3554" t="s">
        <v>30409</v>
      </c>
      <c r="AA3554">
        <v>0.27711154477661881</v>
      </c>
      <c r="AB3554" t="str">
        <f>HYPERLINK("Melting_Curves/meltCurve_Q16539_MAPK14.pdf", "Melting_Curves/meltCurve_Q16539_MAPK14.pdf")</f>
        <v>Melting_Curves/meltCurve_Q16539_MAPK14.pdf</v>
      </c>
    </row>
    <row r="3555" spans="1:28" x14ac:dyDescent="0.25">
      <c r="A3555" t="s">
        <v>3559</v>
      </c>
      <c r="B3555">
        <v>0.995954080203443</v>
      </c>
      <c r="C3555">
        <v>0.76108360637508399</v>
      </c>
      <c r="D3555">
        <v>0.34590170832823403</v>
      </c>
      <c r="E3555">
        <v>0.18199868911332201</v>
      </c>
      <c r="F3555">
        <v>0.113173044463977</v>
      </c>
      <c r="G3555">
        <v>7.0262289937887204E-2</v>
      </c>
      <c r="H3555">
        <v>3.4983236145525599E-2</v>
      </c>
      <c r="I3555">
        <v>3.1802227499725902E-2</v>
      </c>
      <c r="J3555">
        <v>3.4137384777744702E-2</v>
      </c>
      <c r="K3555">
        <v>3.6453097842880498E-2</v>
      </c>
      <c r="L3555">
        <v>1074.7300299231699</v>
      </c>
      <c r="M3555">
        <v>23.9956578571854</v>
      </c>
      <c r="N3555">
        <v>45.001272540894902</v>
      </c>
      <c r="O3555">
        <v>44.480932384524699</v>
      </c>
      <c r="P3555">
        <v>-0.12763455218839001</v>
      </c>
      <c r="Q3555">
        <v>5.3626437968678803E-2</v>
      </c>
      <c r="R3555">
        <v>0.99079076065195104</v>
      </c>
      <c r="S3555" t="s">
        <v>10361</v>
      </c>
      <c r="T3555" t="s">
        <v>13610</v>
      </c>
      <c r="U3555" t="s">
        <v>13610</v>
      </c>
      <c r="V3555" t="s">
        <v>13610</v>
      </c>
      <c r="W3555" t="s">
        <v>17109</v>
      </c>
      <c r="X3555">
        <v>11</v>
      </c>
      <c r="Y3555" t="s">
        <v>23718</v>
      </c>
      <c r="Z3555" t="s">
        <v>30410</v>
      </c>
      <c r="AA3555">
        <v>0.21534041612284649</v>
      </c>
      <c r="AB3555" t="str">
        <f>HYPERLINK("Melting_Curves/meltCurve_Q16539_2_MAPK14.pdf", "Melting_Curves/meltCurve_Q16539_2_MAPK14.pdf")</f>
        <v>Melting_Curves/meltCurve_Q16539_2_MAPK14.pdf</v>
      </c>
    </row>
    <row r="3556" spans="1:28" x14ac:dyDescent="0.25">
      <c r="A3556" t="s">
        <v>3560</v>
      </c>
      <c r="B3556">
        <v>0.995954080203443</v>
      </c>
      <c r="C3556">
        <v>0.99031638966246605</v>
      </c>
      <c r="D3556">
        <v>1.0106791103069701</v>
      </c>
      <c r="E3556">
        <v>0.93285486886199298</v>
      </c>
      <c r="F3556">
        <v>0.92308560997078004</v>
      </c>
      <c r="G3556">
        <v>0.61862216704570605</v>
      </c>
      <c r="H3556">
        <v>0.22569761299860999</v>
      </c>
      <c r="I3556">
        <v>0.117113190366541</v>
      </c>
      <c r="J3556">
        <v>0.12493192427618199</v>
      </c>
      <c r="K3556">
        <v>0.111738285697454</v>
      </c>
      <c r="L3556">
        <v>1715.9017709408299</v>
      </c>
      <c r="M3556">
        <v>29.8498048595192</v>
      </c>
      <c r="N3556">
        <v>57.905793787584997</v>
      </c>
      <c r="O3556">
        <v>57.2283717377762</v>
      </c>
      <c r="P3556">
        <v>-0.117671186634713</v>
      </c>
      <c r="Q3556">
        <v>9.7604054093357095E-2</v>
      </c>
      <c r="R3556">
        <v>0.99699425924746099</v>
      </c>
      <c r="S3556" t="s">
        <v>10362</v>
      </c>
      <c r="T3556" t="s">
        <v>13610</v>
      </c>
      <c r="U3556" t="s">
        <v>13610</v>
      </c>
      <c r="V3556" t="s">
        <v>13610</v>
      </c>
      <c r="W3556" t="s">
        <v>17110</v>
      </c>
      <c r="X3556">
        <v>33</v>
      </c>
      <c r="Y3556" t="s">
        <v>21329</v>
      </c>
      <c r="Z3556" t="s">
        <v>30411</v>
      </c>
      <c r="AA3556">
        <v>0.62957244555349112</v>
      </c>
      <c r="AB3556" t="str">
        <f>HYPERLINK("Melting_Curves/meltCurve_Q16543_CDC37.pdf", "Melting_Curves/meltCurve_Q16543_CDC37.pdf")</f>
        <v>Melting_Curves/meltCurve_Q16543_CDC37.pdf</v>
      </c>
    </row>
    <row r="3557" spans="1:28" x14ac:dyDescent="0.25">
      <c r="A3557" t="s">
        <v>3561</v>
      </c>
      <c r="B3557">
        <v>0.995954080203443</v>
      </c>
      <c r="C3557">
        <v>0.91225413150887003</v>
      </c>
      <c r="D3557">
        <v>0.75241098820211005</v>
      </c>
      <c r="E3557">
        <v>0.69985063349309795</v>
      </c>
      <c r="F3557">
        <v>0.47159918451819</v>
      </c>
      <c r="G3557">
        <v>0.27996810079436801</v>
      </c>
      <c r="H3557">
        <v>0.105489560644622</v>
      </c>
      <c r="I3557">
        <v>7.2582056317467197E-2</v>
      </c>
      <c r="J3557">
        <v>7.4511167466501702E-2</v>
      </c>
      <c r="K3557">
        <v>6.9404976077301297E-2</v>
      </c>
      <c r="L3557">
        <v>620.56203363807901</v>
      </c>
      <c r="M3557">
        <v>11.8681334786877</v>
      </c>
      <c r="N3557">
        <v>52.288111500791899</v>
      </c>
      <c r="O3557">
        <v>50.869847866621797</v>
      </c>
      <c r="P3557">
        <v>-5.8340648236438898E-2</v>
      </c>
      <c r="Q3557">
        <v>0</v>
      </c>
      <c r="R3557">
        <v>0.98693536289015205</v>
      </c>
      <c r="S3557" t="s">
        <v>10363</v>
      </c>
      <c r="T3557" t="s">
        <v>13610</v>
      </c>
      <c r="U3557" t="s">
        <v>13610</v>
      </c>
      <c r="V3557" t="s">
        <v>13610</v>
      </c>
      <c r="W3557" t="s">
        <v>17111</v>
      </c>
      <c r="X3557">
        <v>21</v>
      </c>
      <c r="Y3557" t="s">
        <v>23719</v>
      </c>
      <c r="Z3557" t="s">
        <v>30412</v>
      </c>
      <c r="AA3557">
        <v>0.44002017863151349</v>
      </c>
      <c r="AB3557" t="str">
        <f>HYPERLINK("Melting_Curves/meltCurve_Q16555_2_DPYSL2.pdf", "Melting_Curves/meltCurve_Q16555_2_DPYSL2.pdf")</f>
        <v>Melting_Curves/meltCurve_Q16555_2_DPYSL2.pdf</v>
      </c>
    </row>
    <row r="3558" spans="1:28" x14ac:dyDescent="0.25">
      <c r="A3558" t="s">
        <v>3562</v>
      </c>
      <c r="B3558">
        <v>0.995954080203443</v>
      </c>
      <c r="C3558">
        <v>0.97264731731577103</v>
      </c>
      <c r="D3558">
        <v>0.91880825727075</v>
      </c>
      <c r="E3558">
        <v>0.82766858223288398</v>
      </c>
      <c r="F3558">
        <v>0.61641417456616798</v>
      </c>
      <c r="G3558">
        <v>0.27910284151026699</v>
      </c>
      <c r="H3558">
        <v>0.110817054251981</v>
      </c>
      <c r="I3558">
        <v>7.8886773172208394E-2</v>
      </c>
      <c r="J3558">
        <v>8.6949160019909794E-2</v>
      </c>
      <c r="K3558">
        <v>8.7814450567328506E-2</v>
      </c>
      <c r="L3558">
        <v>1089.01682294642</v>
      </c>
      <c r="M3558">
        <v>20.260341131302301</v>
      </c>
      <c r="N3558">
        <v>54.078971863038298</v>
      </c>
      <c r="O3558">
        <v>53.235723576248098</v>
      </c>
      <c r="P3558">
        <v>-8.96493424995667E-2</v>
      </c>
      <c r="Q3558">
        <v>5.77848652590017E-2</v>
      </c>
      <c r="R3558">
        <v>0.99664255113021805</v>
      </c>
      <c r="S3558" t="s">
        <v>10364</v>
      </c>
      <c r="T3558" t="s">
        <v>13610</v>
      </c>
      <c r="U3558" t="s">
        <v>13610</v>
      </c>
      <c r="V3558" t="s">
        <v>13610</v>
      </c>
      <c r="W3558" t="s">
        <v>17112</v>
      </c>
      <c r="X3558">
        <v>15</v>
      </c>
      <c r="Y3558" t="s">
        <v>23720</v>
      </c>
      <c r="Z3558" t="s">
        <v>30413</v>
      </c>
      <c r="AA3558">
        <v>0.50225247985451904</v>
      </c>
      <c r="AB3558" t="str">
        <f>HYPERLINK("Melting_Curves/meltCurve_Q16576_RBBP7.pdf", "Melting_Curves/meltCurve_Q16576_RBBP7.pdf")</f>
        <v>Melting_Curves/meltCurve_Q16576_RBBP7.pdf</v>
      </c>
    </row>
    <row r="3559" spans="1:28" x14ac:dyDescent="0.25">
      <c r="A3559" t="s">
        <v>3563</v>
      </c>
      <c r="B3559">
        <v>0.995954080203443</v>
      </c>
      <c r="C3559">
        <v>0.940329302635869</v>
      </c>
      <c r="D3559">
        <v>1.02161961515512</v>
      </c>
      <c r="E3559">
        <v>0.86521985781277999</v>
      </c>
      <c r="F3559">
        <v>0.95698504711008103</v>
      </c>
      <c r="G3559">
        <v>0.66967323783360599</v>
      </c>
      <c r="H3559">
        <v>0.71983230303580903</v>
      </c>
      <c r="I3559">
        <v>0.828895959394925</v>
      </c>
      <c r="J3559">
        <v>1.1257823873744699</v>
      </c>
      <c r="K3559">
        <v>1.0350356523658499</v>
      </c>
      <c r="L3559">
        <v>11982.2893911516</v>
      </c>
      <c r="M3559">
        <v>250</v>
      </c>
      <c r="O3559">
        <v>47.926090321725603</v>
      </c>
      <c r="P3559">
        <v>-0.14877408098452799</v>
      </c>
      <c r="Q3559">
        <v>0.88591743922354205</v>
      </c>
      <c r="R3559">
        <v>0.109063091197864</v>
      </c>
      <c r="S3559" t="s">
        <v>10365</v>
      </c>
      <c r="T3559" t="s">
        <v>13610</v>
      </c>
      <c r="U3559" t="s">
        <v>13610</v>
      </c>
      <c r="V3559" t="s">
        <v>13610</v>
      </c>
      <c r="W3559" t="s">
        <v>17113</v>
      </c>
      <c r="X3559">
        <v>2</v>
      </c>
      <c r="Y3559" t="s">
        <v>23721</v>
      </c>
      <c r="Z3559" t="s">
        <v>30414</v>
      </c>
      <c r="AA3559">
        <v>0.91607965526198576</v>
      </c>
      <c r="AB3559" t="str">
        <f>HYPERLINK("Melting_Curves/meltCurve_Q16600_ZNF239.pdf", "Melting_Curves/meltCurve_Q16600_ZNF239.pdf")</f>
        <v>Melting_Curves/meltCurve_Q16600_ZNF239.pdf</v>
      </c>
    </row>
    <row r="3560" spans="1:28" x14ac:dyDescent="0.25">
      <c r="A3560" t="s">
        <v>3564</v>
      </c>
      <c r="B3560">
        <v>0.995954080203443</v>
      </c>
      <c r="C3560">
        <v>0.91985477263301496</v>
      </c>
      <c r="D3560">
        <v>0.82597204023075199</v>
      </c>
      <c r="E3560">
        <v>0.69031057614570601</v>
      </c>
      <c r="F3560">
        <v>0.48663392007346201</v>
      </c>
      <c r="G3560">
        <v>0.35217036836759003</v>
      </c>
      <c r="H3560">
        <v>0.23631236580221399</v>
      </c>
      <c r="I3560">
        <v>0.25479287455352401</v>
      </c>
      <c r="J3560">
        <v>0.21877482944344101</v>
      </c>
      <c r="K3560">
        <v>0.24672358810327899</v>
      </c>
      <c r="L3560">
        <v>694.27034787716798</v>
      </c>
      <c r="M3560">
        <v>13.6212657142972</v>
      </c>
      <c r="N3560">
        <v>52.926817390042601</v>
      </c>
      <c r="O3560">
        <v>49.908673620581901</v>
      </c>
      <c r="P3560">
        <v>-5.4738830323222298E-2</v>
      </c>
      <c r="Q3560">
        <v>0.197860264133571</v>
      </c>
      <c r="R3560">
        <v>0.99360382344161902</v>
      </c>
      <c r="S3560" t="s">
        <v>10366</v>
      </c>
      <c r="T3560" t="s">
        <v>13610</v>
      </c>
      <c r="U3560" t="s">
        <v>13610</v>
      </c>
      <c r="V3560" t="s">
        <v>13610</v>
      </c>
      <c r="W3560" t="s">
        <v>17114</v>
      </c>
      <c r="X3560">
        <v>5</v>
      </c>
      <c r="Y3560" t="s">
        <v>23722</v>
      </c>
      <c r="Z3560" t="s">
        <v>30415</v>
      </c>
      <c r="AA3560">
        <v>0.51283545097473315</v>
      </c>
      <c r="AB3560" t="str">
        <f>HYPERLINK("Melting_Curves/meltCurve_Q16610_ECM1.pdf", "Melting_Curves/meltCurve_Q16610_ECM1.pdf")</f>
        <v>Melting_Curves/meltCurve_Q16610_ECM1.pdf</v>
      </c>
    </row>
    <row r="3561" spans="1:28" x14ac:dyDescent="0.25">
      <c r="A3561" t="s">
        <v>3565</v>
      </c>
      <c r="B3561">
        <v>0.995954080203443</v>
      </c>
      <c r="C3561">
        <v>1.0187294304061001</v>
      </c>
      <c r="D3561">
        <v>1.04058294108865</v>
      </c>
      <c r="E3561">
        <v>0.79124624905931995</v>
      </c>
      <c r="F3561">
        <v>0.38664249975302001</v>
      </c>
      <c r="G3561">
        <v>0.15014049750773201</v>
      </c>
      <c r="H3561">
        <v>8.7000703505200699E-2</v>
      </c>
      <c r="I3561">
        <v>8.7272454282748796E-2</v>
      </c>
      <c r="J3561">
        <v>0.1084326470301</v>
      </c>
      <c r="K3561">
        <v>7.8935351222283401E-2</v>
      </c>
      <c r="L3561">
        <v>1748.6318269199101</v>
      </c>
      <c r="M3561">
        <v>33.721731648085303</v>
      </c>
      <c r="N3561">
        <v>52.169738161319898</v>
      </c>
      <c r="O3561">
        <v>51.673406471885997</v>
      </c>
      <c r="P3561">
        <v>-0.148121682150444</v>
      </c>
      <c r="Q3561">
        <v>9.2108238950065896E-2</v>
      </c>
      <c r="R3561">
        <v>0.99757588189648805</v>
      </c>
      <c r="S3561" t="s">
        <v>10367</v>
      </c>
      <c r="T3561" t="s">
        <v>13610</v>
      </c>
      <c r="U3561" t="s">
        <v>13610</v>
      </c>
      <c r="V3561" t="s">
        <v>13610</v>
      </c>
      <c r="W3561" t="s">
        <v>17115</v>
      </c>
      <c r="X3561">
        <v>3</v>
      </c>
      <c r="Y3561" t="s">
        <v>23723</v>
      </c>
      <c r="Z3561" t="s">
        <v>30416</v>
      </c>
      <c r="AA3561">
        <v>0.45545233120126039</v>
      </c>
      <c r="AB3561" t="str">
        <f>HYPERLINK("Melting_Curves/meltCurve_Q16619_2_CTF1.pdf", "Melting_Curves/meltCurve_Q16619_2_CTF1.pdf")</f>
        <v>Melting_Curves/meltCurve_Q16619_2_CTF1.pdf</v>
      </c>
    </row>
    <row r="3562" spans="1:28" x14ac:dyDescent="0.25">
      <c r="A3562" t="s">
        <v>3566</v>
      </c>
      <c r="B3562">
        <v>0.995954080203443</v>
      </c>
      <c r="C3562">
        <v>1.07830079428924</v>
      </c>
      <c r="D3562">
        <v>0.98657609198663598</v>
      </c>
      <c r="E3562">
        <v>1.00448696844553</v>
      </c>
      <c r="F3562">
        <v>0.91989350518872104</v>
      </c>
      <c r="G3562">
        <v>0.59937386941332105</v>
      </c>
      <c r="H3562">
        <v>0.50629025722028798</v>
      </c>
      <c r="I3562">
        <v>0.78492034567600499</v>
      </c>
      <c r="J3562">
        <v>1.1568952547422799</v>
      </c>
      <c r="K3562">
        <v>1.07985429534148</v>
      </c>
      <c r="L3562">
        <v>13258.7167238004</v>
      </c>
      <c r="M3562">
        <v>250</v>
      </c>
      <c r="O3562">
        <v>53.031473156143797</v>
      </c>
      <c r="P3562">
        <v>-0.20569529705362399</v>
      </c>
      <c r="Q3562">
        <v>0.82546680668275196</v>
      </c>
      <c r="R3562">
        <v>0.19245912717865299</v>
      </c>
      <c r="S3562" t="s">
        <v>10368</v>
      </c>
      <c r="T3562" t="s">
        <v>13610</v>
      </c>
      <c r="U3562" t="s">
        <v>13610</v>
      </c>
      <c r="V3562" t="s">
        <v>13610</v>
      </c>
      <c r="W3562" t="s">
        <v>17116</v>
      </c>
      <c r="X3562">
        <v>2</v>
      </c>
      <c r="Y3562" t="s">
        <v>23724</v>
      </c>
      <c r="Z3562" t="s">
        <v>30417</v>
      </c>
      <c r="AA3562">
        <v>0.90131694954642572</v>
      </c>
      <c r="AB3562" t="str">
        <f>HYPERLINK("Melting_Curves/meltCurve_Q16626_MEA1.pdf", "Melting_Curves/meltCurve_Q16626_MEA1.pdf")</f>
        <v>Melting_Curves/meltCurve_Q16626_MEA1.pdf</v>
      </c>
    </row>
    <row r="3563" spans="1:28" x14ac:dyDescent="0.25">
      <c r="A3563" t="s">
        <v>3567</v>
      </c>
      <c r="B3563">
        <v>0.995954080203443</v>
      </c>
      <c r="C3563">
        <v>1.0053637979368999</v>
      </c>
      <c r="D3563">
        <v>0.86563616726662096</v>
      </c>
      <c r="E3563">
        <v>0.93261381665560295</v>
      </c>
      <c r="F3563">
        <v>0.55373277797237197</v>
      </c>
      <c r="G3563">
        <v>0.24850318991685799</v>
      </c>
      <c r="H3563">
        <v>0.17042071711037701</v>
      </c>
      <c r="I3563">
        <v>0.15199700933722901</v>
      </c>
      <c r="J3563">
        <v>0.160088651553009</v>
      </c>
      <c r="K3563">
        <v>0.20825832762633001</v>
      </c>
      <c r="L3563">
        <v>1910.2398750918601</v>
      </c>
      <c r="M3563">
        <v>36.143767121557801</v>
      </c>
      <c r="N3563">
        <v>53.483962786639403</v>
      </c>
      <c r="O3563">
        <v>52.6901442872608</v>
      </c>
      <c r="P3563">
        <v>-0.14165667946947999</v>
      </c>
      <c r="Q3563">
        <v>0.17397777737748399</v>
      </c>
      <c r="R3563">
        <v>0.98449749863732805</v>
      </c>
      <c r="S3563" t="s">
        <v>10369</v>
      </c>
      <c r="T3563" t="s">
        <v>13610</v>
      </c>
      <c r="U3563" t="s">
        <v>13610</v>
      </c>
      <c r="V3563" t="s">
        <v>13610</v>
      </c>
      <c r="W3563" t="s">
        <v>17117</v>
      </c>
      <c r="X3563">
        <v>7</v>
      </c>
      <c r="Y3563" t="s">
        <v>23725</v>
      </c>
      <c r="Z3563" t="s">
        <v>30418</v>
      </c>
      <c r="AA3563">
        <v>0.53151616134445689</v>
      </c>
      <c r="AB3563" t="str">
        <f>HYPERLINK("Melting_Curves/meltCurve_Q16629_3_SRSF7.pdf", "Melting_Curves/meltCurve_Q16629_3_SRSF7.pdf")</f>
        <v>Melting_Curves/meltCurve_Q16629_3_SRSF7.pdf</v>
      </c>
    </row>
    <row r="3564" spans="1:28" x14ac:dyDescent="0.25">
      <c r="A3564" t="s">
        <v>3568</v>
      </c>
      <c r="B3564">
        <v>0.995954080203443</v>
      </c>
      <c r="C3564">
        <v>1.0807745624171401</v>
      </c>
      <c r="D3564">
        <v>1.0586826702132299</v>
      </c>
      <c r="E3564">
        <v>1.0028710636370599</v>
      </c>
      <c r="F3564">
        <v>0.85339104896949602</v>
      </c>
      <c r="G3564">
        <v>0.56118077337917605</v>
      </c>
      <c r="H3564">
        <v>0.39219541474606401</v>
      </c>
      <c r="I3564">
        <v>0.34490016455997902</v>
      </c>
      <c r="J3564">
        <v>0.41966998687736801</v>
      </c>
      <c r="K3564">
        <v>0.38168938298765098</v>
      </c>
      <c r="L3564">
        <v>1753.79817010632</v>
      </c>
      <c r="M3564">
        <v>31.750129009397899</v>
      </c>
      <c r="N3564">
        <v>57.7854820384741</v>
      </c>
      <c r="O3564">
        <v>55.019770674030397</v>
      </c>
      <c r="P3564">
        <v>-8.9922225371349196E-2</v>
      </c>
      <c r="Q3564">
        <v>0.376698659294187</v>
      </c>
      <c r="R3564">
        <v>0.98360934778209197</v>
      </c>
      <c r="S3564" t="s">
        <v>10370</v>
      </c>
      <c r="T3564" t="s">
        <v>13610</v>
      </c>
      <c r="U3564" t="s">
        <v>13610</v>
      </c>
      <c r="V3564" t="s">
        <v>13610</v>
      </c>
      <c r="W3564" t="s">
        <v>17118</v>
      </c>
      <c r="X3564">
        <v>9</v>
      </c>
      <c r="Y3564" t="s">
        <v>23726</v>
      </c>
      <c r="Z3564" t="s">
        <v>30419</v>
      </c>
      <c r="AA3564">
        <v>0.69700434752073803</v>
      </c>
      <c r="AB3564" t="str">
        <f>HYPERLINK("Melting_Curves/meltCurve_Q16637_3_SMN1.pdf", "Melting_Curves/meltCurve_Q16637_3_SMN1.pdf")</f>
        <v>Melting_Curves/meltCurve_Q16637_3_SMN1.pdf</v>
      </c>
    </row>
    <row r="3565" spans="1:28" x14ac:dyDescent="0.25">
      <c r="A3565" t="s">
        <v>3569</v>
      </c>
      <c r="B3565">
        <v>0.995954080203443</v>
      </c>
      <c r="C3565">
        <v>0.84014541792868003</v>
      </c>
      <c r="D3565">
        <v>0.86552356135266195</v>
      </c>
      <c r="E3565">
        <v>0.91134146122452497</v>
      </c>
      <c r="F3565">
        <v>0.87806972816226403</v>
      </c>
      <c r="G3565">
        <v>0.510503121052716</v>
      </c>
      <c r="H3565">
        <v>0.478234406361981</v>
      </c>
      <c r="I3565">
        <v>0.58421465724904598</v>
      </c>
      <c r="J3565">
        <v>0.88471980287019103</v>
      </c>
      <c r="K3565">
        <v>0.86210778525523801</v>
      </c>
      <c r="L3565">
        <v>609.32994413044605</v>
      </c>
      <c r="M3565">
        <v>12.7426199236769</v>
      </c>
      <c r="O3565">
        <v>46.686473888340899</v>
      </c>
      <c r="P3565">
        <v>-2.16025960503743E-2</v>
      </c>
      <c r="Q3565">
        <v>0.68346965165385998</v>
      </c>
      <c r="R3565">
        <v>0.30183451406712197</v>
      </c>
      <c r="S3565" t="s">
        <v>10371</v>
      </c>
      <c r="T3565" t="s">
        <v>13610</v>
      </c>
      <c r="U3565" t="s">
        <v>13610</v>
      </c>
      <c r="V3565" t="s">
        <v>13610</v>
      </c>
      <c r="W3565" t="s">
        <v>17119</v>
      </c>
      <c r="X3565">
        <v>11</v>
      </c>
      <c r="Y3565" t="s">
        <v>23727</v>
      </c>
      <c r="Z3565" t="s">
        <v>30420</v>
      </c>
      <c r="AA3565">
        <v>0.77720534133973718</v>
      </c>
      <c r="AB3565" t="str">
        <f>HYPERLINK("Melting_Curves/meltCurve_Q16643_DBN1.pdf", "Melting_Curves/meltCurve_Q16643_DBN1.pdf")</f>
        <v>Melting_Curves/meltCurve_Q16643_DBN1.pdf</v>
      </c>
    </row>
    <row r="3566" spans="1:28" x14ac:dyDescent="0.25">
      <c r="A3566" t="s">
        <v>3570</v>
      </c>
      <c r="B3566">
        <v>0.995954080203443</v>
      </c>
      <c r="C3566">
        <v>0.887950863345775</v>
      </c>
      <c r="D3566">
        <v>0.96731171435907104</v>
      </c>
      <c r="E3566">
        <v>0.44628976743979398</v>
      </c>
      <c r="F3566">
        <v>0.17898462321369199</v>
      </c>
      <c r="G3566">
        <v>8.2390203318861793E-2</v>
      </c>
      <c r="H3566">
        <v>5.6900381568010298E-2</v>
      </c>
      <c r="I3566">
        <v>5.3141512842168399E-2</v>
      </c>
      <c r="J3566">
        <v>6.0620750526612699E-2</v>
      </c>
      <c r="K3566">
        <v>5.3696408377479403E-2</v>
      </c>
      <c r="L3566">
        <v>1618.37677163287</v>
      </c>
      <c r="M3566">
        <v>32.660445543302203</v>
      </c>
      <c r="N3566">
        <v>49.746731420289599</v>
      </c>
      <c r="O3566">
        <v>49.366924499954401</v>
      </c>
      <c r="P3566">
        <v>-0.15545273565376799</v>
      </c>
      <c r="Q3566">
        <v>6.0124550534988802E-2</v>
      </c>
      <c r="R3566">
        <v>0.99123288619345895</v>
      </c>
      <c r="S3566" t="s">
        <v>10372</v>
      </c>
      <c r="T3566" t="s">
        <v>13610</v>
      </c>
      <c r="U3566" t="s">
        <v>13610</v>
      </c>
      <c r="V3566" t="s">
        <v>13610</v>
      </c>
      <c r="W3566" t="s">
        <v>17120</v>
      </c>
      <c r="X3566">
        <v>11</v>
      </c>
      <c r="Y3566" t="s">
        <v>23728</v>
      </c>
      <c r="Z3566" t="s">
        <v>30421</v>
      </c>
      <c r="AA3566">
        <v>0.3642242328344798</v>
      </c>
      <c r="AB3566" t="str">
        <f>HYPERLINK("Melting_Curves/meltCurve_Q16644_MAPKAPK3.pdf", "Melting_Curves/meltCurve_Q16644_MAPKAPK3.pdf")</f>
        <v>Melting_Curves/meltCurve_Q16644_MAPKAPK3.pdf</v>
      </c>
    </row>
    <row r="3567" spans="1:28" x14ac:dyDescent="0.25">
      <c r="A3567" t="s">
        <v>3571</v>
      </c>
      <c r="B3567">
        <v>0.995954080203443</v>
      </c>
      <c r="C3567">
        <v>1.0390730968383399</v>
      </c>
      <c r="D3567">
        <v>0.98608314274161601</v>
      </c>
      <c r="E3567">
        <v>0.815365946623685</v>
      </c>
      <c r="F3567">
        <v>0.51117063892046799</v>
      </c>
      <c r="G3567">
        <v>0.21823269650116001</v>
      </c>
      <c r="H3567">
        <v>0.1096553710391</v>
      </c>
      <c r="I3567">
        <v>7.9709983595254899E-2</v>
      </c>
      <c r="J3567">
        <v>7.3033604934067894E-2</v>
      </c>
      <c r="K3567">
        <v>6.6663913338030498E-2</v>
      </c>
      <c r="L3567">
        <v>1272.2505910877301</v>
      </c>
      <c r="M3567">
        <v>24.065092639529201</v>
      </c>
      <c r="N3567">
        <v>53.195192025030899</v>
      </c>
      <c r="O3567">
        <v>52.506058466019503</v>
      </c>
      <c r="P3567">
        <v>-0.106680772660932</v>
      </c>
      <c r="Q3567">
        <v>6.8975299745854202E-2</v>
      </c>
      <c r="R3567">
        <v>0.99865994125026503</v>
      </c>
      <c r="S3567" t="s">
        <v>10373</v>
      </c>
      <c r="T3567" t="s">
        <v>13610</v>
      </c>
      <c r="U3567" t="s">
        <v>13610</v>
      </c>
      <c r="V3567" t="s">
        <v>13610</v>
      </c>
      <c r="W3567" t="s">
        <v>17121</v>
      </c>
      <c r="X3567">
        <v>5</v>
      </c>
      <c r="Y3567" t="s">
        <v>23729</v>
      </c>
      <c r="Z3567" t="s">
        <v>30422</v>
      </c>
      <c r="AA3567">
        <v>0.4774910406264935</v>
      </c>
      <c r="AB3567" t="str">
        <f>HYPERLINK("Melting_Curves/meltCurve_Q16656_NRF1.pdf", "Melting_Curves/meltCurve_Q16656_NRF1.pdf")</f>
        <v>Melting_Curves/meltCurve_Q16656_NRF1.pdf</v>
      </c>
    </row>
    <row r="3568" spans="1:28" x14ac:dyDescent="0.25">
      <c r="A3568" t="s">
        <v>3572</v>
      </c>
      <c r="B3568">
        <v>0.995954080203443</v>
      </c>
      <c r="C3568">
        <v>1.0420807030158501</v>
      </c>
      <c r="D3568">
        <v>1.0640711941618499</v>
      </c>
      <c r="E3568">
        <v>0.96952851279935803</v>
      </c>
      <c r="F3568">
        <v>0.86649558862072296</v>
      </c>
      <c r="G3568">
        <v>0.44533295933714201</v>
      </c>
      <c r="H3568">
        <v>0.16085223062637699</v>
      </c>
      <c r="I3568">
        <v>9.9481167272367402E-2</v>
      </c>
      <c r="J3568">
        <v>9.6427011985123906E-2</v>
      </c>
      <c r="K3568">
        <v>8.8339102770239097E-2</v>
      </c>
      <c r="L3568">
        <v>1677.72002113647</v>
      </c>
      <c r="M3568">
        <v>29.8720554829038</v>
      </c>
      <c r="N3568">
        <v>56.510536392046497</v>
      </c>
      <c r="O3568">
        <v>55.913634298360599</v>
      </c>
      <c r="P3568">
        <v>-0.122372251978781</v>
      </c>
      <c r="Q3568">
        <v>8.3794953473134606E-2</v>
      </c>
      <c r="R3568">
        <v>0.99645478302634205</v>
      </c>
      <c r="S3568" t="s">
        <v>10374</v>
      </c>
      <c r="T3568" t="s">
        <v>13610</v>
      </c>
      <c r="U3568" t="s">
        <v>13610</v>
      </c>
      <c r="V3568" t="s">
        <v>13610</v>
      </c>
      <c r="W3568" t="s">
        <v>17122</v>
      </c>
      <c r="X3568">
        <v>42</v>
      </c>
      <c r="Y3568" t="s">
        <v>23730</v>
      </c>
      <c r="Z3568" t="s">
        <v>30423</v>
      </c>
      <c r="AA3568">
        <v>0.58359104751935609</v>
      </c>
      <c r="AB3568" t="str">
        <f>HYPERLINK("Melting_Curves/meltCurve_Q16658_FSCN1.pdf", "Melting_Curves/meltCurve_Q16658_FSCN1.pdf")</f>
        <v>Melting_Curves/meltCurve_Q16658_FSCN1.pdf</v>
      </c>
    </row>
    <row r="3569" spans="1:28" x14ac:dyDescent="0.25">
      <c r="A3569" t="s">
        <v>3573</v>
      </c>
      <c r="B3569">
        <v>0.995954080203443</v>
      </c>
      <c r="C3569">
        <v>1.0499593014449999</v>
      </c>
      <c r="D3569">
        <v>1.04559098643051</v>
      </c>
      <c r="E3569">
        <v>0.95283007734105896</v>
      </c>
      <c r="F3569">
        <v>0.75808479918404204</v>
      </c>
      <c r="G3569">
        <v>0.49464536008083199</v>
      </c>
      <c r="H3569">
        <v>0.26828007636928602</v>
      </c>
      <c r="I3569">
        <v>0.276378048213197</v>
      </c>
      <c r="J3569">
        <v>0.29029453521475401</v>
      </c>
      <c r="K3569">
        <v>0.34284436926061601</v>
      </c>
      <c r="L3569">
        <v>1493.6043555656099</v>
      </c>
      <c r="M3569">
        <v>27.373401328538201</v>
      </c>
      <c r="N3569">
        <v>56.321025529553502</v>
      </c>
      <c r="O3569">
        <v>54.275357239758002</v>
      </c>
      <c r="P3569">
        <v>-8.98838284339811E-2</v>
      </c>
      <c r="Q3569">
        <v>0.28712817968177001</v>
      </c>
      <c r="R3569">
        <v>0.98721127761232197</v>
      </c>
      <c r="S3569" t="s">
        <v>10375</v>
      </c>
      <c r="T3569" t="s">
        <v>13610</v>
      </c>
      <c r="U3569" t="s">
        <v>13610</v>
      </c>
      <c r="V3569" t="s">
        <v>13610</v>
      </c>
      <c r="W3569" t="s">
        <v>17123</v>
      </c>
      <c r="X3569">
        <v>3</v>
      </c>
      <c r="Y3569" t="s">
        <v>23731</v>
      </c>
      <c r="Z3569" t="s">
        <v>30424</v>
      </c>
      <c r="AA3569">
        <v>0.63880238535812495</v>
      </c>
      <c r="AB3569" t="str">
        <f>HYPERLINK("Melting_Curves/meltCurve_Q16659_MAPK6.pdf", "Melting_Curves/meltCurve_Q16659_MAPK6.pdf")</f>
        <v>Melting_Curves/meltCurve_Q16659_MAPK6.pdf</v>
      </c>
    </row>
    <row r="3570" spans="1:28" x14ac:dyDescent="0.25">
      <c r="A3570" t="s">
        <v>3574</v>
      </c>
      <c r="B3570">
        <v>0.995954080203443</v>
      </c>
      <c r="C3570">
        <v>1.0193260023577799</v>
      </c>
      <c r="D3570">
        <v>1.0249867940147099</v>
      </c>
      <c r="E3570">
        <v>0.78752000754685603</v>
      </c>
      <c r="F3570">
        <v>0.39942795787434598</v>
      </c>
      <c r="G3570">
        <v>0.17839604624194</v>
      </c>
      <c r="H3570">
        <v>0.108121175881721</v>
      </c>
      <c r="I3570">
        <v>9.9568925864380695E-2</v>
      </c>
      <c r="J3570">
        <v>0.110762701325822</v>
      </c>
      <c r="K3570">
        <v>0.105185086709199</v>
      </c>
      <c r="L3570">
        <v>1660.18203906757</v>
      </c>
      <c r="M3570">
        <v>32.020589146442902</v>
      </c>
      <c r="N3570">
        <v>52.244668530932302</v>
      </c>
      <c r="O3570">
        <v>51.646366618029099</v>
      </c>
      <c r="P3570">
        <v>-0.13824897835307801</v>
      </c>
      <c r="Q3570">
        <v>0.108071183337557</v>
      </c>
      <c r="R3570">
        <v>0.99825519919087402</v>
      </c>
      <c r="S3570" t="s">
        <v>10376</v>
      </c>
      <c r="T3570" t="s">
        <v>13610</v>
      </c>
      <c r="U3570" t="s">
        <v>13610</v>
      </c>
      <c r="V3570" t="s">
        <v>13610</v>
      </c>
      <c r="W3570" t="s">
        <v>17124</v>
      </c>
      <c r="X3570">
        <v>19</v>
      </c>
      <c r="Y3570" t="s">
        <v>23732</v>
      </c>
      <c r="Z3570" t="s">
        <v>30425</v>
      </c>
      <c r="AA3570">
        <v>0.46529673388468129</v>
      </c>
      <c r="AB3570" t="str">
        <f>HYPERLINK("Melting_Curves/meltCurve_Q16666_3_IFI16.pdf", "Melting_Curves/meltCurve_Q16666_3_IFI16.pdf")</f>
        <v>Melting_Curves/meltCurve_Q16666_3_IFI16.pdf</v>
      </c>
    </row>
    <row r="3571" spans="1:28" x14ac:dyDescent="0.25">
      <c r="A3571" t="s">
        <v>3575</v>
      </c>
      <c r="B3571">
        <v>0.995954080203443</v>
      </c>
      <c r="C3571">
        <v>1.0238432951273999</v>
      </c>
      <c r="D3571">
        <v>0.84344084869643499</v>
      </c>
      <c r="E3571">
        <v>0.92087994238966497</v>
      </c>
      <c r="F3571">
        <v>0.89923265067134495</v>
      </c>
      <c r="G3571">
        <v>0.704485715830657</v>
      </c>
      <c r="H3571">
        <v>0.68198836833105103</v>
      </c>
      <c r="I3571">
        <v>0.84977753443479798</v>
      </c>
      <c r="J3571">
        <v>0.93645467218446499</v>
      </c>
      <c r="K3571">
        <v>0.98892379696514099</v>
      </c>
      <c r="L3571">
        <v>11120.365045029899</v>
      </c>
      <c r="M3571">
        <v>250</v>
      </c>
      <c r="O3571">
        <v>44.478615560586299</v>
      </c>
      <c r="P3571">
        <v>-0.20635791832757799</v>
      </c>
      <c r="Q3571">
        <v>0.85314377416276799</v>
      </c>
      <c r="R3571">
        <v>0.31726626482048897</v>
      </c>
      <c r="S3571" t="s">
        <v>10377</v>
      </c>
      <c r="T3571" t="s">
        <v>13610</v>
      </c>
      <c r="U3571" t="s">
        <v>13610</v>
      </c>
      <c r="V3571" t="s">
        <v>13610</v>
      </c>
      <c r="W3571" t="s">
        <v>17125</v>
      </c>
      <c r="X3571">
        <v>2</v>
      </c>
      <c r="Y3571" t="s">
        <v>23733</v>
      </c>
      <c r="Z3571" t="s">
        <v>30426</v>
      </c>
      <c r="AA3571">
        <v>0.87509291599662242</v>
      </c>
      <c r="AB3571" t="str">
        <f>HYPERLINK("Melting_Curves/meltCurve_Q16670_ZSCAN26.pdf", "Melting_Curves/meltCurve_Q16670_ZSCAN26.pdf")</f>
        <v>Melting_Curves/meltCurve_Q16670_ZSCAN26.pdf</v>
      </c>
    </row>
    <row r="3572" spans="1:28" x14ac:dyDescent="0.25">
      <c r="A3572" t="s">
        <v>3576</v>
      </c>
      <c r="B3572">
        <v>0.995954080203443</v>
      </c>
      <c r="C3572">
        <v>1.0199669818025601</v>
      </c>
      <c r="D3572">
        <v>1.02529293096541</v>
      </c>
      <c r="E3572">
        <v>0.95260926792399203</v>
      </c>
      <c r="F3572">
        <v>0.86514560181289202</v>
      </c>
      <c r="G3572">
        <v>0.699601780903229</v>
      </c>
      <c r="H3572">
        <v>0.479734809249167</v>
      </c>
      <c r="I3572">
        <v>0.34732813528163797</v>
      </c>
      <c r="J3572">
        <v>0.19087273757258499</v>
      </c>
      <c r="K3572">
        <v>0.119925608778369</v>
      </c>
      <c r="L3572">
        <v>847.25266754167501</v>
      </c>
      <c r="M3572">
        <v>13.985775159323699</v>
      </c>
      <c r="N3572">
        <v>60.5796003035924</v>
      </c>
      <c r="O3572">
        <v>59.3813974015263</v>
      </c>
      <c r="P3572">
        <v>-5.8888952891218302E-2</v>
      </c>
      <c r="Q3572">
        <v>0</v>
      </c>
      <c r="R3572">
        <v>0.99709923918371002</v>
      </c>
      <c r="S3572" t="s">
        <v>10378</v>
      </c>
      <c r="T3572" t="s">
        <v>13610</v>
      </c>
      <c r="U3572" t="s">
        <v>13610</v>
      </c>
      <c r="V3572" t="s">
        <v>13610</v>
      </c>
      <c r="W3572" t="s">
        <v>17126</v>
      </c>
      <c r="X3572">
        <v>14</v>
      </c>
      <c r="Y3572" t="s">
        <v>23734</v>
      </c>
      <c r="Z3572" t="s">
        <v>30427</v>
      </c>
      <c r="AA3572">
        <v>0.68902320796382965</v>
      </c>
      <c r="AB3572" t="str">
        <f>HYPERLINK("Melting_Curves/meltCurve_Q16719_KYNU.pdf", "Melting_Curves/meltCurve_Q16719_KYNU.pdf")</f>
        <v>Melting_Curves/meltCurve_Q16719_KYNU.pdf</v>
      </c>
    </row>
    <row r="3573" spans="1:28" x14ac:dyDescent="0.25">
      <c r="A3573" t="s">
        <v>3577</v>
      </c>
      <c r="B3573">
        <v>0.995954080203443</v>
      </c>
      <c r="C3573">
        <v>0.96091707614977195</v>
      </c>
      <c r="D3573">
        <v>0.84109883319394896</v>
      </c>
      <c r="E3573">
        <v>0.75017700596773196</v>
      </c>
      <c r="F3573">
        <v>0.53667625618034198</v>
      </c>
      <c r="G3573">
        <v>0.30732644353261201</v>
      </c>
      <c r="H3573">
        <v>0.13611470561942399</v>
      </c>
      <c r="I3573">
        <v>9.7235794396774697E-2</v>
      </c>
      <c r="J3573">
        <v>8.8211138923351404E-2</v>
      </c>
      <c r="K3573">
        <v>8.4821779941346695E-2</v>
      </c>
      <c r="L3573">
        <v>732.34637121965</v>
      </c>
      <c r="M3573">
        <v>13.754787785308</v>
      </c>
      <c r="N3573">
        <v>53.439685500062701</v>
      </c>
      <c r="O3573">
        <v>52.1554718905453</v>
      </c>
      <c r="P3573">
        <v>-6.4313665238925899E-2</v>
      </c>
      <c r="Q3573">
        <v>2.4679063585964299E-2</v>
      </c>
      <c r="R3573">
        <v>0.99483717795065296</v>
      </c>
      <c r="S3573" t="s">
        <v>10379</v>
      </c>
      <c r="T3573" t="s">
        <v>13610</v>
      </c>
      <c r="U3573" t="s">
        <v>13610</v>
      </c>
      <c r="V3573" t="s">
        <v>13610</v>
      </c>
      <c r="W3573" t="s">
        <v>17127</v>
      </c>
      <c r="X3573">
        <v>11</v>
      </c>
      <c r="Y3573" t="s">
        <v>23735</v>
      </c>
      <c r="Z3573" t="s">
        <v>30428</v>
      </c>
      <c r="AA3573">
        <v>0.47846663947161072</v>
      </c>
      <c r="AB3573" t="str">
        <f>HYPERLINK("Melting_Curves/meltCurve_Q16740_CLPP.pdf", "Melting_Curves/meltCurve_Q16740_CLPP.pdf")</f>
        <v>Melting_Curves/meltCurve_Q16740_CLPP.pdf</v>
      </c>
    </row>
    <row r="3574" spans="1:28" x14ac:dyDescent="0.25">
      <c r="A3574" t="s">
        <v>3578</v>
      </c>
      <c r="B3574">
        <v>0.995954080203443</v>
      </c>
      <c r="C3574">
        <v>0.918323352053383</v>
      </c>
      <c r="D3574">
        <v>0.82129397048817099</v>
      </c>
      <c r="E3574">
        <v>0.43622631127702999</v>
      </c>
      <c r="F3574">
        <v>0.14030160085784399</v>
      </c>
      <c r="G3574">
        <v>9.5311676903975295E-2</v>
      </c>
      <c r="H3574">
        <v>6.32645785330678E-2</v>
      </c>
      <c r="I3574">
        <v>6.7649275283246504E-2</v>
      </c>
      <c r="J3574">
        <v>6.2069383070403501E-2</v>
      </c>
      <c r="K3574">
        <v>5.8489077365842398E-2</v>
      </c>
      <c r="L3574">
        <v>1140.7368798064599</v>
      </c>
      <c r="M3574">
        <v>23.3407704659442</v>
      </c>
      <c r="N3574">
        <v>49.118690159941004</v>
      </c>
      <c r="O3574">
        <v>48.518650357929303</v>
      </c>
      <c r="P3574">
        <v>-0.113646517310353</v>
      </c>
      <c r="Q3574">
        <v>5.5065171533685599E-2</v>
      </c>
      <c r="R3574">
        <v>0.99614078775533499</v>
      </c>
      <c r="S3574" t="s">
        <v>10380</v>
      </c>
      <c r="T3574" t="s">
        <v>13610</v>
      </c>
      <c r="U3574" t="s">
        <v>13610</v>
      </c>
      <c r="V3574" t="s">
        <v>13610</v>
      </c>
      <c r="W3574" t="s">
        <v>17128</v>
      </c>
      <c r="X3574">
        <v>5</v>
      </c>
      <c r="Y3574" t="s">
        <v>23736</v>
      </c>
      <c r="Z3574" t="s">
        <v>30429</v>
      </c>
      <c r="AA3574">
        <v>0.34419365776729882</v>
      </c>
      <c r="AB3574" t="str">
        <f>HYPERLINK("Melting_Curves/meltCurve_Q16762_TST.pdf", "Melting_Curves/meltCurve_Q16762_TST.pdf")</f>
        <v>Melting_Curves/meltCurve_Q16762_TST.pdf</v>
      </c>
    </row>
    <row r="3575" spans="1:28" x14ac:dyDescent="0.25">
      <c r="A3575" t="s">
        <v>3579</v>
      </c>
      <c r="B3575">
        <v>0.995954080203443</v>
      </c>
      <c r="C3575">
        <v>1.0721986071481799</v>
      </c>
      <c r="D3575">
        <v>1.0657008098222001</v>
      </c>
      <c r="E3575">
        <v>0.91251255063742598</v>
      </c>
      <c r="F3575">
        <v>0.77281475725347903</v>
      </c>
      <c r="G3575">
        <v>0.471083239113124</v>
      </c>
      <c r="H3575">
        <v>0.216198317292355</v>
      </c>
      <c r="I3575">
        <v>0.113603525942472</v>
      </c>
      <c r="J3575">
        <v>9.4876277344572393E-2</v>
      </c>
      <c r="K3575">
        <v>9.1357700585235097E-2</v>
      </c>
      <c r="L3575">
        <v>1154.09770054518</v>
      </c>
      <c r="M3575">
        <v>20.566573040085501</v>
      </c>
      <c r="N3575">
        <v>56.488246406914598</v>
      </c>
      <c r="O3575">
        <v>55.592771012625299</v>
      </c>
      <c r="P3575">
        <v>-8.6617556885618105E-2</v>
      </c>
      <c r="Q3575">
        <v>6.3495967659292302E-2</v>
      </c>
      <c r="R3575">
        <v>0.99245123969995397</v>
      </c>
      <c r="S3575" t="s">
        <v>10381</v>
      </c>
      <c r="T3575" t="s">
        <v>13610</v>
      </c>
      <c r="U3575" t="s">
        <v>13610</v>
      </c>
      <c r="V3575" t="s">
        <v>13610</v>
      </c>
      <c r="W3575" t="s">
        <v>17129</v>
      </c>
      <c r="X3575">
        <v>9</v>
      </c>
      <c r="Y3575" t="s">
        <v>23737</v>
      </c>
      <c r="Z3575" t="s">
        <v>30430</v>
      </c>
      <c r="AA3575">
        <v>0.57811831097834709</v>
      </c>
      <c r="AB3575" t="str">
        <f>HYPERLINK("Melting_Curves/meltCurve_Q16763_UBE2S.pdf", "Melting_Curves/meltCurve_Q16763_UBE2S.pdf")</f>
        <v>Melting_Curves/meltCurve_Q16763_UBE2S.pdf</v>
      </c>
    </row>
    <row r="3576" spans="1:28" x14ac:dyDescent="0.25">
      <c r="A3576" t="s">
        <v>3580</v>
      </c>
      <c r="B3576">
        <v>0.995954080203443</v>
      </c>
      <c r="C3576">
        <v>1.03910859478899</v>
      </c>
      <c r="D3576">
        <v>1.0845420621811701</v>
      </c>
      <c r="E3576">
        <v>0.92895300181899798</v>
      </c>
      <c r="F3576">
        <v>0.76612087368967896</v>
      </c>
      <c r="G3576">
        <v>0.52400488226325204</v>
      </c>
      <c r="H3576">
        <v>0.26474914785833698</v>
      </c>
      <c r="I3576">
        <v>0.14341182047727299</v>
      </c>
      <c r="J3576">
        <v>0.13020685033597201</v>
      </c>
      <c r="K3576">
        <v>0.126913659153607</v>
      </c>
      <c r="L3576">
        <v>1102.04415421709</v>
      </c>
      <c r="M3576">
        <v>19.534913263944301</v>
      </c>
      <c r="N3576">
        <v>56.997027804637099</v>
      </c>
      <c r="O3576">
        <v>55.832883692531802</v>
      </c>
      <c r="P3576">
        <v>-7.9552774528191997E-2</v>
      </c>
      <c r="Q3576">
        <v>9.0550935043944902E-2</v>
      </c>
      <c r="R3576">
        <v>0.99090784778138197</v>
      </c>
      <c r="S3576" t="s">
        <v>10382</v>
      </c>
      <c r="T3576" t="s">
        <v>13610</v>
      </c>
      <c r="U3576" t="s">
        <v>13610</v>
      </c>
      <c r="V3576" t="s">
        <v>13610</v>
      </c>
      <c r="W3576" t="s">
        <v>17130</v>
      </c>
      <c r="X3576">
        <v>12</v>
      </c>
      <c r="Y3576" t="s">
        <v>23738</v>
      </c>
      <c r="Z3576" t="s">
        <v>30431</v>
      </c>
      <c r="AA3576">
        <v>0.59999247783373477</v>
      </c>
      <c r="AB3576" t="str">
        <f>HYPERLINK("Melting_Curves/meltCurve_Q16773_CCBL1.pdf", "Melting_Curves/meltCurve_Q16773_CCBL1.pdf")</f>
        <v>Melting_Curves/meltCurve_Q16773_CCBL1.pdf</v>
      </c>
    </row>
    <row r="3577" spans="1:28" x14ac:dyDescent="0.25">
      <c r="A3577" t="s">
        <v>3581</v>
      </c>
      <c r="B3577">
        <v>0.995954080203443</v>
      </c>
      <c r="C3577">
        <v>0.83286968785092397</v>
      </c>
      <c r="D3577">
        <v>0.63134961700633896</v>
      </c>
      <c r="E3577">
        <v>0.45304785838134998</v>
      </c>
      <c r="F3577">
        <v>0.14470151108761001</v>
      </c>
      <c r="G3577">
        <v>5.6438092793353399E-2</v>
      </c>
      <c r="H3577">
        <v>2.6002057333680401E-2</v>
      </c>
      <c r="I3577">
        <v>1.70851168611405E-2</v>
      </c>
      <c r="J3577">
        <v>2.1535699017129002E-2</v>
      </c>
      <c r="K3577">
        <v>2.1402697998788901E-2</v>
      </c>
      <c r="L3577">
        <v>727.30796214551299</v>
      </c>
      <c r="M3577">
        <v>15.1160821515707</v>
      </c>
      <c r="N3577">
        <v>48.114849731423902</v>
      </c>
      <c r="O3577">
        <v>47.296335485394501</v>
      </c>
      <c r="P3577">
        <v>-7.9908748571173693E-2</v>
      </c>
      <c r="Q3577">
        <v>0</v>
      </c>
      <c r="R3577">
        <v>0.98722059293603603</v>
      </c>
      <c r="S3577" t="s">
        <v>10383</v>
      </c>
      <c r="T3577" t="s">
        <v>13610</v>
      </c>
      <c r="U3577" t="s">
        <v>13610</v>
      </c>
      <c r="V3577" t="s">
        <v>13610</v>
      </c>
      <c r="W3577" t="s">
        <v>17131</v>
      </c>
      <c r="X3577">
        <v>8</v>
      </c>
      <c r="Y3577" t="s">
        <v>23739</v>
      </c>
      <c r="Z3577" t="s">
        <v>30432</v>
      </c>
      <c r="AA3577">
        <v>0.29570528975860588</v>
      </c>
      <c r="AB3577" t="str">
        <f>HYPERLINK("Melting_Curves/meltCurve_Q16778_HIST2H2BE.pdf", "Melting_Curves/meltCurve_Q16778_HIST2H2BE.pdf")</f>
        <v>Melting_Curves/meltCurve_Q16778_HIST2H2BE.pdf</v>
      </c>
    </row>
    <row r="3578" spans="1:28" x14ac:dyDescent="0.25">
      <c r="A3578" t="s">
        <v>3582</v>
      </c>
      <c r="B3578">
        <v>0.995954080203443</v>
      </c>
      <c r="C3578">
        <v>0.84859370793785005</v>
      </c>
      <c r="D3578">
        <v>0.67255551372918998</v>
      </c>
      <c r="E3578">
        <v>0.90349410777680805</v>
      </c>
      <c r="F3578">
        <v>0.58420735280307601</v>
      </c>
      <c r="G3578">
        <v>0.25986064199416398</v>
      </c>
      <c r="H3578">
        <v>3.2068029765532899E-2</v>
      </c>
      <c r="I3578">
        <v>1.11378895061582E-2</v>
      </c>
      <c r="J3578">
        <v>1.17622040340164E-3</v>
      </c>
      <c r="K3578">
        <v>2.1838362847727399E-3</v>
      </c>
      <c r="L3578">
        <v>1027.7819087927001</v>
      </c>
      <c r="M3578">
        <v>19.1092832925553</v>
      </c>
      <c r="N3578">
        <v>53.7844302937931</v>
      </c>
      <c r="O3578">
        <v>53.205816897588903</v>
      </c>
      <c r="P3578">
        <v>-8.9792953248327298E-2</v>
      </c>
      <c r="Q3578">
        <v>0</v>
      </c>
      <c r="R3578">
        <v>0.92222874385570497</v>
      </c>
      <c r="S3578" t="s">
        <v>10384</v>
      </c>
      <c r="T3578" t="s">
        <v>13610</v>
      </c>
      <c r="U3578" t="s">
        <v>13610</v>
      </c>
      <c r="V3578" t="s">
        <v>13610</v>
      </c>
      <c r="W3578" t="s">
        <v>17132</v>
      </c>
      <c r="X3578">
        <v>2</v>
      </c>
      <c r="Y3578" t="s">
        <v>23740</v>
      </c>
      <c r="Z3578" t="s">
        <v>30433</v>
      </c>
      <c r="AA3578">
        <v>0.4741514935183006</v>
      </c>
      <c r="AB3578" t="str">
        <f>HYPERLINK("Melting_Curves/meltCurve_Q16819_MEP1A.pdf", "Melting_Curves/meltCurve_Q16819_MEP1A.pdf")</f>
        <v>Melting_Curves/meltCurve_Q16819_MEP1A.pdf</v>
      </c>
    </row>
    <row r="3579" spans="1:28" x14ac:dyDescent="0.25">
      <c r="A3579" t="s">
        <v>3583</v>
      </c>
      <c r="B3579">
        <v>0.995954080203443</v>
      </c>
      <c r="C3579">
        <v>0.86567867904358597</v>
      </c>
      <c r="D3579">
        <v>0.69173952656544901</v>
      </c>
      <c r="E3579">
        <v>0.34494230306928197</v>
      </c>
      <c r="F3579">
        <v>0.18067966562367799</v>
      </c>
      <c r="G3579">
        <v>0.113961411944036</v>
      </c>
      <c r="H3579">
        <v>7.2481919938162595E-2</v>
      </c>
      <c r="I3579">
        <v>6.3615020359824706E-2</v>
      </c>
      <c r="J3579">
        <v>6.1473015486308402E-2</v>
      </c>
      <c r="K3579">
        <v>6.2278765754962301E-2</v>
      </c>
      <c r="L3579">
        <v>860.14920373409598</v>
      </c>
      <c r="M3579">
        <v>18.027882023534801</v>
      </c>
      <c r="N3579">
        <v>48.032847881012302</v>
      </c>
      <c r="O3579">
        <v>47.136710196406597</v>
      </c>
      <c r="P3579">
        <v>-9.0197903088241896E-2</v>
      </c>
      <c r="Q3579">
        <v>5.6700304547395303E-2</v>
      </c>
      <c r="R3579">
        <v>0.99875942872088097</v>
      </c>
      <c r="S3579" t="s">
        <v>10385</v>
      </c>
      <c r="T3579" t="s">
        <v>13610</v>
      </c>
      <c r="U3579" t="s">
        <v>13610</v>
      </c>
      <c r="V3579" t="s">
        <v>13610</v>
      </c>
      <c r="W3579" t="s">
        <v>17133</v>
      </c>
      <c r="X3579">
        <v>30</v>
      </c>
      <c r="Y3579" t="s">
        <v>23741</v>
      </c>
      <c r="Z3579" t="s">
        <v>30434</v>
      </c>
      <c r="AA3579">
        <v>0.31603530772945909</v>
      </c>
      <c r="AB3579" t="str">
        <f>HYPERLINK("Melting_Curves/meltCurve_Q16822_PCK2.pdf", "Melting_Curves/meltCurve_Q16822_PCK2.pdf")</f>
        <v>Melting_Curves/meltCurve_Q16822_PCK2.pdf</v>
      </c>
    </row>
    <row r="3580" spans="1:28" x14ac:dyDescent="0.25">
      <c r="A3580" t="s">
        <v>3584</v>
      </c>
      <c r="B3580">
        <v>0.995954080203443</v>
      </c>
      <c r="C3580">
        <v>0.969785459261024</v>
      </c>
      <c r="D3580">
        <v>0.91181002293271796</v>
      </c>
      <c r="E3580">
        <v>0.82320311095643794</v>
      </c>
      <c r="F3580">
        <v>0.77485117882721599</v>
      </c>
      <c r="G3580">
        <v>0.55511860212459896</v>
      </c>
      <c r="H3580">
        <v>0.319112393659709</v>
      </c>
      <c r="I3580">
        <v>0.17501727375672499</v>
      </c>
      <c r="J3580">
        <v>0.107442721254342</v>
      </c>
      <c r="K3580">
        <v>0.11411229604145701</v>
      </c>
      <c r="L3580">
        <v>735.68495844872905</v>
      </c>
      <c r="M3580">
        <v>12.8205500029452</v>
      </c>
      <c r="N3580">
        <v>57.383285288089802</v>
      </c>
      <c r="O3580">
        <v>56.040884811161</v>
      </c>
      <c r="P3580">
        <v>-5.7203483232353802E-2</v>
      </c>
      <c r="Q3580">
        <v>0</v>
      </c>
      <c r="R3580">
        <v>0.99209311448728099</v>
      </c>
      <c r="S3580" t="s">
        <v>10386</v>
      </c>
      <c r="T3580" t="s">
        <v>13610</v>
      </c>
      <c r="U3580" t="s">
        <v>13610</v>
      </c>
      <c r="V3580" t="s">
        <v>13610</v>
      </c>
      <c r="W3580" t="s">
        <v>17134</v>
      </c>
      <c r="X3580">
        <v>7</v>
      </c>
      <c r="Y3580" t="s">
        <v>23742</v>
      </c>
      <c r="Z3580" t="s">
        <v>30435</v>
      </c>
      <c r="AA3580">
        <v>0.59491049816035835</v>
      </c>
      <c r="AB3580" t="str">
        <f>HYPERLINK("Melting_Curves/meltCurve_Q16831_UPP1.pdf", "Melting_Curves/meltCurve_Q16831_UPP1.pdf")</f>
        <v>Melting_Curves/meltCurve_Q16831_UPP1.pdf</v>
      </c>
    </row>
    <row r="3581" spans="1:28" x14ac:dyDescent="0.25">
      <c r="A3581" t="s">
        <v>3585</v>
      </c>
      <c r="B3581">
        <v>0.995954080203443</v>
      </c>
      <c r="C3581">
        <v>0.95734726323129504</v>
      </c>
      <c r="D3581">
        <v>1.11230660098444</v>
      </c>
      <c r="E3581">
        <v>0.54241973577978997</v>
      </c>
      <c r="F3581">
        <v>0.19749849403087399</v>
      </c>
      <c r="G3581">
        <v>0.120823768860246</v>
      </c>
      <c r="H3581">
        <v>7.9951997887363596E-2</v>
      </c>
      <c r="I3581">
        <v>6.4711334023786704E-2</v>
      </c>
      <c r="J3581">
        <v>7.8956821844987701E-2</v>
      </c>
      <c r="K3581">
        <v>6.1835663883519E-2</v>
      </c>
      <c r="L3581">
        <v>2291.6915556171298</v>
      </c>
      <c r="M3581">
        <v>45.747850457820199</v>
      </c>
      <c r="N3581">
        <v>50.30335446566</v>
      </c>
      <c r="O3581">
        <v>49.998535971796599</v>
      </c>
      <c r="P3581">
        <v>-0.20891530895746599</v>
      </c>
      <c r="Q3581">
        <v>8.6694007811608201E-2</v>
      </c>
      <c r="R3581">
        <v>0.98711435290036198</v>
      </c>
      <c r="S3581" t="s">
        <v>10387</v>
      </c>
      <c r="T3581" t="s">
        <v>13610</v>
      </c>
      <c r="U3581" t="s">
        <v>13610</v>
      </c>
      <c r="V3581" t="s">
        <v>13610</v>
      </c>
      <c r="W3581" t="s">
        <v>17135</v>
      </c>
      <c r="X3581">
        <v>12</v>
      </c>
      <c r="Y3581" t="s">
        <v>23743</v>
      </c>
      <c r="Z3581" t="s">
        <v>30436</v>
      </c>
      <c r="AA3581">
        <v>0.39640357594160869</v>
      </c>
      <c r="AB3581" t="str">
        <f>HYPERLINK("Melting_Curves/meltCurve_Q16836_HADH.pdf", "Melting_Curves/meltCurve_Q16836_HADH.pdf")</f>
        <v>Melting_Curves/meltCurve_Q16836_HADH.pdf</v>
      </c>
    </row>
    <row r="3582" spans="1:28" x14ac:dyDescent="0.25">
      <c r="A3582" t="s">
        <v>3586</v>
      </c>
      <c r="B3582">
        <v>0.995954080203443</v>
      </c>
      <c r="C3582">
        <v>0.79305475912714996</v>
      </c>
      <c r="D3582">
        <v>0.62135046087422297</v>
      </c>
      <c r="E3582">
        <v>0.91478382299264405</v>
      </c>
      <c r="F3582">
        <v>0.66471443637955996</v>
      </c>
      <c r="G3582">
        <v>0.20037149152465</v>
      </c>
      <c r="H3582">
        <v>6.9217186203264294E-2</v>
      </c>
      <c r="I3582">
        <v>6.0707856841893303E-2</v>
      </c>
      <c r="J3582">
        <v>6.9352463002313403E-2</v>
      </c>
      <c r="K3582">
        <v>6.2082191896206097E-2</v>
      </c>
      <c r="L3582">
        <v>889.67577444612095</v>
      </c>
      <c r="M3582">
        <v>16.49058791993</v>
      </c>
      <c r="N3582">
        <v>53.950519304998402</v>
      </c>
      <c r="O3582">
        <v>53.175872360404902</v>
      </c>
      <c r="P3582">
        <v>-7.7533924252754599E-2</v>
      </c>
      <c r="Q3582">
        <v>0</v>
      </c>
      <c r="R3582">
        <v>0.86647900690233703</v>
      </c>
      <c r="S3582" t="s">
        <v>10388</v>
      </c>
      <c r="T3582" t="s">
        <v>13610</v>
      </c>
      <c r="U3582" t="s">
        <v>13610</v>
      </c>
      <c r="V3582" t="s">
        <v>13610</v>
      </c>
      <c r="W3582" t="s">
        <v>17136</v>
      </c>
      <c r="X3582">
        <v>30</v>
      </c>
      <c r="Y3582" t="s">
        <v>23744</v>
      </c>
      <c r="Z3582" t="s">
        <v>30437</v>
      </c>
      <c r="AA3582">
        <v>0.48318346778501731</v>
      </c>
      <c r="AB3582" t="str">
        <f>HYPERLINK("Melting_Curves/meltCurve_Q16851_UGP2.pdf", "Melting_Curves/meltCurve_Q16851_UGP2.pdf")</f>
        <v>Melting_Curves/meltCurve_Q16851_UGP2.pdf</v>
      </c>
    </row>
    <row r="3583" spans="1:28" x14ac:dyDescent="0.25">
      <c r="A3583" t="s">
        <v>3587</v>
      </c>
      <c r="B3583">
        <v>0.995954080203443</v>
      </c>
      <c r="C3583">
        <v>0.95338114384485895</v>
      </c>
      <c r="D3583">
        <v>1.0237990253093501</v>
      </c>
      <c r="E3583">
        <v>0.77889133811059197</v>
      </c>
      <c r="F3583">
        <v>0.75772373681957095</v>
      </c>
      <c r="G3583">
        <v>0.60146140406426796</v>
      </c>
      <c r="H3583">
        <v>0.492742108564938</v>
      </c>
      <c r="I3583">
        <v>0.54092770610912999</v>
      </c>
      <c r="J3583">
        <v>0.40786788178932798</v>
      </c>
      <c r="K3583">
        <v>0.10023042727614501</v>
      </c>
      <c r="L3583">
        <v>485.78064329854402</v>
      </c>
      <c r="M3583">
        <v>7.9559961513391002</v>
      </c>
      <c r="N3583">
        <v>61.0584305034916</v>
      </c>
      <c r="O3583">
        <v>57.562662856645098</v>
      </c>
      <c r="P3583">
        <v>-3.4593523365368799E-2</v>
      </c>
      <c r="Q3583">
        <v>0</v>
      </c>
      <c r="R3583">
        <v>0.914320364285791</v>
      </c>
      <c r="S3583" t="s">
        <v>10389</v>
      </c>
      <c r="T3583" t="s">
        <v>13610</v>
      </c>
      <c r="U3583" t="s">
        <v>13610</v>
      </c>
      <c r="V3583" t="s">
        <v>13610</v>
      </c>
      <c r="W3583" t="s">
        <v>17137</v>
      </c>
      <c r="X3583">
        <v>6</v>
      </c>
      <c r="Y3583" t="s">
        <v>23745</v>
      </c>
      <c r="Z3583" t="s">
        <v>30438</v>
      </c>
      <c r="AA3583">
        <v>0.67538619286353163</v>
      </c>
      <c r="AB3583" t="str">
        <f>HYPERLINK("Melting_Curves/meltCurve_Q16854_DGUOK.pdf", "Melting_Curves/meltCurve_Q16854_DGUOK.pdf")</f>
        <v>Melting_Curves/meltCurve_Q16854_DGUOK.pdf</v>
      </c>
    </row>
    <row r="3584" spans="1:28" x14ac:dyDescent="0.25">
      <c r="A3584" t="s">
        <v>3588</v>
      </c>
      <c r="B3584">
        <v>0.995954080203443</v>
      </c>
      <c r="C3584">
        <v>0.93722956749388397</v>
      </c>
      <c r="D3584">
        <v>0.76876749205461603</v>
      </c>
      <c r="E3584">
        <v>0.89322177466499697</v>
      </c>
      <c r="F3584">
        <v>0.658390065377227</v>
      </c>
      <c r="G3584">
        <v>0.498293482427974</v>
      </c>
      <c r="H3584">
        <v>0.34590673387642101</v>
      </c>
      <c r="I3584">
        <v>0.31407904683930499</v>
      </c>
      <c r="J3584">
        <v>0.29674909883403799</v>
      </c>
      <c r="K3584">
        <v>0.30328419870522799</v>
      </c>
      <c r="L3584">
        <v>574.50448964498401</v>
      </c>
      <c r="M3584">
        <v>10.5439329617822</v>
      </c>
      <c r="N3584">
        <v>57.1548865342724</v>
      </c>
      <c r="O3584">
        <v>52.636325423341098</v>
      </c>
      <c r="P3584">
        <v>-4.0361491460740299E-2</v>
      </c>
      <c r="Q3584">
        <v>0.194366120043</v>
      </c>
      <c r="R3584">
        <v>0.95094169934024497</v>
      </c>
      <c r="S3584" t="s">
        <v>10390</v>
      </c>
      <c r="T3584" t="s">
        <v>13610</v>
      </c>
      <c r="U3584" t="s">
        <v>13610</v>
      </c>
      <c r="V3584" t="s">
        <v>13610</v>
      </c>
      <c r="W3584" t="s">
        <v>17138</v>
      </c>
      <c r="X3584">
        <v>8</v>
      </c>
      <c r="Y3584" t="s">
        <v>23746</v>
      </c>
      <c r="Z3584" t="s">
        <v>30439</v>
      </c>
      <c r="AA3584">
        <v>0.6053835485667195</v>
      </c>
      <c r="AB3584" t="str">
        <f>HYPERLINK("Melting_Curves/meltCurve_Q16864_ATP6V1F.pdf", "Melting_Curves/meltCurve_Q16864_ATP6V1F.pdf")</f>
        <v>Melting_Curves/meltCurve_Q16864_ATP6V1F.pdf</v>
      </c>
    </row>
    <row r="3585" spans="1:28" x14ac:dyDescent="0.25">
      <c r="A3585" t="s">
        <v>3589</v>
      </c>
      <c r="B3585">
        <v>0.995954080203443</v>
      </c>
      <c r="C3585">
        <v>0.91932222501869298</v>
      </c>
      <c r="D3585">
        <v>0.81336245077413605</v>
      </c>
      <c r="E3585">
        <v>0.658107041370114</v>
      </c>
      <c r="F3585">
        <v>0.37637535269240902</v>
      </c>
      <c r="G3585">
        <v>0.158983571359474</v>
      </c>
      <c r="H3585">
        <v>0.104355805169549</v>
      </c>
      <c r="I3585">
        <v>9.3753379779745197E-2</v>
      </c>
      <c r="J3585">
        <v>0.11424760496809</v>
      </c>
      <c r="K3585">
        <v>9.1338434344617095E-2</v>
      </c>
      <c r="L3585">
        <v>835.03288850839601</v>
      </c>
      <c r="M3585">
        <v>16.421485968684099</v>
      </c>
      <c r="N3585">
        <v>51.293427697161398</v>
      </c>
      <c r="O3585">
        <v>50.113882942171401</v>
      </c>
      <c r="P3585">
        <v>-7.6505532062702497E-2</v>
      </c>
      <c r="Q3585">
        <v>6.6170314223123305E-2</v>
      </c>
      <c r="R3585">
        <v>0.99158575856061604</v>
      </c>
      <c r="S3585" t="s">
        <v>10391</v>
      </c>
      <c r="T3585" t="s">
        <v>13610</v>
      </c>
      <c r="U3585" t="s">
        <v>13610</v>
      </c>
      <c r="V3585" t="s">
        <v>13610</v>
      </c>
      <c r="W3585" t="s">
        <v>17139</v>
      </c>
      <c r="X3585">
        <v>15</v>
      </c>
      <c r="Y3585" t="s">
        <v>23747</v>
      </c>
      <c r="Z3585" t="s">
        <v>30440</v>
      </c>
      <c r="AA3585">
        <v>0.42247280481543847</v>
      </c>
      <c r="AB3585" t="str">
        <f>HYPERLINK("Melting_Curves/meltCurve_Q16875_3_PFKFB3.pdf", "Melting_Curves/meltCurve_Q16875_3_PFKFB3.pdf")</f>
        <v>Melting_Curves/meltCurve_Q16875_3_PFKFB3.pdf</v>
      </c>
    </row>
    <row r="3586" spans="1:28" x14ac:dyDescent="0.25">
      <c r="A3586" t="s">
        <v>3590</v>
      </c>
      <c r="B3586">
        <v>0.995954080203443</v>
      </c>
      <c r="C3586">
        <v>0.99784670017847199</v>
      </c>
      <c r="D3586">
        <v>0.92859794809541596</v>
      </c>
      <c r="E3586">
        <v>0.748501625321357</v>
      </c>
      <c r="F3586">
        <v>0.63271371804117504</v>
      </c>
      <c r="G3586">
        <v>0.46186136671171302</v>
      </c>
      <c r="H3586">
        <v>0.31677867349563399</v>
      </c>
      <c r="I3586">
        <v>0.27654954377220398</v>
      </c>
      <c r="J3586">
        <v>0.27080985418074599</v>
      </c>
      <c r="K3586">
        <v>0.171967475207187</v>
      </c>
      <c r="L3586">
        <v>666.09677196934399</v>
      </c>
      <c r="M3586">
        <v>12.321581035370301</v>
      </c>
      <c r="N3586">
        <v>55.828778087788201</v>
      </c>
      <c r="O3586">
        <v>52.694609550667202</v>
      </c>
      <c r="P3586">
        <v>-4.9018731188001798E-2</v>
      </c>
      <c r="Q3586">
        <v>0.16164619572826799</v>
      </c>
      <c r="R3586">
        <v>0.99465401848066504</v>
      </c>
      <c r="S3586" t="s">
        <v>10392</v>
      </c>
      <c r="T3586" t="s">
        <v>13610</v>
      </c>
      <c r="U3586" t="s">
        <v>13610</v>
      </c>
      <c r="V3586" t="s">
        <v>13610</v>
      </c>
      <c r="W3586" t="s">
        <v>17140</v>
      </c>
      <c r="X3586">
        <v>12</v>
      </c>
      <c r="Y3586" t="s">
        <v>23748</v>
      </c>
      <c r="Z3586" t="s">
        <v>30441</v>
      </c>
      <c r="AA3586">
        <v>0.57577918656331306</v>
      </c>
      <c r="AB3586" t="str">
        <f>HYPERLINK("Melting_Curves/meltCurve_Q17R31_2_TATDN3.pdf", "Melting_Curves/meltCurve_Q17R31_2_TATDN3.pdf")</f>
        <v>Melting_Curves/meltCurve_Q17R31_2_TATDN3.pdf</v>
      </c>
    </row>
    <row r="3587" spans="1:28" x14ac:dyDescent="0.25">
      <c r="A3587" t="s">
        <v>3591</v>
      </c>
      <c r="B3587">
        <v>0.995954080203443</v>
      </c>
      <c r="C3587">
        <v>0.84050303772206703</v>
      </c>
      <c r="D3587">
        <v>0.66923362713960299</v>
      </c>
      <c r="E3587">
        <v>0.42786775369527702</v>
      </c>
      <c r="F3587">
        <v>0.17438668731666601</v>
      </c>
      <c r="G3587">
        <v>0.106454144595615</v>
      </c>
      <c r="H3587">
        <v>6.1099436998454E-2</v>
      </c>
      <c r="I3587">
        <v>7.0427422805160705E-2</v>
      </c>
      <c r="J3587">
        <v>7.7207749252965405E-2</v>
      </c>
      <c r="K3587">
        <v>6.3647537230394194E-2</v>
      </c>
      <c r="L3587">
        <v>762.87616333198798</v>
      </c>
      <c r="M3587">
        <v>15.9084164953801</v>
      </c>
      <c r="N3587">
        <v>48.256635839082399</v>
      </c>
      <c r="O3587">
        <v>47.215688839505297</v>
      </c>
      <c r="P3587">
        <v>-8.0243063481224203E-2</v>
      </c>
      <c r="Q3587">
        <v>4.7440640755146E-2</v>
      </c>
      <c r="R3587">
        <v>0.99300874266786299</v>
      </c>
      <c r="S3587" t="s">
        <v>10393</v>
      </c>
      <c r="T3587" t="s">
        <v>13610</v>
      </c>
      <c r="U3587" t="s">
        <v>13610</v>
      </c>
      <c r="V3587" t="s">
        <v>13610</v>
      </c>
      <c r="W3587" t="s">
        <v>17141</v>
      </c>
      <c r="X3587">
        <v>4</v>
      </c>
      <c r="Y3587" t="s">
        <v>23749</v>
      </c>
      <c r="Z3587" t="s">
        <v>30442</v>
      </c>
      <c r="AA3587">
        <v>0.32183762328119092</v>
      </c>
      <c r="AB3587" t="str">
        <f>HYPERLINK("Melting_Curves/meltCurve_Q17RN3_FAM98C.pdf", "Melting_Curves/meltCurve_Q17RN3_FAM98C.pdf")</f>
        <v>Melting_Curves/meltCurve_Q17RN3_FAM98C.pdf</v>
      </c>
    </row>
    <row r="3588" spans="1:28" x14ac:dyDescent="0.25">
      <c r="A3588" t="s">
        <v>3592</v>
      </c>
      <c r="B3588">
        <v>0.995954080203443</v>
      </c>
      <c r="C3588">
        <v>0.98694911868622304</v>
      </c>
      <c r="D3588">
        <v>0.87599440658882199</v>
      </c>
      <c r="E3588">
        <v>0.66613904401856905</v>
      </c>
      <c r="F3588">
        <v>0.31443244847414797</v>
      </c>
      <c r="G3588">
        <v>0.13449909007500699</v>
      </c>
      <c r="H3588">
        <v>0.100852261552725</v>
      </c>
      <c r="I3588">
        <v>9.3253896769463399E-2</v>
      </c>
      <c r="J3588">
        <v>0.10986156935888</v>
      </c>
      <c r="K3588">
        <v>0.10841707635391799</v>
      </c>
      <c r="L3588">
        <v>1232.31476946423</v>
      </c>
      <c r="M3588">
        <v>24.270508327756801</v>
      </c>
      <c r="N3588">
        <v>51.203317083691701</v>
      </c>
      <c r="O3588">
        <v>50.4332457339572</v>
      </c>
      <c r="P3588">
        <v>-0.109239361488427</v>
      </c>
      <c r="Q3588">
        <v>9.2032052389594998E-2</v>
      </c>
      <c r="R3588">
        <v>0.99600833490664997</v>
      </c>
      <c r="S3588" t="s">
        <v>10394</v>
      </c>
      <c r="T3588" t="s">
        <v>13610</v>
      </c>
      <c r="U3588" t="s">
        <v>13610</v>
      </c>
      <c r="V3588" t="s">
        <v>13610</v>
      </c>
      <c r="W3588" t="s">
        <v>17142</v>
      </c>
      <c r="X3588">
        <v>18</v>
      </c>
      <c r="Y3588" t="s">
        <v>23750</v>
      </c>
      <c r="Z3588" t="s">
        <v>30443</v>
      </c>
      <c r="AA3588">
        <v>0.42679326073512452</v>
      </c>
      <c r="AB3588" t="str">
        <f>HYPERLINK("Melting_Curves/meltCurve_Q17RU2_REL.pdf", "Melting_Curves/meltCurve_Q17RU2_REL.pdf")</f>
        <v>Melting_Curves/meltCurve_Q17RU2_REL.pdf</v>
      </c>
    </row>
    <row r="3589" spans="1:28" x14ac:dyDescent="0.25">
      <c r="A3589" t="s">
        <v>3593</v>
      </c>
      <c r="B3589">
        <v>0.995954080203443</v>
      </c>
      <c r="C3589">
        <v>0.89477281432262701</v>
      </c>
      <c r="D3589">
        <v>0.88358099025514003</v>
      </c>
      <c r="E3589">
        <v>0.74846230091089505</v>
      </c>
      <c r="F3589">
        <v>0.78393107365831705</v>
      </c>
      <c r="G3589">
        <v>0.58206549345561798</v>
      </c>
      <c r="H3589">
        <v>0.48674375825417299</v>
      </c>
      <c r="I3589">
        <v>0.46153780721236598</v>
      </c>
      <c r="J3589">
        <v>0.44659105658927001</v>
      </c>
      <c r="K3589">
        <v>0.27747905883338903</v>
      </c>
      <c r="L3589">
        <v>357.92775689271002</v>
      </c>
      <c r="M3589">
        <v>5.8183566604447297</v>
      </c>
      <c r="N3589">
        <v>61.516984985761503</v>
      </c>
      <c r="O3589">
        <v>55.417966008538897</v>
      </c>
      <c r="P3589">
        <v>-2.6342429141251501E-2</v>
      </c>
      <c r="Q3589">
        <v>0</v>
      </c>
      <c r="R3589">
        <v>0.96553879887130301</v>
      </c>
      <c r="S3589" t="s">
        <v>10395</v>
      </c>
      <c r="T3589" t="s">
        <v>13610</v>
      </c>
      <c r="U3589" t="s">
        <v>13610</v>
      </c>
      <c r="V3589" t="s">
        <v>13610</v>
      </c>
      <c r="W3589" t="s">
        <v>17143</v>
      </c>
      <c r="X3589">
        <v>3</v>
      </c>
      <c r="Y3589" t="s">
        <v>23751</v>
      </c>
      <c r="Z3589" t="s">
        <v>30444</v>
      </c>
      <c r="AA3589">
        <v>0.65991161923193886</v>
      </c>
      <c r="AB3589" t="str">
        <f>HYPERLINK("Melting_Curves/meltCurve_Q19AV6_ZSWIM7.pdf", "Melting_Curves/meltCurve_Q19AV6_ZSWIM7.pdf")</f>
        <v>Melting_Curves/meltCurve_Q19AV6_ZSWIM7.pdf</v>
      </c>
    </row>
    <row r="3590" spans="1:28" x14ac:dyDescent="0.25">
      <c r="A3590" t="s">
        <v>3594</v>
      </c>
      <c r="B3590">
        <v>0.995954080203443</v>
      </c>
      <c r="C3590">
        <v>0.97643648461511801</v>
      </c>
      <c r="D3590">
        <v>0.99324619433195305</v>
      </c>
      <c r="E3590">
        <v>0.87248288443148803</v>
      </c>
      <c r="F3590">
        <v>0.83675154101543803</v>
      </c>
      <c r="G3590">
        <v>0.64563087532862196</v>
      </c>
      <c r="H3590">
        <v>0.59323390125451703</v>
      </c>
      <c r="I3590">
        <v>0.70749153653049002</v>
      </c>
      <c r="J3590">
        <v>0.81457294377098799</v>
      </c>
      <c r="K3590">
        <v>0.83584970945662396</v>
      </c>
      <c r="L3590">
        <v>1540.0424487514299</v>
      </c>
      <c r="M3590">
        <v>30.3205963937374</v>
      </c>
      <c r="O3590">
        <v>50.572530598697298</v>
      </c>
      <c r="P3590">
        <v>-4.1354708914594897E-2</v>
      </c>
      <c r="Q3590">
        <v>0.72409511470966004</v>
      </c>
      <c r="R3590">
        <v>0.72635247712213802</v>
      </c>
      <c r="S3590" t="s">
        <v>10396</v>
      </c>
      <c r="T3590" t="s">
        <v>13610</v>
      </c>
      <c r="U3590" t="s">
        <v>13610</v>
      </c>
      <c r="V3590" t="s">
        <v>13610</v>
      </c>
      <c r="W3590" t="s">
        <v>17144</v>
      </c>
      <c r="X3590">
        <v>21</v>
      </c>
      <c r="Y3590" t="s">
        <v>23752</v>
      </c>
      <c r="Z3590" t="s">
        <v>30445</v>
      </c>
      <c r="AA3590">
        <v>0.82503922142553232</v>
      </c>
      <c r="AB3590" t="str">
        <f>HYPERLINK("Melting_Curves/meltCurve_Q1ED39_KNOP1.pdf", "Melting_Curves/meltCurve_Q1ED39_KNOP1.pdf")</f>
        <v>Melting_Curves/meltCurve_Q1ED39_KNOP1.pdf</v>
      </c>
    </row>
    <row r="3591" spans="1:28" x14ac:dyDescent="0.25">
      <c r="A3591" t="s">
        <v>3595</v>
      </c>
      <c r="B3591">
        <v>0.995954080203443</v>
      </c>
      <c r="C3591">
        <v>0.94403035953103298</v>
      </c>
      <c r="D3591">
        <v>0.80986732137505202</v>
      </c>
      <c r="E3591">
        <v>0.73911787030216802</v>
      </c>
      <c r="F3591">
        <v>0.61608469032990798</v>
      </c>
      <c r="G3591">
        <v>0.44505492323976098</v>
      </c>
      <c r="H3591">
        <v>0.36408477283392798</v>
      </c>
      <c r="I3591">
        <v>0.41660587230041002</v>
      </c>
      <c r="J3591">
        <v>0.447957096432195</v>
      </c>
      <c r="K3591">
        <v>0.45542613916813202</v>
      </c>
      <c r="L3591">
        <v>709.69997113711997</v>
      </c>
      <c r="M3591">
        <v>14.212417605581599</v>
      </c>
      <c r="N3591">
        <v>56.2308453534243</v>
      </c>
      <c r="O3591">
        <v>48.977796817683497</v>
      </c>
      <c r="P3591">
        <v>-4.3665860449610502E-2</v>
      </c>
      <c r="Q3591">
        <v>0.39816267842015401</v>
      </c>
      <c r="R3591">
        <v>0.96547300168887396</v>
      </c>
      <c r="S3591" t="s">
        <v>10397</v>
      </c>
      <c r="T3591" t="s">
        <v>13610</v>
      </c>
      <c r="U3591" t="s">
        <v>13610</v>
      </c>
      <c r="V3591" t="s">
        <v>13610</v>
      </c>
      <c r="W3591" t="s">
        <v>17145</v>
      </c>
      <c r="X3591">
        <v>12</v>
      </c>
      <c r="Y3591" t="s">
        <v>23753</v>
      </c>
      <c r="Z3591" t="s">
        <v>30446</v>
      </c>
      <c r="AA3591">
        <v>0.61328552644742163</v>
      </c>
      <c r="AB3591" t="str">
        <f>HYPERLINK("Melting_Curves/meltCurve_Q1MSJ5_1_CSPP1.pdf", "Melting_Curves/meltCurve_Q1MSJ5_1_CSPP1.pdf")</f>
        <v>Melting_Curves/meltCurve_Q1MSJ5_1_CSPP1.pdf</v>
      </c>
    </row>
    <row r="3592" spans="1:28" x14ac:dyDescent="0.25">
      <c r="A3592" t="s">
        <v>3596</v>
      </c>
      <c r="B3592">
        <v>0.995954080203443</v>
      </c>
      <c r="C3592">
        <v>1.02413628051838</v>
      </c>
      <c r="D3592">
        <v>0.93429383261873999</v>
      </c>
      <c r="E3592">
        <v>0.77887951077854201</v>
      </c>
      <c r="F3592">
        <v>0.34942724236492601</v>
      </c>
      <c r="G3592">
        <v>0.17339308145141</v>
      </c>
      <c r="H3592">
        <v>0.10867516920704</v>
      </c>
      <c r="I3592">
        <v>0.107824824765287</v>
      </c>
      <c r="J3592">
        <v>0.10006813899527001</v>
      </c>
      <c r="K3592">
        <v>0.107404636209761</v>
      </c>
      <c r="L3592">
        <v>1683.01713286571</v>
      </c>
      <c r="M3592">
        <v>32.652150411020202</v>
      </c>
      <c r="N3592">
        <v>51.932814026136597</v>
      </c>
      <c r="O3592">
        <v>51.351654331021898</v>
      </c>
      <c r="P3592">
        <v>-0.141720169924726</v>
      </c>
      <c r="Q3592">
        <v>0.10847749217915199</v>
      </c>
      <c r="R3592">
        <v>0.99706382740223998</v>
      </c>
      <c r="S3592" t="s">
        <v>10398</v>
      </c>
      <c r="T3592" t="s">
        <v>13610</v>
      </c>
      <c r="U3592" t="s">
        <v>13610</v>
      </c>
      <c r="V3592" t="s">
        <v>13610</v>
      </c>
      <c r="W3592" t="s">
        <v>17146</v>
      </c>
      <c r="X3592">
        <v>20</v>
      </c>
      <c r="Y3592" t="s">
        <v>23754</v>
      </c>
      <c r="Z3592" t="s">
        <v>30447</v>
      </c>
      <c r="AA3592">
        <v>0.45630509555649101</v>
      </c>
      <c r="AB3592" t="str">
        <f>HYPERLINK("Melting_Curves/meltCurve_Q27J81_2_INF2.pdf", "Melting_Curves/meltCurve_Q27J81_2_INF2.pdf")</f>
        <v>Melting_Curves/meltCurve_Q27J81_2_INF2.pdf</v>
      </c>
    </row>
    <row r="3593" spans="1:28" x14ac:dyDescent="0.25">
      <c r="A3593" t="s">
        <v>3597</v>
      </c>
      <c r="B3593">
        <v>0.995954080203443</v>
      </c>
      <c r="C3593">
        <v>0.76789220303053396</v>
      </c>
      <c r="D3593">
        <v>0.35501878175228602</v>
      </c>
      <c r="E3593">
        <v>0.26581843526430099</v>
      </c>
      <c r="F3593">
        <v>0.18285699889586601</v>
      </c>
      <c r="G3593">
        <v>0.135296039280832</v>
      </c>
      <c r="H3593">
        <v>0.124286516714975</v>
      </c>
      <c r="I3593">
        <v>0.144152276541544</v>
      </c>
      <c r="J3593">
        <v>0.17241354115882601</v>
      </c>
      <c r="K3593">
        <v>0.16625010421594699</v>
      </c>
      <c r="L3593">
        <v>1286.85541428178</v>
      </c>
      <c r="M3593">
        <v>29.044284664244199</v>
      </c>
      <c r="N3593">
        <v>44.913281873102598</v>
      </c>
      <c r="O3593">
        <v>44.098210501016403</v>
      </c>
      <c r="P3593">
        <v>-0.13794329787710499</v>
      </c>
      <c r="Q3593">
        <v>0.162243601741934</v>
      </c>
      <c r="R3593">
        <v>0.98817368658489302</v>
      </c>
      <c r="S3593" t="s">
        <v>10399</v>
      </c>
      <c r="T3593" t="s">
        <v>13610</v>
      </c>
      <c r="U3593" t="s">
        <v>13610</v>
      </c>
      <c r="V3593" t="s">
        <v>13610</v>
      </c>
      <c r="W3593" t="s">
        <v>17147</v>
      </c>
      <c r="X3593">
        <v>59</v>
      </c>
      <c r="Y3593" t="s">
        <v>23755</v>
      </c>
      <c r="Z3593" t="s">
        <v>30448</v>
      </c>
      <c r="AA3593">
        <v>0.28881689801918331</v>
      </c>
      <c r="AB3593" t="str">
        <f>HYPERLINK("Melting_Curves/meltCurve_Q29RF7_PDS5A.pdf", "Melting_Curves/meltCurve_Q29RF7_PDS5A.pdf")</f>
        <v>Melting_Curves/meltCurve_Q29RF7_PDS5A.pdf</v>
      </c>
    </row>
    <row r="3594" spans="1:28" x14ac:dyDescent="0.25">
      <c r="A3594" t="s">
        <v>3598</v>
      </c>
      <c r="B3594">
        <v>0.995954080203443</v>
      </c>
      <c r="C3594">
        <v>1.0465811389444899</v>
      </c>
      <c r="D3594">
        <v>1.02710234561104</v>
      </c>
      <c r="E3594">
        <v>0.96156469351987395</v>
      </c>
      <c r="F3594">
        <v>0.93426706026620698</v>
      </c>
      <c r="G3594">
        <v>0.74290972270742195</v>
      </c>
      <c r="H3594">
        <v>0.65682051749128101</v>
      </c>
      <c r="I3594">
        <v>0.72209297012902396</v>
      </c>
      <c r="J3594">
        <v>0.738970798822843</v>
      </c>
      <c r="K3594">
        <v>0.84172098317424004</v>
      </c>
      <c r="L3594">
        <v>3368.1434086008298</v>
      </c>
      <c r="M3594">
        <v>62.5093453767483</v>
      </c>
      <c r="O3594">
        <v>53.827173270476003</v>
      </c>
      <c r="P3594">
        <v>-7.5798520845707706E-2</v>
      </c>
      <c r="Q3594">
        <v>0.73891784471493205</v>
      </c>
      <c r="R3594">
        <v>0.88203309072214997</v>
      </c>
      <c r="S3594" t="s">
        <v>10400</v>
      </c>
      <c r="T3594" t="s">
        <v>13610</v>
      </c>
      <c r="U3594" t="s">
        <v>13610</v>
      </c>
      <c r="V3594" t="s">
        <v>13610</v>
      </c>
      <c r="W3594" t="s">
        <v>17148</v>
      </c>
      <c r="X3594">
        <v>15</v>
      </c>
      <c r="Y3594" t="s">
        <v>23756</v>
      </c>
      <c r="Z3594" t="s">
        <v>30449</v>
      </c>
      <c r="AA3594">
        <v>0.86012754155635485</v>
      </c>
      <c r="AB3594" t="str">
        <f>HYPERLINK("Melting_Curves/meltCurve_Q2KHR3_QSER1.pdf", "Melting_Curves/meltCurve_Q2KHR3_QSER1.pdf")</f>
        <v>Melting_Curves/meltCurve_Q2KHR3_QSER1.pdf</v>
      </c>
    </row>
    <row r="3595" spans="1:28" x14ac:dyDescent="0.25">
      <c r="A3595" t="s">
        <v>3599</v>
      </c>
      <c r="B3595">
        <v>0.995954080203443</v>
      </c>
      <c r="C3595">
        <v>0.84580032182656395</v>
      </c>
      <c r="D3595">
        <v>0.671795018713223</v>
      </c>
      <c r="E3595">
        <v>0.90859882029059702</v>
      </c>
      <c r="F3595">
        <v>0.70032605246706403</v>
      </c>
      <c r="G3595">
        <v>0.57864816953854203</v>
      </c>
      <c r="H3595">
        <v>0.26361274348376201</v>
      </c>
      <c r="I3595">
        <v>0.22361798412848799</v>
      </c>
      <c r="J3595">
        <v>8.1249398100258205E-2</v>
      </c>
      <c r="K3595">
        <v>0.24619020400848499</v>
      </c>
      <c r="L3595">
        <v>518.81883898192996</v>
      </c>
      <c r="M3595">
        <v>9.1506220456654503</v>
      </c>
      <c r="N3595">
        <v>56.697674638654497</v>
      </c>
      <c r="O3595">
        <v>54.186816435167501</v>
      </c>
      <c r="P3595">
        <v>-4.2246730064478502E-2</v>
      </c>
      <c r="Q3595">
        <v>0</v>
      </c>
      <c r="R3595">
        <v>0.87463768216471105</v>
      </c>
      <c r="S3595" t="s">
        <v>10401</v>
      </c>
      <c r="T3595" t="s">
        <v>13610</v>
      </c>
      <c r="U3595" t="s">
        <v>13610</v>
      </c>
      <c r="V3595" t="s">
        <v>13610</v>
      </c>
      <c r="W3595" t="s">
        <v>17149</v>
      </c>
      <c r="X3595">
        <v>14</v>
      </c>
      <c r="Y3595" t="s">
        <v>23757</v>
      </c>
      <c r="Z3595" t="s">
        <v>30450</v>
      </c>
      <c r="AA3595">
        <v>0.57316118883303246</v>
      </c>
      <c r="AB3595" t="str">
        <f>HYPERLINK("Melting_Curves/meltCurve_Q2KHT3_CLEC16A.pdf", "Melting_Curves/meltCurve_Q2KHT3_CLEC16A.pdf")</f>
        <v>Melting_Curves/meltCurve_Q2KHT3_CLEC16A.pdf</v>
      </c>
    </row>
    <row r="3596" spans="1:28" x14ac:dyDescent="0.25">
      <c r="A3596" t="s">
        <v>3600</v>
      </c>
      <c r="B3596">
        <v>0.995954080203443</v>
      </c>
      <c r="C3596">
        <v>0.71808730619639005</v>
      </c>
      <c r="D3596">
        <v>0.64973307323825102</v>
      </c>
      <c r="E3596">
        <v>0.67353926925649099</v>
      </c>
      <c r="F3596">
        <v>0.47509387223733401</v>
      </c>
      <c r="G3596">
        <v>0.28365640514496898</v>
      </c>
      <c r="H3596">
        <v>0.20172271487704799</v>
      </c>
      <c r="I3596">
        <v>0.207277414482681</v>
      </c>
      <c r="J3596">
        <v>0.22982343600712399</v>
      </c>
      <c r="K3596">
        <v>0.25738479619767701</v>
      </c>
      <c r="L3596">
        <v>436.22202077253701</v>
      </c>
      <c r="M3596">
        <v>8.8104703310196903</v>
      </c>
      <c r="N3596">
        <v>51.318765181364199</v>
      </c>
      <c r="O3596">
        <v>47.159940201479898</v>
      </c>
      <c r="P3596">
        <v>-4.0508541885382297E-2</v>
      </c>
      <c r="Q3596">
        <v>0.133359530442728</v>
      </c>
      <c r="R3596">
        <v>0.92394957365485797</v>
      </c>
      <c r="S3596" t="s">
        <v>10402</v>
      </c>
      <c r="T3596" t="s">
        <v>13610</v>
      </c>
      <c r="U3596" t="s">
        <v>13610</v>
      </c>
      <c r="V3596" t="s">
        <v>13610</v>
      </c>
      <c r="W3596" t="s">
        <v>17150</v>
      </c>
      <c r="X3596">
        <v>2</v>
      </c>
      <c r="Y3596" t="s">
        <v>23758</v>
      </c>
      <c r="Z3596" t="s">
        <v>30451</v>
      </c>
      <c r="AA3596">
        <v>0.45645420443703999</v>
      </c>
      <c r="AB3596" t="str">
        <f>HYPERLINK("Melting_Curves/meltCurve_Q2M1P5_KIF7.pdf", "Melting_Curves/meltCurve_Q2M1P5_KIF7.pdf")</f>
        <v>Melting_Curves/meltCurve_Q2M1P5_KIF7.pdf</v>
      </c>
    </row>
    <row r="3597" spans="1:28" x14ac:dyDescent="0.25">
      <c r="A3597" t="s">
        <v>3601</v>
      </c>
      <c r="B3597">
        <v>0.995954080203443</v>
      </c>
      <c r="C3597">
        <v>1.0827011301110201</v>
      </c>
      <c r="D3597">
        <v>1.1167624494705299</v>
      </c>
      <c r="E3597">
        <v>0.86248465296938204</v>
      </c>
      <c r="F3597">
        <v>0.69147066065813201</v>
      </c>
      <c r="G3597">
        <v>0.35291894193012302</v>
      </c>
      <c r="H3597">
        <v>0.14795476097459101</v>
      </c>
      <c r="I3597">
        <v>0.12193468394123801</v>
      </c>
      <c r="J3597">
        <v>0.135827107801126</v>
      </c>
      <c r="K3597">
        <v>0.115869581117339</v>
      </c>
      <c r="L3597">
        <v>1295.2454795830599</v>
      </c>
      <c r="M3597">
        <v>23.806019588679298</v>
      </c>
      <c r="N3597">
        <v>54.971748266839398</v>
      </c>
      <c r="O3597">
        <v>54.028756604713699</v>
      </c>
      <c r="P3597">
        <v>-9.8231156713537104E-2</v>
      </c>
      <c r="Q3597">
        <v>0.108255693057977</v>
      </c>
      <c r="R3597">
        <v>0.98408529340349704</v>
      </c>
      <c r="S3597" t="s">
        <v>10403</v>
      </c>
      <c r="T3597" t="s">
        <v>13610</v>
      </c>
      <c r="U3597" t="s">
        <v>13610</v>
      </c>
      <c r="V3597" t="s">
        <v>13610</v>
      </c>
      <c r="W3597" t="s">
        <v>17151</v>
      </c>
      <c r="X3597">
        <v>8</v>
      </c>
      <c r="Y3597" t="s">
        <v>23759</v>
      </c>
      <c r="Z3597" t="s">
        <v>30452</v>
      </c>
      <c r="AA3597">
        <v>0.54554635930153939</v>
      </c>
      <c r="AB3597" t="str">
        <f>HYPERLINK("Melting_Curves/meltCurve_Q2M296_2_MTHFSD.pdf", "Melting_Curves/meltCurve_Q2M296_2_MTHFSD.pdf")</f>
        <v>Melting_Curves/meltCurve_Q2M296_2_MTHFSD.pdf</v>
      </c>
    </row>
    <row r="3598" spans="1:28" x14ac:dyDescent="0.25">
      <c r="A3598" t="s">
        <v>3602</v>
      </c>
      <c r="B3598">
        <v>0.995954080203443</v>
      </c>
      <c r="C3598">
        <v>0.88191990178426505</v>
      </c>
      <c r="D3598">
        <v>1.09639653517941</v>
      </c>
      <c r="E3598">
        <v>0.72211406190523497</v>
      </c>
      <c r="F3598">
        <v>0.77670158619860996</v>
      </c>
      <c r="G3598">
        <v>0.46862571543265302</v>
      </c>
      <c r="H3598">
        <v>0.24689014672123799</v>
      </c>
      <c r="I3598">
        <v>0.220735456522376</v>
      </c>
      <c r="J3598">
        <v>0.24627196068288501</v>
      </c>
      <c r="K3598">
        <v>0.23357285206227299</v>
      </c>
      <c r="L3598">
        <v>922.00066450176701</v>
      </c>
      <c r="M3598">
        <v>16.891463257251001</v>
      </c>
      <c r="N3598">
        <v>56.131058751177399</v>
      </c>
      <c r="O3598">
        <v>53.836018293982796</v>
      </c>
      <c r="P3598">
        <v>-6.3844086609821799E-2</v>
      </c>
      <c r="Q3598">
        <v>0.18612305500494999</v>
      </c>
      <c r="R3598">
        <v>0.94419219126617304</v>
      </c>
      <c r="S3598" t="s">
        <v>10404</v>
      </c>
      <c r="T3598" t="s">
        <v>13610</v>
      </c>
      <c r="U3598" t="s">
        <v>13610</v>
      </c>
      <c r="V3598" t="s">
        <v>13610</v>
      </c>
      <c r="W3598" t="s">
        <v>17152</v>
      </c>
      <c r="X3598">
        <v>8</v>
      </c>
      <c r="Y3598" t="s">
        <v>23759</v>
      </c>
      <c r="Z3598" t="s">
        <v>30453</v>
      </c>
      <c r="AA3598">
        <v>0.59571678456743815</v>
      </c>
      <c r="AB3598" t="str">
        <f>HYPERLINK("Melting_Curves/meltCurve_Q2M296_4_MTHFSD.pdf", "Melting_Curves/meltCurve_Q2M296_4_MTHFSD.pdf")</f>
        <v>Melting_Curves/meltCurve_Q2M296_4_MTHFSD.pdf</v>
      </c>
    </row>
    <row r="3599" spans="1:28" x14ac:dyDescent="0.25">
      <c r="A3599" t="s">
        <v>3603</v>
      </c>
      <c r="B3599">
        <v>0.995954080203443</v>
      </c>
      <c r="C3599">
        <v>1.02659807154309</v>
      </c>
      <c r="D3599">
        <v>0.971661830936283</v>
      </c>
      <c r="E3599">
        <v>0.63348219033056796</v>
      </c>
      <c r="F3599">
        <v>0.39175976729234502</v>
      </c>
      <c r="G3599">
        <v>0.28433325842282597</v>
      </c>
      <c r="H3599">
        <v>0.23953494330040001</v>
      </c>
      <c r="I3599">
        <v>0.27991682028315701</v>
      </c>
      <c r="J3599">
        <v>0.29021382235989701</v>
      </c>
      <c r="K3599">
        <v>0.31195884878546798</v>
      </c>
      <c r="L3599">
        <v>1653.3363553392201</v>
      </c>
      <c r="M3599">
        <v>33.056761820207299</v>
      </c>
      <c r="N3599">
        <v>51.289686514986698</v>
      </c>
      <c r="O3599">
        <v>49.833085949240697</v>
      </c>
      <c r="P3599">
        <v>-0.11938446216238199</v>
      </c>
      <c r="Q3599">
        <v>0.28011438989130599</v>
      </c>
      <c r="R3599">
        <v>0.99574613799786604</v>
      </c>
      <c r="S3599" t="s">
        <v>10405</v>
      </c>
      <c r="T3599" t="s">
        <v>13610</v>
      </c>
      <c r="U3599" t="s">
        <v>13610</v>
      </c>
      <c r="V3599" t="s">
        <v>13610</v>
      </c>
      <c r="W3599" t="s">
        <v>17153</v>
      </c>
      <c r="X3599">
        <v>23</v>
      </c>
      <c r="Y3599" t="s">
        <v>23760</v>
      </c>
      <c r="Z3599" t="s">
        <v>30454</v>
      </c>
      <c r="AA3599">
        <v>0.52409771769809677</v>
      </c>
      <c r="AB3599" t="str">
        <f>HYPERLINK("Melting_Curves/meltCurve_Q2M2I8_AAK1.pdf", "Melting_Curves/meltCurve_Q2M2I8_AAK1.pdf")</f>
        <v>Melting_Curves/meltCurve_Q2M2I8_AAK1.pdf</v>
      </c>
    </row>
    <row r="3600" spans="1:28" x14ac:dyDescent="0.25">
      <c r="A3600" t="s">
        <v>3604</v>
      </c>
      <c r="B3600">
        <v>0.995954080203443</v>
      </c>
      <c r="C3600">
        <v>0.97906500787801998</v>
      </c>
      <c r="D3600">
        <v>1.0388591666278799</v>
      </c>
      <c r="E3600">
        <v>0.87049983330857394</v>
      </c>
      <c r="F3600">
        <v>0.86410531331974605</v>
      </c>
      <c r="G3600">
        <v>0.67150839949966801</v>
      </c>
      <c r="H3600">
        <v>0.609113992972667</v>
      </c>
      <c r="I3600">
        <v>0.77683105663565799</v>
      </c>
      <c r="J3600">
        <v>0.82103768525049203</v>
      </c>
      <c r="K3600">
        <v>0.88803741428805105</v>
      </c>
      <c r="L3600">
        <v>1650.8482807595699</v>
      </c>
      <c r="M3600">
        <v>32.626746347230501</v>
      </c>
      <c r="O3600">
        <v>50.409063488566403</v>
      </c>
      <c r="P3600">
        <v>-3.8857852172670897E-2</v>
      </c>
      <c r="Q3600">
        <v>0.75985608573807994</v>
      </c>
      <c r="R3600">
        <v>0.65261965117615095</v>
      </c>
      <c r="S3600" t="s">
        <v>10406</v>
      </c>
      <c r="T3600" t="s">
        <v>13610</v>
      </c>
      <c r="U3600" t="s">
        <v>13610</v>
      </c>
      <c r="V3600" t="s">
        <v>13610</v>
      </c>
      <c r="W3600" t="s">
        <v>17154</v>
      </c>
      <c r="X3600">
        <v>8</v>
      </c>
      <c r="Y3600" t="s">
        <v>23761</v>
      </c>
      <c r="Z3600" t="s">
        <v>30455</v>
      </c>
      <c r="AA3600">
        <v>0.84595768226937385</v>
      </c>
      <c r="AB3600" t="str">
        <f>HYPERLINK("Melting_Curves/meltCurve_Q2M2Z5_5_PLK1S1.pdf", "Melting_Curves/meltCurve_Q2M2Z5_5_PLK1S1.pdf")</f>
        <v>Melting_Curves/meltCurve_Q2M2Z5_5_PLK1S1.pdf</v>
      </c>
    </row>
    <row r="3601" spans="1:28" x14ac:dyDescent="0.25">
      <c r="A3601" t="s">
        <v>3605</v>
      </c>
      <c r="B3601">
        <v>0.995954080203443</v>
      </c>
      <c r="C3601">
        <v>0.78736720590405396</v>
      </c>
      <c r="D3601">
        <v>0.59350156524110897</v>
      </c>
      <c r="E3601">
        <v>0.41030920208844301</v>
      </c>
      <c r="F3601">
        <v>0.14525837122572999</v>
      </c>
      <c r="G3601">
        <v>9.0140496683290994E-2</v>
      </c>
      <c r="H3601">
        <v>6.2400490843829801E-2</v>
      </c>
      <c r="I3601">
        <v>5.7028017311726499E-2</v>
      </c>
      <c r="J3601">
        <v>6.8310420163518903E-2</v>
      </c>
      <c r="K3601">
        <v>6.1062647658088803E-2</v>
      </c>
      <c r="L3601">
        <v>701.88950889318005</v>
      </c>
      <c r="M3601">
        <v>14.854040447475599</v>
      </c>
      <c r="N3601">
        <v>47.512095162062998</v>
      </c>
      <c r="O3601">
        <v>46.420821697855096</v>
      </c>
      <c r="P3601">
        <v>-7.6885921061142504E-2</v>
      </c>
      <c r="Q3601">
        <v>3.8986807606026297E-2</v>
      </c>
      <c r="R3601">
        <v>0.98653038672011195</v>
      </c>
      <c r="S3601" t="s">
        <v>10407</v>
      </c>
      <c r="T3601" t="s">
        <v>13610</v>
      </c>
      <c r="U3601" t="s">
        <v>13610</v>
      </c>
      <c r="V3601" t="s">
        <v>13610</v>
      </c>
      <c r="W3601" t="s">
        <v>17155</v>
      </c>
      <c r="X3601">
        <v>23</v>
      </c>
      <c r="Y3601" t="s">
        <v>23762</v>
      </c>
      <c r="Z3601" t="s">
        <v>30456</v>
      </c>
      <c r="AA3601">
        <v>0.29754342469573009</v>
      </c>
      <c r="AB3601" t="str">
        <f>HYPERLINK("Melting_Curves/meltCurve_Q2M389_KIAA1033.pdf", "Melting_Curves/meltCurve_Q2M389_KIAA1033.pdf")</f>
        <v>Melting_Curves/meltCurve_Q2M389_KIAA1033.pdf</v>
      </c>
    </row>
    <row r="3602" spans="1:28" x14ac:dyDescent="0.25">
      <c r="A3602" t="s">
        <v>3606</v>
      </c>
      <c r="B3602">
        <v>0.995954080203443</v>
      </c>
      <c r="C3602">
        <v>0.95540137408129899</v>
      </c>
      <c r="D3602">
        <v>0.91185437805491598</v>
      </c>
      <c r="E3602">
        <v>0.77738477311402399</v>
      </c>
      <c r="F3602">
        <v>0.73661845350394095</v>
      </c>
      <c r="G3602">
        <v>0.50369722379667003</v>
      </c>
      <c r="H3602">
        <v>0.44378411089264902</v>
      </c>
      <c r="I3602">
        <v>0.48569724750271198</v>
      </c>
      <c r="J3602">
        <v>0.57455581988675097</v>
      </c>
      <c r="K3602">
        <v>0.54455513556396495</v>
      </c>
      <c r="L3602">
        <v>910.042661911339</v>
      </c>
      <c r="M3602">
        <v>17.877820663302199</v>
      </c>
      <c r="O3602">
        <v>50.279377864863399</v>
      </c>
      <c r="P3602">
        <v>-4.4617940019632901E-2</v>
      </c>
      <c r="Q3602">
        <v>0.49809363388889399</v>
      </c>
      <c r="R3602">
        <v>0.93977658576840295</v>
      </c>
      <c r="S3602" t="s">
        <v>10408</v>
      </c>
      <c r="T3602" t="s">
        <v>13610</v>
      </c>
      <c r="U3602" t="s">
        <v>13610</v>
      </c>
      <c r="V3602" t="s">
        <v>13610</v>
      </c>
      <c r="W3602" t="s">
        <v>17156</v>
      </c>
      <c r="X3602">
        <v>14</v>
      </c>
      <c r="Y3602" t="s">
        <v>23763</v>
      </c>
      <c r="Z3602" t="s">
        <v>30457</v>
      </c>
      <c r="AA3602">
        <v>0.68908194602246731</v>
      </c>
      <c r="AB3602" t="str">
        <f>HYPERLINK("Melting_Curves/meltCurve_Q2M3G4_2_SHROOM1.pdf", "Melting_Curves/meltCurve_Q2M3G4_2_SHROOM1.pdf")</f>
        <v>Melting_Curves/meltCurve_Q2M3G4_2_SHROOM1.pdf</v>
      </c>
    </row>
    <row r="3603" spans="1:28" x14ac:dyDescent="0.25">
      <c r="A3603" t="s">
        <v>3607</v>
      </c>
      <c r="B3603">
        <v>0.995954080203443</v>
      </c>
      <c r="C3603">
        <v>0.92283822348639699</v>
      </c>
      <c r="D3603">
        <v>0.95012437419985396</v>
      </c>
      <c r="E3603">
        <v>0.75237190665829401</v>
      </c>
      <c r="F3603">
        <v>0.785443736968505</v>
      </c>
      <c r="G3603">
        <v>0.62481587308634301</v>
      </c>
      <c r="H3603">
        <v>0.61100522532092405</v>
      </c>
      <c r="I3603">
        <v>0.91571668406321605</v>
      </c>
      <c r="J3603">
        <v>1.0251805891708701</v>
      </c>
      <c r="K3603">
        <v>1.0353635115723001</v>
      </c>
      <c r="L3603">
        <v>11543.6095050943</v>
      </c>
      <c r="M3603">
        <v>250</v>
      </c>
      <c r="O3603">
        <v>46.171479156233502</v>
      </c>
      <c r="P3603">
        <v>-0.24174292149721699</v>
      </c>
      <c r="Q3603">
        <v>0.82141393251479</v>
      </c>
      <c r="R3603">
        <v>0.15466185714969799</v>
      </c>
      <c r="S3603" t="s">
        <v>10409</v>
      </c>
      <c r="T3603" t="s">
        <v>13610</v>
      </c>
      <c r="U3603" t="s">
        <v>13610</v>
      </c>
      <c r="V3603" t="s">
        <v>13610</v>
      </c>
      <c r="W3603" t="s">
        <v>17157</v>
      </c>
      <c r="X3603">
        <v>2</v>
      </c>
      <c r="Y3603" t="s">
        <v>23764</v>
      </c>
      <c r="Z3603" t="s">
        <v>30458</v>
      </c>
      <c r="AA3603">
        <v>0.85818402447813547</v>
      </c>
      <c r="AB3603" t="str">
        <f>HYPERLINK("Melting_Curves/meltCurve_Q2NKX9_C2orf68.pdf", "Melting_Curves/meltCurve_Q2NKX9_C2orf68.pdf")</f>
        <v>Melting_Curves/meltCurve_Q2NKX9_C2orf68.pdf</v>
      </c>
    </row>
    <row r="3604" spans="1:28" x14ac:dyDescent="0.25">
      <c r="A3604" t="s">
        <v>3608</v>
      </c>
      <c r="B3604">
        <v>0.995954080203443</v>
      </c>
      <c r="C3604">
        <v>0.89957507007440796</v>
      </c>
      <c r="D3604">
        <v>0.73302380154396096</v>
      </c>
      <c r="E3604">
        <v>0.28186975607859099</v>
      </c>
      <c r="F3604">
        <v>0.115155602625234</v>
      </c>
      <c r="G3604">
        <v>7.4073778953979097E-2</v>
      </c>
      <c r="H3604">
        <v>4.9367602505249401E-2</v>
      </c>
      <c r="I3604">
        <v>4.5451885352876198E-2</v>
      </c>
      <c r="J3604">
        <v>4.6804963658500599E-2</v>
      </c>
      <c r="K3604">
        <v>4.6947821074215801E-2</v>
      </c>
      <c r="L3604">
        <v>1116.7604170662901</v>
      </c>
      <c r="M3604">
        <v>23.419417730822499</v>
      </c>
      <c r="N3604">
        <v>47.8744264932158</v>
      </c>
      <c r="O3604">
        <v>47.341628039018801</v>
      </c>
      <c r="P3604">
        <v>-0.11820841916847299</v>
      </c>
      <c r="Q3604">
        <v>4.4197906996899003E-2</v>
      </c>
      <c r="R3604">
        <v>0.99864305610548698</v>
      </c>
      <c r="S3604" t="s">
        <v>10410</v>
      </c>
      <c r="T3604" t="s">
        <v>13610</v>
      </c>
      <c r="U3604" t="s">
        <v>13610</v>
      </c>
      <c r="V3604" t="s">
        <v>13610</v>
      </c>
      <c r="W3604" t="s">
        <v>17158</v>
      </c>
      <c r="X3604">
        <v>23</v>
      </c>
      <c r="Y3604" t="s">
        <v>23765</v>
      </c>
      <c r="Z3604" t="s">
        <v>30459</v>
      </c>
      <c r="AA3604">
        <v>0.29878625082751259</v>
      </c>
      <c r="AB3604" t="str">
        <f>HYPERLINK("Melting_Curves/meltCurve_Q2NL82_TSR1.pdf", "Melting_Curves/meltCurve_Q2NL82_TSR1.pdf")</f>
        <v>Melting_Curves/meltCurve_Q2NL82_TSR1.pdf</v>
      </c>
    </row>
    <row r="3605" spans="1:28" x14ac:dyDescent="0.25">
      <c r="A3605" t="s">
        <v>3609</v>
      </c>
      <c r="B3605">
        <v>0.995954080203443</v>
      </c>
      <c r="C3605">
        <v>0.84987732674996797</v>
      </c>
      <c r="D3605">
        <v>0.86661140239988199</v>
      </c>
      <c r="E3605">
        <v>0.73053115224794496</v>
      </c>
      <c r="F3605">
        <v>0.71918832847784298</v>
      </c>
      <c r="G3605">
        <v>0.43595143074662002</v>
      </c>
      <c r="H3605">
        <v>0.36640742529699</v>
      </c>
      <c r="I3605">
        <v>0.43860679370371702</v>
      </c>
      <c r="J3605">
        <v>0.52739557036008999</v>
      </c>
      <c r="K3605">
        <v>0.49024100268739801</v>
      </c>
      <c r="L3605">
        <v>639.798718868435</v>
      </c>
      <c r="M3605">
        <v>12.763016770099499</v>
      </c>
      <c r="N3605">
        <v>58.848181273766897</v>
      </c>
      <c r="O3605">
        <v>48.946272437905698</v>
      </c>
      <c r="P3605">
        <v>-3.75207818994494E-2</v>
      </c>
      <c r="Q3605">
        <v>0.42453919923417799</v>
      </c>
      <c r="R3605">
        <v>0.88498747988931004</v>
      </c>
      <c r="S3605" t="s">
        <v>10411</v>
      </c>
      <c r="T3605" t="s">
        <v>13610</v>
      </c>
      <c r="U3605" t="s">
        <v>13610</v>
      </c>
      <c r="V3605" t="s">
        <v>13610</v>
      </c>
      <c r="W3605" t="s">
        <v>17159</v>
      </c>
      <c r="X3605">
        <v>4</v>
      </c>
      <c r="Y3605" t="s">
        <v>23766</v>
      </c>
      <c r="Z3605" t="s">
        <v>30460</v>
      </c>
      <c r="AA3605">
        <v>0.6367742690127608</v>
      </c>
      <c r="AB3605" t="str">
        <f>HYPERLINK("Melting_Curves/meltCurve_Q2NL98_VMAC.pdf", "Melting_Curves/meltCurve_Q2NL98_VMAC.pdf")</f>
        <v>Melting_Curves/meltCurve_Q2NL98_VMAC.pdf</v>
      </c>
    </row>
    <row r="3606" spans="1:28" x14ac:dyDescent="0.25">
      <c r="A3606" t="s">
        <v>3610</v>
      </c>
      <c r="B3606">
        <v>0.995954080203443</v>
      </c>
      <c r="C3606">
        <v>0.77261385856243803</v>
      </c>
      <c r="D3606">
        <v>0.50890157660425706</v>
      </c>
      <c r="E3606">
        <v>0.36201394127057401</v>
      </c>
      <c r="F3606">
        <v>0.22469580076503301</v>
      </c>
      <c r="G3606">
        <v>0.14288657332381799</v>
      </c>
      <c r="H3606">
        <v>9.2464791462349802E-2</v>
      </c>
      <c r="I3606">
        <v>9.0685096860698894E-2</v>
      </c>
      <c r="J3606">
        <v>7.3835502430800601E-2</v>
      </c>
      <c r="K3606">
        <v>6.9211088824640596E-2</v>
      </c>
      <c r="L3606">
        <v>660.71722023792904</v>
      </c>
      <c r="M3606">
        <v>14.218311682640801</v>
      </c>
      <c r="N3606">
        <v>46.981250138297199</v>
      </c>
      <c r="O3606">
        <v>45.5792136798323</v>
      </c>
      <c r="P3606">
        <v>-7.2400711466148293E-2</v>
      </c>
      <c r="Q3606">
        <v>7.1744507929604101E-2</v>
      </c>
      <c r="R3606">
        <v>0.98697528832870096</v>
      </c>
      <c r="S3606" t="s">
        <v>10412</v>
      </c>
      <c r="T3606" t="s">
        <v>13610</v>
      </c>
      <c r="U3606" t="s">
        <v>13610</v>
      </c>
      <c r="V3606" t="s">
        <v>13610</v>
      </c>
      <c r="W3606" t="s">
        <v>17160</v>
      </c>
      <c r="X3606">
        <v>6</v>
      </c>
      <c r="Y3606" t="s">
        <v>23767</v>
      </c>
      <c r="Z3606" t="s">
        <v>30461</v>
      </c>
      <c r="AA3606">
        <v>0.3011104183225265</v>
      </c>
      <c r="AB3606" t="str">
        <f>HYPERLINK("Melting_Curves/meltCurve_Q2PPJ7_3_RALGAPA2.pdf", "Melting_Curves/meltCurve_Q2PPJ7_3_RALGAPA2.pdf")</f>
        <v>Melting_Curves/meltCurve_Q2PPJ7_3_RALGAPA2.pdf</v>
      </c>
    </row>
    <row r="3607" spans="1:28" x14ac:dyDescent="0.25">
      <c r="A3607" t="s">
        <v>3611</v>
      </c>
      <c r="B3607">
        <v>0.995954080203443</v>
      </c>
      <c r="C3607">
        <v>0.65600535473439403</v>
      </c>
      <c r="D3607">
        <v>0.95270103362074399</v>
      </c>
      <c r="E3607">
        <v>0.576661024218731</v>
      </c>
      <c r="F3607">
        <v>0.66519712723610602</v>
      </c>
      <c r="G3607">
        <v>0.59805700210968105</v>
      </c>
      <c r="H3607">
        <v>0.47956335485430401</v>
      </c>
      <c r="I3607">
        <v>0.56597294566780798</v>
      </c>
      <c r="J3607">
        <v>0.525848076356494</v>
      </c>
      <c r="K3607">
        <v>0.45938771426684999</v>
      </c>
      <c r="L3607">
        <v>374.59172756689702</v>
      </c>
      <c r="M3607">
        <v>7.76974984851649</v>
      </c>
      <c r="N3607">
        <v>67.669047862010004</v>
      </c>
      <c r="O3607">
        <v>45.330342402905401</v>
      </c>
      <c r="P3607">
        <v>-2.3749661123544801E-2</v>
      </c>
      <c r="Q3607">
        <v>0.44645615641749498</v>
      </c>
      <c r="R3607">
        <v>0.684348883022461</v>
      </c>
      <c r="S3607" t="s">
        <v>10413</v>
      </c>
      <c r="T3607" t="s">
        <v>13610</v>
      </c>
      <c r="U3607" t="s">
        <v>13610</v>
      </c>
      <c r="V3607" t="s">
        <v>13610</v>
      </c>
      <c r="W3607" t="s">
        <v>17161</v>
      </c>
      <c r="X3607">
        <v>2</v>
      </c>
      <c r="Y3607" t="s">
        <v>23768</v>
      </c>
      <c r="Z3607" t="s">
        <v>30462</v>
      </c>
      <c r="AA3607">
        <v>0.63885015134699674</v>
      </c>
      <c r="AB3607" t="str">
        <f>HYPERLINK("Melting_Curves/meltCurve_Q2TAC2_2_CCDC57.pdf", "Melting_Curves/meltCurve_Q2TAC2_2_CCDC57.pdf")</f>
        <v>Melting_Curves/meltCurve_Q2TAC2_2_CCDC57.pdf</v>
      </c>
    </row>
    <row r="3608" spans="1:28" x14ac:dyDescent="0.25">
      <c r="A3608" t="s">
        <v>3612</v>
      </c>
      <c r="B3608">
        <v>0.995954080203443</v>
      </c>
      <c r="C3608">
        <v>1.01309017992368</v>
      </c>
      <c r="D3608">
        <v>0.950871411846408</v>
      </c>
      <c r="E3608">
        <v>0.60225113543197195</v>
      </c>
      <c r="F3608">
        <v>0.59764331046319596</v>
      </c>
      <c r="G3608">
        <v>0.45787719097430901</v>
      </c>
      <c r="H3608">
        <v>0.42358947007562098</v>
      </c>
      <c r="I3608">
        <v>0.51711003664403499</v>
      </c>
      <c r="J3608">
        <v>0.58969544065597801</v>
      </c>
      <c r="K3608">
        <v>0.59396834216764405</v>
      </c>
      <c r="L3608">
        <v>2025.1972610015901</v>
      </c>
      <c r="M3608">
        <v>41.982259047547998</v>
      </c>
      <c r="O3608">
        <v>48.1302923133862</v>
      </c>
      <c r="P3608">
        <v>-0.103289920869695</v>
      </c>
      <c r="Q3608">
        <v>0.52633653172206696</v>
      </c>
      <c r="R3608">
        <v>0.93798370923473096</v>
      </c>
      <c r="S3608" t="s">
        <v>10414</v>
      </c>
      <c r="T3608" t="s">
        <v>13610</v>
      </c>
      <c r="U3608" t="s">
        <v>13610</v>
      </c>
      <c r="V3608" t="s">
        <v>13610</v>
      </c>
      <c r="W3608" t="s">
        <v>17162</v>
      </c>
      <c r="X3608">
        <v>14</v>
      </c>
      <c r="Y3608" t="s">
        <v>23769</v>
      </c>
      <c r="Z3608" t="s">
        <v>30463</v>
      </c>
      <c r="AA3608">
        <v>0.65786100821341953</v>
      </c>
      <c r="AB3608" t="str">
        <f>HYPERLINK("Melting_Curves/meltCurve_Q2TAL8_QRICH1.pdf", "Melting_Curves/meltCurve_Q2TAL8_QRICH1.pdf")</f>
        <v>Melting_Curves/meltCurve_Q2TAL8_QRICH1.pdf</v>
      </c>
    </row>
    <row r="3609" spans="1:28" x14ac:dyDescent="0.25">
      <c r="A3609" t="s">
        <v>3613</v>
      </c>
      <c r="B3609">
        <v>0.995954080203443</v>
      </c>
      <c r="C3609">
        <v>1.0222359507337699</v>
      </c>
      <c r="D3609">
        <v>0.99438598963317804</v>
      </c>
      <c r="E3609">
        <v>0.85022924996421001</v>
      </c>
      <c r="F3609">
        <v>0.397686093920946</v>
      </c>
      <c r="G3609">
        <v>0.129154337413595</v>
      </c>
      <c r="H3609">
        <v>7.8366272593001399E-2</v>
      </c>
      <c r="I3609">
        <v>7.2341592889053494E-2</v>
      </c>
      <c r="J3609">
        <v>8.1681038772101103E-2</v>
      </c>
      <c r="K3609">
        <v>7.0172498155189195E-2</v>
      </c>
      <c r="L3609">
        <v>1955.4463246319899</v>
      </c>
      <c r="M3609">
        <v>37.502212899754802</v>
      </c>
      <c r="N3609">
        <v>52.377140133681699</v>
      </c>
      <c r="O3609">
        <v>51.994562516434698</v>
      </c>
      <c r="P3609">
        <v>-0.16635786666885999</v>
      </c>
      <c r="Q3609">
        <v>7.7421818846118901E-2</v>
      </c>
      <c r="R3609">
        <v>0.99947098575244497</v>
      </c>
      <c r="S3609" t="s">
        <v>10415</v>
      </c>
      <c r="T3609" t="s">
        <v>13610</v>
      </c>
      <c r="U3609" t="s">
        <v>13610</v>
      </c>
      <c r="V3609" t="s">
        <v>13610</v>
      </c>
      <c r="W3609" t="s">
        <v>17163</v>
      </c>
      <c r="X3609">
        <v>25</v>
      </c>
      <c r="Y3609" t="s">
        <v>23770</v>
      </c>
      <c r="Z3609" t="s">
        <v>30464</v>
      </c>
      <c r="AA3609">
        <v>0.4546078851940541</v>
      </c>
      <c r="AB3609" t="str">
        <f>HYPERLINK("Melting_Curves/meltCurve_Q2TAM5_RELA.pdf", "Melting_Curves/meltCurve_Q2TAM5_RELA.pdf")</f>
        <v>Melting_Curves/meltCurve_Q2TAM5_RELA.pdf</v>
      </c>
    </row>
    <row r="3610" spans="1:28" x14ac:dyDescent="0.25">
      <c r="A3610" t="s">
        <v>3614</v>
      </c>
      <c r="B3610">
        <v>0.995954080203443</v>
      </c>
      <c r="C3610">
        <v>0.88819736727562604</v>
      </c>
      <c r="D3610">
        <v>0.67578684066964101</v>
      </c>
      <c r="E3610">
        <v>0.41784485704673702</v>
      </c>
      <c r="F3610">
        <v>0.16801595921165099</v>
      </c>
      <c r="G3610">
        <v>8.3812461439407696E-2</v>
      </c>
      <c r="H3610">
        <v>5.3603671855854698E-2</v>
      </c>
      <c r="I3610">
        <v>5.0079763150339497E-2</v>
      </c>
      <c r="J3610">
        <v>5.56134041630547E-2</v>
      </c>
      <c r="K3610">
        <v>5.2241296443834601E-2</v>
      </c>
      <c r="L3610">
        <v>823.77441777146498</v>
      </c>
      <c r="M3610">
        <v>17.110426852563499</v>
      </c>
      <c r="N3610">
        <v>48.3526912418846</v>
      </c>
      <c r="O3610">
        <v>47.501414329376999</v>
      </c>
      <c r="P3610">
        <v>-8.6860490354964098E-2</v>
      </c>
      <c r="Q3610">
        <v>3.5501352860807203E-2</v>
      </c>
      <c r="R3610">
        <v>0.99583417915277395</v>
      </c>
      <c r="S3610" t="s">
        <v>10416</v>
      </c>
      <c r="T3610" t="s">
        <v>13610</v>
      </c>
      <c r="U3610" t="s">
        <v>13610</v>
      </c>
      <c r="V3610" t="s">
        <v>13610</v>
      </c>
      <c r="W3610" t="s">
        <v>17164</v>
      </c>
      <c r="X3610">
        <v>13</v>
      </c>
      <c r="Y3610" t="s">
        <v>23771</v>
      </c>
      <c r="Z3610" t="s">
        <v>30465</v>
      </c>
      <c r="AA3610">
        <v>0.31626855647665081</v>
      </c>
      <c r="AB3610" t="str">
        <f>HYPERLINK("Melting_Curves/meltCurve_Q2TAY7_SMU1.pdf", "Melting_Curves/meltCurve_Q2TAY7_SMU1.pdf")</f>
        <v>Melting_Curves/meltCurve_Q2TAY7_SMU1.pdf</v>
      </c>
    </row>
    <row r="3611" spans="1:28" x14ac:dyDescent="0.25">
      <c r="A3611" t="s">
        <v>3615</v>
      </c>
      <c r="B3611">
        <v>0.995954080203443</v>
      </c>
      <c r="C3611">
        <v>0.89333321920118602</v>
      </c>
      <c r="D3611">
        <v>0.71217088390104599</v>
      </c>
      <c r="E3611">
        <v>0.77591915820148305</v>
      </c>
      <c r="F3611">
        <v>0.47835064122454202</v>
      </c>
      <c r="G3611">
        <v>0.35037785164906698</v>
      </c>
      <c r="H3611">
        <v>0.19019692293222601</v>
      </c>
      <c r="I3611">
        <v>0.154841387401387</v>
      </c>
      <c r="J3611">
        <v>0.172127954176265</v>
      </c>
      <c r="K3611">
        <v>0.163766561997092</v>
      </c>
      <c r="L3611">
        <v>536.67976302320301</v>
      </c>
      <c r="M3611">
        <v>10.229430587770601</v>
      </c>
      <c r="N3611">
        <v>53.117141853377497</v>
      </c>
      <c r="O3611">
        <v>50.577882574481002</v>
      </c>
      <c r="P3611">
        <v>-4.75970082832574E-2</v>
      </c>
      <c r="Q3611">
        <v>5.9074886119005299E-2</v>
      </c>
      <c r="R3611">
        <v>0.96311915245272495</v>
      </c>
      <c r="S3611" t="s">
        <v>10417</v>
      </c>
      <c r="T3611" t="s">
        <v>13610</v>
      </c>
      <c r="U3611" t="s">
        <v>13610</v>
      </c>
      <c r="V3611" t="s">
        <v>13610</v>
      </c>
      <c r="W3611" t="s">
        <v>17165</v>
      </c>
      <c r="X3611">
        <v>12</v>
      </c>
      <c r="Y3611" t="s">
        <v>23772</v>
      </c>
      <c r="Z3611" t="s">
        <v>30466</v>
      </c>
      <c r="AA3611">
        <v>0.48333520933125751</v>
      </c>
      <c r="AB3611" t="str">
        <f>HYPERLINK("Melting_Curves/meltCurve_Q2TAZ0_ATG2A.pdf", "Melting_Curves/meltCurve_Q2TAZ0_ATG2A.pdf")</f>
        <v>Melting_Curves/meltCurve_Q2TAZ0_ATG2A.pdf</v>
      </c>
    </row>
    <row r="3612" spans="1:28" x14ac:dyDescent="0.25">
      <c r="A3612" t="s">
        <v>3616</v>
      </c>
      <c r="B3612">
        <v>0.995954080203443</v>
      </c>
      <c r="C3612">
        <v>0.94798627016581405</v>
      </c>
      <c r="D3612">
        <v>1.0130758123286601</v>
      </c>
      <c r="E3612">
        <v>0.77528012325006501</v>
      </c>
      <c r="F3612">
        <v>0.73244598476730105</v>
      </c>
      <c r="G3612">
        <v>0.45634741301231102</v>
      </c>
      <c r="H3612">
        <v>0.28234936145693301</v>
      </c>
      <c r="I3612">
        <v>0.23769133591456401</v>
      </c>
      <c r="J3612">
        <v>0.230938947796553</v>
      </c>
      <c r="K3612">
        <v>0.22916085753620899</v>
      </c>
      <c r="L3612">
        <v>881.68284173739005</v>
      </c>
      <c r="M3612">
        <v>16.188382373369201</v>
      </c>
      <c r="N3612">
        <v>56.083210595597897</v>
      </c>
      <c r="O3612">
        <v>53.653165566374703</v>
      </c>
      <c r="P3612">
        <v>-6.1353372775375198E-2</v>
      </c>
      <c r="Q3612">
        <v>0.186686870758066</v>
      </c>
      <c r="R3612">
        <v>0.98704740382091605</v>
      </c>
      <c r="S3612" t="s">
        <v>10418</v>
      </c>
      <c r="T3612" t="s">
        <v>13610</v>
      </c>
      <c r="U3612" t="s">
        <v>13610</v>
      </c>
      <c r="V3612" t="s">
        <v>13610</v>
      </c>
      <c r="W3612" t="s">
        <v>17166</v>
      </c>
      <c r="X3612">
        <v>2</v>
      </c>
      <c r="Y3612" t="s">
        <v>23773</v>
      </c>
      <c r="Z3612" t="s">
        <v>30467</v>
      </c>
      <c r="AA3612">
        <v>0.59361738877962711</v>
      </c>
      <c r="AB3612" t="str">
        <f>HYPERLINK("Melting_Curves/meltCurve_Q2TB10_ZNF800.pdf", "Melting_Curves/meltCurve_Q2TB10_ZNF800.pdf")</f>
        <v>Melting_Curves/meltCurve_Q2TB10_ZNF800.pdf</v>
      </c>
    </row>
    <row r="3613" spans="1:28" x14ac:dyDescent="0.25">
      <c r="A3613" t="s">
        <v>3617</v>
      </c>
      <c r="B3613">
        <v>0.995954080203443</v>
      </c>
      <c r="C3613">
        <v>0.97777406175322201</v>
      </c>
      <c r="D3613">
        <v>0.971304010646315</v>
      </c>
      <c r="E3613">
        <v>0.81246355204545695</v>
      </c>
      <c r="F3613">
        <v>0.77996051897482799</v>
      </c>
      <c r="G3613">
        <v>0.56585472699814299</v>
      </c>
      <c r="H3613">
        <v>0.46861818903431801</v>
      </c>
      <c r="I3613">
        <v>0.60594709179069695</v>
      </c>
      <c r="J3613">
        <v>0.55654953070334501</v>
      </c>
      <c r="K3613">
        <v>0.560032792023614</v>
      </c>
      <c r="L3613">
        <v>1062.8664849213901</v>
      </c>
      <c r="M3613">
        <v>20.513103857577001</v>
      </c>
      <c r="O3613">
        <v>51.329145761411503</v>
      </c>
      <c r="P3613">
        <v>-4.6110139358296297E-2</v>
      </c>
      <c r="Q3613">
        <v>0.53849512297514701</v>
      </c>
      <c r="R3613">
        <v>0.94862443110818595</v>
      </c>
      <c r="S3613" t="s">
        <v>10419</v>
      </c>
      <c r="T3613" t="s">
        <v>13610</v>
      </c>
      <c r="U3613" t="s">
        <v>13610</v>
      </c>
      <c r="V3613" t="s">
        <v>13610</v>
      </c>
      <c r="W3613" t="s">
        <v>17167</v>
      </c>
      <c r="X3613">
        <v>26</v>
      </c>
      <c r="Y3613" t="s">
        <v>23774</v>
      </c>
      <c r="Z3613" t="s">
        <v>30468</v>
      </c>
      <c r="AA3613">
        <v>0.72634005042586069</v>
      </c>
      <c r="AB3613" t="str">
        <f>HYPERLINK("Melting_Curves/meltCurve_Q2TBE0_CWF19L2.pdf", "Melting_Curves/meltCurve_Q2TBE0_CWF19L2.pdf")</f>
        <v>Melting_Curves/meltCurve_Q2TBE0_CWF19L2.pdf</v>
      </c>
    </row>
    <row r="3614" spans="1:28" x14ac:dyDescent="0.25">
      <c r="A3614" t="s">
        <v>3618</v>
      </c>
      <c r="B3614">
        <v>0.995954080203443</v>
      </c>
      <c r="C3614">
        <v>0.86454244589047802</v>
      </c>
      <c r="D3614">
        <v>0.69329961188324796</v>
      </c>
      <c r="E3614">
        <v>0.53515842895102195</v>
      </c>
      <c r="F3614">
        <v>0.30801849190766001</v>
      </c>
      <c r="G3614">
        <v>0.162945857734863</v>
      </c>
      <c r="H3614">
        <v>8.9682507338773101E-2</v>
      </c>
      <c r="I3614">
        <v>8.2508147778898699E-2</v>
      </c>
      <c r="J3614">
        <v>9.59066917139864E-2</v>
      </c>
      <c r="K3614">
        <v>9.0735079145754696E-2</v>
      </c>
      <c r="L3614">
        <v>651.84116719839596</v>
      </c>
      <c r="M3614">
        <v>13.2328634597103</v>
      </c>
      <c r="N3614">
        <v>49.647466023902602</v>
      </c>
      <c r="O3614">
        <v>48.175075246545298</v>
      </c>
      <c r="P3614">
        <v>-6.5306419591498299E-2</v>
      </c>
      <c r="Q3614">
        <v>4.9147990154314702E-2</v>
      </c>
      <c r="R3614">
        <v>0.99204708489915405</v>
      </c>
      <c r="S3614" t="s">
        <v>10420</v>
      </c>
      <c r="T3614" t="s">
        <v>13610</v>
      </c>
      <c r="U3614" t="s">
        <v>13610</v>
      </c>
      <c r="V3614" t="s">
        <v>13610</v>
      </c>
      <c r="W3614" t="s">
        <v>17168</v>
      </c>
      <c r="X3614">
        <v>18</v>
      </c>
      <c r="Y3614" t="s">
        <v>23775</v>
      </c>
      <c r="Z3614" t="s">
        <v>30469</v>
      </c>
      <c r="AA3614">
        <v>0.37175475716763501</v>
      </c>
      <c r="AB3614" t="str">
        <f>HYPERLINK("Melting_Curves/meltCurve_Q2VPK5_CTU2.pdf", "Melting_Curves/meltCurve_Q2VPK5_CTU2.pdf")</f>
        <v>Melting_Curves/meltCurve_Q2VPK5_CTU2.pdf</v>
      </c>
    </row>
    <row r="3615" spans="1:28" x14ac:dyDescent="0.25">
      <c r="A3615" t="s">
        <v>3619</v>
      </c>
      <c r="B3615">
        <v>0.995954080203443</v>
      </c>
      <c r="C3615">
        <v>0.84133621772338196</v>
      </c>
      <c r="D3615">
        <v>1.1062640335709299</v>
      </c>
      <c r="E3615">
        <v>0.81902858322393901</v>
      </c>
      <c r="F3615">
        <v>1.1184660784318501</v>
      </c>
      <c r="G3615">
        <v>0.79892899734816203</v>
      </c>
      <c r="H3615">
        <v>0.765526431249683</v>
      </c>
      <c r="I3615">
        <v>0.86507376074597098</v>
      </c>
      <c r="J3615">
        <v>1.11758018944412</v>
      </c>
      <c r="K3615">
        <v>1.0043192922217701</v>
      </c>
      <c r="L3615">
        <v>475.98657316697199</v>
      </c>
      <c r="M3615">
        <v>11.989163831887399</v>
      </c>
      <c r="Q3615">
        <v>0.93599319453934204</v>
      </c>
      <c r="R3615">
        <v>5.6862200498153399E-3</v>
      </c>
      <c r="S3615" t="s">
        <v>10421</v>
      </c>
      <c r="T3615" t="s">
        <v>13610</v>
      </c>
      <c r="U3615" t="s">
        <v>13610</v>
      </c>
      <c r="V3615" t="s">
        <v>13610</v>
      </c>
      <c r="W3615" t="s">
        <v>17169</v>
      </c>
      <c r="X3615">
        <v>3</v>
      </c>
      <c r="Y3615" t="s">
        <v>23776</v>
      </c>
      <c r="Z3615" t="s">
        <v>30470</v>
      </c>
      <c r="AA3615">
        <v>0.94180838891555008</v>
      </c>
      <c r="AB3615" t="str">
        <f>HYPERLINK("Melting_Curves/meltCurve_Q2YD98_2_UVSSA.pdf", "Melting_Curves/meltCurve_Q2YD98_2_UVSSA.pdf")</f>
        <v>Melting_Curves/meltCurve_Q2YD98_2_UVSSA.pdf</v>
      </c>
    </row>
    <row r="3616" spans="1:28" x14ac:dyDescent="0.25">
      <c r="A3616" t="s">
        <v>3620</v>
      </c>
      <c r="B3616">
        <v>0.995954080203443</v>
      </c>
      <c r="C3616">
        <v>0.98153171801121697</v>
      </c>
      <c r="D3616">
        <v>0.87880106873893704</v>
      </c>
      <c r="E3616">
        <v>0.81470273197225795</v>
      </c>
      <c r="F3616">
        <v>0.66219469032654699</v>
      </c>
      <c r="G3616">
        <v>0.44868296430822902</v>
      </c>
      <c r="H3616">
        <v>0.25650437485098898</v>
      </c>
      <c r="I3616">
        <v>0.129790173575933</v>
      </c>
      <c r="J3616">
        <v>0.112052066711655</v>
      </c>
      <c r="K3616">
        <v>0.124815502336562</v>
      </c>
      <c r="L3616">
        <v>695.86071658686603</v>
      </c>
      <c r="M3616">
        <v>12.527068901581</v>
      </c>
      <c r="N3616">
        <v>55.706936537690503</v>
      </c>
      <c r="O3616">
        <v>54.190017657357402</v>
      </c>
      <c r="P3616">
        <v>-5.6792932796632001E-2</v>
      </c>
      <c r="Q3616">
        <v>1.7493372268602401E-2</v>
      </c>
      <c r="R3616">
        <v>0.99423835833804197</v>
      </c>
      <c r="S3616" t="s">
        <v>10422</v>
      </c>
      <c r="T3616" t="s">
        <v>13610</v>
      </c>
      <c r="U3616" t="s">
        <v>13610</v>
      </c>
      <c r="V3616" t="s">
        <v>13610</v>
      </c>
      <c r="W3616" t="s">
        <v>17170</v>
      </c>
      <c r="X3616">
        <v>10</v>
      </c>
      <c r="Y3616" t="s">
        <v>23777</v>
      </c>
      <c r="Z3616" t="s">
        <v>30471</v>
      </c>
      <c r="AA3616">
        <v>0.54762968616517449</v>
      </c>
      <c r="AB3616" t="str">
        <f>HYPERLINK("Melting_Curves/meltCurve_Q32M88_ATHL1.pdf", "Melting_Curves/meltCurve_Q32M88_ATHL1.pdf")</f>
        <v>Melting_Curves/meltCurve_Q32M88_ATHL1.pdf</v>
      </c>
    </row>
    <row r="3617" spans="1:28" x14ac:dyDescent="0.25">
      <c r="A3617" t="s">
        <v>3621</v>
      </c>
      <c r="B3617">
        <v>0.995954080203443</v>
      </c>
      <c r="C3617">
        <v>0.86574073529029605</v>
      </c>
      <c r="D3617">
        <v>0.83552568366267899</v>
      </c>
      <c r="E3617">
        <v>0.76827392062974298</v>
      </c>
      <c r="F3617">
        <v>0.76482467971892998</v>
      </c>
      <c r="G3617">
        <v>0.54534010102257002</v>
      </c>
      <c r="H3617">
        <v>0.50905133371732703</v>
      </c>
      <c r="I3617">
        <v>0.601837185050491</v>
      </c>
      <c r="J3617">
        <v>0.86367542006811404</v>
      </c>
      <c r="K3617">
        <v>0.74177514532211797</v>
      </c>
      <c r="L3617">
        <v>711.88609911869105</v>
      </c>
      <c r="M3617">
        <v>15.5596185434755</v>
      </c>
      <c r="O3617">
        <v>45.016408851660302</v>
      </c>
      <c r="P3617">
        <v>-2.9021796388555399E-2</v>
      </c>
      <c r="Q3617">
        <v>0.66417095522457803</v>
      </c>
      <c r="R3617">
        <v>0.53154150914222897</v>
      </c>
      <c r="S3617" t="s">
        <v>10423</v>
      </c>
      <c r="T3617" t="s">
        <v>13610</v>
      </c>
      <c r="U3617" t="s">
        <v>13610</v>
      </c>
      <c r="V3617" t="s">
        <v>13610</v>
      </c>
      <c r="W3617" t="s">
        <v>17171</v>
      </c>
      <c r="X3617">
        <v>8</v>
      </c>
      <c r="Y3617" t="s">
        <v>23778</v>
      </c>
      <c r="Z3617" t="s">
        <v>30472</v>
      </c>
      <c r="AA3617">
        <v>0.73783105751623557</v>
      </c>
      <c r="AB3617" t="str">
        <f>HYPERLINK("Melting_Curves/meltCurve_Q32MK0_MYLK3.pdf", "Melting_Curves/meltCurve_Q32MK0_MYLK3.pdf")</f>
        <v>Melting_Curves/meltCurve_Q32MK0_MYLK3.pdf</v>
      </c>
    </row>
    <row r="3618" spans="1:28" x14ac:dyDescent="0.25">
      <c r="A3618" t="s">
        <v>3622</v>
      </c>
      <c r="B3618">
        <v>0.995954080203443</v>
      </c>
      <c r="C3618">
        <v>0.89668878159183596</v>
      </c>
      <c r="D3618">
        <v>1.00953247362751</v>
      </c>
      <c r="E3618">
        <v>0.84791096870768001</v>
      </c>
      <c r="F3618">
        <v>0.71330006961071601</v>
      </c>
      <c r="G3618">
        <v>0.54080130797873005</v>
      </c>
      <c r="H3618">
        <v>0.54378858596228796</v>
      </c>
      <c r="I3618">
        <v>0.62030172211370804</v>
      </c>
      <c r="J3618">
        <v>0.86095567134557105</v>
      </c>
      <c r="K3618">
        <v>0.77615132623668104</v>
      </c>
      <c r="L3618">
        <v>2397.2213702382301</v>
      </c>
      <c r="M3618">
        <v>47.750690152946298</v>
      </c>
      <c r="O3618">
        <v>50.115050163756898</v>
      </c>
      <c r="P3618">
        <v>-7.8317378131941104E-2</v>
      </c>
      <c r="Q3618">
        <v>0.67121938758775401</v>
      </c>
      <c r="R3618">
        <v>0.64678471103362301</v>
      </c>
      <c r="S3618" t="s">
        <v>10424</v>
      </c>
      <c r="T3618" t="s">
        <v>13610</v>
      </c>
      <c r="U3618" t="s">
        <v>13610</v>
      </c>
      <c r="V3618" t="s">
        <v>13610</v>
      </c>
      <c r="W3618" t="s">
        <v>17172</v>
      </c>
      <c r="X3618">
        <v>48</v>
      </c>
      <c r="Y3618" t="s">
        <v>23779</v>
      </c>
      <c r="Z3618" t="s">
        <v>30473</v>
      </c>
      <c r="AA3618">
        <v>0.78383489708158105</v>
      </c>
      <c r="AB3618" t="str">
        <f>HYPERLINK("Melting_Curves/meltCurve_Q32MZ4_2_LRRFIP1.pdf", "Melting_Curves/meltCurve_Q32MZ4_2_LRRFIP1.pdf")</f>
        <v>Melting_Curves/meltCurve_Q32MZ4_2_LRRFIP1.pdf</v>
      </c>
    </row>
    <row r="3619" spans="1:28" x14ac:dyDescent="0.25">
      <c r="A3619" t="s">
        <v>3623</v>
      </c>
      <c r="B3619">
        <v>0.995954080203443</v>
      </c>
      <c r="C3619">
        <v>0.95205551564622903</v>
      </c>
      <c r="D3619">
        <v>0.95384145219579197</v>
      </c>
      <c r="E3619">
        <v>0.90229419849176795</v>
      </c>
      <c r="F3619">
        <v>0.94349984985323998</v>
      </c>
      <c r="G3619">
        <v>0.76532534877009295</v>
      </c>
      <c r="H3619">
        <v>0.75276506164674795</v>
      </c>
      <c r="I3619">
        <v>0.90538669933662996</v>
      </c>
      <c r="J3619">
        <v>1.2081350939264199</v>
      </c>
      <c r="K3619">
        <v>1.08739351576841</v>
      </c>
      <c r="L3619">
        <v>2079.41300878022</v>
      </c>
      <c r="M3619">
        <v>49.6784128067805</v>
      </c>
      <c r="O3619">
        <v>41.7898255313414</v>
      </c>
      <c r="P3619">
        <v>-1.7949971893864301E-2</v>
      </c>
      <c r="Q3619">
        <v>0.939601500556417</v>
      </c>
      <c r="R3619">
        <v>1.7259663196529201E-2</v>
      </c>
      <c r="S3619" t="s">
        <v>10425</v>
      </c>
      <c r="T3619" t="s">
        <v>13610</v>
      </c>
      <c r="U3619" t="s">
        <v>13610</v>
      </c>
      <c r="V3619" t="s">
        <v>13610</v>
      </c>
      <c r="W3619" t="s">
        <v>17173</v>
      </c>
      <c r="X3619">
        <v>49</v>
      </c>
      <c r="Y3619" t="s">
        <v>23779</v>
      </c>
      <c r="Z3619" t="s">
        <v>30474</v>
      </c>
      <c r="AA3619">
        <v>0.94359566129501904</v>
      </c>
      <c r="AB3619" t="str">
        <f>HYPERLINK("Melting_Curves/meltCurve_Q32MZ4_3_LRRFIP1.pdf", "Melting_Curves/meltCurve_Q32MZ4_3_LRRFIP1.pdf")</f>
        <v>Melting_Curves/meltCurve_Q32MZ4_3_LRRFIP1.pdf</v>
      </c>
    </row>
    <row r="3620" spans="1:28" x14ac:dyDescent="0.25">
      <c r="A3620" t="s">
        <v>3624</v>
      </c>
      <c r="B3620">
        <v>0.995954080203443</v>
      </c>
      <c r="C3620">
        <v>0.913448241746176</v>
      </c>
      <c r="D3620">
        <v>0.94165138038163099</v>
      </c>
      <c r="E3620">
        <v>0.81873197965209399</v>
      </c>
      <c r="F3620">
        <v>0.89488866240017495</v>
      </c>
      <c r="G3620">
        <v>0.68312553194639702</v>
      </c>
      <c r="H3620">
        <v>0.70022815817337303</v>
      </c>
      <c r="I3620">
        <v>0.85345283842019304</v>
      </c>
      <c r="J3620">
        <v>1.1037884696460201</v>
      </c>
      <c r="K3620">
        <v>1.0200357457792699</v>
      </c>
      <c r="L3620">
        <v>1051.6635472139999</v>
      </c>
      <c r="M3620">
        <v>24.425209057187502</v>
      </c>
      <c r="O3620">
        <v>42.770993831540501</v>
      </c>
      <c r="P3620">
        <v>-1.8358566980780401E-2</v>
      </c>
      <c r="Q3620">
        <v>0.87141115338655595</v>
      </c>
      <c r="R3620">
        <v>8.6918990993376397E-2</v>
      </c>
      <c r="S3620" t="s">
        <v>10426</v>
      </c>
      <c r="T3620" t="s">
        <v>13610</v>
      </c>
      <c r="U3620" t="s">
        <v>13610</v>
      </c>
      <c r="V3620" t="s">
        <v>13610</v>
      </c>
      <c r="W3620" t="s">
        <v>17174</v>
      </c>
      <c r="X3620">
        <v>11</v>
      </c>
      <c r="Y3620" t="s">
        <v>23780</v>
      </c>
      <c r="Z3620" t="s">
        <v>30475</v>
      </c>
      <c r="AA3620">
        <v>0.88642428867274314</v>
      </c>
      <c r="AB3620" t="str">
        <f>HYPERLINK("Melting_Curves/meltCurve_Q32N00_POLD3.pdf", "Melting_Curves/meltCurve_Q32N00_POLD3.pdf")</f>
        <v>Melting_Curves/meltCurve_Q32N00_POLD3.pdf</v>
      </c>
    </row>
    <row r="3621" spans="1:28" x14ac:dyDescent="0.25">
      <c r="A3621" t="s">
        <v>3625</v>
      </c>
      <c r="B3621">
        <v>0.995954080203443</v>
      </c>
      <c r="C3621">
        <v>0.83061277196986305</v>
      </c>
      <c r="D3621">
        <v>0.57353882095675002</v>
      </c>
      <c r="E3621">
        <v>0.428186962019939</v>
      </c>
      <c r="F3621">
        <v>0.26220417672116297</v>
      </c>
      <c r="G3621">
        <v>0.14715051316106401</v>
      </c>
      <c r="H3621">
        <v>9.7846553234713599E-2</v>
      </c>
      <c r="I3621">
        <v>9.1620380873840904E-2</v>
      </c>
      <c r="J3621">
        <v>0.106843964484351</v>
      </c>
      <c r="K3621">
        <v>0.100465425990497</v>
      </c>
      <c r="L3621">
        <v>658.86904037974898</v>
      </c>
      <c r="M3621">
        <v>13.899041627082401</v>
      </c>
      <c r="N3621">
        <v>48.000009226668297</v>
      </c>
      <c r="O3621">
        <v>46.454972586579203</v>
      </c>
      <c r="P3621">
        <v>-6.8878907010922599E-2</v>
      </c>
      <c r="Q3621">
        <v>7.9265482056543698E-2</v>
      </c>
      <c r="R3621">
        <v>0.98895925668571205</v>
      </c>
      <c r="S3621" t="s">
        <v>10427</v>
      </c>
      <c r="T3621" t="s">
        <v>13610</v>
      </c>
      <c r="U3621" t="s">
        <v>13610</v>
      </c>
      <c r="V3621" t="s">
        <v>13610</v>
      </c>
      <c r="W3621" t="s">
        <v>17175</v>
      </c>
      <c r="X3621">
        <v>7</v>
      </c>
      <c r="Y3621" t="s">
        <v>23781</v>
      </c>
      <c r="Z3621" t="s">
        <v>30476</v>
      </c>
      <c r="AA3621">
        <v>0.3349435658538199</v>
      </c>
      <c r="AB3621" t="str">
        <f>HYPERLINK("Melting_Curves/meltCurve_Q32P28_LEPRE1.pdf", "Melting_Curves/meltCurve_Q32P28_LEPRE1.pdf")</f>
        <v>Melting_Curves/meltCurve_Q32P28_LEPRE1.pdf</v>
      </c>
    </row>
    <row r="3622" spans="1:28" x14ac:dyDescent="0.25">
      <c r="A3622" t="s">
        <v>3626</v>
      </c>
      <c r="B3622">
        <v>0.995954080203443</v>
      </c>
      <c r="C3622">
        <v>0.94387119732629798</v>
      </c>
      <c r="D3622">
        <v>0.96401254337876796</v>
      </c>
      <c r="E3622">
        <v>0.28606004213334701</v>
      </c>
      <c r="F3622">
        <v>0.17978345394674999</v>
      </c>
      <c r="G3622">
        <v>0.121474498769415</v>
      </c>
      <c r="H3622">
        <v>9.52002539710433E-2</v>
      </c>
      <c r="I3622">
        <v>9.7764781977258797E-2</v>
      </c>
      <c r="J3622">
        <v>0.11021264256357199</v>
      </c>
      <c r="K3622">
        <v>0.101423744432421</v>
      </c>
      <c r="L3622">
        <v>2412.93403864731</v>
      </c>
      <c r="M3622">
        <v>49.618170691760703</v>
      </c>
      <c r="N3622">
        <v>48.884719804627899</v>
      </c>
      <c r="O3622">
        <v>48.551251474673002</v>
      </c>
      <c r="P3622">
        <v>-0.226394624705539</v>
      </c>
      <c r="Q3622">
        <v>0.113894562942548</v>
      </c>
      <c r="R3622">
        <v>0.99539156424196495</v>
      </c>
      <c r="S3622" t="s">
        <v>10428</v>
      </c>
      <c r="T3622" t="s">
        <v>13610</v>
      </c>
      <c r="U3622" t="s">
        <v>13610</v>
      </c>
      <c r="V3622" t="s">
        <v>13610</v>
      </c>
      <c r="W3622" t="s">
        <v>17176</v>
      </c>
      <c r="X3622">
        <v>19</v>
      </c>
      <c r="Y3622" t="s">
        <v>23782</v>
      </c>
      <c r="Z3622" t="s">
        <v>30477</v>
      </c>
      <c r="AA3622">
        <v>0.37072971012570449</v>
      </c>
      <c r="AB3622" t="str">
        <f>HYPERLINK("Melting_Curves/meltCurve_Q32P41_TRMT5.pdf", "Melting_Curves/meltCurve_Q32P41_TRMT5.pdf")</f>
        <v>Melting_Curves/meltCurve_Q32P41_TRMT5.pdf</v>
      </c>
    </row>
    <row r="3623" spans="1:28" x14ac:dyDescent="0.25">
      <c r="A3623" t="s">
        <v>3627</v>
      </c>
      <c r="B3623">
        <v>0.995954080203443</v>
      </c>
      <c r="C3623">
        <v>0.93857125146852005</v>
      </c>
      <c r="D3623">
        <v>0.83090035876252599</v>
      </c>
      <c r="E3623">
        <v>0.689636151709626</v>
      </c>
      <c r="F3623">
        <v>0.39449533353678401</v>
      </c>
      <c r="G3623">
        <v>0.167356187210013</v>
      </c>
      <c r="H3623">
        <v>0.12187531425218601</v>
      </c>
      <c r="I3623">
        <v>0.126251922143199</v>
      </c>
      <c r="J3623">
        <v>0.178694423176496</v>
      </c>
      <c r="K3623">
        <v>0.16509855453317501</v>
      </c>
      <c r="L3623">
        <v>989.55525712231895</v>
      </c>
      <c r="M3623">
        <v>19.474283730437701</v>
      </c>
      <c r="N3623">
        <v>51.5771449541976</v>
      </c>
      <c r="O3623">
        <v>50.286751094476301</v>
      </c>
      <c r="P3623">
        <v>-8.4692796855445104E-2</v>
      </c>
      <c r="Q3623">
        <v>0.12525258658609401</v>
      </c>
      <c r="R3623">
        <v>0.98562749754653001</v>
      </c>
      <c r="S3623" t="s">
        <v>10429</v>
      </c>
      <c r="T3623" t="s">
        <v>13610</v>
      </c>
      <c r="U3623" t="s">
        <v>13610</v>
      </c>
      <c r="V3623" t="s">
        <v>13610</v>
      </c>
      <c r="W3623" t="s">
        <v>17177</v>
      </c>
      <c r="X3623">
        <v>20</v>
      </c>
      <c r="Y3623" t="s">
        <v>23783</v>
      </c>
      <c r="Z3623" t="s">
        <v>30478</v>
      </c>
      <c r="AA3623">
        <v>0.45332535192297241</v>
      </c>
      <c r="AB3623" t="str">
        <f>HYPERLINK("Melting_Curves/meltCurve_Q32P44_EML3.pdf", "Melting_Curves/meltCurve_Q32P44_EML3.pdf")</f>
        <v>Melting_Curves/meltCurve_Q32P44_EML3.pdf</v>
      </c>
    </row>
    <row r="3624" spans="1:28" x14ac:dyDescent="0.25">
      <c r="A3624" t="s">
        <v>3628</v>
      </c>
      <c r="B3624">
        <v>0.995954080203443</v>
      </c>
      <c r="C3624">
        <v>0.93925324789722897</v>
      </c>
      <c r="D3624">
        <v>0.85890594486584904</v>
      </c>
      <c r="E3624">
        <v>0.40962112530081102</v>
      </c>
      <c r="F3624">
        <v>0.19446955424670501</v>
      </c>
      <c r="G3624">
        <v>0.12634747714601399</v>
      </c>
      <c r="H3624">
        <v>9.8982383087839701E-2</v>
      </c>
      <c r="I3624">
        <v>0.10008485718608399</v>
      </c>
      <c r="J3624">
        <v>0.117500807423284</v>
      </c>
      <c r="K3624">
        <v>0.112586916774293</v>
      </c>
      <c r="L3624">
        <v>1296.79087301718</v>
      </c>
      <c r="M3624">
        <v>26.599185264836901</v>
      </c>
      <c r="N3624">
        <v>49.1898100286434</v>
      </c>
      <c r="O3624">
        <v>48.479975243117799</v>
      </c>
      <c r="P3624">
        <v>-0.122739524183648</v>
      </c>
      <c r="Q3624">
        <v>0.105183732974137</v>
      </c>
      <c r="R3624">
        <v>0.99855632613071799</v>
      </c>
      <c r="S3624" t="s">
        <v>10430</v>
      </c>
      <c r="T3624" t="s">
        <v>13610</v>
      </c>
      <c r="U3624" t="s">
        <v>13610</v>
      </c>
      <c r="V3624" t="s">
        <v>13610</v>
      </c>
      <c r="W3624" t="s">
        <v>17178</v>
      </c>
      <c r="X3624">
        <v>6</v>
      </c>
      <c r="Y3624" t="s">
        <v>23784</v>
      </c>
      <c r="Z3624" t="s">
        <v>30479</v>
      </c>
      <c r="AA3624">
        <v>0.37322540571924923</v>
      </c>
      <c r="AB3624" t="str">
        <f>HYPERLINK("Melting_Curves/meltCurve_Q3B726_TWISTNB.pdf", "Melting_Curves/meltCurve_Q3B726_TWISTNB.pdf")</f>
        <v>Melting_Curves/meltCurve_Q3B726_TWISTNB.pdf</v>
      </c>
    </row>
    <row r="3625" spans="1:28" x14ac:dyDescent="0.25">
      <c r="A3625" t="s">
        <v>3629</v>
      </c>
      <c r="B3625">
        <v>0.995954080203443</v>
      </c>
      <c r="C3625">
        <v>0.97827661016146505</v>
      </c>
      <c r="D3625">
        <v>1.16274382848923</v>
      </c>
      <c r="E3625">
        <v>0.91559694318465601</v>
      </c>
      <c r="F3625">
        <v>1.0610579203014101</v>
      </c>
      <c r="G3625">
        <v>0.91433159928046703</v>
      </c>
      <c r="H3625">
        <v>0.89260841103683397</v>
      </c>
      <c r="I3625">
        <v>1.1379047922583501</v>
      </c>
      <c r="J3625">
        <v>1.38131930272078</v>
      </c>
      <c r="K3625">
        <v>1.35348220654735</v>
      </c>
      <c r="L3625">
        <v>15000</v>
      </c>
      <c r="M3625">
        <v>233.86564427266299</v>
      </c>
      <c r="O3625">
        <v>64.134702965591302</v>
      </c>
      <c r="P3625">
        <v>0.33493663663842899</v>
      </c>
      <c r="Q3625">
        <v>1.36740857734171</v>
      </c>
      <c r="R3625">
        <v>0.79838244084883703</v>
      </c>
      <c r="S3625" t="s">
        <v>10431</v>
      </c>
      <c r="T3625" t="s">
        <v>13610</v>
      </c>
      <c r="U3625" t="s">
        <v>13610</v>
      </c>
      <c r="V3625" t="s">
        <v>13610</v>
      </c>
      <c r="W3625" t="s">
        <v>17179</v>
      </c>
      <c r="X3625">
        <v>20</v>
      </c>
      <c r="Y3625" t="s">
        <v>23785</v>
      </c>
      <c r="Z3625" t="s">
        <v>30480</v>
      </c>
      <c r="AA3625">
        <v>1.0717273389026429</v>
      </c>
      <c r="AB3625" t="str">
        <f>HYPERLINK("Melting_Curves/meltCurve_Q3KQU3_2_MAP7D1.pdf", "Melting_Curves/meltCurve_Q3KQU3_2_MAP7D1.pdf")</f>
        <v>Melting_Curves/meltCurve_Q3KQU3_2_MAP7D1.pdf</v>
      </c>
    </row>
    <row r="3626" spans="1:28" x14ac:dyDescent="0.25">
      <c r="A3626" t="s">
        <v>3630</v>
      </c>
      <c r="B3626">
        <v>0.995954080203443</v>
      </c>
      <c r="C3626">
        <v>0.95064965585352401</v>
      </c>
      <c r="D3626">
        <v>1.22374756969337</v>
      </c>
      <c r="E3626">
        <v>0.71946368190253995</v>
      </c>
      <c r="F3626">
        <v>0.774089002077883</v>
      </c>
      <c r="G3626">
        <v>0.522156785640707</v>
      </c>
      <c r="H3626">
        <v>0.51139820898480304</v>
      </c>
      <c r="I3626">
        <v>0.56638331004664599</v>
      </c>
      <c r="J3626">
        <v>0.68729775917312497</v>
      </c>
      <c r="K3626">
        <v>0.74077532890230202</v>
      </c>
      <c r="L3626">
        <v>5330.2477978094903</v>
      </c>
      <c r="M3626">
        <v>107.77346349386301</v>
      </c>
      <c r="O3626">
        <v>49.440882324442697</v>
      </c>
      <c r="P3626">
        <v>-0.199722427032924</v>
      </c>
      <c r="Q3626">
        <v>0.63351092984016</v>
      </c>
      <c r="R3626">
        <v>0.74772498870422899</v>
      </c>
      <c r="S3626" t="s">
        <v>10432</v>
      </c>
      <c r="T3626" t="s">
        <v>13610</v>
      </c>
      <c r="U3626" t="s">
        <v>13610</v>
      </c>
      <c r="V3626" t="s">
        <v>13610</v>
      </c>
      <c r="W3626" t="s">
        <v>17180</v>
      </c>
      <c r="X3626">
        <v>2</v>
      </c>
      <c r="Y3626" t="s">
        <v>23786</v>
      </c>
      <c r="Z3626" t="s">
        <v>30481</v>
      </c>
      <c r="AA3626">
        <v>0.74922267474298843</v>
      </c>
      <c r="AB3626" t="str">
        <f>HYPERLINK("Melting_Curves/meltCurve_Q3KQV3_ZNF792.pdf", "Melting_Curves/meltCurve_Q3KQV3_ZNF792.pdf")</f>
        <v>Melting_Curves/meltCurve_Q3KQV3_ZNF792.pdf</v>
      </c>
    </row>
    <row r="3627" spans="1:28" x14ac:dyDescent="0.25">
      <c r="A3627" t="s">
        <v>3631</v>
      </c>
      <c r="B3627">
        <v>0.995954080203443</v>
      </c>
      <c r="C3627">
        <v>0.94577411525287702</v>
      </c>
      <c r="D3627">
        <v>0.99090423185500798</v>
      </c>
      <c r="E3627">
        <v>0.86600419290309405</v>
      </c>
      <c r="F3627">
        <v>0.78696303104944898</v>
      </c>
      <c r="G3627">
        <v>0.66208563052798897</v>
      </c>
      <c r="H3627">
        <v>0.88997210178252195</v>
      </c>
      <c r="I3627">
        <v>1.38125570644639</v>
      </c>
      <c r="J3627">
        <v>1.38726370082805</v>
      </c>
      <c r="K3627">
        <v>1.62975941334968</v>
      </c>
      <c r="L3627">
        <v>15000</v>
      </c>
      <c r="M3627">
        <v>235.541226180118</v>
      </c>
      <c r="O3627">
        <v>63.678530210726599</v>
      </c>
      <c r="P3627">
        <v>0.46236390944720401</v>
      </c>
      <c r="Q3627">
        <v>1.5</v>
      </c>
      <c r="R3627">
        <v>0.74035810307644001</v>
      </c>
      <c r="S3627" t="s">
        <v>10433</v>
      </c>
      <c r="T3627" t="s">
        <v>13610</v>
      </c>
      <c r="U3627" t="s">
        <v>13610</v>
      </c>
      <c r="V3627" t="s">
        <v>13610</v>
      </c>
      <c r="W3627" t="s">
        <v>17181</v>
      </c>
      <c r="X3627">
        <v>10</v>
      </c>
      <c r="Y3627" t="s">
        <v>23787</v>
      </c>
      <c r="Z3627" t="s">
        <v>30482</v>
      </c>
      <c r="AA3627">
        <v>1.1052183911164879</v>
      </c>
      <c r="AB3627" t="str">
        <f>HYPERLINK("Melting_Curves/meltCurve_Q3L8U1_2_CHD9.pdf", "Melting_Curves/meltCurve_Q3L8U1_2_CHD9.pdf")</f>
        <v>Melting_Curves/meltCurve_Q3L8U1_2_CHD9.pdf</v>
      </c>
    </row>
    <row r="3628" spans="1:28" x14ac:dyDescent="0.25">
      <c r="A3628" t="s">
        <v>3632</v>
      </c>
      <c r="B3628">
        <v>0.995954080203443</v>
      </c>
      <c r="C3628">
        <v>0.97196248715481404</v>
      </c>
      <c r="D3628">
        <v>0.78658156778253197</v>
      </c>
      <c r="E3628">
        <v>0.46248138637492597</v>
      </c>
      <c r="F3628">
        <v>0.28975473772962901</v>
      </c>
      <c r="G3628">
        <v>0.128486452502171</v>
      </c>
      <c r="H3628">
        <v>5.5282100035150203E-2</v>
      </c>
      <c r="I3628">
        <v>4.7379179019221403E-2</v>
      </c>
      <c r="J3628">
        <v>5.5409202925234498E-2</v>
      </c>
      <c r="K3628">
        <v>4.6362676079947499E-2</v>
      </c>
      <c r="L3628">
        <v>869.12143086757396</v>
      </c>
      <c r="M3628">
        <v>17.5560009301607</v>
      </c>
      <c r="N3628">
        <v>49.726362111637201</v>
      </c>
      <c r="O3628">
        <v>48.876714358461399</v>
      </c>
      <c r="P3628">
        <v>-8.6436402698275294E-2</v>
      </c>
      <c r="Q3628">
        <v>3.7480314095365001E-2</v>
      </c>
      <c r="R3628">
        <v>0.99825185701429597</v>
      </c>
      <c r="S3628" t="s">
        <v>10434</v>
      </c>
      <c r="T3628" t="s">
        <v>13610</v>
      </c>
      <c r="U3628" t="s">
        <v>13610</v>
      </c>
      <c r="V3628" t="s">
        <v>13610</v>
      </c>
      <c r="W3628" t="s">
        <v>17182</v>
      </c>
      <c r="X3628">
        <v>20</v>
      </c>
      <c r="Y3628" t="s">
        <v>23788</v>
      </c>
      <c r="Z3628" t="s">
        <v>30483</v>
      </c>
      <c r="AA3628">
        <v>0.35980929556147628</v>
      </c>
      <c r="AB3628" t="str">
        <f>HYPERLINK("Melting_Curves/meltCurve_Q3LXA3_DAK.pdf", "Melting_Curves/meltCurve_Q3LXA3_DAK.pdf")</f>
        <v>Melting_Curves/meltCurve_Q3LXA3_DAK.pdf</v>
      </c>
    </row>
    <row r="3629" spans="1:28" x14ac:dyDescent="0.25">
      <c r="A3629" t="s">
        <v>3633</v>
      </c>
      <c r="B3629">
        <v>0.995954080203443</v>
      </c>
      <c r="C3629">
        <v>1.04770508373905</v>
      </c>
      <c r="D3629">
        <v>1.0177773642276</v>
      </c>
      <c r="E3629">
        <v>0.97077056576531395</v>
      </c>
      <c r="F3629">
        <v>0.72933427485605296</v>
      </c>
      <c r="G3629">
        <v>0.37370880148869201</v>
      </c>
      <c r="H3629">
        <v>0.14507573353139899</v>
      </c>
      <c r="I3629">
        <v>0.13640264036638899</v>
      </c>
      <c r="J3629">
        <v>0.13889957455265101</v>
      </c>
      <c r="K3629">
        <v>0.12961310840009199</v>
      </c>
      <c r="L3629">
        <v>1505.1969450408401</v>
      </c>
      <c r="M3629">
        <v>27.4558014205593</v>
      </c>
      <c r="N3629">
        <v>55.386979148047999</v>
      </c>
      <c r="O3629">
        <v>54.534188552708301</v>
      </c>
      <c r="P3629">
        <v>-0.110506737865329</v>
      </c>
      <c r="Q3629">
        <v>0.122030450945031</v>
      </c>
      <c r="R3629">
        <v>0.99633986547589204</v>
      </c>
      <c r="S3629" t="s">
        <v>10435</v>
      </c>
      <c r="T3629" t="s">
        <v>13610</v>
      </c>
      <c r="U3629" t="s">
        <v>13610</v>
      </c>
      <c r="V3629" t="s">
        <v>13610</v>
      </c>
      <c r="W3629" t="s">
        <v>17183</v>
      </c>
      <c r="X3629">
        <v>5</v>
      </c>
      <c r="Y3629" t="s">
        <v>23789</v>
      </c>
      <c r="Z3629" t="s">
        <v>30484</v>
      </c>
      <c r="AA3629">
        <v>0.56268505259784807</v>
      </c>
      <c r="AB3629" t="str">
        <f>HYPERLINK("Melting_Curves/meltCurve_Q3MHD2_LSM12.pdf", "Melting_Curves/meltCurve_Q3MHD2_LSM12.pdf")</f>
        <v>Melting_Curves/meltCurve_Q3MHD2_LSM12.pdf</v>
      </c>
    </row>
    <row r="3630" spans="1:28" x14ac:dyDescent="0.25">
      <c r="A3630" t="s">
        <v>3634</v>
      </c>
      <c r="B3630">
        <v>0.995954080203443</v>
      </c>
      <c r="C3630">
        <v>0.857066548933056</v>
      </c>
      <c r="D3630">
        <v>0.71724055171398804</v>
      </c>
      <c r="E3630">
        <v>0.61332624416303205</v>
      </c>
      <c r="F3630">
        <v>0.43084849278898801</v>
      </c>
      <c r="G3630">
        <v>0.26511733396279802</v>
      </c>
      <c r="H3630">
        <v>0.14797263813332101</v>
      </c>
      <c r="I3630">
        <v>0.11488294687271</v>
      </c>
      <c r="J3630">
        <v>0.12714279881955901</v>
      </c>
      <c r="K3630">
        <v>0.115215834493769</v>
      </c>
      <c r="L3630">
        <v>538.56663463103905</v>
      </c>
      <c r="M3630">
        <v>10.5839577406706</v>
      </c>
      <c r="N3630">
        <v>51.288340671144802</v>
      </c>
      <c r="O3630">
        <v>49.169424647257699</v>
      </c>
      <c r="P3630">
        <v>-5.1685990501038899E-2</v>
      </c>
      <c r="Q3630">
        <v>3.9914706326935702E-2</v>
      </c>
      <c r="R3630">
        <v>0.98993222065785702</v>
      </c>
      <c r="S3630" t="s">
        <v>10436</v>
      </c>
      <c r="T3630" t="s">
        <v>13610</v>
      </c>
      <c r="U3630" t="s">
        <v>13610</v>
      </c>
      <c r="V3630" t="s">
        <v>13610</v>
      </c>
      <c r="W3630" t="s">
        <v>17184</v>
      </c>
      <c r="X3630">
        <v>3</v>
      </c>
      <c r="Y3630" t="s">
        <v>23790</v>
      </c>
      <c r="Z3630" t="s">
        <v>30485</v>
      </c>
      <c r="AA3630">
        <v>0.42576893728951543</v>
      </c>
      <c r="AB3630" t="str">
        <f>HYPERLINK("Melting_Curves/meltCurve_Q3MII6_TBC1D25.pdf", "Melting_Curves/meltCurve_Q3MII6_TBC1D25.pdf")</f>
        <v>Melting_Curves/meltCurve_Q3MII6_TBC1D25.pdf</v>
      </c>
    </row>
    <row r="3631" spans="1:28" x14ac:dyDescent="0.25">
      <c r="A3631" t="s">
        <v>3635</v>
      </c>
      <c r="B3631">
        <v>0.995954080203443</v>
      </c>
      <c r="C3631">
        <v>1.0097218007250199</v>
      </c>
      <c r="D3631">
        <v>0.97880052742580204</v>
      </c>
      <c r="E3631">
        <v>0.90271047720298003</v>
      </c>
      <c r="F3631">
        <v>0.60805704085693502</v>
      </c>
      <c r="G3631">
        <v>0.208775156040235</v>
      </c>
      <c r="H3631">
        <v>0.111178071602759</v>
      </c>
      <c r="I3631">
        <v>9.9531981630392799E-2</v>
      </c>
      <c r="J3631">
        <v>9.5330818635162698E-2</v>
      </c>
      <c r="K3631">
        <v>9.1834867472947806E-2</v>
      </c>
      <c r="L3631">
        <v>1635.82106955925</v>
      </c>
      <c r="M3631">
        <v>30.595264886327101</v>
      </c>
      <c r="N3631">
        <v>53.824348631458903</v>
      </c>
      <c r="O3631">
        <v>53.239637235971401</v>
      </c>
      <c r="P3631">
        <v>-0.13044624622243101</v>
      </c>
      <c r="Q3631">
        <v>9.2033777318941398E-2</v>
      </c>
      <c r="R3631">
        <v>0.999783354578485</v>
      </c>
      <c r="S3631" t="s">
        <v>10437</v>
      </c>
      <c r="T3631" t="s">
        <v>13610</v>
      </c>
      <c r="U3631" t="s">
        <v>13610</v>
      </c>
      <c r="V3631" t="s">
        <v>13610</v>
      </c>
      <c r="W3631" t="s">
        <v>17185</v>
      </c>
      <c r="X3631">
        <v>16</v>
      </c>
      <c r="Y3631" t="s">
        <v>23791</v>
      </c>
      <c r="Z3631" t="s">
        <v>30486</v>
      </c>
      <c r="AA3631">
        <v>0.50530671435004704</v>
      </c>
      <c r="AB3631" t="str">
        <f>HYPERLINK("Melting_Curves/meltCurve_Q3MIT2_PUS10.pdf", "Melting_Curves/meltCurve_Q3MIT2_PUS10.pdf")</f>
        <v>Melting_Curves/meltCurve_Q3MIT2_PUS10.pdf</v>
      </c>
    </row>
    <row r="3632" spans="1:28" x14ac:dyDescent="0.25">
      <c r="A3632" t="s">
        <v>3636</v>
      </c>
      <c r="B3632">
        <v>0.995954080203443</v>
      </c>
      <c r="C3632">
        <v>0.87825501819774099</v>
      </c>
      <c r="D3632">
        <v>0.75336658501378695</v>
      </c>
      <c r="E3632">
        <v>0.786688451268995</v>
      </c>
      <c r="F3632">
        <v>0.27492639795057</v>
      </c>
      <c r="G3632">
        <v>0.12665762752698001</v>
      </c>
      <c r="H3632">
        <v>6.8751394357218595E-2</v>
      </c>
      <c r="I3632">
        <v>5.8817904961085903E-2</v>
      </c>
      <c r="J3632">
        <v>2.8755938360795898E-2</v>
      </c>
      <c r="K3632">
        <v>8.37891906792812E-2</v>
      </c>
      <c r="L3632">
        <v>915.32993407263598</v>
      </c>
      <c r="M3632">
        <v>17.8864158641946</v>
      </c>
      <c r="N3632">
        <v>51.3240372841979</v>
      </c>
      <c r="O3632">
        <v>50.547751859577801</v>
      </c>
      <c r="P3632">
        <v>-8.6222528689536296E-2</v>
      </c>
      <c r="Q3632">
        <v>2.5375153904703698E-2</v>
      </c>
      <c r="R3632">
        <v>0.95173731123498195</v>
      </c>
      <c r="S3632" t="s">
        <v>10438</v>
      </c>
      <c r="T3632" t="s">
        <v>13610</v>
      </c>
      <c r="U3632" t="s">
        <v>13610</v>
      </c>
      <c r="V3632" t="s">
        <v>13610</v>
      </c>
      <c r="W3632" t="s">
        <v>17186</v>
      </c>
      <c r="X3632">
        <v>2</v>
      </c>
      <c r="Y3632" t="s">
        <v>23792</v>
      </c>
      <c r="Z3632" t="s">
        <v>30487</v>
      </c>
      <c r="AA3632">
        <v>0.40498388658205098</v>
      </c>
      <c r="AB3632" t="str">
        <f>HYPERLINK("Melting_Curves/meltCurve_Q3SXM5_HSDL1.pdf", "Melting_Curves/meltCurve_Q3SXM5_HSDL1.pdf")</f>
        <v>Melting_Curves/meltCurve_Q3SXM5_HSDL1.pdf</v>
      </c>
    </row>
    <row r="3633" spans="1:28" x14ac:dyDescent="0.25">
      <c r="A3633" t="s">
        <v>3637</v>
      </c>
      <c r="B3633">
        <v>0.995954080203443</v>
      </c>
      <c r="C3633">
        <v>1.11178556118064</v>
      </c>
      <c r="D3633">
        <v>1.25948253862023</v>
      </c>
      <c r="E3633">
        <v>0.99479469323589198</v>
      </c>
      <c r="F3633">
        <v>0.977091673190704</v>
      </c>
      <c r="G3633">
        <v>0.21228231928719199</v>
      </c>
      <c r="H3633">
        <v>8.5171342783891296E-2</v>
      </c>
      <c r="I3633">
        <v>6.8231025638849099E-2</v>
      </c>
      <c r="J3633">
        <v>5.26895159100043E-2</v>
      </c>
      <c r="K3633">
        <v>4.06119321942673E-2</v>
      </c>
      <c r="L3633">
        <v>3974.9661566658701</v>
      </c>
      <c r="M3633">
        <v>71.381654307649399</v>
      </c>
      <c r="N3633">
        <v>55.787884591428799</v>
      </c>
      <c r="O3633">
        <v>55.6424455900653</v>
      </c>
      <c r="P3633">
        <v>-0.30113516322789602</v>
      </c>
      <c r="Q3633">
        <v>6.10532392940372E-2</v>
      </c>
      <c r="R3633">
        <v>0.96708826871831699</v>
      </c>
      <c r="S3633" t="s">
        <v>10439</v>
      </c>
      <c r="T3633" t="s">
        <v>13610</v>
      </c>
      <c r="U3633" t="s">
        <v>13610</v>
      </c>
      <c r="V3633" t="s">
        <v>13610</v>
      </c>
      <c r="W3633" t="s">
        <v>17187</v>
      </c>
      <c r="X3633">
        <v>4</v>
      </c>
      <c r="Y3633" t="s">
        <v>23793</v>
      </c>
      <c r="Z3633" t="s">
        <v>30488</v>
      </c>
      <c r="AA3633">
        <v>0.55312878831691192</v>
      </c>
      <c r="AB3633" t="str">
        <f>HYPERLINK("Melting_Curves/meltCurve_Q3SXZ3_ZNF718.pdf", "Melting_Curves/meltCurve_Q3SXZ3_ZNF718.pdf")</f>
        <v>Melting_Curves/meltCurve_Q3SXZ3_ZNF718.pdf</v>
      </c>
    </row>
    <row r="3634" spans="1:28" x14ac:dyDescent="0.25">
      <c r="A3634" t="s">
        <v>3638</v>
      </c>
      <c r="B3634">
        <v>0.995954080203443</v>
      </c>
      <c r="C3634">
        <v>0.58645208470209897</v>
      </c>
      <c r="D3634">
        <v>0.39951333291404301</v>
      </c>
      <c r="E3634">
        <v>0.35833070309591802</v>
      </c>
      <c r="F3634">
        <v>0.242545105049114</v>
      </c>
      <c r="G3634">
        <v>0.12685547204637199</v>
      </c>
      <c r="H3634">
        <v>0.108844682092137</v>
      </c>
      <c r="I3634">
        <v>0.11367447924629399</v>
      </c>
      <c r="J3634">
        <v>0.15567400628209199</v>
      </c>
      <c r="K3634">
        <v>0.12855038271208999</v>
      </c>
      <c r="L3634">
        <v>702.60808923883803</v>
      </c>
      <c r="M3634">
        <v>15.8693525138615</v>
      </c>
      <c r="N3634">
        <v>45.1751654036429</v>
      </c>
      <c r="O3634">
        <v>43.589371083335699</v>
      </c>
      <c r="P3634">
        <v>-7.8680201794466803E-2</v>
      </c>
      <c r="Q3634">
        <v>0.135606215371397</v>
      </c>
      <c r="R3634">
        <v>0.94105044625762302</v>
      </c>
      <c r="S3634" t="s">
        <v>10440</v>
      </c>
      <c r="T3634" t="s">
        <v>13610</v>
      </c>
      <c r="U3634" t="s">
        <v>13610</v>
      </c>
      <c r="V3634" t="s">
        <v>13610</v>
      </c>
      <c r="W3634" t="s">
        <v>17188</v>
      </c>
      <c r="X3634">
        <v>2</v>
      </c>
      <c r="Y3634" t="s">
        <v>23794</v>
      </c>
      <c r="Z3634" t="s">
        <v>30489</v>
      </c>
      <c r="AA3634">
        <v>0.28565843567005428</v>
      </c>
      <c r="AB3634" t="str">
        <f>HYPERLINK("Melting_Curves/meltCurve_Q3SY69_ALDH1L2.pdf", "Melting_Curves/meltCurve_Q3SY69_ALDH1L2.pdf")</f>
        <v>Melting_Curves/meltCurve_Q3SY69_ALDH1L2.pdf</v>
      </c>
    </row>
    <row r="3635" spans="1:28" x14ac:dyDescent="0.25">
      <c r="A3635" t="s">
        <v>3639</v>
      </c>
      <c r="B3635">
        <v>0.995954080203443</v>
      </c>
      <c r="C3635">
        <v>0.95256997914685804</v>
      </c>
      <c r="D3635">
        <v>0.81786893665111504</v>
      </c>
      <c r="E3635">
        <v>0.65080343881751002</v>
      </c>
      <c r="F3635">
        <v>0.56894554725101398</v>
      </c>
      <c r="G3635">
        <v>0.42186836543989298</v>
      </c>
      <c r="H3635">
        <v>0.38974309247358802</v>
      </c>
      <c r="I3635">
        <v>0.458976081779707</v>
      </c>
      <c r="J3635">
        <v>0.588878012054175</v>
      </c>
      <c r="K3635">
        <v>0.52183732262229698</v>
      </c>
      <c r="L3635">
        <v>959.71089516289396</v>
      </c>
      <c r="M3635">
        <v>20.0817144593085</v>
      </c>
      <c r="N3635">
        <v>56.499119174282498</v>
      </c>
      <c r="O3635">
        <v>47.323954975406103</v>
      </c>
      <c r="P3635">
        <v>-5.5445513519151501E-2</v>
      </c>
      <c r="Q3635">
        <v>0.47737192124681299</v>
      </c>
      <c r="R3635">
        <v>0.92737726207312399</v>
      </c>
      <c r="S3635" t="s">
        <v>10441</v>
      </c>
      <c r="T3635" t="s">
        <v>13610</v>
      </c>
      <c r="U3635" t="s">
        <v>13610</v>
      </c>
      <c r="V3635" t="s">
        <v>13610</v>
      </c>
      <c r="W3635" t="s">
        <v>17189</v>
      </c>
      <c r="X3635">
        <v>14</v>
      </c>
      <c r="Y3635" t="s">
        <v>23795</v>
      </c>
      <c r="Z3635" t="s">
        <v>30490</v>
      </c>
      <c r="AA3635">
        <v>0.62048328795731267</v>
      </c>
      <c r="AB3635" t="str">
        <f>HYPERLINK("Melting_Curves/meltCurve_Q3T8J9_3_GON4L.pdf", "Melting_Curves/meltCurve_Q3T8J9_3_GON4L.pdf")</f>
        <v>Melting_Curves/meltCurve_Q3T8J9_3_GON4L.pdf</v>
      </c>
    </row>
    <row r="3636" spans="1:28" x14ac:dyDescent="0.25">
      <c r="A3636" t="s">
        <v>3640</v>
      </c>
      <c r="B3636">
        <v>0.995954080203443</v>
      </c>
      <c r="C3636">
        <v>0.93757718801037404</v>
      </c>
      <c r="D3636">
        <v>0.88287660581130101</v>
      </c>
      <c r="E3636">
        <v>0.46726896536149898</v>
      </c>
      <c r="F3636">
        <v>0.28256814975734201</v>
      </c>
      <c r="G3636">
        <v>0.18642591666386801</v>
      </c>
      <c r="H3636">
        <v>0.14177452868659601</v>
      </c>
      <c r="I3636">
        <v>0.14674968260393001</v>
      </c>
      <c r="J3636">
        <v>0.17185641450479999</v>
      </c>
      <c r="K3636">
        <v>0.164640323867209</v>
      </c>
      <c r="L3636">
        <v>1213.20423815188</v>
      </c>
      <c r="M3636">
        <v>24.7360689864032</v>
      </c>
      <c r="N3636">
        <v>49.797713040549098</v>
      </c>
      <c r="O3636">
        <v>48.728774429538497</v>
      </c>
      <c r="P3636">
        <v>-0.107134700134251</v>
      </c>
      <c r="Q3636">
        <v>0.15581248372312601</v>
      </c>
      <c r="R3636">
        <v>0.997353465470046</v>
      </c>
      <c r="S3636" t="s">
        <v>10442</v>
      </c>
      <c r="T3636" t="s">
        <v>13610</v>
      </c>
      <c r="U3636" t="s">
        <v>13610</v>
      </c>
      <c r="V3636" t="s">
        <v>13610</v>
      </c>
      <c r="W3636" t="s">
        <v>17190</v>
      </c>
      <c r="X3636">
        <v>51</v>
      </c>
      <c r="Y3636" t="s">
        <v>23796</v>
      </c>
      <c r="Z3636" t="s">
        <v>30491</v>
      </c>
      <c r="AA3636">
        <v>0.4180102105266183</v>
      </c>
      <c r="AB3636" t="str">
        <f>HYPERLINK("Melting_Curves/meltCurve_Q3V6T2_2_CCDC88A.pdf", "Melting_Curves/meltCurve_Q3V6T2_2_CCDC88A.pdf")</f>
        <v>Melting_Curves/meltCurve_Q3V6T2_2_CCDC88A.pdf</v>
      </c>
    </row>
    <row r="3637" spans="1:28" x14ac:dyDescent="0.25">
      <c r="A3637" t="s">
        <v>3641</v>
      </c>
      <c r="B3637">
        <v>0.995954080203443</v>
      </c>
      <c r="C3637">
        <v>1.00951609687453</v>
      </c>
      <c r="D3637">
        <v>1.6654023579331101</v>
      </c>
      <c r="E3637">
        <v>1.1638666352517999</v>
      </c>
      <c r="F3637">
        <v>1.26109941672695</v>
      </c>
      <c r="G3637">
        <v>1.5222818606580699</v>
      </c>
      <c r="H3637">
        <v>1.1569043557160801</v>
      </c>
      <c r="I3637">
        <v>1.4485832234292799</v>
      </c>
      <c r="J3637">
        <v>0.82674311245673504</v>
      </c>
      <c r="K3637">
        <v>1.8089232330705101</v>
      </c>
      <c r="L3637">
        <v>10879.238256576</v>
      </c>
      <c r="M3637">
        <v>250</v>
      </c>
      <c r="O3637">
        <v>43.514167523063598</v>
      </c>
      <c r="P3637">
        <v>0.51236972983595797</v>
      </c>
      <c r="Q3637">
        <v>1.35672548150365</v>
      </c>
      <c r="R3637">
        <v>0.22203006587259999</v>
      </c>
      <c r="S3637" t="s">
        <v>10443</v>
      </c>
      <c r="T3637" t="s">
        <v>13610</v>
      </c>
      <c r="U3637" t="s">
        <v>13610</v>
      </c>
      <c r="V3637" t="s">
        <v>13610</v>
      </c>
      <c r="W3637" t="s">
        <v>17191</v>
      </c>
      <c r="X3637">
        <v>2</v>
      </c>
      <c r="Y3637" t="s">
        <v>23796</v>
      </c>
      <c r="Z3637" t="s">
        <v>30492</v>
      </c>
      <c r="AA3637">
        <v>1.314878679091722</v>
      </c>
      <c r="AB3637" t="str">
        <f>HYPERLINK("Melting_Curves/meltCurve_Q3V6T2_5_CCDC88A.pdf", "Melting_Curves/meltCurve_Q3V6T2_5_CCDC88A.pdf")</f>
        <v>Melting_Curves/meltCurve_Q3V6T2_5_CCDC88A.pdf</v>
      </c>
    </row>
    <row r="3638" spans="1:28" x14ac:dyDescent="0.25">
      <c r="A3638" t="s">
        <v>3642</v>
      </c>
      <c r="B3638">
        <v>0.995954080203443</v>
      </c>
      <c r="C3638">
        <v>0.99852882024246403</v>
      </c>
      <c r="D3638">
        <v>0.94974285905790401</v>
      </c>
      <c r="E3638">
        <v>0.862971885337946</v>
      </c>
      <c r="F3638">
        <v>0.81874877602075002</v>
      </c>
      <c r="G3638">
        <v>0.54504981573157296</v>
      </c>
      <c r="H3638">
        <v>0.42194970761677097</v>
      </c>
      <c r="I3638">
        <v>0.45080327266359899</v>
      </c>
      <c r="J3638">
        <v>0.67189455980059898</v>
      </c>
      <c r="K3638">
        <v>0.545252586746792</v>
      </c>
      <c r="L3638">
        <v>1484.1102150972599</v>
      </c>
      <c r="M3638">
        <v>27.9924136978407</v>
      </c>
      <c r="O3638">
        <v>52.749919750867797</v>
      </c>
      <c r="P3638">
        <v>-6.4131213438784501E-2</v>
      </c>
      <c r="Q3638">
        <v>0.51659928575188496</v>
      </c>
      <c r="R3638">
        <v>0.88947704158444896</v>
      </c>
      <c r="S3638" t="s">
        <v>10444</v>
      </c>
      <c r="T3638" t="s">
        <v>13610</v>
      </c>
      <c r="U3638" t="s">
        <v>13610</v>
      </c>
      <c r="V3638" t="s">
        <v>13610</v>
      </c>
      <c r="W3638" t="s">
        <v>17192</v>
      </c>
      <c r="X3638">
        <v>23</v>
      </c>
      <c r="Y3638" t="s">
        <v>23797</v>
      </c>
      <c r="Z3638" t="s">
        <v>30493</v>
      </c>
      <c r="AA3638">
        <v>0.72995603625650385</v>
      </c>
      <c r="AB3638" t="str">
        <f>HYPERLINK("Melting_Curves/meltCurve_Q3YEC7_RABL6.pdf", "Melting_Curves/meltCurve_Q3YEC7_RABL6.pdf")</f>
        <v>Melting_Curves/meltCurve_Q3YEC7_RABL6.pdf</v>
      </c>
    </row>
    <row r="3639" spans="1:28" x14ac:dyDescent="0.25">
      <c r="A3639" t="s">
        <v>3643</v>
      </c>
      <c r="B3639">
        <v>0.995954080203443</v>
      </c>
      <c r="C3639">
        <v>0.33683666525740302</v>
      </c>
      <c r="D3639">
        <v>0.170819304186176</v>
      </c>
      <c r="E3639">
        <v>0.20179574675501299</v>
      </c>
      <c r="F3639">
        <v>0.11235519948497701</v>
      </c>
      <c r="G3639">
        <v>4.6882026174601799E-2</v>
      </c>
      <c r="H3639">
        <v>2.82969128572697E-2</v>
      </c>
      <c r="I3639">
        <v>2.2057229564266499E-2</v>
      </c>
      <c r="J3639">
        <v>2.2667201166806102E-2</v>
      </c>
      <c r="K3639">
        <v>2.0791693765500701E-2</v>
      </c>
      <c r="L3639">
        <v>2692.3272320354199</v>
      </c>
      <c r="M3639">
        <v>63.669291432208901</v>
      </c>
      <c r="N3639">
        <v>42.397639029987097</v>
      </c>
      <c r="O3639">
        <v>42.244462595222302</v>
      </c>
      <c r="P3639">
        <v>-0.34774455996285603</v>
      </c>
      <c r="Q3639">
        <v>7.7088695489808706E-2</v>
      </c>
      <c r="R3639">
        <v>0.95369510069333896</v>
      </c>
      <c r="S3639" t="s">
        <v>10445</v>
      </c>
      <c r="T3639" t="s">
        <v>13610</v>
      </c>
      <c r="U3639" t="s">
        <v>13610</v>
      </c>
      <c r="V3639" t="s">
        <v>13610</v>
      </c>
      <c r="W3639" t="s">
        <v>17193</v>
      </c>
      <c r="X3639">
        <v>11</v>
      </c>
      <c r="Y3639" t="s">
        <v>23798</v>
      </c>
      <c r="Z3639" t="s">
        <v>30494</v>
      </c>
      <c r="AA3639">
        <v>0.14893825430235891</v>
      </c>
      <c r="AB3639" t="str">
        <f>HYPERLINK("Melting_Curves/meltCurve_Q3ZCM7_TUBB8.pdf", "Melting_Curves/meltCurve_Q3ZCM7_TUBB8.pdf")</f>
        <v>Melting_Curves/meltCurve_Q3ZCM7_TUBB8.pdf</v>
      </c>
    </row>
    <row r="3640" spans="1:28" x14ac:dyDescent="0.25">
      <c r="A3640" t="s">
        <v>3644</v>
      </c>
      <c r="B3640">
        <v>0.995954080203443</v>
      </c>
      <c r="C3640">
        <v>0.86678937905455999</v>
      </c>
      <c r="D3640">
        <v>0.62338994562539496</v>
      </c>
      <c r="E3640">
        <v>0.234358063733351</v>
      </c>
      <c r="F3640">
        <v>0.171412976425702</v>
      </c>
      <c r="G3640">
        <v>0.12682010748251299</v>
      </c>
      <c r="H3640">
        <v>0.113640873463456</v>
      </c>
      <c r="I3640">
        <v>0.12339311832410001</v>
      </c>
      <c r="J3640">
        <v>0.18522033508156199</v>
      </c>
      <c r="K3640">
        <v>0.13962348547828399</v>
      </c>
      <c r="L3640">
        <v>1159.9224340953799</v>
      </c>
      <c r="M3640">
        <v>25.047919980868699</v>
      </c>
      <c r="N3640">
        <v>46.892714652913298</v>
      </c>
      <c r="O3640">
        <v>46.015994124478397</v>
      </c>
      <c r="P3640">
        <v>-0.11783517712658501</v>
      </c>
      <c r="Q3640">
        <v>0.134102877890943</v>
      </c>
      <c r="R3640">
        <v>0.99497892327043302</v>
      </c>
      <c r="S3640" t="s">
        <v>10446</v>
      </c>
      <c r="T3640" t="s">
        <v>13610</v>
      </c>
      <c r="U3640" t="s">
        <v>13610</v>
      </c>
      <c r="V3640" t="s">
        <v>13610</v>
      </c>
      <c r="W3640" t="s">
        <v>13836</v>
      </c>
      <c r="X3640">
        <v>6</v>
      </c>
      <c r="Y3640" t="s">
        <v>23799</v>
      </c>
      <c r="Z3640" t="s">
        <v>30495</v>
      </c>
      <c r="AA3640">
        <v>0.32402983163001031</v>
      </c>
      <c r="AB3640" t="str">
        <f>HYPERLINK("Melting_Curves/meltCurve_Q3ZCV1_USP38.pdf", "Melting_Curves/meltCurve_Q3ZCV1_USP38.pdf")</f>
        <v>Melting_Curves/meltCurve_Q3ZCV1_USP38.pdf</v>
      </c>
    </row>
    <row r="3641" spans="1:28" x14ac:dyDescent="0.25">
      <c r="A3641" t="s">
        <v>3645</v>
      </c>
      <c r="B3641">
        <v>0.995954080203443</v>
      </c>
      <c r="C3641">
        <v>0.86510218342271095</v>
      </c>
      <c r="D3641">
        <v>0.74981315133531201</v>
      </c>
      <c r="E3641">
        <v>0.63979612768475103</v>
      </c>
      <c r="F3641">
        <v>0.40582439632838502</v>
      </c>
      <c r="G3641">
        <v>0.21223586770959499</v>
      </c>
      <c r="H3641">
        <v>0.13775424474175199</v>
      </c>
      <c r="I3641">
        <v>0.135912077526778</v>
      </c>
      <c r="J3641">
        <v>0.12518673241146899</v>
      </c>
      <c r="K3641">
        <v>0.13799022512702799</v>
      </c>
      <c r="L3641">
        <v>631.12982457646399</v>
      </c>
      <c r="M3641">
        <v>12.496318919927401</v>
      </c>
      <c r="N3641">
        <v>51.171428761836601</v>
      </c>
      <c r="O3641">
        <v>49.264223981022297</v>
      </c>
      <c r="P3641">
        <v>-5.8666372371475803E-2</v>
      </c>
      <c r="Q3641">
        <v>7.5069268012009804E-2</v>
      </c>
      <c r="R3641">
        <v>0.98669805496746199</v>
      </c>
      <c r="S3641" t="s">
        <v>10447</v>
      </c>
      <c r="T3641" t="s">
        <v>13610</v>
      </c>
      <c r="U3641" t="s">
        <v>13610</v>
      </c>
      <c r="V3641" t="s">
        <v>13610</v>
      </c>
      <c r="W3641" t="s">
        <v>17194</v>
      </c>
      <c r="X3641">
        <v>8</v>
      </c>
      <c r="Y3641" t="s">
        <v>23800</v>
      </c>
      <c r="Z3641" t="s">
        <v>30496</v>
      </c>
      <c r="AA3641">
        <v>0.42817877085253719</v>
      </c>
      <c r="AB3641" t="str">
        <f>HYPERLINK("Melting_Curves/meltCurve_Q499Z4_ZNF672.pdf", "Melting_Curves/meltCurve_Q499Z4_ZNF672.pdf")</f>
        <v>Melting_Curves/meltCurve_Q499Z4_ZNF672.pdf</v>
      </c>
    </row>
    <row r="3642" spans="1:28" x14ac:dyDescent="0.25">
      <c r="A3642" t="s">
        <v>3646</v>
      </c>
      <c r="B3642">
        <v>0.995954080203443</v>
      </c>
      <c r="C3642">
        <v>1.0294819927555501</v>
      </c>
      <c r="D3642">
        <v>0.96392768132680795</v>
      </c>
      <c r="E3642">
        <v>0.95692074818753903</v>
      </c>
      <c r="F3642">
        <v>0.78817048399002598</v>
      </c>
      <c r="G3642">
        <v>0.60539667937286701</v>
      </c>
      <c r="H3642">
        <v>0.401826776237656</v>
      </c>
      <c r="I3642">
        <v>0.21196900903663801</v>
      </c>
      <c r="J3642">
        <v>7.2754396410784003E-2</v>
      </c>
      <c r="K3642">
        <v>8.2882357390213504E-2</v>
      </c>
      <c r="L3642">
        <v>888.088210041916</v>
      </c>
      <c r="M3642">
        <v>15.1606842144383</v>
      </c>
      <c r="N3642">
        <v>58.578373015250897</v>
      </c>
      <c r="O3642">
        <v>57.587555596617896</v>
      </c>
      <c r="P3642">
        <v>-6.5822181717050898E-2</v>
      </c>
      <c r="Q3642">
        <v>0</v>
      </c>
      <c r="R3642">
        <v>0.99295439207964298</v>
      </c>
      <c r="S3642" t="s">
        <v>10448</v>
      </c>
      <c r="T3642" t="s">
        <v>13610</v>
      </c>
      <c r="U3642" t="s">
        <v>13610</v>
      </c>
      <c r="V3642" t="s">
        <v>13610</v>
      </c>
      <c r="W3642" t="s">
        <v>17195</v>
      </c>
      <c r="X3642">
        <v>14</v>
      </c>
      <c r="Y3642" t="s">
        <v>23801</v>
      </c>
      <c r="Z3642" t="s">
        <v>30497</v>
      </c>
      <c r="AA3642">
        <v>0.63109621273999017</v>
      </c>
      <c r="AB3642" t="str">
        <f>HYPERLINK("Melting_Curves/meltCurve_Q49A26_2_GLYR1.pdf", "Melting_Curves/meltCurve_Q49A26_2_GLYR1.pdf")</f>
        <v>Melting_Curves/meltCurve_Q49A26_2_GLYR1.pdf</v>
      </c>
    </row>
    <row r="3643" spans="1:28" x14ac:dyDescent="0.25">
      <c r="A3643" t="s">
        <v>3647</v>
      </c>
      <c r="B3643">
        <v>0.995954080203443</v>
      </c>
      <c r="C3643">
        <v>0.937683108697135</v>
      </c>
      <c r="D3643">
        <v>1.0903692581536999</v>
      </c>
      <c r="E3643">
        <v>0.54490246222755301</v>
      </c>
      <c r="F3643">
        <v>0.78950844537332499</v>
      </c>
      <c r="G3643">
        <v>0.34022023111705602</v>
      </c>
      <c r="H3643">
        <v>0.28720722800679899</v>
      </c>
      <c r="I3643">
        <v>0.30558072532849501</v>
      </c>
      <c r="J3643">
        <v>0.39044670574777901</v>
      </c>
      <c r="K3643">
        <v>0.35053048036238499</v>
      </c>
      <c r="L3643">
        <v>940.66239768538196</v>
      </c>
      <c r="M3643">
        <v>18.212940980480401</v>
      </c>
      <c r="N3643">
        <v>54.637615587821998</v>
      </c>
      <c r="O3643">
        <v>51.037450202604397</v>
      </c>
      <c r="P3643">
        <v>-6.10762344523215E-2</v>
      </c>
      <c r="Q3643">
        <v>0.31542556289389201</v>
      </c>
      <c r="R3643">
        <v>0.85382995170002196</v>
      </c>
      <c r="S3643" t="s">
        <v>10449</v>
      </c>
      <c r="T3643" t="s">
        <v>13610</v>
      </c>
      <c r="U3643" t="s">
        <v>13610</v>
      </c>
      <c r="V3643" t="s">
        <v>13610</v>
      </c>
      <c r="W3643" t="s">
        <v>17196</v>
      </c>
      <c r="X3643">
        <v>3</v>
      </c>
      <c r="Y3643" t="s">
        <v>23802</v>
      </c>
      <c r="Z3643" t="s">
        <v>30498</v>
      </c>
      <c r="AA3643">
        <v>0.59243590952179448</v>
      </c>
      <c r="AB3643" t="str">
        <f>HYPERLINK("Melting_Curves/meltCurve_Q49AN0_2_CRY2.pdf", "Melting_Curves/meltCurve_Q49AN0_2_CRY2.pdf")</f>
        <v>Melting_Curves/meltCurve_Q49AN0_2_CRY2.pdf</v>
      </c>
    </row>
    <row r="3644" spans="1:28" x14ac:dyDescent="0.25">
      <c r="A3644" t="s">
        <v>3648</v>
      </c>
      <c r="B3644">
        <v>0.995954080203443</v>
      </c>
      <c r="C3644">
        <v>1.01360769534549</v>
      </c>
      <c r="D3644">
        <v>0.99093437314994304</v>
      </c>
      <c r="E3644">
        <v>0.65040567897808199</v>
      </c>
      <c r="F3644">
        <v>0.37825972713372003</v>
      </c>
      <c r="G3644">
        <v>0.18184430371089999</v>
      </c>
      <c r="H3644">
        <v>9.5156882437093901E-2</v>
      </c>
      <c r="I3644">
        <v>8.2409968765608396E-2</v>
      </c>
      <c r="J3644">
        <v>8.5213855623631193E-2</v>
      </c>
      <c r="K3644">
        <v>8.2879159996016805E-2</v>
      </c>
      <c r="L3644">
        <v>1230.00525268656</v>
      </c>
      <c r="M3644">
        <v>23.993597738613602</v>
      </c>
      <c r="N3644">
        <v>51.657656364277699</v>
      </c>
      <c r="O3644">
        <v>50.911775323554998</v>
      </c>
      <c r="P3644">
        <v>-0.107974910787203</v>
      </c>
      <c r="Q3644">
        <v>8.3570968025404396E-2</v>
      </c>
      <c r="R3644">
        <v>0.99738736698310404</v>
      </c>
      <c r="S3644" t="s">
        <v>10450</v>
      </c>
      <c r="T3644" t="s">
        <v>13610</v>
      </c>
      <c r="U3644" t="s">
        <v>13610</v>
      </c>
      <c r="V3644" t="s">
        <v>13610</v>
      </c>
      <c r="W3644" t="s">
        <v>17197</v>
      </c>
      <c r="X3644">
        <v>6</v>
      </c>
      <c r="Y3644" t="s">
        <v>23803</v>
      </c>
      <c r="Z3644" t="s">
        <v>30499</v>
      </c>
      <c r="AA3644">
        <v>0.43665136995546228</v>
      </c>
      <c r="AB3644" t="str">
        <f>HYPERLINK("Melting_Curves/meltCurve_Q49AR2_C5orf22.pdf", "Melting_Curves/meltCurve_Q49AR2_C5orf22.pdf")</f>
        <v>Melting_Curves/meltCurve_Q49AR2_C5orf22.pdf</v>
      </c>
    </row>
    <row r="3645" spans="1:28" x14ac:dyDescent="0.25">
      <c r="A3645" t="s">
        <v>3649</v>
      </c>
      <c r="B3645">
        <v>0.995954080203443</v>
      </c>
      <c r="C3645">
        <v>1.03116666920012</v>
      </c>
      <c r="D3645">
        <v>1.0312541101371899</v>
      </c>
      <c r="E3645">
        <v>0.95480838464615503</v>
      </c>
      <c r="F3645">
        <v>0.86445330749436899</v>
      </c>
      <c r="G3645">
        <v>0.70602537199009097</v>
      </c>
      <c r="H3645">
        <v>0.69242257493783699</v>
      </c>
      <c r="I3645">
        <v>0.80649500544085095</v>
      </c>
      <c r="J3645">
        <v>1.00514116852199</v>
      </c>
      <c r="K3645">
        <v>0.89069403851830098</v>
      </c>
      <c r="L3645">
        <v>2595.60260029246</v>
      </c>
      <c r="M3645">
        <v>50.615973941441801</v>
      </c>
      <c r="O3645">
        <v>51.200463393966402</v>
      </c>
      <c r="P3645">
        <v>-4.3976251428794397E-2</v>
      </c>
      <c r="Q3645">
        <v>0.82206391859339101</v>
      </c>
      <c r="R3645">
        <v>0.52011832371549604</v>
      </c>
      <c r="S3645" t="s">
        <v>10451</v>
      </c>
      <c r="T3645" t="s">
        <v>13610</v>
      </c>
      <c r="U3645" t="s">
        <v>13610</v>
      </c>
      <c r="V3645" t="s">
        <v>13610</v>
      </c>
      <c r="W3645" t="s">
        <v>17198</v>
      </c>
      <c r="X3645">
        <v>5</v>
      </c>
      <c r="Y3645" t="s">
        <v>23804</v>
      </c>
      <c r="Z3645" t="s">
        <v>30500</v>
      </c>
      <c r="AA3645">
        <v>0.88936238367830023</v>
      </c>
      <c r="AB3645" t="str">
        <f>HYPERLINK("Melting_Curves/meltCurve_Q49B96_COX19.pdf", "Melting_Curves/meltCurve_Q49B96_COX19.pdf")</f>
        <v>Melting_Curves/meltCurve_Q49B96_COX19.pdf</v>
      </c>
    </row>
    <row r="3646" spans="1:28" x14ac:dyDescent="0.25">
      <c r="A3646" t="s">
        <v>3650</v>
      </c>
      <c r="B3646">
        <v>0.995954080203443</v>
      </c>
      <c r="C3646">
        <v>1.33165603605806</v>
      </c>
      <c r="D3646">
        <v>1.8480702790436301</v>
      </c>
      <c r="E3646">
        <v>0.998366685089905</v>
      </c>
      <c r="F3646">
        <v>2.6787727657333602</v>
      </c>
      <c r="G3646">
        <v>2.2377053969928999</v>
      </c>
      <c r="H3646">
        <v>2.4674161444120699</v>
      </c>
      <c r="I3646">
        <v>3.8189480521704602</v>
      </c>
      <c r="J3646">
        <v>3.7707812074804998</v>
      </c>
      <c r="K3646">
        <v>4.8932809332988896</v>
      </c>
      <c r="S3646" t="s">
        <v>10452</v>
      </c>
      <c r="T3646" t="s">
        <v>13610</v>
      </c>
      <c r="U3646" t="s">
        <v>13611</v>
      </c>
      <c r="V3646" t="s">
        <v>13610</v>
      </c>
      <c r="W3646" t="s">
        <v>17199</v>
      </c>
      <c r="X3646">
        <v>2</v>
      </c>
      <c r="Y3646" t="s">
        <v>23805</v>
      </c>
      <c r="Z3646" t="s">
        <v>30501</v>
      </c>
      <c r="AB3646" t="str">
        <f>HYPERLINK("Melting_Curves/meltCurve_Q4G0A6_FAM188B.pdf", "Melting_Curves/meltCurve_Q4G0A6_FAM188B.pdf")</f>
        <v>Melting_Curves/meltCurve_Q4G0A6_FAM188B.pdf</v>
      </c>
    </row>
    <row r="3647" spans="1:28" x14ac:dyDescent="0.25">
      <c r="A3647" t="s">
        <v>3651</v>
      </c>
      <c r="B3647">
        <v>0.995954080203443</v>
      </c>
      <c r="C3647">
        <v>0.94260228253701495</v>
      </c>
      <c r="D3647">
        <v>0.83475190077589101</v>
      </c>
      <c r="E3647">
        <v>0.76910765923729896</v>
      </c>
      <c r="F3647">
        <v>0.45638996539045001</v>
      </c>
      <c r="G3647">
        <v>0.26729136165859901</v>
      </c>
      <c r="H3647">
        <v>0.113786891594838</v>
      </c>
      <c r="I3647">
        <v>9.68744646247236E-2</v>
      </c>
      <c r="J3647">
        <v>9.9099428872142806E-2</v>
      </c>
      <c r="K3647">
        <v>0.100545256209395</v>
      </c>
      <c r="L3647">
        <v>831.44751313687004</v>
      </c>
      <c r="M3647">
        <v>15.881587491101</v>
      </c>
      <c r="N3647">
        <v>52.766251836211701</v>
      </c>
      <c r="O3647">
        <v>51.543938916468697</v>
      </c>
      <c r="P3647">
        <v>-7.2529860244265804E-2</v>
      </c>
      <c r="Q3647">
        <v>5.8488459807174001E-2</v>
      </c>
      <c r="R3647">
        <v>0.98932076855511297</v>
      </c>
      <c r="S3647" t="s">
        <v>10453</v>
      </c>
      <c r="T3647" t="s">
        <v>13610</v>
      </c>
      <c r="U3647" t="s">
        <v>13610</v>
      </c>
      <c r="V3647" t="s">
        <v>13610</v>
      </c>
      <c r="W3647" t="s">
        <v>17200</v>
      </c>
      <c r="X3647">
        <v>19</v>
      </c>
      <c r="Y3647" t="s">
        <v>23806</v>
      </c>
      <c r="Z3647" t="s">
        <v>30502</v>
      </c>
      <c r="AA3647">
        <v>0.46523292834288138</v>
      </c>
      <c r="AB3647" t="str">
        <f>HYPERLINK("Melting_Curves/meltCurve_Q4G0F5_VPS26B.pdf", "Melting_Curves/meltCurve_Q4G0F5_VPS26B.pdf")</f>
        <v>Melting_Curves/meltCurve_Q4G0F5_VPS26B.pdf</v>
      </c>
    </row>
    <row r="3648" spans="1:28" x14ac:dyDescent="0.25">
      <c r="A3648" t="s">
        <v>3652</v>
      </c>
      <c r="B3648">
        <v>0.995954080203443</v>
      </c>
      <c r="C3648">
        <v>0.80278051298237396</v>
      </c>
      <c r="D3648">
        <v>0.71460374863464404</v>
      </c>
      <c r="E3648">
        <v>0.70201915642276902</v>
      </c>
      <c r="F3648">
        <v>0.48928029907931597</v>
      </c>
      <c r="G3648">
        <v>0.25658210093431799</v>
      </c>
      <c r="H3648">
        <v>0.16539253950562399</v>
      </c>
      <c r="I3648">
        <v>0.15677547038468301</v>
      </c>
      <c r="J3648">
        <v>0.17873809313308101</v>
      </c>
      <c r="K3648">
        <v>0.16864405099767801</v>
      </c>
      <c r="L3648">
        <v>506.56176019844003</v>
      </c>
      <c r="M3648">
        <v>9.8705283748466996</v>
      </c>
      <c r="N3648">
        <v>52.027301832778299</v>
      </c>
      <c r="O3648">
        <v>49.347297152153899</v>
      </c>
      <c r="P3648">
        <v>-4.6892302970244798E-2</v>
      </c>
      <c r="Q3648">
        <v>6.2734710836675506E-2</v>
      </c>
      <c r="R3648">
        <v>0.96076885460558104</v>
      </c>
      <c r="S3648" t="s">
        <v>10454</v>
      </c>
      <c r="T3648" t="s">
        <v>13610</v>
      </c>
      <c r="U3648" t="s">
        <v>13610</v>
      </c>
      <c r="V3648" t="s">
        <v>13610</v>
      </c>
      <c r="W3648" t="s">
        <v>17201</v>
      </c>
      <c r="X3648">
        <v>30</v>
      </c>
      <c r="Y3648" t="s">
        <v>23807</v>
      </c>
      <c r="Z3648" t="s">
        <v>30503</v>
      </c>
      <c r="AA3648">
        <v>0.45490416722625671</v>
      </c>
      <c r="AB3648" t="str">
        <f>HYPERLINK("Melting_Curves/meltCurve_Q4G0J3_LARP7.pdf", "Melting_Curves/meltCurve_Q4G0J3_LARP7.pdf")</f>
        <v>Melting_Curves/meltCurve_Q4G0J3_LARP7.pdf</v>
      </c>
    </row>
    <row r="3649" spans="1:28" x14ac:dyDescent="0.25">
      <c r="A3649" t="s">
        <v>3653</v>
      </c>
      <c r="B3649">
        <v>0.995954080203443</v>
      </c>
      <c r="C3649">
        <v>1.0301736057534301</v>
      </c>
      <c r="D3649">
        <v>1.04189920062754</v>
      </c>
      <c r="E3649">
        <v>0.81917721481911099</v>
      </c>
      <c r="F3649">
        <v>0.33650909588543099</v>
      </c>
      <c r="G3649">
        <v>0.10546869381295999</v>
      </c>
      <c r="H3649">
        <v>6.68444383130192E-2</v>
      </c>
      <c r="I3649">
        <v>6.387755178033E-2</v>
      </c>
      <c r="J3649">
        <v>6.7210591552558901E-2</v>
      </c>
      <c r="K3649">
        <v>6.4596175290025606E-2</v>
      </c>
      <c r="L3649">
        <v>2069.4138885342099</v>
      </c>
      <c r="M3649">
        <v>39.944852100657499</v>
      </c>
      <c r="N3649">
        <v>51.997063105159697</v>
      </c>
      <c r="O3649">
        <v>51.677456322769203</v>
      </c>
      <c r="P3649">
        <v>-0.18010115079067601</v>
      </c>
      <c r="Q3649">
        <v>6.8000381330861698E-2</v>
      </c>
      <c r="R3649">
        <v>0.998115716285356</v>
      </c>
      <c r="S3649" t="s">
        <v>10455</v>
      </c>
      <c r="T3649" t="s">
        <v>13610</v>
      </c>
      <c r="U3649" t="s">
        <v>13610</v>
      </c>
      <c r="V3649" t="s">
        <v>13610</v>
      </c>
      <c r="W3649" t="s">
        <v>17202</v>
      </c>
      <c r="X3649">
        <v>24</v>
      </c>
      <c r="Y3649" t="s">
        <v>23808</v>
      </c>
      <c r="Z3649" t="s">
        <v>30504</v>
      </c>
      <c r="AA3649">
        <v>0.43814282863493759</v>
      </c>
      <c r="AB3649" t="str">
        <f>HYPERLINK("Melting_Curves/meltCurve_Q4G0N4_NADKD1.pdf", "Melting_Curves/meltCurve_Q4G0N4_NADKD1.pdf")</f>
        <v>Melting_Curves/meltCurve_Q4G0N4_NADKD1.pdf</v>
      </c>
    </row>
    <row r="3650" spans="1:28" x14ac:dyDescent="0.25">
      <c r="A3650" t="s">
        <v>3654</v>
      </c>
      <c r="B3650">
        <v>0.995954080203443</v>
      </c>
      <c r="C3650">
        <v>1.18003401602312</v>
      </c>
      <c r="D3650">
        <v>1.22770919546788</v>
      </c>
      <c r="E3650">
        <v>0.94789703712127904</v>
      </c>
      <c r="F3650">
        <v>1.0249561066667101</v>
      </c>
      <c r="G3650">
        <v>0.79568753709323603</v>
      </c>
      <c r="H3650">
        <v>0.649744101990681</v>
      </c>
      <c r="I3650">
        <v>0.61681042280101395</v>
      </c>
      <c r="J3650">
        <v>0.83740423403841602</v>
      </c>
      <c r="K3650">
        <v>0.66090605743944297</v>
      </c>
      <c r="L3650">
        <v>14211.7679421925</v>
      </c>
      <c r="M3650">
        <v>250</v>
      </c>
      <c r="O3650">
        <v>56.8434337713839</v>
      </c>
      <c r="P3650">
        <v>-0.33951128636257799</v>
      </c>
      <c r="Q3650">
        <v>0.69121620234686898</v>
      </c>
      <c r="R3650">
        <v>0.725819152371452</v>
      </c>
      <c r="S3650" t="s">
        <v>10456</v>
      </c>
      <c r="T3650" t="s">
        <v>13610</v>
      </c>
      <c r="U3650" t="s">
        <v>13610</v>
      </c>
      <c r="V3650" t="s">
        <v>13610</v>
      </c>
      <c r="W3650" t="s">
        <v>17203</v>
      </c>
      <c r="X3650">
        <v>1</v>
      </c>
      <c r="Y3650" t="s">
        <v>23809</v>
      </c>
      <c r="Z3650" t="s">
        <v>30505</v>
      </c>
      <c r="AA3650">
        <v>0.86465043505654127</v>
      </c>
      <c r="AB3650" t="str">
        <f>HYPERLINK("Melting_Curves/meltCurve_Q4G0W3_COL14A1.pdf", "Melting_Curves/meltCurve_Q4G0W3_COL14A1.pdf")</f>
        <v>Melting_Curves/meltCurve_Q4G0W3_COL14A1.pdf</v>
      </c>
    </row>
    <row r="3651" spans="1:28" x14ac:dyDescent="0.25">
      <c r="A3651" t="s">
        <v>3655</v>
      </c>
      <c r="B3651">
        <v>0.995954080203443</v>
      </c>
      <c r="C3651">
        <v>0.82465485617075496</v>
      </c>
      <c r="D3651">
        <v>0.83020295808093603</v>
      </c>
      <c r="E3651">
        <v>0.31204518069347098</v>
      </c>
      <c r="F3651">
        <v>0.22763396878540701</v>
      </c>
      <c r="G3651">
        <v>0.12982412149709499</v>
      </c>
      <c r="H3651">
        <v>9.7322155041046604E-2</v>
      </c>
      <c r="I3651">
        <v>0.108485988927202</v>
      </c>
      <c r="J3651">
        <v>0.118043115510837</v>
      </c>
      <c r="K3651">
        <v>0.115891344630107</v>
      </c>
      <c r="L3651">
        <v>1092.0298389059701</v>
      </c>
      <c r="M3651">
        <v>22.760208600672701</v>
      </c>
      <c r="N3651">
        <v>48.494083393665598</v>
      </c>
      <c r="O3651">
        <v>47.613978344460499</v>
      </c>
      <c r="P3651">
        <v>-0.106691767450471</v>
      </c>
      <c r="Q3651">
        <v>0.107227410607679</v>
      </c>
      <c r="R3651">
        <v>0.97995485788501802</v>
      </c>
      <c r="S3651" t="s">
        <v>10457</v>
      </c>
      <c r="T3651" t="s">
        <v>13610</v>
      </c>
      <c r="U3651" t="s">
        <v>13610</v>
      </c>
      <c r="V3651" t="s">
        <v>13610</v>
      </c>
      <c r="W3651" t="s">
        <v>17204</v>
      </c>
      <c r="X3651">
        <v>14</v>
      </c>
      <c r="Y3651" t="s">
        <v>23810</v>
      </c>
      <c r="Z3651" t="s">
        <v>30506</v>
      </c>
      <c r="AA3651">
        <v>0.35433601663736408</v>
      </c>
      <c r="AB3651" t="str">
        <f>HYPERLINK("Melting_Curves/meltCurve_Q4G176_ACSF3.pdf", "Melting_Curves/meltCurve_Q4G176_ACSF3.pdf")</f>
        <v>Melting_Curves/meltCurve_Q4G176_ACSF3.pdf</v>
      </c>
    </row>
    <row r="3652" spans="1:28" x14ac:dyDescent="0.25">
      <c r="A3652" t="s">
        <v>3656</v>
      </c>
      <c r="B3652">
        <v>0.995954080203443</v>
      </c>
      <c r="C3652">
        <v>1.02445290026444</v>
      </c>
      <c r="D3652">
        <v>1.0085562092074201</v>
      </c>
      <c r="E3652">
        <v>0.80049056257671003</v>
      </c>
      <c r="F3652">
        <v>0.42253903821281702</v>
      </c>
      <c r="G3652">
        <v>0.142047821768781</v>
      </c>
      <c r="H3652">
        <v>9.3806662874107896E-2</v>
      </c>
      <c r="I3652">
        <v>8.1650150469014499E-2</v>
      </c>
      <c r="J3652">
        <v>0.101896218706456</v>
      </c>
      <c r="K3652">
        <v>8.7106525346619598E-2</v>
      </c>
      <c r="L3652">
        <v>1657.6926637010399</v>
      </c>
      <c r="M3652">
        <v>31.840101749375499</v>
      </c>
      <c r="N3652">
        <v>52.382695779037697</v>
      </c>
      <c r="O3652">
        <v>51.858967130617003</v>
      </c>
      <c r="P3652">
        <v>-0.139942081397116</v>
      </c>
      <c r="Q3652">
        <v>8.8292550918895193E-2</v>
      </c>
      <c r="R3652">
        <v>0.99912322522213104</v>
      </c>
      <c r="S3652" t="s">
        <v>10458</v>
      </c>
      <c r="T3652" t="s">
        <v>13610</v>
      </c>
      <c r="U3652" t="s">
        <v>13610</v>
      </c>
      <c r="V3652" t="s">
        <v>13610</v>
      </c>
      <c r="W3652" t="s">
        <v>17205</v>
      </c>
      <c r="X3652">
        <v>17</v>
      </c>
      <c r="Y3652" t="s">
        <v>23811</v>
      </c>
      <c r="Z3652" t="s">
        <v>30507</v>
      </c>
      <c r="AA3652">
        <v>0.4600718877544448</v>
      </c>
      <c r="AB3652" t="str">
        <f>HYPERLINK("Melting_Curves/meltCurve_Q4J6C6_4_PREPL.pdf", "Melting_Curves/meltCurve_Q4J6C6_4_PREPL.pdf")</f>
        <v>Melting_Curves/meltCurve_Q4J6C6_4_PREPL.pdf</v>
      </c>
    </row>
    <row r="3653" spans="1:28" x14ac:dyDescent="0.25">
      <c r="A3653" t="s">
        <v>3657</v>
      </c>
      <c r="B3653">
        <v>0.995954080203443</v>
      </c>
      <c r="C3653">
        <v>0.91188121595651495</v>
      </c>
      <c r="D3653">
        <v>0.98360219784411396</v>
      </c>
      <c r="E3653">
        <v>0.84435853865452304</v>
      </c>
      <c r="F3653">
        <v>0.87789208334218005</v>
      </c>
      <c r="G3653">
        <v>0.58482239301510697</v>
      </c>
      <c r="H3653">
        <v>0.64797330406239895</v>
      </c>
      <c r="I3653">
        <v>0.79807456065986304</v>
      </c>
      <c r="J3653">
        <v>0.92754753274917601</v>
      </c>
      <c r="K3653">
        <v>0.891511509008445</v>
      </c>
      <c r="L3653">
        <v>1393.17318400153</v>
      </c>
      <c r="M3653">
        <v>28.474768627511899</v>
      </c>
      <c r="O3653">
        <v>48.687156919434202</v>
      </c>
      <c r="P3653">
        <v>-3.19575888568671E-2</v>
      </c>
      <c r="Q3653">
        <v>0.78143282803522296</v>
      </c>
      <c r="R3653">
        <v>0.36497548359357601</v>
      </c>
      <c r="S3653" t="s">
        <v>10459</v>
      </c>
      <c r="T3653" t="s">
        <v>13610</v>
      </c>
      <c r="U3653" t="s">
        <v>13610</v>
      </c>
      <c r="V3653" t="s">
        <v>13610</v>
      </c>
      <c r="W3653" t="s">
        <v>17206</v>
      </c>
      <c r="X3653">
        <v>16</v>
      </c>
      <c r="Y3653" t="s">
        <v>23812</v>
      </c>
      <c r="Z3653" t="s">
        <v>30508</v>
      </c>
      <c r="AA3653">
        <v>0.84794844281780102</v>
      </c>
      <c r="AB3653" t="str">
        <f>HYPERLINK("Melting_Curves/meltCurve_Q4KMP7_TBC1D10B.pdf", "Melting_Curves/meltCurve_Q4KMP7_TBC1D10B.pdf")</f>
        <v>Melting_Curves/meltCurve_Q4KMP7_TBC1D10B.pdf</v>
      </c>
    </row>
    <row r="3654" spans="1:28" x14ac:dyDescent="0.25">
      <c r="A3654" t="s">
        <v>3658</v>
      </c>
      <c r="B3654">
        <v>0.995954080203443</v>
      </c>
      <c r="C3654">
        <v>1.0060114860160201</v>
      </c>
      <c r="D3654">
        <v>0.92647141177755199</v>
      </c>
      <c r="E3654">
        <v>0.80542651576531399</v>
      </c>
      <c r="F3654">
        <v>0.212740692482562</v>
      </c>
      <c r="G3654">
        <v>8.8376789713828799E-2</v>
      </c>
      <c r="H3654">
        <v>4.4524295224824401E-2</v>
      </c>
      <c r="I3654">
        <v>1.7295826923750899E-2</v>
      </c>
      <c r="J3654">
        <v>1.3711619041625E-2</v>
      </c>
      <c r="K3654">
        <v>9.9273629179157108E-3</v>
      </c>
      <c r="L3654">
        <v>2421.5042835704498</v>
      </c>
      <c r="M3654">
        <v>47.096753900615902</v>
      </c>
      <c r="N3654">
        <v>51.486514382146801</v>
      </c>
      <c r="O3654">
        <v>51.323085982945003</v>
      </c>
      <c r="P3654">
        <v>-0.22220234749210299</v>
      </c>
      <c r="Q3654">
        <v>3.1432440544785202E-2</v>
      </c>
      <c r="R3654">
        <v>0.99548163070015605</v>
      </c>
      <c r="S3654" t="s">
        <v>10460</v>
      </c>
      <c r="T3654" t="s">
        <v>13610</v>
      </c>
      <c r="U3654" t="s">
        <v>13610</v>
      </c>
      <c r="V3654" t="s">
        <v>13610</v>
      </c>
      <c r="W3654" t="s">
        <v>17207</v>
      </c>
      <c r="X3654">
        <v>2</v>
      </c>
      <c r="Y3654" t="s">
        <v>23813</v>
      </c>
      <c r="Z3654" t="s">
        <v>30509</v>
      </c>
      <c r="AA3654">
        <v>0.40246671233705972</v>
      </c>
      <c r="AB3654" t="str">
        <f>HYPERLINK("Melting_Curves/meltCurve_Q4KWH8_3_PLCH1.pdf", "Melting_Curves/meltCurve_Q4KWH8_3_PLCH1.pdf")</f>
        <v>Melting_Curves/meltCurve_Q4KWH8_3_PLCH1.pdf</v>
      </c>
    </row>
    <row r="3655" spans="1:28" x14ac:dyDescent="0.25">
      <c r="A3655" t="s">
        <v>3659</v>
      </c>
      <c r="B3655">
        <v>0.995954080203443</v>
      </c>
      <c r="C3655">
        <v>0.95109308334297704</v>
      </c>
      <c r="D3655">
        <v>0.94125380024574001</v>
      </c>
      <c r="E3655">
        <v>0.64256712473282396</v>
      </c>
      <c r="F3655">
        <v>0.55479289573699597</v>
      </c>
      <c r="G3655">
        <v>0.44619160708724998</v>
      </c>
      <c r="H3655">
        <v>0.42565781959009602</v>
      </c>
      <c r="I3655">
        <v>0.55137549846928802</v>
      </c>
      <c r="J3655">
        <v>0.62531879122947998</v>
      </c>
      <c r="K3655">
        <v>0.67850031775133601</v>
      </c>
      <c r="L3655">
        <v>1856.6837525369699</v>
      </c>
      <c r="M3655">
        <v>38.482357223701399</v>
      </c>
      <c r="O3655">
        <v>48.117909599611899</v>
      </c>
      <c r="P3655">
        <v>-9.0981189572821294E-2</v>
      </c>
      <c r="Q3655">
        <v>0.54495350337322601</v>
      </c>
      <c r="R3655">
        <v>0.87249286952608396</v>
      </c>
      <c r="S3655" t="s">
        <v>10461</v>
      </c>
      <c r="T3655" t="s">
        <v>13610</v>
      </c>
      <c r="U3655" t="s">
        <v>13610</v>
      </c>
      <c r="V3655" t="s">
        <v>13610</v>
      </c>
      <c r="W3655" t="s">
        <v>17208</v>
      </c>
      <c r="X3655">
        <v>14</v>
      </c>
      <c r="Y3655" t="s">
        <v>23814</v>
      </c>
      <c r="Z3655" t="s">
        <v>30510</v>
      </c>
      <c r="AA3655">
        <v>0.67170133174340807</v>
      </c>
      <c r="AB3655" t="str">
        <f>HYPERLINK("Melting_Curves/meltCurve_Q4LE39_2_ARID4B.pdf", "Melting_Curves/meltCurve_Q4LE39_2_ARID4B.pdf")</f>
        <v>Melting_Curves/meltCurve_Q4LE39_2_ARID4B.pdf</v>
      </c>
    </row>
    <row r="3656" spans="1:28" x14ac:dyDescent="0.25">
      <c r="A3656" t="s">
        <v>3660</v>
      </c>
      <c r="B3656">
        <v>0.995954080203443</v>
      </c>
      <c r="C3656">
        <v>1.0046486772636101</v>
      </c>
      <c r="D3656">
        <v>0.963564042153224</v>
      </c>
      <c r="E3656">
        <v>0.86600615136532599</v>
      </c>
      <c r="F3656">
        <v>0.72063691744893399</v>
      </c>
      <c r="G3656">
        <v>0.55236201949908004</v>
      </c>
      <c r="H3656">
        <v>0.46945168029356699</v>
      </c>
      <c r="I3656">
        <v>0.52497038733657797</v>
      </c>
      <c r="J3656">
        <v>0.62762031440468702</v>
      </c>
      <c r="K3656">
        <v>0.60961194060069102</v>
      </c>
      <c r="L3656">
        <v>1519.11451595019</v>
      </c>
      <c r="M3656">
        <v>29.413926519432799</v>
      </c>
      <c r="O3656">
        <v>51.409145707387097</v>
      </c>
      <c r="P3656">
        <v>-6.39166468817466E-2</v>
      </c>
      <c r="Q3656">
        <v>0.55315357253014696</v>
      </c>
      <c r="R3656">
        <v>0.94950789208161401</v>
      </c>
      <c r="S3656" t="s">
        <v>10462</v>
      </c>
      <c r="T3656" t="s">
        <v>13610</v>
      </c>
      <c r="U3656" t="s">
        <v>13610</v>
      </c>
      <c r="V3656" t="s">
        <v>13610</v>
      </c>
      <c r="W3656" t="s">
        <v>17209</v>
      </c>
      <c r="X3656">
        <v>52</v>
      </c>
      <c r="Y3656" t="s">
        <v>23815</v>
      </c>
      <c r="Z3656" t="s">
        <v>30511</v>
      </c>
      <c r="AA3656">
        <v>0.72957351748032495</v>
      </c>
      <c r="AB3656" t="str">
        <f>HYPERLINK("Melting_Curves/meltCurve_Q4V328_GRIPAP1.pdf", "Melting_Curves/meltCurve_Q4V328_GRIPAP1.pdf")</f>
        <v>Melting_Curves/meltCurve_Q4V328_GRIPAP1.pdf</v>
      </c>
    </row>
    <row r="3657" spans="1:28" x14ac:dyDescent="0.25">
      <c r="A3657" t="s">
        <v>3661</v>
      </c>
      <c r="B3657">
        <v>0.995954080203443</v>
      </c>
      <c r="C3657">
        <v>0.99603500190190997</v>
      </c>
      <c r="D3657">
        <v>0.724690111738028</v>
      </c>
      <c r="E3657">
        <v>0.62721497407798799</v>
      </c>
      <c r="F3657">
        <v>0.399203913610641</v>
      </c>
      <c r="G3657">
        <v>0.223792618261973</v>
      </c>
      <c r="H3657">
        <v>0.24204642871049101</v>
      </c>
      <c r="I3657">
        <v>0.287202480213537</v>
      </c>
      <c r="J3657">
        <v>0.264345816702867</v>
      </c>
      <c r="K3657">
        <v>0.31426391945148302</v>
      </c>
      <c r="L3657">
        <v>868.421606513602</v>
      </c>
      <c r="M3657">
        <v>17.7892265024003</v>
      </c>
      <c r="N3657">
        <v>50.846734261419599</v>
      </c>
      <c r="O3657">
        <v>48.212917662402198</v>
      </c>
      <c r="P3657">
        <v>-6.8799861926087197E-2</v>
      </c>
      <c r="Q3657">
        <v>0.25418436042262899</v>
      </c>
      <c r="R3657">
        <v>0.966076918744321</v>
      </c>
      <c r="S3657" t="s">
        <v>10463</v>
      </c>
      <c r="T3657" t="s">
        <v>13610</v>
      </c>
      <c r="U3657" t="s">
        <v>13610</v>
      </c>
      <c r="V3657" t="s">
        <v>13610</v>
      </c>
      <c r="W3657" t="s">
        <v>17210</v>
      </c>
      <c r="X3657">
        <v>6</v>
      </c>
      <c r="Y3657" t="s">
        <v>23816</v>
      </c>
      <c r="Z3657" t="s">
        <v>30512</v>
      </c>
      <c r="AA3657">
        <v>0.48666146457695281</v>
      </c>
      <c r="AB3657" t="str">
        <f>HYPERLINK("Melting_Curves/meltCurve_Q4VC05_BCL7A.pdf", "Melting_Curves/meltCurve_Q4VC05_BCL7A.pdf")</f>
        <v>Melting_Curves/meltCurve_Q4VC05_BCL7A.pdf</v>
      </c>
    </row>
    <row r="3658" spans="1:28" x14ac:dyDescent="0.25">
      <c r="A3658" t="s">
        <v>3662</v>
      </c>
      <c r="B3658">
        <v>0.995954080203443</v>
      </c>
      <c r="C3658">
        <v>0.75391692706086499</v>
      </c>
      <c r="D3658">
        <v>0.54201863845381404</v>
      </c>
      <c r="E3658">
        <v>0.41632402314532502</v>
      </c>
      <c r="F3658">
        <v>0.400329977223842</v>
      </c>
      <c r="G3658">
        <v>0.38380614356452603</v>
      </c>
      <c r="H3658">
        <v>0.416425958958339</v>
      </c>
      <c r="I3658">
        <v>0.54670041899139399</v>
      </c>
      <c r="J3658">
        <v>0.58310195332034498</v>
      </c>
      <c r="K3658">
        <v>0.684105459095385</v>
      </c>
      <c r="L3658">
        <v>1843.8336867722001</v>
      </c>
      <c r="M3658">
        <v>42.872900217805402</v>
      </c>
      <c r="N3658">
        <v>47.654494517330697</v>
      </c>
      <c r="O3658">
        <v>42.913727161836498</v>
      </c>
      <c r="P3658">
        <v>-0.126789511520677</v>
      </c>
      <c r="Q3658">
        <v>0.49235987042281698</v>
      </c>
      <c r="R3658">
        <v>0.76302953077103097</v>
      </c>
      <c r="S3658" t="s">
        <v>10464</v>
      </c>
      <c r="T3658" t="s">
        <v>13610</v>
      </c>
      <c r="U3658" t="s">
        <v>13610</v>
      </c>
      <c r="V3658" t="s">
        <v>13610</v>
      </c>
      <c r="W3658" t="s">
        <v>17211</v>
      </c>
      <c r="X3658">
        <v>6</v>
      </c>
      <c r="Y3658" t="s">
        <v>23816</v>
      </c>
      <c r="Z3658" t="s">
        <v>30513</v>
      </c>
      <c r="AA3658">
        <v>0.54510436389532047</v>
      </c>
      <c r="AB3658" t="str">
        <f>HYPERLINK("Melting_Curves/meltCurve_Q4VC05_2_BCL7A.pdf", "Melting_Curves/meltCurve_Q4VC05_2_BCL7A.pdf")</f>
        <v>Melting_Curves/meltCurve_Q4VC05_2_BCL7A.pdf</v>
      </c>
    </row>
    <row r="3659" spans="1:28" x14ac:dyDescent="0.25">
      <c r="A3659" t="s">
        <v>3663</v>
      </c>
      <c r="B3659">
        <v>0.995954080203443</v>
      </c>
      <c r="C3659">
        <v>0.91442568373088595</v>
      </c>
      <c r="D3659">
        <v>0.84424574243930595</v>
      </c>
      <c r="E3659">
        <v>0.74296550639287595</v>
      </c>
      <c r="F3659">
        <v>0.62221307561064398</v>
      </c>
      <c r="G3659">
        <v>0.482860205960704</v>
      </c>
      <c r="H3659">
        <v>0.42433227497394199</v>
      </c>
      <c r="I3659">
        <v>0.51345841373641998</v>
      </c>
      <c r="J3659">
        <v>0.63603069965263404</v>
      </c>
      <c r="K3659">
        <v>0.60995791017853795</v>
      </c>
      <c r="L3659">
        <v>843.79196922270103</v>
      </c>
      <c r="M3659">
        <v>17.509586529287901</v>
      </c>
      <c r="O3659">
        <v>47.574888377405699</v>
      </c>
      <c r="P3659">
        <v>-4.3150112191790602E-2</v>
      </c>
      <c r="Q3659">
        <v>0.53105715333238301</v>
      </c>
      <c r="R3659">
        <v>0.87492154052503901</v>
      </c>
      <c r="S3659" t="s">
        <v>10465</v>
      </c>
      <c r="T3659" t="s">
        <v>13610</v>
      </c>
      <c r="U3659" t="s">
        <v>13610</v>
      </c>
      <c r="V3659" t="s">
        <v>13610</v>
      </c>
      <c r="W3659" t="s">
        <v>17212</v>
      </c>
      <c r="X3659">
        <v>4</v>
      </c>
      <c r="Y3659" t="s">
        <v>23817</v>
      </c>
      <c r="Z3659" t="s">
        <v>30514</v>
      </c>
      <c r="AA3659">
        <v>0.66784314781186782</v>
      </c>
      <c r="AB3659" t="str">
        <f>HYPERLINK("Melting_Curves/meltCurve_Q4VC44_FLYWCH1.pdf", "Melting_Curves/meltCurve_Q4VC44_FLYWCH1.pdf")</f>
        <v>Melting_Curves/meltCurve_Q4VC44_FLYWCH1.pdf</v>
      </c>
    </row>
    <row r="3660" spans="1:28" x14ac:dyDescent="0.25">
      <c r="A3660" t="s">
        <v>3664</v>
      </c>
      <c r="B3660">
        <v>0.995954080203443</v>
      </c>
      <c r="C3660">
        <v>0.972098335093313</v>
      </c>
      <c r="D3660">
        <v>0.95396240843670199</v>
      </c>
      <c r="E3660">
        <v>0.69243310027292104</v>
      </c>
      <c r="F3660">
        <v>0.70838937123317103</v>
      </c>
      <c r="G3660">
        <v>0.57940254766464205</v>
      </c>
      <c r="H3660">
        <v>0.48988143578079302</v>
      </c>
      <c r="I3660">
        <v>0.54285719238714403</v>
      </c>
      <c r="J3660">
        <v>0.674714757586375</v>
      </c>
      <c r="K3660">
        <v>0.550879663706898</v>
      </c>
      <c r="L3660">
        <v>1095.31901340227</v>
      </c>
      <c r="M3660">
        <v>22.289102938838202</v>
      </c>
      <c r="O3660">
        <v>48.751026565603702</v>
      </c>
      <c r="P3660">
        <v>-4.9321029563872902E-2</v>
      </c>
      <c r="Q3660">
        <v>0.56850666854463905</v>
      </c>
      <c r="R3660">
        <v>0.91584002080037896</v>
      </c>
      <c r="S3660" t="s">
        <v>10466</v>
      </c>
      <c r="T3660" t="s">
        <v>13610</v>
      </c>
      <c r="U3660" t="s">
        <v>13610</v>
      </c>
      <c r="V3660" t="s">
        <v>13610</v>
      </c>
      <c r="W3660" t="s">
        <v>17213</v>
      </c>
      <c r="X3660">
        <v>1</v>
      </c>
      <c r="Y3660" t="s">
        <v>23818</v>
      </c>
      <c r="Z3660" t="s">
        <v>30515</v>
      </c>
      <c r="AA3660">
        <v>0.70483180846387716</v>
      </c>
      <c r="AB3660" t="str">
        <f>HYPERLINK("Melting_Curves/meltCurve_Q4W8S1_ZNF298.pdf", "Melting_Curves/meltCurve_Q4W8S1_ZNF298.pdf")</f>
        <v>Melting_Curves/meltCurve_Q4W8S1_ZNF298.pdf</v>
      </c>
    </row>
    <row r="3661" spans="1:28" x14ac:dyDescent="0.25">
      <c r="A3661" t="s">
        <v>3665</v>
      </c>
      <c r="B3661">
        <v>0.995954080203443</v>
      </c>
      <c r="C3661">
        <v>0.96668529468889897</v>
      </c>
      <c r="D3661">
        <v>0.79905618743830298</v>
      </c>
      <c r="E3661">
        <v>0.42246436713650198</v>
      </c>
      <c r="F3661">
        <v>0.22580913121839999</v>
      </c>
      <c r="G3661">
        <v>0.13464216977381099</v>
      </c>
      <c r="H3661">
        <v>9.7154510017643206E-2</v>
      </c>
      <c r="I3661">
        <v>0.105285897328304</v>
      </c>
      <c r="J3661">
        <v>0.122931238683222</v>
      </c>
      <c r="K3661">
        <v>9.9808640619944197E-2</v>
      </c>
      <c r="L3661">
        <v>1088.34951981279</v>
      </c>
      <c r="M3661">
        <v>22.373884150018402</v>
      </c>
      <c r="N3661">
        <v>49.147384406040103</v>
      </c>
      <c r="O3661">
        <v>48.260153105940503</v>
      </c>
      <c r="P3661">
        <v>-0.104030924080165</v>
      </c>
      <c r="Q3661">
        <v>0.102445795567075</v>
      </c>
      <c r="R3661">
        <v>0.99942921086585801</v>
      </c>
      <c r="S3661" t="s">
        <v>10467</v>
      </c>
      <c r="T3661" t="s">
        <v>13610</v>
      </c>
      <c r="U3661" t="s">
        <v>13610</v>
      </c>
      <c r="V3661" t="s">
        <v>13610</v>
      </c>
      <c r="W3661" t="s">
        <v>17214</v>
      </c>
      <c r="X3661">
        <v>12</v>
      </c>
      <c r="Y3661" t="s">
        <v>23819</v>
      </c>
      <c r="Z3661" t="s">
        <v>30516</v>
      </c>
      <c r="AA3661">
        <v>0.37105580765960422</v>
      </c>
      <c r="AB3661" t="str">
        <f>HYPERLINK("Melting_Curves/meltCurve_Q504Q3_2_PAN2.pdf", "Melting_Curves/meltCurve_Q504Q3_2_PAN2.pdf")</f>
        <v>Melting_Curves/meltCurve_Q504Q3_2_PAN2.pdf</v>
      </c>
    </row>
    <row r="3662" spans="1:28" x14ac:dyDescent="0.25">
      <c r="A3662" t="s">
        <v>3666</v>
      </c>
      <c r="B3662">
        <v>0.995954080203443</v>
      </c>
      <c r="C3662">
        <v>0.69788258352768195</v>
      </c>
      <c r="D3662">
        <v>1.0149509273633599</v>
      </c>
      <c r="E3662">
        <v>0.81710112724184603</v>
      </c>
      <c r="F3662">
        <v>0.59874755428745396</v>
      </c>
      <c r="G3662">
        <v>0.47271016060300303</v>
      </c>
      <c r="H3662">
        <v>0.33285676478162202</v>
      </c>
      <c r="I3662">
        <v>0.23401770680997699</v>
      </c>
      <c r="J3662">
        <v>0.20925194505374201</v>
      </c>
      <c r="K3662">
        <v>0.19888907457727401</v>
      </c>
      <c r="L3662">
        <v>541.94614424098597</v>
      </c>
      <c r="M3662">
        <v>9.7714573251990497</v>
      </c>
      <c r="N3662">
        <v>56.242386024361601</v>
      </c>
      <c r="O3662">
        <v>53.288896190514798</v>
      </c>
      <c r="P3662">
        <v>-4.29590517123844E-2</v>
      </c>
      <c r="Q3662">
        <v>6.3384390733992907E-2</v>
      </c>
      <c r="R3662">
        <v>0.90524341528073204</v>
      </c>
      <c r="S3662" t="s">
        <v>10468</v>
      </c>
      <c r="T3662" t="s">
        <v>13610</v>
      </c>
      <c r="U3662" t="s">
        <v>13610</v>
      </c>
      <c r="V3662" t="s">
        <v>13610</v>
      </c>
      <c r="W3662" t="s">
        <v>17215</v>
      </c>
      <c r="X3662">
        <v>1</v>
      </c>
      <c r="Y3662" t="s">
        <v>23820</v>
      </c>
      <c r="Z3662" t="s">
        <v>30517</v>
      </c>
      <c r="AA3662">
        <v>0.56844578611318153</v>
      </c>
      <c r="AB3662" t="str">
        <f>HYPERLINK("Melting_Curves/meltCurve_Q504U8_EGFR.pdf", "Melting_Curves/meltCurve_Q504U8_EGFR.pdf")</f>
        <v>Melting_Curves/meltCurve_Q504U8_EGFR.pdf</v>
      </c>
    </row>
    <row r="3663" spans="1:28" x14ac:dyDescent="0.25">
      <c r="A3663" t="s">
        <v>3667</v>
      </c>
      <c r="B3663">
        <v>0.995954080203443</v>
      </c>
      <c r="C3663">
        <v>0.86214487927482897</v>
      </c>
      <c r="D3663">
        <v>0.68624691667513604</v>
      </c>
      <c r="E3663">
        <v>0.57944583479718303</v>
      </c>
      <c r="F3663">
        <v>0.24007035975222499</v>
      </c>
      <c r="G3663">
        <v>0.14208330295938501</v>
      </c>
      <c r="H3663">
        <v>9.9152404479070394E-2</v>
      </c>
      <c r="I3663">
        <v>9.2035308242982797E-2</v>
      </c>
      <c r="J3663">
        <v>0.113979502502588</v>
      </c>
      <c r="K3663">
        <v>9.9267420379376595E-2</v>
      </c>
      <c r="L3663">
        <v>699.71463351492798</v>
      </c>
      <c r="M3663">
        <v>14.276828552131899</v>
      </c>
      <c r="N3663">
        <v>49.490126873365902</v>
      </c>
      <c r="O3663">
        <v>48.079032311587703</v>
      </c>
      <c r="P3663">
        <v>-6.9448581820681296E-2</v>
      </c>
      <c r="Q3663">
        <v>6.4607140778806998E-2</v>
      </c>
      <c r="R3663">
        <v>0.97887367050164298</v>
      </c>
      <c r="S3663" t="s">
        <v>10469</v>
      </c>
      <c r="T3663" t="s">
        <v>13610</v>
      </c>
      <c r="U3663" t="s">
        <v>13610</v>
      </c>
      <c r="V3663" t="s">
        <v>13610</v>
      </c>
      <c r="W3663" t="s">
        <v>17216</v>
      </c>
      <c r="X3663">
        <v>19</v>
      </c>
      <c r="Y3663" t="s">
        <v>23821</v>
      </c>
      <c r="Z3663" t="s">
        <v>30518</v>
      </c>
      <c r="AA3663">
        <v>0.37085111175024371</v>
      </c>
      <c r="AB3663" t="str">
        <f>HYPERLINK("Melting_Curves/meltCurve_Q52LJ0_2_FAM98B.pdf", "Melting_Curves/meltCurve_Q52LJ0_2_FAM98B.pdf")</f>
        <v>Melting_Curves/meltCurve_Q52LJ0_2_FAM98B.pdf</v>
      </c>
    </row>
    <row r="3664" spans="1:28" x14ac:dyDescent="0.25">
      <c r="A3664" t="s">
        <v>3668</v>
      </c>
      <c r="B3664">
        <v>0.995954080203443</v>
      </c>
      <c r="C3664">
        <v>0.99955805562946798</v>
      </c>
      <c r="D3664">
        <v>0.87310082554421298</v>
      </c>
      <c r="E3664">
        <v>0.65084946088963602</v>
      </c>
      <c r="F3664">
        <v>0.22161594190224901</v>
      </c>
      <c r="G3664">
        <v>0.134770220659616</v>
      </c>
      <c r="H3664">
        <v>0.10471314298492899</v>
      </c>
      <c r="I3664">
        <v>8.0993528387021299E-2</v>
      </c>
      <c r="J3664">
        <v>0.12613911423296301</v>
      </c>
      <c r="K3664">
        <v>8.8144198020786199E-2</v>
      </c>
      <c r="L3664">
        <v>1534.21120755528</v>
      </c>
      <c r="M3664">
        <v>30.411509923206101</v>
      </c>
      <c r="N3664">
        <v>50.803820138861802</v>
      </c>
      <c r="O3664">
        <v>50.231745076663699</v>
      </c>
      <c r="P3664">
        <v>-0.13685273557507099</v>
      </c>
      <c r="Q3664">
        <v>9.5827952540522204E-2</v>
      </c>
      <c r="R3664">
        <v>0.99194368973247904</v>
      </c>
      <c r="S3664" t="s">
        <v>10470</v>
      </c>
      <c r="T3664" t="s">
        <v>13610</v>
      </c>
      <c r="U3664" t="s">
        <v>13610</v>
      </c>
      <c r="V3664" t="s">
        <v>13610</v>
      </c>
      <c r="W3664" t="s">
        <v>17217</v>
      </c>
      <c r="X3664">
        <v>5</v>
      </c>
      <c r="Y3664" t="s">
        <v>23822</v>
      </c>
      <c r="Z3664" t="s">
        <v>30519</v>
      </c>
      <c r="AA3664">
        <v>0.41621325306868567</v>
      </c>
      <c r="AB3664" t="str">
        <f>HYPERLINK("Melting_Curves/meltCurve_Q52LR7_EPC2.pdf", "Melting_Curves/meltCurve_Q52LR7_EPC2.pdf")</f>
        <v>Melting_Curves/meltCurve_Q52LR7_EPC2.pdf</v>
      </c>
    </row>
    <row r="3665" spans="1:28" x14ac:dyDescent="0.25">
      <c r="A3665" t="s">
        <v>3669</v>
      </c>
      <c r="B3665">
        <v>0.995954080203443</v>
      </c>
      <c r="C3665">
        <v>1.0233775059533099</v>
      </c>
      <c r="D3665">
        <v>0.61642029846368895</v>
      </c>
      <c r="E3665">
        <v>0.742022987113933</v>
      </c>
      <c r="F3665">
        <v>0.27664040390643202</v>
      </c>
      <c r="G3665">
        <v>0.15351023155495699</v>
      </c>
      <c r="H3665">
        <v>0.10749747913067501</v>
      </c>
      <c r="I3665">
        <v>0.10463875159618601</v>
      </c>
      <c r="J3665">
        <v>0.113727704422563</v>
      </c>
      <c r="K3665">
        <v>0.121529138523658</v>
      </c>
      <c r="L3665">
        <v>759.77700091561405</v>
      </c>
      <c r="M3665">
        <v>15.147643613420501</v>
      </c>
      <c r="N3665">
        <v>50.677813939481702</v>
      </c>
      <c r="O3665">
        <v>49.308278049212497</v>
      </c>
      <c r="P3665">
        <v>-7.1282640412389894E-2</v>
      </c>
      <c r="Q3665">
        <v>7.1939397814110698E-2</v>
      </c>
      <c r="R3665">
        <v>0.92692116619258802</v>
      </c>
      <c r="S3665" t="s">
        <v>10471</v>
      </c>
      <c r="T3665" t="s">
        <v>13610</v>
      </c>
      <c r="U3665" t="s">
        <v>13610</v>
      </c>
      <c r="V3665" t="s">
        <v>13610</v>
      </c>
      <c r="W3665" t="s">
        <v>17218</v>
      </c>
      <c r="X3665">
        <v>19</v>
      </c>
      <c r="Y3665" t="s">
        <v>23823</v>
      </c>
      <c r="Z3665" t="s">
        <v>30520</v>
      </c>
      <c r="AA3665">
        <v>0.40782692033280632</v>
      </c>
      <c r="AB3665" t="str">
        <f>HYPERLINK("Melting_Curves/meltCurve_Q53EL6_2_PDCD4.pdf", "Melting_Curves/meltCurve_Q53EL6_2_PDCD4.pdf")</f>
        <v>Melting_Curves/meltCurve_Q53EL6_2_PDCD4.pdf</v>
      </c>
    </row>
    <row r="3666" spans="1:28" x14ac:dyDescent="0.25">
      <c r="A3666" t="s">
        <v>3670</v>
      </c>
      <c r="B3666">
        <v>0.995954080203443</v>
      </c>
      <c r="C3666">
        <v>1.0443186996391101</v>
      </c>
      <c r="D3666">
        <v>1.0121155281645799</v>
      </c>
      <c r="E3666">
        <v>0.92612981301828201</v>
      </c>
      <c r="F3666">
        <v>0.88567459207868804</v>
      </c>
      <c r="G3666">
        <v>0.62505761378926705</v>
      </c>
      <c r="H3666">
        <v>0.52132282983642897</v>
      </c>
      <c r="I3666">
        <v>0.567033066308267</v>
      </c>
      <c r="J3666">
        <v>0.61575334989980002</v>
      </c>
      <c r="K3666">
        <v>0.59059761271065303</v>
      </c>
      <c r="L3666">
        <v>2037.63538695282</v>
      </c>
      <c r="M3666">
        <v>37.621900570312</v>
      </c>
      <c r="O3666">
        <v>54.008543223168502</v>
      </c>
      <c r="P3666">
        <v>-7.4578542926807601E-2</v>
      </c>
      <c r="Q3666">
        <v>0.57175288797958701</v>
      </c>
      <c r="R3666">
        <v>0.97249858700472602</v>
      </c>
      <c r="S3666" t="s">
        <v>10472</v>
      </c>
      <c r="T3666" t="s">
        <v>13610</v>
      </c>
      <c r="U3666" t="s">
        <v>13610</v>
      </c>
      <c r="V3666" t="s">
        <v>13610</v>
      </c>
      <c r="W3666" t="s">
        <v>17219</v>
      </c>
      <c r="X3666">
        <v>3</v>
      </c>
      <c r="Y3666" t="s">
        <v>23824</v>
      </c>
      <c r="Z3666" t="s">
        <v>30521</v>
      </c>
      <c r="AA3666">
        <v>0.77570571287056034</v>
      </c>
      <c r="AB3666" t="str">
        <f>HYPERLINK("Melting_Curves/meltCurve_Q53ET0_CRTC2.pdf", "Melting_Curves/meltCurve_Q53ET0_CRTC2.pdf")</f>
        <v>Melting_Curves/meltCurve_Q53ET0_CRTC2.pdf</v>
      </c>
    </row>
    <row r="3667" spans="1:28" x14ac:dyDescent="0.25">
      <c r="A3667" t="s">
        <v>3671</v>
      </c>
      <c r="B3667">
        <v>0.995954080203443</v>
      </c>
      <c r="C3667">
        <v>0.91949278898620801</v>
      </c>
      <c r="D3667">
        <v>0.92893218041919401</v>
      </c>
      <c r="E3667">
        <v>0.66318132879513902</v>
      </c>
      <c r="F3667">
        <v>0.45920319911113899</v>
      </c>
      <c r="G3667">
        <v>0.27953955247611001</v>
      </c>
      <c r="H3667">
        <v>0.17707798385538501</v>
      </c>
      <c r="I3667">
        <v>0.18001473722633099</v>
      </c>
      <c r="J3667">
        <v>0.21005502254459599</v>
      </c>
      <c r="K3667">
        <v>0.19521579764353</v>
      </c>
      <c r="L3667">
        <v>966.52284435399099</v>
      </c>
      <c r="M3667">
        <v>18.930844459650899</v>
      </c>
      <c r="N3667">
        <v>52.2517577434431</v>
      </c>
      <c r="O3667">
        <v>50.495979726539801</v>
      </c>
      <c r="P3667">
        <v>-7.7245569774070405E-2</v>
      </c>
      <c r="Q3667">
        <v>0.17585652498018101</v>
      </c>
      <c r="R3667">
        <v>0.99418234899248203</v>
      </c>
      <c r="S3667" t="s">
        <v>10473</v>
      </c>
      <c r="T3667" t="s">
        <v>13610</v>
      </c>
      <c r="U3667" t="s">
        <v>13610</v>
      </c>
      <c r="V3667" t="s">
        <v>13610</v>
      </c>
      <c r="W3667" t="s">
        <v>17220</v>
      </c>
      <c r="X3667">
        <v>8</v>
      </c>
      <c r="Y3667" t="s">
        <v>23825</v>
      </c>
      <c r="Z3667" t="s">
        <v>30522</v>
      </c>
      <c r="AA3667">
        <v>0.4922289056593584</v>
      </c>
      <c r="AB3667" t="str">
        <f>HYPERLINK("Melting_Curves/meltCurve_Q53EZ4_CEP55.pdf", "Melting_Curves/meltCurve_Q53EZ4_CEP55.pdf")</f>
        <v>Melting_Curves/meltCurve_Q53EZ4_CEP55.pdf</v>
      </c>
    </row>
    <row r="3668" spans="1:28" x14ac:dyDescent="0.25">
      <c r="A3668" t="s">
        <v>3672</v>
      </c>
      <c r="B3668">
        <v>0.995954080203443</v>
      </c>
      <c r="C3668">
        <v>0.86538822664473802</v>
      </c>
      <c r="D3668">
        <v>0.82302362485115299</v>
      </c>
      <c r="E3668">
        <v>0.71259695658300204</v>
      </c>
      <c r="F3668">
        <v>0.58241311821707598</v>
      </c>
      <c r="G3668">
        <v>0.37433642302567399</v>
      </c>
      <c r="H3668">
        <v>0.34128393070616603</v>
      </c>
      <c r="I3668">
        <v>0.37565545107187498</v>
      </c>
      <c r="J3668">
        <v>0.45683579771716398</v>
      </c>
      <c r="K3668">
        <v>0.45578562970446301</v>
      </c>
      <c r="L3668">
        <v>702.58619488657996</v>
      </c>
      <c r="M3668">
        <v>14.262355897807501</v>
      </c>
      <c r="N3668">
        <v>54.7664000913054</v>
      </c>
      <c r="O3668">
        <v>48.323483936579102</v>
      </c>
      <c r="P3668">
        <v>-4.5695876469667003E-2</v>
      </c>
      <c r="Q3668">
        <v>0.38077208601511198</v>
      </c>
      <c r="R3668">
        <v>0.93713171517497196</v>
      </c>
      <c r="S3668" t="s">
        <v>10474</v>
      </c>
      <c r="T3668" t="s">
        <v>13610</v>
      </c>
      <c r="U3668" t="s">
        <v>13610</v>
      </c>
      <c r="V3668" t="s">
        <v>13610</v>
      </c>
      <c r="W3668" t="s">
        <v>17221</v>
      </c>
      <c r="X3668">
        <v>8</v>
      </c>
      <c r="Y3668" t="s">
        <v>23826</v>
      </c>
      <c r="Z3668" t="s">
        <v>30523</v>
      </c>
      <c r="AA3668">
        <v>0.5885436715882385</v>
      </c>
      <c r="AB3668" t="str">
        <f>HYPERLINK("Melting_Curves/meltCurve_Q53F19_C17orf85.pdf", "Melting_Curves/meltCurve_Q53F19_C17orf85.pdf")</f>
        <v>Melting_Curves/meltCurve_Q53F19_C17orf85.pdf</v>
      </c>
    </row>
    <row r="3669" spans="1:28" x14ac:dyDescent="0.25">
      <c r="A3669" t="s">
        <v>3673</v>
      </c>
      <c r="B3669">
        <v>0.995954080203443</v>
      </c>
      <c r="C3669">
        <v>1.0306024203711901</v>
      </c>
      <c r="D3669">
        <v>0.99521467531660102</v>
      </c>
      <c r="E3669">
        <v>0.88456878860815902</v>
      </c>
      <c r="F3669">
        <v>0.801552607912287</v>
      </c>
      <c r="G3669">
        <v>0.58866858653971998</v>
      </c>
      <c r="H3669">
        <v>0.45580178287693102</v>
      </c>
      <c r="I3669">
        <v>0.44587372171629203</v>
      </c>
      <c r="J3669">
        <v>0.37408027995202803</v>
      </c>
      <c r="K3669">
        <v>0.254388985419644</v>
      </c>
      <c r="L3669">
        <v>738.27719867345195</v>
      </c>
      <c r="M3669">
        <v>12.9739868752433</v>
      </c>
      <c r="N3669">
        <v>60.075986176001997</v>
      </c>
      <c r="O3669">
        <v>55.603366107295102</v>
      </c>
      <c r="P3669">
        <v>-4.3877662050168201E-2</v>
      </c>
      <c r="Q3669">
        <v>0.24793742999927701</v>
      </c>
      <c r="R3669">
        <v>0.98591654487992098</v>
      </c>
      <c r="S3669" t="s">
        <v>10475</v>
      </c>
      <c r="T3669" t="s">
        <v>13610</v>
      </c>
      <c r="U3669" t="s">
        <v>13610</v>
      </c>
      <c r="V3669" t="s">
        <v>13610</v>
      </c>
      <c r="W3669" t="s">
        <v>17222</v>
      </c>
      <c r="X3669">
        <v>7</v>
      </c>
      <c r="Y3669" t="s">
        <v>23827</v>
      </c>
      <c r="Z3669" t="s">
        <v>30524</v>
      </c>
      <c r="AA3669">
        <v>0.68451743705455492</v>
      </c>
      <c r="AB3669" t="str">
        <f>HYPERLINK("Melting_Curves/meltCurve_Q53FA7_TP53I3.pdf", "Melting_Curves/meltCurve_Q53FA7_TP53I3.pdf")</f>
        <v>Melting_Curves/meltCurve_Q53FA7_TP53I3.pdf</v>
      </c>
    </row>
    <row r="3670" spans="1:28" x14ac:dyDescent="0.25">
      <c r="A3670" t="s">
        <v>3674</v>
      </c>
      <c r="B3670">
        <v>0.995954080203443</v>
      </c>
      <c r="C3670">
        <v>1.0394446521774201</v>
      </c>
      <c r="D3670">
        <v>1.0272900423717199</v>
      </c>
      <c r="E3670">
        <v>0.90805240802854303</v>
      </c>
      <c r="F3670">
        <v>0.82398981109333702</v>
      </c>
      <c r="G3670">
        <v>0.49439073655127602</v>
      </c>
      <c r="H3670">
        <v>0.18421919929042399</v>
      </c>
      <c r="I3670">
        <v>0.17458594334150701</v>
      </c>
      <c r="J3670">
        <v>0.22440820017722601</v>
      </c>
      <c r="K3670">
        <v>0.22031257721480599</v>
      </c>
      <c r="L3670">
        <v>1503.2444080610101</v>
      </c>
      <c r="M3670">
        <v>27.0477570399065</v>
      </c>
      <c r="N3670">
        <v>56.524574109751597</v>
      </c>
      <c r="O3670">
        <v>55.276264152861501</v>
      </c>
      <c r="P3670">
        <v>-0.10004068329827701</v>
      </c>
      <c r="Q3670">
        <v>0.18221353949058999</v>
      </c>
      <c r="R3670">
        <v>0.98918306075721896</v>
      </c>
      <c r="S3670" t="s">
        <v>10476</v>
      </c>
      <c r="T3670" t="s">
        <v>13610</v>
      </c>
      <c r="U3670" t="s">
        <v>13610</v>
      </c>
      <c r="V3670" t="s">
        <v>13610</v>
      </c>
      <c r="W3670" t="s">
        <v>17223</v>
      </c>
      <c r="X3670">
        <v>4</v>
      </c>
      <c r="Y3670" t="s">
        <v>23828</v>
      </c>
      <c r="Z3670" t="s">
        <v>30525</v>
      </c>
      <c r="AA3670">
        <v>0.61342126076519787</v>
      </c>
      <c r="AB3670" t="str">
        <f>HYPERLINK("Melting_Curves/meltCurve_Q53FT3_C11orf73.pdf", "Melting_Curves/meltCurve_Q53FT3_C11orf73.pdf")</f>
        <v>Melting_Curves/meltCurve_Q53FT3_C11orf73.pdf</v>
      </c>
    </row>
    <row r="3671" spans="1:28" x14ac:dyDescent="0.25">
      <c r="A3671" t="s">
        <v>3675</v>
      </c>
      <c r="B3671">
        <v>0.995954080203443</v>
      </c>
      <c r="C3671">
        <v>0.90501392803404002</v>
      </c>
      <c r="D3671">
        <v>0.623709681039888</v>
      </c>
      <c r="E3671">
        <v>0.31260728795350701</v>
      </c>
      <c r="F3671">
        <v>0.16348130770324701</v>
      </c>
      <c r="G3671">
        <v>7.6569936053402801E-2</v>
      </c>
      <c r="H3671">
        <v>4.7040322384083601E-2</v>
      </c>
      <c r="I3671">
        <v>4.2348787063180397E-2</v>
      </c>
      <c r="J3671">
        <v>4.7035793192407999E-2</v>
      </c>
      <c r="K3671">
        <v>4.5166481938714399E-2</v>
      </c>
      <c r="L3671">
        <v>895.64227296860395</v>
      </c>
      <c r="M3671">
        <v>18.909443933406202</v>
      </c>
      <c r="N3671">
        <v>47.580151544879698</v>
      </c>
      <c r="O3671">
        <v>46.844625500714002</v>
      </c>
      <c r="P3671">
        <v>-9.6780685686728402E-2</v>
      </c>
      <c r="Q3671">
        <v>4.1014414337416302E-2</v>
      </c>
      <c r="R3671">
        <v>0.99823534207643605</v>
      </c>
      <c r="S3671" t="s">
        <v>10477</v>
      </c>
      <c r="T3671" t="s">
        <v>13610</v>
      </c>
      <c r="U3671" t="s">
        <v>13610</v>
      </c>
      <c r="V3671" t="s">
        <v>13610</v>
      </c>
      <c r="W3671" t="s">
        <v>17224</v>
      </c>
      <c r="X3671">
        <v>23</v>
      </c>
      <c r="Y3671" t="s">
        <v>23829</v>
      </c>
      <c r="Z3671" t="s">
        <v>30526</v>
      </c>
      <c r="AA3671">
        <v>0.29208913897860872</v>
      </c>
      <c r="AB3671" t="str">
        <f>HYPERLINK("Melting_Curves/meltCurve_Q53FZ2_ACSM3.pdf", "Melting_Curves/meltCurve_Q53FZ2_ACSM3.pdf")</f>
        <v>Melting_Curves/meltCurve_Q53FZ2_ACSM3.pdf</v>
      </c>
    </row>
    <row r="3672" spans="1:28" x14ac:dyDescent="0.25">
      <c r="A3672" t="s">
        <v>3676</v>
      </c>
      <c r="B3672">
        <v>0.995954080203443</v>
      </c>
      <c r="C3672">
        <v>0.85924175280868098</v>
      </c>
      <c r="D3672">
        <v>0.80994503218645797</v>
      </c>
      <c r="E3672">
        <v>0.70140713253141396</v>
      </c>
      <c r="F3672">
        <v>0.60142598971809003</v>
      </c>
      <c r="G3672">
        <v>0.40396192509378598</v>
      </c>
      <c r="H3672">
        <v>0.32678823825570502</v>
      </c>
      <c r="I3672">
        <v>0.368469201093788</v>
      </c>
      <c r="J3672">
        <v>0.46346838637364701</v>
      </c>
      <c r="K3672">
        <v>0.42284068613595699</v>
      </c>
      <c r="L3672">
        <v>630.009821570074</v>
      </c>
      <c r="M3672">
        <v>12.7523263646533</v>
      </c>
      <c r="N3672">
        <v>55.080403592064897</v>
      </c>
      <c r="O3672">
        <v>48.235910279367403</v>
      </c>
      <c r="P3672">
        <v>-4.1932959801598502E-2</v>
      </c>
      <c r="Q3672">
        <v>0.36567184054833901</v>
      </c>
      <c r="R3672">
        <v>0.94159139914877998</v>
      </c>
      <c r="S3672" t="s">
        <v>10478</v>
      </c>
      <c r="T3672" t="s">
        <v>13610</v>
      </c>
      <c r="U3672" t="s">
        <v>13610</v>
      </c>
      <c r="V3672" t="s">
        <v>13610</v>
      </c>
      <c r="W3672" t="s">
        <v>17225</v>
      </c>
      <c r="X3672">
        <v>5</v>
      </c>
      <c r="Y3672" t="s">
        <v>23830</v>
      </c>
      <c r="Z3672" t="s">
        <v>30527</v>
      </c>
      <c r="AA3672">
        <v>0.58506199235140965</v>
      </c>
      <c r="AB3672" t="str">
        <f>HYPERLINK("Melting_Curves/meltCurve_Q53H47_SETMAR.pdf", "Melting_Curves/meltCurve_Q53H47_SETMAR.pdf")</f>
        <v>Melting_Curves/meltCurve_Q53H47_SETMAR.pdf</v>
      </c>
    </row>
    <row r="3673" spans="1:28" x14ac:dyDescent="0.25">
      <c r="A3673" t="s">
        <v>3677</v>
      </c>
      <c r="B3673">
        <v>0.995954080203443</v>
      </c>
      <c r="C3673">
        <v>0.86180543794016196</v>
      </c>
      <c r="D3673">
        <v>0.67814651683333604</v>
      </c>
      <c r="E3673">
        <v>0.48288559043912199</v>
      </c>
      <c r="F3673">
        <v>0.33492492079003899</v>
      </c>
      <c r="G3673">
        <v>0.231216206901069</v>
      </c>
      <c r="H3673">
        <v>0.15946647234917599</v>
      </c>
      <c r="I3673">
        <v>0.105797358497625</v>
      </c>
      <c r="J3673">
        <v>9.7605293469665705E-2</v>
      </c>
      <c r="K3673">
        <v>7.34774419050407E-2</v>
      </c>
      <c r="L3673">
        <v>586.68957255524504</v>
      </c>
      <c r="M3673">
        <v>11.9503849203819</v>
      </c>
      <c r="N3673">
        <v>49.639992951842302</v>
      </c>
      <c r="O3673">
        <v>47.779642065440697</v>
      </c>
      <c r="P3673">
        <v>-5.8690720346901502E-2</v>
      </c>
      <c r="Q3673">
        <v>6.1608517337384601E-2</v>
      </c>
      <c r="R3673">
        <v>0.99527713075809099</v>
      </c>
      <c r="S3673" t="s">
        <v>10479</v>
      </c>
      <c r="T3673" t="s">
        <v>13610</v>
      </c>
      <c r="U3673" t="s">
        <v>13610</v>
      </c>
      <c r="V3673" t="s">
        <v>13610</v>
      </c>
      <c r="W3673" t="s">
        <v>17226</v>
      </c>
      <c r="X3673">
        <v>5</v>
      </c>
      <c r="Y3673" t="s">
        <v>23831</v>
      </c>
      <c r="Z3673" t="s">
        <v>30528</v>
      </c>
      <c r="AA3673">
        <v>0.38057565313486552</v>
      </c>
      <c r="AB3673" t="str">
        <f>HYPERLINK("Melting_Curves/meltCurve_Q53H54_TRMT12.pdf", "Melting_Curves/meltCurve_Q53H54_TRMT12.pdf")</f>
        <v>Melting_Curves/meltCurve_Q53H54_TRMT12.pdf</v>
      </c>
    </row>
    <row r="3674" spans="1:28" x14ac:dyDescent="0.25">
      <c r="A3674" t="s">
        <v>3678</v>
      </c>
      <c r="B3674">
        <v>0.995954080203443</v>
      </c>
      <c r="C3674">
        <v>1.0642967762457001</v>
      </c>
      <c r="D3674">
        <v>1.09016298567708</v>
      </c>
      <c r="E3674">
        <v>0.96937483782786105</v>
      </c>
      <c r="F3674">
        <v>0.95607991781762103</v>
      </c>
      <c r="G3674">
        <v>0.74847061453654096</v>
      </c>
      <c r="H3674">
        <v>0.64127778855979001</v>
      </c>
      <c r="I3674">
        <v>0.64612353780350995</v>
      </c>
      <c r="J3674">
        <v>0.70817704812034199</v>
      </c>
      <c r="K3674">
        <v>0.468254451042381</v>
      </c>
      <c r="L3674">
        <v>1422.6186345440699</v>
      </c>
      <c r="M3674">
        <v>25.2271441434137</v>
      </c>
      <c r="O3674">
        <v>56.041602285476401</v>
      </c>
      <c r="P3674">
        <v>-4.5824141496619099E-2</v>
      </c>
      <c r="Q3674">
        <v>0.59281556310417605</v>
      </c>
      <c r="R3674">
        <v>0.89472727459394696</v>
      </c>
      <c r="S3674" t="s">
        <v>10480</v>
      </c>
      <c r="T3674" t="s">
        <v>13610</v>
      </c>
      <c r="U3674" t="s">
        <v>13610</v>
      </c>
      <c r="V3674" t="s">
        <v>13610</v>
      </c>
      <c r="W3674" t="s">
        <v>17227</v>
      </c>
      <c r="X3674">
        <v>16</v>
      </c>
      <c r="Y3674" t="s">
        <v>23832</v>
      </c>
      <c r="Z3674" t="s">
        <v>30529</v>
      </c>
      <c r="AA3674">
        <v>0.81896810181432744</v>
      </c>
      <c r="AB3674" t="str">
        <f>HYPERLINK("Melting_Curves/meltCurve_Q53H82_LACTB2.pdf", "Melting_Curves/meltCurve_Q53H82_LACTB2.pdf")</f>
        <v>Melting_Curves/meltCurve_Q53H82_LACTB2.pdf</v>
      </c>
    </row>
    <row r="3675" spans="1:28" x14ac:dyDescent="0.25">
      <c r="A3675" t="s">
        <v>3679</v>
      </c>
      <c r="B3675">
        <v>0.995954080203443</v>
      </c>
      <c r="C3675">
        <v>0.91011271961976203</v>
      </c>
      <c r="D3675">
        <v>0.76737467007774696</v>
      </c>
      <c r="E3675">
        <v>0.785277354501425</v>
      </c>
      <c r="F3675">
        <v>0.50478779821544595</v>
      </c>
      <c r="G3675">
        <v>0.33645247525188099</v>
      </c>
      <c r="H3675">
        <v>0.19715434687015401</v>
      </c>
      <c r="I3675">
        <v>0.124186494704807</v>
      </c>
      <c r="J3675">
        <v>9.9883731292864403E-2</v>
      </c>
      <c r="K3675">
        <v>7.9311645482355295E-2</v>
      </c>
      <c r="L3675">
        <v>584.35176426640999</v>
      </c>
      <c r="M3675">
        <v>10.916803520652101</v>
      </c>
      <c r="N3675">
        <v>53.5277340806973</v>
      </c>
      <c r="O3675">
        <v>51.825589358759402</v>
      </c>
      <c r="P3675">
        <v>-5.2679555029423598E-2</v>
      </c>
      <c r="Q3675">
        <v>0</v>
      </c>
      <c r="R3675">
        <v>0.98232214616373603</v>
      </c>
      <c r="S3675" t="s">
        <v>10481</v>
      </c>
      <c r="T3675" t="s">
        <v>13610</v>
      </c>
      <c r="U3675" t="s">
        <v>13610</v>
      </c>
      <c r="V3675" t="s">
        <v>13610</v>
      </c>
      <c r="W3675" t="s">
        <v>17228</v>
      </c>
      <c r="X3675">
        <v>11</v>
      </c>
      <c r="Y3675" t="s">
        <v>21086</v>
      </c>
      <c r="Z3675" t="s">
        <v>30530</v>
      </c>
      <c r="AA3675">
        <v>0.48077141352503783</v>
      </c>
      <c r="AB3675" t="str">
        <f>HYPERLINK("Melting_Curves/meltCurve_Q53H96_PYCRL.pdf", "Melting_Curves/meltCurve_Q53H96_PYCRL.pdf")</f>
        <v>Melting_Curves/meltCurve_Q53H96_PYCRL.pdf</v>
      </c>
    </row>
    <row r="3676" spans="1:28" x14ac:dyDescent="0.25">
      <c r="A3676" t="s">
        <v>3680</v>
      </c>
      <c r="B3676">
        <v>0.995954080203443</v>
      </c>
      <c r="C3676">
        <v>0.78069501499062799</v>
      </c>
      <c r="D3676">
        <v>0.56665306552461203</v>
      </c>
      <c r="E3676">
        <v>0.39154895214464402</v>
      </c>
      <c r="F3676">
        <v>0.25707267675402101</v>
      </c>
      <c r="G3676">
        <v>0.140988813398297</v>
      </c>
      <c r="H3676">
        <v>9.2814019830143896E-2</v>
      </c>
      <c r="I3676">
        <v>7.2092893642493105E-2</v>
      </c>
      <c r="J3676">
        <v>0.102779667764605</v>
      </c>
      <c r="K3676">
        <v>9.6442479721190494E-2</v>
      </c>
      <c r="L3676">
        <v>640.96304181574396</v>
      </c>
      <c r="M3676">
        <v>13.6253098490764</v>
      </c>
      <c r="N3676">
        <v>47.587593435932099</v>
      </c>
      <c r="O3676">
        <v>46.063475790936202</v>
      </c>
      <c r="P3676">
        <v>-6.8611849523478194E-2</v>
      </c>
      <c r="Q3676">
        <v>7.23043149105983E-2</v>
      </c>
      <c r="R3676">
        <v>0.98923910570882501</v>
      </c>
      <c r="S3676" t="s">
        <v>10482</v>
      </c>
      <c r="T3676" t="s">
        <v>13610</v>
      </c>
      <c r="U3676" t="s">
        <v>13610</v>
      </c>
      <c r="V3676" t="s">
        <v>13610</v>
      </c>
      <c r="W3676" t="s">
        <v>17229</v>
      </c>
      <c r="X3676">
        <v>4</v>
      </c>
      <c r="Y3676" t="s">
        <v>23833</v>
      </c>
      <c r="Z3676" t="s">
        <v>30531</v>
      </c>
      <c r="AA3676">
        <v>0.32057128049684341</v>
      </c>
      <c r="AB3676" t="str">
        <f>HYPERLINK("Melting_Curves/meltCurve_Q53HC5_KLHL26.pdf", "Melting_Curves/meltCurve_Q53HC5_KLHL26.pdf")</f>
        <v>Melting_Curves/meltCurve_Q53HC5_KLHL26.pdf</v>
      </c>
    </row>
    <row r="3677" spans="1:28" x14ac:dyDescent="0.25">
      <c r="A3677" t="s">
        <v>3681</v>
      </c>
      <c r="B3677">
        <v>0.995954080203443</v>
      </c>
      <c r="C3677">
        <v>0.87296505535621205</v>
      </c>
      <c r="D3677">
        <v>0.77033291308559704</v>
      </c>
      <c r="E3677">
        <v>0.68131852270856397</v>
      </c>
      <c r="F3677">
        <v>0.56296775271503896</v>
      </c>
      <c r="G3677">
        <v>0.220927705316215</v>
      </c>
      <c r="H3677">
        <v>0.124543478677268</v>
      </c>
      <c r="I3677">
        <v>0.11477462322375</v>
      </c>
      <c r="J3677">
        <v>0.129935264028674</v>
      </c>
      <c r="K3677">
        <v>0.121952418953527</v>
      </c>
      <c r="L3677">
        <v>608.00428692236505</v>
      </c>
      <c r="M3677">
        <v>11.6452555328173</v>
      </c>
      <c r="N3677">
        <v>52.498375300489499</v>
      </c>
      <c r="O3677">
        <v>50.7421388313183</v>
      </c>
      <c r="P3677">
        <v>-5.5614945046748097E-2</v>
      </c>
      <c r="Q3677">
        <v>3.0933283551757899E-2</v>
      </c>
      <c r="R3677">
        <v>0.97367944556806396</v>
      </c>
      <c r="S3677" t="s">
        <v>10483</v>
      </c>
      <c r="T3677" t="s">
        <v>13610</v>
      </c>
      <c r="U3677" t="s">
        <v>13610</v>
      </c>
      <c r="V3677" t="s">
        <v>13610</v>
      </c>
      <c r="W3677" t="s">
        <v>17230</v>
      </c>
      <c r="X3677">
        <v>13</v>
      </c>
      <c r="Y3677" t="s">
        <v>23834</v>
      </c>
      <c r="Z3677" t="s">
        <v>30532</v>
      </c>
      <c r="AA3677">
        <v>0.45569581058058328</v>
      </c>
      <c r="AB3677" t="str">
        <f>HYPERLINK("Melting_Curves/meltCurve_Q53HC9_TSSC1.pdf", "Melting_Curves/meltCurve_Q53HC9_TSSC1.pdf")</f>
        <v>Melting_Curves/meltCurve_Q53HC9_TSSC1.pdf</v>
      </c>
    </row>
    <row r="3678" spans="1:28" x14ac:dyDescent="0.25">
      <c r="A3678" t="s">
        <v>3682</v>
      </c>
      <c r="B3678">
        <v>0.995954080203443</v>
      </c>
      <c r="C3678">
        <v>0.91810250474905497</v>
      </c>
      <c r="D3678">
        <v>0.80454542871718204</v>
      </c>
      <c r="E3678">
        <v>0.79514019257869395</v>
      </c>
      <c r="F3678">
        <v>0.72335467238916895</v>
      </c>
      <c r="G3678">
        <v>0.47425389347878899</v>
      </c>
      <c r="H3678">
        <v>0.45645780427046201</v>
      </c>
      <c r="I3678">
        <v>0.56005230033824904</v>
      </c>
      <c r="J3678">
        <v>0.53364931012130601</v>
      </c>
      <c r="K3678">
        <v>0.58703263582513199</v>
      </c>
      <c r="L3678">
        <v>635.243667064276</v>
      </c>
      <c r="M3678">
        <v>12.874380369600299</v>
      </c>
      <c r="O3678">
        <v>48.196702215209697</v>
      </c>
      <c r="P3678">
        <v>-3.2946239063247298E-2</v>
      </c>
      <c r="Q3678">
        <v>0.50673843986808098</v>
      </c>
      <c r="R3678">
        <v>0.88173324897147498</v>
      </c>
      <c r="S3678" t="s">
        <v>10484</v>
      </c>
      <c r="T3678" t="s">
        <v>13610</v>
      </c>
      <c r="U3678" t="s">
        <v>13610</v>
      </c>
      <c r="V3678" t="s">
        <v>13610</v>
      </c>
      <c r="W3678" t="s">
        <v>17231</v>
      </c>
      <c r="X3678">
        <v>3</v>
      </c>
      <c r="Y3678" t="s">
        <v>23835</v>
      </c>
      <c r="Z3678" t="s">
        <v>30533</v>
      </c>
      <c r="AA3678">
        <v>0.6761163806858036</v>
      </c>
      <c r="AB3678" t="str">
        <f>HYPERLINK("Melting_Curves/meltCurve_Q53HL2_CDCA8.pdf", "Melting_Curves/meltCurve_Q53HL2_CDCA8.pdf")</f>
        <v>Melting_Curves/meltCurve_Q53HL2_CDCA8.pdf</v>
      </c>
    </row>
    <row r="3679" spans="1:28" x14ac:dyDescent="0.25">
      <c r="A3679" t="s">
        <v>3683</v>
      </c>
      <c r="B3679">
        <v>0.995954080203443</v>
      </c>
      <c r="C3679">
        <v>1.0030774263954201</v>
      </c>
      <c r="D3679">
        <v>0.91781600963264898</v>
      </c>
      <c r="E3679">
        <v>0.711566205753007</v>
      </c>
      <c r="F3679">
        <v>0.28128887886082299</v>
      </c>
      <c r="G3679">
        <v>0.15414429304827101</v>
      </c>
      <c r="H3679">
        <v>0.109715582195464</v>
      </c>
      <c r="I3679">
        <v>0.119385788495489</v>
      </c>
      <c r="J3679">
        <v>0.13906957669197501</v>
      </c>
      <c r="K3679">
        <v>0.12606142966504799</v>
      </c>
      <c r="L3679">
        <v>1790.15765024851</v>
      </c>
      <c r="M3679">
        <v>35.173813253278503</v>
      </c>
      <c r="N3679">
        <v>51.307633205553799</v>
      </c>
      <c r="O3679">
        <v>50.730954416459497</v>
      </c>
      <c r="P3679">
        <v>-0.15196410303027</v>
      </c>
      <c r="Q3679">
        <v>0.123295939747393</v>
      </c>
      <c r="R3679">
        <v>0.99648612044207596</v>
      </c>
      <c r="S3679" t="s">
        <v>10485</v>
      </c>
      <c r="T3679" t="s">
        <v>13610</v>
      </c>
      <c r="U3679" t="s">
        <v>13610</v>
      </c>
      <c r="V3679" t="s">
        <v>13610</v>
      </c>
      <c r="W3679" t="s">
        <v>17232</v>
      </c>
      <c r="X3679">
        <v>6</v>
      </c>
      <c r="Y3679" t="s">
        <v>23836</v>
      </c>
      <c r="Z3679" t="s">
        <v>30534</v>
      </c>
      <c r="AA3679">
        <v>0.44567049125312269</v>
      </c>
      <c r="AB3679" t="str">
        <f>HYPERLINK("Melting_Curves/meltCurve_Q53HV7_SMUG1.pdf", "Melting_Curves/meltCurve_Q53HV7_SMUG1.pdf")</f>
        <v>Melting_Curves/meltCurve_Q53HV7_SMUG1.pdf</v>
      </c>
    </row>
    <row r="3680" spans="1:28" x14ac:dyDescent="0.25">
      <c r="A3680" t="s">
        <v>3684</v>
      </c>
      <c r="B3680">
        <v>0.995954080203443</v>
      </c>
      <c r="C3680">
        <v>0.91236842611810698</v>
      </c>
      <c r="D3680">
        <v>0.87861667630507601</v>
      </c>
      <c r="E3680">
        <v>0.75368374451523201</v>
      </c>
      <c r="F3680">
        <v>0.68561666353556905</v>
      </c>
      <c r="G3680">
        <v>0.51188322581569501</v>
      </c>
      <c r="H3680">
        <v>0.45878989608132098</v>
      </c>
      <c r="I3680">
        <v>0.51288103505528404</v>
      </c>
      <c r="J3680">
        <v>0.59783412363043398</v>
      </c>
      <c r="K3680">
        <v>0.58719965950971098</v>
      </c>
      <c r="L3680">
        <v>784.83539047927502</v>
      </c>
      <c r="M3680">
        <v>15.934459451095901</v>
      </c>
      <c r="O3680">
        <v>48.497808324276001</v>
      </c>
      <c r="P3680">
        <v>-3.90302152361406E-2</v>
      </c>
      <c r="Q3680">
        <v>0.52487147066690598</v>
      </c>
      <c r="R3680">
        <v>0.92350424473246695</v>
      </c>
      <c r="S3680" t="s">
        <v>10486</v>
      </c>
      <c r="T3680" t="s">
        <v>13610</v>
      </c>
      <c r="U3680" t="s">
        <v>13610</v>
      </c>
      <c r="V3680" t="s">
        <v>13610</v>
      </c>
      <c r="W3680" t="s">
        <v>17233</v>
      </c>
      <c r="X3680">
        <v>11</v>
      </c>
      <c r="Y3680" t="s">
        <v>23837</v>
      </c>
      <c r="Z3680" t="s">
        <v>30535</v>
      </c>
      <c r="AA3680">
        <v>0.68180515506484929</v>
      </c>
      <c r="AB3680" t="str">
        <f>HYPERLINK("Melting_Curves/meltCurve_Q53LP3_SOWAHC.pdf", "Melting_Curves/meltCurve_Q53LP3_SOWAHC.pdf")</f>
        <v>Melting_Curves/meltCurve_Q53LP3_SOWAHC.pdf</v>
      </c>
    </row>
    <row r="3681" spans="1:28" x14ac:dyDescent="0.25">
      <c r="A3681" t="s">
        <v>3685</v>
      </c>
      <c r="B3681">
        <v>0.995954080203443</v>
      </c>
      <c r="C3681">
        <v>0.897173356494679</v>
      </c>
      <c r="D3681">
        <v>0.78210653423026899</v>
      </c>
      <c r="E3681">
        <v>0.644626641042499</v>
      </c>
      <c r="F3681">
        <v>0.55864942588421695</v>
      </c>
      <c r="G3681">
        <v>0.39231930052962599</v>
      </c>
      <c r="H3681">
        <v>0.38976232819571299</v>
      </c>
      <c r="I3681">
        <v>0.48580272745687803</v>
      </c>
      <c r="J3681">
        <v>0.59095111725237404</v>
      </c>
      <c r="K3681">
        <v>0.58186121394680101</v>
      </c>
      <c r="L3681">
        <v>884.61886231081405</v>
      </c>
      <c r="M3681">
        <v>18.9100809270866</v>
      </c>
      <c r="N3681">
        <v>59.529076337717001</v>
      </c>
      <c r="O3681">
        <v>46.266547617876</v>
      </c>
      <c r="P3681">
        <v>-5.1982447407519401E-2</v>
      </c>
      <c r="Q3681">
        <v>0.49128706382143</v>
      </c>
      <c r="R3681">
        <v>0.87862340260013905</v>
      </c>
      <c r="S3681" t="s">
        <v>10487</v>
      </c>
      <c r="T3681" t="s">
        <v>13610</v>
      </c>
      <c r="U3681" t="s">
        <v>13610</v>
      </c>
      <c r="V3681" t="s">
        <v>13610</v>
      </c>
      <c r="W3681" t="s">
        <v>17234</v>
      </c>
      <c r="X3681">
        <v>5</v>
      </c>
      <c r="Y3681" t="s">
        <v>23838</v>
      </c>
      <c r="Z3681" t="s">
        <v>30536</v>
      </c>
      <c r="AA3681">
        <v>0.61477593879415493</v>
      </c>
      <c r="AB3681" t="str">
        <f>HYPERLINK("Melting_Curves/meltCurve_Q53QZ3_ARHGAP15.pdf", "Melting_Curves/meltCurve_Q53QZ3_ARHGAP15.pdf")</f>
        <v>Melting_Curves/meltCurve_Q53QZ3_ARHGAP15.pdf</v>
      </c>
    </row>
    <row r="3682" spans="1:28" x14ac:dyDescent="0.25">
      <c r="A3682" t="s">
        <v>3686</v>
      </c>
      <c r="B3682">
        <v>0.995954080203443</v>
      </c>
      <c r="C3682">
        <v>0.55100678463672603</v>
      </c>
      <c r="D3682">
        <v>0.24515824310181999</v>
      </c>
      <c r="E3682">
        <v>0.27429088298149301</v>
      </c>
      <c r="F3682">
        <v>0.14804814412946499</v>
      </c>
      <c r="G3682">
        <v>8.0109276976862806E-2</v>
      </c>
      <c r="H3682">
        <v>3.9981143275489198E-2</v>
      </c>
      <c r="I3682">
        <v>4.2495939814783799E-2</v>
      </c>
      <c r="J3682">
        <v>3.4626759484950198E-2</v>
      </c>
      <c r="K3682">
        <v>2.3759338910900301E-2</v>
      </c>
      <c r="L3682">
        <v>1048.7804510569299</v>
      </c>
      <c r="M3682">
        <v>24.161729809833801</v>
      </c>
      <c r="N3682">
        <v>43.7189758640382</v>
      </c>
      <c r="O3682">
        <v>43.112618680211497</v>
      </c>
      <c r="P3682">
        <v>-0.12900541809567301</v>
      </c>
      <c r="Q3682">
        <v>7.9258691564147499E-2</v>
      </c>
      <c r="R3682">
        <v>0.94269488634363896</v>
      </c>
      <c r="S3682" t="s">
        <v>10488</v>
      </c>
      <c r="T3682" t="s">
        <v>13610</v>
      </c>
      <c r="U3682" t="s">
        <v>13610</v>
      </c>
      <c r="V3682" t="s">
        <v>13610</v>
      </c>
      <c r="W3682" t="s">
        <v>17235</v>
      </c>
      <c r="X3682">
        <v>1</v>
      </c>
      <c r="Y3682" t="s">
        <v>23839</v>
      </c>
      <c r="Z3682" t="s">
        <v>30537</v>
      </c>
      <c r="AA3682">
        <v>0.19672378446486491</v>
      </c>
      <c r="AB3682" t="str">
        <f>HYPERLINK("Melting_Curves/meltCurve_Q53R41_2_FASTKD1.pdf", "Melting_Curves/meltCurve_Q53R41_2_FASTKD1.pdf")</f>
        <v>Melting_Curves/meltCurve_Q53R41_2_FASTKD1.pdf</v>
      </c>
    </row>
    <row r="3683" spans="1:28" x14ac:dyDescent="0.25">
      <c r="A3683" t="s">
        <v>3687</v>
      </c>
      <c r="B3683">
        <v>0.995954080203443</v>
      </c>
      <c r="C3683">
        <v>0.90470786807070303</v>
      </c>
      <c r="D3683">
        <v>0.77891635378744195</v>
      </c>
      <c r="E3683">
        <v>0.66323740213694105</v>
      </c>
      <c r="F3683">
        <v>0.64521115721839195</v>
      </c>
      <c r="G3683">
        <v>0.46878786214797702</v>
      </c>
      <c r="H3683">
        <v>0.41963798708247202</v>
      </c>
      <c r="I3683">
        <v>0.476699438878046</v>
      </c>
      <c r="J3683">
        <v>0.45765629645089601</v>
      </c>
      <c r="K3683">
        <v>0.58135978382444398</v>
      </c>
      <c r="L3683">
        <v>678.10398843115502</v>
      </c>
      <c r="M3683">
        <v>14.200343998191601</v>
      </c>
      <c r="N3683">
        <v>60.044887976726002</v>
      </c>
      <c r="O3683">
        <v>46.835576120668499</v>
      </c>
      <c r="P3683">
        <v>-3.9975150812454702E-2</v>
      </c>
      <c r="Q3683">
        <v>0.472681825080289</v>
      </c>
      <c r="R3683">
        <v>0.92713215162598905</v>
      </c>
      <c r="S3683" t="s">
        <v>10489</v>
      </c>
      <c r="T3683" t="s">
        <v>13610</v>
      </c>
      <c r="U3683" t="s">
        <v>13610</v>
      </c>
      <c r="V3683" t="s">
        <v>13610</v>
      </c>
      <c r="W3683" t="s">
        <v>17236</v>
      </c>
      <c r="X3683">
        <v>7</v>
      </c>
      <c r="Y3683" t="s">
        <v>23840</v>
      </c>
      <c r="Z3683" t="s">
        <v>30538</v>
      </c>
      <c r="AA3683">
        <v>0.6242586617858592</v>
      </c>
      <c r="AB3683" t="str">
        <f>HYPERLINK("Melting_Curves/meltCurve_Q53S33_BOLA3.pdf", "Melting_Curves/meltCurve_Q53S33_BOLA3.pdf")</f>
        <v>Melting_Curves/meltCurve_Q53S33_BOLA3.pdf</v>
      </c>
    </row>
    <row r="3684" spans="1:28" x14ac:dyDescent="0.25">
      <c r="A3684" t="s">
        <v>3688</v>
      </c>
      <c r="B3684">
        <v>0.995954080203443</v>
      </c>
      <c r="C3684">
        <v>0.95413494931587495</v>
      </c>
      <c r="D3684">
        <v>0.95061588706970301</v>
      </c>
      <c r="E3684">
        <v>0.67863486179843702</v>
      </c>
      <c r="F3684">
        <v>0.35357524042614602</v>
      </c>
      <c r="G3684">
        <v>0.156699543940238</v>
      </c>
      <c r="H3684">
        <v>0.112529391100561</v>
      </c>
      <c r="I3684">
        <v>9.9805137103500099E-2</v>
      </c>
      <c r="J3684">
        <v>0.102793944836722</v>
      </c>
      <c r="K3684">
        <v>9.5925900727597102E-2</v>
      </c>
      <c r="L3684">
        <v>1301.9810175488301</v>
      </c>
      <c r="M3684">
        <v>25.467676727059999</v>
      </c>
      <c r="N3684">
        <v>51.5571998940543</v>
      </c>
      <c r="O3684">
        <v>50.8108039794812</v>
      </c>
      <c r="P3684">
        <v>-0.113210269704853</v>
      </c>
      <c r="Q3684">
        <v>9.6543744811875595E-2</v>
      </c>
      <c r="R3684">
        <v>0.99888403678319704</v>
      </c>
      <c r="S3684" t="s">
        <v>10490</v>
      </c>
      <c r="T3684" t="s">
        <v>13610</v>
      </c>
      <c r="U3684" t="s">
        <v>13610</v>
      </c>
      <c r="V3684" t="s">
        <v>13610</v>
      </c>
      <c r="W3684" t="s">
        <v>17237</v>
      </c>
      <c r="X3684">
        <v>10</v>
      </c>
      <c r="Y3684" t="s">
        <v>23841</v>
      </c>
      <c r="Z3684" t="s">
        <v>30539</v>
      </c>
      <c r="AA3684">
        <v>0.43939203385559072</v>
      </c>
      <c r="AB3684" t="str">
        <f>HYPERLINK("Melting_Curves/meltCurve_Q53T59_HS1BP3.pdf", "Melting_Curves/meltCurve_Q53T59_HS1BP3.pdf")</f>
        <v>Melting_Curves/meltCurve_Q53T59_HS1BP3.pdf</v>
      </c>
    </row>
    <row r="3685" spans="1:28" x14ac:dyDescent="0.25">
      <c r="A3685" t="s">
        <v>3689</v>
      </c>
      <c r="B3685">
        <v>0.995954080203443</v>
      </c>
      <c r="C3685">
        <v>0.77136301385811401</v>
      </c>
      <c r="D3685">
        <v>0.48871917605389098</v>
      </c>
      <c r="E3685">
        <v>0.38375427488536901</v>
      </c>
      <c r="F3685">
        <v>0.23504889235708701</v>
      </c>
      <c r="G3685">
        <v>0.15194839988603001</v>
      </c>
      <c r="H3685">
        <v>0.110284834931102</v>
      </c>
      <c r="I3685">
        <v>9.5541466031088498E-2</v>
      </c>
      <c r="J3685">
        <v>0.115149872945094</v>
      </c>
      <c r="K3685">
        <v>9.5221985845432303E-2</v>
      </c>
      <c r="L3685">
        <v>668.44391075583997</v>
      </c>
      <c r="M3685">
        <v>14.465103467206999</v>
      </c>
      <c r="N3685">
        <v>46.909422670646698</v>
      </c>
      <c r="O3685">
        <v>45.354564411388601</v>
      </c>
      <c r="P3685">
        <v>-7.2015460802932099E-2</v>
      </c>
      <c r="Q3685">
        <v>9.6903034966744503E-2</v>
      </c>
      <c r="R3685">
        <v>0.98138793494203802</v>
      </c>
      <c r="S3685" t="s">
        <v>10491</v>
      </c>
      <c r="T3685" t="s">
        <v>13610</v>
      </c>
      <c r="U3685" t="s">
        <v>13610</v>
      </c>
      <c r="V3685" t="s">
        <v>13610</v>
      </c>
      <c r="W3685" t="s">
        <v>17238</v>
      </c>
      <c r="X3685">
        <v>9</v>
      </c>
      <c r="Y3685" t="s">
        <v>23842</v>
      </c>
      <c r="Z3685" t="s">
        <v>30540</v>
      </c>
      <c r="AA3685">
        <v>0.31183371611339022</v>
      </c>
      <c r="AB3685" t="str">
        <f>HYPERLINK("Melting_Curves/meltCurve_Q562E7_WDR81.pdf", "Melting_Curves/meltCurve_Q562E7_WDR81.pdf")</f>
        <v>Melting_Curves/meltCurve_Q562E7_WDR81.pdf</v>
      </c>
    </row>
    <row r="3686" spans="1:28" x14ac:dyDescent="0.25">
      <c r="A3686" t="s">
        <v>3690</v>
      </c>
      <c r="B3686">
        <v>0.995954080203443</v>
      </c>
      <c r="C3686">
        <v>1.00642265458377</v>
      </c>
      <c r="D3686">
        <v>1.11341296208935</v>
      </c>
      <c r="E3686">
        <v>0.96943984956307705</v>
      </c>
      <c r="F3686">
        <v>0.96900421192969499</v>
      </c>
      <c r="G3686">
        <v>0.672762522074553</v>
      </c>
      <c r="H3686">
        <v>0.66472560865078201</v>
      </c>
      <c r="I3686">
        <v>0.74950147504720199</v>
      </c>
      <c r="J3686">
        <v>0.96515215263654797</v>
      </c>
      <c r="K3686">
        <v>0.93872786179767298</v>
      </c>
      <c r="L3686">
        <v>13340.4611825048</v>
      </c>
      <c r="M3686">
        <v>250</v>
      </c>
      <c r="O3686">
        <v>53.3584299377966</v>
      </c>
      <c r="P3686">
        <v>-0.23640368880652299</v>
      </c>
      <c r="Q3686">
        <v>0.79817392562206102</v>
      </c>
      <c r="R3686">
        <v>0.53806173451693695</v>
      </c>
      <c r="S3686" t="s">
        <v>10492</v>
      </c>
      <c r="T3686" t="s">
        <v>13610</v>
      </c>
      <c r="U3686" t="s">
        <v>13610</v>
      </c>
      <c r="V3686" t="s">
        <v>13610</v>
      </c>
      <c r="W3686" t="s">
        <v>17239</v>
      </c>
      <c r="X3686">
        <v>10</v>
      </c>
      <c r="Y3686" t="s">
        <v>23843</v>
      </c>
      <c r="Z3686" t="s">
        <v>30541</v>
      </c>
      <c r="AA3686">
        <v>0.88808511541745727</v>
      </c>
      <c r="AB3686" t="str">
        <f>HYPERLINK("Melting_Curves/meltCurve_Q562F6_2_SGOL2.pdf", "Melting_Curves/meltCurve_Q562F6_2_SGOL2.pdf")</f>
        <v>Melting_Curves/meltCurve_Q562F6_2_SGOL2.pdf</v>
      </c>
    </row>
    <row r="3687" spans="1:28" x14ac:dyDescent="0.25">
      <c r="A3687" t="s">
        <v>3691</v>
      </c>
      <c r="B3687">
        <v>0.995954080203443</v>
      </c>
      <c r="C3687">
        <v>1.01765913004659</v>
      </c>
      <c r="D3687">
        <v>1.6796397487764301</v>
      </c>
      <c r="E3687">
        <v>1.0521020542120401</v>
      </c>
      <c r="F3687">
        <v>0.59372074510111805</v>
      </c>
      <c r="G3687">
        <v>0.220869521706476</v>
      </c>
      <c r="H3687">
        <v>0.14263579906502799</v>
      </c>
      <c r="I3687">
        <v>0.142956927366268</v>
      </c>
      <c r="J3687">
        <v>0.177478546394465</v>
      </c>
      <c r="K3687">
        <v>0.18954307611468499</v>
      </c>
      <c r="L3687">
        <v>13251.637050506801</v>
      </c>
      <c r="M3687">
        <v>250</v>
      </c>
      <c r="N3687">
        <v>53.097853966164401</v>
      </c>
      <c r="O3687">
        <v>53.003165300061298</v>
      </c>
      <c r="P3687">
        <v>-0.97317699471950003</v>
      </c>
      <c r="Q3687">
        <v>0.17469676542021501</v>
      </c>
      <c r="R3687">
        <v>0.81986711904120202</v>
      </c>
      <c r="S3687" t="s">
        <v>10493</v>
      </c>
      <c r="T3687" t="s">
        <v>13610</v>
      </c>
      <c r="U3687" t="s">
        <v>13610</v>
      </c>
      <c r="V3687" t="s">
        <v>13610</v>
      </c>
      <c r="W3687" t="s">
        <v>16448</v>
      </c>
      <c r="X3687">
        <v>11</v>
      </c>
      <c r="Y3687" t="s">
        <v>23094</v>
      </c>
      <c r="Z3687" t="s">
        <v>30542</v>
      </c>
      <c r="AA3687">
        <v>0.53258508319922782</v>
      </c>
      <c r="AB3687" t="str">
        <f>HYPERLINK("Melting_Curves/meltCurve_Q567Q0_PPIA.pdf", "Melting_Curves/meltCurve_Q567Q0_PPIA.pdf")</f>
        <v>Melting_Curves/meltCurve_Q567Q0_PPIA.pdf</v>
      </c>
    </row>
    <row r="3688" spans="1:28" x14ac:dyDescent="0.25">
      <c r="A3688" t="s">
        <v>3692</v>
      </c>
      <c r="B3688">
        <v>0.995954080203443</v>
      </c>
      <c r="C3688">
        <v>1.12709800323669</v>
      </c>
      <c r="D3688">
        <v>0.95357498662491602</v>
      </c>
      <c r="E3688">
        <v>0.84876093055756296</v>
      </c>
      <c r="F3688">
        <v>0.30276330418576203</v>
      </c>
      <c r="G3688">
        <v>0.13025227729827299</v>
      </c>
      <c r="H3688">
        <v>9.2706394435610295E-2</v>
      </c>
      <c r="I3688">
        <v>7.6193413437657204E-2</v>
      </c>
      <c r="J3688">
        <v>0.12803907718268001</v>
      </c>
      <c r="K3688">
        <v>2.9718169413577598E-2</v>
      </c>
      <c r="L3688">
        <v>2399.2356343002998</v>
      </c>
      <c r="M3688">
        <v>46.4119636783674</v>
      </c>
      <c r="N3688">
        <v>51.910926497613701</v>
      </c>
      <c r="O3688">
        <v>51.598638474307997</v>
      </c>
      <c r="P3688">
        <v>-0.20507631751587099</v>
      </c>
      <c r="Q3688">
        <v>8.8024230808455797E-2</v>
      </c>
      <c r="R3688">
        <v>0.98681941986092803</v>
      </c>
      <c r="S3688" t="s">
        <v>10494</v>
      </c>
      <c r="T3688" t="s">
        <v>13610</v>
      </c>
      <c r="U3688" t="s">
        <v>13610</v>
      </c>
      <c r="V3688" t="s">
        <v>13610</v>
      </c>
      <c r="W3688" t="s">
        <v>17240</v>
      </c>
      <c r="X3688">
        <v>4</v>
      </c>
      <c r="Y3688" t="s">
        <v>23844</v>
      </c>
      <c r="Z3688" t="s">
        <v>30543</v>
      </c>
      <c r="AA3688">
        <v>0.44593795711291279</v>
      </c>
      <c r="AB3688" t="str">
        <f>HYPERLINK("Melting_Curves/meltCurve_Q56A73_SPIN4.pdf", "Melting_Curves/meltCurve_Q56A73_SPIN4.pdf")</f>
        <v>Melting_Curves/meltCurve_Q56A73_SPIN4.pdf</v>
      </c>
    </row>
    <row r="3689" spans="1:28" x14ac:dyDescent="0.25">
      <c r="A3689" t="s">
        <v>3693</v>
      </c>
      <c r="B3689">
        <v>0.995954080203443</v>
      </c>
      <c r="C3689">
        <v>0.83777795590939796</v>
      </c>
      <c r="D3689">
        <v>0.88908716955939204</v>
      </c>
      <c r="E3689">
        <v>0.79893962319918399</v>
      </c>
      <c r="F3689">
        <v>0.68366493329271605</v>
      </c>
      <c r="G3689">
        <v>0.61156126895232699</v>
      </c>
      <c r="H3689">
        <v>0.64249535381154499</v>
      </c>
      <c r="I3689">
        <v>0.75566124451080297</v>
      </c>
      <c r="J3689">
        <v>1.00477075450918</v>
      </c>
      <c r="K3689">
        <v>0.92701450950108599</v>
      </c>
      <c r="L3689">
        <v>955.54167158052906</v>
      </c>
      <c r="M3689">
        <v>22.249686014671699</v>
      </c>
      <c r="O3689">
        <v>42.603896793396402</v>
      </c>
      <c r="P3689">
        <v>-2.8951841880880302E-2</v>
      </c>
      <c r="Q3689">
        <v>0.77825576985879197</v>
      </c>
      <c r="R3689">
        <v>0.226343446773421</v>
      </c>
      <c r="S3689" t="s">
        <v>10495</v>
      </c>
      <c r="T3689" t="s">
        <v>13610</v>
      </c>
      <c r="U3689" t="s">
        <v>13610</v>
      </c>
      <c r="V3689" t="s">
        <v>13610</v>
      </c>
      <c r="W3689" t="s">
        <v>17241</v>
      </c>
      <c r="X3689">
        <v>2</v>
      </c>
      <c r="Y3689" t="s">
        <v>23845</v>
      </c>
      <c r="Z3689" t="s">
        <v>30544</v>
      </c>
      <c r="AA3689">
        <v>0.80422315870299432</v>
      </c>
      <c r="AB3689" t="str">
        <f>HYPERLINK("Melting_Curves/meltCurve_Q56NI9_ESCO2.pdf", "Melting_Curves/meltCurve_Q56NI9_ESCO2.pdf")</f>
        <v>Melting_Curves/meltCurve_Q56NI9_ESCO2.pdf</v>
      </c>
    </row>
    <row r="3690" spans="1:28" x14ac:dyDescent="0.25">
      <c r="A3690" t="s">
        <v>3694</v>
      </c>
      <c r="B3690">
        <v>0.995954080203443</v>
      </c>
      <c r="C3690">
        <v>0.83472363424115803</v>
      </c>
      <c r="D3690">
        <v>0.59537582947505097</v>
      </c>
      <c r="E3690">
        <v>0.44246886432465099</v>
      </c>
      <c r="F3690">
        <v>0.38606030353206999</v>
      </c>
      <c r="G3690">
        <v>0.242120386948252</v>
      </c>
      <c r="H3690">
        <v>0.19377911974699</v>
      </c>
      <c r="I3690">
        <v>0.216891420138872</v>
      </c>
      <c r="J3690">
        <v>0.255111234413188</v>
      </c>
      <c r="K3690">
        <v>0.25206444457942601</v>
      </c>
      <c r="L3690">
        <v>710.03967870508598</v>
      </c>
      <c r="M3690">
        <v>15.2673839107952</v>
      </c>
      <c r="N3690">
        <v>48.395504236076</v>
      </c>
      <c r="O3690">
        <v>45.7309795081392</v>
      </c>
      <c r="P3690">
        <v>-6.4737208667115104E-2</v>
      </c>
      <c r="Q3690">
        <v>0.22443375496537399</v>
      </c>
      <c r="R3690">
        <v>0.98027458795740197</v>
      </c>
      <c r="S3690" t="s">
        <v>10496</v>
      </c>
      <c r="T3690" t="s">
        <v>13610</v>
      </c>
      <c r="U3690" t="s">
        <v>13610</v>
      </c>
      <c r="V3690" t="s">
        <v>13610</v>
      </c>
      <c r="W3690" t="s">
        <v>17242</v>
      </c>
      <c r="X3690">
        <v>4</v>
      </c>
      <c r="Y3690" t="s">
        <v>23846</v>
      </c>
      <c r="Z3690" t="s">
        <v>30545</v>
      </c>
      <c r="AA3690">
        <v>0.41364221698077319</v>
      </c>
      <c r="AB3690" t="str">
        <f>HYPERLINK("Melting_Curves/meltCurve_Q58A45_3_PAN3.pdf", "Melting_Curves/meltCurve_Q58A45_3_PAN3.pdf")</f>
        <v>Melting_Curves/meltCurve_Q58A45_3_PAN3.pdf</v>
      </c>
    </row>
    <row r="3691" spans="1:28" x14ac:dyDescent="0.25">
      <c r="A3691" t="s">
        <v>3695</v>
      </c>
      <c r="B3691">
        <v>0.995954080203443</v>
      </c>
      <c r="C3691">
        <v>0.94718316992531204</v>
      </c>
      <c r="D3691">
        <v>0.83067293204288695</v>
      </c>
      <c r="E3691">
        <v>0.70663867489985899</v>
      </c>
      <c r="F3691">
        <v>0.61361007097419695</v>
      </c>
      <c r="G3691">
        <v>0.49464408525259501</v>
      </c>
      <c r="H3691">
        <v>0.47230501808305703</v>
      </c>
      <c r="I3691">
        <v>0.57241456978703498</v>
      </c>
      <c r="J3691">
        <v>0.696683914422767</v>
      </c>
      <c r="K3691">
        <v>0.640378600208656</v>
      </c>
      <c r="L3691">
        <v>1014.65370951135</v>
      </c>
      <c r="M3691">
        <v>21.534211956983299</v>
      </c>
      <c r="O3691">
        <v>46.717531866149699</v>
      </c>
      <c r="P3691">
        <v>-4.8720022796026198E-2</v>
      </c>
      <c r="Q3691">
        <v>0.577226429810344</v>
      </c>
      <c r="R3691">
        <v>0.86160133087980995</v>
      </c>
      <c r="S3691" t="s">
        <v>10497</v>
      </c>
      <c r="T3691" t="s">
        <v>13610</v>
      </c>
      <c r="U3691" t="s">
        <v>13610</v>
      </c>
      <c r="V3691" t="s">
        <v>13610</v>
      </c>
      <c r="W3691" t="s">
        <v>17243</v>
      </c>
      <c r="X3691">
        <v>4</v>
      </c>
      <c r="Y3691" t="s">
        <v>23847</v>
      </c>
      <c r="Z3691" t="s">
        <v>30546</v>
      </c>
      <c r="AA3691">
        <v>0.68277374506816579</v>
      </c>
      <c r="AB3691" t="str">
        <f>HYPERLINK("Melting_Curves/meltCurve_Q58EX7_2_PLEKHG4.pdf", "Melting_Curves/meltCurve_Q58EX7_2_PLEKHG4.pdf")</f>
        <v>Melting_Curves/meltCurve_Q58EX7_2_PLEKHG4.pdf</v>
      </c>
    </row>
    <row r="3692" spans="1:28" x14ac:dyDescent="0.25">
      <c r="A3692" t="s">
        <v>3696</v>
      </c>
      <c r="B3692">
        <v>0.995954080203443</v>
      </c>
      <c r="C3692">
        <v>0.55220003363591497</v>
      </c>
      <c r="D3692">
        <v>0.42969104422906401</v>
      </c>
      <c r="E3692">
        <v>0.249933378534926</v>
      </c>
      <c r="F3692">
        <v>8.6280504114970999E-2</v>
      </c>
      <c r="G3692">
        <v>3.6095138877394399E-2</v>
      </c>
      <c r="H3692">
        <v>2.54976891208651E-2</v>
      </c>
      <c r="I3692">
        <v>1.9169320328984701E-2</v>
      </c>
      <c r="J3692">
        <v>2.1469361050125101E-2</v>
      </c>
      <c r="K3692">
        <v>2.0394938104534702E-2</v>
      </c>
      <c r="L3692">
        <v>681.02465268672495</v>
      </c>
      <c r="M3692">
        <v>15.185990483263</v>
      </c>
      <c r="N3692">
        <v>44.935200836908002</v>
      </c>
      <c r="O3692">
        <v>44.089492138917798</v>
      </c>
      <c r="P3692">
        <v>-8.4832750019135206E-2</v>
      </c>
      <c r="Q3692">
        <v>1.49147379336895E-2</v>
      </c>
      <c r="R3692">
        <v>0.96233360617031904</v>
      </c>
      <c r="S3692" t="s">
        <v>10498</v>
      </c>
      <c r="T3692" t="s">
        <v>13610</v>
      </c>
      <c r="U3692" t="s">
        <v>13610</v>
      </c>
      <c r="V3692" t="s">
        <v>13610</v>
      </c>
      <c r="W3692" t="s">
        <v>17244</v>
      </c>
      <c r="X3692">
        <v>16</v>
      </c>
      <c r="Y3692" t="s">
        <v>23848</v>
      </c>
      <c r="Z3692" t="s">
        <v>30547</v>
      </c>
      <c r="AA3692">
        <v>0.2053883191619055</v>
      </c>
      <c r="AB3692" t="str">
        <f>HYPERLINK("Melting_Curves/meltCurve_Q58FF8_HSP90AB2P.pdf", "Melting_Curves/meltCurve_Q58FF8_HSP90AB2P.pdf")</f>
        <v>Melting_Curves/meltCurve_Q58FF8_HSP90AB2P.pdf</v>
      </c>
    </row>
    <row r="3693" spans="1:28" x14ac:dyDescent="0.25">
      <c r="A3693" t="s">
        <v>3697</v>
      </c>
      <c r="B3693">
        <v>0.995954080203443</v>
      </c>
      <c r="C3693">
        <v>1.1948406860708201</v>
      </c>
      <c r="D3693">
        <v>1.1771159296736999</v>
      </c>
      <c r="E3693">
        <v>0.97494450577801395</v>
      </c>
      <c r="F3693">
        <v>0.54807597766871197</v>
      </c>
      <c r="G3693">
        <v>0.32577422015959501</v>
      </c>
      <c r="H3693">
        <v>0.21683053113383299</v>
      </c>
      <c r="I3693">
        <v>0.20180599519835599</v>
      </c>
      <c r="J3693">
        <v>0.233433212970202</v>
      </c>
      <c r="K3693">
        <v>0.18545219783910699</v>
      </c>
      <c r="L3693">
        <v>2492.70933923743</v>
      </c>
      <c r="M3693">
        <v>47.2804473999226</v>
      </c>
      <c r="N3693">
        <v>53.401656906528103</v>
      </c>
      <c r="O3693">
        <v>52.627716064944103</v>
      </c>
      <c r="P3693">
        <v>-0.17381096800675899</v>
      </c>
      <c r="Q3693">
        <v>0.22612698326077901</v>
      </c>
      <c r="R3693">
        <v>0.95260247691794797</v>
      </c>
      <c r="S3693" t="s">
        <v>10499</v>
      </c>
      <c r="T3693" t="s">
        <v>13610</v>
      </c>
      <c r="U3693" t="s">
        <v>13610</v>
      </c>
      <c r="V3693" t="s">
        <v>13610</v>
      </c>
      <c r="W3693" t="s">
        <v>17245</v>
      </c>
      <c r="X3693">
        <v>4</v>
      </c>
      <c r="Y3693" t="s">
        <v>23849</v>
      </c>
      <c r="Z3693" t="s">
        <v>30548</v>
      </c>
      <c r="AA3693">
        <v>0.55630864060244711</v>
      </c>
      <c r="AB3693" t="str">
        <f>HYPERLINK("Melting_Curves/meltCurve_Q58FG1_HSP90AA4P.pdf", "Melting_Curves/meltCurve_Q58FG1_HSP90AA4P.pdf")</f>
        <v>Melting_Curves/meltCurve_Q58FG1_HSP90AA4P.pdf</v>
      </c>
    </row>
    <row r="3694" spans="1:28" x14ac:dyDescent="0.25">
      <c r="A3694" t="s">
        <v>3698</v>
      </c>
      <c r="B3694">
        <v>0.995954080203443</v>
      </c>
      <c r="C3694">
        <v>0.89291485427585904</v>
      </c>
      <c r="D3694">
        <v>0.85833555262627104</v>
      </c>
      <c r="E3694">
        <v>0.85542688977331405</v>
      </c>
      <c r="F3694">
        <v>0.68689936630902104</v>
      </c>
      <c r="G3694">
        <v>0.49094149100121398</v>
      </c>
      <c r="H3694">
        <v>0.21660139585379301</v>
      </c>
      <c r="I3694">
        <v>0.15725924570826699</v>
      </c>
      <c r="J3694">
        <v>0.16324837826484201</v>
      </c>
      <c r="K3694">
        <v>0.153103196547626</v>
      </c>
      <c r="L3694">
        <v>717.52835712284002</v>
      </c>
      <c r="M3694">
        <v>12.9101862224295</v>
      </c>
      <c r="N3694">
        <v>56.048730919268401</v>
      </c>
      <c r="O3694">
        <v>54.295641236125903</v>
      </c>
      <c r="P3694">
        <v>-5.6402924927711401E-2</v>
      </c>
      <c r="Q3694">
        <v>5.1329784312760501E-2</v>
      </c>
      <c r="R3694">
        <v>0.97725387577405398</v>
      </c>
      <c r="S3694" t="s">
        <v>10500</v>
      </c>
      <c r="T3694" t="s">
        <v>13610</v>
      </c>
      <c r="U3694" t="s">
        <v>13610</v>
      </c>
      <c r="V3694" t="s">
        <v>13610</v>
      </c>
      <c r="W3694" t="s">
        <v>17246</v>
      </c>
      <c r="X3694">
        <v>17</v>
      </c>
      <c r="Y3694" t="s">
        <v>23850</v>
      </c>
      <c r="Z3694" t="s">
        <v>30549</v>
      </c>
      <c r="AA3694">
        <v>0.56369369184977836</v>
      </c>
      <c r="AB3694" t="str">
        <f>HYPERLINK("Melting_Curves/meltCurve_Q58WW2_DCAF6.pdf", "Melting_Curves/meltCurve_Q58WW2_DCAF6.pdf")</f>
        <v>Melting_Curves/meltCurve_Q58WW2_DCAF6.pdf</v>
      </c>
    </row>
    <row r="3695" spans="1:28" x14ac:dyDescent="0.25">
      <c r="A3695" t="s">
        <v>3699</v>
      </c>
      <c r="B3695">
        <v>0.995954080203443</v>
      </c>
      <c r="C3695">
        <v>0.89193773387715303</v>
      </c>
      <c r="D3695">
        <v>1.02855003734641</v>
      </c>
      <c r="E3695">
        <v>0.84021840429717198</v>
      </c>
      <c r="F3695">
        <v>0.782561378404805</v>
      </c>
      <c r="G3695">
        <v>0.57693761009955402</v>
      </c>
      <c r="H3695">
        <v>0.41754283826567701</v>
      </c>
      <c r="I3695">
        <v>0.36090831272999502</v>
      </c>
      <c r="J3695">
        <v>0.41960975739472001</v>
      </c>
      <c r="K3695">
        <v>0.40594193936255801</v>
      </c>
      <c r="L3695">
        <v>968.77315880674496</v>
      </c>
      <c r="M3695">
        <v>17.833335442671501</v>
      </c>
      <c r="N3695">
        <v>58.726085920205499</v>
      </c>
      <c r="O3695">
        <v>53.654447879874503</v>
      </c>
      <c r="P3695">
        <v>-5.24624425189587E-2</v>
      </c>
      <c r="Q3695">
        <v>0.36866561885633498</v>
      </c>
      <c r="R3695">
        <v>0.96558843248473702</v>
      </c>
      <c r="S3695" t="s">
        <v>10501</v>
      </c>
      <c r="T3695" t="s">
        <v>13610</v>
      </c>
      <c r="U3695" t="s">
        <v>13610</v>
      </c>
      <c r="V3695" t="s">
        <v>13610</v>
      </c>
      <c r="W3695" t="s">
        <v>17247</v>
      </c>
      <c r="X3695">
        <v>2</v>
      </c>
      <c r="Y3695" t="s">
        <v>23851</v>
      </c>
      <c r="Z3695" t="s">
        <v>30550</v>
      </c>
      <c r="AA3695">
        <v>0.68024081075440734</v>
      </c>
      <c r="AB3695" t="str">
        <f>HYPERLINK("Melting_Curves/meltCurve_Q59GN2_RPL39P5.pdf", "Melting_Curves/meltCurve_Q59GN2_RPL39P5.pdf")</f>
        <v>Melting_Curves/meltCurve_Q59GN2_RPL39P5.pdf</v>
      </c>
    </row>
    <row r="3696" spans="1:28" x14ac:dyDescent="0.25">
      <c r="A3696" t="s">
        <v>3700</v>
      </c>
      <c r="B3696">
        <v>0.995954080203443</v>
      </c>
      <c r="C3696">
        <v>0.94175320787177597</v>
      </c>
      <c r="D3696">
        <v>0.89729368786997799</v>
      </c>
      <c r="E3696">
        <v>0.81477267220635097</v>
      </c>
      <c r="F3696">
        <v>0.82422833238066495</v>
      </c>
      <c r="G3696">
        <v>0.534726770282553</v>
      </c>
      <c r="H3696">
        <v>0.54050361850054895</v>
      </c>
      <c r="I3696">
        <v>0.60028952478536501</v>
      </c>
      <c r="J3696">
        <v>1.1020342593670001</v>
      </c>
      <c r="K3696">
        <v>0.68613678594855698</v>
      </c>
      <c r="L3696">
        <v>940.60903278966998</v>
      </c>
      <c r="M3696">
        <v>19.683443802567901</v>
      </c>
      <c r="O3696">
        <v>47.301779239651303</v>
      </c>
      <c r="P3696">
        <v>-3.0519662335752401E-2</v>
      </c>
      <c r="Q3696">
        <v>0.70663992493425898</v>
      </c>
      <c r="R3696">
        <v>0.31931341591597101</v>
      </c>
      <c r="S3696" t="s">
        <v>10502</v>
      </c>
      <c r="T3696" t="s">
        <v>13610</v>
      </c>
      <c r="U3696" t="s">
        <v>13610</v>
      </c>
      <c r="V3696" t="s">
        <v>13610</v>
      </c>
      <c r="W3696" t="s">
        <v>17248</v>
      </c>
      <c r="X3696">
        <v>2</v>
      </c>
      <c r="Y3696" t="s">
        <v>23852</v>
      </c>
      <c r="Z3696" t="s">
        <v>30551</v>
      </c>
      <c r="AA3696">
        <v>0.78711889894042275</v>
      </c>
      <c r="AB3696" t="str">
        <f>HYPERLINK("Melting_Curves/meltCurve_Q5BKU9_OXLD1.pdf", "Melting_Curves/meltCurve_Q5BKU9_OXLD1.pdf")</f>
        <v>Melting_Curves/meltCurve_Q5BKU9_OXLD1.pdf</v>
      </c>
    </row>
    <row r="3697" spans="1:28" x14ac:dyDescent="0.25">
      <c r="A3697" t="s">
        <v>3701</v>
      </c>
      <c r="B3697">
        <v>0.995954080203443</v>
      </c>
      <c r="C3697">
        <v>0.93171281969495301</v>
      </c>
      <c r="D3697">
        <v>0.80332093841000296</v>
      </c>
      <c r="E3697">
        <v>0.627746029770759</v>
      </c>
      <c r="F3697">
        <v>0.29106833384859598</v>
      </c>
      <c r="G3697">
        <v>0.160670443014958</v>
      </c>
      <c r="H3697">
        <v>0.10395865602620601</v>
      </c>
      <c r="I3697">
        <v>0.106187208687614</v>
      </c>
      <c r="J3697">
        <v>0.118431865414731</v>
      </c>
      <c r="K3697">
        <v>0.10398764325757499</v>
      </c>
      <c r="L3697">
        <v>905.62914664222399</v>
      </c>
      <c r="M3697">
        <v>18.062437625793098</v>
      </c>
      <c r="N3697">
        <v>50.6658177046235</v>
      </c>
      <c r="O3697">
        <v>49.5363638238749</v>
      </c>
      <c r="P3697">
        <v>-8.3354603431026006E-2</v>
      </c>
      <c r="Q3697">
        <v>8.5642230353064605E-2</v>
      </c>
      <c r="R3697">
        <v>0.99073217697176097</v>
      </c>
      <c r="S3697" t="s">
        <v>10503</v>
      </c>
      <c r="T3697" t="s">
        <v>13610</v>
      </c>
      <c r="U3697" t="s">
        <v>13610</v>
      </c>
      <c r="V3697" t="s">
        <v>13610</v>
      </c>
      <c r="W3697" t="s">
        <v>17249</v>
      </c>
      <c r="X3697">
        <v>7</v>
      </c>
      <c r="Y3697" t="s">
        <v>23853</v>
      </c>
      <c r="Z3697" t="s">
        <v>30552</v>
      </c>
      <c r="AA3697">
        <v>0.41012282008516499</v>
      </c>
      <c r="AB3697" t="str">
        <f>HYPERLINK("Melting_Curves/meltCurve_Q5BKX5_C19orf54.pdf", "Melting_Curves/meltCurve_Q5BKX5_C19orf54.pdf")</f>
        <v>Melting_Curves/meltCurve_Q5BKX5_C19orf54.pdf</v>
      </c>
    </row>
    <row r="3698" spans="1:28" x14ac:dyDescent="0.25">
      <c r="A3698" t="s">
        <v>3702</v>
      </c>
      <c r="B3698">
        <v>0.995954080203443</v>
      </c>
      <c r="C3698">
        <v>0.93150389958463897</v>
      </c>
      <c r="D3698">
        <v>0.87561773813883204</v>
      </c>
      <c r="E3698">
        <v>0.80074207289013999</v>
      </c>
      <c r="F3698">
        <v>0.75581272263527199</v>
      </c>
      <c r="G3698">
        <v>0.49738802647793701</v>
      </c>
      <c r="H3698">
        <v>0.422901862239079</v>
      </c>
      <c r="I3698">
        <v>0.455158404408529</v>
      </c>
      <c r="J3698">
        <v>0.55188580326266301</v>
      </c>
      <c r="K3698">
        <v>0.57852239830549501</v>
      </c>
      <c r="L3698">
        <v>829.17769463790398</v>
      </c>
      <c r="M3698">
        <v>16.2190505549957</v>
      </c>
      <c r="N3698">
        <v>64.935643461148103</v>
      </c>
      <c r="O3698">
        <v>50.365457833031698</v>
      </c>
      <c r="P3698">
        <v>-4.1534585680837698E-2</v>
      </c>
      <c r="Q3698">
        <v>0.48412447342127202</v>
      </c>
      <c r="R3698">
        <v>0.90070495989753596</v>
      </c>
      <c r="S3698" t="s">
        <v>10504</v>
      </c>
      <c r="T3698" t="s">
        <v>13610</v>
      </c>
      <c r="U3698" t="s">
        <v>13610</v>
      </c>
      <c r="V3698" t="s">
        <v>13610</v>
      </c>
      <c r="W3698" t="s">
        <v>17250</v>
      </c>
      <c r="X3698">
        <v>8</v>
      </c>
      <c r="Y3698" t="s">
        <v>23854</v>
      </c>
      <c r="Z3698" t="s">
        <v>30553</v>
      </c>
      <c r="AA3698">
        <v>0.68582263711261171</v>
      </c>
      <c r="AB3698" t="str">
        <f>HYPERLINK("Melting_Curves/meltCurve_Q5BKZ1_ZNF326.pdf", "Melting_Curves/meltCurve_Q5BKZ1_ZNF326.pdf")</f>
        <v>Melting_Curves/meltCurve_Q5BKZ1_ZNF326.pdf</v>
      </c>
    </row>
    <row r="3699" spans="1:28" x14ac:dyDescent="0.25">
      <c r="A3699" t="s">
        <v>3703</v>
      </c>
      <c r="B3699">
        <v>0.995954080203443</v>
      </c>
      <c r="C3699">
        <v>0.88988939512005805</v>
      </c>
      <c r="D3699">
        <v>0.63148011322660402</v>
      </c>
      <c r="E3699">
        <v>0.358930770973314</v>
      </c>
      <c r="F3699">
        <v>0.26916379816698599</v>
      </c>
      <c r="G3699">
        <v>0.171420223528545</v>
      </c>
      <c r="H3699">
        <v>0.14910257209731201</v>
      </c>
      <c r="I3699">
        <v>0.17506024943714399</v>
      </c>
      <c r="J3699">
        <v>0.20440563169146</v>
      </c>
      <c r="K3699">
        <v>0.19382892579625</v>
      </c>
      <c r="L3699">
        <v>940.02202803292801</v>
      </c>
      <c r="M3699">
        <v>20.134628624744501</v>
      </c>
      <c r="N3699">
        <v>47.721594214072503</v>
      </c>
      <c r="O3699">
        <v>46.2336207275793</v>
      </c>
      <c r="P3699">
        <v>-8.9619139899175401E-2</v>
      </c>
      <c r="Q3699">
        <v>0.17688355310749301</v>
      </c>
      <c r="R3699">
        <v>0.99506861646952705</v>
      </c>
      <c r="S3699" t="s">
        <v>10505</v>
      </c>
      <c r="T3699" t="s">
        <v>13610</v>
      </c>
      <c r="U3699" t="s">
        <v>13610</v>
      </c>
      <c r="V3699" t="s">
        <v>13610</v>
      </c>
      <c r="W3699" t="s">
        <v>17251</v>
      </c>
      <c r="X3699">
        <v>13</v>
      </c>
      <c r="Y3699" t="s">
        <v>23855</v>
      </c>
      <c r="Z3699" t="s">
        <v>30554</v>
      </c>
      <c r="AA3699">
        <v>0.37238777588519473</v>
      </c>
      <c r="AB3699" t="str">
        <f>HYPERLINK("Melting_Curves/meltCurve_Q5C9Z4_NOM1.pdf", "Melting_Curves/meltCurve_Q5C9Z4_NOM1.pdf")</f>
        <v>Melting_Curves/meltCurve_Q5C9Z4_NOM1.pdf</v>
      </c>
    </row>
    <row r="3700" spans="1:28" x14ac:dyDescent="0.25">
      <c r="A3700" t="s">
        <v>3704</v>
      </c>
      <c r="B3700">
        <v>0.995954080203443</v>
      </c>
      <c r="C3700">
        <v>0.86446727292593895</v>
      </c>
      <c r="D3700">
        <v>0.50677094114124499</v>
      </c>
      <c r="E3700">
        <v>0.35916905567867802</v>
      </c>
      <c r="F3700">
        <v>0.174783911598311</v>
      </c>
      <c r="G3700">
        <v>0.167509282129919</v>
      </c>
      <c r="H3700">
        <v>9.8740125877606402E-2</v>
      </c>
      <c r="I3700">
        <v>0.117550164904049</v>
      </c>
      <c r="J3700">
        <v>8.1209424033212393E-2</v>
      </c>
      <c r="K3700">
        <v>0.11420258448833</v>
      </c>
      <c r="L3700">
        <v>833.04041033896704</v>
      </c>
      <c r="M3700">
        <v>17.9920967490016</v>
      </c>
      <c r="N3700">
        <v>46.932714277528603</v>
      </c>
      <c r="O3700">
        <v>45.739749913884502</v>
      </c>
      <c r="P3700">
        <v>-8.7758804384340403E-2</v>
      </c>
      <c r="Q3700">
        <v>0.10763766405837499</v>
      </c>
      <c r="R3700">
        <v>0.98465155438443197</v>
      </c>
      <c r="S3700" t="s">
        <v>10506</v>
      </c>
      <c r="T3700" t="s">
        <v>13610</v>
      </c>
      <c r="U3700" t="s">
        <v>13610</v>
      </c>
      <c r="V3700" t="s">
        <v>13610</v>
      </c>
      <c r="W3700" t="s">
        <v>17252</v>
      </c>
      <c r="X3700">
        <v>6</v>
      </c>
      <c r="Y3700" t="s">
        <v>23856</v>
      </c>
      <c r="Z3700" t="s">
        <v>30555</v>
      </c>
      <c r="AA3700">
        <v>0.31220552899588688</v>
      </c>
      <c r="AB3700" t="str">
        <f>HYPERLINK("Melting_Curves/meltCurve_Q5D0E6_2_DALRD3.pdf", "Melting_Curves/meltCurve_Q5D0E6_2_DALRD3.pdf")</f>
        <v>Melting_Curves/meltCurve_Q5D0E6_2_DALRD3.pdf</v>
      </c>
    </row>
    <row r="3701" spans="1:28" x14ac:dyDescent="0.25">
      <c r="A3701" t="s">
        <v>3705</v>
      </c>
      <c r="B3701">
        <v>0.995954080203443</v>
      </c>
      <c r="C3701">
        <v>1.0452314733647801</v>
      </c>
      <c r="D3701">
        <v>1.07951509175863</v>
      </c>
      <c r="E3701">
        <v>0.71987002635406205</v>
      </c>
      <c r="F3701">
        <v>1.3891567999502701</v>
      </c>
      <c r="G3701">
        <v>0.56871613604467997</v>
      </c>
      <c r="H3701">
        <v>0.96369144600932399</v>
      </c>
      <c r="I3701">
        <v>1.77883564814649</v>
      </c>
      <c r="J3701">
        <v>1.8620398052109399</v>
      </c>
      <c r="K3701">
        <v>1.29320726727876</v>
      </c>
      <c r="L3701">
        <v>15000</v>
      </c>
      <c r="M3701">
        <v>241.11206438844999</v>
      </c>
      <c r="O3701">
        <v>62.207455594873998</v>
      </c>
      <c r="P3701">
        <v>0.48449189584939401</v>
      </c>
      <c r="Q3701">
        <v>1.5</v>
      </c>
      <c r="R3701">
        <v>0.56922530240656999</v>
      </c>
      <c r="S3701" t="s">
        <v>10507</v>
      </c>
      <c r="T3701" t="s">
        <v>13610</v>
      </c>
      <c r="U3701" t="s">
        <v>13610</v>
      </c>
      <c r="V3701" t="s">
        <v>13610</v>
      </c>
      <c r="W3701" t="s">
        <v>17253</v>
      </c>
      <c r="X3701">
        <v>2</v>
      </c>
      <c r="Y3701" t="s">
        <v>23857</v>
      </c>
      <c r="Z3701" t="s">
        <v>30556</v>
      </c>
      <c r="AA3701">
        <v>1.129745716533936</v>
      </c>
      <c r="AB3701" t="str">
        <f>HYPERLINK("Melting_Curves/meltCurve_Q5D862_FLG2.pdf", "Melting_Curves/meltCurve_Q5D862_FLG2.pdf")</f>
        <v>Melting_Curves/meltCurve_Q5D862_FLG2.pdf</v>
      </c>
    </row>
    <row r="3702" spans="1:28" x14ac:dyDescent="0.25">
      <c r="A3702" t="s">
        <v>3706</v>
      </c>
      <c r="B3702">
        <v>0.995954080203443</v>
      </c>
      <c r="C3702">
        <v>0.97457417897863596</v>
      </c>
      <c r="D3702">
        <v>0.97076199951097997</v>
      </c>
      <c r="E3702">
        <v>0.61057391563494701</v>
      </c>
      <c r="F3702">
        <v>0.39930545488912</v>
      </c>
      <c r="G3702">
        <v>0.24820095050959301</v>
      </c>
      <c r="H3702">
        <v>0.160012744739531</v>
      </c>
      <c r="I3702">
        <v>0.149381888045232</v>
      </c>
      <c r="J3702">
        <v>0.15346503576155701</v>
      </c>
      <c r="K3702">
        <v>0.16239563346303801</v>
      </c>
      <c r="L3702">
        <v>1140.7176229024301</v>
      </c>
      <c r="M3702">
        <v>22.500303412217999</v>
      </c>
      <c r="N3702">
        <v>51.548425073018699</v>
      </c>
      <c r="O3702">
        <v>50.302533071735503</v>
      </c>
      <c r="P3702">
        <v>-9.4486660222109206E-2</v>
      </c>
      <c r="Q3702">
        <v>0.155065800910167</v>
      </c>
      <c r="R3702">
        <v>0.99607152190036097</v>
      </c>
      <c r="S3702" t="s">
        <v>10508</v>
      </c>
      <c r="T3702" t="s">
        <v>13610</v>
      </c>
      <c r="U3702" t="s">
        <v>13610</v>
      </c>
      <c r="V3702" t="s">
        <v>13610</v>
      </c>
      <c r="W3702" t="s">
        <v>17254</v>
      </c>
      <c r="X3702">
        <v>15</v>
      </c>
      <c r="Y3702" t="s">
        <v>23858</v>
      </c>
      <c r="Z3702" t="s">
        <v>30557</v>
      </c>
      <c r="AA3702">
        <v>0.46572394698719682</v>
      </c>
      <c r="AB3702" t="str">
        <f>HYPERLINK("Melting_Curves/meltCurve_Q5EBL4_RILPL1.pdf", "Melting_Curves/meltCurve_Q5EBL4_RILPL1.pdf")</f>
        <v>Melting_Curves/meltCurve_Q5EBL4_RILPL1.pdf</v>
      </c>
    </row>
    <row r="3703" spans="1:28" x14ac:dyDescent="0.25">
      <c r="A3703" t="s">
        <v>3707</v>
      </c>
      <c r="B3703">
        <v>0.995954080203443</v>
      </c>
      <c r="C3703">
        <v>1.0279575204217</v>
      </c>
      <c r="D3703">
        <v>0.92471489158161602</v>
      </c>
      <c r="E3703">
        <v>0.742004111938672</v>
      </c>
      <c r="F3703">
        <v>0.44294462002930701</v>
      </c>
      <c r="G3703">
        <v>0.21847295117117299</v>
      </c>
      <c r="H3703">
        <v>0.146754730041396</v>
      </c>
      <c r="I3703">
        <v>0.12241644707001401</v>
      </c>
      <c r="J3703">
        <v>0.14719768197671501</v>
      </c>
      <c r="K3703">
        <v>0.14205659399999401</v>
      </c>
      <c r="L3703">
        <v>1214.6281823397901</v>
      </c>
      <c r="M3703">
        <v>23.481787589598401</v>
      </c>
      <c r="N3703">
        <v>52.397184540950597</v>
      </c>
      <c r="O3703">
        <v>51.355627349295503</v>
      </c>
      <c r="P3703">
        <v>-9.9471899409942499E-2</v>
      </c>
      <c r="Q3703">
        <v>0.12981859611461899</v>
      </c>
      <c r="R3703">
        <v>0.997877991004124</v>
      </c>
      <c r="S3703" t="s">
        <v>10509</v>
      </c>
      <c r="T3703" t="s">
        <v>13610</v>
      </c>
      <c r="U3703" t="s">
        <v>13610</v>
      </c>
      <c r="V3703" t="s">
        <v>13610</v>
      </c>
      <c r="W3703" t="s">
        <v>17255</v>
      </c>
      <c r="X3703">
        <v>5</v>
      </c>
      <c r="Y3703" t="s">
        <v>23859</v>
      </c>
      <c r="Z3703" t="s">
        <v>30558</v>
      </c>
      <c r="AA3703">
        <v>0.47889167043701841</v>
      </c>
      <c r="AB3703" t="str">
        <f>HYPERLINK("Melting_Curves/meltCurve_Q5EBL8_PDZD11.pdf", "Melting_Curves/meltCurve_Q5EBL8_PDZD11.pdf")</f>
        <v>Melting_Curves/meltCurve_Q5EBL8_PDZD11.pdf</v>
      </c>
    </row>
    <row r="3704" spans="1:28" x14ac:dyDescent="0.25">
      <c r="A3704" t="s">
        <v>3708</v>
      </c>
      <c r="B3704">
        <v>0.995954080203443</v>
      </c>
      <c r="C3704">
        <v>1.03195141032001</v>
      </c>
      <c r="D3704">
        <v>1.0075431852523</v>
      </c>
      <c r="E3704">
        <v>0.73772123370268605</v>
      </c>
      <c r="F3704">
        <v>0.32817587298060902</v>
      </c>
      <c r="G3704">
        <v>0.13589414760542501</v>
      </c>
      <c r="H3704">
        <v>9.4972714645534598E-2</v>
      </c>
      <c r="I3704">
        <v>9.0291446594060201E-2</v>
      </c>
      <c r="J3704">
        <v>0.107050768356084</v>
      </c>
      <c r="K3704">
        <v>0.100562655019737</v>
      </c>
      <c r="L3704">
        <v>1769.36388255068</v>
      </c>
      <c r="M3704">
        <v>34.470532452721301</v>
      </c>
      <c r="N3704">
        <v>51.660791361361397</v>
      </c>
      <c r="O3704">
        <v>51.157919390931802</v>
      </c>
      <c r="P3704">
        <v>-0.15175927385959001</v>
      </c>
      <c r="Q3704">
        <v>9.9096060415339401E-2</v>
      </c>
      <c r="R3704">
        <v>0.99878363845225404</v>
      </c>
      <c r="S3704" t="s">
        <v>10510</v>
      </c>
      <c r="T3704" t="s">
        <v>13610</v>
      </c>
      <c r="U3704" t="s">
        <v>13610</v>
      </c>
      <c r="V3704" t="s">
        <v>13610</v>
      </c>
      <c r="W3704" t="s">
        <v>17256</v>
      </c>
      <c r="X3704">
        <v>17</v>
      </c>
      <c r="Y3704" t="s">
        <v>23860</v>
      </c>
      <c r="Z3704" t="s">
        <v>30559</v>
      </c>
      <c r="AA3704">
        <v>0.44364112731725758</v>
      </c>
      <c r="AB3704" t="str">
        <f>HYPERLINK("Melting_Curves/meltCurve_Q5EBM0_CMPK2.pdf", "Melting_Curves/meltCurve_Q5EBM0_CMPK2.pdf")</f>
        <v>Melting_Curves/meltCurve_Q5EBM0_CMPK2.pdf</v>
      </c>
    </row>
    <row r="3705" spans="1:28" x14ac:dyDescent="0.25">
      <c r="A3705" t="s">
        <v>3709</v>
      </c>
      <c r="B3705">
        <v>0.995954080203443</v>
      </c>
      <c r="C3705">
        <v>1.00816563883965</v>
      </c>
      <c r="D3705">
        <v>0.97288031292633503</v>
      </c>
      <c r="E3705">
        <v>0.68240796919031299</v>
      </c>
      <c r="F3705">
        <v>0.37317492903322702</v>
      </c>
      <c r="G3705">
        <v>0.255046964272306</v>
      </c>
      <c r="H3705">
        <v>0.20772277880305801</v>
      </c>
      <c r="I3705">
        <v>0.23712705725995101</v>
      </c>
      <c r="J3705">
        <v>0.26923417708654102</v>
      </c>
      <c r="K3705">
        <v>0.27988376033196699</v>
      </c>
      <c r="L3705">
        <v>1738.06240350947</v>
      </c>
      <c r="M3705">
        <v>34.438477989317697</v>
      </c>
      <c r="N3705">
        <v>51.487390152231498</v>
      </c>
      <c r="O3705">
        <v>50.299360384714603</v>
      </c>
      <c r="P3705">
        <v>-0.12888028338654101</v>
      </c>
      <c r="Q3705">
        <v>0.24705489729701299</v>
      </c>
      <c r="R3705">
        <v>0.99672994226576295</v>
      </c>
      <c r="S3705" t="s">
        <v>10511</v>
      </c>
      <c r="T3705" t="s">
        <v>13610</v>
      </c>
      <c r="U3705" t="s">
        <v>13610</v>
      </c>
      <c r="V3705" t="s">
        <v>13610</v>
      </c>
      <c r="W3705" t="s">
        <v>17257</v>
      </c>
      <c r="X3705">
        <v>18</v>
      </c>
      <c r="Y3705" t="s">
        <v>23861</v>
      </c>
      <c r="Z3705" t="s">
        <v>30560</v>
      </c>
      <c r="AA3705">
        <v>0.51335125007082028</v>
      </c>
      <c r="AB3705" t="str">
        <f>HYPERLINK("Melting_Curves/meltCurve_Q5F1R6_DNAJC21.pdf", "Melting_Curves/meltCurve_Q5F1R6_DNAJC21.pdf")</f>
        <v>Melting_Curves/meltCurve_Q5F1R6_DNAJC21.pdf</v>
      </c>
    </row>
    <row r="3706" spans="1:28" x14ac:dyDescent="0.25">
      <c r="A3706" t="s">
        <v>3710</v>
      </c>
      <c r="B3706">
        <v>0.995954080203443</v>
      </c>
      <c r="C3706">
        <v>0.84483706490143395</v>
      </c>
      <c r="D3706">
        <v>8.2150118093966898E-2</v>
      </c>
      <c r="E3706">
        <v>0.566365808604398</v>
      </c>
      <c r="F3706">
        <v>0.271145811276231</v>
      </c>
      <c r="G3706">
        <v>0.13551478541849701</v>
      </c>
      <c r="H3706">
        <v>7.3324877732275404E-2</v>
      </c>
      <c r="I3706">
        <v>5.5259849747857699E-2</v>
      </c>
      <c r="J3706">
        <v>5.19096040017753E-2</v>
      </c>
      <c r="K3706">
        <v>6.4174354530464994E-2</v>
      </c>
      <c r="S3706" t="s">
        <v>10512</v>
      </c>
      <c r="T3706" t="s">
        <v>13610</v>
      </c>
      <c r="U3706" t="s">
        <v>13611</v>
      </c>
      <c r="V3706" t="s">
        <v>13610</v>
      </c>
      <c r="W3706" t="s">
        <v>17258</v>
      </c>
      <c r="X3706">
        <v>6</v>
      </c>
      <c r="Y3706" t="s">
        <v>23862</v>
      </c>
      <c r="Z3706" t="s">
        <v>30561</v>
      </c>
      <c r="AB3706" t="str">
        <f>HYPERLINK("Melting_Curves/meltCurve_Q5FBB7_5_SGOL1.pdf", "Melting_Curves/meltCurve_Q5FBB7_5_SGOL1.pdf")</f>
        <v>Melting_Curves/meltCurve_Q5FBB7_5_SGOL1.pdf</v>
      </c>
    </row>
    <row r="3707" spans="1:28" x14ac:dyDescent="0.25">
      <c r="A3707" t="s">
        <v>3711</v>
      </c>
      <c r="B3707">
        <v>0.995954080203443</v>
      </c>
      <c r="C3707">
        <v>0.89032135160336401</v>
      </c>
      <c r="D3707">
        <v>0.69168610132592001</v>
      </c>
      <c r="E3707">
        <v>0.56630166254002601</v>
      </c>
      <c r="F3707">
        <v>0.30999468975608002</v>
      </c>
      <c r="G3707">
        <v>0.17228292862976499</v>
      </c>
      <c r="H3707">
        <v>0.11324178754161</v>
      </c>
      <c r="I3707">
        <v>0.111761949609926</v>
      </c>
      <c r="J3707">
        <v>8.7796691840380303E-2</v>
      </c>
      <c r="K3707">
        <v>9.5661303169568002E-2</v>
      </c>
      <c r="L3707">
        <v>660.51842329102794</v>
      </c>
      <c r="M3707">
        <v>13.3576875404673</v>
      </c>
      <c r="N3707">
        <v>49.922901815484003</v>
      </c>
      <c r="O3707">
        <v>48.379735756009801</v>
      </c>
      <c r="P3707">
        <v>-6.4921846913829198E-2</v>
      </c>
      <c r="Q3707">
        <v>5.9596913693946499E-2</v>
      </c>
      <c r="R3707">
        <v>0.99014568362141098</v>
      </c>
      <c r="S3707" t="s">
        <v>10513</v>
      </c>
      <c r="T3707" t="s">
        <v>13610</v>
      </c>
      <c r="U3707" t="s">
        <v>13610</v>
      </c>
      <c r="V3707" t="s">
        <v>13610</v>
      </c>
      <c r="W3707" t="s">
        <v>17259</v>
      </c>
      <c r="X3707">
        <v>3</v>
      </c>
      <c r="Y3707" t="s">
        <v>23863</v>
      </c>
      <c r="Z3707" t="s">
        <v>30562</v>
      </c>
      <c r="AA3707">
        <v>0.38386794780919131</v>
      </c>
      <c r="AB3707" t="str">
        <f>HYPERLINK("Melting_Curves/meltCurve_Q5FWF4_2_ZRANB3.pdf", "Melting_Curves/meltCurve_Q5FWF4_2_ZRANB3.pdf")</f>
        <v>Melting_Curves/meltCurve_Q5FWF4_2_ZRANB3.pdf</v>
      </c>
    </row>
    <row r="3708" spans="1:28" x14ac:dyDescent="0.25">
      <c r="A3708" t="s">
        <v>3712</v>
      </c>
      <c r="B3708">
        <v>0.995954080203443</v>
      </c>
      <c r="C3708">
        <v>1.0381804046787999</v>
      </c>
      <c r="D3708">
        <v>0.92835560384083504</v>
      </c>
      <c r="E3708">
        <v>0.77056822625524901</v>
      </c>
      <c r="F3708">
        <v>0.74127519143315901</v>
      </c>
      <c r="G3708">
        <v>0.58930877552757899</v>
      </c>
      <c r="H3708">
        <v>0.55921133235501697</v>
      </c>
      <c r="I3708">
        <v>0.68346704307083705</v>
      </c>
      <c r="J3708">
        <v>0.70156445814507595</v>
      </c>
      <c r="K3708">
        <v>0.81780804224255998</v>
      </c>
      <c r="L3708">
        <v>1403.1566344625501</v>
      </c>
      <c r="M3708">
        <v>28.940311505117499</v>
      </c>
      <c r="O3708">
        <v>48.2547736844461</v>
      </c>
      <c r="P3708">
        <v>-4.8532716074169799E-2</v>
      </c>
      <c r="Q3708">
        <v>0.67631065421933301</v>
      </c>
      <c r="R3708">
        <v>0.80397140293177105</v>
      </c>
      <c r="S3708" t="s">
        <v>10514</v>
      </c>
      <c r="T3708" t="s">
        <v>13610</v>
      </c>
      <c r="U3708" t="s">
        <v>13610</v>
      </c>
      <c r="V3708" t="s">
        <v>13610</v>
      </c>
      <c r="W3708" t="s">
        <v>17260</v>
      </c>
      <c r="X3708">
        <v>13</v>
      </c>
      <c r="Y3708" t="s">
        <v>23864</v>
      </c>
      <c r="Z3708" t="s">
        <v>30563</v>
      </c>
      <c r="AA3708">
        <v>0.76996490205248069</v>
      </c>
      <c r="AB3708" t="str">
        <f>HYPERLINK("Melting_Curves/meltCurve_Q5FWF5_ESCO1.pdf", "Melting_Curves/meltCurve_Q5FWF5_ESCO1.pdf")</f>
        <v>Melting_Curves/meltCurve_Q5FWF5_ESCO1.pdf</v>
      </c>
    </row>
    <row r="3709" spans="1:28" x14ac:dyDescent="0.25">
      <c r="A3709" t="s">
        <v>3713</v>
      </c>
      <c r="B3709">
        <v>0.995954080203443</v>
      </c>
      <c r="C3709">
        <v>0.95886798144379104</v>
      </c>
      <c r="D3709">
        <v>0.89585025977883204</v>
      </c>
      <c r="E3709">
        <v>0.67787591610891895</v>
      </c>
      <c r="F3709">
        <v>0.26719327291907902</v>
      </c>
      <c r="G3709">
        <v>0.101412845520245</v>
      </c>
      <c r="H3709">
        <v>7.2021021756327894E-2</v>
      </c>
      <c r="I3709">
        <v>6.6712726665528396E-2</v>
      </c>
      <c r="J3709">
        <v>8.7720716925925105E-2</v>
      </c>
      <c r="K3709">
        <v>7.4037706520814706E-2</v>
      </c>
      <c r="L3709">
        <v>1473.2035675913401</v>
      </c>
      <c r="M3709">
        <v>28.967253153553099</v>
      </c>
      <c r="N3709">
        <v>51.118374754406702</v>
      </c>
      <c r="O3709">
        <v>50.617022996699397</v>
      </c>
      <c r="P3709">
        <v>-0.13324311447734</v>
      </c>
      <c r="Q3709">
        <v>6.8697452873660705E-2</v>
      </c>
      <c r="R3709">
        <v>0.99532295575354701</v>
      </c>
      <c r="S3709" t="s">
        <v>10515</v>
      </c>
      <c r="T3709" t="s">
        <v>13610</v>
      </c>
      <c r="U3709" t="s">
        <v>13610</v>
      </c>
      <c r="V3709" t="s">
        <v>13610</v>
      </c>
      <c r="W3709" t="s">
        <v>17261</v>
      </c>
      <c r="X3709">
        <v>32</v>
      </c>
      <c r="Y3709" t="s">
        <v>23865</v>
      </c>
      <c r="Z3709" t="s">
        <v>30564</v>
      </c>
      <c r="AA3709">
        <v>0.41201961019919442</v>
      </c>
      <c r="AB3709" t="str">
        <f>HYPERLINK("Melting_Curves/meltCurve_Q5GLZ8_2_HERC4.pdf", "Melting_Curves/meltCurve_Q5GLZ8_2_HERC4.pdf")</f>
        <v>Melting_Curves/meltCurve_Q5GLZ8_2_HERC4.pdf</v>
      </c>
    </row>
    <row r="3710" spans="1:28" x14ac:dyDescent="0.25">
      <c r="A3710" t="s">
        <v>3714</v>
      </c>
      <c r="B3710">
        <v>0.995954080203443</v>
      </c>
      <c r="C3710">
        <v>1.0386758888134899</v>
      </c>
      <c r="D3710">
        <v>1.02461977806047</v>
      </c>
      <c r="E3710">
        <v>0.92805513296143205</v>
      </c>
      <c r="F3710">
        <v>0.88420559398387899</v>
      </c>
      <c r="G3710">
        <v>0.63707196111115705</v>
      </c>
      <c r="H3710">
        <v>0.58674205696232695</v>
      </c>
      <c r="I3710">
        <v>0.71909041485319203</v>
      </c>
      <c r="J3710">
        <v>0.85313620638006205</v>
      </c>
      <c r="K3710">
        <v>0.83341592359551597</v>
      </c>
      <c r="L3710">
        <v>5100.4328336298804</v>
      </c>
      <c r="M3710">
        <v>95.940480158728505</v>
      </c>
      <c r="O3710">
        <v>53.139389172111201</v>
      </c>
      <c r="P3710">
        <v>-0.123715448755603</v>
      </c>
      <c r="Q3710">
        <v>0.72590663535801803</v>
      </c>
      <c r="R3710">
        <v>0.72507030608522705</v>
      </c>
      <c r="S3710" t="s">
        <v>10516</v>
      </c>
      <c r="T3710" t="s">
        <v>13610</v>
      </c>
      <c r="U3710" t="s">
        <v>13610</v>
      </c>
      <c r="V3710" t="s">
        <v>13610</v>
      </c>
      <c r="W3710" t="s">
        <v>17262</v>
      </c>
      <c r="X3710">
        <v>1</v>
      </c>
      <c r="Y3710" t="s">
        <v>23866</v>
      </c>
      <c r="Z3710" t="s">
        <v>30565</v>
      </c>
      <c r="AA3710">
        <v>0.84633868330340667</v>
      </c>
      <c r="AB3710" t="str">
        <f>HYPERLINK("Melting_Curves/meltCurve_Q5H937_PKIG.pdf", "Melting_Curves/meltCurve_Q5H937_PKIG.pdf")</f>
        <v>Melting_Curves/meltCurve_Q5H937_PKIG.pdf</v>
      </c>
    </row>
    <row r="3711" spans="1:28" x14ac:dyDescent="0.25">
      <c r="A3711" t="s">
        <v>3715</v>
      </c>
      <c r="B3711">
        <v>0.995954080203443</v>
      </c>
      <c r="C3711">
        <v>0.88550877921843196</v>
      </c>
      <c r="D3711">
        <v>0.71174064264180703</v>
      </c>
      <c r="E3711">
        <v>0.62073683967372195</v>
      </c>
      <c r="F3711">
        <v>0.46107843731739101</v>
      </c>
      <c r="G3711">
        <v>0.32352988068768002</v>
      </c>
      <c r="H3711">
        <v>0.245101406824592</v>
      </c>
      <c r="I3711">
        <v>0.20094678401517199</v>
      </c>
      <c r="J3711">
        <v>0.130052597652624</v>
      </c>
      <c r="K3711">
        <v>0.10326996861672599</v>
      </c>
      <c r="L3711">
        <v>471.76790080375201</v>
      </c>
      <c r="M3711">
        <v>9.1007361905378392</v>
      </c>
      <c r="N3711">
        <v>52.239943062680297</v>
      </c>
      <c r="O3711">
        <v>49.519380440902701</v>
      </c>
      <c r="P3711">
        <v>-4.44242212502102E-2</v>
      </c>
      <c r="Q3711">
        <v>3.3779568787774397E-2</v>
      </c>
      <c r="R3711">
        <v>0.99099394967434096</v>
      </c>
      <c r="S3711" t="s">
        <v>10517</v>
      </c>
      <c r="T3711" t="s">
        <v>13610</v>
      </c>
      <c r="U3711" t="s">
        <v>13610</v>
      </c>
      <c r="V3711" t="s">
        <v>13610</v>
      </c>
      <c r="W3711" t="s">
        <v>17263</v>
      </c>
      <c r="X3711">
        <v>3</v>
      </c>
      <c r="Y3711" t="s">
        <v>23867</v>
      </c>
      <c r="Z3711" t="s">
        <v>30566</v>
      </c>
      <c r="AA3711">
        <v>0.45623106046950412</v>
      </c>
      <c r="AB3711" t="str">
        <f>HYPERLINK("Melting_Curves/meltCurve_Q5H9A7_TIMP1.pdf", "Melting_Curves/meltCurve_Q5H9A7_TIMP1.pdf")</f>
        <v>Melting_Curves/meltCurve_Q5H9A7_TIMP1.pdf</v>
      </c>
    </row>
    <row r="3712" spans="1:28" x14ac:dyDescent="0.25">
      <c r="A3712" t="s">
        <v>3716</v>
      </c>
      <c r="B3712">
        <v>0.995954080203443</v>
      </c>
      <c r="C3712">
        <v>0.98067546321809895</v>
      </c>
      <c r="D3712">
        <v>0.80465714100700203</v>
      </c>
      <c r="E3712">
        <v>0.78669122061114405</v>
      </c>
      <c r="F3712">
        <v>0.339385925449737</v>
      </c>
      <c r="G3712">
        <v>0.123490554084491</v>
      </c>
      <c r="H3712">
        <v>7.9737295870702496E-2</v>
      </c>
      <c r="I3712">
        <v>7.3073969278867501E-2</v>
      </c>
      <c r="J3712">
        <v>6.47488450818237E-2</v>
      </c>
      <c r="K3712">
        <v>7.0932016495763403E-2</v>
      </c>
      <c r="L3712">
        <v>1334.5832128054301</v>
      </c>
      <c r="M3712">
        <v>25.861607597865898</v>
      </c>
      <c r="N3712">
        <v>51.863010999643002</v>
      </c>
      <c r="O3712">
        <v>51.2992234696952</v>
      </c>
      <c r="P3712">
        <v>-0.118421753181773</v>
      </c>
      <c r="Q3712">
        <v>6.04030900129707E-2</v>
      </c>
      <c r="R3712">
        <v>0.97900605048216405</v>
      </c>
      <c r="S3712" t="s">
        <v>10518</v>
      </c>
      <c r="T3712" t="s">
        <v>13610</v>
      </c>
      <c r="U3712" t="s">
        <v>13610</v>
      </c>
      <c r="V3712" t="s">
        <v>13610</v>
      </c>
      <c r="W3712" t="s">
        <v>17264</v>
      </c>
      <c r="X3712">
        <v>1</v>
      </c>
      <c r="Y3712" t="s">
        <v>23868</v>
      </c>
      <c r="Z3712" t="s">
        <v>30567</v>
      </c>
      <c r="AA3712">
        <v>0.43186208284931799</v>
      </c>
      <c r="AB3712" t="str">
        <f>HYPERLINK("Melting_Curves/meltCurve_Q5HYC2_2_KIAA2026.pdf", "Melting_Curves/meltCurve_Q5HYC2_2_KIAA2026.pdf")</f>
        <v>Melting_Curves/meltCurve_Q5HYC2_2_KIAA2026.pdf</v>
      </c>
    </row>
    <row r="3713" spans="1:28" x14ac:dyDescent="0.25">
      <c r="A3713" t="s">
        <v>3717</v>
      </c>
      <c r="B3713">
        <v>0.995954080203443</v>
      </c>
      <c r="C3713">
        <v>0.45810001453115101</v>
      </c>
      <c r="D3713">
        <v>0.237285770597255</v>
      </c>
      <c r="E3713">
        <v>0.30547848769281899</v>
      </c>
      <c r="F3713">
        <v>0.156558762074053</v>
      </c>
      <c r="G3713">
        <v>7.2069313137989005E-2</v>
      </c>
      <c r="H3713">
        <v>4.6094702350812297E-2</v>
      </c>
      <c r="I3713">
        <v>3.6525735250651198E-2</v>
      </c>
      <c r="J3713">
        <v>3.4413163487655399E-2</v>
      </c>
      <c r="K3713">
        <v>3.5861957038210997E-2</v>
      </c>
      <c r="L3713">
        <v>1402.0449309944199</v>
      </c>
      <c r="M3713">
        <v>32.844686581622703</v>
      </c>
      <c r="N3713">
        <v>42.9830106193603</v>
      </c>
      <c r="O3713">
        <v>42.529799158310396</v>
      </c>
      <c r="P3713">
        <v>-0.17353428958773001</v>
      </c>
      <c r="Q3713">
        <v>0.101182320010806</v>
      </c>
      <c r="R3713">
        <v>0.91190335495279196</v>
      </c>
      <c r="S3713" t="s">
        <v>10519</v>
      </c>
      <c r="T3713" t="s">
        <v>13610</v>
      </c>
      <c r="U3713" t="s">
        <v>13610</v>
      </c>
      <c r="V3713" t="s">
        <v>13610</v>
      </c>
      <c r="W3713" t="s">
        <v>17265</v>
      </c>
      <c r="X3713">
        <v>23</v>
      </c>
      <c r="Y3713" t="s">
        <v>23869</v>
      </c>
      <c r="Z3713" t="s">
        <v>30568</v>
      </c>
      <c r="AA3713">
        <v>0.18901948411922759</v>
      </c>
      <c r="AB3713" t="str">
        <f>HYPERLINK("Melting_Curves/meltCurve_Q5JP53_TUBB.pdf", "Melting_Curves/meltCurve_Q5JP53_TUBB.pdf")</f>
        <v>Melting_Curves/meltCurve_Q5JP53_TUBB.pdf</v>
      </c>
    </row>
    <row r="3714" spans="1:28" x14ac:dyDescent="0.25">
      <c r="A3714" t="s">
        <v>3718</v>
      </c>
      <c r="B3714">
        <v>0.995954080203443</v>
      </c>
      <c r="C3714">
        <v>0.89216503692874405</v>
      </c>
      <c r="D3714">
        <v>0.68392248875037698</v>
      </c>
      <c r="E3714">
        <v>0.78821566254450504</v>
      </c>
      <c r="F3714">
        <v>0.35648606434725999</v>
      </c>
      <c r="G3714">
        <v>0.188811034429443</v>
      </c>
      <c r="H3714">
        <v>0.14207616997410399</v>
      </c>
      <c r="I3714">
        <v>0.12140594158068201</v>
      </c>
      <c r="J3714">
        <v>0.13632685825310401</v>
      </c>
      <c r="K3714">
        <v>0.124593941740348</v>
      </c>
      <c r="L3714">
        <v>659.76112838000097</v>
      </c>
      <c r="M3714">
        <v>12.944476280801601</v>
      </c>
      <c r="N3714">
        <v>51.528634465581497</v>
      </c>
      <c r="O3714">
        <v>49.798103311759498</v>
      </c>
      <c r="P3714">
        <v>-6.0731063848901999E-2</v>
      </c>
      <c r="Q3714">
        <v>6.5624866891331499E-2</v>
      </c>
      <c r="R3714">
        <v>0.94032874684849299</v>
      </c>
      <c r="S3714" t="s">
        <v>10520</v>
      </c>
      <c r="T3714" t="s">
        <v>13610</v>
      </c>
      <c r="U3714" t="s">
        <v>13610</v>
      </c>
      <c r="V3714" t="s">
        <v>13610</v>
      </c>
      <c r="W3714" t="s">
        <v>17266</v>
      </c>
      <c r="X3714">
        <v>4</v>
      </c>
      <c r="Y3714" t="s">
        <v>23870</v>
      </c>
      <c r="Z3714" t="s">
        <v>30569</v>
      </c>
      <c r="AA3714">
        <v>0.43455412459289711</v>
      </c>
      <c r="AB3714" t="str">
        <f>HYPERLINK("Melting_Curves/meltCurve_Q5JPE7_2_NOMO2.pdf", "Melting_Curves/meltCurve_Q5JPE7_2_NOMO2.pdf")</f>
        <v>Melting_Curves/meltCurve_Q5JPE7_2_NOMO2.pdf</v>
      </c>
    </row>
    <row r="3715" spans="1:28" x14ac:dyDescent="0.25">
      <c r="A3715" t="s">
        <v>3719</v>
      </c>
      <c r="B3715">
        <v>0.995954080203443</v>
      </c>
      <c r="C3715">
        <v>0.89584138808443903</v>
      </c>
      <c r="D3715">
        <v>0.76077359793253696</v>
      </c>
      <c r="E3715">
        <v>0.64325432933601201</v>
      </c>
      <c r="F3715">
        <v>0.38635667475011698</v>
      </c>
      <c r="G3715">
        <v>0.16818555933266299</v>
      </c>
      <c r="H3715">
        <v>0.10360737012730201</v>
      </c>
      <c r="I3715">
        <v>9.4682321020249802E-2</v>
      </c>
      <c r="J3715">
        <v>6.4129596128709901E-2</v>
      </c>
      <c r="K3715">
        <v>5.9676460960213701E-2</v>
      </c>
      <c r="L3715">
        <v>669.49148123843599</v>
      </c>
      <c r="M3715">
        <v>13.1261009128749</v>
      </c>
      <c r="N3715">
        <v>51.139503434852998</v>
      </c>
      <c r="O3715">
        <v>49.864321140137299</v>
      </c>
      <c r="P3715">
        <v>-6.4699984479661105E-2</v>
      </c>
      <c r="Q3715">
        <v>1.7020169178669001E-2</v>
      </c>
      <c r="R3715">
        <v>0.99080723470633503</v>
      </c>
      <c r="S3715" t="s">
        <v>10521</v>
      </c>
      <c r="T3715" t="s">
        <v>13610</v>
      </c>
      <c r="U3715" t="s">
        <v>13610</v>
      </c>
      <c r="V3715" t="s">
        <v>13610</v>
      </c>
      <c r="W3715" t="s">
        <v>17267</v>
      </c>
      <c r="X3715">
        <v>3</v>
      </c>
      <c r="Y3715" t="s">
        <v>23871</v>
      </c>
      <c r="Z3715" t="s">
        <v>30570</v>
      </c>
      <c r="AA3715">
        <v>0.40567010790523889</v>
      </c>
      <c r="AB3715" t="str">
        <f>HYPERLINK("Melting_Curves/meltCurve_Q5JPI3_2_C3orf38.pdf", "Melting_Curves/meltCurve_Q5JPI3_2_C3orf38.pdf")</f>
        <v>Melting_Curves/meltCurve_Q5JPI3_2_C3orf38.pdf</v>
      </c>
    </row>
    <row r="3716" spans="1:28" x14ac:dyDescent="0.25">
      <c r="A3716" t="s">
        <v>3720</v>
      </c>
      <c r="B3716">
        <v>0.995954080203443</v>
      </c>
      <c r="C3716">
        <v>0.95908908231927703</v>
      </c>
      <c r="D3716">
        <v>0.72701398133517103</v>
      </c>
      <c r="E3716">
        <v>0.40598604292099899</v>
      </c>
      <c r="F3716">
        <v>0.20165075592182199</v>
      </c>
      <c r="G3716">
        <v>0.14730732551693601</v>
      </c>
      <c r="H3716">
        <v>0.109900253380077</v>
      </c>
      <c r="I3716">
        <v>0.104087573118256</v>
      </c>
      <c r="J3716">
        <v>0.13646230513282601</v>
      </c>
      <c r="K3716">
        <v>0.125193066853972</v>
      </c>
      <c r="L3716">
        <v>1021.56739877404</v>
      </c>
      <c r="M3716">
        <v>21.2700522139634</v>
      </c>
      <c r="N3716">
        <v>48.6217398281211</v>
      </c>
      <c r="O3716">
        <v>47.609951727572998</v>
      </c>
      <c r="P3716">
        <v>-9.8925352072853995E-2</v>
      </c>
      <c r="Q3716">
        <v>0.11430193392089701</v>
      </c>
      <c r="R3716">
        <v>0.997446317841297</v>
      </c>
      <c r="S3716" t="s">
        <v>10522</v>
      </c>
      <c r="T3716" t="s">
        <v>13610</v>
      </c>
      <c r="U3716" t="s">
        <v>13610</v>
      </c>
      <c r="V3716" t="s">
        <v>13610</v>
      </c>
      <c r="W3716" t="s">
        <v>17268</v>
      </c>
      <c r="X3716">
        <v>5</v>
      </c>
      <c r="Y3716" t="s">
        <v>23872</v>
      </c>
      <c r="Z3716" t="s">
        <v>30571</v>
      </c>
      <c r="AA3716">
        <v>0.36236606889087869</v>
      </c>
      <c r="AB3716" t="str">
        <f>HYPERLINK("Melting_Curves/meltCurve_Q5JPI9_METTL10.pdf", "Melting_Curves/meltCurve_Q5JPI9_METTL10.pdf")</f>
        <v>Melting_Curves/meltCurve_Q5JPI9_METTL10.pdf</v>
      </c>
    </row>
    <row r="3717" spans="1:28" x14ac:dyDescent="0.25">
      <c r="A3717" t="s">
        <v>3721</v>
      </c>
      <c r="B3717">
        <v>0.995954080203443</v>
      </c>
      <c r="C3717">
        <v>0.89315538748339296</v>
      </c>
      <c r="D3717">
        <v>0.78753121685449301</v>
      </c>
      <c r="E3717">
        <v>0.58146856395913005</v>
      </c>
      <c r="F3717">
        <v>0.21943831940091499</v>
      </c>
      <c r="G3717">
        <v>7.7175850812977106E-2</v>
      </c>
      <c r="H3717">
        <v>5.7467547497643399E-2</v>
      </c>
      <c r="I3717">
        <v>4.56811011237752E-2</v>
      </c>
      <c r="J3717">
        <v>5.2841667296453801E-2</v>
      </c>
      <c r="K3717">
        <v>4.3552901287173602E-2</v>
      </c>
      <c r="L3717">
        <v>895.38366780816102</v>
      </c>
      <c r="M3717">
        <v>17.961978113178301</v>
      </c>
      <c r="N3717">
        <v>49.977095548645501</v>
      </c>
      <c r="O3717">
        <v>49.243280517128703</v>
      </c>
      <c r="P3717">
        <v>-8.9140312025335899E-2</v>
      </c>
      <c r="Q3717">
        <v>2.25256634077045E-2</v>
      </c>
      <c r="R3717">
        <v>0.98833203562356997</v>
      </c>
      <c r="S3717" t="s">
        <v>10523</v>
      </c>
      <c r="T3717" t="s">
        <v>13610</v>
      </c>
      <c r="U3717" t="s">
        <v>13610</v>
      </c>
      <c r="V3717" t="s">
        <v>13610</v>
      </c>
      <c r="W3717" t="s">
        <v>17269</v>
      </c>
      <c r="X3717">
        <v>10</v>
      </c>
      <c r="Y3717" t="s">
        <v>23873</v>
      </c>
      <c r="Z3717" t="s">
        <v>30572</v>
      </c>
      <c r="AA3717">
        <v>0.36019584243775621</v>
      </c>
      <c r="AB3717" t="str">
        <f>HYPERLINK("Melting_Curves/meltCurve_Q5JR08_RHOC.pdf", "Melting_Curves/meltCurve_Q5JR08_RHOC.pdf")</f>
        <v>Melting_Curves/meltCurve_Q5JR08_RHOC.pdf</v>
      </c>
    </row>
    <row r="3718" spans="1:28" x14ac:dyDescent="0.25">
      <c r="A3718" t="s">
        <v>3722</v>
      </c>
      <c r="B3718">
        <v>0.995954080203443</v>
      </c>
      <c r="C3718">
        <v>1.18441250743758</v>
      </c>
      <c r="D3718">
        <v>1.1638174419618099</v>
      </c>
      <c r="E3718">
        <v>1.0708222664833</v>
      </c>
      <c r="F3718">
        <v>1.04528963694493</v>
      </c>
      <c r="G3718">
        <v>0.75655070378074696</v>
      </c>
      <c r="H3718">
        <v>0.74293225339277602</v>
      </c>
      <c r="I3718">
        <v>0.85162896611935601</v>
      </c>
      <c r="J3718">
        <v>1.10575696311543</v>
      </c>
      <c r="K3718">
        <v>0.93367350319908604</v>
      </c>
      <c r="L3718">
        <v>3680.8128797337499</v>
      </c>
      <c r="M3718">
        <v>67.499100684538703</v>
      </c>
      <c r="O3718">
        <v>54.4834832223234</v>
      </c>
      <c r="P3718">
        <v>-3.7420381779477901E-2</v>
      </c>
      <c r="Q3718">
        <v>0.87918107507475696</v>
      </c>
      <c r="R3718">
        <v>0.301134134812931</v>
      </c>
      <c r="S3718" t="s">
        <v>10524</v>
      </c>
      <c r="T3718" t="s">
        <v>13610</v>
      </c>
      <c r="U3718" t="s">
        <v>13610</v>
      </c>
      <c r="V3718" t="s">
        <v>13610</v>
      </c>
      <c r="W3718" t="s">
        <v>17270</v>
      </c>
      <c r="X3718">
        <v>21</v>
      </c>
      <c r="Y3718" t="s">
        <v>23874</v>
      </c>
      <c r="Z3718" t="s">
        <v>30573</v>
      </c>
      <c r="AA3718">
        <v>0.93786195376770698</v>
      </c>
      <c r="AB3718" t="str">
        <f>HYPERLINK("Melting_Curves/meltCurve_Q5JRA6_2_MIA3.pdf", "Melting_Curves/meltCurve_Q5JRA6_2_MIA3.pdf")</f>
        <v>Melting_Curves/meltCurve_Q5JRA6_2_MIA3.pdf</v>
      </c>
    </row>
    <row r="3719" spans="1:28" x14ac:dyDescent="0.25">
      <c r="A3719" t="s">
        <v>3723</v>
      </c>
      <c r="B3719">
        <v>0.995954080203443</v>
      </c>
      <c r="C3719">
        <v>0.95001987949894895</v>
      </c>
      <c r="D3719">
        <v>0.87353485583786095</v>
      </c>
      <c r="E3719">
        <v>0.73336907011911201</v>
      </c>
      <c r="F3719">
        <v>0.53636260996762797</v>
      </c>
      <c r="G3719">
        <v>0.29617538200324101</v>
      </c>
      <c r="H3719">
        <v>0.168821830715986</v>
      </c>
      <c r="I3719">
        <v>0.12297633844354</v>
      </c>
      <c r="J3719">
        <v>0.13584481430546699</v>
      </c>
      <c r="K3719">
        <v>0.112879038934669</v>
      </c>
      <c r="L3719">
        <v>778.58250834450496</v>
      </c>
      <c r="M3719">
        <v>14.7629619149237</v>
      </c>
      <c r="N3719">
        <v>53.343415708795803</v>
      </c>
      <c r="O3719">
        <v>51.799581285859098</v>
      </c>
      <c r="P3719">
        <v>-6.5769280546821601E-2</v>
      </c>
      <c r="Q3719">
        <v>7.7026711096378195E-2</v>
      </c>
      <c r="R3719">
        <v>0.99732126813181399</v>
      </c>
      <c r="S3719" t="s">
        <v>10525</v>
      </c>
      <c r="T3719" t="s">
        <v>13610</v>
      </c>
      <c r="U3719" t="s">
        <v>13610</v>
      </c>
      <c r="V3719" t="s">
        <v>13610</v>
      </c>
      <c r="W3719" t="s">
        <v>17271</v>
      </c>
      <c r="X3719">
        <v>13</v>
      </c>
      <c r="Y3719" t="s">
        <v>23875</v>
      </c>
      <c r="Z3719" t="s">
        <v>30574</v>
      </c>
      <c r="AA3719">
        <v>0.48948318140530989</v>
      </c>
      <c r="AB3719" t="str">
        <f>HYPERLINK("Melting_Curves/meltCurve_Q5JRG1_NUPL1.pdf", "Melting_Curves/meltCurve_Q5JRG1_NUPL1.pdf")</f>
        <v>Melting_Curves/meltCurve_Q5JRG1_NUPL1.pdf</v>
      </c>
    </row>
    <row r="3720" spans="1:28" x14ac:dyDescent="0.25">
      <c r="A3720" t="s">
        <v>3724</v>
      </c>
      <c r="B3720">
        <v>0.995954080203443</v>
      </c>
      <c r="C3720">
        <v>0.85837595441895898</v>
      </c>
      <c r="D3720">
        <v>0.84959953646533204</v>
      </c>
      <c r="E3720">
        <v>0.78612311627037101</v>
      </c>
      <c r="F3720">
        <v>0.69963374051649097</v>
      </c>
      <c r="G3720">
        <v>0.53188092202418602</v>
      </c>
      <c r="H3720">
        <v>0.50077206012144504</v>
      </c>
      <c r="I3720">
        <v>0.57231596533481299</v>
      </c>
      <c r="J3720">
        <v>0.79346100618996496</v>
      </c>
      <c r="K3720">
        <v>0.62051939537489498</v>
      </c>
      <c r="L3720">
        <v>665.70143740802098</v>
      </c>
      <c r="M3720">
        <v>14.092625545417</v>
      </c>
      <c r="O3720">
        <v>46.316926232946699</v>
      </c>
      <c r="P3720">
        <v>-3.0177266724638399E-2</v>
      </c>
      <c r="Q3720">
        <v>0.60332788306158602</v>
      </c>
      <c r="R3720">
        <v>0.70738775788618802</v>
      </c>
      <c r="S3720" t="s">
        <v>10526</v>
      </c>
      <c r="T3720" t="s">
        <v>13610</v>
      </c>
      <c r="U3720" t="s">
        <v>13610</v>
      </c>
      <c r="V3720" t="s">
        <v>13610</v>
      </c>
      <c r="W3720" t="s">
        <v>17272</v>
      </c>
      <c r="X3720">
        <v>1</v>
      </c>
      <c r="Y3720" t="s">
        <v>23876</v>
      </c>
      <c r="Z3720" t="s">
        <v>30575</v>
      </c>
      <c r="AA3720">
        <v>0.71107325783302877</v>
      </c>
      <c r="AB3720" t="str">
        <f>HYPERLINK("Melting_Curves/meltCurve_Q5JRL0_PAGE2B.pdf", "Melting_Curves/meltCurve_Q5JRL0_PAGE2B.pdf")</f>
        <v>Melting_Curves/meltCurve_Q5JRL0_PAGE2B.pdf</v>
      </c>
    </row>
    <row r="3721" spans="1:28" x14ac:dyDescent="0.25">
      <c r="A3721" t="s">
        <v>3725</v>
      </c>
      <c r="B3721">
        <v>0.995954080203443</v>
      </c>
      <c r="C3721">
        <v>0.96617142723993299</v>
      </c>
      <c r="D3721">
        <v>0.85940518028896395</v>
      </c>
      <c r="E3721">
        <v>0.69022507424928203</v>
      </c>
      <c r="F3721">
        <v>0.42608791707124499</v>
      </c>
      <c r="G3721">
        <v>0.20822914692383901</v>
      </c>
      <c r="H3721">
        <v>9.0653610543050406E-2</v>
      </c>
      <c r="I3721">
        <v>7.1331617903078001E-2</v>
      </c>
      <c r="J3721">
        <v>7.0696088822876105E-2</v>
      </c>
      <c r="K3721">
        <v>6.8123539201333794E-2</v>
      </c>
      <c r="L3721">
        <v>867.28674635628204</v>
      </c>
      <c r="M3721">
        <v>16.739577432217299</v>
      </c>
      <c r="N3721">
        <v>52.069721771555699</v>
      </c>
      <c r="O3721">
        <v>51.088091548519301</v>
      </c>
      <c r="P3721">
        <v>-7.8646178676011105E-2</v>
      </c>
      <c r="Q3721">
        <v>3.9971130584966597E-2</v>
      </c>
      <c r="R3721">
        <v>0.99779235895763196</v>
      </c>
      <c r="S3721" t="s">
        <v>10527</v>
      </c>
      <c r="T3721" t="s">
        <v>13610</v>
      </c>
      <c r="U3721" t="s">
        <v>13610</v>
      </c>
      <c r="V3721" t="s">
        <v>13610</v>
      </c>
      <c r="W3721" t="s">
        <v>17273</v>
      </c>
      <c r="X3721">
        <v>25</v>
      </c>
      <c r="Y3721" t="s">
        <v>23877</v>
      </c>
      <c r="Z3721" t="s">
        <v>30576</v>
      </c>
      <c r="AA3721">
        <v>0.4360309453916949</v>
      </c>
      <c r="AB3721" t="str">
        <f>HYPERLINK("Melting_Curves/meltCurve_Q5JRX3_PITRM1.pdf", "Melting_Curves/meltCurve_Q5JRX3_PITRM1.pdf")</f>
        <v>Melting_Curves/meltCurve_Q5JRX3_PITRM1.pdf</v>
      </c>
    </row>
    <row r="3722" spans="1:28" x14ac:dyDescent="0.25">
      <c r="A3722" t="s">
        <v>3726</v>
      </c>
      <c r="B3722">
        <v>0.995954080203443</v>
      </c>
      <c r="C3722">
        <v>0.97864436739216698</v>
      </c>
      <c r="D3722">
        <v>0.91222560889354898</v>
      </c>
      <c r="E3722">
        <v>0.90071062095896903</v>
      </c>
      <c r="F3722">
        <v>0.79501166929818101</v>
      </c>
      <c r="G3722">
        <v>0.55216259276926205</v>
      </c>
      <c r="H3722">
        <v>0.436068964518038</v>
      </c>
      <c r="I3722">
        <v>0.464529932646155</v>
      </c>
      <c r="J3722">
        <v>0.49342163415879098</v>
      </c>
      <c r="K3722">
        <v>0.44063673532958902</v>
      </c>
      <c r="L3722">
        <v>1214.7331173786499</v>
      </c>
      <c r="M3722">
        <v>22.608179825148799</v>
      </c>
      <c r="N3722">
        <v>59.516968574548102</v>
      </c>
      <c r="O3722">
        <v>53.314730826785201</v>
      </c>
      <c r="P3722">
        <v>-5.8890756858863302E-2</v>
      </c>
      <c r="Q3722">
        <v>0.44450514047612699</v>
      </c>
      <c r="R3722">
        <v>0.97851559205457905</v>
      </c>
      <c r="S3722" t="s">
        <v>10528</v>
      </c>
      <c r="T3722" t="s">
        <v>13610</v>
      </c>
      <c r="U3722" t="s">
        <v>13610</v>
      </c>
      <c r="V3722" t="s">
        <v>13610</v>
      </c>
      <c r="W3722" t="s">
        <v>17274</v>
      </c>
      <c r="X3722">
        <v>2</v>
      </c>
      <c r="Y3722" t="s">
        <v>23878</v>
      </c>
      <c r="Z3722" t="s">
        <v>30577</v>
      </c>
      <c r="AA3722">
        <v>0.70488717540422896</v>
      </c>
      <c r="AB3722" t="str">
        <f>HYPERLINK("Melting_Curves/meltCurve_Q5JS37_2_NHLRC3.pdf", "Melting_Curves/meltCurve_Q5JS37_2_NHLRC3.pdf")</f>
        <v>Melting_Curves/meltCurve_Q5JS37_2_NHLRC3.pdf</v>
      </c>
    </row>
    <row r="3723" spans="1:28" x14ac:dyDescent="0.25">
      <c r="A3723" t="s">
        <v>3727</v>
      </c>
      <c r="B3723">
        <v>0.995954080203443</v>
      </c>
      <c r="C3723">
        <v>1.03286858374226</v>
      </c>
      <c r="D3723">
        <v>1.00944219347501</v>
      </c>
      <c r="E3723">
        <v>0.98370125021252197</v>
      </c>
      <c r="F3723">
        <v>0.98018616180099705</v>
      </c>
      <c r="G3723">
        <v>0.76162402949601804</v>
      </c>
      <c r="H3723">
        <v>0.64227001559318397</v>
      </c>
      <c r="I3723">
        <v>0.63710961164898905</v>
      </c>
      <c r="J3723">
        <v>0.66448536642661304</v>
      </c>
      <c r="K3723">
        <v>0.42203447233910402</v>
      </c>
      <c r="L3723">
        <v>894.64810748269497</v>
      </c>
      <c r="M3723">
        <v>15.1092644526888</v>
      </c>
      <c r="O3723">
        <v>58.203717662735301</v>
      </c>
      <c r="P3723">
        <v>-3.4107168200890201E-2</v>
      </c>
      <c r="Q3723">
        <v>0.47450279282716701</v>
      </c>
      <c r="R3723">
        <v>0.92161987026363201</v>
      </c>
      <c r="S3723" t="s">
        <v>10529</v>
      </c>
      <c r="T3723" t="s">
        <v>13610</v>
      </c>
      <c r="U3723" t="s">
        <v>13610</v>
      </c>
      <c r="V3723" t="s">
        <v>13610</v>
      </c>
      <c r="W3723" t="s">
        <v>17275</v>
      </c>
      <c r="X3723">
        <v>4</v>
      </c>
      <c r="Y3723" t="s">
        <v>23879</v>
      </c>
      <c r="Z3723" t="s">
        <v>30578</v>
      </c>
      <c r="AA3723">
        <v>0.81619144596796267</v>
      </c>
      <c r="AB3723" t="str">
        <f>HYPERLINK("Melting_Curves/meltCurve_Q5JS54_PSMG4.pdf", "Melting_Curves/meltCurve_Q5JS54_PSMG4.pdf")</f>
        <v>Melting_Curves/meltCurve_Q5JS54_PSMG4.pdf</v>
      </c>
    </row>
    <row r="3724" spans="1:28" x14ac:dyDescent="0.25">
      <c r="A3724" t="s">
        <v>3728</v>
      </c>
      <c r="B3724">
        <v>0.995954080203443</v>
      </c>
      <c r="C3724">
        <v>1.0089966336212299</v>
      </c>
      <c r="D3724">
        <v>0.93250978661390904</v>
      </c>
      <c r="E3724">
        <v>0.268367899517024</v>
      </c>
      <c r="F3724">
        <v>0.66780038337056502</v>
      </c>
      <c r="G3724">
        <v>0.47399881307056702</v>
      </c>
      <c r="H3724">
        <v>0.42042800449154699</v>
      </c>
      <c r="I3724">
        <v>0.46742763063598902</v>
      </c>
      <c r="J3724">
        <v>0.57649491969613598</v>
      </c>
      <c r="K3724">
        <v>0.56423961102637099</v>
      </c>
      <c r="L3724">
        <v>11586.3718303315</v>
      </c>
      <c r="M3724">
        <v>250</v>
      </c>
      <c r="N3724">
        <v>47.107818951248703</v>
      </c>
      <c r="O3724">
        <v>46.342515593002801</v>
      </c>
      <c r="P3724">
        <v>-0.68612602742656204</v>
      </c>
      <c r="Q3724">
        <v>0.491251037429836</v>
      </c>
      <c r="R3724">
        <v>0.83500936574196105</v>
      </c>
      <c r="S3724" t="s">
        <v>10530</v>
      </c>
      <c r="T3724" t="s">
        <v>13610</v>
      </c>
      <c r="U3724" t="s">
        <v>13610</v>
      </c>
      <c r="V3724" t="s">
        <v>13610</v>
      </c>
      <c r="W3724" t="s">
        <v>17276</v>
      </c>
      <c r="X3724">
        <v>2</v>
      </c>
      <c r="Y3724" t="s">
        <v>23880</v>
      </c>
      <c r="Z3724" t="s">
        <v>30579</v>
      </c>
      <c r="AA3724">
        <v>0.5989010865607356</v>
      </c>
      <c r="AB3724" t="str">
        <f>HYPERLINK("Melting_Curves/meltCurve_Q5JSB5_TFDP1.pdf", "Melting_Curves/meltCurve_Q5JSB5_TFDP1.pdf")</f>
        <v>Melting_Curves/meltCurve_Q5JSB5_TFDP1.pdf</v>
      </c>
    </row>
    <row r="3725" spans="1:28" x14ac:dyDescent="0.25">
      <c r="A3725" t="s">
        <v>3729</v>
      </c>
      <c r="B3725">
        <v>0.995954080203443</v>
      </c>
      <c r="C3725">
        <v>1.00432875245612</v>
      </c>
      <c r="D3725">
        <v>0.90941751947484795</v>
      </c>
      <c r="E3725">
        <v>0.77312320837454795</v>
      </c>
      <c r="F3725">
        <v>0.54509185309452701</v>
      </c>
      <c r="G3725">
        <v>0.37289180415166701</v>
      </c>
      <c r="H3725">
        <v>0.33982984971368302</v>
      </c>
      <c r="I3725">
        <v>0.40036344118322198</v>
      </c>
      <c r="J3725">
        <v>0.44034847541533401</v>
      </c>
      <c r="K3725">
        <v>0.47392988006087799</v>
      </c>
      <c r="L3725">
        <v>1433.6751731704701</v>
      </c>
      <c r="M3725">
        <v>28.2939351316511</v>
      </c>
      <c r="N3725">
        <v>53.762181046492401</v>
      </c>
      <c r="O3725">
        <v>50.419681952430302</v>
      </c>
      <c r="P3725">
        <v>-8.3932421215408004E-2</v>
      </c>
      <c r="Q3725">
        <v>0.40173611171780799</v>
      </c>
      <c r="R3725">
        <v>0.972270540687594</v>
      </c>
      <c r="S3725" t="s">
        <v>10531</v>
      </c>
      <c r="T3725" t="s">
        <v>13610</v>
      </c>
      <c r="U3725" t="s">
        <v>13610</v>
      </c>
      <c r="V3725" t="s">
        <v>13610</v>
      </c>
      <c r="W3725" t="s">
        <v>17277</v>
      </c>
      <c r="X3725">
        <v>47</v>
      </c>
      <c r="Y3725" t="s">
        <v>23881</v>
      </c>
      <c r="Z3725" t="s">
        <v>30580</v>
      </c>
      <c r="AA3725">
        <v>0.61874144385555851</v>
      </c>
      <c r="AB3725" t="str">
        <f>HYPERLINK("Melting_Curves/meltCurve_Q5JSH3_2_WDR44.pdf", "Melting_Curves/meltCurve_Q5JSH3_2_WDR44.pdf")</f>
        <v>Melting_Curves/meltCurve_Q5JSH3_2_WDR44.pdf</v>
      </c>
    </row>
    <row r="3726" spans="1:28" x14ac:dyDescent="0.25">
      <c r="A3726" t="s">
        <v>3730</v>
      </c>
      <c r="B3726">
        <v>0.995954080203443</v>
      </c>
      <c r="C3726">
        <v>0.76258255697074595</v>
      </c>
      <c r="D3726">
        <v>0.57174058026786101</v>
      </c>
      <c r="E3726">
        <v>0.57733427447019803</v>
      </c>
      <c r="F3726">
        <v>0.16625900156060899</v>
      </c>
      <c r="G3726">
        <v>0.10474142970748</v>
      </c>
      <c r="H3726">
        <v>7.0942064858825496E-2</v>
      </c>
      <c r="I3726">
        <v>6.9933860219250604E-2</v>
      </c>
      <c r="J3726">
        <v>7.1881895859155706E-2</v>
      </c>
      <c r="K3726">
        <v>7.1925255148074602E-2</v>
      </c>
      <c r="L3726">
        <v>584.66912720613698</v>
      </c>
      <c r="M3726">
        <v>12.155926832535</v>
      </c>
      <c r="N3726">
        <v>48.271930250466397</v>
      </c>
      <c r="O3726">
        <v>46.851296453669001</v>
      </c>
      <c r="P3726">
        <v>-6.34848234912012E-2</v>
      </c>
      <c r="Q3726">
        <v>2.1492725893330102E-2</v>
      </c>
      <c r="R3726">
        <v>0.94725300827348302</v>
      </c>
      <c r="S3726" t="s">
        <v>10532</v>
      </c>
      <c r="T3726" t="s">
        <v>13610</v>
      </c>
      <c r="U3726" t="s">
        <v>13610</v>
      </c>
      <c r="V3726" t="s">
        <v>13610</v>
      </c>
      <c r="W3726" t="s">
        <v>17278</v>
      </c>
      <c r="X3726">
        <v>45</v>
      </c>
      <c r="Y3726" t="s">
        <v>23882</v>
      </c>
      <c r="Z3726" t="s">
        <v>30581</v>
      </c>
      <c r="AA3726">
        <v>0.32279612757512183</v>
      </c>
      <c r="AB3726" t="str">
        <f>HYPERLINK("Melting_Curves/meltCurve_Q5JSL3_DOCK11.pdf", "Melting_Curves/meltCurve_Q5JSL3_DOCK11.pdf")</f>
        <v>Melting_Curves/meltCurve_Q5JSL3_DOCK11.pdf</v>
      </c>
    </row>
    <row r="3727" spans="1:28" x14ac:dyDescent="0.25">
      <c r="A3727" t="s">
        <v>3731</v>
      </c>
      <c r="B3727">
        <v>0.995954080203443</v>
      </c>
      <c r="C3727">
        <v>0.96573170582255197</v>
      </c>
      <c r="D3727">
        <v>1.07769549604757</v>
      </c>
      <c r="E3727">
        <v>0.93361693809243895</v>
      </c>
      <c r="F3727">
        <v>1.03974431032238</v>
      </c>
      <c r="G3727">
        <v>0.79457062534880096</v>
      </c>
      <c r="H3727">
        <v>0.79538492108089398</v>
      </c>
      <c r="I3727">
        <v>0.94208399387138397</v>
      </c>
      <c r="J3727">
        <v>1.1589432815635099</v>
      </c>
      <c r="K3727">
        <v>1.1209941991866701</v>
      </c>
      <c r="L3727">
        <v>15000</v>
      </c>
      <c r="M3727">
        <v>228.58066346216401</v>
      </c>
      <c r="O3727">
        <v>65.6173368232988</v>
      </c>
      <c r="P3727">
        <v>0.12229338704897499</v>
      </c>
      <c r="Q3727">
        <v>1.1404242135399201</v>
      </c>
      <c r="R3727">
        <v>0.261966987345855</v>
      </c>
      <c r="S3727" t="s">
        <v>10533</v>
      </c>
      <c r="T3727" t="s">
        <v>13610</v>
      </c>
      <c r="U3727" t="s">
        <v>13610</v>
      </c>
      <c r="V3727" t="s">
        <v>13610</v>
      </c>
      <c r="W3727" t="s">
        <v>17279</v>
      </c>
      <c r="X3727">
        <v>33</v>
      </c>
      <c r="Y3727" t="s">
        <v>23883</v>
      </c>
      <c r="Z3727" t="s">
        <v>30582</v>
      </c>
      <c r="AA3727">
        <v>1.0204715965878031</v>
      </c>
      <c r="AB3727" t="str">
        <f>HYPERLINK("Melting_Curves/meltCurve_Q5JSZ5_PRRC2B.pdf", "Melting_Curves/meltCurve_Q5JSZ5_PRRC2B.pdf")</f>
        <v>Melting_Curves/meltCurve_Q5JSZ5_PRRC2B.pdf</v>
      </c>
    </row>
    <row r="3728" spans="1:28" x14ac:dyDescent="0.25">
      <c r="A3728" t="s">
        <v>3732</v>
      </c>
      <c r="B3728">
        <v>0.995954080203443</v>
      </c>
      <c r="C3728">
        <v>1.01277468035796</v>
      </c>
      <c r="D3728">
        <v>1.04393946041068</v>
      </c>
      <c r="E3728">
        <v>0.81914538018400196</v>
      </c>
      <c r="F3728">
        <v>0.78944795708604498</v>
      </c>
      <c r="G3728">
        <v>0.52680813669114301</v>
      </c>
      <c r="H3728">
        <v>0.53177342331321298</v>
      </c>
      <c r="I3728">
        <v>0.62463004607127404</v>
      </c>
      <c r="J3728">
        <v>0.79379094747180001</v>
      </c>
      <c r="K3728">
        <v>0.76000612365662201</v>
      </c>
      <c r="L3728">
        <v>1689.03665754805</v>
      </c>
      <c r="M3728">
        <v>33.433143027462201</v>
      </c>
      <c r="O3728">
        <v>50.340119988939897</v>
      </c>
      <c r="P3728">
        <v>-5.7155800357840597E-2</v>
      </c>
      <c r="Q3728">
        <v>0.65576467178359699</v>
      </c>
      <c r="R3728">
        <v>0.76524734074960998</v>
      </c>
      <c r="S3728" t="s">
        <v>10534</v>
      </c>
      <c r="T3728" t="s">
        <v>13610</v>
      </c>
      <c r="U3728" t="s">
        <v>13610</v>
      </c>
      <c r="V3728" t="s">
        <v>13610</v>
      </c>
      <c r="W3728" t="s">
        <v>17280</v>
      </c>
      <c r="X3728">
        <v>17</v>
      </c>
      <c r="Y3728" t="s">
        <v>23884</v>
      </c>
      <c r="Z3728" t="s">
        <v>30583</v>
      </c>
      <c r="AA3728">
        <v>0.77820069194400376</v>
      </c>
      <c r="AB3728" t="str">
        <f>HYPERLINK("Melting_Curves/meltCurve_Q5JTD0_2_TJAP1.pdf", "Melting_Curves/meltCurve_Q5JTD0_2_TJAP1.pdf")</f>
        <v>Melting_Curves/meltCurve_Q5JTD0_2_TJAP1.pdf</v>
      </c>
    </row>
    <row r="3729" spans="1:28" x14ac:dyDescent="0.25">
      <c r="A3729" t="s">
        <v>3733</v>
      </c>
      <c r="B3729">
        <v>0.995954080203443</v>
      </c>
      <c r="C3729">
        <v>0.72513162669081699</v>
      </c>
      <c r="D3729">
        <v>0.465884632980474</v>
      </c>
      <c r="E3729">
        <v>0.35992617355645101</v>
      </c>
      <c r="F3729">
        <v>0.28862771283427602</v>
      </c>
      <c r="G3729">
        <v>0.21045979431889</v>
      </c>
      <c r="H3729">
        <v>0.21038457075040601</v>
      </c>
      <c r="I3729">
        <v>0.30059405107259102</v>
      </c>
      <c r="J3729">
        <v>0.32880525130278998</v>
      </c>
      <c r="K3729">
        <v>0.34154716635181598</v>
      </c>
      <c r="L3729">
        <v>1115.3004395365399</v>
      </c>
      <c r="M3729">
        <v>25.368040005887998</v>
      </c>
      <c r="N3729">
        <v>45.4753278340619</v>
      </c>
      <c r="O3729">
        <v>43.6943133659015</v>
      </c>
      <c r="P3729">
        <v>-0.103821400061295</v>
      </c>
      <c r="Q3729">
        <v>0.28471458453474702</v>
      </c>
      <c r="R3729">
        <v>0.96115219052313505</v>
      </c>
      <c r="S3729" t="s">
        <v>10535</v>
      </c>
      <c r="T3729" t="s">
        <v>13610</v>
      </c>
      <c r="U3729" t="s">
        <v>13610</v>
      </c>
      <c r="V3729" t="s">
        <v>13610</v>
      </c>
      <c r="W3729" t="s">
        <v>17281</v>
      </c>
      <c r="X3729">
        <v>33</v>
      </c>
      <c r="Y3729" t="s">
        <v>23885</v>
      </c>
      <c r="Z3729" t="s">
        <v>30584</v>
      </c>
      <c r="AA3729">
        <v>0.3872017263595891</v>
      </c>
      <c r="AB3729" t="str">
        <f>HYPERLINK("Melting_Curves/meltCurve_Q5JTH9_RRP12.pdf", "Melting_Curves/meltCurve_Q5JTH9_RRP12.pdf")</f>
        <v>Melting_Curves/meltCurve_Q5JTH9_RRP12.pdf</v>
      </c>
    </row>
    <row r="3730" spans="1:28" x14ac:dyDescent="0.25">
      <c r="A3730" t="s">
        <v>3734</v>
      </c>
      <c r="B3730">
        <v>0.995954080203443</v>
      </c>
      <c r="C3730">
        <v>0.99255524039704901</v>
      </c>
      <c r="D3730">
        <v>0.972637131135622</v>
      </c>
      <c r="E3730">
        <v>0.93223919561012902</v>
      </c>
      <c r="F3730">
        <v>0.92171416890887503</v>
      </c>
      <c r="G3730">
        <v>0.68953843469125697</v>
      </c>
      <c r="H3730">
        <v>0.66700594776241695</v>
      </c>
      <c r="I3730">
        <v>0.77741855535489202</v>
      </c>
      <c r="J3730">
        <v>1.0753443040014901</v>
      </c>
      <c r="K3730">
        <v>0.96123349255070001</v>
      </c>
      <c r="L3730">
        <v>1856.27574129035</v>
      </c>
      <c r="M3730">
        <v>36.362169370043802</v>
      </c>
      <c r="O3730">
        <v>50.895981284310203</v>
      </c>
      <c r="P3730">
        <v>-2.8487535429003199E-2</v>
      </c>
      <c r="Q3730">
        <v>0.840504938382161</v>
      </c>
      <c r="R3730">
        <v>0.24073216402182601</v>
      </c>
      <c r="S3730" t="s">
        <v>10536</v>
      </c>
      <c r="T3730" t="s">
        <v>13610</v>
      </c>
      <c r="U3730" t="s">
        <v>13610</v>
      </c>
      <c r="V3730" t="s">
        <v>13610</v>
      </c>
      <c r="W3730" t="s">
        <v>17282</v>
      </c>
      <c r="X3730">
        <v>11</v>
      </c>
      <c r="Y3730" t="s">
        <v>23886</v>
      </c>
      <c r="Z3730" t="s">
        <v>30585</v>
      </c>
      <c r="AA3730">
        <v>0.89993229978777911</v>
      </c>
      <c r="AB3730" t="str">
        <f>HYPERLINK("Melting_Curves/meltCurve_Q5JTJ3_3_COA6.pdf", "Melting_Curves/meltCurve_Q5JTJ3_3_COA6.pdf")</f>
        <v>Melting_Curves/meltCurve_Q5JTJ3_3_COA6.pdf</v>
      </c>
    </row>
    <row r="3731" spans="1:28" x14ac:dyDescent="0.25">
      <c r="A3731" t="s">
        <v>3735</v>
      </c>
      <c r="B3731">
        <v>0.995954080203443</v>
      </c>
      <c r="C3731">
        <v>0.97991987011662696</v>
      </c>
      <c r="D3731">
        <v>1.0380842784758999</v>
      </c>
      <c r="E3731">
        <v>0.83482287224593399</v>
      </c>
      <c r="F3731">
        <v>0.75077199076140999</v>
      </c>
      <c r="G3731">
        <v>0.456634136451392</v>
      </c>
      <c r="H3731">
        <v>0.28274195787589901</v>
      </c>
      <c r="I3731">
        <v>0.21643681452524599</v>
      </c>
      <c r="J3731">
        <v>0.22693727536896699</v>
      </c>
      <c r="K3731">
        <v>0.22068985347863501</v>
      </c>
      <c r="L3731">
        <v>1053.85781382307</v>
      </c>
      <c r="M3731">
        <v>19.233733229746701</v>
      </c>
      <c r="N3731">
        <v>56.216745906964803</v>
      </c>
      <c r="O3731">
        <v>54.210148330818903</v>
      </c>
      <c r="P3731">
        <v>-7.1593300730442705E-2</v>
      </c>
      <c r="Q3731">
        <v>0.192889354431277</v>
      </c>
      <c r="R3731">
        <v>0.992457680301434</v>
      </c>
      <c r="S3731" t="s">
        <v>10537</v>
      </c>
      <c r="T3731" t="s">
        <v>13610</v>
      </c>
      <c r="U3731" t="s">
        <v>13610</v>
      </c>
      <c r="V3731" t="s">
        <v>13610</v>
      </c>
      <c r="W3731" t="s">
        <v>17283</v>
      </c>
      <c r="X3731">
        <v>10</v>
      </c>
      <c r="Y3731" t="s">
        <v>23887</v>
      </c>
      <c r="Z3731" t="s">
        <v>30586</v>
      </c>
      <c r="AA3731">
        <v>0.60230547173466775</v>
      </c>
      <c r="AB3731" t="str">
        <f>HYPERLINK("Melting_Curves/meltCurve_Q5JTV1_GMEB2.pdf", "Melting_Curves/meltCurve_Q5JTV1_GMEB2.pdf")</f>
        <v>Melting_Curves/meltCurve_Q5JTV1_GMEB2.pdf</v>
      </c>
    </row>
    <row r="3732" spans="1:28" x14ac:dyDescent="0.25">
      <c r="A3732" t="s">
        <v>3736</v>
      </c>
      <c r="B3732">
        <v>0.995954080203443</v>
      </c>
      <c r="C3732">
        <v>1.0254889552489801</v>
      </c>
      <c r="D3732">
        <v>0.957676927988236</v>
      </c>
      <c r="E3732">
        <v>0.79886230686919502</v>
      </c>
      <c r="F3732">
        <v>0.779103039618669</v>
      </c>
      <c r="G3732">
        <v>0.54797589838907801</v>
      </c>
      <c r="H3732">
        <v>0.46543180292833902</v>
      </c>
      <c r="I3732">
        <v>0.47464745134882302</v>
      </c>
      <c r="J3732">
        <v>0.654722820491911</v>
      </c>
      <c r="K3732">
        <v>0.60883002119557195</v>
      </c>
      <c r="L3732">
        <v>1141.7459343959499</v>
      </c>
      <c r="M3732">
        <v>22.184915713902399</v>
      </c>
      <c r="O3732">
        <v>51.0522830802377</v>
      </c>
      <c r="P3732">
        <v>-4.9469355846189902E-2</v>
      </c>
      <c r="Q3732">
        <v>0.54465120928739796</v>
      </c>
      <c r="R3732">
        <v>0.899031693584184</v>
      </c>
      <c r="S3732" t="s">
        <v>10538</v>
      </c>
      <c r="T3732" t="s">
        <v>13610</v>
      </c>
      <c r="U3732" t="s">
        <v>13610</v>
      </c>
      <c r="V3732" t="s">
        <v>13610</v>
      </c>
      <c r="W3732" t="s">
        <v>14533</v>
      </c>
      <c r="X3732">
        <v>8</v>
      </c>
      <c r="Y3732" t="s">
        <v>21248</v>
      </c>
      <c r="Z3732" t="s">
        <v>30587</v>
      </c>
      <c r="AA3732">
        <v>0.72387210030373816</v>
      </c>
      <c r="AB3732" t="str">
        <f>HYPERLINK("Melting_Curves/meltCurve_Q5JTV8_TOR1AIP1.pdf", "Melting_Curves/meltCurve_Q5JTV8_TOR1AIP1.pdf")</f>
        <v>Melting_Curves/meltCurve_Q5JTV8_TOR1AIP1.pdf</v>
      </c>
    </row>
    <row r="3733" spans="1:28" x14ac:dyDescent="0.25">
      <c r="A3733" t="s">
        <v>3737</v>
      </c>
      <c r="B3733">
        <v>0.995954080203443</v>
      </c>
      <c r="C3733">
        <v>0.72133166245394098</v>
      </c>
      <c r="D3733">
        <v>0.45645952862967898</v>
      </c>
      <c r="E3733">
        <v>0.33416481433919798</v>
      </c>
      <c r="F3733">
        <v>0.186075966396374</v>
      </c>
      <c r="G3733">
        <v>0.109626190839428</v>
      </c>
      <c r="H3733">
        <v>8.3526391095063796E-2</v>
      </c>
      <c r="I3733">
        <v>8.8779077439323201E-2</v>
      </c>
      <c r="J3733">
        <v>0.103117283415146</v>
      </c>
      <c r="K3733">
        <v>8.8063783470910498E-2</v>
      </c>
      <c r="L3733">
        <v>722.44970287056299</v>
      </c>
      <c r="M3733">
        <v>15.865368367690399</v>
      </c>
      <c r="N3733">
        <v>46.099266415907202</v>
      </c>
      <c r="O3733">
        <v>44.831239111966802</v>
      </c>
      <c r="P3733">
        <v>-8.0687318358120194E-2</v>
      </c>
      <c r="Q3733">
        <v>8.8071807642462696E-2</v>
      </c>
      <c r="R3733">
        <v>0.98173350871165299</v>
      </c>
      <c r="S3733" t="s">
        <v>10539</v>
      </c>
      <c r="T3733" t="s">
        <v>13610</v>
      </c>
      <c r="U3733" t="s">
        <v>13610</v>
      </c>
      <c r="V3733" t="s">
        <v>13610</v>
      </c>
      <c r="W3733" t="s">
        <v>17284</v>
      </c>
      <c r="X3733">
        <v>15</v>
      </c>
      <c r="Y3733" t="s">
        <v>23888</v>
      </c>
      <c r="Z3733" t="s">
        <v>30588</v>
      </c>
      <c r="AA3733">
        <v>0.28097747691163372</v>
      </c>
      <c r="AB3733" t="str">
        <f>HYPERLINK("Melting_Curves/meltCurve_Q5JTZ9_AARS2.pdf", "Melting_Curves/meltCurve_Q5JTZ9_AARS2.pdf")</f>
        <v>Melting_Curves/meltCurve_Q5JTZ9_AARS2.pdf</v>
      </c>
    </row>
    <row r="3734" spans="1:28" x14ac:dyDescent="0.25">
      <c r="A3734" t="s">
        <v>3738</v>
      </c>
      <c r="B3734">
        <v>0.995954080203443</v>
      </c>
      <c r="C3734">
        <v>0.38418766360305701</v>
      </c>
      <c r="D3734">
        <v>0.10602108503862499</v>
      </c>
      <c r="E3734">
        <v>0.21052379676903499</v>
      </c>
      <c r="F3734">
        <v>4.1667611694819903E-2</v>
      </c>
      <c r="G3734">
        <v>0</v>
      </c>
      <c r="H3734">
        <v>0</v>
      </c>
      <c r="I3734">
        <v>0</v>
      </c>
      <c r="J3734">
        <v>4.2163311542620097E-2</v>
      </c>
      <c r="K3734">
        <v>4.2119892268640401E-2</v>
      </c>
      <c r="L3734">
        <v>2565.36756725432</v>
      </c>
      <c r="M3734">
        <v>60.404536755944001</v>
      </c>
      <c r="N3734">
        <v>42.5500876385303</v>
      </c>
      <c r="O3734">
        <v>42.423307123164101</v>
      </c>
      <c r="P3734">
        <v>-0.336790075912548</v>
      </c>
      <c r="Q3734">
        <v>5.3862867053715097E-2</v>
      </c>
      <c r="R3734">
        <v>0.95872477902609499</v>
      </c>
      <c r="S3734" t="s">
        <v>10540</v>
      </c>
      <c r="T3734" t="s">
        <v>13610</v>
      </c>
      <c r="U3734" t="s">
        <v>13610</v>
      </c>
      <c r="V3734" t="s">
        <v>13610</v>
      </c>
      <c r="W3734" t="s">
        <v>17285</v>
      </c>
      <c r="X3734">
        <v>1</v>
      </c>
      <c r="Y3734" t="s">
        <v>23889</v>
      </c>
      <c r="Z3734" t="s">
        <v>30589</v>
      </c>
      <c r="AA3734">
        <v>0.13341947830442211</v>
      </c>
      <c r="AB3734" t="str">
        <f>HYPERLINK("Melting_Curves/meltCurve_Q5JU21_FPGS.pdf", "Melting_Curves/meltCurve_Q5JU21_FPGS.pdf")</f>
        <v>Melting_Curves/meltCurve_Q5JU21_FPGS.pdf</v>
      </c>
    </row>
    <row r="3735" spans="1:28" x14ac:dyDescent="0.25">
      <c r="A3735" t="s">
        <v>3739</v>
      </c>
      <c r="B3735">
        <v>0.995954080203443</v>
      </c>
      <c r="C3735">
        <v>0.90433460056110004</v>
      </c>
      <c r="D3735">
        <v>0.76847706471327304</v>
      </c>
      <c r="E3735">
        <v>0.64801474083348498</v>
      </c>
      <c r="F3735">
        <v>0.56518865476212998</v>
      </c>
      <c r="G3735">
        <v>0.36974576567841499</v>
      </c>
      <c r="H3735">
        <v>0.31759797615735003</v>
      </c>
      <c r="I3735">
        <v>0.37351705344337199</v>
      </c>
      <c r="J3735">
        <v>0.440280533449323</v>
      </c>
      <c r="K3735">
        <v>0.41238383059502798</v>
      </c>
      <c r="L3735">
        <v>693.21844258382998</v>
      </c>
      <c r="M3735">
        <v>14.2779436215862</v>
      </c>
      <c r="N3735">
        <v>53.483264210678101</v>
      </c>
      <c r="O3735">
        <v>47.629075928639999</v>
      </c>
      <c r="P3735">
        <v>-4.7522295432839701E-2</v>
      </c>
      <c r="Q3735">
        <v>0.36596872326138802</v>
      </c>
      <c r="R3735">
        <v>0.95842116024006097</v>
      </c>
      <c r="S3735" t="s">
        <v>10541</v>
      </c>
      <c r="T3735" t="s">
        <v>13610</v>
      </c>
      <c r="U3735" t="s">
        <v>13610</v>
      </c>
      <c r="V3735" t="s">
        <v>13610</v>
      </c>
      <c r="W3735" t="s">
        <v>17286</v>
      </c>
      <c r="X3735">
        <v>8</v>
      </c>
      <c r="Y3735" t="s">
        <v>23890</v>
      </c>
      <c r="Z3735" t="s">
        <v>30590</v>
      </c>
      <c r="AA3735">
        <v>0.56419936529395798</v>
      </c>
      <c r="AB3735" t="str">
        <f>HYPERLINK("Melting_Curves/meltCurve_Q5JU85_3_IQSEC2.pdf", "Melting_Curves/meltCurve_Q5JU85_3_IQSEC2.pdf")</f>
        <v>Melting_Curves/meltCurve_Q5JU85_3_IQSEC2.pdf</v>
      </c>
    </row>
    <row r="3736" spans="1:28" x14ac:dyDescent="0.25">
      <c r="A3736" t="s">
        <v>3740</v>
      </c>
      <c r="B3736">
        <v>0.995954080203443</v>
      </c>
      <c r="C3736">
        <v>1.1058458205378201</v>
      </c>
      <c r="D3736">
        <v>1.11330382008923</v>
      </c>
      <c r="E3736">
        <v>1.1139512128231099</v>
      </c>
      <c r="F3736">
        <v>1.01885711278875</v>
      </c>
      <c r="G3736">
        <v>0.82399268725611596</v>
      </c>
      <c r="H3736">
        <v>0.728814837017007</v>
      </c>
      <c r="I3736">
        <v>0.88404848722145801</v>
      </c>
      <c r="J3736">
        <v>0.81477409428848602</v>
      </c>
      <c r="K3736">
        <v>1.04399286998792</v>
      </c>
      <c r="L3736">
        <v>6656.0321306914202</v>
      </c>
      <c r="M3736">
        <v>121.43674055037999</v>
      </c>
      <c r="O3736">
        <v>54.795834531070199</v>
      </c>
      <c r="P3736">
        <v>-7.8123237100545098E-2</v>
      </c>
      <c r="Q3736">
        <v>0.85899397999159899</v>
      </c>
      <c r="R3736">
        <v>0.48262067752069399</v>
      </c>
      <c r="S3736" t="s">
        <v>10542</v>
      </c>
      <c r="T3736" t="s">
        <v>13610</v>
      </c>
      <c r="U3736" t="s">
        <v>13610</v>
      </c>
      <c r="V3736" t="s">
        <v>13610</v>
      </c>
      <c r="W3736" t="s">
        <v>17287</v>
      </c>
      <c r="X3736">
        <v>1</v>
      </c>
      <c r="Y3736" t="s">
        <v>23891</v>
      </c>
      <c r="Z3736" t="s">
        <v>30591</v>
      </c>
      <c r="AA3736">
        <v>0.92866474428685997</v>
      </c>
      <c r="AB3736" t="str">
        <f>HYPERLINK("Melting_Curves/meltCurve_Q5JUL1_PAGE5.pdf", "Melting_Curves/meltCurve_Q5JUL1_PAGE5.pdf")</f>
        <v>Melting_Curves/meltCurve_Q5JUL1_PAGE5.pdf</v>
      </c>
    </row>
    <row r="3737" spans="1:28" x14ac:dyDescent="0.25">
      <c r="A3737" t="s">
        <v>3741</v>
      </c>
      <c r="B3737">
        <v>0.995954080203443</v>
      </c>
      <c r="C3737">
        <v>0.92453354266027998</v>
      </c>
      <c r="D3737">
        <v>0.68727960092385798</v>
      </c>
      <c r="E3737">
        <v>0.23597044746835</v>
      </c>
      <c r="F3737">
        <v>0.202973252091637</v>
      </c>
      <c r="G3737">
        <v>0.12612764698225701</v>
      </c>
      <c r="H3737">
        <v>4.8471791633136301E-2</v>
      </c>
      <c r="I3737">
        <v>2.46594436137525E-2</v>
      </c>
      <c r="J3737">
        <v>1.0041284096564899E-2</v>
      </c>
      <c r="K3737">
        <v>1.9222197472631201E-2</v>
      </c>
      <c r="L3737">
        <v>984.85732655756499</v>
      </c>
      <c r="M3737">
        <v>20.722521359125999</v>
      </c>
      <c r="N3737">
        <v>47.715824386836097</v>
      </c>
      <c r="O3737">
        <v>47.090021088647703</v>
      </c>
      <c r="P3737">
        <v>-0.105664293964191</v>
      </c>
      <c r="Q3737">
        <v>3.9578155214495897E-2</v>
      </c>
      <c r="R3737">
        <v>0.99057212497667502</v>
      </c>
      <c r="S3737" t="s">
        <v>10543</v>
      </c>
      <c r="T3737" t="s">
        <v>13610</v>
      </c>
      <c r="U3737" t="s">
        <v>13610</v>
      </c>
      <c r="V3737" t="s">
        <v>13610</v>
      </c>
      <c r="W3737" t="s">
        <v>17288</v>
      </c>
      <c r="X3737">
        <v>2</v>
      </c>
      <c r="Y3737" t="s">
        <v>23892</v>
      </c>
      <c r="Z3737" t="s">
        <v>30592</v>
      </c>
      <c r="AA3737">
        <v>0.29330104105077343</v>
      </c>
      <c r="AB3737" t="str">
        <f>HYPERLINK("Melting_Curves/meltCurve_Q5JUR7_TEX30.pdf", "Melting_Curves/meltCurve_Q5JUR7_TEX30.pdf")</f>
        <v>Melting_Curves/meltCurve_Q5JUR7_TEX30.pdf</v>
      </c>
    </row>
    <row r="3738" spans="1:28" x14ac:dyDescent="0.25">
      <c r="A3738" t="s">
        <v>3742</v>
      </c>
      <c r="B3738">
        <v>0.995954080203443</v>
      </c>
      <c r="C3738">
        <v>0.941835946243751</v>
      </c>
      <c r="D3738">
        <v>0.97899504593295394</v>
      </c>
      <c r="E3738">
        <v>0.63687305009060402</v>
      </c>
      <c r="F3738">
        <v>0.19901945801444501</v>
      </c>
      <c r="G3738">
        <v>0.114439345988307</v>
      </c>
      <c r="H3738">
        <v>7.9149015424658298E-2</v>
      </c>
      <c r="I3738">
        <v>7.4358594731003994E-2</v>
      </c>
      <c r="J3738">
        <v>9.0606386941505496E-2</v>
      </c>
      <c r="K3738">
        <v>7.7493300889630107E-2</v>
      </c>
      <c r="L3738">
        <v>2026.96033712074</v>
      </c>
      <c r="M3738">
        <v>40.130150818240899</v>
      </c>
      <c r="N3738">
        <v>50.742860670134398</v>
      </c>
      <c r="O3738">
        <v>50.384741121566996</v>
      </c>
      <c r="P3738">
        <v>-0.18235137185552799</v>
      </c>
      <c r="Q3738">
        <v>8.42093320114667E-2</v>
      </c>
      <c r="R3738">
        <v>0.99743384754283404</v>
      </c>
      <c r="S3738" t="s">
        <v>10544</v>
      </c>
      <c r="T3738" t="s">
        <v>13610</v>
      </c>
      <c r="U3738" t="s">
        <v>13610</v>
      </c>
      <c r="V3738" t="s">
        <v>13610</v>
      </c>
      <c r="W3738" t="s">
        <v>17289</v>
      </c>
      <c r="X3738">
        <v>20</v>
      </c>
      <c r="Y3738" t="s">
        <v>23893</v>
      </c>
      <c r="Z3738" t="s">
        <v>30593</v>
      </c>
      <c r="AA3738">
        <v>0.40820788692857402</v>
      </c>
      <c r="AB3738" t="str">
        <f>HYPERLINK("Melting_Curves/meltCurve_Q5JVF3_3_PCID2.pdf", "Melting_Curves/meltCurve_Q5JVF3_3_PCID2.pdf")</f>
        <v>Melting_Curves/meltCurve_Q5JVF3_3_PCID2.pdf</v>
      </c>
    </row>
    <row r="3739" spans="1:28" x14ac:dyDescent="0.25">
      <c r="A3739" t="s">
        <v>3743</v>
      </c>
      <c r="B3739">
        <v>0.995954080203443</v>
      </c>
      <c r="C3739">
        <v>0.795652704218894</v>
      </c>
      <c r="D3739">
        <v>0.62237081742934697</v>
      </c>
      <c r="E3739">
        <v>0.35987854871812502</v>
      </c>
      <c r="F3739">
        <v>0.19997002359266899</v>
      </c>
      <c r="G3739">
        <v>0.110888836952261</v>
      </c>
      <c r="H3739">
        <v>8.2671122523239202E-2</v>
      </c>
      <c r="I3739">
        <v>7.3854972487102502E-2</v>
      </c>
      <c r="J3739">
        <v>0.101091596678191</v>
      </c>
      <c r="K3739">
        <v>7.7535481676465706E-2</v>
      </c>
      <c r="L3739">
        <v>733.35377884477703</v>
      </c>
      <c r="M3739">
        <v>15.5644250873102</v>
      </c>
      <c r="N3739">
        <v>47.560903721729197</v>
      </c>
      <c r="O3739">
        <v>46.360082933089998</v>
      </c>
      <c r="P3739">
        <v>-7.8268514152522298E-2</v>
      </c>
      <c r="Q3739">
        <v>6.7561684038217204E-2</v>
      </c>
      <c r="R3739">
        <v>0.99459257708809801</v>
      </c>
      <c r="S3739" t="s">
        <v>10545</v>
      </c>
      <c r="T3739" t="s">
        <v>13610</v>
      </c>
      <c r="U3739" t="s">
        <v>13610</v>
      </c>
      <c r="V3739" t="s">
        <v>13610</v>
      </c>
      <c r="W3739" t="s">
        <v>17290</v>
      </c>
      <c r="X3739">
        <v>7</v>
      </c>
      <c r="Y3739" t="s">
        <v>23894</v>
      </c>
      <c r="Z3739" t="s">
        <v>30594</v>
      </c>
      <c r="AA3739">
        <v>0.31208193964670777</v>
      </c>
      <c r="AB3739" t="str">
        <f>HYPERLINK("Melting_Curves/meltCurve_Q5JVZ5_ELMO2.pdf", "Melting_Curves/meltCurve_Q5JVZ5_ELMO2.pdf")</f>
        <v>Melting_Curves/meltCurve_Q5JVZ5_ELMO2.pdf</v>
      </c>
    </row>
    <row r="3740" spans="1:28" x14ac:dyDescent="0.25">
      <c r="A3740" t="s">
        <v>3744</v>
      </c>
      <c r="B3740">
        <v>0.995954080203443</v>
      </c>
      <c r="C3740">
        <v>0.93428190160076097</v>
      </c>
      <c r="D3740">
        <v>0.87240130368479296</v>
      </c>
      <c r="E3740">
        <v>0.81461376306003597</v>
      </c>
      <c r="F3740">
        <v>0.73977250027321795</v>
      </c>
      <c r="G3740">
        <v>0.519795693134944</v>
      </c>
      <c r="H3740">
        <v>0.44606774925444698</v>
      </c>
      <c r="I3740">
        <v>0.48306637271326203</v>
      </c>
      <c r="J3740">
        <v>0.64048525176364701</v>
      </c>
      <c r="K3740">
        <v>0.55370102443039904</v>
      </c>
      <c r="L3740">
        <v>813.30527361863005</v>
      </c>
      <c r="M3740">
        <v>16.033833341167099</v>
      </c>
      <c r="O3740">
        <v>49.954966992934203</v>
      </c>
      <c r="P3740">
        <v>-3.9016018513017198E-2</v>
      </c>
      <c r="Q3740">
        <v>0.513805026791328</v>
      </c>
      <c r="R3740">
        <v>0.88760767846506305</v>
      </c>
      <c r="S3740" t="s">
        <v>10546</v>
      </c>
      <c r="T3740" t="s">
        <v>13610</v>
      </c>
      <c r="U3740" t="s">
        <v>13610</v>
      </c>
      <c r="V3740" t="s">
        <v>13610</v>
      </c>
      <c r="W3740" t="s">
        <v>17291</v>
      </c>
      <c r="X3740">
        <v>7</v>
      </c>
      <c r="Y3740" t="s">
        <v>23895</v>
      </c>
      <c r="Z3740" t="s">
        <v>30595</v>
      </c>
      <c r="AA3740">
        <v>0.69771560980683911</v>
      </c>
      <c r="AB3740" t="str">
        <f>HYPERLINK("Melting_Curves/meltCurve_Q5JW30_STAU1.pdf", "Melting_Curves/meltCurve_Q5JW30_STAU1.pdf")</f>
        <v>Melting_Curves/meltCurve_Q5JW30_STAU1.pdf</v>
      </c>
    </row>
    <row r="3741" spans="1:28" x14ac:dyDescent="0.25">
      <c r="A3741" t="s">
        <v>3745</v>
      </c>
      <c r="B3741">
        <v>0.995954080203443</v>
      </c>
      <c r="C3741">
        <v>1.0859410615637399</v>
      </c>
      <c r="D3741">
        <v>0.75581437576362998</v>
      </c>
      <c r="E3741">
        <v>0.31671405896956401</v>
      </c>
      <c r="F3741">
        <v>0.124189169115348</v>
      </c>
      <c r="G3741">
        <v>7.5268137139355401E-2</v>
      </c>
      <c r="H3741">
        <v>4.8264415962963499E-2</v>
      </c>
      <c r="I3741">
        <v>4.3572491641768601E-2</v>
      </c>
      <c r="J3741">
        <v>3.4882801445449897E-2</v>
      </c>
      <c r="K3741">
        <v>4.2267281014723899E-2</v>
      </c>
      <c r="L3741">
        <v>1319.02012535735</v>
      </c>
      <c r="M3741">
        <v>27.374830525900499</v>
      </c>
      <c r="N3741">
        <v>48.357343444848098</v>
      </c>
      <c r="O3741">
        <v>47.9287547894074</v>
      </c>
      <c r="P3741">
        <v>-0.136105702243873</v>
      </c>
      <c r="Q3741">
        <v>4.6815552390526198E-2</v>
      </c>
      <c r="R3741">
        <v>0.99017506532894595</v>
      </c>
      <c r="S3741" t="s">
        <v>10547</v>
      </c>
      <c r="T3741" t="s">
        <v>13610</v>
      </c>
      <c r="U3741" t="s">
        <v>13610</v>
      </c>
      <c r="V3741" t="s">
        <v>13610</v>
      </c>
      <c r="W3741" t="s">
        <v>17292</v>
      </c>
      <c r="X3741">
        <v>2</v>
      </c>
      <c r="Y3741" t="s">
        <v>23896</v>
      </c>
      <c r="Z3741" t="s">
        <v>30596</v>
      </c>
      <c r="AA3741">
        <v>0.31379264600896661</v>
      </c>
      <c r="AB3741" t="str">
        <f>HYPERLINK("Melting_Curves/meltCurve_Q5JW85_GSTA3.pdf", "Melting_Curves/meltCurve_Q5JW85_GSTA3.pdf")</f>
        <v>Melting_Curves/meltCurve_Q5JW85_GSTA3.pdf</v>
      </c>
    </row>
    <row r="3742" spans="1:28" x14ac:dyDescent="0.25">
      <c r="A3742" t="s">
        <v>3746</v>
      </c>
      <c r="B3742">
        <v>0.995954080203443</v>
      </c>
      <c r="C3742">
        <v>0.84367972800972002</v>
      </c>
      <c r="D3742">
        <v>0.60475364617660099</v>
      </c>
      <c r="E3742">
        <v>0.56474227923324005</v>
      </c>
      <c r="F3742">
        <v>0.38705770351341601</v>
      </c>
      <c r="G3742">
        <v>0.240030467181022</v>
      </c>
      <c r="H3742">
        <v>0.149353479930148</v>
      </c>
      <c r="I3742">
        <v>0.14511562533341199</v>
      </c>
      <c r="J3742">
        <v>0.18641106887166101</v>
      </c>
      <c r="K3742">
        <v>0.148311590817087</v>
      </c>
      <c r="L3742">
        <v>543.64629752021301</v>
      </c>
      <c r="M3742">
        <v>11.143411829758699</v>
      </c>
      <c r="N3742">
        <v>49.870896716028703</v>
      </c>
      <c r="O3742">
        <v>47.294290481421598</v>
      </c>
      <c r="P3742">
        <v>-5.2583086486989401E-2</v>
      </c>
      <c r="Q3742">
        <v>0.107604787307228</v>
      </c>
      <c r="R3742">
        <v>0.97371321507490605</v>
      </c>
      <c r="S3742" t="s">
        <v>10548</v>
      </c>
      <c r="T3742" t="s">
        <v>13610</v>
      </c>
      <c r="U3742" t="s">
        <v>13610</v>
      </c>
      <c r="V3742" t="s">
        <v>13610</v>
      </c>
      <c r="W3742" t="s">
        <v>17293</v>
      </c>
      <c r="X3742">
        <v>2</v>
      </c>
      <c r="Y3742" t="s">
        <v>23897</v>
      </c>
      <c r="Z3742" t="s">
        <v>30597</v>
      </c>
      <c r="AA3742">
        <v>0.40651554286226632</v>
      </c>
      <c r="AB3742" t="str">
        <f>HYPERLINK("Melting_Curves/meltCurve_Q5JXC2_MIIP.pdf", "Melting_Curves/meltCurve_Q5JXC2_MIIP.pdf")</f>
        <v>Melting_Curves/meltCurve_Q5JXC2_MIIP.pdf</v>
      </c>
    </row>
    <row r="3743" spans="1:28" x14ac:dyDescent="0.25">
      <c r="A3743" t="s">
        <v>3747</v>
      </c>
      <c r="B3743">
        <v>0.995954080203443</v>
      </c>
      <c r="C3743">
        <v>0.58233182934761796</v>
      </c>
      <c r="D3743">
        <v>0.13881235437192499</v>
      </c>
      <c r="E3743">
        <v>0.17989446904756801</v>
      </c>
      <c r="F3743">
        <v>0.104225002515896</v>
      </c>
      <c r="G3743">
        <v>0.109240968340361</v>
      </c>
      <c r="H3743">
        <v>9.5688475578685997E-2</v>
      </c>
      <c r="I3743">
        <v>8.6400829014553496E-2</v>
      </c>
      <c r="J3743">
        <v>5.2694226330890999E-2</v>
      </c>
      <c r="K3743">
        <v>6.7658470181960403E-2</v>
      </c>
      <c r="L3743">
        <v>2169.9332396836198</v>
      </c>
      <c r="M3743">
        <v>50.426542584766104</v>
      </c>
      <c r="N3743">
        <v>43.222657145953399</v>
      </c>
      <c r="O3743">
        <v>42.964053623951898</v>
      </c>
      <c r="P3743">
        <v>-0.26410841123457501</v>
      </c>
      <c r="Q3743">
        <v>9.9905848431008595E-2</v>
      </c>
      <c r="R3743">
        <v>0.98806392886513195</v>
      </c>
      <c r="S3743" t="s">
        <v>10549</v>
      </c>
      <c r="T3743" t="s">
        <v>13610</v>
      </c>
      <c r="U3743" t="s">
        <v>13610</v>
      </c>
      <c r="V3743" t="s">
        <v>13610</v>
      </c>
      <c r="W3743" t="s">
        <v>17294</v>
      </c>
      <c r="X3743">
        <v>3</v>
      </c>
      <c r="Y3743" t="s">
        <v>23898</v>
      </c>
      <c r="Z3743" t="s">
        <v>30598</v>
      </c>
      <c r="AA3743">
        <v>0.19300417010617821</v>
      </c>
      <c r="AB3743" t="str">
        <f>HYPERLINK("Melting_Curves/meltCurve_Q5K651_SAMD9.pdf", "Melting_Curves/meltCurve_Q5K651_SAMD9.pdf")</f>
        <v>Melting_Curves/meltCurve_Q5K651_SAMD9.pdf</v>
      </c>
    </row>
    <row r="3744" spans="1:28" x14ac:dyDescent="0.25">
      <c r="A3744" t="s">
        <v>3748</v>
      </c>
      <c r="B3744">
        <v>0.995954080203443</v>
      </c>
      <c r="C3744">
        <v>1.03340443002946</v>
      </c>
      <c r="D3744">
        <v>0.95162874270951503</v>
      </c>
      <c r="E3744">
        <v>0.51392876756796602</v>
      </c>
      <c r="F3744">
        <v>0.221822820756993</v>
      </c>
      <c r="G3744">
        <v>0.12423929249820199</v>
      </c>
      <c r="H3744">
        <v>8.13721665608442E-2</v>
      </c>
      <c r="I3744">
        <v>7.3625099186814993E-2</v>
      </c>
      <c r="J3744">
        <v>8.2531945086897804E-2</v>
      </c>
      <c r="K3744">
        <v>7.3844500708392699E-2</v>
      </c>
      <c r="L3744">
        <v>1542.94140525905</v>
      </c>
      <c r="M3744">
        <v>30.9298685634853</v>
      </c>
      <c r="N3744">
        <v>50.180428494875002</v>
      </c>
      <c r="O3744">
        <v>49.678037969135303</v>
      </c>
      <c r="P3744">
        <v>-0.14270331467545999</v>
      </c>
      <c r="Q3744">
        <v>8.3193367982744501E-2</v>
      </c>
      <c r="R3744">
        <v>0.99829189156560605</v>
      </c>
      <c r="S3744" t="s">
        <v>10550</v>
      </c>
      <c r="T3744" t="s">
        <v>13610</v>
      </c>
      <c r="U3744" t="s">
        <v>13610</v>
      </c>
      <c r="V3744" t="s">
        <v>13610</v>
      </c>
      <c r="W3744" t="s">
        <v>17295</v>
      </c>
      <c r="X3744">
        <v>18</v>
      </c>
      <c r="Y3744" t="s">
        <v>23899</v>
      </c>
      <c r="Z3744" t="s">
        <v>30599</v>
      </c>
      <c r="AA3744">
        <v>0.39060663214942581</v>
      </c>
      <c r="AB3744" t="str">
        <f>HYPERLINK("Melting_Curves/meltCurve_Q5LJA5_UCHL5.pdf", "Melting_Curves/meltCurve_Q5LJA5_UCHL5.pdf")</f>
        <v>Melting_Curves/meltCurve_Q5LJA5_UCHL5.pdf</v>
      </c>
    </row>
    <row r="3745" spans="1:28" x14ac:dyDescent="0.25">
      <c r="A3745" t="s">
        <v>3749</v>
      </c>
      <c r="B3745">
        <v>0.995954080203443</v>
      </c>
      <c r="C3745">
        <v>1.0613068286796401</v>
      </c>
      <c r="D3745">
        <v>1.1112889628375899</v>
      </c>
      <c r="E3745">
        <v>0.96468937964703905</v>
      </c>
      <c r="F3745">
        <v>0.961429267372233</v>
      </c>
      <c r="G3745">
        <v>0.77247592906543505</v>
      </c>
      <c r="H3745">
        <v>0.74203787990262404</v>
      </c>
      <c r="I3745">
        <v>0.96506242415265098</v>
      </c>
      <c r="J3745">
        <v>1.1958419778348</v>
      </c>
      <c r="K3745">
        <v>0.99095886005369904</v>
      </c>
      <c r="L3745">
        <v>4084.9245736016101</v>
      </c>
      <c r="M3745">
        <v>81.893628249202706</v>
      </c>
      <c r="O3745">
        <v>49.851141068164601</v>
      </c>
      <c r="P3745">
        <v>-2.5558854538094599E-2</v>
      </c>
      <c r="Q3745">
        <v>0.93776620337031802</v>
      </c>
      <c r="R3745">
        <v>0.108862192007738</v>
      </c>
      <c r="S3745" t="s">
        <v>10551</v>
      </c>
      <c r="T3745" t="s">
        <v>13610</v>
      </c>
      <c r="U3745" t="s">
        <v>13610</v>
      </c>
      <c r="V3745" t="s">
        <v>13610</v>
      </c>
      <c r="W3745" t="s">
        <v>17296</v>
      </c>
      <c r="X3745">
        <v>25</v>
      </c>
      <c r="Y3745" t="s">
        <v>23900</v>
      </c>
      <c r="Z3745" t="s">
        <v>30600</v>
      </c>
      <c r="AA3745">
        <v>0.95831451484514929</v>
      </c>
      <c r="AB3745" t="str">
        <f>HYPERLINK("Melting_Curves/meltCurve_Q5M775_4_SPECC1.pdf", "Melting_Curves/meltCurve_Q5M775_4_SPECC1.pdf")</f>
        <v>Melting_Curves/meltCurve_Q5M775_4_SPECC1.pdf</v>
      </c>
    </row>
    <row r="3746" spans="1:28" x14ac:dyDescent="0.25">
      <c r="A3746" t="s">
        <v>3750</v>
      </c>
      <c r="B3746">
        <v>0.995954080203443</v>
      </c>
      <c r="C3746">
        <v>1.06313136462137</v>
      </c>
      <c r="D3746">
        <v>0.87624453535181601</v>
      </c>
      <c r="E3746">
        <v>0.82784719712613397</v>
      </c>
      <c r="F3746">
        <v>0.75338906076730405</v>
      </c>
      <c r="G3746">
        <v>0.63768744539449795</v>
      </c>
      <c r="H3746">
        <v>0.41462135749672802</v>
      </c>
      <c r="I3746">
        <v>0.49146884380966299</v>
      </c>
      <c r="J3746">
        <v>0.50299740112056102</v>
      </c>
      <c r="K3746">
        <v>0.55981738310488205</v>
      </c>
      <c r="L3746">
        <v>836.59233593721501</v>
      </c>
      <c r="M3746">
        <v>15.9446232259134</v>
      </c>
      <c r="N3746">
        <v>65.760091172987202</v>
      </c>
      <c r="O3746">
        <v>51.664104907521804</v>
      </c>
      <c r="P3746">
        <v>-4.0117959944708299E-2</v>
      </c>
      <c r="Q3746">
        <v>0.48007709332493897</v>
      </c>
      <c r="R3746">
        <v>0.92686846418451296</v>
      </c>
      <c r="S3746" t="s">
        <v>10552</v>
      </c>
      <c r="T3746" t="s">
        <v>13610</v>
      </c>
      <c r="U3746" t="s">
        <v>13610</v>
      </c>
      <c r="V3746" t="s">
        <v>13610</v>
      </c>
      <c r="W3746" t="s">
        <v>17297</v>
      </c>
      <c r="X3746">
        <v>17</v>
      </c>
      <c r="Y3746" t="s">
        <v>23901</v>
      </c>
      <c r="Z3746" t="s">
        <v>30601</v>
      </c>
      <c r="AA3746">
        <v>0.70659536467480988</v>
      </c>
      <c r="AB3746" t="str">
        <f>HYPERLINK("Melting_Curves/meltCurve_Q5MIZ7_2_SMEK2.pdf", "Melting_Curves/meltCurve_Q5MIZ7_2_SMEK2.pdf")</f>
        <v>Melting_Curves/meltCurve_Q5MIZ7_2_SMEK2.pdf</v>
      </c>
    </row>
    <row r="3747" spans="1:28" x14ac:dyDescent="0.25">
      <c r="A3747" t="s">
        <v>3751</v>
      </c>
      <c r="B3747">
        <v>0.995954080203443</v>
      </c>
      <c r="C3747">
        <v>0.99981355214761003</v>
      </c>
      <c r="D3747">
        <v>0.98703893423376798</v>
      </c>
      <c r="E3747">
        <v>0.89749961570977199</v>
      </c>
      <c r="F3747">
        <v>0.80644844395809501</v>
      </c>
      <c r="G3747">
        <v>0.58856693561391404</v>
      </c>
      <c r="H3747">
        <v>0.43769892504845898</v>
      </c>
      <c r="I3747">
        <v>0.31486890776089399</v>
      </c>
      <c r="J3747">
        <v>0.19183255930825699</v>
      </c>
      <c r="K3747">
        <v>7.3629002081768202E-2</v>
      </c>
      <c r="L3747">
        <v>730.62803088626401</v>
      </c>
      <c r="M3747">
        <v>12.344757664349</v>
      </c>
      <c r="N3747">
        <v>59.185287502465002</v>
      </c>
      <c r="O3747">
        <v>57.696511513242001</v>
      </c>
      <c r="P3747">
        <v>-5.3501610431545103E-2</v>
      </c>
      <c r="Q3747">
        <v>0</v>
      </c>
      <c r="R3747">
        <v>0.99467679358541194</v>
      </c>
      <c r="S3747" t="s">
        <v>10553</v>
      </c>
      <c r="T3747" t="s">
        <v>13610</v>
      </c>
      <c r="U3747" t="s">
        <v>13610</v>
      </c>
      <c r="V3747" t="s">
        <v>13610</v>
      </c>
      <c r="W3747" t="s">
        <v>17298</v>
      </c>
      <c r="X3747">
        <v>6</v>
      </c>
      <c r="Y3747" t="s">
        <v>23902</v>
      </c>
      <c r="Z3747" t="s">
        <v>30602</v>
      </c>
      <c r="AA3747">
        <v>0.64700616604763472</v>
      </c>
      <c r="AB3747" t="str">
        <f>HYPERLINK("Melting_Curves/meltCurve_Q5MNZ6_WDR45B.pdf", "Melting_Curves/meltCurve_Q5MNZ6_WDR45B.pdf")</f>
        <v>Melting_Curves/meltCurve_Q5MNZ6_WDR45B.pdf</v>
      </c>
    </row>
    <row r="3748" spans="1:28" x14ac:dyDescent="0.25">
      <c r="A3748" t="s">
        <v>3752</v>
      </c>
      <c r="B3748">
        <v>0.995954080203443</v>
      </c>
      <c r="C3748">
        <v>1.0196837680412301</v>
      </c>
      <c r="D3748">
        <v>0.91060664367999</v>
      </c>
      <c r="E3748">
        <v>0.80893151114312101</v>
      </c>
      <c r="F3748">
        <v>0.71723437324357597</v>
      </c>
      <c r="G3748">
        <v>0.30634393382568398</v>
      </c>
      <c r="H3748">
        <v>0.43432956440752801</v>
      </c>
      <c r="I3748">
        <v>0.46468919297439698</v>
      </c>
      <c r="J3748">
        <v>0.527988513842233</v>
      </c>
      <c r="K3748">
        <v>0.57794716035257199</v>
      </c>
      <c r="L3748">
        <v>1509.7901430541699</v>
      </c>
      <c r="M3748">
        <v>29.337190171891798</v>
      </c>
      <c r="N3748">
        <v>56.738485214959098</v>
      </c>
      <c r="O3748">
        <v>51.2260103026927</v>
      </c>
      <c r="P3748">
        <v>-7.6268447624449301E-2</v>
      </c>
      <c r="Q3748">
        <v>0.46731088498676099</v>
      </c>
      <c r="R3748">
        <v>0.87891518221139198</v>
      </c>
      <c r="S3748" t="s">
        <v>10554</v>
      </c>
      <c r="T3748" t="s">
        <v>13610</v>
      </c>
      <c r="U3748" t="s">
        <v>13610</v>
      </c>
      <c r="V3748" t="s">
        <v>13610</v>
      </c>
      <c r="W3748" t="s">
        <v>17299</v>
      </c>
      <c r="X3748">
        <v>3</v>
      </c>
      <c r="Y3748" t="s">
        <v>23903</v>
      </c>
      <c r="Z3748" t="s">
        <v>30603</v>
      </c>
      <c r="AA3748">
        <v>0.67438584024112014</v>
      </c>
      <c r="AB3748" t="str">
        <f>HYPERLINK("Melting_Curves/meltCurve_Q5Q9G8_POLK.pdf", "Melting_Curves/meltCurve_Q5Q9G8_POLK.pdf")</f>
        <v>Melting_Curves/meltCurve_Q5Q9G8_POLK.pdf</v>
      </c>
    </row>
    <row r="3749" spans="1:28" x14ac:dyDescent="0.25">
      <c r="A3749" t="s">
        <v>3753</v>
      </c>
      <c r="B3749">
        <v>0.995954080203443</v>
      </c>
      <c r="C3749">
        <v>1.0530840914677599</v>
      </c>
      <c r="D3749">
        <v>1.1032084353688401</v>
      </c>
      <c r="E3749">
        <v>0.99894437700054795</v>
      </c>
      <c r="F3749">
        <v>1.0772258185982999</v>
      </c>
      <c r="G3749">
        <v>0.87388625082228499</v>
      </c>
      <c r="H3749">
        <v>0.81130009291635397</v>
      </c>
      <c r="I3749">
        <v>0.97630580806364298</v>
      </c>
      <c r="J3749">
        <v>1.1012037831121999</v>
      </c>
      <c r="K3749">
        <v>1.12004988307041</v>
      </c>
      <c r="L3749">
        <v>15000</v>
      </c>
      <c r="M3749">
        <v>225.55868117201899</v>
      </c>
      <c r="O3749">
        <v>66.496313563238004</v>
      </c>
      <c r="P3749">
        <v>0.101820999546897</v>
      </c>
      <c r="Q3749">
        <v>1.1200702377491401</v>
      </c>
      <c r="R3749">
        <v>0.246648165610243</v>
      </c>
      <c r="S3749" t="s">
        <v>10555</v>
      </c>
      <c r="T3749" t="s">
        <v>13610</v>
      </c>
      <c r="U3749" t="s">
        <v>13610</v>
      </c>
      <c r="V3749" t="s">
        <v>13610</v>
      </c>
      <c r="W3749" t="s">
        <v>17300</v>
      </c>
      <c r="X3749">
        <v>12</v>
      </c>
      <c r="Y3749" t="s">
        <v>23904</v>
      </c>
      <c r="Z3749" t="s">
        <v>30604</v>
      </c>
      <c r="AA3749">
        <v>1.0139848258704469</v>
      </c>
      <c r="AB3749" t="str">
        <f>HYPERLINK("Melting_Curves/meltCurve_Q5QNY5_PEX19.pdf", "Melting_Curves/meltCurve_Q5QNY5_PEX19.pdf")</f>
        <v>Melting_Curves/meltCurve_Q5QNY5_PEX19.pdf</v>
      </c>
    </row>
    <row r="3750" spans="1:28" x14ac:dyDescent="0.25">
      <c r="A3750" t="s">
        <v>3754</v>
      </c>
      <c r="B3750">
        <v>0.995954080203443</v>
      </c>
      <c r="C3750">
        <v>0.82452666079933101</v>
      </c>
      <c r="D3750">
        <v>0.77689726280393201</v>
      </c>
      <c r="E3750">
        <v>0.64947086781833596</v>
      </c>
      <c r="F3750">
        <v>0.27044368443455702</v>
      </c>
      <c r="G3750">
        <v>0.12378575566835399</v>
      </c>
      <c r="H3750">
        <v>8.5383823646897603E-2</v>
      </c>
      <c r="I3750">
        <v>8.2886440023566904E-2</v>
      </c>
      <c r="J3750">
        <v>7.01845723842945E-2</v>
      </c>
      <c r="K3750">
        <v>9.3978607856930296E-2</v>
      </c>
      <c r="L3750">
        <v>750.987920057937</v>
      </c>
      <c r="M3750">
        <v>14.986242919096</v>
      </c>
      <c r="N3750">
        <v>50.391048169115898</v>
      </c>
      <c r="O3750">
        <v>49.244926922386597</v>
      </c>
      <c r="P3750">
        <v>-7.3056227865035295E-2</v>
      </c>
      <c r="Q3750">
        <v>3.98437047218759E-2</v>
      </c>
      <c r="R3750">
        <v>0.97154184423777201</v>
      </c>
      <c r="S3750" t="s">
        <v>10556</v>
      </c>
      <c r="T3750" t="s">
        <v>13610</v>
      </c>
      <c r="U3750" t="s">
        <v>13610</v>
      </c>
      <c r="V3750" t="s">
        <v>13610</v>
      </c>
      <c r="W3750" t="s">
        <v>17301</v>
      </c>
      <c r="X3750">
        <v>2</v>
      </c>
      <c r="Y3750" t="s">
        <v>23905</v>
      </c>
      <c r="Z3750" t="s">
        <v>30605</v>
      </c>
      <c r="AA3750">
        <v>0.38632555347522918</v>
      </c>
      <c r="AB3750" t="str">
        <f>HYPERLINK("Melting_Curves/meltCurve_Q5QNZ2_ATP5F1.pdf", "Melting_Curves/meltCurve_Q5QNZ2_ATP5F1.pdf")</f>
        <v>Melting_Curves/meltCurve_Q5QNZ2_ATP5F1.pdf</v>
      </c>
    </row>
    <row r="3751" spans="1:28" x14ac:dyDescent="0.25">
      <c r="A3751" t="s">
        <v>3755</v>
      </c>
      <c r="B3751">
        <v>0.995954080203443</v>
      </c>
      <c r="C3751">
        <v>0.99594366052834504</v>
      </c>
      <c r="D3751">
        <v>0.921944163294657</v>
      </c>
      <c r="E3751">
        <v>0.82873606013145795</v>
      </c>
      <c r="F3751">
        <v>0.61319877789577604</v>
      </c>
      <c r="G3751">
        <v>0.42221986322076199</v>
      </c>
      <c r="H3751">
        <v>0.33757860272863599</v>
      </c>
      <c r="I3751">
        <v>0.33543642733272</v>
      </c>
      <c r="J3751">
        <v>0.38989020195657198</v>
      </c>
      <c r="K3751">
        <v>0.254237549465269</v>
      </c>
      <c r="L3751">
        <v>1020.07623604147</v>
      </c>
      <c r="M3751">
        <v>19.4533624571506</v>
      </c>
      <c r="N3751">
        <v>55.162175560357802</v>
      </c>
      <c r="O3751">
        <v>51.892330188865898</v>
      </c>
      <c r="P3751">
        <v>-6.4785786431982406E-2</v>
      </c>
      <c r="Q3751">
        <v>0.30875429155408202</v>
      </c>
      <c r="R3751">
        <v>0.98667323589432798</v>
      </c>
      <c r="S3751" t="s">
        <v>10557</v>
      </c>
      <c r="T3751" t="s">
        <v>13610</v>
      </c>
      <c r="U3751" t="s">
        <v>13610</v>
      </c>
      <c r="V3751" t="s">
        <v>13610</v>
      </c>
      <c r="W3751" t="s">
        <v>17302</v>
      </c>
      <c r="X3751">
        <v>3</v>
      </c>
      <c r="Y3751" t="s">
        <v>23906</v>
      </c>
      <c r="Z3751" t="s">
        <v>30606</v>
      </c>
      <c r="AA3751">
        <v>0.6053400839622749</v>
      </c>
      <c r="AB3751" t="str">
        <f>HYPERLINK("Melting_Curves/meltCurve_Q5QP56_BCL2L1.pdf", "Melting_Curves/meltCurve_Q5QP56_BCL2L1.pdf")</f>
        <v>Melting_Curves/meltCurve_Q5QP56_BCL2L1.pdf</v>
      </c>
    </row>
    <row r="3752" spans="1:28" x14ac:dyDescent="0.25">
      <c r="A3752" t="s">
        <v>3756</v>
      </c>
      <c r="B3752">
        <v>0.995954080203443</v>
      </c>
      <c r="C3752">
        <v>0.94603930869714903</v>
      </c>
      <c r="D3752">
        <v>0.96461009998590297</v>
      </c>
      <c r="E3752">
        <v>0.89214271568346204</v>
      </c>
      <c r="F3752">
        <v>0.71374319671814201</v>
      </c>
      <c r="G3752">
        <v>0.54785002076315503</v>
      </c>
      <c r="H3752">
        <v>0.38387052557187901</v>
      </c>
      <c r="I3752">
        <v>0.453516397980605</v>
      </c>
      <c r="J3752">
        <v>0.52614288589927805</v>
      </c>
      <c r="K3752">
        <v>0.55094612955931499</v>
      </c>
      <c r="L3752">
        <v>1484.1315641858801</v>
      </c>
      <c r="M3752">
        <v>28.269351896940499</v>
      </c>
      <c r="N3752">
        <v>59.256429040260798</v>
      </c>
      <c r="O3752">
        <v>52.239063272865202</v>
      </c>
      <c r="P3752">
        <v>-7.0338242316672295E-2</v>
      </c>
      <c r="Q3752">
        <v>0.48009086907719201</v>
      </c>
      <c r="R3752">
        <v>0.95312376806460697</v>
      </c>
      <c r="S3752" t="s">
        <v>10558</v>
      </c>
      <c r="T3752" t="s">
        <v>13610</v>
      </c>
      <c r="U3752" t="s">
        <v>13610</v>
      </c>
      <c r="V3752" t="s">
        <v>13610</v>
      </c>
      <c r="W3752" t="s">
        <v>17303</v>
      </c>
      <c r="X3752">
        <v>8</v>
      </c>
      <c r="Y3752" t="s">
        <v>23907</v>
      </c>
      <c r="Z3752" t="s">
        <v>30607</v>
      </c>
      <c r="AA3752">
        <v>0.70047531612900216</v>
      </c>
      <c r="AB3752" t="str">
        <f>HYPERLINK("Melting_Curves/meltCurve_Q5QP82_DCAF10.pdf", "Melting_Curves/meltCurve_Q5QP82_DCAF10.pdf")</f>
        <v>Melting_Curves/meltCurve_Q5QP82_DCAF10.pdf</v>
      </c>
    </row>
    <row r="3753" spans="1:28" x14ac:dyDescent="0.25">
      <c r="A3753" t="s">
        <v>3757</v>
      </c>
      <c r="B3753">
        <v>0.995954080203443</v>
      </c>
      <c r="C3753">
        <v>0.82056379559580805</v>
      </c>
      <c r="D3753">
        <v>0.85138019455071701</v>
      </c>
      <c r="E3753">
        <v>0.67523713881909297</v>
      </c>
      <c r="F3753">
        <v>0.58871012800251998</v>
      </c>
      <c r="G3753">
        <v>0.41327589740200099</v>
      </c>
      <c r="H3753">
        <v>0.32472472118322399</v>
      </c>
      <c r="I3753">
        <v>0.41674567767159998</v>
      </c>
      <c r="J3753">
        <v>0.494194601480129</v>
      </c>
      <c r="K3753">
        <v>0.520854493123454</v>
      </c>
      <c r="L3753">
        <v>691.58646054404699</v>
      </c>
      <c r="M3753">
        <v>14.2802499555705</v>
      </c>
      <c r="N3753">
        <v>55.5842678140286</v>
      </c>
      <c r="O3753">
        <v>47.509561364276301</v>
      </c>
      <c r="P3753">
        <v>-4.3555675457011098E-2</v>
      </c>
      <c r="Q3753">
        <v>0.42044217745611301</v>
      </c>
      <c r="R3753">
        <v>0.89102799939091604</v>
      </c>
      <c r="S3753" t="s">
        <v>10559</v>
      </c>
      <c r="T3753" t="s">
        <v>13610</v>
      </c>
      <c r="U3753" t="s">
        <v>13610</v>
      </c>
      <c r="V3753" t="s">
        <v>13610</v>
      </c>
      <c r="W3753" t="s">
        <v>17304</v>
      </c>
      <c r="X3753">
        <v>9</v>
      </c>
      <c r="Y3753" t="s">
        <v>23908</v>
      </c>
      <c r="Z3753" t="s">
        <v>30608</v>
      </c>
      <c r="AA3753">
        <v>0.59936851595326091</v>
      </c>
      <c r="AB3753" t="str">
        <f>HYPERLINK("Melting_Curves/meltCurve_Q5QPL9_RALY.pdf", "Melting_Curves/meltCurve_Q5QPL9_RALY.pdf")</f>
        <v>Melting_Curves/meltCurve_Q5QPL9_RALY.pdf</v>
      </c>
    </row>
    <row r="3754" spans="1:28" x14ac:dyDescent="0.25">
      <c r="A3754" t="s">
        <v>3758</v>
      </c>
      <c r="B3754">
        <v>0.995954080203443</v>
      </c>
      <c r="C3754">
        <v>0.97710265690576503</v>
      </c>
      <c r="D3754">
        <v>0.97453730160181096</v>
      </c>
      <c r="E3754">
        <v>0.890649663526355</v>
      </c>
      <c r="F3754">
        <v>0.797979296892392</v>
      </c>
      <c r="G3754">
        <v>0.54354484326761698</v>
      </c>
      <c r="H3754">
        <v>0.29047834792771399</v>
      </c>
      <c r="I3754">
        <v>0.164249727058874</v>
      </c>
      <c r="J3754">
        <v>0.146894129423699</v>
      </c>
      <c r="K3754">
        <v>0.121052824569106</v>
      </c>
      <c r="L3754">
        <v>954.30871261350296</v>
      </c>
      <c r="M3754">
        <v>16.773854008134801</v>
      </c>
      <c r="N3754">
        <v>57.397957063429097</v>
      </c>
      <c r="O3754">
        <v>56.102495145689197</v>
      </c>
      <c r="P3754">
        <v>-6.9620119638435896E-2</v>
      </c>
      <c r="Q3754">
        <v>6.8644247371470304E-2</v>
      </c>
      <c r="R3754">
        <v>0.99796417903281298</v>
      </c>
      <c r="S3754" t="s">
        <v>10560</v>
      </c>
      <c r="T3754" t="s">
        <v>13610</v>
      </c>
      <c r="U3754" t="s">
        <v>13610</v>
      </c>
      <c r="V3754" t="s">
        <v>13610</v>
      </c>
      <c r="W3754" t="s">
        <v>17305</v>
      </c>
      <c r="X3754">
        <v>13</v>
      </c>
      <c r="Y3754" t="s">
        <v>23909</v>
      </c>
      <c r="Z3754" t="s">
        <v>30609</v>
      </c>
      <c r="AA3754">
        <v>0.6068499011153351</v>
      </c>
      <c r="AB3754" t="str">
        <f>HYPERLINK("Melting_Curves/meltCurve_Q5QPM7_PSMF1.pdf", "Melting_Curves/meltCurve_Q5QPM7_PSMF1.pdf")</f>
        <v>Melting_Curves/meltCurve_Q5QPM7_PSMF1.pdf</v>
      </c>
    </row>
    <row r="3755" spans="1:28" x14ac:dyDescent="0.25">
      <c r="A3755" t="s">
        <v>3759</v>
      </c>
      <c r="B3755">
        <v>0.995954080203443</v>
      </c>
      <c r="C3755">
        <v>1.00918283906305</v>
      </c>
      <c r="D3755">
        <v>1.0572629328821199</v>
      </c>
      <c r="E3755">
        <v>0.82117217256118102</v>
      </c>
      <c r="F3755">
        <v>0.42706171394039</v>
      </c>
      <c r="G3755">
        <v>0.223502418479054</v>
      </c>
      <c r="H3755">
        <v>0.15524675367379301</v>
      </c>
      <c r="I3755">
        <v>0.14063601348252699</v>
      </c>
      <c r="J3755">
        <v>0.16537286372005</v>
      </c>
      <c r="K3755">
        <v>0.15174562527841301</v>
      </c>
      <c r="L3755">
        <v>1819.62248618065</v>
      </c>
      <c r="M3755">
        <v>35.056476609422802</v>
      </c>
      <c r="N3755">
        <v>52.474099060791602</v>
      </c>
      <c r="O3755">
        <v>51.737427470029502</v>
      </c>
      <c r="P3755">
        <v>-0.14262693742315299</v>
      </c>
      <c r="Q3755">
        <v>0.158030047621257</v>
      </c>
      <c r="R3755">
        <v>0.995954743020528</v>
      </c>
      <c r="S3755" t="s">
        <v>10561</v>
      </c>
      <c r="T3755" t="s">
        <v>13610</v>
      </c>
      <c r="U3755" t="s">
        <v>13610</v>
      </c>
      <c r="V3755" t="s">
        <v>13610</v>
      </c>
      <c r="W3755" t="s">
        <v>17306</v>
      </c>
      <c r="X3755">
        <v>22</v>
      </c>
      <c r="Y3755" t="s">
        <v>23910</v>
      </c>
      <c r="Z3755" t="s">
        <v>30610</v>
      </c>
      <c r="AA3755">
        <v>0.49610052231129398</v>
      </c>
      <c r="AB3755" t="str">
        <f>HYPERLINK("Melting_Curves/meltCurve_Q5R372_4_RABGAP1L.pdf", "Melting_Curves/meltCurve_Q5R372_4_RABGAP1L.pdf")</f>
        <v>Melting_Curves/meltCurve_Q5R372_4_RABGAP1L.pdf</v>
      </c>
    </row>
    <row r="3756" spans="1:28" x14ac:dyDescent="0.25">
      <c r="A3756" t="s">
        <v>3760</v>
      </c>
      <c r="B3756">
        <v>0.995954080203443</v>
      </c>
      <c r="C3756">
        <v>1.01977235037168</v>
      </c>
      <c r="D3756">
        <v>1.0371951453884301</v>
      </c>
      <c r="E3756">
        <v>0.87112994505262897</v>
      </c>
      <c r="F3756">
        <v>0.68357737039177102</v>
      </c>
      <c r="G3756">
        <v>0.485045277358921</v>
      </c>
      <c r="H3756">
        <v>0.42520174488775497</v>
      </c>
      <c r="I3756">
        <v>0.45225663499028101</v>
      </c>
      <c r="J3756">
        <v>0.53087968264798102</v>
      </c>
      <c r="K3756">
        <v>0.54283962236768402</v>
      </c>
      <c r="L3756">
        <v>1750.7154916285201</v>
      </c>
      <c r="M3756">
        <v>33.663944147568898</v>
      </c>
      <c r="N3756">
        <v>57.853636935440903</v>
      </c>
      <c r="O3756">
        <v>51.823167373789403</v>
      </c>
      <c r="P3756">
        <v>-8.3901638336533205E-2</v>
      </c>
      <c r="Q3756">
        <v>0.48336050990083101</v>
      </c>
      <c r="R3756">
        <v>0.97464766801090097</v>
      </c>
      <c r="S3756" t="s">
        <v>10562</v>
      </c>
      <c r="T3756" t="s">
        <v>13610</v>
      </c>
      <c r="U3756" t="s">
        <v>13610</v>
      </c>
      <c r="V3756" t="s">
        <v>13610</v>
      </c>
      <c r="W3756" t="s">
        <v>17307</v>
      </c>
      <c r="X3756">
        <v>16</v>
      </c>
      <c r="Y3756" t="s">
        <v>23910</v>
      </c>
      <c r="Z3756" t="s">
        <v>30611</v>
      </c>
      <c r="AA3756">
        <v>0.69273771756120672</v>
      </c>
      <c r="AB3756" t="str">
        <f>HYPERLINK("Melting_Curves/meltCurve_Q5R372_7_RABGAP1L.pdf", "Melting_Curves/meltCurve_Q5R372_7_RABGAP1L.pdf")</f>
        <v>Melting_Curves/meltCurve_Q5R372_7_RABGAP1L.pdf</v>
      </c>
    </row>
    <row r="3757" spans="1:28" x14ac:dyDescent="0.25">
      <c r="A3757" t="s">
        <v>3761</v>
      </c>
      <c r="B3757">
        <v>0.995954080203443</v>
      </c>
      <c r="C3757">
        <v>0.96446010438902896</v>
      </c>
      <c r="D3757">
        <v>0.97597298369072705</v>
      </c>
      <c r="E3757">
        <v>0.78748357775910804</v>
      </c>
      <c r="F3757">
        <v>0.55533226215453901</v>
      </c>
      <c r="G3757">
        <v>0.25456652666484703</v>
      </c>
      <c r="H3757">
        <v>0.119673635039377</v>
      </c>
      <c r="I3757">
        <v>8.5181579987298001E-2</v>
      </c>
      <c r="J3757">
        <v>9.2924613287512697E-2</v>
      </c>
      <c r="K3757">
        <v>7.1482673185302603E-2</v>
      </c>
      <c r="L3757">
        <v>1080.3875010634899</v>
      </c>
      <c r="M3757">
        <v>20.320390878182099</v>
      </c>
      <c r="N3757">
        <v>53.531250180234103</v>
      </c>
      <c r="O3757">
        <v>52.660774703454003</v>
      </c>
      <c r="P3757">
        <v>-9.0252959103645503E-2</v>
      </c>
      <c r="Q3757">
        <v>6.4457869528682099E-2</v>
      </c>
      <c r="R3757">
        <v>0.99897650775483204</v>
      </c>
      <c r="S3757" t="s">
        <v>10563</v>
      </c>
      <c r="T3757" t="s">
        <v>13610</v>
      </c>
      <c r="U3757" t="s">
        <v>13610</v>
      </c>
      <c r="V3757" t="s">
        <v>13610</v>
      </c>
      <c r="W3757" t="s">
        <v>17308</v>
      </c>
      <c r="X3757">
        <v>14</v>
      </c>
      <c r="Y3757" t="s">
        <v>23911</v>
      </c>
      <c r="Z3757" t="s">
        <v>30612</v>
      </c>
      <c r="AA3757">
        <v>0.48759318245195149</v>
      </c>
      <c r="AB3757" t="str">
        <f>HYPERLINK("Melting_Curves/meltCurve_Q5R3I4_TTC38.pdf", "Melting_Curves/meltCurve_Q5R3I4_TTC38.pdf")</f>
        <v>Melting_Curves/meltCurve_Q5R3I4_TTC38.pdf</v>
      </c>
    </row>
    <row r="3758" spans="1:28" x14ac:dyDescent="0.25">
      <c r="A3758" t="s">
        <v>3762</v>
      </c>
      <c r="B3758">
        <v>0.995954080203443</v>
      </c>
      <c r="C3758">
        <v>0.80947449174878605</v>
      </c>
      <c r="D3758">
        <v>0.82248922156168303</v>
      </c>
      <c r="E3758">
        <v>0.82734730674671697</v>
      </c>
      <c r="F3758">
        <v>0.77809742074607702</v>
      </c>
      <c r="G3758">
        <v>0.613265999788835</v>
      </c>
      <c r="H3758">
        <v>0.27351751166897598</v>
      </c>
      <c r="I3758">
        <v>0.123318195125954</v>
      </c>
      <c r="J3758">
        <v>8.4280179855314497E-2</v>
      </c>
      <c r="K3758">
        <v>7.5491225670314202E-2</v>
      </c>
      <c r="L3758">
        <v>778.50533689839995</v>
      </c>
      <c r="M3758">
        <v>13.6126023250643</v>
      </c>
      <c r="N3758">
        <v>57.1900545568799</v>
      </c>
      <c r="O3758">
        <v>55.998177058602103</v>
      </c>
      <c r="P3758">
        <v>-6.0781498059489202E-2</v>
      </c>
      <c r="Q3758">
        <v>0</v>
      </c>
      <c r="R3758">
        <v>0.93787815949266196</v>
      </c>
      <c r="S3758" t="s">
        <v>10564</v>
      </c>
      <c r="T3758" t="s">
        <v>13610</v>
      </c>
      <c r="U3758" t="s">
        <v>13610</v>
      </c>
      <c r="V3758" t="s">
        <v>13610</v>
      </c>
      <c r="W3758" t="s">
        <v>17309</v>
      </c>
      <c r="X3758">
        <v>11</v>
      </c>
      <c r="Y3758" t="s">
        <v>23912</v>
      </c>
      <c r="Z3758" t="s">
        <v>30613</v>
      </c>
      <c r="AA3758">
        <v>0.58898140541417088</v>
      </c>
      <c r="AB3758" t="str">
        <f>HYPERLINK("Melting_Curves/meltCurve_Q5RKV6_EXOSC6.pdf", "Melting_Curves/meltCurve_Q5RKV6_EXOSC6.pdf")</f>
        <v>Melting_Curves/meltCurve_Q5RKV6_EXOSC6.pdf</v>
      </c>
    </row>
    <row r="3759" spans="1:28" x14ac:dyDescent="0.25">
      <c r="A3759" t="s">
        <v>3763</v>
      </c>
      <c r="B3759">
        <v>0.995954080203443</v>
      </c>
      <c r="C3759">
        <v>0.91987972877811297</v>
      </c>
      <c r="D3759">
        <v>0.83290590567279799</v>
      </c>
      <c r="E3759">
        <v>0.81153537420628796</v>
      </c>
      <c r="F3759">
        <v>0.75133925234090904</v>
      </c>
      <c r="G3759">
        <v>0.57184101438591395</v>
      </c>
      <c r="H3759">
        <v>0.50969843064187204</v>
      </c>
      <c r="I3759">
        <v>0.62234898899894198</v>
      </c>
      <c r="J3759">
        <v>0.76615787973370397</v>
      </c>
      <c r="K3759">
        <v>0.71059019701978299</v>
      </c>
      <c r="L3759">
        <v>712.68587759871502</v>
      </c>
      <c r="M3759">
        <v>15.000716540933601</v>
      </c>
      <c r="O3759">
        <v>46.689788481235396</v>
      </c>
      <c r="P3759">
        <v>-2.8912594220800201E-2</v>
      </c>
      <c r="Q3759">
        <v>0.64007420683453198</v>
      </c>
      <c r="R3759">
        <v>0.727240577413647</v>
      </c>
      <c r="S3759" t="s">
        <v>10565</v>
      </c>
      <c r="T3759" t="s">
        <v>13610</v>
      </c>
      <c r="U3759" t="s">
        <v>13610</v>
      </c>
      <c r="V3759" t="s">
        <v>13610</v>
      </c>
      <c r="W3759" t="s">
        <v>17310</v>
      </c>
      <c r="X3759">
        <v>32</v>
      </c>
      <c r="Y3759" t="s">
        <v>23913</v>
      </c>
      <c r="Z3759" t="s">
        <v>30614</v>
      </c>
      <c r="AA3759">
        <v>0.73966995153599902</v>
      </c>
      <c r="AB3759" t="str">
        <f>HYPERLINK("Melting_Curves/meltCurve_Q5SNT6_FAM21B.pdf", "Melting_Curves/meltCurve_Q5SNT6_FAM21B.pdf")</f>
        <v>Melting_Curves/meltCurve_Q5SNT6_FAM21B.pdf</v>
      </c>
    </row>
    <row r="3760" spans="1:28" x14ac:dyDescent="0.25">
      <c r="A3760" t="s">
        <v>3764</v>
      </c>
      <c r="B3760">
        <v>0.995954080203443</v>
      </c>
      <c r="C3760">
        <v>0.91195102480029</v>
      </c>
      <c r="D3760">
        <v>0.79150987615712798</v>
      </c>
      <c r="E3760">
        <v>0.44230274990450003</v>
      </c>
      <c r="F3760">
        <v>0.182399555749717</v>
      </c>
      <c r="G3760">
        <v>0.107167551678467</v>
      </c>
      <c r="H3760">
        <v>6.78874212268296E-2</v>
      </c>
      <c r="I3760">
        <v>6.28127856407171E-2</v>
      </c>
      <c r="J3760">
        <v>6.6504130249308499E-2</v>
      </c>
      <c r="K3760">
        <v>6.2655638928300506E-2</v>
      </c>
      <c r="L3760">
        <v>986.79043033402399</v>
      </c>
      <c r="M3760">
        <v>20.2066996786895</v>
      </c>
      <c r="N3760">
        <v>49.116459732886298</v>
      </c>
      <c r="O3760">
        <v>48.364075513448199</v>
      </c>
      <c r="P3760">
        <v>-9.8740134852933203E-2</v>
      </c>
      <c r="Q3760">
        <v>5.4704440715539503E-2</v>
      </c>
      <c r="R3760">
        <v>0.99780297889167402</v>
      </c>
      <c r="S3760" t="s">
        <v>10566</v>
      </c>
      <c r="T3760" t="s">
        <v>13610</v>
      </c>
      <c r="U3760" t="s">
        <v>13610</v>
      </c>
      <c r="V3760" t="s">
        <v>13610</v>
      </c>
      <c r="W3760" t="s">
        <v>17311</v>
      </c>
      <c r="X3760">
        <v>23</v>
      </c>
      <c r="Y3760" t="s">
        <v>23914</v>
      </c>
      <c r="Z3760" t="s">
        <v>30615</v>
      </c>
      <c r="AA3760">
        <v>0.34607512181980998</v>
      </c>
      <c r="AB3760" t="str">
        <f>HYPERLINK("Melting_Curves/meltCurve_Q5SNW6_MTHFR.pdf", "Melting_Curves/meltCurve_Q5SNW6_MTHFR.pdf")</f>
        <v>Melting_Curves/meltCurve_Q5SNW6_MTHFR.pdf</v>
      </c>
    </row>
    <row r="3761" spans="1:28" x14ac:dyDescent="0.25">
      <c r="A3761" t="s">
        <v>3765</v>
      </c>
      <c r="B3761">
        <v>0.995954080203443</v>
      </c>
      <c r="C3761">
        <v>1.0167482289363801</v>
      </c>
      <c r="D3761">
        <v>1.08614791422327</v>
      </c>
      <c r="E3761">
        <v>0.92861254661006898</v>
      </c>
      <c r="F3761">
        <v>0.86342478578984705</v>
      </c>
      <c r="G3761">
        <v>0.58944277569252901</v>
      </c>
      <c r="H3761">
        <v>0.41495966046617899</v>
      </c>
      <c r="I3761">
        <v>0.38448060427044001</v>
      </c>
      <c r="J3761">
        <v>0.24545560850717199</v>
      </c>
      <c r="K3761">
        <v>0.13573684720175899</v>
      </c>
      <c r="L3761">
        <v>843.55966979735899</v>
      </c>
      <c r="M3761">
        <v>14.3923845130911</v>
      </c>
      <c r="N3761">
        <v>59.591139341073699</v>
      </c>
      <c r="O3761">
        <v>57.5148368677755</v>
      </c>
      <c r="P3761">
        <v>-5.5975813293485499E-2</v>
      </c>
      <c r="Q3761">
        <v>0.10534424661283601</v>
      </c>
      <c r="R3761">
        <v>0.97983035519432105</v>
      </c>
      <c r="S3761" t="s">
        <v>10567</v>
      </c>
      <c r="T3761" t="s">
        <v>13610</v>
      </c>
      <c r="U3761" t="s">
        <v>13610</v>
      </c>
      <c r="V3761" t="s">
        <v>13610</v>
      </c>
      <c r="W3761" t="s">
        <v>17312</v>
      </c>
      <c r="X3761">
        <v>2</v>
      </c>
      <c r="Y3761" t="s">
        <v>23915</v>
      </c>
      <c r="Z3761" t="s">
        <v>30616</v>
      </c>
      <c r="AA3761">
        <v>0.67073015196581187</v>
      </c>
      <c r="AB3761" t="str">
        <f>HYPERLINK("Melting_Curves/meltCurve_Q5SQM6_NUDT13.pdf", "Melting_Curves/meltCurve_Q5SQM6_NUDT13.pdf")</f>
        <v>Melting_Curves/meltCurve_Q5SQM6_NUDT13.pdf</v>
      </c>
    </row>
    <row r="3762" spans="1:28" x14ac:dyDescent="0.25">
      <c r="A3762" t="s">
        <v>3766</v>
      </c>
      <c r="B3762">
        <v>0.995954080203443</v>
      </c>
      <c r="C3762">
        <v>0.86710915300962599</v>
      </c>
      <c r="D3762">
        <v>0.61675191228524695</v>
      </c>
      <c r="E3762">
        <v>0.37343379190620601</v>
      </c>
      <c r="F3762">
        <v>0.138143632717493</v>
      </c>
      <c r="G3762">
        <v>9.6985361495239605E-2</v>
      </c>
      <c r="H3762">
        <v>7.1195650042013905E-2</v>
      </c>
      <c r="I3762">
        <v>6.0599876940982303E-2</v>
      </c>
      <c r="J3762">
        <v>6.6757967251748193E-2</v>
      </c>
      <c r="K3762">
        <v>6.23462186947982E-2</v>
      </c>
      <c r="L3762">
        <v>827.40435449030895</v>
      </c>
      <c r="M3762">
        <v>17.4736415719406</v>
      </c>
      <c r="N3762">
        <v>47.656935365062999</v>
      </c>
      <c r="O3762">
        <v>46.744434172461403</v>
      </c>
      <c r="P3762">
        <v>-8.8508520850102898E-2</v>
      </c>
      <c r="Q3762">
        <v>5.2961620690987199E-2</v>
      </c>
      <c r="R3762">
        <v>0.99456712966775196</v>
      </c>
      <c r="S3762" t="s">
        <v>10568</v>
      </c>
      <c r="T3762" t="s">
        <v>13610</v>
      </c>
      <c r="U3762" t="s">
        <v>13610</v>
      </c>
      <c r="V3762" t="s">
        <v>13610</v>
      </c>
      <c r="W3762" t="s">
        <v>17313</v>
      </c>
      <c r="X3762">
        <v>17</v>
      </c>
      <c r="Y3762" t="s">
        <v>23916</v>
      </c>
      <c r="Z3762" t="s">
        <v>30617</v>
      </c>
      <c r="AA3762">
        <v>0.30335964466752241</v>
      </c>
      <c r="AB3762" t="str">
        <f>HYPERLINK("Melting_Curves/meltCurve_Q5SRE5_NUP188.pdf", "Melting_Curves/meltCurve_Q5SRE5_NUP188.pdf")</f>
        <v>Melting_Curves/meltCurve_Q5SRE5_NUP188.pdf</v>
      </c>
    </row>
    <row r="3763" spans="1:28" x14ac:dyDescent="0.25">
      <c r="A3763" t="s">
        <v>3767</v>
      </c>
      <c r="B3763">
        <v>0.995954080203443</v>
      </c>
      <c r="C3763">
        <v>0.84814692346295895</v>
      </c>
      <c r="D3763">
        <v>0.89470110268957104</v>
      </c>
      <c r="E3763">
        <v>0.76831929260871801</v>
      </c>
      <c r="F3763">
        <v>0.46113665707259099</v>
      </c>
      <c r="G3763">
        <v>0.276328765331388</v>
      </c>
      <c r="H3763">
        <v>0.23132015981062001</v>
      </c>
      <c r="I3763">
        <v>0.28234525810858901</v>
      </c>
      <c r="J3763">
        <v>0.35438740209063202</v>
      </c>
      <c r="K3763">
        <v>0.329964913870544</v>
      </c>
      <c r="L3763">
        <v>1424.6921617743899</v>
      </c>
      <c r="M3763">
        <v>27.967814877229898</v>
      </c>
      <c r="N3763">
        <v>52.5446986263509</v>
      </c>
      <c r="O3763">
        <v>50.682118838317997</v>
      </c>
      <c r="P3763">
        <v>-9.8346860199651207E-2</v>
      </c>
      <c r="Q3763">
        <v>0.28712568897164198</v>
      </c>
      <c r="R3763">
        <v>0.94917896331017804</v>
      </c>
      <c r="S3763" t="s">
        <v>10569</v>
      </c>
      <c r="T3763" t="s">
        <v>13610</v>
      </c>
      <c r="U3763" t="s">
        <v>13610</v>
      </c>
      <c r="V3763" t="s">
        <v>13610</v>
      </c>
      <c r="W3763" t="s">
        <v>17314</v>
      </c>
      <c r="X3763">
        <v>4</v>
      </c>
      <c r="Y3763" t="s">
        <v>23917</v>
      </c>
      <c r="Z3763" t="s">
        <v>30618</v>
      </c>
      <c r="AA3763">
        <v>0.55224914297317662</v>
      </c>
      <c r="AB3763" t="str">
        <f>HYPERLINK("Melting_Curves/meltCurve_Q5SRN1_CDC40.pdf", "Melting_Curves/meltCurve_Q5SRN1_CDC40.pdf")</f>
        <v>Melting_Curves/meltCurve_Q5SRN1_CDC40.pdf</v>
      </c>
    </row>
    <row r="3764" spans="1:28" x14ac:dyDescent="0.25">
      <c r="A3764" t="s">
        <v>3768</v>
      </c>
      <c r="B3764">
        <v>0.995954080203443</v>
      </c>
      <c r="C3764">
        <v>0.76526078421510202</v>
      </c>
      <c r="D3764">
        <v>0.57761530179424203</v>
      </c>
      <c r="E3764">
        <v>0.45142777187812799</v>
      </c>
      <c r="F3764">
        <v>0.34763842203870299</v>
      </c>
      <c r="G3764">
        <v>0.24292868710852999</v>
      </c>
      <c r="H3764">
        <v>0.20739599449591001</v>
      </c>
      <c r="I3764">
        <v>0.23199068106624801</v>
      </c>
      <c r="J3764">
        <v>0.25439109031052498</v>
      </c>
      <c r="K3764">
        <v>0.26181210502270702</v>
      </c>
      <c r="L3764">
        <v>684.00370861571298</v>
      </c>
      <c r="M3764">
        <v>14.9007742339184</v>
      </c>
      <c r="N3764">
        <v>47.902126788980802</v>
      </c>
      <c r="O3764">
        <v>45.100930491032003</v>
      </c>
      <c r="P3764">
        <v>-6.34862368090338E-2</v>
      </c>
      <c r="Q3764">
        <v>0.23145159304989801</v>
      </c>
      <c r="R3764">
        <v>0.97860160182399503</v>
      </c>
      <c r="S3764" t="s">
        <v>10570</v>
      </c>
      <c r="T3764" t="s">
        <v>13610</v>
      </c>
      <c r="U3764" t="s">
        <v>13610</v>
      </c>
      <c r="V3764" t="s">
        <v>13610</v>
      </c>
      <c r="W3764" t="s">
        <v>17315</v>
      </c>
      <c r="X3764">
        <v>17</v>
      </c>
      <c r="Y3764" t="s">
        <v>23918</v>
      </c>
      <c r="Z3764" t="s">
        <v>30619</v>
      </c>
      <c r="AA3764">
        <v>0.40564521375950902</v>
      </c>
      <c r="AB3764" t="str">
        <f>HYPERLINK("Melting_Curves/meltCurve_Q5SSJ5_HP1BP3.pdf", "Melting_Curves/meltCurve_Q5SSJ5_HP1BP3.pdf")</f>
        <v>Melting_Curves/meltCurve_Q5SSJ5_HP1BP3.pdf</v>
      </c>
    </row>
    <row r="3765" spans="1:28" x14ac:dyDescent="0.25">
      <c r="A3765" t="s">
        <v>3769</v>
      </c>
      <c r="B3765">
        <v>0.995954080203443</v>
      </c>
      <c r="C3765">
        <v>0.98162105445820902</v>
      </c>
      <c r="D3765">
        <v>0.84642712733550995</v>
      </c>
      <c r="E3765">
        <v>0.65898728206884805</v>
      </c>
      <c r="F3765">
        <v>0.198343525951756</v>
      </c>
      <c r="G3765">
        <v>8.8635528897934301E-2</v>
      </c>
      <c r="H3765">
        <v>5.0866824780146397E-2</v>
      </c>
      <c r="I3765">
        <v>5.0046857476289203E-2</v>
      </c>
      <c r="J3765">
        <v>4.2026908884091302E-2</v>
      </c>
      <c r="K3765">
        <v>4.88423779729441E-2</v>
      </c>
      <c r="L3765">
        <v>1411.99753846201</v>
      </c>
      <c r="M3765">
        <v>27.905056277848601</v>
      </c>
      <c r="N3765">
        <v>50.755237879461703</v>
      </c>
      <c r="O3765">
        <v>50.342362673902201</v>
      </c>
      <c r="P3765">
        <v>-0.13291147628184599</v>
      </c>
      <c r="Q3765">
        <v>4.0888268725486399E-2</v>
      </c>
      <c r="R3765">
        <v>0.98975365396790205</v>
      </c>
      <c r="S3765" t="s">
        <v>10571</v>
      </c>
      <c r="T3765" t="s">
        <v>13610</v>
      </c>
      <c r="U3765" t="s">
        <v>13610</v>
      </c>
      <c r="V3765" t="s">
        <v>13610</v>
      </c>
      <c r="W3765" t="s">
        <v>17316</v>
      </c>
      <c r="X3765">
        <v>9</v>
      </c>
      <c r="Y3765" t="s">
        <v>23919</v>
      </c>
      <c r="Z3765" t="s">
        <v>30620</v>
      </c>
      <c r="AA3765">
        <v>0.38670426477138697</v>
      </c>
      <c r="AB3765" t="str">
        <f>HYPERLINK("Melting_Curves/meltCurve_Q5ST30_VARS2.pdf", "Melting_Curves/meltCurve_Q5ST30_VARS2.pdf")</f>
        <v>Melting_Curves/meltCurve_Q5ST30_VARS2.pdf</v>
      </c>
    </row>
    <row r="3766" spans="1:28" x14ac:dyDescent="0.25">
      <c r="A3766" t="s">
        <v>3770</v>
      </c>
      <c r="B3766">
        <v>0.995954080203443</v>
      </c>
      <c r="C3766">
        <v>0.71426834872784195</v>
      </c>
      <c r="D3766">
        <v>0.69885919219822301</v>
      </c>
      <c r="E3766">
        <v>0.42668121446807999</v>
      </c>
      <c r="F3766">
        <v>0.43498980210168903</v>
      </c>
      <c r="G3766">
        <v>0.49215913494218599</v>
      </c>
      <c r="H3766">
        <v>0.47048274439535598</v>
      </c>
      <c r="I3766">
        <v>0.52445436741267104</v>
      </c>
      <c r="J3766">
        <v>1.0695206047141601</v>
      </c>
      <c r="K3766">
        <v>0.71727513741867999</v>
      </c>
      <c r="L3766">
        <v>2062.0139090160001</v>
      </c>
      <c r="M3766">
        <v>48.851755629262001</v>
      </c>
      <c r="O3766">
        <v>42.139067785830299</v>
      </c>
      <c r="P3766">
        <v>-0.11526046791951799</v>
      </c>
      <c r="Q3766">
        <v>0.60230997113832496</v>
      </c>
      <c r="R3766">
        <v>0.29632973598775603</v>
      </c>
      <c r="S3766" t="s">
        <v>10572</v>
      </c>
      <c r="T3766" t="s">
        <v>13610</v>
      </c>
      <c r="U3766" t="s">
        <v>13610</v>
      </c>
      <c r="V3766" t="s">
        <v>13610</v>
      </c>
      <c r="W3766" t="s">
        <v>17317</v>
      </c>
      <c r="X3766">
        <v>3</v>
      </c>
      <c r="Y3766" t="s">
        <v>23920</v>
      </c>
      <c r="Z3766" t="s">
        <v>30621</v>
      </c>
      <c r="AA3766">
        <v>0.63302225502992993</v>
      </c>
      <c r="AB3766" t="str">
        <f>HYPERLINK("Melting_Curves/meltCurve_Q5SVZ6_ZMYM1.pdf", "Melting_Curves/meltCurve_Q5SVZ6_ZMYM1.pdf")</f>
        <v>Melting_Curves/meltCurve_Q5SVZ6_ZMYM1.pdf</v>
      </c>
    </row>
    <row r="3767" spans="1:28" x14ac:dyDescent="0.25">
      <c r="A3767" t="s">
        <v>3771</v>
      </c>
      <c r="B3767">
        <v>0.995954080203443</v>
      </c>
      <c r="C3767">
        <v>0.98269209921449896</v>
      </c>
      <c r="D3767">
        <v>0.99335861341737397</v>
      </c>
      <c r="E3767">
        <v>0.89360731771733404</v>
      </c>
      <c r="F3767">
        <v>0.84935901445859396</v>
      </c>
      <c r="G3767">
        <v>0.61969179614901104</v>
      </c>
      <c r="H3767">
        <v>0.55788954719568595</v>
      </c>
      <c r="I3767">
        <v>0.66145790783023894</v>
      </c>
      <c r="J3767">
        <v>0.794365408120285</v>
      </c>
      <c r="K3767">
        <v>0.767730483778304</v>
      </c>
      <c r="L3767">
        <v>1713.22614663267</v>
      </c>
      <c r="M3767">
        <v>32.888674311711803</v>
      </c>
      <c r="O3767">
        <v>51.900220529061201</v>
      </c>
      <c r="P3767">
        <v>-5.03817014812677E-2</v>
      </c>
      <c r="Q3767">
        <v>0.68198054949605702</v>
      </c>
      <c r="R3767">
        <v>0.793305966748451</v>
      </c>
      <c r="S3767" t="s">
        <v>10573</v>
      </c>
      <c r="T3767" t="s">
        <v>13610</v>
      </c>
      <c r="U3767" t="s">
        <v>13610</v>
      </c>
      <c r="V3767" t="s">
        <v>13610</v>
      </c>
      <c r="W3767" t="s">
        <v>17318</v>
      </c>
      <c r="X3767">
        <v>69</v>
      </c>
      <c r="Y3767" t="s">
        <v>23921</v>
      </c>
      <c r="Z3767" t="s">
        <v>30622</v>
      </c>
      <c r="AA3767">
        <v>0.81185488559874086</v>
      </c>
      <c r="AB3767" t="str">
        <f>HYPERLINK("Melting_Curves/meltCurve_Q5SW79_CEP170.pdf", "Melting_Curves/meltCurve_Q5SW79_CEP170.pdf")</f>
        <v>Melting_Curves/meltCurve_Q5SW79_CEP170.pdf</v>
      </c>
    </row>
    <row r="3768" spans="1:28" x14ac:dyDescent="0.25">
      <c r="A3768" t="s">
        <v>3772</v>
      </c>
      <c r="B3768">
        <v>0.995954080203443</v>
      </c>
      <c r="C3768">
        <v>1.02619045943494</v>
      </c>
      <c r="D3768">
        <v>1.2481096995868901</v>
      </c>
      <c r="E3768">
        <v>1.0064496953870501</v>
      </c>
      <c r="F3768">
        <v>0.99721416355758996</v>
      </c>
      <c r="G3768">
        <v>0.81775115587371405</v>
      </c>
      <c r="H3768">
        <v>0.74861655313119502</v>
      </c>
      <c r="I3768">
        <v>0.896449727728859</v>
      </c>
      <c r="J3768">
        <v>0.78204051866792001</v>
      </c>
      <c r="K3768">
        <v>1.04891167693853</v>
      </c>
      <c r="L3768">
        <v>13456.985193881301</v>
      </c>
      <c r="M3768">
        <v>250</v>
      </c>
      <c r="O3768">
        <v>53.8244961663871</v>
      </c>
      <c r="P3768">
        <v>-0.16401231655409601</v>
      </c>
      <c r="Q3768">
        <v>0.85875391536569501</v>
      </c>
      <c r="R3768">
        <v>0.40403934563282201</v>
      </c>
      <c r="S3768" t="s">
        <v>10574</v>
      </c>
      <c r="T3768" t="s">
        <v>13610</v>
      </c>
      <c r="U3768" t="s">
        <v>13610</v>
      </c>
      <c r="V3768" t="s">
        <v>13610</v>
      </c>
      <c r="W3768" t="s">
        <v>17319</v>
      </c>
      <c r="X3768">
        <v>67</v>
      </c>
      <c r="Y3768" t="s">
        <v>23921</v>
      </c>
      <c r="Z3768" t="s">
        <v>30623</v>
      </c>
      <c r="AA3768">
        <v>0.9238720082575157</v>
      </c>
      <c r="AB3768" t="str">
        <f>HYPERLINK("Melting_Curves/meltCurve_Q5SW79_2_CEP170.pdf", "Melting_Curves/meltCurve_Q5SW79_2_CEP170.pdf")</f>
        <v>Melting_Curves/meltCurve_Q5SW79_2_CEP170.pdf</v>
      </c>
    </row>
    <row r="3769" spans="1:28" x14ac:dyDescent="0.25">
      <c r="A3769" t="s">
        <v>3773</v>
      </c>
      <c r="B3769">
        <v>0.995954080203443</v>
      </c>
      <c r="C3769">
        <v>0.83975681030972305</v>
      </c>
      <c r="D3769">
        <v>0.63114740391743795</v>
      </c>
      <c r="E3769">
        <v>0.31348078351668501</v>
      </c>
      <c r="F3769">
        <v>0.190536252920848</v>
      </c>
      <c r="G3769">
        <v>0.1110246830415</v>
      </c>
      <c r="H3769">
        <v>7.5027763207932793E-2</v>
      </c>
      <c r="I3769">
        <v>6.5258247206706102E-2</v>
      </c>
      <c r="J3769">
        <v>8.6240485081967702E-2</v>
      </c>
      <c r="K3769">
        <v>6.6575085397671999E-2</v>
      </c>
      <c r="L3769">
        <v>823.73989893084195</v>
      </c>
      <c r="M3769">
        <v>17.488439124333599</v>
      </c>
      <c r="N3769">
        <v>47.488881293083899</v>
      </c>
      <c r="O3769">
        <v>46.499042656793598</v>
      </c>
      <c r="P3769">
        <v>-8.7787431993805995E-2</v>
      </c>
      <c r="Q3769">
        <v>6.6399001487131501E-2</v>
      </c>
      <c r="R3769">
        <v>0.99815943538353202</v>
      </c>
      <c r="S3769" t="s">
        <v>10575</v>
      </c>
      <c r="T3769" t="s">
        <v>13610</v>
      </c>
      <c r="U3769" t="s">
        <v>13610</v>
      </c>
      <c r="V3769" t="s">
        <v>13610</v>
      </c>
      <c r="W3769" t="s">
        <v>17320</v>
      </c>
      <c r="X3769">
        <v>5</v>
      </c>
      <c r="Y3769" t="s">
        <v>23922</v>
      </c>
      <c r="Z3769" t="s">
        <v>30624</v>
      </c>
      <c r="AA3769">
        <v>0.30565490337014251</v>
      </c>
      <c r="AB3769" t="str">
        <f>HYPERLINK("Melting_Curves/meltCurve_Q5SW96_LDLRAP1.pdf", "Melting_Curves/meltCurve_Q5SW96_LDLRAP1.pdf")</f>
        <v>Melting_Curves/meltCurve_Q5SW96_LDLRAP1.pdf</v>
      </c>
    </row>
    <row r="3770" spans="1:28" x14ac:dyDescent="0.25">
      <c r="A3770" t="s">
        <v>3774</v>
      </c>
      <c r="B3770">
        <v>0.995954080203443</v>
      </c>
      <c r="C3770">
        <v>1.1262979342447701</v>
      </c>
      <c r="D3770">
        <v>0.82797124278793699</v>
      </c>
      <c r="E3770">
        <v>0.91195986642002302</v>
      </c>
      <c r="F3770">
        <v>0.52173098521888295</v>
      </c>
      <c r="G3770">
        <v>0.29802330619978301</v>
      </c>
      <c r="H3770">
        <v>0.163535064179262</v>
      </c>
      <c r="I3770">
        <v>0.17740595833506501</v>
      </c>
      <c r="J3770">
        <v>0.120811597775535</v>
      </c>
      <c r="K3770">
        <v>0.16481001854864599</v>
      </c>
      <c r="L3770">
        <v>1351.58092734768</v>
      </c>
      <c r="M3770">
        <v>25.545932958816898</v>
      </c>
      <c r="N3770">
        <v>53.654112928936598</v>
      </c>
      <c r="O3770">
        <v>52.586855394559699</v>
      </c>
      <c r="P3770">
        <v>-0.10328907677529001</v>
      </c>
      <c r="Q3770">
        <v>0.14951934203553999</v>
      </c>
      <c r="R3770">
        <v>0.96504932496340601</v>
      </c>
      <c r="S3770" t="s">
        <v>10576</v>
      </c>
      <c r="T3770" t="s">
        <v>13610</v>
      </c>
      <c r="U3770" t="s">
        <v>13610</v>
      </c>
      <c r="V3770" t="s">
        <v>13610</v>
      </c>
      <c r="W3770" t="s">
        <v>17321</v>
      </c>
      <c r="X3770">
        <v>11</v>
      </c>
      <c r="Y3770" t="s">
        <v>22798</v>
      </c>
      <c r="Z3770" t="s">
        <v>30625</v>
      </c>
      <c r="AA3770">
        <v>0.52296173853075523</v>
      </c>
      <c r="AB3770" t="str">
        <f>HYPERLINK("Melting_Curves/meltCurve_Q5SX86_GDI2.pdf", "Melting_Curves/meltCurve_Q5SX86_GDI2.pdf")</f>
        <v>Melting_Curves/meltCurve_Q5SX86_GDI2.pdf</v>
      </c>
    </row>
    <row r="3771" spans="1:28" x14ac:dyDescent="0.25">
      <c r="A3771" t="s">
        <v>3775</v>
      </c>
      <c r="B3771">
        <v>0.995954080203443</v>
      </c>
      <c r="C3771">
        <v>0.92278755121549405</v>
      </c>
      <c r="D3771">
        <v>0.71248489025605799</v>
      </c>
      <c r="E3771">
        <v>0.58510339660662902</v>
      </c>
      <c r="F3771">
        <v>0.54189117828740396</v>
      </c>
      <c r="G3771">
        <v>0.34875912258004999</v>
      </c>
      <c r="H3771">
        <v>0.31971110650197099</v>
      </c>
      <c r="I3771">
        <v>0.34590580299651003</v>
      </c>
      <c r="J3771">
        <v>0.45416549230021702</v>
      </c>
      <c r="K3771">
        <v>0.41149542386765497</v>
      </c>
      <c r="L3771">
        <v>749.07358237091898</v>
      </c>
      <c r="M3771">
        <v>15.7870004149904</v>
      </c>
      <c r="N3771">
        <v>51.943587929710297</v>
      </c>
      <c r="O3771">
        <v>46.7070135101416</v>
      </c>
      <c r="P3771">
        <v>-5.3032559795951797E-2</v>
      </c>
      <c r="Q3771">
        <v>0.37244906778995401</v>
      </c>
      <c r="R3771">
        <v>0.94987279054750096</v>
      </c>
      <c r="S3771" t="s">
        <v>10577</v>
      </c>
      <c r="T3771" t="s">
        <v>13610</v>
      </c>
      <c r="U3771" t="s">
        <v>13610</v>
      </c>
      <c r="V3771" t="s">
        <v>13610</v>
      </c>
      <c r="W3771" t="s">
        <v>17322</v>
      </c>
      <c r="X3771">
        <v>7</v>
      </c>
      <c r="Y3771" t="s">
        <v>23923</v>
      </c>
      <c r="Z3771" t="s">
        <v>30626</v>
      </c>
      <c r="AA3771">
        <v>0.54322382324968999</v>
      </c>
      <c r="AB3771" t="str">
        <f>HYPERLINK("Melting_Curves/meltCurve_Q5SXM2_SNAPC4.pdf", "Melting_Curves/meltCurve_Q5SXM2_SNAPC4.pdf")</f>
        <v>Melting_Curves/meltCurve_Q5SXM2_SNAPC4.pdf</v>
      </c>
    </row>
    <row r="3772" spans="1:28" x14ac:dyDescent="0.25">
      <c r="A3772" t="s">
        <v>3776</v>
      </c>
      <c r="B3772">
        <v>0.995954080203443</v>
      </c>
      <c r="C3772">
        <v>0.95513431006778304</v>
      </c>
      <c r="D3772">
        <v>0.91329288485536297</v>
      </c>
      <c r="E3772">
        <v>0.84354845576480597</v>
      </c>
      <c r="F3772">
        <v>0.69780963716437905</v>
      </c>
      <c r="G3772">
        <v>0.485556083734003</v>
      </c>
      <c r="H3772">
        <v>0.44270438757927599</v>
      </c>
      <c r="I3772">
        <v>0.47059948742903002</v>
      </c>
      <c r="J3772">
        <v>0.60498358590379897</v>
      </c>
      <c r="K3772">
        <v>0.50735550658205297</v>
      </c>
      <c r="L3772">
        <v>1258.21653809642</v>
      </c>
      <c r="M3772">
        <v>24.4207533123049</v>
      </c>
      <c r="N3772">
        <v>63.572518903576601</v>
      </c>
      <c r="O3772">
        <v>51.180671768359602</v>
      </c>
      <c r="P3772">
        <v>-6.02268230338108E-2</v>
      </c>
      <c r="Q3772">
        <v>0.49511733345042602</v>
      </c>
      <c r="R3772">
        <v>0.93909412585976304</v>
      </c>
      <c r="S3772" t="s">
        <v>10578</v>
      </c>
      <c r="T3772" t="s">
        <v>13610</v>
      </c>
      <c r="U3772" t="s">
        <v>13610</v>
      </c>
      <c r="V3772" t="s">
        <v>13610</v>
      </c>
      <c r="W3772" t="s">
        <v>17323</v>
      </c>
      <c r="X3772">
        <v>2</v>
      </c>
      <c r="Y3772" t="s">
        <v>23924</v>
      </c>
      <c r="Z3772" t="s">
        <v>30627</v>
      </c>
      <c r="AA3772">
        <v>0.69383346495642717</v>
      </c>
      <c r="AB3772" t="str">
        <f>HYPERLINK("Melting_Curves/meltCurve_Q5SXM8_DNLZ.pdf", "Melting_Curves/meltCurve_Q5SXM8_DNLZ.pdf")</f>
        <v>Melting_Curves/meltCurve_Q5SXM8_DNLZ.pdf</v>
      </c>
    </row>
    <row r="3773" spans="1:28" x14ac:dyDescent="0.25">
      <c r="A3773" t="s">
        <v>3777</v>
      </c>
      <c r="B3773">
        <v>0.995954080203443</v>
      </c>
      <c r="C3773">
        <v>0.54645039247640204</v>
      </c>
      <c r="D3773">
        <v>0.32167951468725597</v>
      </c>
      <c r="E3773">
        <v>0.32000240686493198</v>
      </c>
      <c r="F3773">
        <v>0.18743262164457999</v>
      </c>
      <c r="G3773">
        <v>9.27396393551745E-2</v>
      </c>
      <c r="H3773">
        <v>6.3420237506374003E-2</v>
      </c>
      <c r="I3773">
        <v>5.6840007636504E-2</v>
      </c>
      <c r="J3773">
        <v>5.9416390050825302E-2</v>
      </c>
      <c r="K3773">
        <v>4.6808564328823299E-2</v>
      </c>
      <c r="L3773">
        <v>720.07946197705598</v>
      </c>
      <c r="M3773">
        <v>16.348187413602499</v>
      </c>
      <c r="N3773">
        <v>44.503165092625899</v>
      </c>
      <c r="O3773">
        <v>43.403222811232801</v>
      </c>
      <c r="P3773">
        <v>-8.68990117853259E-2</v>
      </c>
      <c r="Q3773">
        <v>7.7225232854847795E-2</v>
      </c>
      <c r="R3773">
        <v>0.93343789279814005</v>
      </c>
      <c r="S3773" t="s">
        <v>10579</v>
      </c>
      <c r="T3773" t="s">
        <v>13610</v>
      </c>
      <c r="U3773" t="s">
        <v>13610</v>
      </c>
      <c r="V3773" t="s">
        <v>13610</v>
      </c>
      <c r="W3773" t="s">
        <v>17324</v>
      </c>
      <c r="X3773">
        <v>4</v>
      </c>
      <c r="Y3773" t="s">
        <v>23925</v>
      </c>
      <c r="Z3773" t="s">
        <v>30628</v>
      </c>
      <c r="AA3773">
        <v>0.22950264611931859</v>
      </c>
      <c r="AB3773" t="str">
        <f>HYPERLINK("Melting_Curves/meltCurve_Q5SY16_NOL9.pdf", "Melting_Curves/meltCurve_Q5SY16_NOL9.pdf")</f>
        <v>Melting_Curves/meltCurve_Q5SY16_NOL9.pdf</v>
      </c>
    </row>
    <row r="3774" spans="1:28" x14ac:dyDescent="0.25">
      <c r="A3774" t="s">
        <v>3778</v>
      </c>
      <c r="B3774">
        <v>0.995954080203443</v>
      </c>
      <c r="C3774">
        <v>1.05803981317969</v>
      </c>
      <c r="D3774">
        <v>1.09767985595148</v>
      </c>
      <c r="E3774">
        <v>0.96650132473856398</v>
      </c>
      <c r="F3774">
        <v>0.82231972432413003</v>
      </c>
      <c r="G3774">
        <v>0.64383187080662996</v>
      </c>
      <c r="H3774">
        <v>0.420423771990035</v>
      </c>
      <c r="I3774">
        <v>0.284305763299669</v>
      </c>
      <c r="J3774">
        <v>0.25193537983347403</v>
      </c>
      <c r="K3774">
        <v>0.20764597281708499</v>
      </c>
      <c r="L3774">
        <v>1026.2713604512801</v>
      </c>
      <c r="M3774">
        <v>17.7749233037277</v>
      </c>
      <c r="N3774">
        <v>59.196259439360801</v>
      </c>
      <c r="O3774">
        <v>57.021123895711703</v>
      </c>
      <c r="P3774">
        <v>-6.4110494427329107E-2</v>
      </c>
      <c r="Q3774">
        <v>0.177388763553289</v>
      </c>
      <c r="R3774">
        <v>0.98501296153200801</v>
      </c>
      <c r="S3774" t="s">
        <v>10580</v>
      </c>
      <c r="T3774" t="s">
        <v>13610</v>
      </c>
      <c r="U3774" t="s">
        <v>13610</v>
      </c>
      <c r="V3774" t="s">
        <v>13610</v>
      </c>
      <c r="W3774" t="s">
        <v>17325</v>
      </c>
      <c r="X3774">
        <v>4</v>
      </c>
      <c r="Y3774" t="s">
        <v>23926</v>
      </c>
      <c r="Z3774" t="s">
        <v>30629</v>
      </c>
      <c r="AA3774">
        <v>0.67434634873301047</v>
      </c>
      <c r="AB3774" t="str">
        <f>HYPERLINK("Melting_Curves/meltCurve_Q5SY21_ZBTB48.pdf", "Melting_Curves/meltCurve_Q5SY21_ZBTB48.pdf")</f>
        <v>Melting_Curves/meltCurve_Q5SY21_ZBTB48.pdf</v>
      </c>
    </row>
    <row r="3775" spans="1:28" x14ac:dyDescent="0.25">
      <c r="A3775" t="s">
        <v>3779</v>
      </c>
      <c r="B3775">
        <v>0.995954080203443</v>
      </c>
      <c r="C3775">
        <v>1.0467390649999699</v>
      </c>
      <c r="D3775">
        <v>1.2716975293522601</v>
      </c>
      <c r="E3775">
        <v>0.90567645057561297</v>
      </c>
      <c r="F3775">
        <v>0.94963399878500399</v>
      </c>
      <c r="G3775">
        <v>0.65351077146619097</v>
      </c>
      <c r="H3775">
        <v>0.28074785223312998</v>
      </c>
      <c r="I3775">
        <v>0.163745856139598</v>
      </c>
      <c r="J3775">
        <v>0.13107914528776801</v>
      </c>
      <c r="K3775">
        <v>0.123848346335832</v>
      </c>
      <c r="L3775">
        <v>1634.4929361361701</v>
      </c>
      <c r="M3775">
        <v>28.239520126100899</v>
      </c>
      <c r="N3775">
        <v>58.4071640706374</v>
      </c>
      <c r="O3775">
        <v>57.591717678285598</v>
      </c>
      <c r="P3775">
        <v>-0.108787526566444</v>
      </c>
      <c r="Q3775">
        <v>0.11256162625901101</v>
      </c>
      <c r="R3775">
        <v>0.95189210887536302</v>
      </c>
      <c r="S3775" t="s">
        <v>10581</v>
      </c>
      <c r="T3775" t="s">
        <v>13610</v>
      </c>
      <c r="U3775" t="s">
        <v>13610</v>
      </c>
      <c r="V3775" t="s">
        <v>13610</v>
      </c>
      <c r="W3775" t="s">
        <v>17326</v>
      </c>
      <c r="X3775">
        <v>3</v>
      </c>
      <c r="Y3775" t="s">
        <v>23927</v>
      </c>
      <c r="Z3775" t="s">
        <v>30630</v>
      </c>
      <c r="AA3775">
        <v>0.64792407168985211</v>
      </c>
      <c r="AB3775" t="str">
        <f>HYPERLINK("Melting_Curves/meltCurve_Q5T011_5_SZT2.pdf", "Melting_Curves/meltCurve_Q5T011_5_SZT2.pdf")</f>
        <v>Melting_Curves/meltCurve_Q5T011_5_SZT2.pdf</v>
      </c>
    </row>
    <row r="3776" spans="1:28" x14ac:dyDescent="0.25">
      <c r="A3776" t="s">
        <v>3780</v>
      </c>
      <c r="B3776">
        <v>0.995954080203443</v>
      </c>
      <c r="C3776">
        <v>0.99599483551155099</v>
      </c>
      <c r="D3776">
        <v>1.00689419685282</v>
      </c>
      <c r="E3776">
        <v>0.82758656541485498</v>
      </c>
      <c r="F3776">
        <v>0.66327623552072801</v>
      </c>
      <c r="G3776">
        <v>0.42601259823354098</v>
      </c>
      <c r="H3776">
        <v>0.38036061717953801</v>
      </c>
      <c r="I3776">
        <v>0.43614737991032798</v>
      </c>
      <c r="J3776">
        <v>0.56725273567615597</v>
      </c>
      <c r="K3776">
        <v>0.50257471142189303</v>
      </c>
      <c r="L3776">
        <v>1627.9463306974101</v>
      </c>
      <c r="M3776">
        <v>31.557992600803999</v>
      </c>
      <c r="N3776">
        <v>56.1257966449976</v>
      </c>
      <c r="O3776">
        <v>51.380059197737097</v>
      </c>
      <c r="P3776">
        <v>-8.2755084500156006E-2</v>
      </c>
      <c r="Q3776">
        <v>0.46106360644758199</v>
      </c>
      <c r="R3776">
        <v>0.95366464199338197</v>
      </c>
      <c r="S3776" t="s">
        <v>10582</v>
      </c>
      <c r="T3776" t="s">
        <v>13610</v>
      </c>
      <c r="U3776" t="s">
        <v>13610</v>
      </c>
      <c r="V3776" t="s">
        <v>13610</v>
      </c>
      <c r="W3776" t="s">
        <v>17327</v>
      </c>
      <c r="X3776">
        <v>11</v>
      </c>
      <c r="Y3776" t="s">
        <v>23928</v>
      </c>
      <c r="Z3776" t="s">
        <v>30631</v>
      </c>
      <c r="AA3776">
        <v>0.6722906580074296</v>
      </c>
      <c r="AB3776" t="str">
        <f>HYPERLINK("Melting_Curves/meltCurve_Q5T0N5_3_FNBP1L.pdf", "Melting_Curves/meltCurve_Q5T0N5_3_FNBP1L.pdf")</f>
        <v>Melting_Curves/meltCurve_Q5T0N5_3_FNBP1L.pdf</v>
      </c>
    </row>
    <row r="3777" spans="1:28" x14ac:dyDescent="0.25">
      <c r="A3777" t="s">
        <v>3781</v>
      </c>
      <c r="B3777">
        <v>0.995954080203443</v>
      </c>
      <c r="C3777">
        <v>0.91357428764857895</v>
      </c>
      <c r="D3777">
        <v>0.96120290549896803</v>
      </c>
      <c r="E3777">
        <v>0.853702386125059</v>
      </c>
      <c r="F3777">
        <v>0.85246466637195795</v>
      </c>
      <c r="G3777">
        <v>0.69820634038176299</v>
      </c>
      <c r="H3777">
        <v>0.64382728546262402</v>
      </c>
      <c r="I3777">
        <v>0.71713879646393097</v>
      </c>
      <c r="J3777">
        <v>0.95799818441659002</v>
      </c>
      <c r="K3777">
        <v>0.85297851393083202</v>
      </c>
      <c r="L3777">
        <v>965.819213738484</v>
      </c>
      <c r="M3777">
        <v>20.0646486049204</v>
      </c>
      <c r="O3777">
        <v>47.664893695706603</v>
      </c>
      <c r="P3777">
        <v>-2.3148510954205E-2</v>
      </c>
      <c r="Q3777">
        <v>0.78004387945641496</v>
      </c>
      <c r="R3777">
        <v>0.42845482878386698</v>
      </c>
      <c r="S3777" t="s">
        <v>10583</v>
      </c>
      <c r="T3777" t="s">
        <v>13610</v>
      </c>
      <c r="U3777" t="s">
        <v>13610</v>
      </c>
      <c r="V3777" t="s">
        <v>13610</v>
      </c>
      <c r="W3777" t="s">
        <v>17328</v>
      </c>
      <c r="X3777">
        <v>7</v>
      </c>
      <c r="Y3777" t="s">
        <v>23929</v>
      </c>
      <c r="Z3777" t="s">
        <v>30632</v>
      </c>
      <c r="AA3777">
        <v>0.84278774538981371</v>
      </c>
      <c r="AB3777" t="str">
        <f>HYPERLINK("Melting_Curves/meltCurve_Q5T123_SH3BGRL3.pdf", "Melting_Curves/meltCurve_Q5T123_SH3BGRL3.pdf")</f>
        <v>Melting_Curves/meltCurve_Q5T123_SH3BGRL3.pdf</v>
      </c>
    </row>
    <row r="3778" spans="1:28" x14ac:dyDescent="0.25">
      <c r="A3778" t="s">
        <v>3782</v>
      </c>
      <c r="B3778">
        <v>0.995954080203443</v>
      </c>
      <c r="C3778">
        <v>0.94302901654791804</v>
      </c>
      <c r="D3778">
        <v>0.89181601079953898</v>
      </c>
      <c r="E3778">
        <v>0.67112165984999606</v>
      </c>
      <c r="F3778">
        <v>0.223596233950732</v>
      </c>
      <c r="G3778">
        <v>0.144489303166559</v>
      </c>
      <c r="H3778">
        <v>9.7420585017585798E-2</v>
      </c>
      <c r="I3778">
        <v>9.67866427832281E-2</v>
      </c>
      <c r="J3778">
        <v>0.15166451211138199</v>
      </c>
      <c r="K3778">
        <v>0.110293143763287</v>
      </c>
      <c r="L3778">
        <v>1827.79930085924</v>
      </c>
      <c r="M3778">
        <v>36.150052171227998</v>
      </c>
      <c r="N3778">
        <v>50.922590347626098</v>
      </c>
      <c r="O3778">
        <v>50.407484776157098</v>
      </c>
      <c r="P3778">
        <v>-0.159017043288951</v>
      </c>
      <c r="Q3778">
        <v>0.113071965764418</v>
      </c>
      <c r="R3778">
        <v>0.98973622373122805</v>
      </c>
      <c r="S3778" t="s">
        <v>10584</v>
      </c>
      <c r="T3778" t="s">
        <v>13610</v>
      </c>
      <c r="U3778" t="s">
        <v>13610</v>
      </c>
      <c r="V3778" t="s">
        <v>13610</v>
      </c>
      <c r="W3778" t="s">
        <v>17329</v>
      </c>
      <c r="X3778">
        <v>12</v>
      </c>
      <c r="Y3778" t="s">
        <v>23930</v>
      </c>
      <c r="Z3778" t="s">
        <v>30633</v>
      </c>
      <c r="AA3778">
        <v>0.42911561239105789</v>
      </c>
      <c r="AB3778" t="str">
        <f>HYPERLINK("Melting_Curves/meltCurve_Q5T160_RARS2.pdf", "Melting_Curves/meltCurve_Q5T160_RARS2.pdf")</f>
        <v>Melting_Curves/meltCurve_Q5T160_RARS2.pdf</v>
      </c>
    </row>
    <row r="3779" spans="1:28" x14ac:dyDescent="0.25">
      <c r="A3779" t="s">
        <v>3783</v>
      </c>
      <c r="B3779">
        <v>0.995954080203443</v>
      </c>
      <c r="C3779">
        <v>1.0634384632401599</v>
      </c>
      <c r="D3779">
        <v>1.0453516926833299</v>
      </c>
      <c r="E3779">
        <v>0.94165487471410902</v>
      </c>
      <c r="F3779">
        <v>0.89212843921061102</v>
      </c>
      <c r="G3779">
        <v>0.64894278973101904</v>
      </c>
      <c r="H3779">
        <v>0.59543699782356296</v>
      </c>
      <c r="I3779">
        <v>0.71375960229817603</v>
      </c>
      <c r="J3779">
        <v>0.97088016113252595</v>
      </c>
      <c r="K3779">
        <v>0.85652956649648304</v>
      </c>
      <c r="L3779">
        <v>6348.6903512825602</v>
      </c>
      <c r="M3779">
        <v>119.56659763359799</v>
      </c>
      <c r="O3779">
        <v>53.082668546954103</v>
      </c>
      <c r="P3779">
        <v>-0.13677008835287899</v>
      </c>
      <c r="Q3779">
        <v>0.75711872352121201</v>
      </c>
      <c r="R3779">
        <v>0.57847409271077899</v>
      </c>
      <c r="S3779" t="s">
        <v>10585</v>
      </c>
      <c r="T3779" t="s">
        <v>13610</v>
      </c>
      <c r="U3779" t="s">
        <v>13610</v>
      </c>
      <c r="V3779" t="s">
        <v>13610</v>
      </c>
      <c r="W3779" t="s">
        <v>17330</v>
      </c>
      <c r="X3779">
        <v>6</v>
      </c>
      <c r="Y3779" t="s">
        <v>23931</v>
      </c>
      <c r="Z3779" t="s">
        <v>30634</v>
      </c>
      <c r="AA3779">
        <v>0.86325586020190082</v>
      </c>
      <c r="AB3779" t="str">
        <f>HYPERLINK("Melting_Curves/meltCurve_Q5T171_PYGO2.pdf", "Melting_Curves/meltCurve_Q5T171_PYGO2.pdf")</f>
        <v>Melting_Curves/meltCurve_Q5T171_PYGO2.pdf</v>
      </c>
    </row>
    <row r="3780" spans="1:28" x14ac:dyDescent="0.25">
      <c r="A3780" t="s">
        <v>3784</v>
      </c>
      <c r="B3780">
        <v>0.995954080203443</v>
      </c>
      <c r="C3780">
        <v>1.08473120290007</v>
      </c>
      <c r="D3780">
        <v>1.06414130188872</v>
      </c>
      <c r="E3780">
        <v>0.96594573277363205</v>
      </c>
      <c r="F3780">
        <v>0.82666551564594104</v>
      </c>
      <c r="G3780">
        <v>0.44918540551574099</v>
      </c>
      <c r="H3780">
        <v>0.176828365489274</v>
      </c>
      <c r="I3780">
        <v>0.103463491071609</v>
      </c>
      <c r="J3780">
        <v>9.6947023818980099E-2</v>
      </c>
      <c r="K3780">
        <v>8.6739477262700995E-2</v>
      </c>
      <c r="L3780">
        <v>1473.9058349721699</v>
      </c>
      <c r="M3780">
        <v>26.281470858044798</v>
      </c>
      <c r="N3780">
        <v>56.450902175389203</v>
      </c>
      <c r="O3780">
        <v>55.759884695178002</v>
      </c>
      <c r="P3780">
        <v>-0.108526745626411</v>
      </c>
      <c r="Q3780">
        <v>7.89903446443707E-2</v>
      </c>
      <c r="R3780">
        <v>0.993165988661037</v>
      </c>
      <c r="S3780" t="s">
        <v>10586</v>
      </c>
      <c r="T3780" t="s">
        <v>13610</v>
      </c>
      <c r="U3780" t="s">
        <v>13610</v>
      </c>
      <c r="V3780" t="s">
        <v>13610</v>
      </c>
      <c r="W3780" t="s">
        <v>17331</v>
      </c>
      <c r="X3780">
        <v>7</v>
      </c>
      <c r="Y3780" t="s">
        <v>23932</v>
      </c>
      <c r="Z3780" t="s">
        <v>30635</v>
      </c>
      <c r="AA3780">
        <v>0.58046420629261486</v>
      </c>
      <c r="AB3780" t="str">
        <f>HYPERLINK("Melting_Curves/meltCurve_Q5T1C6_THEM4.pdf", "Melting_Curves/meltCurve_Q5T1C6_THEM4.pdf")</f>
        <v>Melting_Curves/meltCurve_Q5T1C6_THEM4.pdf</v>
      </c>
    </row>
    <row r="3781" spans="1:28" x14ac:dyDescent="0.25">
      <c r="A3781" t="s">
        <v>3785</v>
      </c>
      <c r="B3781">
        <v>0.995954080203443</v>
      </c>
      <c r="C3781">
        <v>1.0162155556214301</v>
      </c>
      <c r="D3781">
        <v>1.01608320152894</v>
      </c>
      <c r="E3781">
        <v>0.78321583992795896</v>
      </c>
      <c r="F3781">
        <v>0.456081340662503</v>
      </c>
      <c r="G3781">
        <v>0.247880305355138</v>
      </c>
      <c r="H3781">
        <v>0.16711552343456501</v>
      </c>
      <c r="I3781">
        <v>0.15419087475370599</v>
      </c>
      <c r="J3781">
        <v>0.170508913336713</v>
      </c>
      <c r="K3781">
        <v>0.16790325714997201</v>
      </c>
      <c r="L3781">
        <v>1485.7172543764</v>
      </c>
      <c r="M3781">
        <v>28.6304743783734</v>
      </c>
      <c r="N3781">
        <v>52.6297642102464</v>
      </c>
      <c r="O3781">
        <v>51.641690700483601</v>
      </c>
      <c r="P3781">
        <v>-0.115714755502817</v>
      </c>
      <c r="Q3781">
        <v>0.16513336943340901</v>
      </c>
      <c r="R3781">
        <v>0.998081317308393</v>
      </c>
      <c r="S3781" t="s">
        <v>10587</v>
      </c>
      <c r="T3781" t="s">
        <v>13610</v>
      </c>
      <c r="U3781" t="s">
        <v>13610</v>
      </c>
      <c r="V3781" t="s">
        <v>13610</v>
      </c>
      <c r="W3781" t="s">
        <v>17332</v>
      </c>
      <c r="X3781">
        <v>33</v>
      </c>
      <c r="Y3781" t="s">
        <v>23933</v>
      </c>
      <c r="Z3781" t="s">
        <v>30636</v>
      </c>
      <c r="AA3781">
        <v>0.50193993879912269</v>
      </c>
      <c r="AB3781" t="str">
        <f>HYPERLINK("Melting_Curves/meltCurve_Q5T1M5_FKBP15.pdf", "Melting_Curves/meltCurve_Q5T1M5_FKBP15.pdf")</f>
        <v>Melting_Curves/meltCurve_Q5T1M5_FKBP15.pdf</v>
      </c>
    </row>
    <row r="3782" spans="1:28" x14ac:dyDescent="0.25">
      <c r="A3782" t="s">
        <v>3786</v>
      </c>
      <c r="B3782">
        <v>0.995954080203443</v>
      </c>
      <c r="C3782">
        <v>0.78385589569276204</v>
      </c>
      <c r="D3782">
        <v>0.60414595482264399</v>
      </c>
      <c r="E3782">
        <v>0.528725568257847</v>
      </c>
      <c r="F3782">
        <v>0.16643141279592899</v>
      </c>
      <c r="G3782">
        <v>0.100728714421429</v>
      </c>
      <c r="H3782">
        <v>7.85153291905544E-2</v>
      </c>
      <c r="I3782">
        <v>7.9347201176727694E-2</v>
      </c>
      <c r="J3782">
        <v>7.8226517393119893E-2</v>
      </c>
      <c r="K3782">
        <v>5.9517446130410198E-2</v>
      </c>
      <c r="L3782">
        <v>630.59276699331804</v>
      </c>
      <c r="M3782">
        <v>13.1364361749923</v>
      </c>
      <c r="N3782">
        <v>48.251372035656097</v>
      </c>
      <c r="O3782">
        <v>46.931823514188501</v>
      </c>
      <c r="P3782">
        <v>-6.7703057212916501E-2</v>
      </c>
      <c r="Q3782">
        <v>3.26485887251243E-2</v>
      </c>
      <c r="R3782">
        <v>0.967027793575991</v>
      </c>
      <c r="S3782" t="s">
        <v>10588</v>
      </c>
      <c r="T3782" t="s">
        <v>13610</v>
      </c>
      <c r="U3782" t="s">
        <v>13610</v>
      </c>
      <c r="V3782" t="s">
        <v>13610</v>
      </c>
      <c r="W3782" t="s">
        <v>17333</v>
      </c>
      <c r="X3782">
        <v>32</v>
      </c>
      <c r="Y3782" t="s">
        <v>23933</v>
      </c>
      <c r="Z3782" t="s">
        <v>30637</v>
      </c>
      <c r="AA3782">
        <v>0.32283472350927961</v>
      </c>
      <c r="AB3782" t="str">
        <f>HYPERLINK("Melting_Curves/meltCurve_Q5T1M5_2_FKBP15.pdf", "Melting_Curves/meltCurve_Q5T1M5_2_FKBP15.pdf")</f>
        <v>Melting_Curves/meltCurve_Q5T1M5_2_FKBP15.pdf</v>
      </c>
    </row>
    <row r="3783" spans="1:28" x14ac:dyDescent="0.25">
      <c r="A3783" t="s">
        <v>3787</v>
      </c>
      <c r="B3783">
        <v>0.995954080203443</v>
      </c>
      <c r="C3783">
        <v>1.0268632926516701</v>
      </c>
      <c r="D3783">
        <v>0.96593855673142504</v>
      </c>
      <c r="E3783">
        <v>0.60355874141509402</v>
      </c>
      <c r="F3783">
        <v>0.18767615195822299</v>
      </c>
      <c r="G3783">
        <v>0.11552592689491301</v>
      </c>
      <c r="H3783">
        <v>7.3996381797592506E-2</v>
      </c>
      <c r="I3783">
        <v>6.7290669745735596E-2</v>
      </c>
      <c r="J3783">
        <v>7.9825977192443304E-2</v>
      </c>
      <c r="K3783">
        <v>6.7972176142113594E-2</v>
      </c>
      <c r="L3783">
        <v>1926.4265332561399</v>
      </c>
      <c r="M3783">
        <v>38.260402640723598</v>
      </c>
      <c r="N3783">
        <v>50.572264963271003</v>
      </c>
      <c r="O3783">
        <v>50.213439691131597</v>
      </c>
      <c r="P3783">
        <v>-0.17577198618496301</v>
      </c>
      <c r="Q3783">
        <v>7.7260713026696404E-2</v>
      </c>
      <c r="R3783">
        <v>0.99881414668194801</v>
      </c>
      <c r="S3783" t="s">
        <v>10589</v>
      </c>
      <c r="T3783" t="s">
        <v>13610</v>
      </c>
      <c r="U3783" t="s">
        <v>13610</v>
      </c>
      <c r="V3783" t="s">
        <v>13610</v>
      </c>
      <c r="W3783" t="s">
        <v>17334</v>
      </c>
      <c r="X3783">
        <v>20</v>
      </c>
      <c r="Y3783" t="s">
        <v>23934</v>
      </c>
      <c r="Z3783" t="s">
        <v>30638</v>
      </c>
      <c r="AA3783">
        <v>0.39913150235986689</v>
      </c>
      <c r="AB3783" t="str">
        <f>HYPERLINK("Melting_Curves/meltCurve_Q5T1V6_DDX59.pdf", "Melting_Curves/meltCurve_Q5T1V6_DDX59.pdf")</f>
        <v>Melting_Curves/meltCurve_Q5T1V6_DDX59.pdf</v>
      </c>
    </row>
    <row r="3784" spans="1:28" x14ac:dyDescent="0.25">
      <c r="A3784" t="s">
        <v>3788</v>
      </c>
      <c r="B3784">
        <v>0.995954080203443</v>
      </c>
      <c r="C3784">
        <v>0.92425530358475205</v>
      </c>
      <c r="D3784">
        <v>0.89223663168554901</v>
      </c>
      <c r="E3784">
        <v>0.72395801565554596</v>
      </c>
      <c r="F3784">
        <v>0.48956320120546698</v>
      </c>
      <c r="G3784">
        <v>0.39430805118803203</v>
      </c>
      <c r="H3784">
        <v>0.402616732817553</v>
      </c>
      <c r="I3784">
        <v>0.53779595447053097</v>
      </c>
      <c r="J3784">
        <v>0.63930315313303598</v>
      </c>
      <c r="K3784">
        <v>0.64709353111997503</v>
      </c>
      <c r="L3784">
        <v>1390.9030798174299</v>
      </c>
      <c r="M3784">
        <v>28.634696483772</v>
      </c>
      <c r="O3784">
        <v>48.339003655732597</v>
      </c>
      <c r="P3784">
        <v>-7.1486105032900094E-2</v>
      </c>
      <c r="Q3784">
        <v>0.51729340022400505</v>
      </c>
      <c r="R3784">
        <v>0.82110353709110995</v>
      </c>
      <c r="S3784" t="s">
        <v>10590</v>
      </c>
      <c r="T3784" t="s">
        <v>13610</v>
      </c>
      <c r="U3784" t="s">
        <v>13610</v>
      </c>
      <c r="V3784" t="s">
        <v>13610</v>
      </c>
      <c r="W3784" t="s">
        <v>17335</v>
      </c>
      <c r="X3784">
        <v>42</v>
      </c>
      <c r="Y3784" t="s">
        <v>23935</v>
      </c>
      <c r="Z3784" t="s">
        <v>30639</v>
      </c>
      <c r="AA3784">
        <v>0.65847048506059525</v>
      </c>
      <c r="AB3784" t="str">
        <f>HYPERLINK("Melting_Curves/meltCurve_Q5T200_ZC3H13.pdf", "Melting_Curves/meltCurve_Q5T200_ZC3H13.pdf")</f>
        <v>Melting_Curves/meltCurve_Q5T200_ZC3H13.pdf</v>
      </c>
    </row>
    <row r="3785" spans="1:28" x14ac:dyDescent="0.25">
      <c r="A3785" t="s">
        <v>3789</v>
      </c>
      <c r="B3785">
        <v>0.995954080203443</v>
      </c>
      <c r="C3785">
        <v>0.84654255867146</v>
      </c>
      <c r="D3785">
        <v>0.66107586058014201</v>
      </c>
      <c r="E3785">
        <v>0.58803724079194197</v>
      </c>
      <c r="F3785">
        <v>0.31451206016584499</v>
      </c>
      <c r="G3785">
        <v>0.13345091921754301</v>
      </c>
      <c r="H3785">
        <v>8.1674535878394405E-2</v>
      </c>
      <c r="I3785">
        <v>6.9170602452297197E-2</v>
      </c>
      <c r="J3785">
        <v>7.5429498079092605E-2</v>
      </c>
      <c r="K3785">
        <v>7.1666891562811003E-2</v>
      </c>
      <c r="L3785">
        <v>603.12509037044401</v>
      </c>
      <c r="M3785">
        <v>12.1462421646695</v>
      </c>
      <c r="N3785">
        <v>49.776559163235</v>
      </c>
      <c r="O3785">
        <v>48.366820172815103</v>
      </c>
      <c r="P3785">
        <v>-6.1880773363493603E-2</v>
      </c>
      <c r="Q3785">
        <v>1.45798414648723E-2</v>
      </c>
      <c r="R3785">
        <v>0.98067723260825201</v>
      </c>
      <c r="S3785" t="s">
        <v>10591</v>
      </c>
      <c r="T3785" t="s">
        <v>13610</v>
      </c>
      <c r="U3785" t="s">
        <v>13610</v>
      </c>
      <c r="V3785" t="s">
        <v>13610</v>
      </c>
      <c r="W3785" t="s">
        <v>17336</v>
      </c>
      <c r="X3785">
        <v>1</v>
      </c>
      <c r="Y3785" t="s">
        <v>23936</v>
      </c>
      <c r="Z3785" t="s">
        <v>30640</v>
      </c>
      <c r="AA3785">
        <v>0.36587036967883141</v>
      </c>
      <c r="AB3785" t="str">
        <f>HYPERLINK("Melting_Curves/meltCurve_Q5T250_HSD17B7.pdf", "Melting_Curves/meltCurve_Q5T250_HSD17B7.pdf")</f>
        <v>Melting_Curves/meltCurve_Q5T250_HSD17B7.pdf</v>
      </c>
    </row>
    <row r="3786" spans="1:28" x14ac:dyDescent="0.25">
      <c r="A3786" t="s">
        <v>3790</v>
      </c>
      <c r="B3786">
        <v>0.995954080203443</v>
      </c>
      <c r="C3786">
        <v>0.80710827253097495</v>
      </c>
      <c r="D3786">
        <v>0.51284075407449004</v>
      </c>
      <c r="E3786">
        <v>0.38857652268322601</v>
      </c>
      <c r="F3786">
        <v>0.286987819083521</v>
      </c>
      <c r="G3786">
        <v>0.26602031011299498</v>
      </c>
      <c r="H3786">
        <v>0.23455658865982301</v>
      </c>
      <c r="I3786">
        <v>0.267894762122179</v>
      </c>
      <c r="J3786">
        <v>0.20755634330855599</v>
      </c>
      <c r="K3786">
        <v>0.23418643818697801</v>
      </c>
      <c r="L3786">
        <v>915.009696013856</v>
      </c>
      <c r="M3786">
        <v>20.2717999005934</v>
      </c>
      <c r="N3786">
        <v>46.686261764483099</v>
      </c>
      <c r="O3786">
        <v>44.7047216780241</v>
      </c>
      <c r="P3786">
        <v>-8.5612723625756601E-2</v>
      </c>
      <c r="Q3786">
        <v>0.24482782318257201</v>
      </c>
      <c r="R3786">
        <v>0.98681082202427906</v>
      </c>
      <c r="S3786" t="s">
        <v>10592</v>
      </c>
      <c r="T3786" t="s">
        <v>13610</v>
      </c>
      <c r="U3786" t="s">
        <v>13610</v>
      </c>
      <c r="V3786" t="s">
        <v>13610</v>
      </c>
      <c r="W3786" t="s">
        <v>17337</v>
      </c>
      <c r="X3786">
        <v>2</v>
      </c>
      <c r="Y3786" t="s">
        <v>23937</v>
      </c>
      <c r="Z3786" t="s">
        <v>30641</v>
      </c>
      <c r="AA3786">
        <v>0.38634328039415677</v>
      </c>
      <c r="AB3786" t="str">
        <f>HYPERLINK("Melting_Curves/meltCurve_Q5T280_C9orf114.pdf", "Melting_Curves/meltCurve_Q5T280_C9orf114.pdf")</f>
        <v>Melting_Curves/meltCurve_Q5T280_C9orf114.pdf</v>
      </c>
    </row>
    <row r="3787" spans="1:28" x14ac:dyDescent="0.25">
      <c r="A3787" t="s">
        <v>3791</v>
      </c>
      <c r="B3787">
        <v>0.995954080203443</v>
      </c>
      <c r="C3787">
        <v>1.0114978348867101</v>
      </c>
      <c r="D3787">
        <v>1.0461531988734301</v>
      </c>
      <c r="E3787">
        <v>0.83974925399019096</v>
      </c>
      <c r="F3787">
        <v>0.84514199375523502</v>
      </c>
      <c r="G3787">
        <v>0.76373307138117597</v>
      </c>
      <c r="H3787">
        <v>0.641955369922797</v>
      </c>
      <c r="I3787">
        <v>0.83843726412761799</v>
      </c>
      <c r="J3787">
        <v>0.83912641859921699</v>
      </c>
      <c r="K3787">
        <v>0.90945918045135699</v>
      </c>
      <c r="L3787">
        <v>6144.8345789199002</v>
      </c>
      <c r="M3787">
        <v>124.45987442361201</v>
      </c>
      <c r="O3787">
        <v>49.359256335564297</v>
      </c>
      <c r="P3787">
        <v>-0.122110601860958</v>
      </c>
      <c r="Q3787">
        <v>0.80628969718912502</v>
      </c>
      <c r="R3787">
        <v>0.66438817112043802</v>
      </c>
      <c r="S3787" t="s">
        <v>10593</v>
      </c>
      <c r="T3787" t="s">
        <v>13610</v>
      </c>
      <c r="U3787" t="s">
        <v>13610</v>
      </c>
      <c r="V3787" t="s">
        <v>13610</v>
      </c>
      <c r="W3787" t="s">
        <v>17338</v>
      </c>
      <c r="X3787">
        <v>2</v>
      </c>
      <c r="Y3787" t="s">
        <v>23938</v>
      </c>
      <c r="Z3787" t="s">
        <v>30642</v>
      </c>
      <c r="AA3787">
        <v>0.86687264913440021</v>
      </c>
      <c r="AB3787" t="str">
        <f>HYPERLINK("Melting_Curves/meltCurve_Q5T2D3_OTUD3.pdf", "Melting_Curves/meltCurve_Q5T2D3_OTUD3.pdf")</f>
        <v>Melting_Curves/meltCurve_Q5T2D3_OTUD3.pdf</v>
      </c>
    </row>
    <row r="3788" spans="1:28" x14ac:dyDescent="0.25">
      <c r="A3788" t="s">
        <v>3792</v>
      </c>
      <c r="B3788">
        <v>0.995954080203443</v>
      </c>
      <c r="C3788">
        <v>0.87775035908324694</v>
      </c>
      <c r="D3788">
        <v>0.507586848737685</v>
      </c>
      <c r="E3788">
        <v>0.40181403990863201</v>
      </c>
      <c r="F3788">
        <v>0.19468008931449199</v>
      </c>
      <c r="G3788">
        <v>9.6736002038007293E-2</v>
      </c>
      <c r="H3788">
        <v>4.89665126214546E-2</v>
      </c>
      <c r="I3788">
        <v>5.2341117615517602E-2</v>
      </c>
      <c r="J3788">
        <v>8.06287817799448E-2</v>
      </c>
      <c r="K3788">
        <v>6.4778079731090496E-2</v>
      </c>
      <c r="L3788">
        <v>731.710389988869</v>
      </c>
      <c r="M3788">
        <v>15.544232697998099</v>
      </c>
      <c r="N3788">
        <v>47.402117157681701</v>
      </c>
      <c r="O3788">
        <v>46.314364649860799</v>
      </c>
      <c r="P3788">
        <v>-7.9618510242406904E-2</v>
      </c>
      <c r="Q3788">
        <v>5.1183559842262603E-2</v>
      </c>
      <c r="R3788">
        <v>0.97925952065595701</v>
      </c>
      <c r="S3788" t="s">
        <v>10594</v>
      </c>
      <c r="T3788" t="s">
        <v>13610</v>
      </c>
      <c r="U3788" t="s">
        <v>13610</v>
      </c>
      <c r="V3788" t="s">
        <v>13610</v>
      </c>
      <c r="W3788" t="s">
        <v>17339</v>
      </c>
      <c r="X3788">
        <v>1</v>
      </c>
      <c r="Y3788" t="s">
        <v>23939</v>
      </c>
      <c r="Z3788" t="s">
        <v>30643</v>
      </c>
      <c r="AA3788">
        <v>0.29871663708337087</v>
      </c>
      <c r="AB3788" t="str">
        <f>HYPERLINK("Melting_Curves/meltCurve_Q5T2J3_BCKDHB.pdf", "Melting_Curves/meltCurve_Q5T2J3_BCKDHB.pdf")</f>
        <v>Melting_Curves/meltCurve_Q5T2J3_BCKDHB.pdf</v>
      </c>
    </row>
    <row r="3789" spans="1:28" x14ac:dyDescent="0.25">
      <c r="A3789" t="s">
        <v>3793</v>
      </c>
      <c r="B3789">
        <v>0.995954080203443</v>
      </c>
      <c r="C3789">
        <v>1.10586464730804</v>
      </c>
      <c r="D3789">
        <v>0.97294562130806095</v>
      </c>
      <c r="E3789">
        <v>0.97198345322570401</v>
      </c>
      <c r="F3789">
        <v>0.68471075799935299</v>
      </c>
      <c r="G3789">
        <v>0.54147847712373698</v>
      </c>
      <c r="H3789">
        <v>0.30466756846865001</v>
      </c>
      <c r="I3789">
        <v>0.31572617173908901</v>
      </c>
      <c r="J3789">
        <v>0.28887642756674797</v>
      </c>
      <c r="K3789">
        <v>0.16861592533880801</v>
      </c>
      <c r="L3789">
        <v>1005.96140611763</v>
      </c>
      <c r="M3789">
        <v>18.1743245367892</v>
      </c>
      <c r="N3789">
        <v>57.100605315708798</v>
      </c>
      <c r="O3789">
        <v>54.693616908927702</v>
      </c>
      <c r="P3789">
        <v>-6.5337819987359505E-2</v>
      </c>
      <c r="Q3789">
        <v>0.21352963521528801</v>
      </c>
      <c r="R3789">
        <v>0.97191389706326403</v>
      </c>
      <c r="S3789" t="s">
        <v>10595</v>
      </c>
      <c r="T3789" t="s">
        <v>13610</v>
      </c>
      <c r="U3789" t="s">
        <v>13610</v>
      </c>
      <c r="V3789" t="s">
        <v>13610</v>
      </c>
      <c r="W3789" t="s">
        <v>17340</v>
      </c>
      <c r="X3789">
        <v>7</v>
      </c>
      <c r="Y3789" t="s">
        <v>23940</v>
      </c>
      <c r="Z3789" t="s">
        <v>30644</v>
      </c>
      <c r="AA3789">
        <v>0.62779289440746355</v>
      </c>
      <c r="AB3789" t="str">
        <f>HYPERLINK("Melting_Curves/meltCurve_Q5T321_NBEA.pdf", "Melting_Curves/meltCurve_Q5T321_NBEA.pdf")</f>
        <v>Melting_Curves/meltCurve_Q5T321_NBEA.pdf</v>
      </c>
    </row>
    <row r="3790" spans="1:28" x14ac:dyDescent="0.25">
      <c r="A3790" t="s">
        <v>3794</v>
      </c>
      <c r="B3790">
        <v>0.995954080203443</v>
      </c>
      <c r="C3790">
        <v>1.0289633332431301</v>
      </c>
      <c r="D3790">
        <v>0.94263103880185695</v>
      </c>
      <c r="E3790">
        <v>0.91718278548908705</v>
      </c>
      <c r="F3790">
        <v>0.88654507154602402</v>
      </c>
      <c r="G3790">
        <v>0.68425380094036004</v>
      </c>
      <c r="H3790">
        <v>0.64959725021936499</v>
      </c>
      <c r="I3790">
        <v>0.75921019508615195</v>
      </c>
      <c r="J3790">
        <v>0.86559937779006302</v>
      </c>
      <c r="K3790">
        <v>0.90428321866179695</v>
      </c>
      <c r="L3790">
        <v>1632.0247610916299</v>
      </c>
      <c r="M3790">
        <v>31.765925962936301</v>
      </c>
      <c r="O3790">
        <v>51.174260898769298</v>
      </c>
      <c r="P3790">
        <v>-3.4592710661015803E-2</v>
      </c>
      <c r="Q3790">
        <v>0.77708854204821798</v>
      </c>
      <c r="R3790">
        <v>0.60285293749683599</v>
      </c>
      <c r="S3790" t="s">
        <v>10596</v>
      </c>
      <c r="T3790" t="s">
        <v>13610</v>
      </c>
      <c r="U3790" t="s">
        <v>13610</v>
      </c>
      <c r="V3790" t="s">
        <v>13610</v>
      </c>
      <c r="W3790" t="s">
        <v>17341</v>
      </c>
      <c r="X3790">
        <v>12</v>
      </c>
      <c r="Y3790" t="s">
        <v>23941</v>
      </c>
      <c r="Z3790" t="s">
        <v>30645</v>
      </c>
      <c r="AA3790">
        <v>0.86287870423036539</v>
      </c>
      <c r="AB3790" t="str">
        <f>HYPERLINK("Melting_Curves/meltCurve_Q5T3I0_GPATCH4.pdf", "Melting_Curves/meltCurve_Q5T3I0_GPATCH4.pdf")</f>
        <v>Melting_Curves/meltCurve_Q5T3I0_GPATCH4.pdf</v>
      </c>
    </row>
    <row r="3791" spans="1:28" x14ac:dyDescent="0.25">
      <c r="A3791" t="s">
        <v>3795</v>
      </c>
      <c r="B3791">
        <v>0.995954080203443</v>
      </c>
      <c r="C3791">
        <v>0.90380291085357201</v>
      </c>
      <c r="D3791">
        <v>0.83818887138468101</v>
      </c>
      <c r="E3791">
        <v>0.80638522342799701</v>
      </c>
      <c r="F3791">
        <v>0.81689526200610196</v>
      </c>
      <c r="G3791">
        <v>0.58656071813505595</v>
      </c>
      <c r="H3791">
        <v>0.564280703712709</v>
      </c>
      <c r="I3791">
        <v>0.671571442811979</v>
      </c>
      <c r="J3791">
        <v>0.80073964205485704</v>
      </c>
      <c r="K3791">
        <v>0.76598418782924205</v>
      </c>
      <c r="L3791">
        <v>672.76290739937804</v>
      </c>
      <c r="M3791">
        <v>14.468568668007199</v>
      </c>
      <c r="O3791">
        <v>45.637055560767699</v>
      </c>
      <c r="P3791">
        <v>-2.4689934982454399E-2</v>
      </c>
      <c r="Q3791">
        <v>0.68852624691588904</v>
      </c>
      <c r="R3791">
        <v>0.63036331502502896</v>
      </c>
      <c r="S3791" t="s">
        <v>10597</v>
      </c>
      <c r="T3791" t="s">
        <v>13610</v>
      </c>
      <c r="U3791" t="s">
        <v>13610</v>
      </c>
      <c r="V3791" t="s">
        <v>13610</v>
      </c>
      <c r="W3791" t="s">
        <v>17342</v>
      </c>
      <c r="X3791">
        <v>11</v>
      </c>
      <c r="Y3791" t="s">
        <v>23942</v>
      </c>
      <c r="Z3791" t="s">
        <v>30646</v>
      </c>
      <c r="AA3791">
        <v>0.76542469259123602</v>
      </c>
      <c r="AB3791" t="str">
        <f>HYPERLINK("Melting_Curves/meltCurve_Q5T3J3_LRIF1.pdf", "Melting_Curves/meltCurve_Q5T3J3_LRIF1.pdf")</f>
        <v>Melting_Curves/meltCurve_Q5T3J3_LRIF1.pdf</v>
      </c>
    </row>
    <row r="3792" spans="1:28" x14ac:dyDescent="0.25">
      <c r="A3792" t="s">
        <v>3796</v>
      </c>
      <c r="B3792">
        <v>0.995954080203443</v>
      </c>
      <c r="C3792">
        <v>0.818568899792251</v>
      </c>
      <c r="D3792">
        <v>1.2160329069903599</v>
      </c>
      <c r="E3792">
        <v>0.805493855025471</v>
      </c>
      <c r="F3792">
        <v>0.99014456952072405</v>
      </c>
      <c r="G3792">
        <v>0.72475827705376195</v>
      </c>
      <c r="H3792">
        <v>0.66777995732988704</v>
      </c>
      <c r="I3792">
        <v>0.78826748382299805</v>
      </c>
      <c r="J3792">
        <v>0.86786763786501797</v>
      </c>
      <c r="K3792">
        <v>0.96373975004520696</v>
      </c>
      <c r="L3792">
        <v>12033.5781437726</v>
      </c>
      <c r="M3792">
        <v>250</v>
      </c>
      <c r="O3792">
        <v>48.131211251030699</v>
      </c>
      <c r="P3792">
        <v>-0.22111412267566399</v>
      </c>
      <c r="Q3792">
        <v>0.82972007644312096</v>
      </c>
      <c r="R3792">
        <v>0.29295759871716898</v>
      </c>
      <c r="S3792" t="s">
        <v>10598</v>
      </c>
      <c r="T3792" t="s">
        <v>13610</v>
      </c>
      <c r="U3792" t="s">
        <v>13610</v>
      </c>
      <c r="V3792" t="s">
        <v>13610</v>
      </c>
      <c r="W3792" t="s">
        <v>17343</v>
      </c>
      <c r="X3792">
        <v>1</v>
      </c>
      <c r="Y3792" t="s">
        <v>23943</v>
      </c>
      <c r="Z3792" t="s">
        <v>30647</v>
      </c>
      <c r="AA3792">
        <v>0.87590479828359713</v>
      </c>
      <c r="AB3792" t="str">
        <f>HYPERLINK("Melting_Curves/meltCurve_Q5T427_ZNF438.pdf", "Melting_Curves/meltCurve_Q5T427_ZNF438.pdf")</f>
        <v>Melting_Curves/meltCurve_Q5T427_ZNF438.pdf</v>
      </c>
    </row>
    <row r="3793" spans="1:28" x14ac:dyDescent="0.25">
      <c r="A3793" t="s">
        <v>3797</v>
      </c>
      <c r="B3793">
        <v>0.995954080203443</v>
      </c>
      <c r="C3793">
        <v>1.00245454148492</v>
      </c>
      <c r="D3793">
        <v>0.98626662525154696</v>
      </c>
      <c r="E3793">
        <v>0.77818820707175396</v>
      </c>
      <c r="F3793">
        <v>0.35723294532709798</v>
      </c>
      <c r="G3793">
        <v>0.104655655411987</v>
      </c>
      <c r="H3793">
        <v>5.9988343375577499E-2</v>
      </c>
      <c r="I3793">
        <v>4.36584473554378E-2</v>
      </c>
      <c r="J3793">
        <v>5.9153640099077302E-2</v>
      </c>
      <c r="K3793">
        <v>4.59713578385961E-2</v>
      </c>
      <c r="L3793">
        <v>1683.4702462300399</v>
      </c>
      <c r="M3793">
        <v>32.491157417870703</v>
      </c>
      <c r="N3793">
        <v>51.985205388490201</v>
      </c>
      <c r="O3793">
        <v>51.6181087236805</v>
      </c>
      <c r="P3793">
        <v>-0.14934345116585901</v>
      </c>
      <c r="Q3793">
        <v>5.0967981299492197E-2</v>
      </c>
      <c r="R3793">
        <v>0.99985108047223903</v>
      </c>
      <c r="S3793" t="s">
        <v>10599</v>
      </c>
      <c r="T3793" t="s">
        <v>13610</v>
      </c>
      <c r="U3793" t="s">
        <v>13610</v>
      </c>
      <c r="V3793" t="s">
        <v>13610</v>
      </c>
      <c r="W3793" t="s">
        <v>17344</v>
      </c>
      <c r="X3793">
        <v>10</v>
      </c>
      <c r="Y3793" t="s">
        <v>23944</v>
      </c>
      <c r="Z3793" t="s">
        <v>30648</v>
      </c>
      <c r="AA3793">
        <v>0.42982801662288522</v>
      </c>
      <c r="AB3793" t="str">
        <f>HYPERLINK("Melting_Curves/meltCurve_Q5T440_IBA57.pdf", "Melting_Curves/meltCurve_Q5T440_IBA57.pdf")</f>
        <v>Melting_Curves/meltCurve_Q5T440_IBA57.pdf</v>
      </c>
    </row>
    <row r="3794" spans="1:28" x14ac:dyDescent="0.25">
      <c r="A3794" t="s">
        <v>3798</v>
      </c>
      <c r="B3794">
        <v>0.995954080203443</v>
      </c>
      <c r="C3794">
        <v>0.65380661653029004</v>
      </c>
      <c r="D3794">
        <v>0.55225089293892904</v>
      </c>
      <c r="E3794">
        <v>0.70303470843508997</v>
      </c>
      <c r="F3794">
        <v>0.200996396393363</v>
      </c>
      <c r="G3794">
        <v>0.13806290346639399</v>
      </c>
      <c r="H3794">
        <v>8.6668905975368707E-2</v>
      </c>
      <c r="I3794">
        <v>9.2681495203854297E-2</v>
      </c>
      <c r="J3794">
        <v>9.7987784221445107E-2</v>
      </c>
      <c r="K3794">
        <v>0.1277053918089</v>
      </c>
      <c r="L3794">
        <v>472.82520117627899</v>
      </c>
      <c r="M3794">
        <v>9.7695093151990502</v>
      </c>
      <c r="N3794">
        <v>48.602495789935503</v>
      </c>
      <c r="O3794">
        <v>46.500864906296101</v>
      </c>
      <c r="P3794">
        <v>-5.1493261351533801E-2</v>
      </c>
      <c r="Q3794">
        <v>2.0131088467135402E-2</v>
      </c>
      <c r="R3794">
        <v>0.86820314920210295</v>
      </c>
      <c r="S3794" t="s">
        <v>10600</v>
      </c>
      <c r="T3794" t="s">
        <v>13610</v>
      </c>
      <c r="U3794" t="s">
        <v>13610</v>
      </c>
      <c r="V3794" t="s">
        <v>13610</v>
      </c>
      <c r="W3794" t="s">
        <v>17345</v>
      </c>
      <c r="X3794">
        <v>2</v>
      </c>
      <c r="Y3794" t="s">
        <v>23945</v>
      </c>
      <c r="Z3794" t="s">
        <v>30649</v>
      </c>
      <c r="AA3794">
        <v>0.3465212686885154</v>
      </c>
      <c r="AB3794" t="str">
        <f>HYPERLINK("Melting_Curves/meltCurve_Q5T447_HECTD3.pdf", "Melting_Curves/meltCurve_Q5T447_HECTD3.pdf")</f>
        <v>Melting_Curves/meltCurve_Q5T447_HECTD3.pdf</v>
      </c>
    </row>
    <row r="3795" spans="1:28" x14ac:dyDescent="0.25">
      <c r="A3795" t="s">
        <v>3799</v>
      </c>
      <c r="B3795">
        <v>0.995954080203443</v>
      </c>
      <c r="C3795">
        <v>0.62958718924345702</v>
      </c>
      <c r="D3795">
        <v>0.433302661941114</v>
      </c>
      <c r="E3795">
        <v>0.465687632000226</v>
      </c>
      <c r="F3795">
        <v>0.17444726295270199</v>
      </c>
      <c r="G3795">
        <v>9.6075569870725505E-2</v>
      </c>
      <c r="H3795">
        <v>6.1296179781073497E-2</v>
      </c>
      <c r="I3795">
        <v>5.4480294597669503E-2</v>
      </c>
      <c r="J3795">
        <v>6.0129277873216702E-2</v>
      </c>
      <c r="K3795">
        <v>5.4962456106065698E-2</v>
      </c>
      <c r="L3795">
        <v>532.64757077249703</v>
      </c>
      <c r="M3795">
        <v>11.5310771831385</v>
      </c>
      <c r="N3795">
        <v>46.401553430369802</v>
      </c>
      <c r="O3795">
        <v>44.868650146386898</v>
      </c>
      <c r="P3795">
        <v>-6.2639447008573504E-2</v>
      </c>
      <c r="Q3795">
        <v>2.5327498206104599E-2</v>
      </c>
      <c r="R3795">
        <v>0.93515023296934596</v>
      </c>
      <c r="S3795" t="s">
        <v>10601</v>
      </c>
      <c r="T3795" t="s">
        <v>13610</v>
      </c>
      <c r="U3795" t="s">
        <v>13610</v>
      </c>
      <c r="V3795" t="s">
        <v>13610</v>
      </c>
      <c r="W3795" t="s">
        <v>17346</v>
      </c>
      <c r="X3795">
        <v>102</v>
      </c>
      <c r="Y3795" t="s">
        <v>23946</v>
      </c>
      <c r="Z3795" t="s">
        <v>30650</v>
      </c>
      <c r="AA3795">
        <v>0.27344821267031738</v>
      </c>
      <c r="AB3795" t="str">
        <f>HYPERLINK("Melting_Curves/meltCurve_Q5T4S7_3_UBR4.pdf", "Melting_Curves/meltCurve_Q5T4S7_3_UBR4.pdf")</f>
        <v>Melting_Curves/meltCurve_Q5T4S7_3_UBR4.pdf</v>
      </c>
    </row>
    <row r="3796" spans="1:28" x14ac:dyDescent="0.25">
      <c r="A3796" t="s">
        <v>3800</v>
      </c>
      <c r="B3796">
        <v>0.995954080203443</v>
      </c>
      <c r="C3796">
        <v>0.98712504848050897</v>
      </c>
      <c r="D3796">
        <v>1.0360978381080601</v>
      </c>
      <c r="E3796">
        <v>0.89357063233015899</v>
      </c>
      <c r="F3796">
        <v>0.74058921434735003</v>
      </c>
      <c r="G3796">
        <v>0.41002000488765</v>
      </c>
      <c r="H3796">
        <v>0.31109960635107398</v>
      </c>
      <c r="I3796">
        <v>0.31667231659219602</v>
      </c>
      <c r="J3796">
        <v>0.35609807438221802</v>
      </c>
      <c r="K3796">
        <v>0.34101403541469399</v>
      </c>
      <c r="L3796">
        <v>1630.9817078497599</v>
      </c>
      <c r="M3796">
        <v>30.430440575581802</v>
      </c>
      <c r="N3796">
        <v>55.510762566054701</v>
      </c>
      <c r="O3796">
        <v>53.367168584798698</v>
      </c>
      <c r="P3796">
        <v>-9.6241862577510606E-2</v>
      </c>
      <c r="Q3796">
        <v>0.32487007556377201</v>
      </c>
      <c r="R3796">
        <v>0.99342007407125299</v>
      </c>
      <c r="S3796" t="s">
        <v>10602</v>
      </c>
      <c r="T3796" t="s">
        <v>13610</v>
      </c>
      <c r="U3796" t="s">
        <v>13610</v>
      </c>
      <c r="V3796" t="s">
        <v>13610</v>
      </c>
      <c r="W3796" t="s">
        <v>17347</v>
      </c>
      <c r="X3796">
        <v>24</v>
      </c>
      <c r="Y3796" t="s">
        <v>23947</v>
      </c>
      <c r="Z3796" t="s">
        <v>30651</v>
      </c>
      <c r="AA3796">
        <v>0.63515513515078925</v>
      </c>
      <c r="AB3796" t="str">
        <f>HYPERLINK("Melting_Curves/meltCurve_Q5T5C0_3_STXBP5.pdf", "Melting_Curves/meltCurve_Q5T5C0_3_STXBP5.pdf")</f>
        <v>Melting_Curves/meltCurve_Q5T5C0_3_STXBP5.pdf</v>
      </c>
    </row>
    <row r="3797" spans="1:28" x14ac:dyDescent="0.25">
      <c r="A3797" t="s">
        <v>3801</v>
      </c>
      <c r="B3797">
        <v>0.995954080203443</v>
      </c>
      <c r="C3797">
        <v>0.95679663359144695</v>
      </c>
      <c r="D3797">
        <v>1.1060688297304699</v>
      </c>
      <c r="E3797">
        <v>0.85597216051553604</v>
      </c>
      <c r="F3797">
        <v>0.84911950897705701</v>
      </c>
      <c r="G3797">
        <v>0.634941457356195</v>
      </c>
      <c r="H3797">
        <v>0.52302838060622203</v>
      </c>
      <c r="I3797">
        <v>0.467499011608146</v>
      </c>
      <c r="J3797">
        <v>0.66010181565096404</v>
      </c>
      <c r="K3797">
        <v>0.74149271490944402</v>
      </c>
      <c r="L3797">
        <v>1498.4244092731701</v>
      </c>
      <c r="M3797">
        <v>28.2811562856851</v>
      </c>
      <c r="O3797">
        <v>52.720351637926797</v>
      </c>
      <c r="P3797">
        <v>-5.4095540163930297E-2</v>
      </c>
      <c r="Q3797">
        <v>0.59663425667526704</v>
      </c>
      <c r="R3797">
        <v>0.81593447696705401</v>
      </c>
      <c r="S3797" t="s">
        <v>10603</v>
      </c>
      <c r="T3797" t="s">
        <v>13610</v>
      </c>
      <c r="U3797" t="s">
        <v>13610</v>
      </c>
      <c r="V3797" t="s">
        <v>13610</v>
      </c>
      <c r="W3797" t="s">
        <v>17348</v>
      </c>
      <c r="X3797">
        <v>15</v>
      </c>
      <c r="Y3797" t="s">
        <v>23948</v>
      </c>
      <c r="Z3797" t="s">
        <v>30652</v>
      </c>
      <c r="AA3797">
        <v>0.77413335013298723</v>
      </c>
      <c r="AB3797" t="str">
        <f>HYPERLINK("Melting_Curves/meltCurve_Q5T5U3_ARHGAP21.pdf", "Melting_Curves/meltCurve_Q5T5U3_ARHGAP21.pdf")</f>
        <v>Melting_Curves/meltCurve_Q5T5U3_ARHGAP21.pdf</v>
      </c>
    </row>
    <row r="3798" spans="1:28" x14ac:dyDescent="0.25">
      <c r="A3798" t="s">
        <v>3802</v>
      </c>
      <c r="B3798">
        <v>0.995954080203443</v>
      </c>
      <c r="C3798">
        <v>0.92969251834105304</v>
      </c>
      <c r="D3798">
        <v>0.58607222902198897</v>
      </c>
      <c r="E3798">
        <v>0.55036612793762996</v>
      </c>
      <c r="F3798">
        <v>0.31528709588165499</v>
      </c>
      <c r="G3798">
        <v>0.23278489438153299</v>
      </c>
      <c r="H3798">
        <v>0.17047937712677999</v>
      </c>
      <c r="I3798">
        <v>0.24266575265023599</v>
      </c>
      <c r="J3798">
        <v>0.21488637354422099</v>
      </c>
      <c r="K3798">
        <v>0.21590159149134999</v>
      </c>
      <c r="L3798">
        <v>727.96540775234803</v>
      </c>
      <c r="M3798">
        <v>15.321600235229999</v>
      </c>
      <c r="N3798">
        <v>49.119928471775403</v>
      </c>
      <c r="O3798">
        <v>46.725062727919699</v>
      </c>
      <c r="P3798">
        <v>-6.5820021155446898E-2</v>
      </c>
      <c r="Q3798">
        <v>0.197170601104667</v>
      </c>
      <c r="R3798">
        <v>0.96270186696537396</v>
      </c>
      <c r="S3798" t="s">
        <v>10604</v>
      </c>
      <c r="T3798" t="s">
        <v>13610</v>
      </c>
      <c r="U3798" t="s">
        <v>13610</v>
      </c>
      <c r="V3798" t="s">
        <v>13610</v>
      </c>
      <c r="W3798" t="s">
        <v>17349</v>
      </c>
      <c r="X3798">
        <v>7</v>
      </c>
      <c r="Y3798" t="s">
        <v>23949</v>
      </c>
      <c r="Z3798" t="s">
        <v>30653</v>
      </c>
      <c r="AA3798">
        <v>0.41849043011494902</v>
      </c>
      <c r="AB3798" t="str">
        <f>HYPERLINK("Melting_Curves/meltCurve_Q5T5X7_BEND3.pdf", "Melting_Curves/meltCurve_Q5T5X7_BEND3.pdf")</f>
        <v>Melting_Curves/meltCurve_Q5T5X7_BEND3.pdf</v>
      </c>
    </row>
    <row r="3799" spans="1:28" x14ac:dyDescent="0.25">
      <c r="A3799" t="s">
        <v>3803</v>
      </c>
      <c r="B3799">
        <v>0.995954080203443</v>
      </c>
      <c r="C3799">
        <v>0.94372783653909298</v>
      </c>
      <c r="D3799">
        <v>1.00349532569733</v>
      </c>
      <c r="E3799">
        <v>0.861149856259111</v>
      </c>
      <c r="F3799">
        <v>0.85616390434887502</v>
      </c>
      <c r="G3799">
        <v>0.69500909982959302</v>
      </c>
      <c r="H3799">
        <v>0.66193262279354403</v>
      </c>
      <c r="I3799">
        <v>0.80985020776022199</v>
      </c>
      <c r="J3799">
        <v>0.891109663390243</v>
      </c>
      <c r="K3799">
        <v>0.92075700441001895</v>
      </c>
      <c r="L3799">
        <v>1890.08813384923</v>
      </c>
      <c r="M3799">
        <v>38.405673176550998</v>
      </c>
      <c r="O3799">
        <v>49.0809146344384</v>
      </c>
      <c r="P3799">
        <v>-3.8684304369999499E-2</v>
      </c>
      <c r="Q3799">
        <v>0.80225251163924205</v>
      </c>
      <c r="R3799">
        <v>0.50918305082262005</v>
      </c>
      <c r="S3799" t="s">
        <v>10605</v>
      </c>
      <c r="T3799" t="s">
        <v>13610</v>
      </c>
      <c r="U3799" t="s">
        <v>13610</v>
      </c>
      <c r="V3799" t="s">
        <v>13610</v>
      </c>
      <c r="W3799" t="s">
        <v>17350</v>
      </c>
      <c r="X3799">
        <v>42</v>
      </c>
      <c r="Y3799" t="s">
        <v>23950</v>
      </c>
      <c r="Z3799" t="s">
        <v>30654</v>
      </c>
      <c r="AA3799">
        <v>0.86371690389319467</v>
      </c>
      <c r="AB3799" t="str">
        <f>HYPERLINK("Melting_Curves/meltCurve_Q5T5Y3_CAMSAP1.pdf", "Melting_Curves/meltCurve_Q5T5Y3_CAMSAP1.pdf")</f>
        <v>Melting_Curves/meltCurve_Q5T5Y3_CAMSAP1.pdf</v>
      </c>
    </row>
    <row r="3800" spans="1:28" x14ac:dyDescent="0.25">
      <c r="A3800" t="s">
        <v>3804</v>
      </c>
      <c r="B3800">
        <v>0.995954080203443</v>
      </c>
      <c r="C3800">
        <v>0.96118898273551401</v>
      </c>
      <c r="D3800">
        <v>0.97015592041311804</v>
      </c>
      <c r="E3800">
        <v>0.89602030740737804</v>
      </c>
      <c r="F3800">
        <v>0.99730144674120103</v>
      </c>
      <c r="G3800">
        <v>0.67425892727943804</v>
      </c>
      <c r="H3800">
        <v>0.74265754579120602</v>
      </c>
      <c r="I3800">
        <v>0.88954602218477796</v>
      </c>
      <c r="J3800">
        <v>1.3644571838211701</v>
      </c>
      <c r="K3800">
        <v>0.91889230996438298</v>
      </c>
      <c r="L3800">
        <v>1078.18213511504</v>
      </c>
      <c r="M3800">
        <v>24.523486690293002</v>
      </c>
      <c r="O3800">
        <v>43.676068259249597</v>
      </c>
      <c r="P3800">
        <v>-1.01589878591454E-2</v>
      </c>
      <c r="Q3800">
        <v>0.92762885310370202</v>
      </c>
      <c r="R3800">
        <v>1.5860616131849501E-2</v>
      </c>
      <c r="S3800" t="s">
        <v>10606</v>
      </c>
      <c r="T3800" t="s">
        <v>13610</v>
      </c>
      <c r="U3800" t="s">
        <v>13610</v>
      </c>
      <c r="V3800" t="s">
        <v>13610</v>
      </c>
      <c r="W3800" t="s">
        <v>17351</v>
      </c>
      <c r="X3800">
        <v>1</v>
      </c>
      <c r="Y3800" t="s">
        <v>23951</v>
      </c>
      <c r="Z3800" t="s">
        <v>30655</v>
      </c>
      <c r="AA3800">
        <v>0.93806861685977583</v>
      </c>
      <c r="AB3800" t="str">
        <f>HYPERLINK("Melting_Curves/meltCurve_Q5T6A0_CEP57L1.pdf", "Melting_Curves/meltCurve_Q5T6A0_CEP57L1.pdf")</f>
        <v>Melting_Curves/meltCurve_Q5T6A0_CEP57L1.pdf</v>
      </c>
    </row>
    <row r="3801" spans="1:28" x14ac:dyDescent="0.25">
      <c r="A3801" t="s">
        <v>3805</v>
      </c>
      <c r="B3801">
        <v>0.995954080203443</v>
      </c>
      <c r="C3801">
        <v>0.87837961448158497</v>
      </c>
      <c r="D3801">
        <v>0.743348285781539</v>
      </c>
      <c r="E3801">
        <v>0.62458869549874796</v>
      </c>
      <c r="F3801">
        <v>0.41524829203415897</v>
      </c>
      <c r="G3801">
        <v>0.30866214455109298</v>
      </c>
      <c r="H3801">
        <v>0.26748978869907902</v>
      </c>
      <c r="I3801">
        <v>0.24383467145434701</v>
      </c>
      <c r="J3801">
        <v>0.228307774635676</v>
      </c>
      <c r="K3801">
        <v>0.30000728456384002</v>
      </c>
      <c r="L3801">
        <v>660.35092070188796</v>
      </c>
      <c r="M3801">
        <v>13.4703634740975</v>
      </c>
      <c r="N3801">
        <v>51.353894103559199</v>
      </c>
      <c r="O3801">
        <v>47.979941093356601</v>
      </c>
      <c r="P3801">
        <v>-5.4141091175374099E-2</v>
      </c>
      <c r="Q3801">
        <v>0.22874072378409099</v>
      </c>
      <c r="R3801">
        <v>0.98485057423901201</v>
      </c>
      <c r="S3801" t="s">
        <v>10607</v>
      </c>
      <c r="T3801" t="s">
        <v>13610</v>
      </c>
      <c r="U3801" t="s">
        <v>13610</v>
      </c>
      <c r="V3801" t="s">
        <v>13610</v>
      </c>
      <c r="W3801" t="s">
        <v>17352</v>
      </c>
      <c r="X3801">
        <v>2</v>
      </c>
      <c r="Y3801" t="s">
        <v>23952</v>
      </c>
      <c r="Z3801" t="s">
        <v>30656</v>
      </c>
      <c r="AA3801">
        <v>0.48386353120702941</v>
      </c>
      <c r="AB3801" t="str">
        <f>HYPERLINK("Melting_Curves/meltCurve_Q5T6C5_ATXN7L2.pdf", "Melting_Curves/meltCurve_Q5T6C5_ATXN7L2.pdf")</f>
        <v>Melting_Curves/meltCurve_Q5T6C5_ATXN7L2.pdf</v>
      </c>
    </row>
    <row r="3802" spans="1:28" x14ac:dyDescent="0.25">
      <c r="A3802" t="s">
        <v>3806</v>
      </c>
      <c r="B3802">
        <v>0.995954080203443</v>
      </c>
      <c r="C3802">
        <v>0.745381966996289</v>
      </c>
      <c r="D3802">
        <v>0.62135950711575405</v>
      </c>
      <c r="E3802">
        <v>0.48722034626830002</v>
      </c>
      <c r="F3802">
        <v>0.22213590197150501</v>
      </c>
      <c r="G3802">
        <v>0.10812638736253399</v>
      </c>
      <c r="H3802">
        <v>6.3978762430326505E-2</v>
      </c>
      <c r="I3802">
        <v>7.4752110590223506E-2</v>
      </c>
      <c r="J3802">
        <v>5.7269315744836603E-2</v>
      </c>
      <c r="K3802">
        <v>7.0062160665843906E-2</v>
      </c>
      <c r="L3802">
        <v>587.89510539147898</v>
      </c>
      <c r="M3802">
        <v>12.233755941877</v>
      </c>
      <c r="N3802">
        <v>48.225214513758402</v>
      </c>
      <c r="O3802">
        <v>46.825260487701698</v>
      </c>
      <c r="P3802">
        <v>-6.3951454668406502E-2</v>
      </c>
      <c r="Q3802">
        <v>2.1110812321609499E-2</v>
      </c>
      <c r="R3802">
        <v>0.977982497670002</v>
      </c>
      <c r="S3802" t="s">
        <v>10608</v>
      </c>
      <c r="T3802" t="s">
        <v>13610</v>
      </c>
      <c r="U3802" t="s">
        <v>13610</v>
      </c>
      <c r="V3802" t="s">
        <v>13610</v>
      </c>
      <c r="W3802" t="s">
        <v>17353</v>
      </c>
      <c r="X3802">
        <v>2</v>
      </c>
      <c r="Y3802" t="s">
        <v>23953</v>
      </c>
      <c r="Z3802" t="s">
        <v>30657</v>
      </c>
      <c r="AA3802">
        <v>0.32083241121742029</v>
      </c>
      <c r="AB3802" t="str">
        <f>HYPERLINK("Melting_Curves/meltCurve_Q5T6F0_DCAF12.pdf", "Melting_Curves/meltCurve_Q5T6F0_DCAF12.pdf")</f>
        <v>Melting_Curves/meltCurve_Q5T6F0_DCAF12.pdf</v>
      </c>
    </row>
    <row r="3803" spans="1:28" x14ac:dyDescent="0.25">
      <c r="A3803" t="s">
        <v>3807</v>
      </c>
      <c r="B3803">
        <v>0.995954080203443</v>
      </c>
      <c r="C3803">
        <v>1.0212753238882999</v>
      </c>
      <c r="D3803">
        <v>1.03798455465443</v>
      </c>
      <c r="E3803">
        <v>0.969531152604729</v>
      </c>
      <c r="F3803">
        <v>1.01229084333469</v>
      </c>
      <c r="G3803">
        <v>0.81260086154294398</v>
      </c>
      <c r="H3803">
        <v>0.80826484899571405</v>
      </c>
      <c r="I3803">
        <v>1.02613177552985</v>
      </c>
      <c r="J3803">
        <v>0.9847213509628</v>
      </c>
      <c r="K3803">
        <v>1.1285926926873699</v>
      </c>
      <c r="L3803">
        <v>15000</v>
      </c>
      <c r="M3803">
        <v>213.22504520263101</v>
      </c>
      <c r="Q3803">
        <v>1.5</v>
      </c>
      <c r="R3803">
        <v>0.140889240397233</v>
      </c>
      <c r="S3803" t="s">
        <v>10609</v>
      </c>
      <c r="T3803" t="s">
        <v>13610</v>
      </c>
      <c r="U3803" t="s">
        <v>13610</v>
      </c>
      <c r="V3803" t="s">
        <v>13610</v>
      </c>
      <c r="W3803" t="s">
        <v>17354</v>
      </c>
      <c r="X3803">
        <v>14</v>
      </c>
      <c r="Y3803" t="s">
        <v>23954</v>
      </c>
      <c r="Z3803" t="s">
        <v>30658</v>
      </c>
      <c r="AA3803">
        <v>1.0016026182925539</v>
      </c>
      <c r="AB3803" t="str">
        <f>HYPERLINK("Melting_Curves/meltCurve_Q5T6F2_UBAP2.pdf", "Melting_Curves/meltCurve_Q5T6F2_UBAP2.pdf")</f>
        <v>Melting_Curves/meltCurve_Q5T6F2_UBAP2.pdf</v>
      </c>
    </row>
    <row r="3804" spans="1:28" x14ac:dyDescent="0.25">
      <c r="A3804" t="s">
        <v>3808</v>
      </c>
      <c r="B3804">
        <v>0.995954080203443</v>
      </c>
      <c r="C3804">
        <v>1.03683660654899</v>
      </c>
      <c r="D3804">
        <v>1.0708947971793299</v>
      </c>
      <c r="E3804">
        <v>0.83423602918004602</v>
      </c>
      <c r="F3804">
        <v>0.244884317443433</v>
      </c>
      <c r="G3804">
        <v>0.119931412403726</v>
      </c>
      <c r="H3804">
        <v>7.35482317187999E-2</v>
      </c>
      <c r="I3804">
        <v>6.9836586204688106E-2</v>
      </c>
      <c r="J3804">
        <v>8.2010461669332693E-2</v>
      </c>
      <c r="K3804">
        <v>7.1992191103681893E-2</v>
      </c>
      <c r="L3804">
        <v>2689.3739098114902</v>
      </c>
      <c r="M3804">
        <v>52.267285409399697</v>
      </c>
      <c r="N3804">
        <v>51.6312473513279</v>
      </c>
      <c r="O3804">
        <v>51.379074512983102</v>
      </c>
      <c r="P3804">
        <v>-0.23346302136256</v>
      </c>
      <c r="Q3804">
        <v>8.2017775863978806E-2</v>
      </c>
      <c r="R3804">
        <v>0.99574686693655401</v>
      </c>
      <c r="S3804" t="s">
        <v>10610</v>
      </c>
      <c r="T3804" t="s">
        <v>13610</v>
      </c>
      <c r="U3804" t="s">
        <v>13610</v>
      </c>
      <c r="V3804" t="s">
        <v>13610</v>
      </c>
      <c r="W3804" t="s">
        <v>17355</v>
      </c>
      <c r="X3804">
        <v>21</v>
      </c>
      <c r="Y3804" t="s">
        <v>23955</v>
      </c>
      <c r="Z3804" t="s">
        <v>30659</v>
      </c>
      <c r="AA3804">
        <v>0.43441671745603261</v>
      </c>
      <c r="AB3804" t="str">
        <f>HYPERLINK("Melting_Curves/meltCurve_Q5T6V5_C9orf64.pdf", "Melting_Curves/meltCurve_Q5T6V5_C9orf64.pdf")</f>
        <v>Melting_Curves/meltCurve_Q5T6V5_C9orf64.pdf</v>
      </c>
    </row>
    <row r="3805" spans="1:28" x14ac:dyDescent="0.25">
      <c r="A3805" t="s">
        <v>3809</v>
      </c>
      <c r="B3805">
        <v>0.995954080203443</v>
      </c>
      <c r="C3805">
        <v>0.97504584575833597</v>
      </c>
      <c r="D3805">
        <v>0.87811311837107997</v>
      </c>
      <c r="E3805">
        <v>0.76467476434461701</v>
      </c>
      <c r="F3805">
        <v>1.0581503928568099</v>
      </c>
      <c r="G3805">
        <v>0.513348488646859</v>
      </c>
      <c r="H3805">
        <v>0.58634666750247699</v>
      </c>
      <c r="I3805">
        <v>1.11862252188186</v>
      </c>
      <c r="J3805">
        <v>1.4750901232451601</v>
      </c>
      <c r="K3805">
        <v>1.3341023480482801</v>
      </c>
      <c r="L3805">
        <v>15000</v>
      </c>
      <c r="M3805">
        <v>233.49519125273099</v>
      </c>
      <c r="O3805">
        <v>64.2364311729348</v>
      </c>
      <c r="P3805">
        <v>0.367677540606279</v>
      </c>
      <c r="Q3805">
        <v>1.4046044076964199</v>
      </c>
      <c r="R3805">
        <v>0.40315616985164399</v>
      </c>
      <c r="S3805" t="s">
        <v>10611</v>
      </c>
      <c r="T3805" t="s">
        <v>13610</v>
      </c>
      <c r="U3805" t="s">
        <v>13610</v>
      </c>
      <c r="V3805" t="s">
        <v>13610</v>
      </c>
      <c r="W3805" t="s">
        <v>17356</v>
      </c>
      <c r="X3805">
        <v>4</v>
      </c>
      <c r="Y3805" t="s">
        <v>23956</v>
      </c>
      <c r="Z3805" t="s">
        <v>30660</v>
      </c>
      <c r="AA3805">
        <v>1.077616219252671</v>
      </c>
      <c r="AB3805" t="str">
        <f>HYPERLINK("Melting_Curves/meltCurve_Q5T749_KPRP.pdf", "Melting_Curves/meltCurve_Q5T749_KPRP.pdf")</f>
        <v>Melting_Curves/meltCurve_Q5T749_KPRP.pdf</v>
      </c>
    </row>
    <row r="3806" spans="1:28" x14ac:dyDescent="0.25">
      <c r="A3806" t="s">
        <v>3810</v>
      </c>
      <c r="B3806">
        <v>0.995954080203443</v>
      </c>
      <c r="C3806">
        <v>1.0203608299098501</v>
      </c>
      <c r="D3806">
        <v>0.96166392574666204</v>
      </c>
      <c r="E3806">
        <v>0.67526596327722799</v>
      </c>
      <c r="F3806">
        <v>0.189307648001518</v>
      </c>
      <c r="G3806">
        <v>9.7091514118650496E-2</v>
      </c>
      <c r="H3806">
        <v>6.4445149720177397E-2</v>
      </c>
      <c r="I3806">
        <v>6.1693227166417203E-2</v>
      </c>
      <c r="J3806">
        <v>6.6533051918484201E-2</v>
      </c>
      <c r="K3806">
        <v>6.2628754132887904E-2</v>
      </c>
      <c r="L3806">
        <v>2148.56274549911</v>
      </c>
      <c r="M3806">
        <v>42.365643358530697</v>
      </c>
      <c r="N3806">
        <v>50.888930261466598</v>
      </c>
      <c r="O3806">
        <v>50.602135713008103</v>
      </c>
      <c r="P3806">
        <v>-0.19518077918389801</v>
      </c>
      <c r="Q3806">
        <v>6.7494523286606295E-2</v>
      </c>
      <c r="R3806">
        <v>0.99899040999811695</v>
      </c>
      <c r="S3806" t="s">
        <v>10612</v>
      </c>
      <c r="T3806" t="s">
        <v>13610</v>
      </c>
      <c r="U3806" t="s">
        <v>13610</v>
      </c>
      <c r="V3806" t="s">
        <v>13610</v>
      </c>
      <c r="W3806" t="s">
        <v>17357</v>
      </c>
      <c r="X3806">
        <v>7</v>
      </c>
      <c r="Y3806" t="s">
        <v>23957</v>
      </c>
      <c r="Z3806" t="s">
        <v>30661</v>
      </c>
      <c r="AA3806">
        <v>0.40345813903317052</v>
      </c>
      <c r="AB3806" t="str">
        <f>HYPERLINK("Melting_Curves/meltCurve_Q5T7A2_ADCK3.pdf", "Melting_Curves/meltCurve_Q5T7A2_ADCK3.pdf")</f>
        <v>Melting_Curves/meltCurve_Q5T7A2_ADCK3.pdf</v>
      </c>
    </row>
    <row r="3807" spans="1:28" x14ac:dyDescent="0.25">
      <c r="A3807" t="s">
        <v>3811</v>
      </c>
      <c r="B3807">
        <v>0.995954080203443</v>
      </c>
      <c r="C3807">
        <v>1.0520658034324899</v>
      </c>
      <c r="D3807">
        <v>0.95279902720321397</v>
      </c>
      <c r="E3807">
        <v>0.73929381823676099</v>
      </c>
      <c r="F3807">
        <v>0.62758136255286601</v>
      </c>
      <c r="G3807">
        <v>0.43150755393627799</v>
      </c>
      <c r="H3807">
        <v>0.32827249718018597</v>
      </c>
      <c r="I3807">
        <v>0.350706317061799</v>
      </c>
      <c r="J3807">
        <v>0.41679771536645499</v>
      </c>
      <c r="K3807">
        <v>0.42678677180313301</v>
      </c>
      <c r="L3807">
        <v>1119.92998341626</v>
      </c>
      <c r="M3807">
        <v>21.832196265666902</v>
      </c>
      <c r="N3807">
        <v>54.794678036920203</v>
      </c>
      <c r="O3807">
        <v>50.872616688007703</v>
      </c>
      <c r="P3807">
        <v>-6.6960159581087905E-2</v>
      </c>
      <c r="Q3807">
        <v>0.37590154036645701</v>
      </c>
      <c r="R3807">
        <v>0.97751705266306199</v>
      </c>
      <c r="S3807" t="s">
        <v>10613</v>
      </c>
      <c r="T3807" t="s">
        <v>13610</v>
      </c>
      <c r="U3807" t="s">
        <v>13610</v>
      </c>
      <c r="V3807" t="s">
        <v>13610</v>
      </c>
      <c r="W3807" t="s">
        <v>17358</v>
      </c>
      <c r="X3807">
        <v>5</v>
      </c>
      <c r="Y3807" t="s">
        <v>23958</v>
      </c>
      <c r="Z3807" t="s">
        <v>30662</v>
      </c>
      <c r="AA3807">
        <v>0.61826525248174002</v>
      </c>
      <c r="AB3807" t="str">
        <f>HYPERLINK("Melting_Curves/meltCurve_Q5T7V8_GORAB.pdf", "Melting_Curves/meltCurve_Q5T7V8_GORAB.pdf")</f>
        <v>Melting_Curves/meltCurve_Q5T7V8_GORAB.pdf</v>
      </c>
    </row>
    <row r="3808" spans="1:28" x14ac:dyDescent="0.25">
      <c r="A3808" t="s">
        <v>3812</v>
      </c>
      <c r="B3808">
        <v>0.995954080203443</v>
      </c>
      <c r="C3808">
        <v>0.90914978528624302</v>
      </c>
      <c r="D3808">
        <v>1.0592371246105501</v>
      </c>
      <c r="E3808">
        <v>0.78273825312776801</v>
      </c>
      <c r="F3808">
        <v>1.06028879981239</v>
      </c>
      <c r="G3808">
        <v>0.89121624639028496</v>
      </c>
      <c r="H3808">
        <v>0.81568387144950805</v>
      </c>
      <c r="I3808">
        <v>0.95526652754621599</v>
      </c>
      <c r="J3808">
        <v>1.30811445517183</v>
      </c>
      <c r="K3808">
        <v>1.26531862107423</v>
      </c>
      <c r="L3808">
        <v>12451.6860728516</v>
      </c>
      <c r="M3808">
        <v>189.85818226526499</v>
      </c>
      <c r="O3808">
        <v>65.576865314666605</v>
      </c>
      <c r="P3808">
        <v>0.20904532604479101</v>
      </c>
      <c r="Q3808">
        <v>1.2888163599807201</v>
      </c>
      <c r="R3808">
        <v>0.59424574397114605</v>
      </c>
      <c r="S3808" t="s">
        <v>10614</v>
      </c>
      <c r="T3808" t="s">
        <v>13610</v>
      </c>
      <c r="U3808" t="s">
        <v>13610</v>
      </c>
      <c r="V3808" t="s">
        <v>13610</v>
      </c>
      <c r="W3808" t="s">
        <v>17359</v>
      </c>
      <c r="X3808">
        <v>3</v>
      </c>
      <c r="Y3808" t="s">
        <v>23959</v>
      </c>
      <c r="Z3808" t="s">
        <v>30663</v>
      </c>
      <c r="AA3808">
        <v>1.0424547725811319</v>
      </c>
      <c r="AB3808" t="str">
        <f>HYPERLINK("Melting_Curves/meltCurve_Q5T8A7_PPP1R26.pdf", "Melting_Curves/meltCurve_Q5T8A7_PPP1R26.pdf")</f>
        <v>Melting_Curves/meltCurve_Q5T8A7_PPP1R26.pdf</v>
      </c>
    </row>
    <row r="3809" spans="1:28" x14ac:dyDescent="0.25">
      <c r="A3809" t="s">
        <v>3813</v>
      </c>
      <c r="B3809">
        <v>0.995954080203443</v>
      </c>
      <c r="C3809">
        <v>0.9798288165572</v>
      </c>
      <c r="D3809">
        <v>0.89271813492772301</v>
      </c>
      <c r="E3809">
        <v>0.76548205222912202</v>
      </c>
      <c r="F3809">
        <v>0.66508156829597598</v>
      </c>
      <c r="G3809">
        <v>0.49179856650569798</v>
      </c>
      <c r="H3809">
        <v>0.466720415689517</v>
      </c>
      <c r="I3809">
        <v>0.52591011938468502</v>
      </c>
      <c r="J3809">
        <v>0.67677924338434803</v>
      </c>
      <c r="K3809">
        <v>0.61276079731825395</v>
      </c>
      <c r="L3809">
        <v>1084.25968669908</v>
      </c>
      <c r="M3809">
        <v>21.991599866625599</v>
      </c>
      <c r="O3809">
        <v>48.901103243160698</v>
      </c>
      <c r="P3809">
        <v>-4.9957674221057902E-2</v>
      </c>
      <c r="Q3809">
        <v>0.55566102512145399</v>
      </c>
      <c r="R3809">
        <v>0.89131845296418799</v>
      </c>
      <c r="S3809" t="s">
        <v>10615</v>
      </c>
      <c r="T3809" t="s">
        <v>13610</v>
      </c>
      <c r="U3809" t="s">
        <v>13610</v>
      </c>
      <c r="V3809" t="s">
        <v>13610</v>
      </c>
      <c r="W3809" t="s">
        <v>17360</v>
      </c>
      <c r="X3809">
        <v>7</v>
      </c>
      <c r="Y3809" t="s">
        <v>23960</v>
      </c>
      <c r="Z3809" t="s">
        <v>30664</v>
      </c>
      <c r="AA3809">
        <v>0.69858105164789708</v>
      </c>
      <c r="AB3809" t="str">
        <f>HYPERLINK("Melting_Curves/meltCurve_Q5T8I3_FAM102B.pdf", "Melting_Curves/meltCurve_Q5T8I3_FAM102B.pdf")</f>
        <v>Melting_Curves/meltCurve_Q5T8I3_FAM102B.pdf</v>
      </c>
    </row>
    <row r="3810" spans="1:28" x14ac:dyDescent="0.25">
      <c r="A3810" t="s">
        <v>3814</v>
      </c>
      <c r="B3810">
        <v>0.995954080203443</v>
      </c>
      <c r="C3810">
        <v>0.98131326031456201</v>
      </c>
      <c r="D3810">
        <v>1.0279856603439299</v>
      </c>
      <c r="E3810">
        <v>0.865467313640221</v>
      </c>
      <c r="F3810">
        <v>0.83472535642411305</v>
      </c>
      <c r="G3810">
        <v>0.55557600846265498</v>
      </c>
      <c r="H3810">
        <v>0.47685147127258498</v>
      </c>
      <c r="I3810">
        <v>0.51624551953533004</v>
      </c>
      <c r="J3810">
        <v>0.57501640592847703</v>
      </c>
      <c r="K3810">
        <v>0.54420769505529998</v>
      </c>
      <c r="L3810">
        <v>1511.6712846912101</v>
      </c>
      <c r="M3810">
        <v>28.339573738483502</v>
      </c>
      <c r="O3810">
        <v>53.0778731697891</v>
      </c>
      <c r="P3810">
        <v>-6.4013033668350094E-2</v>
      </c>
      <c r="Q3810">
        <v>0.52043768082089903</v>
      </c>
      <c r="R3810">
        <v>0.96212722935690098</v>
      </c>
      <c r="S3810" t="s">
        <v>10616</v>
      </c>
      <c r="T3810" t="s">
        <v>13610</v>
      </c>
      <c r="U3810" t="s">
        <v>13610</v>
      </c>
      <c r="V3810" t="s">
        <v>13610</v>
      </c>
      <c r="W3810" t="s">
        <v>17361</v>
      </c>
      <c r="X3810">
        <v>38</v>
      </c>
      <c r="Y3810" t="s">
        <v>23961</v>
      </c>
      <c r="Z3810" t="s">
        <v>30665</v>
      </c>
      <c r="AA3810">
        <v>0.7371938473848727</v>
      </c>
      <c r="AB3810" t="str">
        <f>HYPERLINK("Melting_Curves/meltCurve_Q5T8P6_3_RBM26.pdf", "Melting_Curves/meltCurve_Q5T8P6_3_RBM26.pdf")</f>
        <v>Melting_Curves/meltCurve_Q5T8P6_3_RBM26.pdf</v>
      </c>
    </row>
    <row r="3811" spans="1:28" x14ac:dyDescent="0.25">
      <c r="A3811" t="s">
        <v>3815</v>
      </c>
      <c r="B3811">
        <v>0.995954080203443</v>
      </c>
      <c r="C3811">
        <v>0.82885198896824097</v>
      </c>
      <c r="D3811">
        <v>0.84968394018847104</v>
      </c>
      <c r="E3811">
        <v>0.62446720184715998</v>
      </c>
      <c r="F3811">
        <v>0.56106472923290895</v>
      </c>
      <c r="G3811">
        <v>0.383713230715169</v>
      </c>
      <c r="H3811">
        <v>0.23909042767929001</v>
      </c>
      <c r="I3811">
        <v>0.180723906422949</v>
      </c>
      <c r="J3811">
        <v>0.153523912122074</v>
      </c>
      <c r="K3811">
        <v>0.16259559805252</v>
      </c>
      <c r="L3811">
        <v>485.09083347237203</v>
      </c>
      <c r="M3811">
        <v>9.1209227683563707</v>
      </c>
      <c r="N3811">
        <v>53.594477199142503</v>
      </c>
      <c r="O3811">
        <v>50.8148934356133</v>
      </c>
      <c r="P3811">
        <v>-4.3390784529169002E-2</v>
      </c>
      <c r="Q3811">
        <v>3.3704430978811803E-2</v>
      </c>
      <c r="R3811">
        <v>0.98580107225909597</v>
      </c>
      <c r="S3811" t="s">
        <v>10617</v>
      </c>
      <c r="T3811" t="s">
        <v>13610</v>
      </c>
      <c r="U3811" t="s">
        <v>13610</v>
      </c>
      <c r="V3811" t="s">
        <v>13610</v>
      </c>
      <c r="X3811">
        <v>6</v>
      </c>
      <c r="Z3811" t="s">
        <v>30666</v>
      </c>
      <c r="AA3811">
        <v>0.49324417819401428</v>
      </c>
      <c r="AB3811" t="str">
        <f>HYPERLINK("Melting_Curves/meltCurve_Q5T985_.pdf", "Melting_Curves/meltCurve_Q5T985_.pdf")</f>
        <v>Melting_Curves/meltCurve_Q5T985_.pdf</v>
      </c>
    </row>
    <row r="3812" spans="1:28" x14ac:dyDescent="0.25">
      <c r="A3812" t="s">
        <v>3816</v>
      </c>
      <c r="B3812">
        <v>0.995954080203443</v>
      </c>
      <c r="C3812">
        <v>1.00883963145148</v>
      </c>
      <c r="D3812">
        <v>0.84435480119651296</v>
      </c>
      <c r="E3812">
        <v>0.72173894756909396</v>
      </c>
      <c r="F3812">
        <v>0.50489284314289096</v>
      </c>
      <c r="G3812">
        <v>0.34506202184421297</v>
      </c>
      <c r="H3812">
        <v>0.24376550521721199</v>
      </c>
      <c r="I3812">
        <v>0.237573769695822</v>
      </c>
      <c r="J3812">
        <v>0.30012416200238401</v>
      </c>
      <c r="K3812">
        <v>0.28808308514113801</v>
      </c>
      <c r="L3812">
        <v>908.489939178442</v>
      </c>
      <c r="M3812">
        <v>17.822311857590101</v>
      </c>
      <c r="N3812">
        <v>53.0457774879645</v>
      </c>
      <c r="O3812">
        <v>50.346095345622103</v>
      </c>
      <c r="P3812">
        <v>-6.6319367570261606E-2</v>
      </c>
      <c r="Q3812">
        <v>0.25065848502388099</v>
      </c>
      <c r="R3812">
        <v>0.98714760619095898</v>
      </c>
      <c r="S3812" t="s">
        <v>10618</v>
      </c>
      <c r="T3812" t="s">
        <v>13610</v>
      </c>
      <c r="U3812" t="s">
        <v>13610</v>
      </c>
      <c r="V3812" t="s">
        <v>13610</v>
      </c>
      <c r="W3812" t="s">
        <v>17362</v>
      </c>
      <c r="X3812">
        <v>9</v>
      </c>
      <c r="Y3812" t="s">
        <v>23962</v>
      </c>
      <c r="Z3812" t="s">
        <v>30667</v>
      </c>
      <c r="AA3812">
        <v>0.53764671377543893</v>
      </c>
      <c r="AB3812" t="str">
        <f>HYPERLINK("Melting_Curves/meltCurve_Q5T9S5_2_CCDC18.pdf", "Melting_Curves/meltCurve_Q5T9S5_2_CCDC18.pdf")</f>
        <v>Melting_Curves/meltCurve_Q5T9S5_2_CCDC18.pdf</v>
      </c>
    </row>
    <row r="3813" spans="1:28" x14ac:dyDescent="0.25">
      <c r="A3813" t="s">
        <v>3817</v>
      </c>
      <c r="B3813">
        <v>0.995954080203443</v>
      </c>
      <c r="C3813">
        <v>0.80464853198534103</v>
      </c>
      <c r="D3813">
        <v>0.53198913919442303</v>
      </c>
      <c r="E3813">
        <v>0.46964444656620702</v>
      </c>
      <c r="F3813">
        <v>0.49181235802139101</v>
      </c>
      <c r="G3813">
        <v>0.32431080088584402</v>
      </c>
      <c r="H3813">
        <v>0.167001186793343</v>
      </c>
      <c r="I3813">
        <v>8.7475368575464701E-2</v>
      </c>
      <c r="J3813">
        <v>0</v>
      </c>
      <c r="K3813">
        <v>0</v>
      </c>
      <c r="L3813">
        <v>443.25425376058701</v>
      </c>
      <c r="M3813">
        <v>8.9034804728453096</v>
      </c>
      <c r="N3813">
        <v>49.784376697595597</v>
      </c>
      <c r="O3813">
        <v>47.465009303995899</v>
      </c>
      <c r="P3813">
        <v>-4.6930442862135102E-2</v>
      </c>
      <c r="Q3813">
        <v>0</v>
      </c>
      <c r="R3813">
        <v>0.93479505886793102</v>
      </c>
      <c r="S3813" t="s">
        <v>10619</v>
      </c>
      <c r="T3813" t="s">
        <v>13610</v>
      </c>
      <c r="U3813" t="s">
        <v>13610</v>
      </c>
      <c r="V3813" t="s">
        <v>13610</v>
      </c>
      <c r="W3813" t="s">
        <v>17363</v>
      </c>
      <c r="X3813">
        <v>2</v>
      </c>
      <c r="Y3813" t="s">
        <v>23963</v>
      </c>
      <c r="Z3813" t="s">
        <v>30668</v>
      </c>
      <c r="AA3813">
        <v>0.3797917670563189</v>
      </c>
      <c r="AB3813" t="str">
        <f>HYPERLINK("Melting_Curves/meltCurve_Q5TA12_DOPEY1.pdf", "Melting_Curves/meltCurve_Q5TA12_DOPEY1.pdf")</f>
        <v>Melting_Curves/meltCurve_Q5TA12_DOPEY1.pdf</v>
      </c>
    </row>
    <row r="3814" spans="1:28" x14ac:dyDescent="0.25">
      <c r="A3814" t="s">
        <v>3818</v>
      </c>
      <c r="B3814">
        <v>0.995954080203443</v>
      </c>
      <c r="C3814">
        <v>0.95211899749468498</v>
      </c>
      <c r="D3814">
        <v>0.91185586777862904</v>
      </c>
      <c r="E3814">
        <v>0.75464950080219695</v>
      </c>
      <c r="F3814">
        <v>0.610785843485251</v>
      </c>
      <c r="G3814">
        <v>0.36689108993415798</v>
      </c>
      <c r="H3814">
        <v>0.26111836802723298</v>
      </c>
      <c r="I3814">
        <v>0.281555724578265</v>
      </c>
      <c r="J3814">
        <v>0.32292434269444797</v>
      </c>
      <c r="K3814">
        <v>0.33113436011982</v>
      </c>
      <c r="L3814">
        <v>976.29253384835101</v>
      </c>
      <c r="M3814">
        <v>18.830794599180301</v>
      </c>
      <c r="N3814">
        <v>54.223747045516902</v>
      </c>
      <c r="O3814">
        <v>51.271456999259499</v>
      </c>
      <c r="P3814">
        <v>-6.6013103441531801E-2</v>
      </c>
      <c r="Q3814">
        <v>0.281082226435174</v>
      </c>
      <c r="R3814">
        <v>0.98600736491261498</v>
      </c>
      <c r="S3814" t="s">
        <v>10620</v>
      </c>
      <c r="T3814" t="s">
        <v>13610</v>
      </c>
      <c r="U3814" t="s">
        <v>13610</v>
      </c>
      <c r="V3814" t="s">
        <v>13610</v>
      </c>
      <c r="W3814" t="s">
        <v>17364</v>
      </c>
      <c r="X3814">
        <v>5</v>
      </c>
      <c r="Y3814" t="s">
        <v>23964</v>
      </c>
      <c r="Z3814" t="s">
        <v>30669</v>
      </c>
      <c r="AA3814">
        <v>0.57603075385036229</v>
      </c>
      <c r="AB3814" t="str">
        <f>HYPERLINK("Melting_Curves/meltCurve_Q5TA31_RNF187.pdf", "Melting_Curves/meltCurve_Q5TA31_RNF187.pdf")</f>
        <v>Melting_Curves/meltCurve_Q5TA31_RNF187.pdf</v>
      </c>
    </row>
    <row r="3815" spans="1:28" x14ac:dyDescent="0.25">
      <c r="A3815" t="s">
        <v>3819</v>
      </c>
      <c r="B3815">
        <v>0.995954080203443</v>
      </c>
      <c r="C3815">
        <v>0.77100847619614898</v>
      </c>
      <c r="D3815">
        <v>0.65414649148775394</v>
      </c>
      <c r="E3815">
        <v>0.74720162643954102</v>
      </c>
      <c r="F3815">
        <v>0.56463499232290004</v>
      </c>
      <c r="G3815">
        <v>0.300945911912051</v>
      </c>
      <c r="H3815">
        <v>0.18251459738379799</v>
      </c>
      <c r="I3815">
        <v>0.19506630951822099</v>
      </c>
      <c r="J3815">
        <v>0.21760012168200699</v>
      </c>
      <c r="K3815">
        <v>0.217175920460938</v>
      </c>
      <c r="L3815">
        <v>421.381317937907</v>
      </c>
      <c r="M3815">
        <v>8.0915650457655506</v>
      </c>
      <c r="N3815">
        <v>52.815790454066502</v>
      </c>
      <c r="O3815">
        <v>49.185243684731603</v>
      </c>
      <c r="P3815">
        <v>-3.8968446881438003E-2</v>
      </c>
      <c r="Q3815">
        <v>5.3534220883112799E-2</v>
      </c>
      <c r="R3815">
        <v>0.91642456849662102</v>
      </c>
      <c r="S3815" t="s">
        <v>10621</v>
      </c>
      <c r="T3815" t="s">
        <v>13610</v>
      </c>
      <c r="U3815" t="s">
        <v>13610</v>
      </c>
      <c r="V3815" t="s">
        <v>13610</v>
      </c>
      <c r="W3815" t="s">
        <v>17365</v>
      </c>
      <c r="X3815">
        <v>9</v>
      </c>
      <c r="Y3815" t="s">
        <v>23965</v>
      </c>
      <c r="Z3815" t="s">
        <v>30670</v>
      </c>
      <c r="AA3815">
        <v>0.47824578007132962</v>
      </c>
      <c r="AB3815" t="str">
        <f>HYPERLINK("Melting_Curves/meltCurve_Q5TA45_3_CPSF3L.pdf", "Melting_Curves/meltCurve_Q5TA45_3_CPSF3L.pdf")</f>
        <v>Melting_Curves/meltCurve_Q5TA45_3_CPSF3L.pdf</v>
      </c>
    </row>
    <row r="3816" spans="1:28" x14ac:dyDescent="0.25">
      <c r="A3816" t="s">
        <v>3820</v>
      </c>
      <c r="B3816">
        <v>0.995954080203443</v>
      </c>
      <c r="C3816">
        <v>0.97840810092903197</v>
      </c>
      <c r="D3816">
        <v>0.78434404822002302</v>
      </c>
      <c r="E3816">
        <v>0.4103653045565</v>
      </c>
      <c r="F3816">
        <v>0.15817020186205599</v>
      </c>
      <c r="G3816">
        <v>9.0094184237645994E-2</v>
      </c>
      <c r="H3816">
        <v>4.7212218929933998E-2</v>
      </c>
      <c r="I3816">
        <v>3.5206499851446603E-2</v>
      </c>
      <c r="J3816">
        <v>3.6024807288645398E-2</v>
      </c>
      <c r="K3816">
        <v>2.9780455577184301E-2</v>
      </c>
      <c r="L3816">
        <v>1073.6506879922099</v>
      </c>
      <c r="M3816">
        <v>21.9895382641586</v>
      </c>
      <c r="N3816">
        <v>48.979727703423102</v>
      </c>
      <c r="O3816">
        <v>48.427116528500697</v>
      </c>
      <c r="P3816">
        <v>-0.10972464969673899</v>
      </c>
      <c r="Q3816">
        <v>3.34443554979467E-2</v>
      </c>
      <c r="R3816">
        <v>0.99879405771488505</v>
      </c>
      <c r="S3816" t="s">
        <v>10622</v>
      </c>
      <c r="T3816" t="s">
        <v>13610</v>
      </c>
      <c r="U3816" t="s">
        <v>13610</v>
      </c>
      <c r="V3816" t="s">
        <v>13610</v>
      </c>
      <c r="W3816" t="s">
        <v>17366</v>
      </c>
      <c r="X3816">
        <v>2</v>
      </c>
      <c r="Y3816" t="s">
        <v>23966</v>
      </c>
      <c r="Z3816" t="s">
        <v>30671</v>
      </c>
      <c r="AA3816">
        <v>0.32894813048939542</v>
      </c>
      <c r="AB3816" t="str">
        <f>HYPERLINK("Melting_Curves/meltCurve_Q5TA50_GLTPD1.pdf", "Melting_Curves/meltCurve_Q5TA50_GLTPD1.pdf")</f>
        <v>Melting_Curves/meltCurve_Q5TA50_GLTPD1.pdf</v>
      </c>
    </row>
    <row r="3817" spans="1:28" x14ac:dyDescent="0.25">
      <c r="A3817" t="s">
        <v>3821</v>
      </c>
      <c r="B3817">
        <v>0.995954080203443</v>
      </c>
      <c r="C3817">
        <v>0.88541948905035295</v>
      </c>
      <c r="D3817">
        <v>0.73077250797346605</v>
      </c>
      <c r="E3817">
        <v>0.86654606102213505</v>
      </c>
      <c r="F3817">
        <v>0.62915896904840296</v>
      </c>
      <c r="G3817">
        <v>0.467160104289851</v>
      </c>
      <c r="H3817">
        <v>0.30100935827473801</v>
      </c>
      <c r="I3817">
        <v>0.30068129382872799</v>
      </c>
      <c r="J3817">
        <v>0.253267911070851</v>
      </c>
      <c r="K3817">
        <v>0.284724471737826</v>
      </c>
      <c r="L3817">
        <v>479.87364701249601</v>
      </c>
      <c r="M3817">
        <v>8.8005068711663998</v>
      </c>
      <c r="N3817">
        <v>56.316300490250399</v>
      </c>
      <c r="O3817">
        <v>51.932419186271403</v>
      </c>
      <c r="P3817">
        <v>-3.7230046003103E-2</v>
      </c>
      <c r="Q3817">
        <v>0.12190536635096</v>
      </c>
      <c r="R3817">
        <v>0.93775181376355699</v>
      </c>
      <c r="S3817" t="s">
        <v>10623</v>
      </c>
      <c r="T3817" t="s">
        <v>13610</v>
      </c>
      <c r="U3817" t="s">
        <v>13610</v>
      </c>
      <c r="V3817" t="s">
        <v>13610</v>
      </c>
      <c r="W3817" t="s">
        <v>17367</v>
      </c>
      <c r="X3817">
        <v>21</v>
      </c>
      <c r="Y3817" t="s">
        <v>23967</v>
      </c>
      <c r="Z3817" t="s">
        <v>30672</v>
      </c>
      <c r="AA3817">
        <v>0.57314169690312333</v>
      </c>
      <c r="AB3817" t="str">
        <f>HYPERLINK("Melting_Curves/meltCurve_Q5TA58_AGO1.pdf", "Melting_Curves/meltCurve_Q5TA58_AGO1.pdf")</f>
        <v>Melting_Curves/meltCurve_Q5TA58_AGO1.pdf</v>
      </c>
    </row>
    <row r="3818" spans="1:28" x14ac:dyDescent="0.25">
      <c r="A3818" t="s">
        <v>3822</v>
      </c>
      <c r="B3818">
        <v>0.995954080203443</v>
      </c>
      <c r="C3818">
        <v>0.89840210624408801</v>
      </c>
      <c r="D3818">
        <v>0.86733977859157196</v>
      </c>
      <c r="E3818">
        <v>0.67409208042475299</v>
      </c>
      <c r="F3818">
        <v>0.46447025722371399</v>
      </c>
      <c r="G3818">
        <v>0.33315934794517399</v>
      </c>
      <c r="H3818">
        <v>0.29920022987676897</v>
      </c>
      <c r="I3818">
        <v>0.33550323758032602</v>
      </c>
      <c r="J3818">
        <v>0.40145320033387</v>
      </c>
      <c r="K3818">
        <v>0.39156605794671501</v>
      </c>
      <c r="L3818">
        <v>978.99409895821896</v>
      </c>
      <c r="M3818">
        <v>19.818937493357701</v>
      </c>
      <c r="N3818">
        <v>52.4219584829276</v>
      </c>
      <c r="O3818">
        <v>48.902245096401899</v>
      </c>
      <c r="P3818">
        <v>-6.6804388764957603E-2</v>
      </c>
      <c r="Q3818">
        <v>0.34067625870955498</v>
      </c>
      <c r="R3818">
        <v>0.97104632933799895</v>
      </c>
      <c r="S3818" t="s">
        <v>10624</v>
      </c>
      <c r="T3818" t="s">
        <v>13610</v>
      </c>
      <c r="U3818" t="s">
        <v>13610</v>
      </c>
      <c r="V3818" t="s">
        <v>13610</v>
      </c>
      <c r="W3818" t="s">
        <v>17368</v>
      </c>
      <c r="X3818">
        <v>9</v>
      </c>
      <c r="Y3818" t="s">
        <v>23968</v>
      </c>
      <c r="Z3818" t="s">
        <v>30673</v>
      </c>
      <c r="AA3818">
        <v>0.55657185528440012</v>
      </c>
      <c r="AB3818" t="str">
        <f>HYPERLINK("Melting_Curves/meltCurve_Q5TAP6_UTP14C.pdf", "Melting_Curves/meltCurve_Q5TAP6_UTP14C.pdf")</f>
        <v>Melting_Curves/meltCurve_Q5TAP6_UTP14C.pdf</v>
      </c>
    </row>
    <row r="3819" spans="1:28" x14ac:dyDescent="0.25">
      <c r="A3819" t="s">
        <v>3823</v>
      </c>
      <c r="B3819">
        <v>0.995954080203443</v>
      </c>
      <c r="C3819">
        <v>0.91767222070140697</v>
      </c>
      <c r="D3819">
        <v>0.83342379650564202</v>
      </c>
      <c r="E3819">
        <v>0.77059575277848502</v>
      </c>
      <c r="F3819">
        <v>0.51972933446942704</v>
      </c>
      <c r="G3819">
        <v>0.27110487812531098</v>
      </c>
      <c r="H3819">
        <v>0.15549893598565101</v>
      </c>
      <c r="I3819">
        <v>0.139918404584564</v>
      </c>
      <c r="J3819">
        <v>0.13935138019763299</v>
      </c>
      <c r="K3819">
        <v>0.13152235410076901</v>
      </c>
      <c r="L3819">
        <v>790.50848647827604</v>
      </c>
      <c r="M3819">
        <v>15.0576311362124</v>
      </c>
      <c r="N3819">
        <v>53.179382241007602</v>
      </c>
      <c r="O3819">
        <v>51.599021196755501</v>
      </c>
      <c r="P3819">
        <v>-6.6568572738315804E-2</v>
      </c>
      <c r="Q3819">
        <v>8.7630357369674394E-2</v>
      </c>
      <c r="R3819">
        <v>0.98776310674432899</v>
      </c>
      <c r="S3819" t="s">
        <v>10625</v>
      </c>
      <c r="T3819" t="s">
        <v>13610</v>
      </c>
      <c r="U3819" t="s">
        <v>13610</v>
      </c>
      <c r="V3819" t="s">
        <v>13610</v>
      </c>
      <c r="W3819" t="s">
        <v>17369</v>
      </c>
      <c r="X3819">
        <v>2</v>
      </c>
      <c r="Y3819" t="s">
        <v>23969</v>
      </c>
      <c r="Z3819" t="s">
        <v>30674</v>
      </c>
      <c r="AA3819">
        <v>0.48766827604110979</v>
      </c>
      <c r="AB3819" t="str">
        <f>HYPERLINK("Melting_Curves/meltCurve_Q5TAQ0_MNF1.pdf", "Melting_Curves/meltCurve_Q5TAQ0_MNF1.pdf")</f>
        <v>Melting_Curves/meltCurve_Q5TAQ0_MNF1.pdf</v>
      </c>
    </row>
    <row r="3820" spans="1:28" x14ac:dyDescent="0.25">
      <c r="A3820" t="s">
        <v>3824</v>
      </c>
      <c r="B3820">
        <v>0.995954080203443</v>
      </c>
      <c r="C3820">
        <v>0.68269784815233103</v>
      </c>
      <c r="D3820">
        <v>0.58529368099795898</v>
      </c>
      <c r="E3820">
        <v>0.45683254117413602</v>
      </c>
      <c r="F3820">
        <v>0.42945201371413499</v>
      </c>
      <c r="G3820">
        <v>0.32973976035725899</v>
      </c>
      <c r="H3820">
        <v>0.32056140718845999</v>
      </c>
      <c r="I3820">
        <v>0.38996325812990901</v>
      </c>
      <c r="J3820">
        <v>0.47773517289230599</v>
      </c>
      <c r="K3820">
        <v>0.45418429074883998</v>
      </c>
      <c r="L3820">
        <v>952.28950927005405</v>
      </c>
      <c r="M3820">
        <v>21.875179625360701</v>
      </c>
      <c r="N3820">
        <v>47.056562457225702</v>
      </c>
      <c r="O3820">
        <v>43.173974032221302</v>
      </c>
      <c r="P3820">
        <v>-7.5645646886095597E-2</v>
      </c>
      <c r="Q3820">
        <v>0.40282116117509298</v>
      </c>
      <c r="R3820">
        <v>0.91010387459934095</v>
      </c>
      <c r="S3820" t="s">
        <v>10626</v>
      </c>
      <c r="T3820" t="s">
        <v>13610</v>
      </c>
      <c r="U3820" t="s">
        <v>13610</v>
      </c>
      <c r="V3820" t="s">
        <v>13610</v>
      </c>
      <c r="W3820" t="s">
        <v>17370</v>
      </c>
      <c r="X3820">
        <v>28</v>
      </c>
      <c r="Y3820" t="s">
        <v>23970</v>
      </c>
      <c r="Z3820" t="s">
        <v>30675</v>
      </c>
      <c r="AA3820">
        <v>0.48343218421953821</v>
      </c>
      <c r="AB3820" t="str">
        <f>HYPERLINK("Melting_Curves/meltCurve_Q5TAX3_ZCCHC11.pdf", "Melting_Curves/meltCurve_Q5TAX3_ZCCHC11.pdf")</f>
        <v>Melting_Curves/meltCurve_Q5TAX3_ZCCHC11.pdf</v>
      </c>
    </row>
    <row r="3821" spans="1:28" x14ac:dyDescent="0.25">
      <c r="A3821" t="s">
        <v>3825</v>
      </c>
      <c r="B3821">
        <v>0.995954080203443</v>
      </c>
      <c r="C3821">
        <v>1.03226268908883</v>
      </c>
      <c r="D3821">
        <v>0.96189703478246802</v>
      </c>
      <c r="E3821">
        <v>0.86225544914815599</v>
      </c>
      <c r="F3821">
        <v>0.62877643333601796</v>
      </c>
      <c r="G3821">
        <v>0.44171151496379801</v>
      </c>
      <c r="H3821">
        <v>0.31583071226734699</v>
      </c>
      <c r="I3821">
        <v>0.328332029727195</v>
      </c>
      <c r="J3821">
        <v>0.32979898367266403</v>
      </c>
      <c r="K3821">
        <v>0.34388186609349197</v>
      </c>
      <c r="L3821">
        <v>1257.60075958478</v>
      </c>
      <c r="M3821">
        <v>23.861545264414001</v>
      </c>
      <c r="N3821">
        <v>55.105192506296802</v>
      </c>
      <c r="O3821">
        <v>52.338090035914199</v>
      </c>
      <c r="P3821">
        <v>-7.7138930992383503E-2</v>
      </c>
      <c r="Q3821">
        <v>0.323222461444931</v>
      </c>
      <c r="R3821">
        <v>0.99568271897546701</v>
      </c>
      <c r="S3821" t="s">
        <v>10627</v>
      </c>
      <c r="T3821" t="s">
        <v>13610</v>
      </c>
      <c r="U3821" t="s">
        <v>13610</v>
      </c>
      <c r="V3821" t="s">
        <v>13610</v>
      </c>
      <c r="W3821" t="s">
        <v>17371</v>
      </c>
      <c r="X3821">
        <v>5</v>
      </c>
      <c r="Y3821" t="s">
        <v>23971</v>
      </c>
      <c r="Z3821" t="s">
        <v>30676</v>
      </c>
      <c r="AA3821">
        <v>0.61660334031667074</v>
      </c>
      <c r="AB3821" t="str">
        <f>HYPERLINK("Melting_Curves/meltCurve_Q5TB80_2_KIAA1009.pdf", "Melting_Curves/meltCurve_Q5TB80_2_KIAA1009.pdf")</f>
        <v>Melting_Curves/meltCurve_Q5TB80_2_KIAA1009.pdf</v>
      </c>
    </row>
    <row r="3822" spans="1:28" x14ac:dyDescent="0.25">
      <c r="A3822" t="s">
        <v>3826</v>
      </c>
      <c r="B3822">
        <v>0.995954080203443</v>
      </c>
      <c r="C3822">
        <v>0.80704204182689998</v>
      </c>
      <c r="D3822">
        <v>0.44911652989206302</v>
      </c>
      <c r="E3822">
        <v>0.35519009185915101</v>
      </c>
      <c r="F3822">
        <v>0.24099789010997899</v>
      </c>
      <c r="G3822">
        <v>0.14899530657002699</v>
      </c>
      <c r="H3822">
        <v>9.7050161461415194E-2</v>
      </c>
      <c r="I3822">
        <v>8.18707835010615E-2</v>
      </c>
      <c r="J3822">
        <v>9.7368061485728699E-2</v>
      </c>
      <c r="K3822">
        <v>9.0991039734300894E-2</v>
      </c>
      <c r="L3822">
        <v>718.68396046840496</v>
      </c>
      <c r="M3822">
        <v>15.6189246260031</v>
      </c>
      <c r="N3822">
        <v>46.648665106216797</v>
      </c>
      <c r="O3822">
        <v>45.279176545453602</v>
      </c>
      <c r="P3822">
        <v>-7.7985066752898499E-2</v>
      </c>
      <c r="Q3822">
        <v>9.5764765630686394E-2</v>
      </c>
      <c r="R3822">
        <v>0.97630115716850896</v>
      </c>
      <c r="S3822" t="s">
        <v>10628</v>
      </c>
      <c r="T3822" t="s">
        <v>13610</v>
      </c>
      <c r="U3822" t="s">
        <v>13610</v>
      </c>
      <c r="V3822" t="s">
        <v>13610</v>
      </c>
      <c r="W3822" t="s">
        <v>17372</v>
      </c>
      <c r="X3822">
        <v>10</v>
      </c>
      <c r="Y3822" t="s">
        <v>23972</v>
      </c>
      <c r="Z3822" t="s">
        <v>30677</v>
      </c>
      <c r="AA3822">
        <v>0.30123386951669939</v>
      </c>
      <c r="AB3822" t="str">
        <f>HYPERLINK("Melting_Curves/meltCurve_Q5TBB1_RNASEH2B.pdf", "Melting_Curves/meltCurve_Q5TBB1_RNASEH2B.pdf")</f>
        <v>Melting_Curves/meltCurve_Q5TBB1_RNASEH2B.pdf</v>
      </c>
    </row>
    <row r="3823" spans="1:28" x14ac:dyDescent="0.25">
      <c r="A3823" t="s">
        <v>3827</v>
      </c>
      <c r="B3823">
        <v>0.995954080203443</v>
      </c>
      <c r="C3823">
        <v>1.0768821672598401</v>
      </c>
      <c r="D3823">
        <v>1.0223133722733699</v>
      </c>
      <c r="E3823">
        <v>0.86091170796241201</v>
      </c>
      <c r="F3823">
        <v>0.73257914366978805</v>
      </c>
      <c r="G3823">
        <v>0.51455177945465902</v>
      </c>
      <c r="H3823">
        <v>0.46222866782882899</v>
      </c>
      <c r="I3823">
        <v>0.52543273798233203</v>
      </c>
      <c r="J3823">
        <v>0.66768649510773204</v>
      </c>
      <c r="K3823">
        <v>0.63344769871972495</v>
      </c>
      <c r="L3823">
        <v>1733.18792603202</v>
      </c>
      <c r="M3823">
        <v>33.548091704442399</v>
      </c>
      <c r="O3823">
        <v>51.480232999965601</v>
      </c>
      <c r="P3823">
        <v>-7.1499608675094695E-2</v>
      </c>
      <c r="Q3823">
        <v>0.56113119539796097</v>
      </c>
      <c r="R3823">
        <v>0.90991198575304399</v>
      </c>
      <c r="S3823" t="s">
        <v>10629</v>
      </c>
      <c r="T3823" t="s">
        <v>13610</v>
      </c>
      <c r="U3823" t="s">
        <v>13610</v>
      </c>
      <c r="V3823" t="s">
        <v>13610</v>
      </c>
      <c r="W3823" t="s">
        <v>17373</v>
      </c>
      <c r="X3823">
        <v>5</v>
      </c>
      <c r="Y3823" t="s">
        <v>23973</v>
      </c>
      <c r="Z3823" t="s">
        <v>30678</v>
      </c>
      <c r="AA3823">
        <v>0.73397659614130428</v>
      </c>
      <c r="AB3823" t="str">
        <f>HYPERLINK("Melting_Curves/meltCurve_Q5TBP9_LSM14B.pdf", "Melting_Curves/meltCurve_Q5TBP9_LSM14B.pdf")</f>
        <v>Melting_Curves/meltCurve_Q5TBP9_LSM14B.pdf</v>
      </c>
    </row>
    <row r="3824" spans="1:28" x14ac:dyDescent="0.25">
      <c r="A3824" t="s">
        <v>3828</v>
      </c>
      <c r="B3824">
        <v>0.995954080203443</v>
      </c>
      <c r="C3824">
        <v>1.0077327568343</v>
      </c>
      <c r="D3824">
        <v>0.91904993506086197</v>
      </c>
      <c r="E3824">
        <v>0.83322870210847899</v>
      </c>
      <c r="F3824">
        <v>0.68819162827560598</v>
      </c>
      <c r="G3824">
        <v>0.39922047786290099</v>
      </c>
      <c r="H3824">
        <v>0.16426670717179701</v>
      </c>
      <c r="I3824">
        <v>9.6427239052915795E-2</v>
      </c>
      <c r="J3824">
        <v>9.0329866567683006E-2</v>
      </c>
      <c r="K3824">
        <v>7.8866381492317297E-2</v>
      </c>
      <c r="L3824">
        <v>912.11188751605403</v>
      </c>
      <c r="M3824">
        <v>16.557633391647499</v>
      </c>
      <c r="N3824">
        <v>55.297375087113402</v>
      </c>
      <c r="O3824">
        <v>54.302370071303102</v>
      </c>
      <c r="P3824">
        <v>-7.3908200509873095E-2</v>
      </c>
      <c r="Q3824">
        <v>3.05099192309445E-2</v>
      </c>
      <c r="R3824">
        <v>0.99650775871803898</v>
      </c>
      <c r="S3824" t="s">
        <v>10630</v>
      </c>
      <c r="T3824" t="s">
        <v>13610</v>
      </c>
      <c r="U3824" t="s">
        <v>13610</v>
      </c>
      <c r="V3824" t="s">
        <v>13610</v>
      </c>
      <c r="W3824" t="s">
        <v>17374</v>
      </c>
      <c r="X3824">
        <v>5</v>
      </c>
      <c r="Y3824" t="s">
        <v>23974</v>
      </c>
      <c r="Z3824" t="s">
        <v>30679</v>
      </c>
      <c r="AA3824">
        <v>0.53468904880104362</v>
      </c>
      <c r="AB3824" t="str">
        <f>HYPERLINK("Melting_Curves/meltCurve_Q5TC12_ATPAF1.pdf", "Melting_Curves/meltCurve_Q5TC12_ATPAF1.pdf")</f>
        <v>Melting_Curves/meltCurve_Q5TC12_ATPAF1.pdf</v>
      </c>
    </row>
    <row r="3825" spans="1:28" x14ac:dyDescent="0.25">
      <c r="A3825" t="s">
        <v>3829</v>
      </c>
      <c r="B3825">
        <v>0.995954080203443</v>
      </c>
      <c r="C3825">
        <v>0.95825372139966802</v>
      </c>
      <c r="D3825">
        <v>0.84787490857807501</v>
      </c>
      <c r="E3825">
        <v>0.74147801838669802</v>
      </c>
      <c r="F3825">
        <v>0.65596754867923002</v>
      </c>
      <c r="G3825">
        <v>0.45232279802185699</v>
      </c>
      <c r="H3825">
        <v>0.33994232554562798</v>
      </c>
      <c r="I3825">
        <v>0.26285111337886802</v>
      </c>
      <c r="J3825">
        <v>0.26884886371968097</v>
      </c>
      <c r="K3825">
        <v>0.25446531316590298</v>
      </c>
      <c r="L3825">
        <v>586.25878783063104</v>
      </c>
      <c r="M3825">
        <v>10.916970099396099</v>
      </c>
      <c r="N3825">
        <v>55.886492774153297</v>
      </c>
      <c r="O3825">
        <v>51.9939774611424</v>
      </c>
      <c r="P3825">
        <v>-4.3388644975685002E-2</v>
      </c>
      <c r="Q3825">
        <v>0.17370302404253801</v>
      </c>
      <c r="R3825">
        <v>0.99370608547233497</v>
      </c>
      <c r="S3825" t="s">
        <v>10631</v>
      </c>
      <c r="T3825" t="s">
        <v>13610</v>
      </c>
      <c r="U3825" t="s">
        <v>13610</v>
      </c>
      <c r="V3825" t="s">
        <v>13610</v>
      </c>
      <c r="W3825" t="s">
        <v>17375</v>
      </c>
      <c r="X3825">
        <v>4</v>
      </c>
      <c r="Y3825" t="s">
        <v>23975</v>
      </c>
      <c r="Z3825" t="s">
        <v>30680</v>
      </c>
      <c r="AA3825">
        <v>0.57529528835701127</v>
      </c>
      <c r="AB3825" t="str">
        <f>HYPERLINK("Melting_Curves/meltCurve_Q5TC79_ZBTB37.pdf", "Melting_Curves/meltCurve_Q5TC79_ZBTB37.pdf")</f>
        <v>Melting_Curves/meltCurve_Q5TC79_ZBTB37.pdf</v>
      </c>
    </row>
    <row r="3826" spans="1:28" x14ac:dyDescent="0.25">
      <c r="A3826" t="s">
        <v>3830</v>
      </c>
      <c r="B3826">
        <v>0.995954080203443</v>
      </c>
      <c r="C3826">
        <v>0.95467421888818305</v>
      </c>
      <c r="D3826">
        <v>0.97531634239103004</v>
      </c>
      <c r="E3826">
        <v>0.917065138285305</v>
      </c>
      <c r="F3826">
        <v>0.94702155012485001</v>
      </c>
      <c r="G3826">
        <v>0.72266906103364004</v>
      </c>
      <c r="H3826">
        <v>0.69259627151735104</v>
      </c>
      <c r="I3826">
        <v>0.89819279907891503</v>
      </c>
      <c r="J3826">
        <v>0.93136335263803804</v>
      </c>
      <c r="K3826">
        <v>1.0461377673761401</v>
      </c>
      <c r="L3826">
        <v>1296.7433682374301</v>
      </c>
      <c r="M3826">
        <v>26.370959404800999</v>
      </c>
      <c r="O3826">
        <v>48.893003499159903</v>
      </c>
      <c r="P3826">
        <v>-1.77670942400175E-2</v>
      </c>
      <c r="Q3826">
        <v>0.86823730820450096</v>
      </c>
      <c r="R3826">
        <v>0.18046875174113799</v>
      </c>
      <c r="S3826" t="s">
        <v>10632</v>
      </c>
      <c r="T3826" t="s">
        <v>13610</v>
      </c>
      <c r="U3826" t="s">
        <v>13610</v>
      </c>
      <c r="V3826" t="s">
        <v>13610</v>
      </c>
      <c r="W3826" t="s">
        <v>17376</v>
      </c>
      <c r="X3826">
        <v>12</v>
      </c>
      <c r="Y3826" t="s">
        <v>23976</v>
      </c>
      <c r="Z3826" t="s">
        <v>30681</v>
      </c>
      <c r="AA3826">
        <v>0.90957437412231223</v>
      </c>
      <c r="AB3826" t="str">
        <f>HYPERLINK("Melting_Curves/meltCurve_Q5TC82_RC3H1.pdf", "Melting_Curves/meltCurve_Q5TC82_RC3H1.pdf")</f>
        <v>Melting_Curves/meltCurve_Q5TC82_RC3H1.pdf</v>
      </c>
    </row>
    <row r="3827" spans="1:28" x14ac:dyDescent="0.25">
      <c r="A3827" t="s">
        <v>3831</v>
      </c>
      <c r="B3827">
        <v>0.995954080203443</v>
      </c>
      <c r="C3827">
        <v>0.99311475602132904</v>
      </c>
      <c r="D3827">
        <v>0.89205630224694199</v>
      </c>
      <c r="E3827">
        <v>0.60585407130484503</v>
      </c>
      <c r="F3827">
        <v>0.392422542181942</v>
      </c>
      <c r="G3827">
        <v>0.24100231449877699</v>
      </c>
      <c r="H3827">
        <v>0.18432885710011701</v>
      </c>
      <c r="I3827">
        <v>0.15627675395263099</v>
      </c>
      <c r="J3827">
        <v>0.19711452933992499</v>
      </c>
      <c r="K3827">
        <v>0.176566960264432</v>
      </c>
      <c r="L3827">
        <v>1038.26992961836</v>
      </c>
      <c r="M3827">
        <v>20.639615381678102</v>
      </c>
      <c r="N3827">
        <v>51.340917848041798</v>
      </c>
      <c r="O3827">
        <v>49.839622440368601</v>
      </c>
      <c r="P3827">
        <v>-8.5896632319073005E-2</v>
      </c>
      <c r="Q3827">
        <v>0.17034641659583299</v>
      </c>
      <c r="R3827">
        <v>0.998705444397057</v>
      </c>
      <c r="S3827" t="s">
        <v>10633</v>
      </c>
      <c r="T3827" t="s">
        <v>13610</v>
      </c>
      <c r="U3827" t="s">
        <v>13610</v>
      </c>
      <c r="V3827" t="s">
        <v>13610</v>
      </c>
      <c r="W3827" t="s">
        <v>17377</v>
      </c>
      <c r="X3827">
        <v>12</v>
      </c>
      <c r="Y3827" t="s">
        <v>23977</v>
      </c>
      <c r="Z3827" t="s">
        <v>30682</v>
      </c>
      <c r="AA3827">
        <v>0.46618101437772103</v>
      </c>
      <c r="AB3827" t="str">
        <f>HYPERLINK("Melting_Curves/meltCurve_Q5TCQ9_3_MAGI3.pdf", "Melting_Curves/meltCurve_Q5TCQ9_3_MAGI3.pdf")</f>
        <v>Melting_Curves/meltCurve_Q5TCQ9_3_MAGI3.pdf</v>
      </c>
    </row>
    <row r="3828" spans="1:28" x14ac:dyDescent="0.25">
      <c r="A3828" t="s">
        <v>3832</v>
      </c>
      <c r="B3828">
        <v>0.995954080203443</v>
      </c>
      <c r="C3828">
        <v>0.99723938253259903</v>
      </c>
      <c r="D3828">
        <v>0.92230276995744798</v>
      </c>
      <c r="E3828">
        <v>0.87227078479261499</v>
      </c>
      <c r="F3828">
        <v>0.75013781365090104</v>
      </c>
      <c r="G3828">
        <v>0.58962252588533104</v>
      </c>
      <c r="H3828">
        <v>0.527337745577515</v>
      </c>
      <c r="I3828">
        <v>0.584024904873647</v>
      </c>
      <c r="J3828">
        <v>0.80709096177822204</v>
      </c>
      <c r="K3828">
        <v>0.67578555718526001</v>
      </c>
      <c r="L3828">
        <v>1467.1958274874801</v>
      </c>
      <c r="M3828">
        <v>28.817424313252602</v>
      </c>
      <c r="O3828">
        <v>50.670213734185602</v>
      </c>
      <c r="P3828">
        <v>-5.1594832176525503E-2</v>
      </c>
      <c r="Q3828">
        <v>0.637122170708186</v>
      </c>
      <c r="R3828">
        <v>0.80058803499530096</v>
      </c>
      <c r="S3828" t="s">
        <v>10634</v>
      </c>
      <c r="T3828" t="s">
        <v>13610</v>
      </c>
      <c r="U3828" t="s">
        <v>13610</v>
      </c>
      <c r="V3828" t="s">
        <v>13610</v>
      </c>
      <c r="W3828" t="s">
        <v>17378</v>
      </c>
      <c r="X3828">
        <v>17</v>
      </c>
      <c r="Y3828" t="s">
        <v>23978</v>
      </c>
      <c r="Z3828" t="s">
        <v>30683</v>
      </c>
      <c r="AA3828">
        <v>0.77160042835961229</v>
      </c>
      <c r="AB3828" t="str">
        <f>HYPERLINK("Melting_Curves/meltCurve_Q5TCU3_TPM2.pdf", "Melting_Curves/meltCurve_Q5TCU3_TPM2.pdf")</f>
        <v>Melting_Curves/meltCurve_Q5TCU3_TPM2.pdf</v>
      </c>
    </row>
    <row r="3829" spans="1:28" x14ac:dyDescent="0.25">
      <c r="A3829" t="s">
        <v>3833</v>
      </c>
      <c r="B3829">
        <v>0.995954080203443</v>
      </c>
      <c r="C3829">
        <v>0.75237056578984596</v>
      </c>
      <c r="D3829">
        <v>0.69789741092592705</v>
      </c>
      <c r="E3829">
        <v>0.71502929884939403</v>
      </c>
      <c r="F3829">
        <v>0.22998529363228101</v>
      </c>
      <c r="G3829">
        <v>9.9572620434672299E-2</v>
      </c>
      <c r="H3829">
        <v>5.9664216146907603E-2</v>
      </c>
      <c r="I3829">
        <v>7.5502362964738501E-2</v>
      </c>
      <c r="J3829">
        <v>6.6644959824763594E-2</v>
      </c>
      <c r="K3829">
        <v>7.6223762882188198E-2</v>
      </c>
      <c r="L3829">
        <v>613.36846562147298</v>
      </c>
      <c r="M3829">
        <v>12.2790554393085</v>
      </c>
      <c r="N3829">
        <v>49.9524143181754</v>
      </c>
      <c r="O3829">
        <v>48.6829728600922</v>
      </c>
      <c r="P3829">
        <v>-6.3070128885226506E-2</v>
      </c>
      <c r="Q3829">
        <v>0</v>
      </c>
      <c r="R3829">
        <v>0.92689642088346802</v>
      </c>
      <c r="S3829" t="s">
        <v>10635</v>
      </c>
      <c r="T3829" t="s">
        <v>13610</v>
      </c>
      <c r="U3829" t="s">
        <v>13610</v>
      </c>
      <c r="V3829" t="s">
        <v>13610</v>
      </c>
      <c r="W3829" t="s">
        <v>17379</v>
      </c>
      <c r="X3829">
        <v>1</v>
      </c>
      <c r="Y3829" t="s">
        <v>23979</v>
      </c>
      <c r="Z3829" t="s">
        <v>30684</v>
      </c>
      <c r="AA3829">
        <v>0.3652232437249483</v>
      </c>
      <c r="AB3829" t="str">
        <f>HYPERLINK("Melting_Curves/meltCurve_Q5TDC2_MTCH1.pdf", "Melting_Curves/meltCurve_Q5TDC2_MTCH1.pdf")</f>
        <v>Melting_Curves/meltCurve_Q5TDC2_MTCH1.pdf</v>
      </c>
    </row>
    <row r="3830" spans="1:28" x14ac:dyDescent="0.25">
      <c r="A3830" t="s">
        <v>3834</v>
      </c>
      <c r="B3830">
        <v>0.995954080203443</v>
      </c>
      <c r="C3830">
        <v>1.0241450236304701</v>
      </c>
      <c r="D3830">
        <v>0.98065969912665496</v>
      </c>
      <c r="E3830">
        <v>0.90449211328190304</v>
      </c>
      <c r="F3830">
        <v>0.78763681843981803</v>
      </c>
      <c r="G3830">
        <v>0.46823784474534802</v>
      </c>
      <c r="H3830">
        <v>0.187528748859353</v>
      </c>
      <c r="I3830">
        <v>0.122443598838267</v>
      </c>
      <c r="J3830">
        <v>0.111698059338298</v>
      </c>
      <c r="K3830">
        <v>0.101380737542483</v>
      </c>
      <c r="L3830">
        <v>1185.48095926823</v>
      </c>
      <c r="M3830">
        <v>21.182896949898598</v>
      </c>
      <c r="N3830">
        <v>56.395338949713299</v>
      </c>
      <c r="O3830">
        <v>55.472467842057803</v>
      </c>
      <c r="P3830">
        <v>-8.8329481714907301E-2</v>
      </c>
      <c r="Q3830">
        <v>7.4776754004493406E-2</v>
      </c>
      <c r="R3830">
        <v>0.99806444654610804</v>
      </c>
      <c r="S3830" t="s">
        <v>10636</v>
      </c>
      <c r="T3830" t="s">
        <v>13610</v>
      </c>
      <c r="U3830" t="s">
        <v>13610</v>
      </c>
      <c r="V3830" t="s">
        <v>13610</v>
      </c>
      <c r="W3830" t="s">
        <v>17380</v>
      </c>
      <c r="X3830">
        <v>20</v>
      </c>
      <c r="Y3830" t="s">
        <v>23980</v>
      </c>
      <c r="Z3830" t="s">
        <v>30685</v>
      </c>
      <c r="AA3830">
        <v>0.57812870373191505</v>
      </c>
      <c r="AB3830" t="str">
        <f>HYPERLINK("Melting_Curves/meltCurve_Q5TDH0_DDI2.pdf", "Melting_Curves/meltCurve_Q5TDH0_DDI2.pdf")</f>
        <v>Melting_Curves/meltCurve_Q5TDH0_DDI2.pdf</v>
      </c>
    </row>
    <row r="3831" spans="1:28" x14ac:dyDescent="0.25">
      <c r="A3831" t="s">
        <v>3835</v>
      </c>
      <c r="B3831">
        <v>0.995954080203443</v>
      </c>
      <c r="C3831">
        <v>1.1132344189422101</v>
      </c>
      <c r="D3831">
        <v>1.2357725997706199</v>
      </c>
      <c r="E3831">
        <v>0.99165881946261003</v>
      </c>
      <c r="F3831">
        <v>0.77707471791596106</v>
      </c>
      <c r="G3831">
        <v>0.48705619321638</v>
      </c>
      <c r="H3831">
        <v>0.54074741131937198</v>
      </c>
      <c r="I3831">
        <v>0.58596166342885903</v>
      </c>
      <c r="J3831">
        <v>0.92580257152641099</v>
      </c>
      <c r="K3831">
        <v>0.66896367038673699</v>
      </c>
      <c r="L3831">
        <v>10667.397127730999</v>
      </c>
      <c r="M3831">
        <v>201.77048725806699</v>
      </c>
      <c r="O3831">
        <v>52.8637708065895</v>
      </c>
      <c r="P3831">
        <v>-0.34188387467005998</v>
      </c>
      <c r="Q3831">
        <v>0.641706343364434</v>
      </c>
      <c r="R3831">
        <v>0.68661430821287195</v>
      </c>
      <c r="S3831" t="s">
        <v>10637</v>
      </c>
      <c r="T3831" t="s">
        <v>13610</v>
      </c>
      <c r="U3831" t="s">
        <v>13610</v>
      </c>
      <c r="V3831" t="s">
        <v>13610</v>
      </c>
      <c r="W3831" t="s">
        <v>17381</v>
      </c>
      <c r="X3831">
        <v>1</v>
      </c>
      <c r="Y3831" t="s">
        <v>23981</v>
      </c>
      <c r="Z3831" t="s">
        <v>30686</v>
      </c>
      <c r="AA3831">
        <v>0.79545302081864666</v>
      </c>
      <c r="AB3831" t="str">
        <f>HYPERLINK("Melting_Curves/meltCurve_Q5TEC3_ZNF697.pdf", "Melting_Curves/meltCurve_Q5TEC3_ZNF697.pdf")</f>
        <v>Melting_Curves/meltCurve_Q5TEC3_ZNF697.pdf</v>
      </c>
    </row>
    <row r="3832" spans="1:28" x14ac:dyDescent="0.25">
      <c r="A3832" t="s">
        <v>3836</v>
      </c>
      <c r="B3832">
        <v>0.995954080203443</v>
      </c>
      <c r="C3832">
        <v>0.87941066228699905</v>
      </c>
      <c r="D3832">
        <v>0.71648322514742002</v>
      </c>
      <c r="E3832">
        <v>0.51699181641735303</v>
      </c>
      <c r="F3832">
        <v>0.25653415288084502</v>
      </c>
      <c r="G3832">
        <v>0.19903457601937499</v>
      </c>
      <c r="H3832">
        <v>0.135296218860531</v>
      </c>
      <c r="I3832">
        <v>9.4517044672943196E-2</v>
      </c>
      <c r="J3832">
        <v>8.8989707599035198E-2</v>
      </c>
      <c r="K3832">
        <v>7.4854600902917207E-2</v>
      </c>
      <c r="L3832">
        <v>694.14108382822405</v>
      </c>
      <c r="M3832">
        <v>14.157234867813701</v>
      </c>
      <c r="N3832">
        <v>49.5400916240743</v>
      </c>
      <c r="O3832">
        <v>48.083663845317403</v>
      </c>
      <c r="P3832">
        <v>-6.8631419644020003E-2</v>
      </c>
      <c r="Q3832">
        <v>6.7718529193481494E-2</v>
      </c>
      <c r="R3832">
        <v>0.99380948476062103</v>
      </c>
      <c r="S3832" t="s">
        <v>10638</v>
      </c>
      <c r="T3832" t="s">
        <v>13610</v>
      </c>
      <c r="U3832" t="s">
        <v>13610</v>
      </c>
      <c r="V3832" t="s">
        <v>13610</v>
      </c>
      <c r="W3832" t="s">
        <v>17382</v>
      </c>
      <c r="X3832">
        <v>7</v>
      </c>
      <c r="Y3832" t="s">
        <v>23982</v>
      </c>
      <c r="Z3832" t="s">
        <v>30687</v>
      </c>
      <c r="AA3832">
        <v>0.37394555610214381</v>
      </c>
      <c r="AB3832" t="str">
        <f>HYPERLINK("Melting_Curves/meltCurve_Q5TEJ8_THEMIS2.pdf", "Melting_Curves/meltCurve_Q5TEJ8_THEMIS2.pdf")</f>
        <v>Melting_Curves/meltCurve_Q5TEJ8_THEMIS2.pdf</v>
      </c>
    </row>
    <row r="3833" spans="1:28" x14ac:dyDescent="0.25">
      <c r="A3833" t="s">
        <v>3837</v>
      </c>
      <c r="B3833">
        <v>0.995954080203443</v>
      </c>
      <c r="C3833">
        <v>1.04934135724568</v>
      </c>
      <c r="D3833">
        <v>0.94516169747368295</v>
      </c>
      <c r="E3833">
        <v>0.88754742551445898</v>
      </c>
      <c r="F3833">
        <v>0.394027234906972</v>
      </c>
      <c r="G3833">
        <v>0.23686597647796001</v>
      </c>
      <c r="H3833">
        <v>0.159343780790278</v>
      </c>
      <c r="I3833">
        <v>0.125207526920145</v>
      </c>
      <c r="J3833">
        <v>0.102346481045873</v>
      </c>
      <c r="K3833">
        <v>9.8039390196344806E-2</v>
      </c>
      <c r="L3833">
        <v>2133.1121710591401</v>
      </c>
      <c r="M3833">
        <v>40.980569599099603</v>
      </c>
      <c r="N3833">
        <v>52.459041767595302</v>
      </c>
      <c r="O3833">
        <v>51.928312167990804</v>
      </c>
      <c r="P3833">
        <v>-0.17041319649336001</v>
      </c>
      <c r="Q3833">
        <v>0.13624897823674401</v>
      </c>
      <c r="R3833">
        <v>0.99023480051747603</v>
      </c>
      <c r="S3833" t="s">
        <v>10639</v>
      </c>
      <c r="T3833" t="s">
        <v>13610</v>
      </c>
      <c r="U3833" t="s">
        <v>13610</v>
      </c>
      <c r="V3833" t="s">
        <v>13610</v>
      </c>
      <c r="W3833" t="s">
        <v>17383</v>
      </c>
      <c r="X3833">
        <v>2</v>
      </c>
      <c r="Y3833" t="s">
        <v>23983</v>
      </c>
      <c r="Z3833" t="s">
        <v>30688</v>
      </c>
      <c r="AA3833">
        <v>0.48619919127453082</v>
      </c>
      <c r="AB3833" t="str">
        <f>HYPERLINK("Melting_Curves/meltCurve_Q5TEU4_2_NDUFAF5.pdf", "Melting_Curves/meltCurve_Q5TEU4_2_NDUFAF5.pdf")</f>
        <v>Melting_Curves/meltCurve_Q5TEU4_2_NDUFAF5.pdf</v>
      </c>
    </row>
    <row r="3834" spans="1:28" x14ac:dyDescent="0.25">
      <c r="A3834" t="s">
        <v>3838</v>
      </c>
      <c r="B3834">
        <v>0.995954080203443</v>
      </c>
      <c r="C3834">
        <v>0.91245931257928004</v>
      </c>
      <c r="D3834">
        <v>0.95833669035776003</v>
      </c>
      <c r="E3834">
        <v>0.82011955844025797</v>
      </c>
      <c r="F3834">
        <v>0.72600332554706903</v>
      </c>
      <c r="G3834">
        <v>0.33664058736820301</v>
      </c>
      <c r="H3834">
        <v>0.130242554139019</v>
      </c>
      <c r="I3834">
        <v>0.12328000782639099</v>
      </c>
      <c r="J3834">
        <v>0.13312148541636101</v>
      </c>
      <c r="K3834">
        <v>0.128195182053463</v>
      </c>
      <c r="L3834">
        <v>1155.16633861879</v>
      </c>
      <c r="M3834">
        <v>21.236615538125498</v>
      </c>
      <c r="N3834">
        <v>54.944010969173902</v>
      </c>
      <c r="O3834">
        <v>53.919574663463003</v>
      </c>
      <c r="P3834">
        <v>-8.9054291356029797E-2</v>
      </c>
      <c r="Q3834">
        <v>9.5590696007109899E-2</v>
      </c>
      <c r="R3834">
        <v>0.98694080944359597</v>
      </c>
      <c r="S3834" t="s">
        <v>10640</v>
      </c>
      <c r="T3834" t="s">
        <v>13610</v>
      </c>
      <c r="U3834" t="s">
        <v>13610</v>
      </c>
      <c r="V3834" t="s">
        <v>13610</v>
      </c>
      <c r="W3834" t="s">
        <v>17384</v>
      </c>
      <c r="X3834">
        <v>18</v>
      </c>
      <c r="Y3834" t="s">
        <v>23984</v>
      </c>
      <c r="Z3834" t="s">
        <v>30689</v>
      </c>
      <c r="AA3834">
        <v>0.54064553016401651</v>
      </c>
      <c r="AB3834" t="str">
        <f>HYPERLINK("Melting_Curves/meltCurve_Q5TFE4_NT5DC1.pdf", "Melting_Curves/meltCurve_Q5TFE4_NT5DC1.pdf")</f>
        <v>Melting_Curves/meltCurve_Q5TFE4_NT5DC1.pdf</v>
      </c>
    </row>
    <row r="3835" spans="1:28" x14ac:dyDescent="0.25">
      <c r="A3835" t="s">
        <v>3839</v>
      </c>
      <c r="B3835">
        <v>0.995954080203443</v>
      </c>
      <c r="C3835">
        <v>0.960083362701038</v>
      </c>
      <c r="D3835">
        <v>0.88306784982372599</v>
      </c>
      <c r="E3835">
        <v>0.76827579045630601</v>
      </c>
      <c r="F3835">
        <v>0.62177215928116303</v>
      </c>
      <c r="G3835">
        <v>0.44413961603616398</v>
      </c>
      <c r="H3835">
        <v>0.39765582663398902</v>
      </c>
      <c r="I3835">
        <v>0.45702085609762699</v>
      </c>
      <c r="J3835">
        <v>0.53305811569096295</v>
      </c>
      <c r="K3835">
        <v>0.54636625702528596</v>
      </c>
      <c r="L3835">
        <v>1032.9360840051399</v>
      </c>
      <c r="M3835">
        <v>20.636855606108</v>
      </c>
      <c r="N3835">
        <v>57.932084315438601</v>
      </c>
      <c r="O3835">
        <v>49.590116407028198</v>
      </c>
      <c r="P3835">
        <v>-5.5162203395470802E-2</v>
      </c>
      <c r="Q3835">
        <v>0.46979904038937498</v>
      </c>
      <c r="R3835">
        <v>0.94459671673588497</v>
      </c>
      <c r="S3835" t="s">
        <v>10641</v>
      </c>
      <c r="T3835" t="s">
        <v>13610</v>
      </c>
      <c r="U3835" t="s">
        <v>13610</v>
      </c>
      <c r="V3835" t="s">
        <v>13610</v>
      </c>
      <c r="W3835" t="s">
        <v>17385</v>
      </c>
      <c r="X3835">
        <v>10</v>
      </c>
      <c r="Y3835" t="s">
        <v>23985</v>
      </c>
      <c r="Z3835" t="s">
        <v>30690</v>
      </c>
      <c r="AA3835">
        <v>0.65441042506411595</v>
      </c>
      <c r="AB3835" t="str">
        <f>HYPERLINK("Melting_Curves/meltCurve_Q5TGY3_AHDC1.pdf", "Melting_Curves/meltCurve_Q5TGY3_AHDC1.pdf")</f>
        <v>Melting_Curves/meltCurve_Q5TGY3_AHDC1.pdf</v>
      </c>
    </row>
    <row r="3836" spans="1:28" x14ac:dyDescent="0.25">
      <c r="A3836" t="s">
        <v>3840</v>
      </c>
      <c r="B3836">
        <v>0.995954080203443</v>
      </c>
      <c r="C3836">
        <v>1.0037421111299001</v>
      </c>
      <c r="D3836">
        <v>0.98917144944359503</v>
      </c>
      <c r="E3836">
        <v>0.892503951492291</v>
      </c>
      <c r="F3836">
        <v>0.80123574698881495</v>
      </c>
      <c r="G3836">
        <v>0.594108208194562</v>
      </c>
      <c r="H3836">
        <v>0.51319099310604099</v>
      </c>
      <c r="I3836">
        <v>0.56750904268267899</v>
      </c>
      <c r="J3836">
        <v>0.670314446396574</v>
      </c>
      <c r="K3836">
        <v>0.69519621932289899</v>
      </c>
      <c r="L3836">
        <v>1650.5760258093501</v>
      </c>
      <c r="M3836">
        <v>31.5350946543684</v>
      </c>
      <c r="O3836">
        <v>52.131813218378703</v>
      </c>
      <c r="P3836">
        <v>-5.9714785568131701E-2</v>
      </c>
      <c r="Q3836">
        <v>0.60513549403049505</v>
      </c>
      <c r="R3836">
        <v>0.91585379764226404</v>
      </c>
      <c r="S3836" t="s">
        <v>10642</v>
      </c>
      <c r="T3836" t="s">
        <v>13610</v>
      </c>
      <c r="U3836" t="s">
        <v>13610</v>
      </c>
      <c r="V3836" t="s">
        <v>13610</v>
      </c>
      <c r="W3836" t="s">
        <v>17386</v>
      </c>
      <c r="X3836">
        <v>17</v>
      </c>
      <c r="Y3836" t="s">
        <v>23986</v>
      </c>
      <c r="Z3836" t="s">
        <v>30691</v>
      </c>
      <c r="AA3836">
        <v>0.76986607984870403</v>
      </c>
      <c r="AB3836" t="str">
        <f>HYPERLINK("Melting_Curves/meltCurve_Q5THJ1_PRDM2.pdf", "Melting_Curves/meltCurve_Q5THJ1_PRDM2.pdf")</f>
        <v>Melting_Curves/meltCurve_Q5THJ1_PRDM2.pdf</v>
      </c>
    </row>
    <row r="3837" spans="1:28" x14ac:dyDescent="0.25">
      <c r="A3837" t="s">
        <v>3841</v>
      </c>
      <c r="B3837">
        <v>0.995954080203443</v>
      </c>
      <c r="C3837">
        <v>0.95139841229449895</v>
      </c>
      <c r="D3837">
        <v>0.83902813946654997</v>
      </c>
      <c r="E3837">
        <v>0.76244005430527395</v>
      </c>
      <c r="F3837">
        <v>0.51044244819754403</v>
      </c>
      <c r="G3837">
        <v>0.36597490056974202</v>
      </c>
      <c r="H3837">
        <v>0.28658357886667202</v>
      </c>
      <c r="I3837">
        <v>0.29646409204334201</v>
      </c>
      <c r="J3837">
        <v>0.26264835969913602</v>
      </c>
      <c r="K3837">
        <v>0.18798706860366601</v>
      </c>
      <c r="L3837">
        <v>707.86743099039802</v>
      </c>
      <c r="M3837">
        <v>13.653548526628001</v>
      </c>
      <c r="N3837">
        <v>53.907721918137803</v>
      </c>
      <c r="O3837">
        <v>50.770717695317103</v>
      </c>
      <c r="P3837">
        <v>-5.3559780716520899E-2</v>
      </c>
      <c r="Q3837">
        <v>0.20346809524619699</v>
      </c>
      <c r="R3837">
        <v>0.98784101609529196</v>
      </c>
      <c r="S3837" t="s">
        <v>10643</v>
      </c>
      <c r="T3837" t="s">
        <v>13610</v>
      </c>
      <c r="U3837" t="s">
        <v>13610</v>
      </c>
      <c r="V3837" t="s">
        <v>13610</v>
      </c>
      <c r="W3837" t="s">
        <v>17387</v>
      </c>
      <c r="X3837">
        <v>5</v>
      </c>
      <c r="Y3837" t="s">
        <v>23987</v>
      </c>
      <c r="Z3837" t="s">
        <v>30692</v>
      </c>
      <c r="AA3837">
        <v>0.53857777686273534</v>
      </c>
      <c r="AB3837" t="str">
        <f>HYPERLINK("Melting_Curves/meltCurve_Q5THJ4_2_VPS13D.pdf", "Melting_Curves/meltCurve_Q5THJ4_2_VPS13D.pdf")</f>
        <v>Melting_Curves/meltCurve_Q5THJ4_2_VPS13D.pdf</v>
      </c>
    </row>
    <row r="3838" spans="1:28" x14ac:dyDescent="0.25">
      <c r="A3838" t="s">
        <v>3842</v>
      </c>
      <c r="B3838">
        <v>0.995954080203443</v>
      </c>
      <c r="C3838">
        <v>0.91246144354011904</v>
      </c>
      <c r="D3838">
        <v>0.88797651601327399</v>
      </c>
      <c r="E3838">
        <v>0.80911748013419504</v>
      </c>
      <c r="F3838">
        <v>0.71673020517279895</v>
      </c>
      <c r="G3838">
        <v>0.55272931518581603</v>
      </c>
      <c r="H3838">
        <v>0.52422230071556597</v>
      </c>
      <c r="I3838">
        <v>0.633213673242907</v>
      </c>
      <c r="J3838">
        <v>0.73285423129272997</v>
      </c>
      <c r="K3838">
        <v>0.74966606022516202</v>
      </c>
      <c r="L3838">
        <v>875.74313429065899</v>
      </c>
      <c r="M3838">
        <v>18.1913254310974</v>
      </c>
      <c r="O3838">
        <v>47.570263076250598</v>
      </c>
      <c r="P3838">
        <v>-3.4300783164979601E-2</v>
      </c>
      <c r="Q3838">
        <v>0.64123118676174795</v>
      </c>
      <c r="R3838">
        <v>0.75600913512199996</v>
      </c>
      <c r="S3838" t="s">
        <v>10644</v>
      </c>
      <c r="T3838" t="s">
        <v>13610</v>
      </c>
      <c r="U3838" t="s">
        <v>13610</v>
      </c>
      <c r="V3838" t="s">
        <v>13610</v>
      </c>
      <c r="W3838" t="s">
        <v>17388</v>
      </c>
      <c r="X3838">
        <v>21</v>
      </c>
      <c r="Y3838" t="s">
        <v>23988</v>
      </c>
      <c r="Z3838" t="s">
        <v>30693</v>
      </c>
      <c r="AA3838">
        <v>0.74478703359733389</v>
      </c>
      <c r="AB3838" t="str">
        <f>HYPERLINK("Melting_Curves/meltCurve_Q5THK1_PRR14L.pdf", "Melting_Curves/meltCurve_Q5THK1_PRR14L.pdf")</f>
        <v>Melting_Curves/meltCurve_Q5THK1_PRR14L.pdf</v>
      </c>
    </row>
    <row r="3839" spans="1:28" x14ac:dyDescent="0.25">
      <c r="A3839" t="s">
        <v>3843</v>
      </c>
      <c r="B3839">
        <v>0.995954080203443</v>
      </c>
      <c r="C3839">
        <v>1.02530187591647</v>
      </c>
      <c r="D3839">
        <v>0.97448431772695399</v>
      </c>
      <c r="E3839">
        <v>0.86829463441142696</v>
      </c>
      <c r="F3839">
        <v>0.80249408752530305</v>
      </c>
      <c r="G3839">
        <v>0.50170197141861195</v>
      </c>
      <c r="H3839">
        <v>0.46665000633616999</v>
      </c>
      <c r="I3839">
        <v>0.53029300460865403</v>
      </c>
      <c r="J3839">
        <v>0.62909747766362301</v>
      </c>
      <c r="K3839">
        <v>0.60851527559657503</v>
      </c>
      <c r="L3839">
        <v>1686.2729316949301</v>
      </c>
      <c r="M3839">
        <v>32.073209610861902</v>
      </c>
      <c r="O3839">
        <v>52.372624099470798</v>
      </c>
      <c r="P3839">
        <v>-6.9674496037878494E-2</v>
      </c>
      <c r="Q3839">
        <v>0.54491390184387001</v>
      </c>
      <c r="R3839">
        <v>0.92415531949780605</v>
      </c>
      <c r="S3839" t="s">
        <v>10645</v>
      </c>
      <c r="T3839" t="s">
        <v>13610</v>
      </c>
      <c r="U3839" t="s">
        <v>13610</v>
      </c>
      <c r="V3839" t="s">
        <v>13610</v>
      </c>
      <c r="W3839" t="s">
        <v>17389</v>
      </c>
      <c r="X3839">
        <v>16</v>
      </c>
      <c r="Y3839" t="s">
        <v>20418</v>
      </c>
      <c r="Z3839" t="s">
        <v>30694</v>
      </c>
      <c r="AA3839">
        <v>0.73825227111527059</v>
      </c>
      <c r="AB3839" t="str">
        <f>HYPERLINK("Melting_Curves/meltCurve_Q5TZA2_CROCC.pdf", "Melting_Curves/meltCurve_Q5TZA2_CROCC.pdf")</f>
        <v>Melting_Curves/meltCurve_Q5TZA2_CROCC.pdf</v>
      </c>
    </row>
    <row r="3840" spans="1:28" x14ac:dyDescent="0.25">
      <c r="A3840" t="s">
        <v>3844</v>
      </c>
      <c r="B3840">
        <v>0.995954080203443</v>
      </c>
      <c r="C3840">
        <v>0.89773135860132103</v>
      </c>
      <c r="D3840">
        <v>0.89132175364826804</v>
      </c>
      <c r="E3840">
        <v>0.75272121061810804</v>
      </c>
      <c r="F3840">
        <v>0.52966972757721498</v>
      </c>
      <c r="G3840">
        <v>0.33591418648843302</v>
      </c>
      <c r="H3840">
        <v>0.241329214714119</v>
      </c>
      <c r="I3840">
        <v>0.23672794453738599</v>
      </c>
      <c r="J3840">
        <v>0.32821515560361603</v>
      </c>
      <c r="K3840">
        <v>0.30317353132709401</v>
      </c>
      <c r="L3840">
        <v>964.82442778431505</v>
      </c>
      <c r="M3840">
        <v>18.8084481320012</v>
      </c>
      <c r="N3840">
        <v>53.379215305253801</v>
      </c>
      <c r="O3840">
        <v>50.728066856658103</v>
      </c>
      <c r="P3840">
        <v>-6.8604825771514902E-2</v>
      </c>
      <c r="Q3840">
        <v>0.25989729773470799</v>
      </c>
      <c r="R3840">
        <v>0.976543659938237</v>
      </c>
      <c r="S3840" t="s">
        <v>10646</v>
      </c>
      <c r="T3840" t="s">
        <v>13610</v>
      </c>
      <c r="U3840" t="s">
        <v>13610</v>
      </c>
      <c r="V3840" t="s">
        <v>13610</v>
      </c>
      <c r="W3840" t="s">
        <v>17390</v>
      </c>
      <c r="X3840">
        <v>5</v>
      </c>
      <c r="Y3840" t="s">
        <v>23989</v>
      </c>
      <c r="Z3840" t="s">
        <v>30695</v>
      </c>
      <c r="AA3840">
        <v>0.55009123816279348</v>
      </c>
      <c r="AB3840" t="str">
        <f>HYPERLINK("Melting_Curves/meltCurve_Q5U5Q3_MEX3C.pdf", "Melting_Curves/meltCurve_Q5U5Q3_MEX3C.pdf")</f>
        <v>Melting_Curves/meltCurve_Q5U5Q3_MEX3C.pdf</v>
      </c>
    </row>
    <row r="3841" spans="1:28" x14ac:dyDescent="0.25">
      <c r="A3841" t="s">
        <v>3845</v>
      </c>
      <c r="B3841">
        <v>0.995954080203443</v>
      </c>
      <c r="C3841">
        <v>0.97727741536563795</v>
      </c>
      <c r="D3841">
        <v>0.86295884788811905</v>
      </c>
      <c r="E3841">
        <v>0.63805286147579698</v>
      </c>
      <c r="F3841">
        <v>0.34612767981236398</v>
      </c>
      <c r="G3841">
        <v>0.213929403375196</v>
      </c>
      <c r="H3841">
        <v>0.142843059108691</v>
      </c>
      <c r="I3841">
        <v>0.12405178118291001</v>
      </c>
      <c r="J3841">
        <v>0.13285886367736599</v>
      </c>
      <c r="K3841">
        <v>0.124972129544952</v>
      </c>
      <c r="L3841">
        <v>990.62259461756503</v>
      </c>
      <c r="M3841">
        <v>19.5913812657218</v>
      </c>
      <c r="N3841">
        <v>51.265154998343398</v>
      </c>
      <c r="O3841">
        <v>50.046222730212897</v>
      </c>
      <c r="P3841">
        <v>-8.6370457223679906E-2</v>
      </c>
      <c r="Q3841">
        <v>0.11749714212496901</v>
      </c>
      <c r="R3841">
        <v>0.99792640273494504</v>
      </c>
      <c r="S3841" t="s">
        <v>10647</v>
      </c>
      <c r="T3841" t="s">
        <v>13610</v>
      </c>
      <c r="U3841" t="s">
        <v>13610</v>
      </c>
      <c r="V3841" t="s">
        <v>13610</v>
      </c>
      <c r="W3841" t="s">
        <v>17391</v>
      </c>
      <c r="X3841">
        <v>4</v>
      </c>
      <c r="Y3841" t="s">
        <v>23990</v>
      </c>
      <c r="Z3841" t="s">
        <v>30696</v>
      </c>
      <c r="AA3841">
        <v>0.44101640975447032</v>
      </c>
      <c r="AB3841" t="str">
        <f>HYPERLINK("Melting_Curves/meltCurve_Q5U5X0_LYRM7.pdf", "Melting_Curves/meltCurve_Q5U5X0_LYRM7.pdf")</f>
        <v>Melting_Curves/meltCurve_Q5U5X0_LYRM7.pdf</v>
      </c>
    </row>
    <row r="3842" spans="1:28" x14ac:dyDescent="0.25">
      <c r="A3842" t="s">
        <v>3846</v>
      </c>
      <c r="B3842">
        <v>0.995954080203443</v>
      </c>
      <c r="C3842">
        <v>1.0379051491003</v>
      </c>
      <c r="D3842">
        <v>0.89312223632952004</v>
      </c>
      <c r="E3842">
        <v>0.80138241916126596</v>
      </c>
      <c r="F3842">
        <v>0.66556731979101502</v>
      </c>
      <c r="G3842">
        <v>0.48655934844980397</v>
      </c>
      <c r="H3842">
        <v>0.42716712837468901</v>
      </c>
      <c r="I3842">
        <v>0.44783258708749502</v>
      </c>
      <c r="J3842">
        <v>0.53607560766962703</v>
      </c>
      <c r="K3842">
        <v>0.48634593292850797</v>
      </c>
      <c r="L3842">
        <v>1060.4621167737801</v>
      </c>
      <c r="M3842">
        <v>20.755357224032899</v>
      </c>
      <c r="N3842">
        <v>58.521878723676899</v>
      </c>
      <c r="O3842">
        <v>50.626206865559801</v>
      </c>
      <c r="P3842">
        <v>-5.4925015848068401E-2</v>
      </c>
      <c r="Q3842">
        <v>0.46412540846573103</v>
      </c>
      <c r="R3842">
        <v>0.96740204116394202</v>
      </c>
      <c r="S3842" t="s">
        <v>10648</v>
      </c>
      <c r="T3842" t="s">
        <v>13610</v>
      </c>
      <c r="U3842" t="s">
        <v>13610</v>
      </c>
      <c r="V3842" t="s">
        <v>13610</v>
      </c>
      <c r="W3842" t="s">
        <v>17392</v>
      </c>
      <c r="X3842">
        <v>3</v>
      </c>
      <c r="Y3842" t="s">
        <v>23991</v>
      </c>
      <c r="Z3842" t="s">
        <v>30697</v>
      </c>
      <c r="AA3842">
        <v>0.66921902783957776</v>
      </c>
      <c r="AB3842" t="str">
        <f>HYPERLINK("Melting_Curves/meltCurve_Q5U623_ATF7IP2.pdf", "Melting_Curves/meltCurve_Q5U623_ATF7IP2.pdf")</f>
        <v>Melting_Curves/meltCurve_Q5U623_ATF7IP2.pdf</v>
      </c>
    </row>
    <row r="3843" spans="1:28" x14ac:dyDescent="0.25">
      <c r="A3843" t="s">
        <v>3847</v>
      </c>
      <c r="B3843">
        <v>0.995954080203443</v>
      </c>
      <c r="C3843">
        <v>0.96521481016862798</v>
      </c>
      <c r="D3843">
        <v>0.89519326680670197</v>
      </c>
      <c r="E3843">
        <v>0.76313173346446295</v>
      </c>
      <c r="F3843">
        <v>0.74203092415175298</v>
      </c>
      <c r="G3843">
        <v>0.59392063296909603</v>
      </c>
      <c r="H3843">
        <v>0.57297665284943999</v>
      </c>
      <c r="I3843">
        <v>0.67865269569944697</v>
      </c>
      <c r="J3843">
        <v>0.808410644946018</v>
      </c>
      <c r="K3843">
        <v>0.78641061990133598</v>
      </c>
      <c r="L3843">
        <v>1160.80280308743</v>
      </c>
      <c r="M3843">
        <v>24.569474451143599</v>
      </c>
      <c r="O3843">
        <v>46.936093413982398</v>
      </c>
      <c r="P3843">
        <v>-4.0126175168502198E-2</v>
      </c>
      <c r="Q3843">
        <v>0.69338564700073402</v>
      </c>
      <c r="R3843">
        <v>0.73639174885584902</v>
      </c>
      <c r="S3843" t="s">
        <v>10649</v>
      </c>
      <c r="T3843" t="s">
        <v>13610</v>
      </c>
      <c r="U3843" t="s">
        <v>13610</v>
      </c>
      <c r="V3843" t="s">
        <v>13610</v>
      </c>
      <c r="W3843" t="s">
        <v>17393</v>
      </c>
      <c r="X3843">
        <v>71</v>
      </c>
      <c r="Y3843" t="s">
        <v>23992</v>
      </c>
      <c r="Z3843" t="s">
        <v>30698</v>
      </c>
      <c r="AA3843">
        <v>0.77027213218951218</v>
      </c>
      <c r="AB3843" t="str">
        <f>HYPERLINK("Melting_Curves/meltCurve_Q5UIP0_2_RIF1.pdf", "Melting_Curves/meltCurve_Q5UIP0_2_RIF1.pdf")</f>
        <v>Melting_Curves/meltCurve_Q5UIP0_2_RIF1.pdf</v>
      </c>
    </row>
    <row r="3844" spans="1:28" x14ac:dyDescent="0.25">
      <c r="A3844" t="s">
        <v>3848</v>
      </c>
      <c r="B3844">
        <v>0.995954080203443</v>
      </c>
      <c r="C3844">
        <v>0.831939516761253</v>
      </c>
      <c r="D3844">
        <v>0.62021758539361704</v>
      </c>
      <c r="E3844">
        <v>0.45388612425474201</v>
      </c>
      <c r="F3844">
        <v>0.15276818490289801</v>
      </c>
      <c r="G3844">
        <v>9.9585062298866794E-2</v>
      </c>
      <c r="H3844">
        <v>7.2596731141447102E-2</v>
      </c>
      <c r="I3844">
        <v>5.5066375056157198E-2</v>
      </c>
      <c r="J3844">
        <v>6.4226353366708094E-2</v>
      </c>
      <c r="K3844">
        <v>5.1699545843099701E-2</v>
      </c>
      <c r="L3844">
        <v>714.28529219817199</v>
      </c>
      <c r="M3844">
        <v>14.9335357284158</v>
      </c>
      <c r="N3844">
        <v>48.064312156697099</v>
      </c>
      <c r="O3844">
        <v>46.997838645781599</v>
      </c>
      <c r="P3844">
        <v>-7.6667511613065495E-2</v>
      </c>
      <c r="Q3844">
        <v>3.49675049125759E-2</v>
      </c>
      <c r="R3844">
        <v>0.98612681107778699</v>
      </c>
      <c r="S3844" t="s">
        <v>10650</v>
      </c>
      <c r="T3844" t="s">
        <v>13610</v>
      </c>
      <c r="U3844" t="s">
        <v>13610</v>
      </c>
      <c r="V3844" t="s">
        <v>13610</v>
      </c>
      <c r="W3844" t="s">
        <v>17394</v>
      </c>
      <c r="X3844">
        <v>15</v>
      </c>
      <c r="Y3844" t="s">
        <v>23993</v>
      </c>
      <c r="Z3844" t="s">
        <v>30699</v>
      </c>
      <c r="AA3844">
        <v>0.31213112530489051</v>
      </c>
      <c r="AB3844" t="str">
        <f>HYPERLINK("Melting_Curves/meltCurve_Q5VIR6_4_VPS53.pdf", "Melting_Curves/meltCurve_Q5VIR6_4_VPS53.pdf")</f>
        <v>Melting_Curves/meltCurve_Q5VIR6_4_VPS53.pdf</v>
      </c>
    </row>
    <row r="3845" spans="1:28" x14ac:dyDescent="0.25">
      <c r="A3845" t="s">
        <v>3849</v>
      </c>
      <c r="B3845">
        <v>0.995954080203443</v>
      </c>
      <c r="C3845">
        <v>0.88080740487615306</v>
      </c>
      <c r="D3845">
        <v>0.67758951934582801</v>
      </c>
      <c r="E3845">
        <v>0.52949572633740605</v>
      </c>
      <c r="F3845">
        <v>0.29409118865981998</v>
      </c>
      <c r="G3845">
        <v>0.16604863134240599</v>
      </c>
      <c r="H3845">
        <v>8.8752479816199506E-2</v>
      </c>
      <c r="I3845">
        <v>7.9951719943042204E-2</v>
      </c>
      <c r="J3845">
        <v>8.3831243220848201E-2</v>
      </c>
      <c r="K3845">
        <v>7.6668533251516693E-2</v>
      </c>
      <c r="L3845">
        <v>653.53796514406395</v>
      </c>
      <c r="M3845">
        <v>13.2808064095997</v>
      </c>
      <c r="N3845">
        <v>49.5456815507033</v>
      </c>
      <c r="O3845">
        <v>48.133636654471701</v>
      </c>
      <c r="P3845">
        <v>-6.6015008682345597E-2</v>
      </c>
      <c r="Q3845">
        <v>4.3122278215294303E-2</v>
      </c>
      <c r="R3845">
        <v>0.99232594011878394</v>
      </c>
      <c r="S3845" t="s">
        <v>10651</v>
      </c>
      <c r="T3845" t="s">
        <v>13610</v>
      </c>
      <c r="U3845" t="s">
        <v>13610</v>
      </c>
      <c r="V3845" t="s">
        <v>13610</v>
      </c>
      <c r="W3845" t="s">
        <v>17395</v>
      </c>
      <c r="X3845">
        <v>14</v>
      </c>
      <c r="Y3845" t="s">
        <v>23994</v>
      </c>
      <c r="Z3845" t="s">
        <v>30700</v>
      </c>
      <c r="AA3845">
        <v>0.36606361993169062</v>
      </c>
      <c r="AB3845" t="str">
        <f>HYPERLINK("Melting_Curves/meltCurve_Q5VSL9_STRIP1.pdf", "Melting_Curves/meltCurve_Q5VSL9_STRIP1.pdf")</f>
        <v>Melting_Curves/meltCurve_Q5VSL9_STRIP1.pdf</v>
      </c>
    </row>
    <row r="3846" spans="1:28" x14ac:dyDescent="0.25">
      <c r="A3846" t="s">
        <v>3850</v>
      </c>
      <c r="B3846">
        <v>0.995954080203443</v>
      </c>
      <c r="C3846">
        <v>0.82526995653115598</v>
      </c>
      <c r="D3846">
        <v>1.2315797638361099</v>
      </c>
      <c r="E3846">
        <v>1.06906045870125</v>
      </c>
      <c r="F3846">
        <v>1.1504241097841399</v>
      </c>
      <c r="G3846">
        <v>1.2340680127433199</v>
      </c>
      <c r="H3846">
        <v>1.1587699635315201</v>
      </c>
      <c r="I3846">
        <v>1.4508424316447099</v>
      </c>
      <c r="J3846">
        <v>1.6483615360888999</v>
      </c>
      <c r="K3846">
        <v>1.6544338983111999</v>
      </c>
      <c r="L3846">
        <v>953.78648937693094</v>
      </c>
      <c r="M3846">
        <v>16.595932965536701</v>
      </c>
      <c r="O3846">
        <v>56.656100346676901</v>
      </c>
      <c r="P3846">
        <v>3.66179905500328E-2</v>
      </c>
      <c r="Q3846">
        <v>1.5</v>
      </c>
      <c r="R3846">
        <v>0.70324274961642996</v>
      </c>
      <c r="S3846" t="s">
        <v>10652</v>
      </c>
      <c r="T3846" t="s">
        <v>13610</v>
      </c>
      <c r="U3846" t="s">
        <v>13610</v>
      </c>
      <c r="V3846" t="s">
        <v>13610</v>
      </c>
      <c r="W3846" t="s">
        <v>17396</v>
      </c>
      <c r="X3846">
        <v>3</v>
      </c>
      <c r="Y3846" t="s">
        <v>23995</v>
      </c>
      <c r="Z3846" t="s">
        <v>30701</v>
      </c>
      <c r="AA3846">
        <v>1.201827205169774</v>
      </c>
      <c r="AB3846" t="str">
        <f>HYPERLINK("Melting_Curves/meltCurve_Q5VSY0_2_GKAP1.pdf", "Melting_Curves/meltCurve_Q5VSY0_2_GKAP1.pdf")</f>
        <v>Melting_Curves/meltCurve_Q5VSY0_2_GKAP1.pdf</v>
      </c>
    </row>
    <row r="3847" spans="1:28" x14ac:dyDescent="0.25">
      <c r="A3847" t="s">
        <v>3851</v>
      </c>
      <c r="B3847">
        <v>0.995954080203443</v>
      </c>
      <c r="C3847">
        <v>0.94798118321964397</v>
      </c>
      <c r="D3847">
        <v>0.95334722876172995</v>
      </c>
      <c r="E3847">
        <v>0.81989138409736495</v>
      </c>
      <c r="F3847">
        <v>0.75940149580800498</v>
      </c>
      <c r="G3847">
        <v>0.52892786659899305</v>
      </c>
      <c r="H3847">
        <v>0.44906148969208698</v>
      </c>
      <c r="I3847">
        <v>0.52425319475288301</v>
      </c>
      <c r="J3847">
        <v>0.61169558240181898</v>
      </c>
      <c r="K3847">
        <v>0.62494554978715</v>
      </c>
      <c r="L3847">
        <v>1202.94807914955</v>
      </c>
      <c r="M3847">
        <v>23.395597259323601</v>
      </c>
      <c r="O3847">
        <v>51.046463495959401</v>
      </c>
      <c r="P3847">
        <v>-5.22812979490841E-2</v>
      </c>
      <c r="Q3847">
        <v>0.54372115138662802</v>
      </c>
      <c r="R3847">
        <v>0.90851143223605202</v>
      </c>
      <c r="S3847" t="s">
        <v>10653</v>
      </c>
      <c r="T3847" t="s">
        <v>13610</v>
      </c>
      <c r="U3847" t="s">
        <v>13610</v>
      </c>
      <c r="V3847" t="s">
        <v>13610</v>
      </c>
      <c r="W3847" t="s">
        <v>17397</v>
      </c>
      <c r="X3847">
        <v>41</v>
      </c>
      <c r="Y3847" t="s">
        <v>23996</v>
      </c>
      <c r="Z3847" t="s">
        <v>30702</v>
      </c>
      <c r="AA3847">
        <v>0.72208490477455523</v>
      </c>
      <c r="AB3847" t="str">
        <f>HYPERLINK("Melting_Curves/meltCurve_Q5VT06_CEP350.pdf", "Melting_Curves/meltCurve_Q5VT06_CEP350.pdf")</f>
        <v>Melting_Curves/meltCurve_Q5VT06_CEP350.pdf</v>
      </c>
    </row>
    <row r="3848" spans="1:28" x14ac:dyDescent="0.25">
      <c r="A3848" t="s">
        <v>3852</v>
      </c>
      <c r="B3848">
        <v>0.995954080203443</v>
      </c>
      <c r="C3848">
        <v>0.87350059298803795</v>
      </c>
      <c r="D3848">
        <v>0.61336085587901101</v>
      </c>
      <c r="E3848">
        <v>0.48010498810655799</v>
      </c>
      <c r="F3848">
        <v>0.37651359515599298</v>
      </c>
      <c r="G3848">
        <v>0.19913722780805801</v>
      </c>
      <c r="H3848">
        <v>0.12017789236104</v>
      </c>
      <c r="I3848">
        <v>0.12255755687348401</v>
      </c>
      <c r="J3848">
        <v>0.13578704243166001</v>
      </c>
      <c r="K3848">
        <v>0.13127903927036799</v>
      </c>
      <c r="L3848">
        <v>603.646794580353</v>
      </c>
      <c r="M3848">
        <v>12.4640344520919</v>
      </c>
      <c r="N3848">
        <v>49.2583299829219</v>
      </c>
      <c r="O3848">
        <v>47.235099648913703</v>
      </c>
      <c r="P3848">
        <v>-5.9751022937713297E-2</v>
      </c>
      <c r="Q3848">
        <v>9.4431964780318095E-2</v>
      </c>
      <c r="R3848">
        <v>0.98408556527894597</v>
      </c>
      <c r="S3848" t="s">
        <v>10654</v>
      </c>
      <c r="T3848" t="s">
        <v>13610</v>
      </c>
      <c r="U3848" t="s">
        <v>13610</v>
      </c>
      <c r="V3848" t="s">
        <v>13610</v>
      </c>
      <c r="W3848" t="s">
        <v>17398</v>
      </c>
      <c r="X3848">
        <v>31</v>
      </c>
      <c r="Y3848" t="s">
        <v>23997</v>
      </c>
      <c r="Z3848" t="s">
        <v>30703</v>
      </c>
      <c r="AA3848">
        <v>0.38117869270695792</v>
      </c>
      <c r="AB3848" t="str">
        <f>HYPERLINK("Melting_Curves/meltCurve_Q5VT25_4_CDC42BPA.pdf", "Melting_Curves/meltCurve_Q5VT25_4_CDC42BPA.pdf")</f>
        <v>Melting_Curves/meltCurve_Q5VT25_4_CDC42BPA.pdf</v>
      </c>
    </row>
    <row r="3849" spans="1:28" x14ac:dyDescent="0.25">
      <c r="A3849" t="s">
        <v>3853</v>
      </c>
      <c r="B3849">
        <v>0.995954080203443</v>
      </c>
      <c r="C3849">
        <v>1.0550994429531999</v>
      </c>
      <c r="D3849">
        <v>1.0535696317852401</v>
      </c>
      <c r="E3849">
        <v>0.91042266182328901</v>
      </c>
      <c r="F3849">
        <v>0.88957769174390899</v>
      </c>
      <c r="G3849">
        <v>0.70096721058678801</v>
      </c>
      <c r="H3849">
        <v>0.65695020893182299</v>
      </c>
      <c r="I3849">
        <v>0.79058147981364801</v>
      </c>
      <c r="J3849">
        <v>0.87775182934809504</v>
      </c>
      <c r="K3849">
        <v>0.90776002727391703</v>
      </c>
      <c r="L3849">
        <v>1832.32385656976</v>
      </c>
      <c r="M3849">
        <v>35.6750008052014</v>
      </c>
      <c r="O3849">
        <v>51.200980153419501</v>
      </c>
      <c r="P3849">
        <v>-3.63360223428012E-2</v>
      </c>
      <c r="Q3849">
        <v>0.79140195200378605</v>
      </c>
      <c r="R3849">
        <v>0.64977360145926399</v>
      </c>
      <c r="S3849" t="s">
        <v>10655</v>
      </c>
      <c r="T3849" t="s">
        <v>13610</v>
      </c>
      <c r="U3849" t="s">
        <v>13610</v>
      </c>
      <c r="V3849" t="s">
        <v>13610</v>
      </c>
      <c r="W3849" t="s">
        <v>17399</v>
      </c>
      <c r="X3849">
        <v>35</v>
      </c>
      <c r="Y3849" t="s">
        <v>23998</v>
      </c>
      <c r="Z3849" t="s">
        <v>30704</v>
      </c>
      <c r="AA3849">
        <v>0.87133411720227949</v>
      </c>
      <c r="AB3849" t="str">
        <f>HYPERLINK("Melting_Curves/meltCurve_Q5VT52_RPRD2.pdf", "Melting_Curves/meltCurve_Q5VT52_RPRD2.pdf")</f>
        <v>Melting_Curves/meltCurve_Q5VT52_RPRD2.pdf</v>
      </c>
    </row>
    <row r="3850" spans="1:28" x14ac:dyDescent="0.25">
      <c r="A3850" t="s">
        <v>3854</v>
      </c>
      <c r="B3850">
        <v>0.995954080203443</v>
      </c>
      <c r="C3850">
        <v>0.91207500295652899</v>
      </c>
      <c r="D3850">
        <v>0.86633922924214302</v>
      </c>
      <c r="E3850">
        <v>0.79567621972704605</v>
      </c>
      <c r="F3850">
        <v>0.83432396727940805</v>
      </c>
      <c r="G3850">
        <v>0.67450629019873098</v>
      </c>
      <c r="H3850">
        <v>0.69270909071339704</v>
      </c>
      <c r="I3850">
        <v>0.67301480513292899</v>
      </c>
      <c r="J3850">
        <v>0.89164514150440299</v>
      </c>
      <c r="K3850">
        <v>0.79175950967709696</v>
      </c>
      <c r="L3850">
        <v>770.97270678713301</v>
      </c>
      <c r="M3850">
        <v>17.006713231180001</v>
      </c>
      <c r="O3850">
        <v>44.720554726503202</v>
      </c>
      <c r="P3850">
        <v>-2.34165366431308E-2</v>
      </c>
      <c r="Q3850">
        <v>0.75371234125265896</v>
      </c>
      <c r="R3850">
        <v>0.59656658407926499</v>
      </c>
      <c r="S3850" t="s">
        <v>10656</v>
      </c>
      <c r="T3850" t="s">
        <v>13610</v>
      </c>
      <c r="U3850" t="s">
        <v>13610</v>
      </c>
      <c r="V3850" t="s">
        <v>13610</v>
      </c>
      <c r="W3850" t="s">
        <v>17400</v>
      </c>
      <c r="X3850">
        <v>2</v>
      </c>
      <c r="Y3850" t="s">
        <v>23999</v>
      </c>
      <c r="Z3850" t="s">
        <v>30705</v>
      </c>
      <c r="AA3850">
        <v>0.80332039972590119</v>
      </c>
      <c r="AB3850" t="str">
        <f>HYPERLINK("Melting_Curves/meltCurve_Q5VTD9_2_GFI1B.pdf", "Melting_Curves/meltCurve_Q5VTD9_2_GFI1B.pdf")</f>
        <v>Melting_Curves/meltCurve_Q5VTD9_2_GFI1B.pdf</v>
      </c>
    </row>
    <row r="3851" spans="1:28" x14ac:dyDescent="0.25">
      <c r="A3851" t="s">
        <v>3855</v>
      </c>
      <c r="B3851">
        <v>0.995954080203443</v>
      </c>
      <c r="C3851">
        <v>0.78717489905007199</v>
      </c>
      <c r="D3851">
        <v>0.90312298679696201</v>
      </c>
      <c r="E3851">
        <v>0.73860399485074602</v>
      </c>
      <c r="F3851">
        <v>0.61082524323977005</v>
      </c>
      <c r="G3851">
        <v>0.307341060989199</v>
      </c>
      <c r="H3851">
        <v>0.25597770252813701</v>
      </c>
      <c r="I3851">
        <v>0.287392985928346</v>
      </c>
      <c r="J3851">
        <v>0.312854943821545</v>
      </c>
      <c r="K3851">
        <v>0.287938877799568</v>
      </c>
      <c r="L3851">
        <v>735.34572776039295</v>
      </c>
      <c r="M3851">
        <v>14.2549037851471</v>
      </c>
      <c r="N3851">
        <v>54.050367785800901</v>
      </c>
      <c r="O3851">
        <v>50.602111413521399</v>
      </c>
      <c r="P3851">
        <v>-5.36012616668761E-2</v>
      </c>
      <c r="Q3851">
        <v>0.238998002642935</v>
      </c>
      <c r="R3851">
        <v>0.93454347260203496</v>
      </c>
      <c r="S3851" t="s">
        <v>10657</v>
      </c>
      <c r="T3851" t="s">
        <v>13610</v>
      </c>
      <c r="U3851" t="s">
        <v>13610</v>
      </c>
      <c r="V3851" t="s">
        <v>13610</v>
      </c>
      <c r="W3851" t="s">
        <v>17401</v>
      </c>
      <c r="X3851">
        <v>11</v>
      </c>
      <c r="Y3851" t="s">
        <v>24000</v>
      </c>
      <c r="Z3851" t="s">
        <v>30706</v>
      </c>
      <c r="AA3851">
        <v>0.55156078594053048</v>
      </c>
      <c r="AB3851" t="str">
        <f>HYPERLINK("Melting_Curves/meltCurve_Q5VTL8_PRPF38B.pdf", "Melting_Curves/meltCurve_Q5VTL8_PRPF38B.pdf")</f>
        <v>Melting_Curves/meltCurve_Q5VTL8_PRPF38B.pdf</v>
      </c>
    </row>
    <row r="3852" spans="1:28" x14ac:dyDescent="0.25">
      <c r="A3852" t="s">
        <v>3856</v>
      </c>
      <c r="B3852">
        <v>0.995954080203443</v>
      </c>
      <c r="C3852">
        <v>0.88451611409751596</v>
      </c>
      <c r="D3852">
        <v>0.78669900866426001</v>
      </c>
      <c r="E3852">
        <v>0.46663871557929198</v>
      </c>
      <c r="F3852">
        <v>0.21948469816684299</v>
      </c>
      <c r="G3852">
        <v>0.12532087367571901</v>
      </c>
      <c r="H3852">
        <v>8.0411509198399206E-2</v>
      </c>
      <c r="I3852">
        <v>7.1620317905212103E-2</v>
      </c>
      <c r="J3852">
        <v>7.6496244414639203E-2</v>
      </c>
      <c r="K3852">
        <v>7.2208978613982497E-2</v>
      </c>
      <c r="L3852">
        <v>882.39493038869705</v>
      </c>
      <c r="M3852">
        <v>18.0241967871725</v>
      </c>
      <c r="N3852">
        <v>49.302258875655703</v>
      </c>
      <c r="O3852">
        <v>48.365441613208503</v>
      </c>
      <c r="P3852">
        <v>-8.7634088658001E-2</v>
      </c>
      <c r="Q3852">
        <v>5.9430325804770902E-2</v>
      </c>
      <c r="R3852">
        <v>0.99671035221336801</v>
      </c>
      <c r="S3852" t="s">
        <v>10658</v>
      </c>
      <c r="T3852" t="s">
        <v>13610</v>
      </c>
      <c r="U3852" t="s">
        <v>13610</v>
      </c>
      <c r="V3852" t="s">
        <v>13610</v>
      </c>
      <c r="W3852" t="s">
        <v>17402</v>
      </c>
      <c r="X3852">
        <v>38</v>
      </c>
      <c r="Y3852" t="s">
        <v>24001</v>
      </c>
      <c r="Z3852" t="s">
        <v>30707</v>
      </c>
      <c r="AA3852">
        <v>0.35648713885472061</v>
      </c>
      <c r="AB3852" t="str">
        <f>HYPERLINK("Melting_Curves/meltCurve_Q5VTR2_RNF20.pdf", "Melting_Curves/meltCurve_Q5VTR2_RNF20.pdf")</f>
        <v>Melting_Curves/meltCurve_Q5VTR2_RNF20.pdf</v>
      </c>
    </row>
    <row r="3853" spans="1:28" x14ac:dyDescent="0.25">
      <c r="A3853" t="s">
        <v>3857</v>
      </c>
      <c r="B3853">
        <v>0.995954080203443</v>
      </c>
      <c r="C3853">
        <v>0.69801838543302597</v>
      </c>
      <c r="D3853">
        <v>0.55564465099217497</v>
      </c>
      <c r="E3853">
        <v>0.41888996636699999</v>
      </c>
      <c r="F3853">
        <v>0.22306278901124199</v>
      </c>
      <c r="G3853">
        <v>0.12321116976978901</v>
      </c>
      <c r="H3853">
        <v>7.9854370474782804E-2</v>
      </c>
      <c r="I3853">
        <v>5.9127948184669397E-2</v>
      </c>
      <c r="J3853">
        <v>7.7273376971538105E-2</v>
      </c>
      <c r="K3853">
        <v>4.8590657801736603E-2</v>
      </c>
      <c r="L3853">
        <v>561.01385403403003</v>
      </c>
      <c r="M3853">
        <v>11.907981241489701</v>
      </c>
      <c r="N3853">
        <v>47.357606838260999</v>
      </c>
      <c r="O3853">
        <v>45.842737841046002</v>
      </c>
      <c r="P3853">
        <v>-6.3013741064107606E-2</v>
      </c>
      <c r="Q3853">
        <v>2.9892917956490701E-2</v>
      </c>
      <c r="R3853">
        <v>0.97816714645665204</v>
      </c>
      <c r="S3853" t="s">
        <v>10659</v>
      </c>
      <c r="T3853" t="s">
        <v>13610</v>
      </c>
      <c r="U3853" t="s">
        <v>13610</v>
      </c>
      <c r="V3853" t="s">
        <v>13610</v>
      </c>
      <c r="W3853" t="s">
        <v>17403</v>
      </c>
      <c r="X3853">
        <v>2</v>
      </c>
      <c r="Y3853" t="s">
        <v>24002</v>
      </c>
      <c r="Z3853" t="s">
        <v>30708</v>
      </c>
      <c r="AA3853">
        <v>0.30084443804791489</v>
      </c>
      <c r="AB3853" t="str">
        <f>HYPERLINK("Melting_Curves/meltCurve_Q5VTU3_DYNLT1.pdf", "Melting_Curves/meltCurve_Q5VTU3_DYNLT1.pdf")</f>
        <v>Melting_Curves/meltCurve_Q5VTU3_DYNLT1.pdf</v>
      </c>
    </row>
    <row r="3854" spans="1:28" x14ac:dyDescent="0.25">
      <c r="A3854" t="s">
        <v>3858</v>
      </c>
      <c r="B3854">
        <v>0.995954080203443</v>
      </c>
      <c r="C3854">
        <v>0.94810601345762302</v>
      </c>
      <c r="D3854">
        <v>0.81469104865280295</v>
      </c>
      <c r="E3854">
        <v>0.79152522064178199</v>
      </c>
      <c r="F3854">
        <v>0.56052615829214403</v>
      </c>
      <c r="G3854">
        <v>0.37836911495137598</v>
      </c>
      <c r="H3854">
        <v>0.34623098094050397</v>
      </c>
      <c r="I3854">
        <v>0.40088914439112899</v>
      </c>
      <c r="J3854">
        <v>0.49976157289184597</v>
      </c>
      <c r="K3854">
        <v>0.46262713232548203</v>
      </c>
      <c r="L3854">
        <v>904.68740382756198</v>
      </c>
      <c r="M3854">
        <v>18.101194801641</v>
      </c>
      <c r="N3854">
        <v>55.044031832082297</v>
      </c>
      <c r="O3854">
        <v>49.381406362617298</v>
      </c>
      <c r="P3854">
        <v>-5.4486924255832701E-2</v>
      </c>
      <c r="Q3854">
        <v>0.40545110673622697</v>
      </c>
      <c r="R3854">
        <v>0.92568263780613202</v>
      </c>
      <c r="S3854" t="s">
        <v>10660</v>
      </c>
      <c r="T3854" t="s">
        <v>13610</v>
      </c>
      <c r="U3854" t="s">
        <v>13610</v>
      </c>
      <c r="V3854" t="s">
        <v>13610</v>
      </c>
      <c r="W3854" t="s">
        <v>17404</v>
      </c>
      <c r="X3854">
        <v>14</v>
      </c>
      <c r="Y3854" t="s">
        <v>24003</v>
      </c>
      <c r="Z3854" t="s">
        <v>30709</v>
      </c>
      <c r="AA3854">
        <v>0.61326072802911435</v>
      </c>
      <c r="AB3854" t="str">
        <f>HYPERLINK("Melting_Curves/meltCurve_Q5VU43_3_PDE4DIP.pdf", "Melting_Curves/meltCurve_Q5VU43_3_PDE4DIP.pdf")</f>
        <v>Melting_Curves/meltCurve_Q5VU43_3_PDE4DIP.pdf</v>
      </c>
    </row>
    <row r="3855" spans="1:28" x14ac:dyDescent="0.25">
      <c r="A3855" t="s">
        <v>3859</v>
      </c>
      <c r="B3855">
        <v>0.995954080203443</v>
      </c>
      <c r="C3855">
        <v>1.00676430969069</v>
      </c>
      <c r="D3855">
        <v>0.89716621238063199</v>
      </c>
      <c r="E3855">
        <v>0.99369213587768401</v>
      </c>
      <c r="F3855">
        <v>1.0103673516084499</v>
      </c>
      <c r="G3855">
        <v>0.80357056233861401</v>
      </c>
      <c r="H3855">
        <v>0.75396737728614605</v>
      </c>
      <c r="I3855">
        <v>0.88397165037423697</v>
      </c>
      <c r="J3855">
        <v>1.27662556490474</v>
      </c>
      <c r="K3855">
        <v>1.06865228086679</v>
      </c>
      <c r="L3855">
        <v>4133.7350678389403</v>
      </c>
      <c r="M3855">
        <v>63.006146207177203</v>
      </c>
      <c r="O3855">
        <v>65.542445601691298</v>
      </c>
      <c r="P3855">
        <v>3.92267911237709E-2</v>
      </c>
      <c r="Q3855">
        <v>1.16322337209638</v>
      </c>
      <c r="R3855">
        <v>0.17148860332207699</v>
      </c>
      <c r="S3855" t="s">
        <v>10661</v>
      </c>
      <c r="T3855" t="s">
        <v>13610</v>
      </c>
      <c r="U3855" t="s">
        <v>13610</v>
      </c>
      <c r="V3855" t="s">
        <v>13610</v>
      </c>
      <c r="W3855" t="s">
        <v>17405</v>
      </c>
      <c r="X3855">
        <v>40</v>
      </c>
      <c r="Y3855" t="s">
        <v>22060</v>
      </c>
      <c r="Z3855" t="s">
        <v>30710</v>
      </c>
      <c r="AA3855">
        <v>1.0237236993920109</v>
      </c>
      <c r="AB3855" t="str">
        <f>HYPERLINK("Melting_Curves/meltCurve_Q5VU58_TPM3.pdf", "Melting_Curves/meltCurve_Q5VU58_TPM3.pdf")</f>
        <v>Melting_Curves/meltCurve_Q5VU58_TPM3.pdf</v>
      </c>
    </row>
    <row r="3856" spans="1:28" x14ac:dyDescent="0.25">
      <c r="A3856" t="s">
        <v>3860</v>
      </c>
      <c r="B3856">
        <v>0.995954080203443</v>
      </c>
      <c r="C3856">
        <v>0.98931915527814296</v>
      </c>
      <c r="D3856">
        <v>0.98261668850583295</v>
      </c>
      <c r="E3856">
        <v>0.88377200451849203</v>
      </c>
      <c r="F3856">
        <v>0.80480279012304801</v>
      </c>
      <c r="G3856">
        <v>0.59356857463554202</v>
      </c>
      <c r="H3856">
        <v>0.54867108457106595</v>
      </c>
      <c r="I3856">
        <v>0.65907470529453205</v>
      </c>
      <c r="J3856">
        <v>0.748132204345893</v>
      </c>
      <c r="K3856">
        <v>0.76076189400202798</v>
      </c>
      <c r="L3856">
        <v>1671.28493414644</v>
      </c>
      <c r="M3856">
        <v>32.454509430378302</v>
      </c>
      <c r="O3856">
        <v>51.301897786615399</v>
      </c>
      <c r="P3856">
        <v>-5.3056811041477303E-2</v>
      </c>
      <c r="Q3856">
        <v>0.66452709454557302</v>
      </c>
      <c r="R3856">
        <v>0.83552618118696897</v>
      </c>
      <c r="S3856" t="s">
        <v>10662</v>
      </c>
      <c r="T3856" t="s">
        <v>13610</v>
      </c>
      <c r="U3856" t="s">
        <v>13610</v>
      </c>
      <c r="V3856" t="s">
        <v>13610</v>
      </c>
      <c r="W3856" t="s">
        <v>17406</v>
      </c>
      <c r="X3856">
        <v>49</v>
      </c>
      <c r="Y3856" t="s">
        <v>24004</v>
      </c>
      <c r="Z3856" t="s">
        <v>30711</v>
      </c>
      <c r="AA3856">
        <v>0.7949000107171712</v>
      </c>
      <c r="AB3856" t="str">
        <f>HYPERLINK("Melting_Curves/meltCurve_Q5VUA4_ZNF318.pdf", "Melting_Curves/meltCurve_Q5VUA4_ZNF318.pdf")</f>
        <v>Melting_Curves/meltCurve_Q5VUA4_ZNF318.pdf</v>
      </c>
    </row>
    <row r="3857" spans="1:28" x14ac:dyDescent="0.25">
      <c r="A3857" t="s">
        <v>3861</v>
      </c>
      <c r="B3857">
        <v>0.995954080203443</v>
      </c>
      <c r="C3857">
        <v>0.96761997659152399</v>
      </c>
      <c r="D3857">
        <v>0.85866834409481596</v>
      </c>
      <c r="E3857">
        <v>0.52442881791151996</v>
      </c>
      <c r="F3857">
        <v>0.279755905740524</v>
      </c>
      <c r="G3857">
        <v>0.19324037130924601</v>
      </c>
      <c r="H3857">
        <v>0.144066262832486</v>
      </c>
      <c r="I3857">
        <v>0.12770452454953701</v>
      </c>
      <c r="J3857">
        <v>0.187812613657064</v>
      </c>
      <c r="K3857">
        <v>0.127840056221253</v>
      </c>
      <c r="L3857">
        <v>1116.8561244192999</v>
      </c>
      <c r="M3857">
        <v>22.6097069595329</v>
      </c>
      <c r="N3857">
        <v>50.142731873699198</v>
      </c>
      <c r="O3857">
        <v>49.015661550482498</v>
      </c>
      <c r="P3857">
        <v>-9.8859513875334204E-2</v>
      </c>
      <c r="Q3857">
        <v>0.14274599821081299</v>
      </c>
      <c r="R3857">
        <v>0.99742405734378403</v>
      </c>
      <c r="S3857" t="s">
        <v>10663</v>
      </c>
      <c r="T3857" t="s">
        <v>13610</v>
      </c>
      <c r="U3857" t="s">
        <v>13610</v>
      </c>
      <c r="V3857" t="s">
        <v>13610</v>
      </c>
      <c r="W3857" t="s">
        <v>17407</v>
      </c>
      <c r="X3857">
        <v>11</v>
      </c>
      <c r="Y3857" t="s">
        <v>24005</v>
      </c>
      <c r="Z3857" t="s">
        <v>30712</v>
      </c>
      <c r="AA3857">
        <v>0.42062026600408731</v>
      </c>
      <c r="AB3857" t="str">
        <f>HYPERLINK("Melting_Curves/meltCurve_Q5VV41_ARHGEF16.pdf", "Melting_Curves/meltCurve_Q5VV41_ARHGEF16.pdf")</f>
        <v>Melting_Curves/meltCurve_Q5VV41_ARHGEF16.pdf</v>
      </c>
    </row>
    <row r="3858" spans="1:28" x14ac:dyDescent="0.25">
      <c r="A3858" t="s">
        <v>3862</v>
      </c>
      <c r="B3858">
        <v>0.995954080203443</v>
      </c>
      <c r="C3858">
        <v>0.952429170016308</v>
      </c>
      <c r="D3858">
        <v>0.80896533331448806</v>
      </c>
      <c r="E3858">
        <v>0.76472747476068004</v>
      </c>
      <c r="F3858">
        <v>0.44025267685075398</v>
      </c>
      <c r="G3858">
        <v>0.233337688314569</v>
      </c>
      <c r="H3858">
        <v>0.159026883498186</v>
      </c>
      <c r="I3858">
        <v>0.17638431660993201</v>
      </c>
      <c r="J3858">
        <v>0.18171616953097799</v>
      </c>
      <c r="K3858">
        <v>0.19523130986867299</v>
      </c>
      <c r="L3858">
        <v>947.10042918409397</v>
      </c>
      <c r="M3858">
        <v>18.441807429523699</v>
      </c>
      <c r="N3858">
        <v>52.387349850491603</v>
      </c>
      <c r="O3858">
        <v>50.763727479729702</v>
      </c>
      <c r="P3858">
        <v>-7.7001307981452896E-2</v>
      </c>
      <c r="Q3858">
        <v>0.15220931057218701</v>
      </c>
      <c r="R3858">
        <v>0.97916875598205</v>
      </c>
      <c r="S3858" t="s">
        <v>10664</v>
      </c>
      <c r="T3858" t="s">
        <v>13610</v>
      </c>
      <c r="U3858" t="s">
        <v>13610</v>
      </c>
      <c r="V3858" t="s">
        <v>13610</v>
      </c>
      <c r="W3858" t="s">
        <v>17408</v>
      </c>
      <c r="X3858">
        <v>7</v>
      </c>
      <c r="Y3858" t="s">
        <v>24006</v>
      </c>
      <c r="Z3858" t="s">
        <v>30713</v>
      </c>
      <c r="AA3858">
        <v>0.48675521363886137</v>
      </c>
      <c r="AB3858" t="str">
        <f>HYPERLINK("Melting_Curves/meltCurve_Q5VV42_CDKAL1.pdf", "Melting_Curves/meltCurve_Q5VV42_CDKAL1.pdf")</f>
        <v>Melting_Curves/meltCurve_Q5VV42_CDKAL1.pdf</v>
      </c>
    </row>
    <row r="3859" spans="1:28" x14ac:dyDescent="0.25">
      <c r="A3859" t="s">
        <v>3863</v>
      </c>
      <c r="B3859">
        <v>0.995954080203443</v>
      </c>
      <c r="C3859">
        <v>0.90989380642922801</v>
      </c>
      <c r="D3859">
        <v>0.89856249262677801</v>
      </c>
      <c r="E3859">
        <v>0.83478205891157498</v>
      </c>
      <c r="F3859">
        <v>0.70925795008115</v>
      </c>
      <c r="G3859">
        <v>0.47031142127804698</v>
      </c>
      <c r="H3859">
        <v>0.37322304786998101</v>
      </c>
      <c r="I3859">
        <v>0.38415016069678798</v>
      </c>
      <c r="J3859">
        <v>0.39607775941648898</v>
      </c>
      <c r="K3859">
        <v>0.39068673209969201</v>
      </c>
      <c r="L3859">
        <v>865.65923459616101</v>
      </c>
      <c r="M3859">
        <v>16.389013354891901</v>
      </c>
      <c r="N3859">
        <v>57.091232646802503</v>
      </c>
      <c r="O3859">
        <v>52.051895559737702</v>
      </c>
      <c r="P3859">
        <v>-5.09078091362637E-2</v>
      </c>
      <c r="Q3859">
        <v>0.35330875758193903</v>
      </c>
      <c r="R3859">
        <v>0.97564262563573101</v>
      </c>
      <c r="S3859" t="s">
        <v>10665</v>
      </c>
      <c r="T3859" t="s">
        <v>13610</v>
      </c>
      <c r="U3859" t="s">
        <v>13610</v>
      </c>
      <c r="V3859" t="s">
        <v>13610</v>
      </c>
      <c r="W3859" t="s">
        <v>17409</v>
      </c>
      <c r="X3859">
        <v>7</v>
      </c>
      <c r="Y3859" t="s">
        <v>24007</v>
      </c>
      <c r="Z3859" t="s">
        <v>30714</v>
      </c>
      <c r="AA3859">
        <v>0.64196042944275</v>
      </c>
      <c r="AB3859" t="str">
        <f>HYPERLINK("Melting_Curves/meltCurve_Q5VV52_2_ZNF691.pdf", "Melting_Curves/meltCurve_Q5VV52_2_ZNF691.pdf")</f>
        <v>Melting_Curves/meltCurve_Q5VV52_2_ZNF691.pdf</v>
      </c>
    </row>
    <row r="3860" spans="1:28" x14ac:dyDescent="0.25">
      <c r="A3860" t="s">
        <v>3864</v>
      </c>
      <c r="B3860">
        <v>0.995954080203443</v>
      </c>
      <c r="C3860">
        <v>0.71328473591920205</v>
      </c>
      <c r="D3860">
        <v>1.0742874851228099</v>
      </c>
      <c r="E3860">
        <v>0.91240203596860003</v>
      </c>
      <c r="F3860">
        <v>1.0568161119995001</v>
      </c>
      <c r="G3860">
        <v>0.98364440777296502</v>
      </c>
      <c r="H3860">
        <v>0.79090973604095305</v>
      </c>
      <c r="I3860">
        <v>1.13315353982932</v>
      </c>
      <c r="J3860">
        <v>0.99210411024646405</v>
      </c>
      <c r="K3860">
        <v>1.1362394285741</v>
      </c>
      <c r="L3860">
        <v>15000</v>
      </c>
      <c r="M3860">
        <v>213.30362199011401</v>
      </c>
      <c r="Q3860">
        <v>1.5</v>
      </c>
      <c r="R3860">
        <v>8.0794011122260798E-2</v>
      </c>
      <c r="S3860" t="s">
        <v>10666</v>
      </c>
      <c r="T3860" t="s">
        <v>13610</v>
      </c>
      <c r="U3860" t="s">
        <v>13610</v>
      </c>
      <c r="V3860" t="s">
        <v>13610</v>
      </c>
      <c r="W3860" t="s">
        <v>17410</v>
      </c>
      <c r="X3860">
        <v>4</v>
      </c>
      <c r="Y3860" t="s">
        <v>24008</v>
      </c>
      <c r="Z3860" t="s">
        <v>30715</v>
      </c>
      <c r="AA3860">
        <v>1.001714683898808</v>
      </c>
      <c r="AB3860" t="str">
        <f>HYPERLINK("Melting_Curves/meltCurve_Q5VV67_2_PPRC1.pdf", "Melting_Curves/meltCurve_Q5VV67_2_PPRC1.pdf")</f>
        <v>Melting_Curves/meltCurve_Q5VV67_2_PPRC1.pdf</v>
      </c>
    </row>
    <row r="3861" spans="1:28" x14ac:dyDescent="0.25">
      <c r="A3861" t="s">
        <v>3865</v>
      </c>
      <c r="B3861">
        <v>0.995954080203443</v>
      </c>
      <c r="C3861">
        <v>0.96625269836452099</v>
      </c>
      <c r="D3861">
        <v>1.09695243465458</v>
      </c>
      <c r="E3861">
        <v>0.75790171777038995</v>
      </c>
      <c r="F3861">
        <v>0.60907947837496701</v>
      </c>
      <c r="G3861">
        <v>0.32771969784947103</v>
      </c>
      <c r="H3861">
        <v>0.26150066542651301</v>
      </c>
      <c r="I3861">
        <v>0.24903598110965799</v>
      </c>
      <c r="J3861">
        <v>0.30564820152148597</v>
      </c>
      <c r="K3861">
        <v>0.21385018548330301</v>
      </c>
      <c r="L3861">
        <v>1270.0735798692101</v>
      </c>
      <c r="M3861">
        <v>24.242551656484199</v>
      </c>
      <c r="N3861">
        <v>53.9114841729318</v>
      </c>
      <c r="O3861">
        <v>52.037675899699003</v>
      </c>
      <c r="P3861">
        <v>-8.7617065527447399E-2</v>
      </c>
      <c r="Q3861">
        <v>0.247716298982146</v>
      </c>
      <c r="R3861">
        <v>0.97682758070828002</v>
      </c>
      <c r="S3861" t="s">
        <v>10667</v>
      </c>
      <c r="T3861" t="s">
        <v>13610</v>
      </c>
      <c r="U3861" t="s">
        <v>13610</v>
      </c>
      <c r="V3861" t="s">
        <v>13610</v>
      </c>
      <c r="W3861" t="s">
        <v>17411</v>
      </c>
      <c r="X3861">
        <v>11</v>
      </c>
      <c r="Y3861" t="s">
        <v>24009</v>
      </c>
      <c r="Z3861" t="s">
        <v>30716</v>
      </c>
      <c r="AA3861">
        <v>0.56572341445002272</v>
      </c>
      <c r="AB3861" t="str">
        <f>HYPERLINK("Melting_Curves/meltCurve_Q5VVD7_PLEKHM2.pdf", "Melting_Curves/meltCurve_Q5VVD7_PLEKHM2.pdf")</f>
        <v>Melting_Curves/meltCurve_Q5VVD7_PLEKHM2.pdf</v>
      </c>
    </row>
    <row r="3862" spans="1:28" x14ac:dyDescent="0.25">
      <c r="A3862" t="s">
        <v>3866</v>
      </c>
      <c r="B3862">
        <v>0.995954080203443</v>
      </c>
      <c r="C3862">
        <v>1.0032262190399901</v>
      </c>
      <c r="D3862">
        <v>1.11637528420424</v>
      </c>
      <c r="E3862">
        <v>0.80023173077423904</v>
      </c>
      <c r="F3862">
        <v>0.632184190843042</v>
      </c>
      <c r="G3862">
        <v>0.339170316288607</v>
      </c>
      <c r="H3862">
        <v>0.27829371540877301</v>
      </c>
      <c r="I3862">
        <v>0.29368170909083502</v>
      </c>
      <c r="J3862">
        <v>0.35268714706651</v>
      </c>
      <c r="K3862">
        <v>0.34328951583140799</v>
      </c>
      <c r="L3862">
        <v>1533.21705207641</v>
      </c>
      <c r="M3862">
        <v>29.309673483698202</v>
      </c>
      <c r="N3862">
        <v>54.103337408391397</v>
      </c>
      <c r="O3862">
        <v>52.069259546107901</v>
      </c>
      <c r="P3862">
        <v>-9.7009607104407106E-2</v>
      </c>
      <c r="Q3862">
        <v>0.31064643576828999</v>
      </c>
      <c r="R3862">
        <v>0.97301082946176698</v>
      </c>
      <c r="S3862" t="s">
        <v>10668</v>
      </c>
      <c r="T3862" t="s">
        <v>13610</v>
      </c>
      <c r="U3862" t="s">
        <v>13610</v>
      </c>
      <c r="V3862" t="s">
        <v>13610</v>
      </c>
      <c r="W3862" t="s">
        <v>17412</v>
      </c>
      <c r="X3862">
        <v>10</v>
      </c>
      <c r="Y3862" t="s">
        <v>24010</v>
      </c>
      <c r="Z3862" t="s">
        <v>30717</v>
      </c>
      <c r="AA3862">
        <v>0.59816681103528113</v>
      </c>
      <c r="AB3862" t="str">
        <f>HYPERLINK("Melting_Curves/meltCurve_Q5VVJ2_MYSM1.pdf", "Melting_Curves/meltCurve_Q5VVJ2_MYSM1.pdf")</f>
        <v>Melting_Curves/meltCurve_Q5VVJ2_MYSM1.pdf</v>
      </c>
    </row>
    <row r="3863" spans="1:28" x14ac:dyDescent="0.25">
      <c r="A3863" t="s">
        <v>3867</v>
      </c>
      <c r="B3863">
        <v>0.995954080203443</v>
      </c>
      <c r="C3863">
        <v>0.94719305600609205</v>
      </c>
      <c r="D3863">
        <v>0.95943717611434498</v>
      </c>
      <c r="E3863">
        <v>0.89040613872754004</v>
      </c>
      <c r="F3863">
        <v>0.809053960028981</v>
      </c>
      <c r="G3863">
        <v>0.55715176828165602</v>
      </c>
      <c r="H3863">
        <v>0.490064122119443</v>
      </c>
      <c r="I3863">
        <v>0.473625590897789</v>
      </c>
      <c r="J3863">
        <v>0.54170305549630304</v>
      </c>
      <c r="K3863">
        <v>0.46257828841118498</v>
      </c>
      <c r="L3863">
        <v>1256.1327444897299</v>
      </c>
      <c r="M3863">
        <v>23.443044830950701</v>
      </c>
      <c r="N3863">
        <v>61.878883593214802</v>
      </c>
      <c r="O3863">
        <v>53.196996383324503</v>
      </c>
      <c r="P3863">
        <v>-5.7463123494797298E-2</v>
      </c>
      <c r="Q3863">
        <v>0.47842739047544203</v>
      </c>
      <c r="R3863">
        <v>0.97716729005549496</v>
      </c>
      <c r="S3863" t="s">
        <v>10669</v>
      </c>
      <c r="T3863" t="s">
        <v>13610</v>
      </c>
      <c r="U3863" t="s">
        <v>13610</v>
      </c>
      <c r="V3863" t="s">
        <v>13610</v>
      </c>
      <c r="W3863" t="s">
        <v>17413</v>
      </c>
      <c r="X3863">
        <v>2</v>
      </c>
      <c r="Y3863" t="s">
        <v>24011</v>
      </c>
      <c r="Z3863" t="s">
        <v>30718</v>
      </c>
      <c r="AA3863">
        <v>0.71998445720855109</v>
      </c>
      <c r="AB3863" t="str">
        <f>HYPERLINK("Melting_Curves/meltCurve_Q5VVL7_DBT.pdf", "Melting_Curves/meltCurve_Q5VVL7_DBT.pdf")</f>
        <v>Melting_Curves/meltCurve_Q5VVL7_DBT.pdf</v>
      </c>
    </row>
    <row r="3864" spans="1:28" x14ac:dyDescent="0.25">
      <c r="A3864" t="s">
        <v>3868</v>
      </c>
      <c r="B3864">
        <v>0.995954080203443</v>
      </c>
      <c r="C3864">
        <v>0.85830067751081396</v>
      </c>
      <c r="D3864">
        <v>0.93870916010347605</v>
      </c>
      <c r="E3864">
        <v>0.74933638182440798</v>
      </c>
      <c r="F3864">
        <v>0.283590066468007</v>
      </c>
      <c r="G3864">
        <v>0.143050218249721</v>
      </c>
      <c r="H3864">
        <v>9.8559149503492302E-2</v>
      </c>
      <c r="I3864">
        <v>0.102704433126656</v>
      </c>
      <c r="J3864">
        <v>0.11796458199498699</v>
      </c>
      <c r="K3864">
        <v>0.106764296747438</v>
      </c>
      <c r="L3864">
        <v>1946.06121377146</v>
      </c>
      <c r="M3864">
        <v>38.045599623654397</v>
      </c>
      <c r="N3864">
        <v>51.481431712864499</v>
      </c>
      <c r="O3864">
        <v>51.010055223978298</v>
      </c>
      <c r="P3864">
        <v>-0.166248357037938</v>
      </c>
      <c r="Q3864">
        <v>0.10840507426118701</v>
      </c>
      <c r="R3864">
        <v>0.98330422189547395</v>
      </c>
      <c r="S3864" t="s">
        <v>10670</v>
      </c>
      <c r="T3864" t="s">
        <v>13610</v>
      </c>
      <c r="U3864" t="s">
        <v>13610</v>
      </c>
      <c r="V3864" t="s">
        <v>13610</v>
      </c>
      <c r="W3864" t="s">
        <v>17414</v>
      </c>
      <c r="X3864">
        <v>18</v>
      </c>
      <c r="Y3864" t="s">
        <v>24012</v>
      </c>
      <c r="Z3864" t="s">
        <v>30719</v>
      </c>
      <c r="AA3864">
        <v>0.44329026942805089</v>
      </c>
      <c r="AB3864" t="str">
        <f>HYPERLINK("Melting_Curves/meltCurve_Q5VVQ6_YOD1.pdf", "Melting_Curves/meltCurve_Q5VVQ6_YOD1.pdf")</f>
        <v>Melting_Curves/meltCurve_Q5VVQ6_YOD1.pdf</v>
      </c>
    </row>
    <row r="3865" spans="1:28" x14ac:dyDescent="0.25">
      <c r="A3865" t="s">
        <v>3869</v>
      </c>
      <c r="B3865">
        <v>0.995954080203443</v>
      </c>
      <c r="C3865">
        <v>1.24015777057752</v>
      </c>
      <c r="D3865">
        <v>1.24188503483233</v>
      </c>
      <c r="E3865">
        <v>1.4225009638541199</v>
      </c>
      <c r="F3865">
        <v>1.3460515221379601</v>
      </c>
      <c r="G3865">
        <v>1.3123318388626299</v>
      </c>
      <c r="H3865">
        <v>1.2499383460887401</v>
      </c>
      <c r="I3865">
        <v>1.2524318711168601</v>
      </c>
      <c r="J3865">
        <v>1.71698342499498</v>
      </c>
      <c r="K3865">
        <v>1.6718938229464999</v>
      </c>
      <c r="L3865">
        <v>378.18390950164098</v>
      </c>
      <c r="M3865">
        <v>8.1034125156534706</v>
      </c>
      <c r="O3865">
        <v>44.0854235192107</v>
      </c>
      <c r="P3865">
        <v>2.3001215496463199E-2</v>
      </c>
      <c r="Q3865">
        <v>1.5</v>
      </c>
      <c r="R3865">
        <v>0.47253172582553299</v>
      </c>
      <c r="S3865" t="s">
        <v>10671</v>
      </c>
      <c r="T3865" t="s">
        <v>13610</v>
      </c>
      <c r="U3865" t="s">
        <v>13610</v>
      </c>
      <c r="V3865" t="s">
        <v>13610</v>
      </c>
      <c r="W3865" t="s">
        <v>17415</v>
      </c>
      <c r="X3865">
        <v>1</v>
      </c>
      <c r="Y3865" t="s">
        <v>24013</v>
      </c>
      <c r="Z3865" t="s">
        <v>30720</v>
      </c>
      <c r="AA3865">
        <v>1.3485017213613091</v>
      </c>
      <c r="AB3865" t="str">
        <f>HYPERLINK("Melting_Curves/meltCurve_Q5VW00_DCAF12L2.pdf", "Melting_Curves/meltCurve_Q5VW00_DCAF12L2.pdf")</f>
        <v>Melting_Curves/meltCurve_Q5VW00_DCAF12L2.pdf</v>
      </c>
    </row>
    <row r="3866" spans="1:28" x14ac:dyDescent="0.25">
      <c r="A3866" t="s">
        <v>3870</v>
      </c>
      <c r="B3866">
        <v>0.995954080203443</v>
      </c>
      <c r="C3866">
        <v>0.75270741554214304</v>
      </c>
      <c r="D3866">
        <v>1.0440485410176801</v>
      </c>
      <c r="E3866">
        <v>0.65463409430185204</v>
      </c>
      <c r="F3866">
        <v>0.13623344861237499</v>
      </c>
      <c r="G3866">
        <v>8.4068160598847794E-2</v>
      </c>
      <c r="H3866">
        <v>5.4144433697496198E-2</v>
      </c>
      <c r="I3866">
        <v>4.9353515077493401E-2</v>
      </c>
      <c r="J3866">
        <v>5.6480289079506099E-2</v>
      </c>
      <c r="K3866">
        <v>5.1116467531357401E-2</v>
      </c>
      <c r="L3866">
        <v>2664.9904046431998</v>
      </c>
      <c r="M3866">
        <v>52.744084593537501</v>
      </c>
      <c r="N3866">
        <v>50.647392364709702</v>
      </c>
      <c r="O3866">
        <v>50.454344362023399</v>
      </c>
      <c r="P3866">
        <v>-0.24592526600087</v>
      </c>
      <c r="Q3866">
        <v>5.90044483828304E-2</v>
      </c>
      <c r="R3866">
        <v>0.96006252908585898</v>
      </c>
      <c r="S3866" t="s">
        <v>10672</v>
      </c>
      <c r="T3866" t="s">
        <v>13610</v>
      </c>
      <c r="U3866" t="s">
        <v>13610</v>
      </c>
      <c r="V3866" t="s">
        <v>13610</v>
      </c>
      <c r="W3866" t="s">
        <v>17416</v>
      </c>
      <c r="X3866">
        <v>14</v>
      </c>
      <c r="Y3866" t="s">
        <v>24014</v>
      </c>
      <c r="Z3866" t="s">
        <v>30721</v>
      </c>
      <c r="AA3866">
        <v>0.39107748658418362</v>
      </c>
      <c r="AB3866" t="str">
        <f>HYPERLINK("Melting_Curves/meltCurve_Q5VW32_BROX.pdf", "Melting_Curves/meltCurve_Q5VW32_BROX.pdf")</f>
        <v>Melting_Curves/meltCurve_Q5VW32_BROX.pdf</v>
      </c>
    </row>
    <row r="3867" spans="1:28" x14ac:dyDescent="0.25">
      <c r="A3867" t="s">
        <v>3871</v>
      </c>
      <c r="B3867">
        <v>0.995954080203443</v>
      </c>
      <c r="C3867">
        <v>0.93846226444237302</v>
      </c>
      <c r="D3867">
        <v>0.922991575305806</v>
      </c>
      <c r="E3867">
        <v>0.75612038157776595</v>
      </c>
      <c r="F3867">
        <v>0.67580208121318597</v>
      </c>
      <c r="G3867">
        <v>0.47921156545705101</v>
      </c>
      <c r="H3867">
        <v>0.44620607271740398</v>
      </c>
      <c r="I3867">
        <v>0.50174881052484299</v>
      </c>
      <c r="J3867">
        <v>0.67754405785614102</v>
      </c>
      <c r="K3867">
        <v>0.61164217220836503</v>
      </c>
      <c r="L3867">
        <v>1120.93381411326</v>
      </c>
      <c r="M3867">
        <v>22.6078384275975</v>
      </c>
      <c r="O3867">
        <v>49.198603340324098</v>
      </c>
      <c r="P3867">
        <v>-5.228233744783E-2</v>
      </c>
      <c r="Q3867">
        <v>0.54490714424150899</v>
      </c>
      <c r="R3867">
        <v>0.868551052974883</v>
      </c>
      <c r="S3867" t="s">
        <v>10673</v>
      </c>
      <c r="T3867" t="s">
        <v>13610</v>
      </c>
      <c r="U3867" t="s">
        <v>13610</v>
      </c>
      <c r="V3867" t="s">
        <v>13610</v>
      </c>
      <c r="W3867" t="s">
        <v>17417</v>
      </c>
      <c r="X3867">
        <v>7</v>
      </c>
      <c r="Y3867" t="s">
        <v>24015</v>
      </c>
      <c r="Z3867" t="s">
        <v>30722</v>
      </c>
      <c r="AA3867">
        <v>0.69522462456148637</v>
      </c>
      <c r="AB3867" t="str">
        <f>HYPERLINK("Melting_Curves/meltCurve_Q5VWG9_TAF3.pdf", "Melting_Curves/meltCurve_Q5VWG9_TAF3.pdf")</f>
        <v>Melting_Curves/meltCurve_Q5VWG9_TAF3.pdf</v>
      </c>
    </row>
    <row r="3868" spans="1:28" x14ac:dyDescent="0.25">
      <c r="A3868" t="s">
        <v>3872</v>
      </c>
      <c r="B3868">
        <v>0.995954080203443</v>
      </c>
      <c r="C3868">
        <v>0.92033850028344899</v>
      </c>
      <c r="D3868">
        <v>0.83525416726328905</v>
      </c>
      <c r="E3868">
        <v>0.51656996018863</v>
      </c>
      <c r="F3868">
        <v>0.20708697643619101</v>
      </c>
      <c r="G3868">
        <v>0.134943325503673</v>
      </c>
      <c r="H3868">
        <v>8.6820207548471195E-2</v>
      </c>
      <c r="I3868">
        <v>8.8916447974050503E-2</v>
      </c>
      <c r="J3868">
        <v>0.11121186400460099</v>
      </c>
      <c r="K3868">
        <v>9.1392465459991704E-2</v>
      </c>
      <c r="L3868">
        <v>1072.8587895030801</v>
      </c>
      <c r="M3868">
        <v>21.741142268968702</v>
      </c>
      <c r="N3868">
        <v>49.772142480287698</v>
      </c>
      <c r="O3868">
        <v>48.9351261503123</v>
      </c>
      <c r="P3868">
        <v>-0.101659986982339</v>
      </c>
      <c r="Q3868">
        <v>8.4752943415062995E-2</v>
      </c>
      <c r="R3868">
        <v>0.99507634648017995</v>
      </c>
      <c r="S3868" t="s">
        <v>10674</v>
      </c>
      <c r="T3868" t="s">
        <v>13610</v>
      </c>
      <c r="U3868" t="s">
        <v>13610</v>
      </c>
      <c r="V3868" t="s">
        <v>13610</v>
      </c>
      <c r="W3868" t="s">
        <v>17418</v>
      </c>
      <c r="X3868">
        <v>12</v>
      </c>
      <c r="Y3868" t="s">
        <v>24016</v>
      </c>
      <c r="Z3868" t="s">
        <v>30723</v>
      </c>
      <c r="AA3868">
        <v>0.3807164992644303</v>
      </c>
      <c r="AB3868" t="str">
        <f>HYPERLINK("Melting_Curves/meltCurve_Q5VWJ9_SNX30.pdf", "Melting_Curves/meltCurve_Q5VWJ9_SNX30.pdf")</f>
        <v>Melting_Curves/meltCurve_Q5VWJ9_SNX30.pdf</v>
      </c>
    </row>
    <row r="3869" spans="1:28" x14ac:dyDescent="0.25">
      <c r="A3869" t="s">
        <v>3873</v>
      </c>
      <c r="B3869">
        <v>0.995954080203443</v>
      </c>
      <c r="C3869">
        <v>0.98533103884391005</v>
      </c>
      <c r="D3869">
        <v>0.94432942869717695</v>
      </c>
      <c r="E3869">
        <v>0.73908829038965596</v>
      </c>
      <c r="F3869">
        <v>0.55274436500764801</v>
      </c>
      <c r="G3869">
        <v>0.40885365504130999</v>
      </c>
      <c r="H3869">
        <v>0.348698818377707</v>
      </c>
      <c r="I3869">
        <v>0.38834780335378</v>
      </c>
      <c r="J3869">
        <v>0.42958612231615501</v>
      </c>
      <c r="K3869">
        <v>0.43349283797578197</v>
      </c>
      <c r="L3869">
        <v>1282.7204778463999</v>
      </c>
      <c r="M3869">
        <v>25.3723205995956</v>
      </c>
      <c r="N3869">
        <v>53.871483291549097</v>
      </c>
      <c r="O3869">
        <v>50.2449823385735</v>
      </c>
      <c r="P3869">
        <v>-7.6365808756136605E-2</v>
      </c>
      <c r="Q3869">
        <v>0.39509670882757802</v>
      </c>
      <c r="R3869">
        <v>0.99016034990630797</v>
      </c>
      <c r="S3869" t="s">
        <v>10675</v>
      </c>
      <c r="T3869" t="s">
        <v>13610</v>
      </c>
      <c r="U3869" t="s">
        <v>13610</v>
      </c>
      <c r="V3869" t="s">
        <v>13610</v>
      </c>
      <c r="W3869" t="s">
        <v>17419</v>
      </c>
      <c r="X3869">
        <v>27</v>
      </c>
      <c r="Y3869" t="s">
        <v>24017</v>
      </c>
      <c r="Z3869" t="s">
        <v>30724</v>
      </c>
      <c r="AA3869">
        <v>0.61322074857223208</v>
      </c>
      <c r="AB3869" t="str">
        <f>HYPERLINK("Melting_Curves/meltCurve_Q5VWN6_FAM208B.pdf", "Melting_Curves/meltCurve_Q5VWN6_FAM208B.pdf")</f>
        <v>Melting_Curves/meltCurve_Q5VWN6_FAM208B.pdf</v>
      </c>
    </row>
    <row r="3870" spans="1:28" x14ac:dyDescent="0.25">
      <c r="A3870" t="s">
        <v>3874</v>
      </c>
      <c r="B3870">
        <v>0.995954080203443</v>
      </c>
      <c r="C3870">
        <v>0.94268133264590404</v>
      </c>
      <c r="D3870">
        <v>0.93914639517022602</v>
      </c>
      <c r="E3870">
        <v>0.64123399851806895</v>
      </c>
      <c r="F3870">
        <v>0.42951129081968498</v>
      </c>
      <c r="G3870">
        <v>0.49707070070162601</v>
      </c>
      <c r="H3870">
        <v>0.39178437516085102</v>
      </c>
      <c r="I3870">
        <v>0.37652491839899899</v>
      </c>
      <c r="J3870">
        <v>0.19698800867710101</v>
      </c>
      <c r="K3870">
        <v>0.30739953033982997</v>
      </c>
      <c r="L3870">
        <v>867.45749806841604</v>
      </c>
      <c r="M3870">
        <v>17.326615485553599</v>
      </c>
      <c r="N3870">
        <v>53.095971658873196</v>
      </c>
      <c r="O3870">
        <v>49.412404814275703</v>
      </c>
      <c r="P3870">
        <v>-6.0136962962680597E-2</v>
      </c>
      <c r="Q3870">
        <v>0.31403986534631601</v>
      </c>
      <c r="R3870">
        <v>0.94447284184289804</v>
      </c>
      <c r="S3870" t="s">
        <v>10676</v>
      </c>
      <c r="T3870" t="s">
        <v>13610</v>
      </c>
      <c r="U3870" t="s">
        <v>13610</v>
      </c>
      <c r="V3870" t="s">
        <v>13610</v>
      </c>
      <c r="W3870" t="s">
        <v>17420</v>
      </c>
      <c r="X3870">
        <v>4</v>
      </c>
      <c r="Y3870" t="s">
        <v>24018</v>
      </c>
      <c r="Z3870" t="s">
        <v>30725</v>
      </c>
      <c r="AA3870">
        <v>0.5567375275764247</v>
      </c>
      <c r="AB3870" t="str">
        <f>HYPERLINK("Melting_Curves/meltCurve_Q5VWP2_FAM46C.pdf", "Melting_Curves/meltCurve_Q5VWP2_FAM46C.pdf")</f>
        <v>Melting_Curves/meltCurve_Q5VWP2_FAM46C.pdf</v>
      </c>
    </row>
    <row r="3871" spans="1:28" x14ac:dyDescent="0.25">
      <c r="A3871" t="s">
        <v>3875</v>
      </c>
      <c r="B3871">
        <v>0.995954080203443</v>
      </c>
      <c r="C3871">
        <v>0.86905718946112098</v>
      </c>
      <c r="D3871">
        <v>0.81034363185379299</v>
      </c>
      <c r="E3871">
        <v>0.64332828338491699</v>
      </c>
      <c r="F3871">
        <v>0.44132455944764298</v>
      </c>
      <c r="G3871">
        <v>0.29515280662736598</v>
      </c>
      <c r="H3871">
        <v>0.24535977142978199</v>
      </c>
      <c r="I3871">
        <v>0.27649201931263201</v>
      </c>
      <c r="J3871">
        <v>0.33750282444462099</v>
      </c>
      <c r="K3871">
        <v>0.32711876232520698</v>
      </c>
      <c r="L3871">
        <v>776.75971423988699</v>
      </c>
      <c r="M3871">
        <v>15.807467580634899</v>
      </c>
      <c r="N3871">
        <v>51.730094655712499</v>
      </c>
      <c r="O3871">
        <v>48.372532557234997</v>
      </c>
      <c r="P3871">
        <v>-5.93577040026163E-2</v>
      </c>
      <c r="Q3871">
        <v>0.27349617287901801</v>
      </c>
      <c r="R3871">
        <v>0.97289385074282797</v>
      </c>
      <c r="S3871" t="s">
        <v>10677</v>
      </c>
      <c r="T3871" t="s">
        <v>13610</v>
      </c>
      <c r="U3871" t="s">
        <v>13610</v>
      </c>
      <c r="V3871" t="s">
        <v>13610</v>
      </c>
      <c r="W3871" t="s">
        <v>17421</v>
      </c>
      <c r="X3871">
        <v>18</v>
      </c>
      <c r="Y3871" t="s">
        <v>24019</v>
      </c>
      <c r="Z3871" t="s">
        <v>30726</v>
      </c>
      <c r="AA3871">
        <v>0.51096780309350887</v>
      </c>
      <c r="AB3871" t="str">
        <f>HYPERLINK("Melting_Curves/meltCurve_Q5VWQ0_RSBN1.pdf", "Melting_Curves/meltCurve_Q5VWQ0_RSBN1.pdf")</f>
        <v>Melting_Curves/meltCurve_Q5VWQ0_RSBN1.pdf</v>
      </c>
    </row>
    <row r="3872" spans="1:28" x14ac:dyDescent="0.25">
      <c r="A3872" t="s">
        <v>3876</v>
      </c>
      <c r="B3872">
        <v>0.995954080203443</v>
      </c>
      <c r="C3872">
        <v>0.94552057459027705</v>
      </c>
      <c r="D3872">
        <v>0.97985528143407996</v>
      </c>
      <c r="E3872">
        <v>0.79975803049780203</v>
      </c>
      <c r="F3872">
        <v>0.69052607658487897</v>
      </c>
      <c r="G3872">
        <v>0.19214029263493601</v>
      </c>
      <c r="H3872">
        <v>9.0015710765745896E-2</v>
      </c>
      <c r="I3872">
        <v>7.6389051963949794E-2</v>
      </c>
      <c r="J3872">
        <v>8.7559885606350196E-2</v>
      </c>
      <c r="K3872">
        <v>7.9869269321491507E-2</v>
      </c>
      <c r="L3872">
        <v>1378.3821237746899</v>
      </c>
      <c r="M3872">
        <v>25.626406813515</v>
      </c>
      <c r="N3872">
        <v>54.064925156400498</v>
      </c>
      <c r="O3872">
        <v>53.4632425416359</v>
      </c>
      <c r="P3872">
        <v>-0.112452223526862</v>
      </c>
      <c r="Q3872">
        <v>6.1595032114327798E-2</v>
      </c>
      <c r="R3872">
        <v>0.98865397582510794</v>
      </c>
      <c r="S3872" t="s">
        <v>10678</v>
      </c>
      <c r="T3872" t="s">
        <v>13610</v>
      </c>
      <c r="U3872" t="s">
        <v>13610</v>
      </c>
      <c r="V3872" t="s">
        <v>13610</v>
      </c>
      <c r="W3872" t="s">
        <v>17422</v>
      </c>
      <c r="X3872">
        <v>12</v>
      </c>
      <c r="Y3872" t="s">
        <v>24020</v>
      </c>
      <c r="Z3872" t="s">
        <v>30727</v>
      </c>
      <c r="AA3872">
        <v>0.50116332191772073</v>
      </c>
      <c r="AB3872" t="str">
        <f>HYPERLINK("Melting_Curves/meltCurve_Q5VWZ2_LYPLAL1.pdf", "Melting_Curves/meltCurve_Q5VWZ2_LYPLAL1.pdf")</f>
        <v>Melting_Curves/meltCurve_Q5VWZ2_LYPLAL1.pdf</v>
      </c>
    </row>
    <row r="3873" spans="1:28" x14ac:dyDescent="0.25">
      <c r="A3873" t="s">
        <v>3877</v>
      </c>
      <c r="B3873">
        <v>0.995954080203443</v>
      </c>
      <c r="C3873">
        <v>0.86714957823149896</v>
      </c>
      <c r="D3873">
        <v>0.71253650344863095</v>
      </c>
      <c r="E3873">
        <v>0.38355253081171198</v>
      </c>
      <c r="F3873">
        <v>0.25833914917093098</v>
      </c>
      <c r="G3873">
        <v>0.120977793111891</v>
      </c>
      <c r="H3873">
        <v>7.4008424397666098E-2</v>
      </c>
      <c r="I3873">
        <v>6.8453645965707896E-2</v>
      </c>
      <c r="J3873">
        <v>7.48679606734379E-2</v>
      </c>
      <c r="K3873">
        <v>7.6330498780137299E-2</v>
      </c>
      <c r="L3873">
        <v>779.78977205548995</v>
      </c>
      <c r="M3873">
        <v>16.173324843342002</v>
      </c>
      <c r="N3873">
        <v>48.5865520941163</v>
      </c>
      <c r="O3873">
        <v>47.495525331121797</v>
      </c>
      <c r="P3873">
        <v>-8.0179566185645507E-2</v>
      </c>
      <c r="Q3873">
        <v>5.8230905799724703E-2</v>
      </c>
      <c r="R3873">
        <v>0.99782126532608695</v>
      </c>
      <c r="S3873" t="s">
        <v>10679</v>
      </c>
      <c r="T3873" t="s">
        <v>13610</v>
      </c>
      <c r="U3873" t="s">
        <v>13610</v>
      </c>
      <c r="V3873" t="s">
        <v>13610</v>
      </c>
      <c r="W3873" t="s">
        <v>17423</v>
      </c>
      <c r="X3873">
        <v>9</v>
      </c>
      <c r="Y3873" t="s">
        <v>24021</v>
      </c>
      <c r="Z3873" t="s">
        <v>30728</v>
      </c>
      <c r="AA3873">
        <v>0.3367676544402044</v>
      </c>
      <c r="AB3873" t="str">
        <f>HYPERLINK("Melting_Curves/meltCurve_Q5VXM9_RPF2.pdf", "Melting_Curves/meltCurve_Q5VXM9_RPF2.pdf")</f>
        <v>Melting_Curves/meltCurve_Q5VXM9_RPF2.pdf</v>
      </c>
    </row>
    <row r="3874" spans="1:28" x14ac:dyDescent="0.25">
      <c r="A3874" t="s">
        <v>3878</v>
      </c>
      <c r="B3874">
        <v>0.995954080203443</v>
      </c>
      <c r="C3874">
        <v>0.83008385103660698</v>
      </c>
      <c r="D3874">
        <v>0.65533172380856397</v>
      </c>
      <c r="E3874">
        <v>0.32049121484546</v>
      </c>
      <c r="F3874">
        <v>0.12247081425850299</v>
      </c>
      <c r="G3874">
        <v>6.8782870331714999E-2</v>
      </c>
      <c r="H3874">
        <v>4.7083093382977503E-2</v>
      </c>
      <c r="I3874">
        <v>3.82386799264198E-2</v>
      </c>
      <c r="J3874">
        <v>4.3376473252960498E-2</v>
      </c>
      <c r="K3874">
        <v>3.7901941120916501E-2</v>
      </c>
      <c r="L3874">
        <v>848.67990576812895</v>
      </c>
      <c r="M3874">
        <v>17.9163354259843</v>
      </c>
      <c r="N3874">
        <v>47.525530243959999</v>
      </c>
      <c r="O3874">
        <v>46.790742734337499</v>
      </c>
      <c r="P3874">
        <v>-9.2988685253873798E-2</v>
      </c>
      <c r="Q3874">
        <v>2.8642459663069799E-2</v>
      </c>
      <c r="R3874">
        <v>0.99653919463351204</v>
      </c>
      <c r="S3874" t="s">
        <v>10680</v>
      </c>
      <c r="T3874" t="s">
        <v>13610</v>
      </c>
      <c r="U3874" t="s">
        <v>13610</v>
      </c>
      <c r="V3874" t="s">
        <v>13610</v>
      </c>
      <c r="W3874" t="s">
        <v>17424</v>
      </c>
      <c r="X3874">
        <v>49</v>
      </c>
      <c r="Y3874" t="s">
        <v>24022</v>
      </c>
      <c r="Z3874" t="s">
        <v>30729</v>
      </c>
      <c r="AA3874">
        <v>0.28504422066885998</v>
      </c>
      <c r="AB3874" t="str">
        <f>HYPERLINK("Melting_Curves/meltCurve_Q5VYK3_ECM29.pdf", "Melting_Curves/meltCurve_Q5VYK3_ECM29.pdf")</f>
        <v>Melting_Curves/meltCurve_Q5VYK3_ECM29.pdf</v>
      </c>
    </row>
    <row r="3875" spans="1:28" x14ac:dyDescent="0.25">
      <c r="A3875" t="s">
        <v>3879</v>
      </c>
      <c r="B3875">
        <v>0.995954080203443</v>
      </c>
      <c r="C3875">
        <v>0.922084758914819</v>
      </c>
      <c r="D3875">
        <v>1.0553853974934599</v>
      </c>
      <c r="E3875">
        <v>0.87176188796875598</v>
      </c>
      <c r="F3875">
        <v>1.02812467934173</v>
      </c>
      <c r="G3875">
        <v>0.80231943456848198</v>
      </c>
      <c r="H3875">
        <v>0.76065628898601301</v>
      </c>
      <c r="I3875">
        <v>0.92810431260284898</v>
      </c>
      <c r="J3875">
        <v>1.1530283805916799</v>
      </c>
      <c r="K3875">
        <v>1.1249590259536</v>
      </c>
      <c r="L3875">
        <v>15000</v>
      </c>
      <c r="M3875">
        <v>228.33259124274599</v>
      </c>
      <c r="O3875">
        <v>65.688604615535695</v>
      </c>
      <c r="P3875">
        <v>0.12133455790869301</v>
      </c>
      <c r="Q3875">
        <v>1.13962610840683</v>
      </c>
      <c r="R3875">
        <v>0.16706015258909801</v>
      </c>
      <c r="S3875" t="s">
        <v>10681</v>
      </c>
      <c r="T3875" t="s">
        <v>13610</v>
      </c>
      <c r="U3875" t="s">
        <v>13610</v>
      </c>
      <c r="V3875" t="s">
        <v>13610</v>
      </c>
      <c r="W3875" t="s">
        <v>17425</v>
      </c>
      <c r="X3875">
        <v>11</v>
      </c>
      <c r="Y3875" t="s">
        <v>24023</v>
      </c>
      <c r="Z3875" t="s">
        <v>30730</v>
      </c>
      <c r="AA3875">
        <v>1.020023359480035</v>
      </c>
      <c r="AB3875" t="str">
        <f>HYPERLINK("Melting_Curves/meltCurve_Q5VYS8_6_ZCCHC6.pdf", "Melting_Curves/meltCurve_Q5VYS8_6_ZCCHC6.pdf")</f>
        <v>Melting_Curves/meltCurve_Q5VYS8_6_ZCCHC6.pdf</v>
      </c>
    </row>
    <row r="3876" spans="1:28" x14ac:dyDescent="0.25">
      <c r="A3876" t="s">
        <v>3880</v>
      </c>
      <c r="B3876">
        <v>0.995954080203443</v>
      </c>
      <c r="C3876">
        <v>0.89694979672949404</v>
      </c>
      <c r="D3876">
        <v>0.94920983229077904</v>
      </c>
      <c r="E3876">
        <v>0.66849272160101503</v>
      </c>
      <c r="F3876">
        <v>0.65072436635864594</v>
      </c>
      <c r="G3876">
        <v>0.371027466174841</v>
      </c>
      <c r="H3876">
        <v>0.31231798693321899</v>
      </c>
      <c r="I3876">
        <v>0.39206841011660598</v>
      </c>
      <c r="J3876">
        <v>0.45333301352356098</v>
      </c>
      <c r="K3876">
        <v>0.41110257647678899</v>
      </c>
      <c r="L3876">
        <v>947.77412742581498</v>
      </c>
      <c r="M3876">
        <v>18.781396522688102</v>
      </c>
      <c r="N3876">
        <v>54.548844823843197</v>
      </c>
      <c r="O3876">
        <v>49.901796692689601</v>
      </c>
      <c r="P3876">
        <v>-5.85731951651981E-2</v>
      </c>
      <c r="Q3876">
        <v>0.37751474694047499</v>
      </c>
      <c r="R3876">
        <v>0.93840152135360899</v>
      </c>
      <c r="S3876" t="s">
        <v>10682</v>
      </c>
      <c r="T3876" t="s">
        <v>13610</v>
      </c>
      <c r="U3876" t="s">
        <v>13610</v>
      </c>
      <c r="V3876" t="s">
        <v>13610</v>
      </c>
      <c r="W3876" t="s">
        <v>17426</v>
      </c>
      <c r="X3876">
        <v>3</v>
      </c>
      <c r="Y3876" t="s">
        <v>24024</v>
      </c>
      <c r="Z3876" t="s">
        <v>30731</v>
      </c>
      <c r="AA3876">
        <v>0.60437546637550144</v>
      </c>
      <c r="AB3876" t="str">
        <f>HYPERLINK("Melting_Curves/meltCurve_Q5VYV7_SLX4IP.pdf", "Melting_Curves/meltCurve_Q5VYV7_SLX4IP.pdf")</f>
        <v>Melting_Curves/meltCurve_Q5VYV7_SLX4IP.pdf</v>
      </c>
    </row>
    <row r="3877" spans="1:28" x14ac:dyDescent="0.25">
      <c r="A3877" t="s">
        <v>3881</v>
      </c>
      <c r="B3877">
        <v>0.995954080203443</v>
      </c>
      <c r="C3877">
        <v>0.95322696751109304</v>
      </c>
      <c r="D3877">
        <v>0.76965924960285903</v>
      </c>
      <c r="E3877">
        <v>0.47791992128897698</v>
      </c>
      <c r="F3877">
        <v>0.19089247285773001</v>
      </c>
      <c r="G3877">
        <v>0.116699085646026</v>
      </c>
      <c r="H3877">
        <v>7.0843268975306406E-2</v>
      </c>
      <c r="I3877">
        <v>6.6525773402309904E-2</v>
      </c>
      <c r="J3877">
        <v>6.9198963117371795E-2</v>
      </c>
      <c r="K3877">
        <v>7.1107567504272995E-2</v>
      </c>
      <c r="L3877">
        <v>970.38184911865596</v>
      </c>
      <c r="M3877">
        <v>19.806127299851301</v>
      </c>
      <c r="N3877">
        <v>49.3027454347407</v>
      </c>
      <c r="O3877">
        <v>48.502773148750897</v>
      </c>
      <c r="P3877">
        <v>-9.6137154747218095E-2</v>
      </c>
      <c r="Q3877">
        <v>5.8319556809750601E-2</v>
      </c>
      <c r="R3877">
        <v>0.99684480206649195</v>
      </c>
      <c r="S3877" t="s">
        <v>10683</v>
      </c>
      <c r="T3877" t="s">
        <v>13610</v>
      </c>
      <c r="U3877" t="s">
        <v>13610</v>
      </c>
      <c r="V3877" t="s">
        <v>13610</v>
      </c>
      <c r="W3877" t="s">
        <v>17427</v>
      </c>
      <c r="X3877">
        <v>16</v>
      </c>
      <c r="Y3877" t="s">
        <v>24025</v>
      </c>
      <c r="Z3877" t="s">
        <v>30732</v>
      </c>
      <c r="AA3877">
        <v>0.35409130097164698</v>
      </c>
      <c r="AB3877" t="str">
        <f>HYPERLINK("Melting_Curves/meltCurve_Q5VZE5_NAA35.pdf", "Melting_Curves/meltCurve_Q5VZE5_NAA35.pdf")</f>
        <v>Melting_Curves/meltCurve_Q5VZE5_NAA35.pdf</v>
      </c>
    </row>
    <row r="3878" spans="1:28" x14ac:dyDescent="0.25">
      <c r="A3878" t="s">
        <v>3882</v>
      </c>
      <c r="B3878">
        <v>0.995954080203443</v>
      </c>
      <c r="C3878">
        <v>0.94716269923107899</v>
      </c>
      <c r="D3878">
        <v>0.85971512850976495</v>
      </c>
      <c r="E3878">
        <v>0.911718121675822</v>
      </c>
      <c r="F3878">
        <v>0.70225924768290404</v>
      </c>
      <c r="G3878">
        <v>0.44155224625725198</v>
      </c>
      <c r="H3878">
        <v>0.25647285494462602</v>
      </c>
      <c r="I3878">
        <v>0.28176478942965499</v>
      </c>
      <c r="J3878">
        <v>0.32957527735771303</v>
      </c>
      <c r="K3878">
        <v>0.32981214723026703</v>
      </c>
      <c r="L3878">
        <v>1306.7545200639399</v>
      </c>
      <c r="M3878">
        <v>24.361448122340398</v>
      </c>
      <c r="N3878">
        <v>55.617122419902003</v>
      </c>
      <c r="O3878">
        <v>53.282745079703602</v>
      </c>
      <c r="P3878">
        <v>-8.1194494489788299E-2</v>
      </c>
      <c r="Q3878">
        <v>0.28966440176290698</v>
      </c>
      <c r="R3878">
        <v>0.96754590926437201</v>
      </c>
      <c r="S3878" t="s">
        <v>10684</v>
      </c>
      <c r="T3878" t="s">
        <v>13610</v>
      </c>
      <c r="U3878" t="s">
        <v>13610</v>
      </c>
      <c r="V3878" t="s">
        <v>13610</v>
      </c>
      <c r="W3878" t="s">
        <v>17428</v>
      </c>
      <c r="X3878">
        <v>41</v>
      </c>
      <c r="Y3878" t="s">
        <v>24026</v>
      </c>
      <c r="Z3878" t="s">
        <v>30733</v>
      </c>
      <c r="AA3878">
        <v>0.61952017904137102</v>
      </c>
      <c r="AB3878" t="str">
        <f>HYPERLINK("Melting_Curves/meltCurve_Q5VZK9_LRRC16A.pdf", "Melting_Curves/meltCurve_Q5VZK9_LRRC16A.pdf")</f>
        <v>Melting_Curves/meltCurve_Q5VZK9_LRRC16A.pdf</v>
      </c>
    </row>
    <row r="3879" spans="1:28" x14ac:dyDescent="0.25">
      <c r="A3879" t="s">
        <v>3883</v>
      </c>
      <c r="B3879">
        <v>0.995954080203443</v>
      </c>
      <c r="C3879">
        <v>0.94549958526614897</v>
      </c>
      <c r="D3879">
        <v>0.76057453437028699</v>
      </c>
      <c r="E3879">
        <v>0.64140175752675199</v>
      </c>
      <c r="F3879">
        <v>0.44126875581375902</v>
      </c>
      <c r="G3879">
        <v>0.28042441391771</v>
      </c>
      <c r="H3879">
        <v>0.23108116908939599</v>
      </c>
      <c r="I3879">
        <v>0.255156090346148</v>
      </c>
      <c r="J3879">
        <v>0.29365113582515001</v>
      </c>
      <c r="K3879">
        <v>0.30163299452092102</v>
      </c>
      <c r="L3879">
        <v>782.524397262712</v>
      </c>
      <c r="M3879">
        <v>15.870251199321601</v>
      </c>
      <c r="N3879">
        <v>51.538511870752998</v>
      </c>
      <c r="O3879">
        <v>48.544666478488601</v>
      </c>
      <c r="P3879">
        <v>-6.1429355661990703E-2</v>
      </c>
      <c r="Q3879">
        <v>0.248449019762047</v>
      </c>
      <c r="R3879">
        <v>0.98069551220270701</v>
      </c>
      <c r="S3879" t="s">
        <v>10685</v>
      </c>
      <c r="T3879" t="s">
        <v>13610</v>
      </c>
      <c r="U3879" t="s">
        <v>13610</v>
      </c>
      <c r="V3879" t="s">
        <v>13610</v>
      </c>
      <c r="W3879" t="s">
        <v>17429</v>
      </c>
      <c r="X3879">
        <v>29</v>
      </c>
      <c r="Y3879" t="s">
        <v>24027</v>
      </c>
      <c r="Z3879" t="s">
        <v>30734</v>
      </c>
      <c r="AA3879">
        <v>0.4981285507749289</v>
      </c>
      <c r="AB3879" t="str">
        <f>HYPERLINK("Melting_Curves/meltCurve_Q5VZL5_4_ZMYM4.pdf", "Melting_Curves/meltCurve_Q5VZL5_4_ZMYM4.pdf")</f>
        <v>Melting_Curves/meltCurve_Q5VZL5_4_ZMYM4.pdf</v>
      </c>
    </row>
    <row r="3880" spans="1:28" x14ac:dyDescent="0.25">
      <c r="A3880" t="s">
        <v>3884</v>
      </c>
      <c r="B3880">
        <v>0.995954080203443</v>
      </c>
      <c r="C3880">
        <v>1.0274446001638</v>
      </c>
      <c r="D3880">
        <v>0.94883180676226397</v>
      </c>
      <c r="E3880">
        <v>0.99066176503692804</v>
      </c>
      <c r="F3880">
        <v>0.82621072900994796</v>
      </c>
      <c r="G3880">
        <v>0.65069280556048403</v>
      </c>
      <c r="H3880">
        <v>0.578778309168125</v>
      </c>
      <c r="I3880">
        <v>0.72354487312114302</v>
      </c>
      <c r="J3880">
        <v>0.73640905825819902</v>
      </c>
      <c r="K3880">
        <v>0.91607278712460405</v>
      </c>
      <c r="L3880">
        <v>6316.6957612686101</v>
      </c>
      <c r="M3880">
        <v>119.68719074019501</v>
      </c>
      <c r="O3880">
        <v>52.761976276941603</v>
      </c>
      <c r="P3880">
        <v>-0.15816516573829201</v>
      </c>
      <c r="Q3880">
        <v>0.72110276765883796</v>
      </c>
      <c r="R3880">
        <v>0.70683729047411603</v>
      </c>
      <c r="S3880" t="s">
        <v>10686</v>
      </c>
      <c r="T3880" t="s">
        <v>13610</v>
      </c>
      <c r="U3880" t="s">
        <v>13610</v>
      </c>
      <c r="V3880" t="s">
        <v>13610</v>
      </c>
      <c r="W3880" t="s">
        <v>17430</v>
      </c>
      <c r="X3880">
        <v>5</v>
      </c>
      <c r="Y3880" t="s">
        <v>24028</v>
      </c>
      <c r="Z3880" t="s">
        <v>30735</v>
      </c>
      <c r="AA3880">
        <v>0.83999516153979559</v>
      </c>
      <c r="AB3880" t="str">
        <f>HYPERLINK("Melting_Curves/meltCurve_Q5W0B1_RNF219.pdf", "Melting_Curves/meltCurve_Q5W0B1_RNF219.pdf")</f>
        <v>Melting_Curves/meltCurve_Q5W0B1_RNF219.pdf</v>
      </c>
    </row>
    <row r="3881" spans="1:28" x14ac:dyDescent="0.25">
      <c r="A3881" t="s">
        <v>3885</v>
      </c>
      <c r="B3881">
        <v>0.995954080203443</v>
      </c>
      <c r="C3881">
        <v>1.0259100328239099</v>
      </c>
      <c r="D3881">
        <v>0.94405993966173996</v>
      </c>
      <c r="E3881">
        <v>0.87301593780838904</v>
      </c>
      <c r="F3881">
        <v>0.69230080547905903</v>
      </c>
      <c r="G3881">
        <v>0.43303845613924702</v>
      </c>
      <c r="H3881">
        <v>0.11764359235187399</v>
      </c>
      <c r="I3881">
        <v>5.5673407079647498E-2</v>
      </c>
      <c r="J3881">
        <v>4.79333339778533E-2</v>
      </c>
      <c r="K3881">
        <v>4.74852394443665E-2</v>
      </c>
      <c r="L3881">
        <v>1014.94276042857</v>
      </c>
      <c r="M3881">
        <v>18.277960300177401</v>
      </c>
      <c r="N3881">
        <v>55.528232169644397</v>
      </c>
      <c r="O3881">
        <v>54.876356169980497</v>
      </c>
      <c r="P3881">
        <v>-8.3272699497429603E-2</v>
      </c>
      <c r="Q3881">
        <v>0</v>
      </c>
      <c r="R3881">
        <v>0.99508772527566403</v>
      </c>
      <c r="S3881" t="s">
        <v>10687</v>
      </c>
      <c r="T3881" t="s">
        <v>13610</v>
      </c>
      <c r="U3881" t="s">
        <v>13610</v>
      </c>
      <c r="V3881" t="s">
        <v>13610</v>
      </c>
      <c r="W3881" t="s">
        <v>17431</v>
      </c>
      <c r="X3881">
        <v>13</v>
      </c>
      <c r="Y3881" t="s">
        <v>24029</v>
      </c>
      <c r="Z3881" t="s">
        <v>30736</v>
      </c>
      <c r="AA3881">
        <v>0.53242393393255527</v>
      </c>
      <c r="AB3881" t="str">
        <f>HYPERLINK("Melting_Curves/meltCurve_Q5W0V3_FAM160B1.pdf", "Melting_Curves/meltCurve_Q5W0V3_FAM160B1.pdf")</f>
        <v>Melting_Curves/meltCurve_Q5W0V3_FAM160B1.pdf</v>
      </c>
    </row>
    <row r="3882" spans="1:28" x14ac:dyDescent="0.25">
      <c r="A3882" t="s">
        <v>3886</v>
      </c>
      <c r="B3882">
        <v>0.995954080203443</v>
      </c>
      <c r="C3882">
        <v>1.07012754549797</v>
      </c>
      <c r="D3882">
        <v>1.0394850685382899</v>
      </c>
      <c r="E3882">
        <v>0.95140854839288602</v>
      </c>
      <c r="F3882">
        <v>0.76138434778005604</v>
      </c>
      <c r="G3882">
        <v>0.31990094264033397</v>
      </c>
      <c r="H3882">
        <v>0.19350646283228001</v>
      </c>
      <c r="I3882">
        <v>0.17801288313051999</v>
      </c>
      <c r="J3882">
        <v>0.189008014190542</v>
      </c>
      <c r="K3882">
        <v>0.19600320671240501</v>
      </c>
      <c r="L3882">
        <v>1884.4731562924001</v>
      </c>
      <c r="M3882">
        <v>34.682236878120797</v>
      </c>
      <c r="N3882">
        <v>55.061817217772898</v>
      </c>
      <c r="O3882">
        <v>54.1557095353972</v>
      </c>
      <c r="P3882">
        <v>-0.13071233136675101</v>
      </c>
      <c r="Q3882">
        <v>0.183582917320464</v>
      </c>
      <c r="R3882">
        <v>0.995205951880756</v>
      </c>
      <c r="S3882" t="s">
        <v>10688</v>
      </c>
      <c r="T3882" t="s">
        <v>13610</v>
      </c>
      <c r="U3882" t="s">
        <v>13610</v>
      </c>
      <c r="V3882" t="s">
        <v>13610</v>
      </c>
      <c r="W3882" t="s">
        <v>17432</v>
      </c>
      <c r="X3882">
        <v>2</v>
      </c>
      <c r="Y3882" t="s">
        <v>24030</v>
      </c>
      <c r="Z3882" t="s">
        <v>30737</v>
      </c>
      <c r="AA3882">
        <v>0.57776444788103531</v>
      </c>
      <c r="AB3882" t="str">
        <f>HYPERLINK("Melting_Curves/meltCurve_Q5W111_2_SPRYD7.pdf", "Melting_Curves/meltCurve_Q5W111_2_SPRYD7.pdf")</f>
        <v>Melting_Curves/meltCurve_Q5W111_2_SPRYD7.pdf</v>
      </c>
    </row>
    <row r="3883" spans="1:28" x14ac:dyDescent="0.25">
      <c r="A3883" t="s">
        <v>3887</v>
      </c>
      <c r="B3883">
        <v>0.995954080203443</v>
      </c>
      <c r="C3883">
        <v>0.892244845007785</v>
      </c>
      <c r="D3883">
        <v>0.71591509850141399</v>
      </c>
      <c r="E3883">
        <v>0.50498060482254203</v>
      </c>
      <c r="F3883">
        <v>0.21281405760779501</v>
      </c>
      <c r="G3883">
        <v>0.113746654806731</v>
      </c>
      <c r="H3883">
        <v>7.9266353362775502E-2</v>
      </c>
      <c r="I3883">
        <v>8.4309143265718006E-2</v>
      </c>
      <c r="J3883">
        <v>0.10465564568998301</v>
      </c>
      <c r="K3883">
        <v>9.4179717737124594E-2</v>
      </c>
      <c r="L3883">
        <v>816.00950987605097</v>
      </c>
      <c r="M3883">
        <v>16.755848114536398</v>
      </c>
      <c r="N3883">
        <v>49.126882917805197</v>
      </c>
      <c r="O3883">
        <v>48.0221738304691</v>
      </c>
      <c r="P3883">
        <v>-8.1325225213031094E-2</v>
      </c>
      <c r="Q3883">
        <v>6.7750069858854803E-2</v>
      </c>
      <c r="R3883">
        <v>0.99069807218820805</v>
      </c>
      <c r="S3883" t="s">
        <v>10689</v>
      </c>
      <c r="T3883" t="s">
        <v>13610</v>
      </c>
      <c r="U3883" t="s">
        <v>13610</v>
      </c>
      <c r="V3883" t="s">
        <v>13610</v>
      </c>
      <c r="W3883" t="s">
        <v>17433</v>
      </c>
      <c r="X3883">
        <v>15</v>
      </c>
      <c r="Y3883" t="s">
        <v>24031</v>
      </c>
      <c r="Z3883" t="s">
        <v>30738</v>
      </c>
      <c r="AA3883">
        <v>0.35685650989114032</v>
      </c>
      <c r="AB3883" t="str">
        <f>HYPERLINK("Melting_Curves/meltCurve_Q5XLC2_PFKFB4.pdf", "Melting_Curves/meltCurve_Q5XLC2_PFKFB4.pdf")</f>
        <v>Melting_Curves/meltCurve_Q5XLC2_PFKFB4.pdf</v>
      </c>
    </row>
    <row r="3884" spans="1:28" x14ac:dyDescent="0.25">
      <c r="A3884" t="s">
        <v>3888</v>
      </c>
      <c r="B3884">
        <v>0.995954080203443</v>
      </c>
      <c r="C3884">
        <v>0.941834447006618</v>
      </c>
      <c r="D3884">
        <v>0.85487015079032402</v>
      </c>
      <c r="E3884">
        <v>0.70002531627518505</v>
      </c>
      <c r="F3884">
        <v>0.205446972400224</v>
      </c>
      <c r="G3884">
        <v>0.13467098566159</v>
      </c>
      <c r="H3884">
        <v>9.9460816913678002E-2</v>
      </c>
      <c r="I3884">
        <v>9.1971124131646098E-2</v>
      </c>
      <c r="J3884">
        <v>0.127238012812633</v>
      </c>
      <c r="K3884">
        <v>0.100394594723461</v>
      </c>
      <c r="L3884">
        <v>2079.24170464799</v>
      </c>
      <c r="M3884">
        <v>41.012683665089298</v>
      </c>
      <c r="N3884">
        <v>50.990468375823902</v>
      </c>
      <c r="O3884">
        <v>50.577440088646803</v>
      </c>
      <c r="P3884">
        <v>-0.18144476259489201</v>
      </c>
      <c r="Q3884">
        <v>0.104960320267135</v>
      </c>
      <c r="R3884">
        <v>0.98341254063417105</v>
      </c>
      <c r="S3884" t="s">
        <v>10690</v>
      </c>
      <c r="T3884" t="s">
        <v>13610</v>
      </c>
      <c r="U3884" t="s">
        <v>13610</v>
      </c>
      <c r="V3884" t="s">
        <v>13610</v>
      </c>
      <c r="W3884" t="s">
        <v>17434</v>
      </c>
      <c r="X3884">
        <v>21</v>
      </c>
      <c r="Y3884" t="s">
        <v>24032</v>
      </c>
      <c r="Z3884" t="s">
        <v>30739</v>
      </c>
      <c r="AA3884">
        <v>0.42709998342529309</v>
      </c>
      <c r="AB3884" t="str">
        <f>HYPERLINK("Melting_Curves/meltCurve_Q5XPI4_RNF123.pdf", "Melting_Curves/meltCurve_Q5XPI4_RNF123.pdf")</f>
        <v>Melting_Curves/meltCurve_Q5XPI4_RNF123.pdf</v>
      </c>
    </row>
    <row r="3885" spans="1:28" x14ac:dyDescent="0.25">
      <c r="A3885" t="s">
        <v>3889</v>
      </c>
      <c r="B3885">
        <v>0.995954080203443</v>
      </c>
      <c r="C3885">
        <v>0.89345185025544704</v>
      </c>
      <c r="D3885">
        <v>0.85725494052261197</v>
      </c>
      <c r="E3885">
        <v>0.717852467831122</v>
      </c>
      <c r="F3885">
        <v>0.50020653900828804</v>
      </c>
      <c r="G3885">
        <v>0.21285552691640899</v>
      </c>
      <c r="H3885">
        <v>0.101302958465513</v>
      </c>
      <c r="I3885">
        <v>7.3221509874472401E-2</v>
      </c>
      <c r="J3885">
        <v>8.8262563552098203E-2</v>
      </c>
      <c r="K3885">
        <v>7.5647123591647505E-2</v>
      </c>
      <c r="L3885">
        <v>796.153347020095</v>
      </c>
      <c r="M3885">
        <v>15.198785643054199</v>
      </c>
      <c r="N3885">
        <v>52.595172765790501</v>
      </c>
      <c r="O3885">
        <v>51.500983585194597</v>
      </c>
      <c r="P3885">
        <v>-7.15889866306548E-2</v>
      </c>
      <c r="Q3885">
        <v>2.9777877993109599E-2</v>
      </c>
      <c r="R3885">
        <v>0.99053284121014396</v>
      </c>
      <c r="S3885" t="s">
        <v>10691</v>
      </c>
      <c r="T3885" t="s">
        <v>13610</v>
      </c>
      <c r="U3885" t="s">
        <v>13610</v>
      </c>
      <c r="V3885" t="s">
        <v>13610</v>
      </c>
      <c r="W3885" t="s">
        <v>17435</v>
      </c>
      <c r="X3885">
        <v>11</v>
      </c>
      <c r="Y3885" t="s">
        <v>24033</v>
      </c>
      <c r="Z3885" t="s">
        <v>30740</v>
      </c>
      <c r="AA3885">
        <v>0.45122327265779821</v>
      </c>
      <c r="AB3885" t="str">
        <f>HYPERLINK("Melting_Curves/meltCurve_Q5XUX1_3_FBXW9.pdf", "Melting_Curves/meltCurve_Q5XUX1_3_FBXW9.pdf")</f>
        <v>Melting_Curves/meltCurve_Q5XUX1_3_FBXW9.pdf</v>
      </c>
    </row>
    <row r="3886" spans="1:28" x14ac:dyDescent="0.25">
      <c r="A3886" t="s">
        <v>3890</v>
      </c>
      <c r="B3886">
        <v>0.995954080203443</v>
      </c>
      <c r="C3886">
        <v>0.96736237274325199</v>
      </c>
      <c r="D3886">
        <v>0.93971133586259104</v>
      </c>
      <c r="E3886">
        <v>0.78758033689889495</v>
      </c>
      <c r="F3886">
        <v>0.41409298474199402</v>
      </c>
      <c r="G3886">
        <v>0.33581007856644601</v>
      </c>
      <c r="H3886">
        <v>0.24548554115454299</v>
      </c>
      <c r="I3886">
        <v>0.33517050800091203</v>
      </c>
      <c r="J3886">
        <v>0.39326538375946202</v>
      </c>
      <c r="K3886">
        <v>0.36554358334164599</v>
      </c>
      <c r="L3886">
        <v>2332.89121408254</v>
      </c>
      <c r="M3886">
        <v>45.931450306694202</v>
      </c>
      <c r="N3886">
        <v>52.036194182048199</v>
      </c>
      <c r="O3886">
        <v>50.694695261775301</v>
      </c>
      <c r="P3886">
        <v>-0.15097859558000601</v>
      </c>
      <c r="Q3886">
        <v>0.33345816048424798</v>
      </c>
      <c r="R3886">
        <v>0.98021875602903297</v>
      </c>
      <c r="S3886" t="s">
        <v>10692</v>
      </c>
      <c r="T3886" t="s">
        <v>13610</v>
      </c>
      <c r="U3886" t="s">
        <v>13610</v>
      </c>
      <c r="V3886" t="s">
        <v>13610</v>
      </c>
      <c r="W3886" t="s">
        <v>17436</v>
      </c>
      <c r="X3886">
        <v>1</v>
      </c>
      <c r="Y3886" t="s">
        <v>24034</v>
      </c>
      <c r="Z3886" t="s">
        <v>30741</v>
      </c>
      <c r="AA3886">
        <v>0.57497826944481811</v>
      </c>
      <c r="AB3886" t="str">
        <f>HYPERLINK("Melting_Curves/meltCurve_Q63HM1_AFMID.pdf", "Melting_Curves/meltCurve_Q63HM1_AFMID.pdf")</f>
        <v>Melting_Curves/meltCurve_Q63HM1_AFMID.pdf</v>
      </c>
    </row>
    <row r="3887" spans="1:28" x14ac:dyDescent="0.25">
      <c r="A3887" t="s">
        <v>3891</v>
      </c>
      <c r="B3887">
        <v>0.995954080203443</v>
      </c>
      <c r="C3887">
        <v>0.66148952831069396</v>
      </c>
      <c r="D3887">
        <v>0.41970775952508299</v>
      </c>
      <c r="E3887">
        <v>0.29370832211442499</v>
      </c>
      <c r="F3887">
        <v>0.18979296951803201</v>
      </c>
      <c r="G3887">
        <v>0.128670811181573</v>
      </c>
      <c r="H3887">
        <v>9.76887374549609E-2</v>
      </c>
      <c r="I3887">
        <v>9.7763384299525899E-2</v>
      </c>
      <c r="J3887">
        <v>0.119391206252305</v>
      </c>
      <c r="K3887">
        <v>0.10975123731556601</v>
      </c>
      <c r="L3887">
        <v>787.26625887645696</v>
      </c>
      <c r="M3887">
        <v>17.620194859516499</v>
      </c>
      <c r="N3887">
        <v>45.346763686287296</v>
      </c>
      <c r="O3887">
        <v>44.116215155850597</v>
      </c>
      <c r="P3887">
        <v>-8.8457639267859198E-2</v>
      </c>
      <c r="Q3887">
        <v>0.11415167375954501</v>
      </c>
      <c r="R3887">
        <v>0.97808130105962299</v>
      </c>
      <c r="S3887" t="s">
        <v>10693</v>
      </c>
      <c r="T3887" t="s">
        <v>13610</v>
      </c>
      <c r="U3887" t="s">
        <v>13610</v>
      </c>
      <c r="V3887" t="s">
        <v>13610</v>
      </c>
      <c r="W3887" t="s">
        <v>17437</v>
      </c>
      <c r="X3887">
        <v>74</v>
      </c>
      <c r="Y3887" t="s">
        <v>24035</v>
      </c>
      <c r="Z3887" t="s">
        <v>30742</v>
      </c>
      <c r="AA3887">
        <v>0.27315835993747722</v>
      </c>
      <c r="AB3887" t="str">
        <f>HYPERLINK("Melting_Curves/meltCurve_Q63HN8_RNF213.pdf", "Melting_Curves/meltCurve_Q63HN8_RNF213.pdf")</f>
        <v>Melting_Curves/meltCurve_Q63HN8_RNF213.pdf</v>
      </c>
    </row>
    <row r="3888" spans="1:28" x14ac:dyDescent="0.25">
      <c r="A3888" t="s">
        <v>3892</v>
      </c>
      <c r="B3888">
        <v>0.995954080203443</v>
      </c>
      <c r="C3888">
        <v>0.96614050926281203</v>
      </c>
      <c r="D3888">
        <v>1.1393811916832</v>
      </c>
      <c r="E3888">
        <v>0.88954082093976605</v>
      </c>
      <c r="F3888">
        <v>0.98069524616537496</v>
      </c>
      <c r="G3888">
        <v>0.73647244387146005</v>
      </c>
      <c r="H3888">
        <v>0.717486940979846</v>
      </c>
      <c r="I3888">
        <v>0.81749942932735498</v>
      </c>
      <c r="J3888">
        <v>1.09107012768959</v>
      </c>
      <c r="K3888">
        <v>1.0279033805423201</v>
      </c>
      <c r="L3888">
        <v>12061.614555349801</v>
      </c>
      <c r="M3888">
        <v>250</v>
      </c>
      <c r="O3888">
        <v>48.243370835135401</v>
      </c>
      <c r="P3888">
        <v>-0.136833492985384</v>
      </c>
      <c r="Q3888">
        <v>0.89437905715442401</v>
      </c>
      <c r="R3888">
        <v>0.20313708785486301</v>
      </c>
      <c r="S3888" t="s">
        <v>10694</v>
      </c>
      <c r="T3888" t="s">
        <v>13610</v>
      </c>
      <c r="U3888" t="s">
        <v>13610</v>
      </c>
      <c r="V3888" t="s">
        <v>13610</v>
      </c>
      <c r="W3888" t="s">
        <v>17438</v>
      </c>
      <c r="X3888">
        <v>5</v>
      </c>
      <c r="Y3888" t="s">
        <v>24036</v>
      </c>
      <c r="Z3888" t="s">
        <v>30743</v>
      </c>
      <c r="AA3888">
        <v>0.92342129001735851</v>
      </c>
      <c r="AB3888" t="str">
        <f>HYPERLINK("Melting_Curves/meltCurve_Q63HQ0_AP1AR.pdf", "Melting_Curves/meltCurve_Q63HQ0_AP1AR.pdf")</f>
        <v>Melting_Curves/meltCurve_Q63HQ0_AP1AR.pdf</v>
      </c>
    </row>
    <row r="3889" spans="1:28" x14ac:dyDescent="0.25">
      <c r="A3889" t="s">
        <v>3893</v>
      </c>
      <c r="B3889">
        <v>0.995954080203443</v>
      </c>
      <c r="C3889">
        <v>0.9883515339133</v>
      </c>
      <c r="D3889">
        <v>0.84316150078851504</v>
      </c>
      <c r="E3889">
        <v>0.76384849480441797</v>
      </c>
      <c r="F3889">
        <v>0.56464648324741895</v>
      </c>
      <c r="G3889">
        <v>0.40156285418728799</v>
      </c>
      <c r="H3889">
        <v>0.36662913812465198</v>
      </c>
      <c r="I3889">
        <v>0.38250234341942002</v>
      </c>
      <c r="J3889">
        <v>0.31101889207293698</v>
      </c>
      <c r="K3889">
        <v>0.305660028764349</v>
      </c>
      <c r="L3889">
        <v>762.93142821498998</v>
      </c>
      <c r="M3889">
        <v>14.8584534726995</v>
      </c>
      <c r="N3889">
        <v>54.793017036607999</v>
      </c>
      <c r="O3889">
        <v>50.443471092941202</v>
      </c>
      <c r="P3889">
        <v>-5.1285913073421598E-2</v>
      </c>
      <c r="Q3889">
        <v>0.30362382999096199</v>
      </c>
      <c r="R3889">
        <v>0.98800802443263902</v>
      </c>
      <c r="S3889" t="s">
        <v>10695</v>
      </c>
      <c r="T3889" t="s">
        <v>13610</v>
      </c>
      <c r="U3889" t="s">
        <v>13610</v>
      </c>
      <c r="V3889" t="s">
        <v>13610</v>
      </c>
      <c r="W3889" t="s">
        <v>17439</v>
      </c>
      <c r="X3889">
        <v>2</v>
      </c>
      <c r="Y3889" t="s">
        <v>24037</v>
      </c>
      <c r="Z3889" t="s">
        <v>30744</v>
      </c>
      <c r="AA3889">
        <v>0.58316472239858896</v>
      </c>
      <c r="AB3889" t="str">
        <f>HYPERLINK("Melting_Curves/meltCurve_Q63ZY3_3_KANK2.pdf", "Melting_Curves/meltCurve_Q63ZY3_3_KANK2.pdf")</f>
        <v>Melting_Curves/meltCurve_Q63ZY3_3_KANK2.pdf</v>
      </c>
    </row>
    <row r="3890" spans="1:28" x14ac:dyDescent="0.25">
      <c r="A3890" t="s">
        <v>3894</v>
      </c>
      <c r="B3890">
        <v>0.995954080203443</v>
      </c>
      <c r="C3890">
        <v>0.88849515848984895</v>
      </c>
      <c r="D3890">
        <v>0.73960651262969701</v>
      </c>
      <c r="E3890">
        <v>0.86766163553187503</v>
      </c>
      <c r="F3890">
        <v>0.52696607886890701</v>
      </c>
      <c r="G3890">
        <v>0.25031703684793799</v>
      </c>
      <c r="H3890">
        <v>0.101161167074349</v>
      </c>
      <c r="I3890">
        <v>9.2484678347723906E-2</v>
      </c>
      <c r="J3890">
        <v>0.10553981863044801</v>
      </c>
      <c r="K3890">
        <v>8.6973176362270005E-2</v>
      </c>
      <c r="L3890">
        <v>781.60316526181703</v>
      </c>
      <c r="M3890">
        <v>14.699312032240799</v>
      </c>
      <c r="N3890">
        <v>53.3772293250804</v>
      </c>
      <c r="O3890">
        <v>52.217740590323601</v>
      </c>
      <c r="P3890">
        <v>-6.8456245064922303E-2</v>
      </c>
      <c r="Q3890">
        <v>2.7372291795390798E-2</v>
      </c>
      <c r="R3890">
        <v>0.950925446704324</v>
      </c>
      <c r="S3890" t="s">
        <v>10696</v>
      </c>
      <c r="T3890" t="s">
        <v>13610</v>
      </c>
      <c r="U3890" t="s">
        <v>13610</v>
      </c>
      <c r="V3890" t="s">
        <v>13610</v>
      </c>
      <c r="W3890" t="s">
        <v>17440</v>
      </c>
      <c r="X3890">
        <v>12</v>
      </c>
      <c r="Y3890" t="s">
        <v>24038</v>
      </c>
      <c r="Z3890" t="s">
        <v>30745</v>
      </c>
      <c r="AA3890">
        <v>0.47579806715298201</v>
      </c>
      <c r="AB3890" t="str">
        <f>HYPERLINK("Melting_Curves/meltCurve_Q658Y4_FAM91A1.pdf", "Melting_Curves/meltCurve_Q658Y4_FAM91A1.pdf")</f>
        <v>Melting_Curves/meltCurve_Q658Y4_FAM91A1.pdf</v>
      </c>
    </row>
    <row r="3891" spans="1:28" x14ac:dyDescent="0.25">
      <c r="A3891" t="s">
        <v>3895</v>
      </c>
      <c r="B3891">
        <v>0.995954080203443</v>
      </c>
      <c r="C3891">
        <v>0.94882558352036095</v>
      </c>
      <c r="D3891">
        <v>0.89432549492150504</v>
      </c>
      <c r="E3891">
        <v>0.78614033690803997</v>
      </c>
      <c r="F3891">
        <v>0.60755269405079804</v>
      </c>
      <c r="G3891">
        <v>0.42994647443150402</v>
      </c>
      <c r="H3891">
        <v>0.39153597196006601</v>
      </c>
      <c r="I3891">
        <v>0.51778582878507395</v>
      </c>
      <c r="J3891">
        <v>0.58584043026507604</v>
      </c>
      <c r="K3891">
        <v>0.56845447806959404</v>
      </c>
      <c r="L3891">
        <v>1239.2593267551699</v>
      </c>
      <c r="M3891">
        <v>24.7721934058941</v>
      </c>
      <c r="N3891">
        <v>63.234230015662597</v>
      </c>
      <c r="O3891">
        <v>49.7036403731232</v>
      </c>
      <c r="P3891">
        <v>-6.2653256549866906E-2</v>
      </c>
      <c r="Q3891">
        <v>0.49716983636721102</v>
      </c>
      <c r="R3891">
        <v>0.90683484389433999</v>
      </c>
      <c r="S3891" t="s">
        <v>10697</v>
      </c>
      <c r="T3891" t="s">
        <v>13610</v>
      </c>
      <c r="U3891" t="s">
        <v>13610</v>
      </c>
      <c r="V3891" t="s">
        <v>13610</v>
      </c>
      <c r="W3891" t="s">
        <v>17441</v>
      </c>
      <c r="X3891">
        <v>5</v>
      </c>
      <c r="Y3891" t="s">
        <v>24039</v>
      </c>
      <c r="Z3891" t="s">
        <v>30746</v>
      </c>
      <c r="AA3891">
        <v>0.66979825113339642</v>
      </c>
      <c r="AB3891" t="str">
        <f>HYPERLINK("Melting_Curves/meltCurve_Q659A1_NARG2.pdf", "Melting_Curves/meltCurve_Q659A1_NARG2.pdf")</f>
        <v>Melting_Curves/meltCurve_Q659A1_NARG2.pdf</v>
      </c>
    </row>
    <row r="3892" spans="1:28" x14ac:dyDescent="0.25">
      <c r="A3892" t="s">
        <v>3896</v>
      </c>
      <c r="B3892">
        <v>0.995954080203443</v>
      </c>
      <c r="C3892">
        <v>0.90453081194282803</v>
      </c>
      <c r="D3892">
        <v>0.83429610578965696</v>
      </c>
      <c r="E3892">
        <v>0.80919861282126304</v>
      </c>
      <c r="F3892">
        <v>0.63629057204107797</v>
      </c>
      <c r="G3892">
        <v>0.44221993998642001</v>
      </c>
      <c r="H3892">
        <v>0.35511692811161999</v>
      </c>
      <c r="I3892">
        <v>0.34535883577846599</v>
      </c>
      <c r="J3892">
        <v>0.35018056166067801</v>
      </c>
      <c r="K3892">
        <v>0.424111209676723</v>
      </c>
      <c r="L3892">
        <v>697.37229277363099</v>
      </c>
      <c r="M3892">
        <v>13.4711006719808</v>
      </c>
      <c r="N3892">
        <v>56.179879763688803</v>
      </c>
      <c r="O3892">
        <v>50.667169916368501</v>
      </c>
      <c r="P3892">
        <v>-4.4779650780043E-2</v>
      </c>
      <c r="Q3892">
        <v>0.32640713888860801</v>
      </c>
      <c r="R3892">
        <v>0.96157306948443799</v>
      </c>
      <c r="S3892" t="s">
        <v>10698</v>
      </c>
      <c r="T3892" t="s">
        <v>13610</v>
      </c>
      <c r="U3892" t="s">
        <v>13610</v>
      </c>
      <c r="V3892" t="s">
        <v>13610</v>
      </c>
      <c r="W3892" t="s">
        <v>17442</v>
      </c>
      <c r="X3892">
        <v>8</v>
      </c>
      <c r="Y3892" t="s">
        <v>24040</v>
      </c>
      <c r="Z3892" t="s">
        <v>30747</v>
      </c>
      <c r="AA3892">
        <v>0.60847586390618813</v>
      </c>
      <c r="AB3892" t="str">
        <f>HYPERLINK("Melting_Curves/meltCurve_Q659C4_LARP1B.pdf", "Melting_Curves/meltCurve_Q659C4_LARP1B.pdf")</f>
        <v>Melting_Curves/meltCurve_Q659C4_LARP1B.pdf</v>
      </c>
    </row>
    <row r="3893" spans="1:28" x14ac:dyDescent="0.25">
      <c r="A3893" t="s">
        <v>3897</v>
      </c>
      <c r="B3893">
        <v>0.995954080203443</v>
      </c>
      <c r="C3893">
        <v>0.93758310888859497</v>
      </c>
      <c r="D3893">
        <v>0.85649977495460605</v>
      </c>
      <c r="E3893">
        <v>0.59121204375500902</v>
      </c>
      <c r="F3893">
        <v>0.39550908656870698</v>
      </c>
      <c r="G3893">
        <v>0.26711331801737098</v>
      </c>
      <c r="H3893">
        <v>0.206173141306015</v>
      </c>
      <c r="I3893">
        <v>0.192854114909874</v>
      </c>
      <c r="J3893">
        <v>0.23112425459824901</v>
      </c>
      <c r="K3893">
        <v>0.22221919950791899</v>
      </c>
      <c r="L3893">
        <v>919.605858307174</v>
      </c>
      <c r="M3893">
        <v>18.478753748849801</v>
      </c>
      <c r="N3893">
        <v>51.188112372176498</v>
      </c>
      <c r="O3893">
        <v>49.193740254948999</v>
      </c>
      <c r="P3893">
        <v>-7.5053604423170203E-2</v>
      </c>
      <c r="Q3893">
        <v>0.200811153834516</v>
      </c>
      <c r="R3893">
        <v>0.99758181171181903</v>
      </c>
      <c r="S3893" t="s">
        <v>10699</v>
      </c>
      <c r="T3893" t="s">
        <v>13610</v>
      </c>
      <c r="U3893" t="s">
        <v>13610</v>
      </c>
      <c r="V3893" t="s">
        <v>13610</v>
      </c>
      <c r="W3893" t="s">
        <v>17443</v>
      </c>
      <c r="X3893">
        <v>10</v>
      </c>
      <c r="Y3893" t="s">
        <v>24041</v>
      </c>
      <c r="Z3893" t="s">
        <v>30748</v>
      </c>
      <c r="AA3893">
        <v>0.47396002865791398</v>
      </c>
      <c r="AB3893" t="str">
        <f>HYPERLINK("Melting_Curves/meltCurve_Q66GS9_CEP135.pdf", "Melting_Curves/meltCurve_Q66GS9_CEP135.pdf")</f>
        <v>Melting_Curves/meltCurve_Q66GS9_CEP135.pdf</v>
      </c>
    </row>
    <row r="3894" spans="1:28" x14ac:dyDescent="0.25">
      <c r="A3894" t="s">
        <v>3898</v>
      </c>
      <c r="B3894">
        <v>0.995954080203443</v>
      </c>
      <c r="C3894">
        <v>0.94217094751723796</v>
      </c>
      <c r="D3894">
        <v>0.78941737308913695</v>
      </c>
      <c r="E3894">
        <v>0.50017571285406404</v>
      </c>
      <c r="F3894">
        <v>0.238945276044187</v>
      </c>
      <c r="G3894">
        <v>0.143276894366618</v>
      </c>
      <c r="H3894">
        <v>9.9322532543531003E-2</v>
      </c>
      <c r="I3894">
        <v>0.102211255949158</v>
      </c>
      <c r="J3894">
        <v>0.109215322396594</v>
      </c>
      <c r="K3894">
        <v>0.106112750480765</v>
      </c>
      <c r="L3894">
        <v>957.52247203329398</v>
      </c>
      <c r="M3894">
        <v>19.502486097151401</v>
      </c>
      <c r="N3894">
        <v>49.614642859778598</v>
      </c>
      <c r="O3894">
        <v>48.589988396067</v>
      </c>
      <c r="P3894">
        <v>-9.1115803344866894E-2</v>
      </c>
      <c r="Q3894">
        <v>9.1981141847405301E-2</v>
      </c>
      <c r="R3894">
        <v>0.99780379566231503</v>
      </c>
      <c r="S3894" t="s">
        <v>10700</v>
      </c>
      <c r="T3894" t="s">
        <v>13610</v>
      </c>
      <c r="U3894" t="s">
        <v>13610</v>
      </c>
      <c r="V3894" t="s">
        <v>13610</v>
      </c>
      <c r="W3894" t="s">
        <v>17444</v>
      </c>
      <c r="X3894">
        <v>22</v>
      </c>
      <c r="Y3894" t="s">
        <v>24042</v>
      </c>
      <c r="Z3894" t="s">
        <v>30749</v>
      </c>
      <c r="AA3894">
        <v>0.38070837825265719</v>
      </c>
      <c r="AB3894" t="str">
        <f>HYPERLINK("Melting_Curves/meltCurve_Q66K14_2_TBC1D9B.pdf", "Melting_Curves/meltCurve_Q66K14_2_TBC1D9B.pdf")</f>
        <v>Melting_Curves/meltCurve_Q66K14_2_TBC1D9B.pdf</v>
      </c>
    </row>
    <row r="3895" spans="1:28" x14ac:dyDescent="0.25">
      <c r="A3895" t="s">
        <v>3899</v>
      </c>
      <c r="B3895">
        <v>0.995954080203443</v>
      </c>
      <c r="C3895">
        <v>0.87331665948600201</v>
      </c>
      <c r="D3895">
        <v>0.89548035910370805</v>
      </c>
      <c r="E3895">
        <v>0.76325267582949297</v>
      </c>
      <c r="F3895">
        <v>0.64446883416756595</v>
      </c>
      <c r="G3895">
        <v>0.444298924027553</v>
      </c>
      <c r="H3895">
        <v>0.445012225165759</v>
      </c>
      <c r="I3895">
        <v>0.53299012449167005</v>
      </c>
      <c r="J3895">
        <v>0.68195780499347103</v>
      </c>
      <c r="K3895">
        <v>0.67358664101291299</v>
      </c>
      <c r="L3895">
        <v>953.74822198529205</v>
      </c>
      <c r="M3895">
        <v>19.652498586095799</v>
      </c>
      <c r="O3895">
        <v>48.0365174789886</v>
      </c>
      <c r="P3895">
        <v>-4.52563666253262E-2</v>
      </c>
      <c r="Q3895">
        <v>0.55753564138522405</v>
      </c>
      <c r="R3895">
        <v>0.77146167555362</v>
      </c>
      <c r="S3895" t="s">
        <v>10701</v>
      </c>
      <c r="T3895" t="s">
        <v>13610</v>
      </c>
      <c r="U3895" t="s">
        <v>13610</v>
      </c>
      <c r="V3895" t="s">
        <v>13610</v>
      </c>
      <c r="W3895" t="s">
        <v>17445</v>
      </c>
      <c r="X3895">
        <v>3</v>
      </c>
      <c r="Y3895" t="s">
        <v>24043</v>
      </c>
      <c r="Z3895" t="s">
        <v>30750</v>
      </c>
      <c r="AA3895">
        <v>0.68981406855628058</v>
      </c>
      <c r="AB3895" t="str">
        <f>HYPERLINK("Melting_Curves/meltCurve_Q66K64_DCAF15.pdf", "Melting_Curves/meltCurve_Q66K64_DCAF15.pdf")</f>
        <v>Melting_Curves/meltCurve_Q66K64_DCAF15.pdf</v>
      </c>
    </row>
    <row r="3896" spans="1:28" x14ac:dyDescent="0.25">
      <c r="A3896" t="s">
        <v>3900</v>
      </c>
      <c r="B3896">
        <v>0.995954080203443</v>
      </c>
      <c r="C3896">
        <v>0.84717278269277196</v>
      </c>
      <c r="D3896">
        <v>0.782415168796191</v>
      </c>
      <c r="E3896">
        <v>0.70718757369027496</v>
      </c>
      <c r="F3896">
        <v>0.33444563091157298</v>
      </c>
      <c r="G3896">
        <v>0.15157518954927099</v>
      </c>
      <c r="H3896">
        <v>0.107649082889339</v>
      </c>
      <c r="I3896">
        <v>0.10049241388949499</v>
      </c>
      <c r="J3896">
        <v>0.118331635100698</v>
      </c>
      <c r="K3896">
        <v>0.104077201662973</v>
      </c>
      <c r="L3896">
        <v>766.74029663406202</v>
      </c>
      <c r="M3896">
        <v>15.127292502038401</v>
      </c>
      <c r="N3896">
        <v>51.1362538539843</v>
      </c>
      <c r="O3896">
        <v>49.824884457486</v>
      </c>
      <c r="P3896">
        <v>-7.1175440905263399E-2</v>
      </c>
      <c r="Q3896">
        <v>6.2367164903511102E-2</v>
      </c>
      <c r="R3896">
        <v>0.96959911478945104</v>
      </c>
      <c r="S3896" t="s">
        <v>10702</v>
      </c>
      <c r="T3896" t="s">
        <v>13610</v>
      </c>
      <c r="U3896" t="s">
        <v>13610</v>
      </c>
      <c r="V3896" t="s">
        <v>13610</v>
      </c>
      <c r="W3896" t="s">
        <v>17446</v>
      </c>
      <c r="X3896">
        <v>13</v>
      </c>
      <c r="Y3896" t="s">
        <v>24044</v>
      </c>
      <c r="Z3896" t="s">
        <v>30751</v>
      </c>
      <c r="AA3896">
        <v>0.417916293128131</v>
      </c>
      <c r="AB3896" t="str">
        <f>HYPERLINK("Melting_Curves/meltCurve_Q66LE6_PPP2R2D.pdf", "Melting_Curves/meltCurve_Q66LE6_PPP2R2D.pdf")</f>
        <v>Melting_Curves/meltCurve_Q66LE6_PPP2R2D.pdf</v>
      </c>
    </row>
    <row r="3897" spans="1:28" x14ac:dyDescent="0.25">
      <c r="A3897" t="s">
        <v>3901</v>
      </c>
      <c r="B3897">
        <v>0.995954080203443</v>
      </c>
      <c r="C3897">
        <v>0.95606348983872902</v>
      </c>
      <c r="D3897">
        <v>0.99445654641978998</v>
      </c>
      <c r="E3897">
        <v>0.88633868278591099</v>
      </c>
      <c r="F3897">
        <v>0.87378597397081903</v>
      </c>
      <c r="G3897">
        <v>0.750805605542336</v>
      </c>
      <c r="H3897">
        <v>0.71287483023822895</v>
      </c>
      <c r="I3897">
        <v>0.91161905595098103</v>
      </c>
      <c r="J3897">
        <v>1.0357728474663701</v>
      </c>
      <c r="K3897">
        <v>1.0704845100278</v>
      </c>
      <c r="L3897">
        <v>11634.322203997301</v>
      </c>
      <c r="M3897">
        <v>250</v>
      </c>
      <c r="O3897">
        <v>46.534310091345702</v>
      </c>
      <c r="P3897">
        <v>-0.145499111644975</v>
      </c>
      <c r="Q3897">
        <v>0.89166878615197998</v>
      </c>
      <c r="R3897">
        <v>0.13173438790688699</v>
      </c>
      <c r="S3897" t="s">
        <v>10703</v>
      </c>
      <c r="T3897" t="s">
        <v>13610</v>
      </c>
      <c r="U3897" t="s">
        <v>13610</v>
      </c>
      <c r="V3897" t="s">
        <v>13610</v>
      </c>
      <c r="W3897" t="s">
        <v>17447</v>
      </c>
      <c r="X3897">
        <v>11</v>
      </c>
      <c r="Y3897" t="s">
        <v>24045</v>
      </c>
      <c r="Z3897" t="s">
        <v>30752</v>
      </c>
      <c r="AA3897">
        <v>0.91528404822615594</v>
      </c>
      <c r="AB3897" t="str">
        <f>HYPERLINK("Melting_Curves/meltCurve_Q66PJ3_ARL6IP4.pdf", "Melting_Curves/meltCurve_Q66PJ3_ARL6IP4.pdf")</f>
        <v>Melting_Curves/meltCurve_Q66PJ3_ARL6IP4.pdf</v>
      </c>
    </row>
    <row r="3898" spans="1:28" x14ac:dyDescent="0.25">
      <c r="A3898" t="s">
        <v>3902</v>
      </c>
      <c r="B3898">
        <v>0.995954080203443</v>
      </c>
      <c r="C3898">
        <v>0.97535261840561205</v>
      </c>
      <c r="D3898">
        <v>0.97642090905985501</v>
      </c>
      <c r="E3898">
        <v>0.88237260600206402</v>
      </c>
      <c r="F3898">
        <v>0.80418746122132001</v>
      </c>
      <c r="G3898">
        <v>0.44899603073326999</v>
      </c>
      <c r="H3898">
        <v>0.30943054064699299</v>
      </c>
      <c r="I3898">
        <v>0.26660158478539298</v>
      </c>
      <c r="J3898">
        <v>0.23664334062542799</v>
      </c>
      <c r="K3898">
        <v>0.19187161444739301</v>
      </c>
      <c r="L3898">
        <v>1132.7342672330899</v>
      </c>
      <c r="M3898">
        <v>20.512570742162598</v>
      </c>
      <c r="N3898">
        <v>56.668612212420797</v>
      </c>
      <c r="O3898">
        <v>54.704677815690196</v>
      </c>
      <c r="P3898">
        <v>-7.4632740072255399E-2</v>
      </c>
      <c r="Q3898">
        <v>0.20387559808036301</v>
      </c>
      <c r="R3898">
        <v>0.99505011016640899</v>
      </c>
      <c r="S3898" t="s">
        <v>10704</v>
      </c>
      <c r="T3898" t="s">
        <v>13610</v>
      </c>
      <c r="U3898" t="s">
        <v>13610</v>
      </c>
      <c r="V3898" t="s">
        <v>13610</v>
      </c>
      <c r="W3898" t="s">
        <v>17448</v>
      </c>
      <c r="X3898">
        <v>25</v>
      </c>
      <c r="Y3898" t="s">
        <v>24046</v>
      </c>
      <c r="Z3898" t="s">
        <v>30753</v>
      </c>
      <c r="AA3898">
        <v>0.61796189368570886</v>
      </c>
      <c r="AB3898" t="str">
        <f>HYPERLINK("Melting_Curves/meltCurve_Q676U5_2_ATG16L1.pdf", "Melting_Curves/meltCurve_Q676U5_2_ATG16L1.pdf")</f>
        <v>Melting_Curves/meltCurve_Q676U5_2_ATG16L1.pdf</v>
      </c>
    </row>
    <row r="3899" spans="1:28" x14ac:dyDescent="0.25">
      <c r="A3899" t="s">
        <v>3903</v>
      </c>
      <c r="B3899">
        <v>0.995954080203443</v>
      </c>
      <c r="C3899">
        <v>0.740789061712818</v>
      </c>
      <c r="D3899">
        <v>0.58130279024440001</v>
      </c>
      <c r="E3899">
        <v>0.38044517135804701</v>
      </c>
      <c r="F3899">
        <v>0.27750392208235403</v>
      </c>
      <c r="G3899">
        <v>0.21520991847769499</v>
      </c>
      <c r="H3899">
        <v>0.19918689925720301</v>
      </c>
      <c r="I3899">
        <v>0.24439387188697201</v>
      </c>
      <c r="J3899">
        <v>0.25194658516938201</v>
      </c>
      <c r="K3899">
        <v>0.27644547859858398</v>
      </c>
      <c r="L3899">
        <v>808.32516411234803</v>
      </c>
      <c r="M3899">
        <v>17.841511614843501</v>
      </c>
      <c r="N3899">
        <v>46.960785545663299</v>
      </c>
      <c r="O3899">
        <v>44.748197470042001</v>
      </c>
      <c r="P3899">
        <v>-7.6419616748214195E-2</v>
      </c>
      <c r="Q3899">
        <v>0.233368681048433</v>
      </c>
      <c r="R3899">
        <v>0.98031579141153102</v>
      </c>
      <c r="S3899" t="s">
        <v>10705</v>
      </c>
      <c r="T3899" t="s">
        <v>13610</v>
      </c>
      <c r="U3899" t="s">
        <v>13610</v>
      </c>
      <c r="V3899" t="s">
        <v>13610</v>
      </c>
      <c r="W3899" t="s">
        <v>17449</v>
      </c>
      <c r="X3899">
        <v>30</v>
      </c>
      <c r="Y3899" t="s">
        <v>24047</v>
      </c>
      <c r="Z3899" t="s">
        <v>30754</v>
      </c>
      <c r="AA3899">
        <v>0.38528296871440387</v>
      </c>
      <c r="AB3899" t="str">
        <f>HYPERLINK("Melting_Curves/meltCurve_Q68CP9_ARID2.pdf", "Melting_Curves/meltCurve_Q68CP9_ARID2.pdf")</f>
        <v>Melting_Curves/meltCurve_Q68CP9_ARID2.pdf</v>
      </c>
    </row>
    <row r="3900" spans="1:28" x14ac:dyDescent="0.25">
      <c r="A3900" t="s">
        <v>3904</v>
      </c>
      <c r="B3900">
        <v>0.995954080203443</v>
      </c>
      <c r="C3900">
        <v>0.92478590041801301</v>
      </c>
      <c r="D3900">
        <v>0.75184602462274397</v>
      </c>
      <c r="E3900">
        <v>0.45956318060009799</v>
      </c>
      <c r="F3900">
        <v>0.275802334759986</v>
      </c>
      <c r="G3900">
        <v>0.16402311471782999</v>
      </c>
      <c r="H3900">
        <v>0.120095214724021</v>
      </c>
      <c r="I3900">
        <v>0.124367674376517</v>
      </c>
      <c r="J3900">
        <v>0.14357229417044801</v>
      </c>
      <c r="K3900">
        <v>0.12645652647933101</v>
      </c>
      <c r="L3900">
        <v>875.83480843386701</v>
      </c>
      <c r="M3900">
        <v>18.0350946825953</v>
      </c>
      <c r="N3900">
        <v>49.290330508262798</v>
      </c>
      <c r="O3900">
        <v>47.9775579182757</v>
      </c>
      <c r="P3900">
        <v>-8.2999034616127995E-2</v>
      </c>
      <c r="Q3900">
        <v>0.116856139916868</v>
      </c>
      <c r="R3900">
        <v>0.99873175411591297</v>
      </c>
      <c r="S3900" t="s">
        <v>10706</v>
      </c>
      <c r="T3900" t="s">
        <v>13610</v>
      </c>
      <c r="U3900" t="s">
        <v>13610</v>
      </c>
      <c r="V3900" t="s">
        <v>13610</v>
      </c>
      <c r="W3900" t="s">
        <v>17450</v>
      </c>
      <c r="X3900">
        <v>17</v>
      </c>
      <c r="Y3900" t="s">
        <v>24048</v>
      </c>
      <c r="Z3900" t="s">
        <v>30755</v>
      </c>
      <c r="AA3900">
        <v>0.38430502410591921</v>
      </c>
      <c r="AB3900" t="str">
        <f>HYPERLINK("Melting_Curves/meltCurve_Q68CQ4_DIEXF.pdf", "Melting_Curves/meltCurve_Q68CQ4_DIEXF.pdf")</f>
        <v>Melting_Curves/meltCurve_Q68CQ4_DIEXF.pdf</v>
      </c>
    </row>
    <row r="3901" spans="1:28" x14ac:dyDescent="0.25">
      <c r="A3901" t="s">
        <v>3905</v>
      </c>
      <c r="B3901">
        <v>0.995954080203443</v>
      </c>
      <c r="C3901">
        <v>0.89535397783731896</v>
      </c>
      <c r="D3901">
        <v>0.47180827115924101</v>
      </c>
      <c r="E3901">
        <v>0.27243419938859398</v>
      </c>
      <c r="F3901">
        <v>0.13356136840699201</v>
      </c>
      <c r="G3901">
        <v>8.0758197648259894E-2</v>
      </c>
      <c r="H3901">
        <v>4.8377078188392098E-2</v>
      </c>
      <c r="I3901">
        <v>4.2983644111018897E-2</v>
      </c>
      <c r="J3901">
        <v>4.2462429043852397E-2</v>
      </c>
      <c r="K3901">
        <v>3.7088269622151997E-2</v>
      </c>
      <c r="L3901">
        <v>946.74544536168298</v>
      </c>
      <c r="M3901">
        <v>20.492782192104901</v>
      </c>
      <c r="N3901">
        <v>46.446446215637003</v>
      </c>
      <c r="O3901">
        <v>45.765790105831201</v>
      </c>
      <c r="P3901">
        <v>-0.106157199591404</v>
      </c>
      <c r="Q3901">
        <v>5.1719827097397801E-2</v>
      </c>
      <c r="R3901">
        <v>0.98820484762126304</v>
      </c>
      <c r="S3901" t="s">
        <v>10707</v>
      </c>
      <c r="T3901" t="s">
        <v>13610</v>
      </c>
      <c r="U3901" t="s">
        <v>13610</v>
      </c>
      <c r="V3901" t="s">
        <v>13610</v>
      </c>
      <c r="W3901" t="s">
        <v>17451</v>
      </c>
      <c r="X3901">
        <v>12</v>
      </c>
      <c r="Y3901" t="s">
        <v>24049</v>
      </c>
      <c r="Z3901" t="s">
        <v>30756</v>
      </c>
      <c r="AA3901">
        <v>0.26134942022256757</v>
      </c>
      <c r="AB3901" t="str">
        <f>HYPERLINK("Melting_Curves/meltCurve_Q68CZ6_HAUS3.pdf", "Melting_Curves/meltCurve_Q68CZ6_HAUS3.pdf")</f>
        <v>Melting_Curves/meltCurve_Q68CZ6_HAUS3.pdf</v>
      </c>
    </row>
    <row r="3902" spans="1:28" x14ac:dyDescent="0.25">
      <c r="A3902" t="s">
        <v>3906</v>
      </c>
      <c r="B3902">
        <v>0.995954080203443</v>
      </c>
      <c r="C3902">
        <v>1.00122425678111</v>
      </c>
      <c r="D3902">
        <v>1.0590159685530001</v>
      </c>
      <c r="E3902">
        <v>0.91399071480907701</v>
      </c>
      <c r="F3902">
        <v>0.99013353760928202</v>
      </c>
      <c r="G3902">
        <v>0.73871620123980197</v>
      </c>
      <c r="H3902">
        <v>0.74269525084440602</v>
      </c>
      <c r="I3902">
        <v>0.89240382459924705</v>
      </c>
      <c r="J3902">
        <v>1.0277012393239799</v>
      </c>
      <c r="K3902">
        <v>1.0539936970025101</v>
      </c>
      <c r="L3902">
        <v>8754.6633317443302</v>
      </c>
      <c r="M3902">
        <v>177.692446204829</v>
      </c>
      <c r="O3902">
        <v>49.262382644750097</v>
      </c>
      <c r="P3902">
        <v>-8.3317737703648198E-2</v>
      </c>
      <c r="Q3902">
        <v>0.90760595826873702</v>
      </c>
      <c r="R3902">
        <v>0.193440659179651</v>
      </c>
      <c r="S3902" t="s">
        <v>10708</v>
      </c>
      <c r="T3902" t="s">
        <v>13610</v>
      </c>
      <c r="U3902" t="s">
        <v>13610</v>
      </c>
      <c r="V3902" t="s">
        <v>13610</v>
      </c>
      <c r="W3902" t="s">
        <v>17452</v>
      </c>
      <c r="X3902">
        <v>17</v>
      </c>
      <c r="Y3902" t="s">
        <v>24050</v>
      </c>
      <c r="Z3902" t="s">
        <v>30757</v>
      </c>
      <c r="AA3902">
        <v>0.9361673138919151</v>
      </c>
      <c r="AB3902" t="str">
        <f>HYPERLINK("Melting_Curves/meltCurve_Q68D10_SPTY2D1.pdf", "Melting_Curves/meltCurve_Q68D10_SPTY2D1.pdf")</f>
        <v>Melting_Curves/meltCurve_Q68D10_SPTY2D1.pdf</v>
      </c>
    </row>
    <row r="3903" spans="1:28" x14ac:dyDescent="0.25">
      <c r="A3903" t="s">
        <v>3907</v>
      </c>
      <c r="B3903">
        <v>0.995954080203443</v>
      </c>
      <c r="C3903">
        <v>0.99374548165101695</v>
      </c>
      <c r="D3903">
        <v>0.93355494995611599</v>
      </c>
      <c r="E3903">
        <v>0.886483393111272</v>
      </c>
      <c r="F3903">
        <v>0.73912316366066799</v>
      </c>
      <c r="G3903">
        <v>0.56312073669271101</v>
      </c>
      <c r="H3903">
        <v>0.59508639025728804</v>
      </c>
      <c r="I3903">
        <v>0.65398173758459299</v>
      </c>
      <c r="J3903">
        <v>0.68437976048485705</v>
      </c>
      <c r="K3903">
        <v>0.78985450961233095</v>
      </c>
      <c r="L3903">
        <v>1905.11255746042</v>
      </c>
      <c r="M3903">
        <v>37.431084672740297</v>
      </c>
      <c r="O3903">
        <v>50.751928088454498</v>
      </c>
      <c r="P3903">
        <v>-6.2877989021050504E-2</v>
      </c>
      <c r="Q3903">
        <v>0.65898183773109897</v>
      </c>
      <c r="R3903">
        <v>0.84547421744441098</v>
      </c>
      <c r="S3903" t="s">
        <v>10709</v>
      </c>
      <c r="T3903" t="s">
        <v>13610</v>
      </c>
      <c r="U3903" t="s">
        <v>13610</v>
      </c>
      <c r="V3903" t="s">
        <v>13610</v>
      </c>
      <c r="W3903" t="s">
        <v>17453</v>
      </c>
      <c r="X3903">
        <v>3</v>
      </c>
      <c r="Y3903" t="s">
        <v>24051</v>
      </c>
      <c r="Z3903" t="s">
        <v>30758</v>
      </c>
      <c r="AA3903">
        <v>0.78421711670980931</v>
      </c>
      <c r="AB3903" t="str">
        <f>HYPERLINK("Melting_Curves/meltCurve_Q68D20_PMS2CL.pdf", "Melting_Curves/meltCurve_Q68D20_PMS2CL.pdf")</f>
        <v>Melting_Curves/meltCurve_Q68D20_PMS2CL.pdf</v>
      </c>
    </row>
    <row r="3904" spans="1:28" x14ac:dyDescent="0.25">
      <c r="A3904" t="s">
        <v>3908</v>
      </c>
      <c r="B3904">
        <v>0.995954080203443</v>
      </c>
      <c r="C3904">
        <v>0.67066827580863997</v>
      </c>
      <c r="D3904">
        <v>0.36995381513689501</v>
      </c>
      <c r="E3904">
        <v>0.30598143731034</v>
      </c>
      <c r="F3904">
        <v>0.19371129375365101</v>
      </c>
      <c r="G3904">
        <v>0.10405052054518001</v>
      </c>
      <c r="H3904">
        <v>5.6269204245238701E-2</v>
      </c>
      <c r="I3904">
        <v>5.67838105342897E-2</v>
      </c>
      <c r="J3904">
        <v>6.15630579840118E-2</v>
      </c>
      <c r="K3904">
        <v>6.1440818029167101E-2</v>
      </c>
      <c r="L3904">
        <v>722.80088038089298</v>
      </c>
      <c r="M3904">
        <v>16.09151752967</v>
      </c>
      <c r="N3904">
        <v>45.348731941435801</v>
      </c>
      <c r="O3904">
        <v>44.241607313318099</v>
      </c>
      <c r="P3904">
        <v>-8.4494135469668399E-2</v>
      </c>
      <c r="Q3904">
        <v>7.0847419021112898E-2</v>
      </c>
      <c r="R3904">
        <v>0.966815390656522</v>
      </c>
      <c r="S3904" t="s">
        <v>10710</v>
      </c>
      <c r="T3904" t="s">
        <v>13610</v>
      </c>
      <c r="U3904" t="s">
        <v>13610</v>
      </c>
      <c r="V3904" t="s">
        <v>13610</v>
      </c>
      <c r="W3904" t="s">
        <v>17454</v>
      </c>
      <c r="X3904">
        <v>6</v>
      </c>
      <c r="Y3904" t="s">
        <v>24052</v>
      </c>
      <c r="Z3904" t="s">
        <v>30759</v>
      </c>
      <c r="AA3904">
        <v>0.24909681804077191</v>
      </c>
      <c r="AB3904" t="str">
        <f>HYPERLINK("Melting_Curves/meltCurve_Q68DK2_2_ZFYVE26.pdf", "Melting_Curves/meltCurve_Q68DK2_2_ZFYVE26.pdf")</f>
        <v>Melting_Curves/meltCurve_Q68DK2_2_ZFYVE26.pdf</v>
      </c>
    </row>
    <row r="3905" spans="1:28" x14ac:dyDescent="0.25">
      <c r="A3905" t="s">
        <v>3909</v>
      </c>
      <c r="B3905">
        <v>0.995954080203443</v>
      </c>
      <c r="C3905">
        <v>0.55933375182532497</v>
      </c>
      <c r="D3905">
        <v>0.88214154272731904</v>
      </c>
      <c r="E3905">
        <v>0.80760214457780599</v>
      </c>
      <c r="F3905">
        <v>0.73421109243865201</v>
      </c>
      <c r="G3905">
        <v>0.614530290916801</v>
      </c>
      <c r="H3905">
        <v>0.63160277136588205</v>
      </c>
      <c r="I3905">
        <v>0.62669703124624399</v>
      </c>
      <c r="J3905">
        <v>0.78322391329220098</v>
      </c>
      <c r="K3905">
        <v>0.87345625063921495</v>
      </c>
      <c r="L3905">
        <v>10168.1258594589</v>
      </c>
      <c r="M3905">
        <v>250</v>
      </c>
      <c r="O3905">
        <v>40.669900569988798</v>
      </c>
      <c r="P3905">
        <v>-0.42469319252860099</v>
      </c>
      <c r="Q3905">
        <v>0.723644321055815</v>
      </c>
      <c r="R3905">
        <v>0.36711744770458399</v>
      </c>
      <c r="S3905" t="s">
        <v>10711</v>
      </c>
      <c r="T3905" t="s">
        <v>13610</v>
      </c>
      <c r="U3905" t="s">
        <v>13610</v>
      </c>
      <c r="V3905" t="s">
        <v>13610</v>
      </c>
      <c r="W3905" t="s">
        <v>17455</v>
      </c>
      <c r="X3905">
        <v>2</v>
      </c>
      <c r="Y3905" t="s">
        <v>20471</v>
      </c>
      <c r="Z3905" t="s">
        <v>30760</v>
      </c>
      <c r="AA3905">
        <v>0.7298803919975948</v>
      </c>
      <c r="AB3905" t="str">
        <f>HYPERLINK("Melting_Curves/meltCurve_Q68DQ2_CRYBG3.pdf", "Melting_Curves/meltCurve_Q68DQ2_CRYBG3.pdf")</f>
        <v>Melting_Curves/meltCurve_Q68DQ2_CRYBG3.pdf</v>
      </c>
    </row>
    <row r="3906" spans="1:28" x14ac:dyDescent="0.25">
      <c r="A3906" t="s">
        <v>3910</v>
      </c>
      <c r="B3906">
        <v>0.995954080203443</v>
      </c>
      <c r="C3906">
        <v>0.663434978771544</v>
      </c>
      <c r="D3906">
        <v>0.54716442553363098</v>
      </c>
      <c r="E3906">
        <v>0.43564865667954</v>
      </c>
      <c r="F3906">
        <v>0.32524153079286999</v>
      </c>
      <c r="G3906">
        <v>0.22644271290646301</v>
      </c>
      <c r="H3906">
        <v>0.16319444752693499</v>
      </c>
      <c r="I3906">
        <v>0.18545585368912501</v>
      </c>
      <c r="J3906">
        <v>0.18611343994794899</v>
      </c>
      <c r="K3906">
        <v>0.21926706432502699</v>
      </c>
      <c r="L3906">
        <v>582.91709605571896</v>
      </c>
      <c r="M3906">
        <v>12.758436939100299</v>
      </c>
      <c r="N3906">
        <v>47.311040339426199</v>
      </c>
      <c r="O3906">
        <v>44.609954676876598</v>
      </c>
      <c r="P3906">
        <v>-5.8843449366424098E-2</v>
      </c>
      <c r="Q3906">
        <v>0.177170613281558</v>
      </c>
      <c r="R3906">
        <v>0.95858425102592304</v>
      </c>
      <c r="S3906" t="s">
        <v>10712</v>
      </c>
      <c r="T3906" t="s">
        <v>13610</v>
      </c>
      <c r="U3906" t="s">
        <v>13610</v>
      </c>
      <c r="V3906" t="s">
        <v>13610</v>
      </c>
      <c r="W3906" t="s">
        <v>17456</v>
      </c>
      <c r="X3906">
        <v>5</v>
      </c>
      <c r="Y3906" t="s">
        <v>24053</v>
      </c>
      <c r="Z3906" t="s">
        <v>30761</v>
      </c>
      <c r="AA3906">
        <v>0.36745940055729631</v>
      </c>
      <c r="AB3906" t="str">
        <f>HYPERLINK("Melting_Curves/meltCurve_Q68DS0_DKFZp781N011.pdf", "Melting_Curves/meltCurve_Q68DS0_DKFZp781N011.pdf")</f>
        <v>Melting_Curves/meltCurve_Q68DS0_DKFZp781N011.pdf</v>
      </c>
    </row>
    <row r="3907" spans="1:28" x14ac:dyDescent="0.25">
      <c r="A3907" t="s">
        <v>3911</v>
      </c>
      <c r="B3907">
        <v>0.995954080203443</v>
      </c>
      <c r="C3907">
        <v>0.81934486360652203</v>
      </c>
      <c r="D3907">
        <v>0.58253453773623098</v>
      </c>
      <c r="E3907">
        <v>0.51804368704803005</v>
      </c>
      <c r="F3907">
        <v>0.28465668780377701</v>
      </c>
      <c r="G3907">
        <v>0.156053741032909</v>
      </c>
      <c r="H3907">
        <v>7.5734852061675795E-2</v>
      </c>
      <c r="I3907">
        <v>5.6464010954180098E-2</v>
      </c>
      <c r="J3907">
        <v>6.15530510928236E-2</v>
      </c>
      <c r="K3907">
        <v>5.4414130411616801E-2</v>
      </c>
      <c r="L3907">
        <v>553.71698526321404</v>
      </c>
      <c r="M3907">
        <v>11.3494433586662</v>
      </c>
      <c r="N3907">
        <v>48.844814009556302</v>
      </c>
      <c r="O3907">
        <v>47.347006573660103</v>
      </c>
      <c r="P3907">
        <v>-5.9551955362443502E-2</v>
      </c>
      <c r="Q3907">
        <v>6.5543254611167504E-3</v>
      </c>
      <c r="R3907">
        <v>0.98107760288718004</v>
      </c>
      <c r="S3907" t="s">
        <v>10713</v>
      </c>
      <c r="T3907" t="s">
        <v>13610</v>
      </c>
      <c r="U3907" t="s">
        <v>13610</v>
      </c>
      <c r="V3907" t="s">
        <v>13610</v>
      </c>
      <c r="W3907" t="s">
        <v>17457</v>
      </c>
      <c r="X3907">
        <v>27</v>
      </c>
      <c r="Y3907" t="s">
        <v>24054</v>
      </c>
      <c r="Z3907" t="s">
        <v>30762</v>
      </c>
      <c r="AA3907">
        <v>0.33813780304482421</v>
      </c>
      <c r="AB3907" t="str">
        <f>HYPERLINK("Melting_Curves/meltCurve_Q68E01_2_INTS3.pdf", "Melting_Curves/meltCurve_Q68E01_2_INTS3.pdf")</f>
        <v>Melting_Curves/meltCurve_Q68E01_2_INTS3.pdf</v>
      </c>
    </row>
    <row r="3908" spans="1:28" x14ac:dyDescent="0.25">
      <c r="A3908" t="s">
        <v>3912</v>
      </c>
      <c r="B3908">
        <v>0.995954080203443</v>
      </c>
      <c r="C3908">
        <v>0.96789034585872902</v>
      </c>
      <c r="D3908">
        <v>0.81168768067052199</v>
      </c>
      <c r="E3908">
        <v>0.46384497271431702</v>
      </c>
      <c r="F3908">
        <v>0.27649667727882299</v>
      </c>
      <c r="G3908">
        <v>0.17049277101690599</v>
      </c>
      <c r="H3908">
        <v>0.131480888783408</v>
      </c>
      <c r="I3908">
        <v>0.129302155207732</v>
      </c>
      <c r="J3908">
        <v>0.152023339787145</v>
      </c>
      <c r="K3908">
        <v>0.15603974474752599</v>
      </c>
      <c r="L3908">
        <v>1052.45874314357</v>
      </c>
      <c r="M3908">
        <v>21.554111336620799</v>
      </c>
      <c r="N3908">
        <v>49.566999204463499</v>
      </c>
      <c r="O3908">
        <v>48.414208199389101</v>
      </c>
      <c r="P3908">
        <v>-9.6020302737080301E-2</v>
      </c>
      <c r="Q3908">
        <v>0.137309154112394</v>
      </c>
      <c r="R3908">
        <v>0.99903411963904099</v>
      </c>
      <c r="S3908" t="s">
        <v>10714</v>
      </c>
      <c r="T3908" t="s">
        <v>13610</v>
      </c>
      <c r="U3908" t="s">
        <v>13610</v>
      </c>
      <c r="V3908" t="s">
        <v>13610</v>
      </c>
      <c r="W3908" t="s">
        <v>17458</v>
      </c>
      <c r="X3908">
        <v>15</v>
      </c>
      <c r="Y3908" t="s">
        <v>24055</v>
      </c>
      <c r="Z3908" t="s">
        <v>30763</v>
      </c>
      <c r="AA3908">
        <v>0.40156883308578922</v>
      </c>
      <c r="AB3908" t="str">
        <f>HYPERLINK("Melting_Curves/meltCurve_Q68EM7_ARHGAP17.pdf", "Melting_Curves/meltCurve_Q68EM7_ARHGAP17.pdf")</f>
        <v>Melting_Curves/meltCurve_Q68EM7_ARHGAP17.pdf</v>
      </c>
    </row>
    <row r="3909" spans="1:28" x14ac:dyDescent="0.25">
      <c r="A3909" t="s">
        <v>3913</v>
      </c>
      <c r="B3909">
        <v>0.995954080203443</v>
      </c>
      <c r="C3909">
        <v>1.0061857007695101</v>
      </c>
      <c r="D3909">
        <v>0.92251348209150197</v>
      </c>
      <c r="E3909">
        <v>0.67852102994400898</v>
      </c>
      <c r="F3909">
        <v>0.31535720585202598</v>
      </c>
      <c r="G3909">
        <v>0.109787751990381</v>
      </c>
      <c r="H3909">
        <v>7.0257111868259503E-2</v>
      </c>
      <c r="I3909">
        <v>6.6594498834361707E-2</v>
      </c>
      <c r="J3909">
        <v>8.9430980090578094E-2</v>
      </c>
      <c r="K3909">
        <v>7.1136462730818806E-2</v>
      </c>
      <c r="L3909">
        <v>1394.1656347883199</v>
      </c>
      <c r="M3909">
        <v>27.3001959628835</v>
      </c>
      <c r="N3909">
        <v>51.342703978404401</v>
      </c>
      <c r="O3909">
        <v>50.796318625166798</v>
      </c>
      <c r="P3909">
        <v>-0.125231561722908</v>
      </c>
      <c r="Q3909">
        <v>6.7956580868331895E-2</v>
      </c>
      <c r="R3909">
        <v>0.99870756242700298</v>
      </c>
      <c r="S3909" t="s">
        <v>10715</v>
      </c>
      <c r="T3909" t="s">
        <v>13610</v>
      </c>
      <c r="U3909" t="s">
        <v>13610</v>
      </c>
      <c r="V3909" t="s">
        <v>13610</v>
      </c>
      <c r="W3909" t="s">
        <v>17459</v>
      </c>
      <c r="X3909">
        <v>16</v>
      </c>
      <c r="Y3909" t="s">
        <v>24056</v>
      </c>
      <c r="Z3909" t="s">
        <v>30764</v>
      </c>
      <c r="AA3909">
        <v>0.41889850277233598</v>
      </c>
      <c r="AB3909" t="str">
        <f>HYPERLINK("Melting_Curves/meltCurve_Q69YN2_CWF19L1.pdf", "Melting_Curves/meltCurve_Q69YN2_CWF19L1.pdf")</f>
        <v>Melting_Curves/meltCurve_Q69YN2_CWF19L1.pdf</v>
      </c>
    </row>
    <row r="3910" spans="1:28" x14ac:dyDescent="0.25">
      <c r="A3910" t="s">
        <v>3914</v>
      </c>
      <c r="B3910">
        <v>0.995954080203443</v>
      </c>
      <c r="C3910">
        <v>0.84483432832337502</v>
      </c>
      <c r="D3910">
        <v>0.77380254531119597</v>
      </c>
      <c r="E3910">
        <v>0.63983591853149502</v>
      </c>
      <c r="F3910">
        <v>0.20260282193600801</v>
      </c>
      <c r="G3910">
        <v>0.117941278106569</v>
      </c>
      <c r="H3910">
        <v>7.1388994531855807E-2</v>
      </c>
      <c r="I3910">
        <v>6.1639969370806798E-2</v>
      </c>
      <c r="J3910">
        <v>6.3107303095232201E-2</v>
      </c>
      <c r="K3910">
        <v>6.1516932777555197E-2</v>
      </c>
      <c r="L3910">
        <v>815.31440679477396</v>
      </c>
      <c r="M3910">
        <v>16.331858485550299</v>
      </c>
      <c r="N3910">
        <v>50.113181183653701</v>
      </c>
      <c r="O3910">
        <v>49.191274024680197</v>
      </c>
      <c r="P3910">
        <v>-8.0497212994790901E-2</v>
      </c>
      <c r="Q3910">
        <v>3.0245685867807098E-2</v>
      </c>
      <c r="R3910">
        <v>0.97101385975239696</v>
      </c>
      <c r="S3910" t="s">
        <v>10716</v>
      </c>
      <c r="T3910" t="s">
        <v>13610</v>
      </c>
      <c r="U3910" t="s">
        <v>13610</v>
      </c>
      <c r="V3910" t="s">
        <v>13610</v>
      </c>
      <c r="W3910" t="s">
        <v>17460</v>
      </c>
      <c r="X3910">
        <v>35</v>
      </c>
      <c r="Y3910" t="s">
        <v>24057</v>
      </c>
      <c r="Z3910" t="s">
        <v>30765</v>
      </c>
      <c r="AA3910">
        <v>0.37083632283099582</v>
      </c>
      <c r="AB3910" t="str">
        <f>HYPERLINK("Melting_Curves/meltCurve_Q69YN4_3_KIAA1429.pdf", "Melting_Curves/meltCurve_Q69YN4_3_KIAA1429.pdf")</f>
        <v>Melting_Curves/meltCurve_Q69YN4_3_KIAA1429.pdf</v>
      </c>
    </row>
    <row r="3911" spans="1:28" x14ac:dyDescent="0.25">
      <c r="A3911" t="s">
        <v>3915</v>
      </c>
      <c r="B3911">
        <v>0.995954080203443</v>
      </c>
      <c r="C3911">
        <v>0.94380354802790101</v>
      </c>
      <c r="D3911">
        <v>0.92574034469231603</v>
      </c>
      <c r="E3911">
        <v>0.82518540948374897</v>
      </c>
      <c r="F3911">
        <v>0.71875247747905102</v>
      </c>
      <c r="G3911">
        <v>0.522618887706922</v>
      </c>
      <c r="H3911">
        <v>0.45368732320180799</v>
      </c>
      <c r="I3911">
        <v>0.50247090461446897</v>
      </c>
      <c r="J3911">
        <v>0.64085442852263697</v>
      </c>
      <c r="K3911">
        <v>0.59083748635951105</v>
      </c>
      <c r="L3911">
        <v>1159.0727272743</v>
      </c>
      <c r="M3911">
        <v>22.7115878349918</v>
      </c>
      <c r="O3911">
        <v>50.643687789415502</v>
      </c>
      <c r="P3911">
        <v>-5.1882913839083403E-2</v>
      </c>
      <c r="Q3911">
        <v>0.537242178450689</v>
      </c>
      <c r="R3911">
        <v>0.91008334251952505</v>
      </c>
      <c r="S3911" t="s">
        <v>10717</v>
      </c>
      <c r="T3911" t="s">
        <v>13610</v>
      </c>
      <c r="U3911" t="s">
        <v>13610</v>
      </c>
      <c r="V3911" t="s">
        <v>13610</v>
      </c>
      <c r="W3911" t="s">
        <v>17461</v>
      </c>
      <c r="X3911">
        <v>22</v>
      </c>
      <c r="Y3911" t="s">
        <v>24058</v>
      </c>
      <c r="Z3911" t="s">
        <v>30766</v>
      </c>
      <c r="AA3911">
        <v>0.71249414211784345</v>
      </c>
      <c r="AB3911" t="str">
        <f>HYPERLINK("Melting_Curves/meltCurve_Q69YQ0_2_SPECC1L.pdf", "Melting_Curves/meltCurve_Q69YQ0_2_SPECC1L.pdf")</f>
        <v>Melting_Curves/meltCurve_Q69YQ0_2_SPECC1L.pdf</v>
      </c>
    </row>
    <row r="3912" spans="1:28" x14ac:dyDescent="0.25">
      <c r="A3912" t="s">
        <v>3916</v>
      </c>
      <c r="B3912">
        <v>0.995954080203443</v>
      </c>
      <c r="C3912">
        <v>1.0522435049191301</v>
      </c>
      <c r="D3912">
        <v>0.94637192307139695</v>
      </c>
      <c r="E3912">
        <v>0.827152420545334</v>
      </c>
      <c r="F3912">
        <v>0.71895657739345697</v>
      </c>
      <c r="G3912">
        <v>0.50915048603204904</v>
      </c>
      <c r="H3912">
        <v>0.422154699095038</v>
      </c>
      <c r="I3912">
        <v>0.53483086955840398</v>
      </c>
      <c r="J3912">
        <v>0.63500143085022198</v>
      </c>
      <c r="K3912">
        <v>0.57464178447162595</v>
      </c>
      <c r="L3912">
        <v>1380.16925499529</v>
      </c>
      <c r="M3912">
        <v>26.899773105279799</v>
      </c>
      <c r="O3912">
        <v>51.026799501683797</v>
      </c>
      <c r="P3912">
        <v>-6.15055951385595E-2</v>
      </c>
      <c r="Q3912">
        <v>0.53331916895201703</v>
      </c>
      <c r="R3912">
        <v>0.92084270425564996</v>
      </c>
      <c r="S3912" t="s">
        <v>10718</v>
      </c>
      <c r="T3912" t="s">
        <v>13610</v>
      </c>
      <c r="U3912" t="s">
        <v>13610</v>
      </c>
      <c r="V3912" t="s">
        <v>13610</v>
      </c>
      <c r="W3912" t="s">
        <v>17462</v>
      </c>
      <c r="X3912">
        <v>4</v>
      </c>
      <c r="Y3912" t="s">
        <v>24059</v>
      </c>
      <c r="Z3912" t="s">
        <v>30767</v>
      </c>
      <c r="AA3912">
        <v>0.71288710119061827</v>
      </c>
      <c r="AB3912" t="str">
        <f>HYPERLINK("Melting_Curves/meltCurve_Q6AHZ1_ZNF518A.pdf", "Melting_Curves/meltCurve_Q6AHZ1_ZNF518A.pdf")</f>
        <v>Melting_Curves/meltCurve_Q6AHZ1_ZNF518A.pdf</v>
      </c>
    </row>
    <row r="3913" spans="1:28" x14ac:dyDescent="0.25">
      <c r="A3913" t="s">
        <v>3917</v>
      </c>
      <c r="B3913">
        <v>0.995954080203443</v>
      </c>
      <c r="C3913">
        <v>0.801783974368797</v>
      </c>
      <c r="D3913">
        <v>0.40975338693341801</v>
      </c>
      <c r="E3913">
        <v>0.250691791806328</v>
      </c>
      <c r="F3913">
        <v>0.159702706531237</v>
      </c>
      <c r="G3913">
        <v>0.113068153690968</v>
      </c>
      <c r="H3913">
        <v>8.9538521173124899E-2</v>
      </c>
      <c r="I3913">
        <v>9.3337225694548095E-2</v>
      </c>
      <c r="J3913">
        <v>0.10363476451792999</v>
      </c>
      <c r="K3913">
        <v>0.110312558014995</v>
      </c>
      <c r="L3913">
        <v>1051.9906339236099</v>
      </c>
      <c r="M3913">
        <v>23.352556277159799</v>
      </c>
      <c r="N3913">
        <v>45.5385568528609</v>
      </c>
      <c r="O3913">
        <v>44.721774147923497</v>
      </c>
      <c r="P3913">
        <v>-0.116033450649799</v>
      </c>
      <c r="Q3913">
        <v>0.111167300774432</v>
      </c>
      <c r="R3913">
        <v>0.99123854185396798</v>
      </c>
      <c r="S3913" t="s">
        <v>10719</v>
      </c>
      <c r="T3913" t="s">
        <v>13610</v>
      </c>
      <c r="U3913" t="s">
        <v>13610</v>
      </c>
      <c r="V3913" t="s">
        <v>13610</v>
      </c>
      <c r="W3913" t="s">
        <v>17463</v>
      </c>
      <c r="X3913">
        <v>8</v>
      </c>
      <c r="Y3913" t="s">
        <v>24060</v>
      </c>
      <c r="Z3913" t="s">
        <v>30768</v>
      </c>
      <c r="AA3913">
        <v>0.27110912977528923</v>
      </c>
      <c r="AB3913" t="str">
        <f>HYPERLINK("Melting_Curves/meltCurve_Q6AI08_HEATR6.pdf", "Melting_Curves/meltCurve_Q6AI08_HEATR6.pdf")</f>
        <v>Melting_Curves/meltCurve_Q6AI08_HEATR6.pdf</v>
      </c>
    </row>
    <row r="3914" spans="1:28" x14ac:dyDescent="0.25">
      <c r="A3914" t="s">
        <v>3918</v>
      </c>
      <c r="B3914">
        <v>0.995954080203443</v>
      </c>
      <c r="C3914">
        <v>0.93378073973214804</v>
      </c>
      <c r="D3914">
        <v>1.0018114639712401</v>
      </c>
      <c r="E3914">
        <v>0.90449155356085298</v>
      </c>
      <c r="F3914">
        <v>0.90997753483414801</v>
      </c>
      <c r="G3914">
        <v>0.76249252553432301</v>
      </c>
      <c r="H3914">
        <v>0.68228348093166702</v>
      </c>
      <c r="I3914">
        <v>0.79212426884958498</v>
      </c>
      <c r="J3914">
        <v>0.95860346895834303</v>
      </c>
      <c r="K3914">
        <v>0.99548364858030403</v>
      </c>
      <c r="L3914">
        <v>1551.3306904445701</v>
      </c>
      <c r="M3914">
        <v>31.124947114723302</v>
      </c>
      <c r="O3914">
        <v>49.637642921515997</v>
      </c>
      <c r="P3914">
        <v>-2.44172907472309E-2</v>
      </c>
      <c r="Q3914">
        <v>0.84423942188312695</v>
      </c>
      <c r="R3914">
        <v>0.289016836969062</v>
      </c>
      <c r="S3914" t="s">
        <v>10720</v>
      </c>
      <c r="T3914" t="s">
        <v>13610</v>
      </c>
      <c r="U3914" t="s">
        <v>13610</v>
      </c>
      <c r="V3914" t="s">
        <v>13610</v>
      </c>
      <c r="W3914" t="s">
        <v>17464</v>
      </c>
      <c r="X3914">
        <v>7</v>
      </c>
      <c r="Y3914" t="s">
        <v>24061</v>
      </c>
      <c r="Z3914" t="s">
        <v>30769</v>
      </c>
      <c r="AA3914">
        <v>0.89623131138258683</v>
      </c>
      <c r="AB3914" t="str">
        <f>HYPERLINK("Melting_Curves/meltCurve_Q6AI12_ANKRD40.pdf", "Melting_Curves/meltCurve_Q6AI12_ANKRD40.pdf")</f>
        <v>Melting_Curves/meltCurve_Q6AI12_ANKRD40.pdf</v>
      </c>
    </row>
    <row r="3915" spans="1:28" x14ac:dyDescent="0.25">
      <c r="A3915" t="s">
        <v>3919</v>
      </c>
      <c r="B3915">
        <v>0.995954080203443</v>
      </c>
      <c r="C3915">
        <v>1.1107964300803801</v>
      </c>
      <c r="D3915">
        <v>1.0508423808462299</v>
      </c>
      <c r="E3915">
        <v>1.05381983897721</v>
      </c>
      <c r="F3915">
        <v>1.08693417177003</v>
      </c>
      <c r="G3915">
        <v>0.83897422309282699</v>
      </c>
      <c r="H3915">
        <v>0.92264798850227003</v>
      </c>
      <c r="I3915">
        <v>1.09872570493455</v>
      </c>
      <c r="J3915">
        <v>1.35099698447064</v>
      </c>
      <c r="K3915">
        <v>1.29139474857633</v>
      </c>
      <c r="L3915">
        <v>15000</v>
      </c>
      <c r="M3915">
        <v>233.562621684551</v>
      </c>
      <c r="O3915">
        <v>64.217890879505603</v>
      </c>
      <c r="P3915">
        <v>0.29205712191190902</v>
      </c>
      <c r="Q3915">
        <v>1.3212036900150701</v>
      </c>
      <c r="R3915">
        <v>0.72017954438315002</v>
      </c>
      <c r="S3915" t="s">
        <v>10721</v>
      </c>
      <c r="T3915" t="s">
        <v>13610</v>
      </c>
      <c r="U3915" t="s">
        <v>13610</v>
      </c>
      <c r="V3915" t="s">
        <v>13610</v>
      </c>
      <c r="W3915" t="s">
        <v>17465</v>
      </c>
      <c r="X3915">
        <v>2</v>
      </c>
      <c r="Y3915" t="s">
        <v>24062</v>
      </c>
      <c r="Z3915" t="s">
        <v>30770</v>
      </c>
      <c r="AA3915">
        <v>1.0618158738109811</v>
      </c>
      <c r="AB3915" t="str">
        <f>HYPERLINK("Melting_Curves/meltCurve_Q6AI39_GLTSCR1L.pdf", "Melting_Curves/meltCurve_Q6AI39_GLTSCR1L.pdf")</f>
        <v>Melting_Curves/meltCurve_Q6AI39_GLTSCR1L.pdf</v>
      </c>
    </row>
    <row r="3916" spans="1:28" x14ac:dyDescent="0.25">
      <c r="A3916" t="s">
        <v>3920</v>
      </c>
      <c r="B3916">
        <v>0.995954080203443</v>
      </c>
      <c r="C3916">
        <v>1.0110063324735801</v>
      </c>
      <c r="D3916">
        <v>0.98293680419992202</v>
      </c>
      <c r="E3916">
        <v>0.90386094234426895</v>
      </c>
      <c r="F3916">
        <v>0.85247527754285901</v>
      </c>
      <c r="G3916">
        <v>0.60689576722215</v>
      </c>
      <c r="H3916">
        <v>0.42242021365399901</v>
      </c>
      <c r="I3916">
        <v>0.309225146922742</v>
      </c>
      <c r="J3916">
        <v>0.21331054279533301</v>
      </c>
      <c r="K3916">
        <v>0.207334236379418</v>
      </c>
      <c r="L3916">
        <v>867.538597999687</v>
      </c>
      <c r="M3916">
        <v>14.964968591701099</v>
      </c>
      <c r="N3916">
        <v>59.197741576597402</v>
      </c>
      <c r="O3916">
        <v>56.965653662224199</v>
      </c>
      <c r="P3916">
        <v>-5.6927107049864499E-2</v>
      </c>
      <c r="Q3916">
        <v>0.133293208098482</v>
      </c>
      <c r="R3916">
        <v>0.99774300692888696</v>
      </c>
      <c r="S3916" t="s">
        <v>10722</v>
      </c>
      <c r="T3916" t="s">
        <v>13610</v>
      </c>
      <c r="U3916" t="s">
        <v>13610</v>
      </c>
      <c r="V3916" t="s">
        <v>13610</v>
      </c>
      <c r="W3916" t="s">
        <v>17466</v>
      </c>
      <c r="X3916">
        <v>6</v>
      </c>
      <c r="Y3916" t="s">
        <v>24063</v>
      </c>
      <c r="Z3916" t="s">
        <v>30771</v>
      </c>
      <c r="AA3916">
        <v>0.66419992250018356</v>
      </c>
      <c r="AB3916" t="str">
        <f>HYPERLINK("Melting_Curves/meltCurve_Q6AWC2_3_WWC2.pdf", "Melting_Curves/meltCurve_Q6AWC2_3_WWC2.pdf")</f>
        <v>Melting_Curves/meltCurve_Q6AWC2_3_WWC2.pdf</v>
      </c>
    </row>
    <row r="3917" spans="1:28" x14ac:dyDescent="0.25">
      <c r="A3917" t="s">
        <v>3921</v>
      </c>
      <c r="B3917">
        <v>0.995954080203443</v>
      </c>
      <c r="C3917">
        <v>1.0571228026524599</v>
      </c>
      <c r="D3917">
        <v>1.02986325575473</v>
      </c>
      <c r="E3917">
        <v>0.95805490035629604</v>
      </c>
      <c r="F3917">
        <v>0.94200551931294896</v>
      </c>
      <c r="G3917">
        <v>0.74294846450848195</v>
      </c>
      <c r="H3917">
        <v>0.56083356774329596</v>
      </c>
      <c r="I3917">
        <v>0.26403345306058301</v>
      </c>
      <c r="J3917">
        <v>0.127631371631138</v>
      </c>
      <c r="K3917">
        <v>0.11912132082212699</v>
      </c>
      <c r="L3917">
        <v>1103.5775745922399</v>
      </c>
      <c r="M3917">
        <v>18.101282870132199</v>
      </c>
      <c r="N3917">
        <v>60.9668167713019</v>
      </c>
      <c r="O3917">
        <v>60.237334117168999</v>
      </c>
      <c r="P3917">
        <v>-7.5128474454377606E-2</v>
      </c>
      <c r="Q3917">
        <v>0</v>
      </c>
      <c r="R3917">
        <v>0.98965214864856699</v>
      </c>
      <c r="S3917" t="s">
        <v>10723</v>
      </c>
      <c r="T3917" t="s">
        <v>13610</v>
      </c>
      <c r="U3917" t="s">
        <v>13610</v>
      </c>
      <c r="V3917" t="s">
        <v>13610</v>
      </c>
      <c r="W3917" t="s">
        <v>17467</v>
      </c>
      <c r="X3917">
        <v>17</v>
      </c>
      <c r="Y3917" t="s">
        <v>24064</v>
      </c>
      <c r="Z3917" t="s">
        <v>30772</v>
      </c>
      <c r="AA3917">
        <v>0.70434876070413877</v>
      </c>
      <c r="AB3917" t="str">
        <f>HYPERLINK("Melting_Curves/meltCurve_Q6BCY4_CYB5R2.pdf", "Melting_Curves/meltCurve_Q6BCY4_CYB5R2.pdf")</f>
        <v>Melting_Curves/meltCurve_Q6BCY4_CYB5R2.pdf</v>
      </c>
    </row>
    <row r="3918" spans="1:28" x14ac:dyDescent="0.25">
      <c r="A3918" t="s">
        <v>3922</v>
      </c>
      <c r="B3918">
        <v>0.995954080203443</v>
      </c>
      <c r="C3918">
        <v>0.82645595614287903</v>
      </c>
      <c r="D3918">
        <v>0.78155703276224298</v>
      </c>
      <c r="E3918">
        <v>0.79692359110416799</v>
      </c>
      <c r="F3918">
        <v>0.67796311534409703</v>
      </c>
      <c r="G3918">
        <v>0.39684599838283302</v>
      </c>
      <c r="H3918">
        <v>0.24780054330662599</v>
      </c>
      <c r="I3918">
        <v>0.25577358327154898</v>
      </c>
      <c r="J3918">
        <v>0.293376647163962</v>
      </c>
      <c r="K3918">
        <v>0.28688297996624401</v>
      </c>
      <c r="L3918">
        <v>523.48828825461999</v>
      </c>
      <c r="M3918">
        <v>9.8242677472180304</v>
      </c>
      <c r="N3918">
        <v>55.390157982354097</v>
      </c>
      <c r="O3918">
        <v>51.218242428973603</v>
      </c>
      <c r="P3918">
        <v>-4.0503701653699598E-2</v>
      </c>
      <c r="Q3918">
        <v>0.15578495588300201</v>
      </c>
      <c r="R3918">
        <v>0.93295374414611998</v>
      </c>
      <c r="S3918" t="s">
        <v>10724</v>
      </c>
      <c r="T3918" t="s">
        <v>13610</v>
      </c>
      <c r="U3918" t="s">
        <v>13610</v>
      </c>
      <c r="V3918" t="s">
        <v>13610</v>
      </c>
      <c r="W3918" t="s">
        <v>17468</v>
      </c>
      <c r="X3918">
        <v>23</v>
      </c>
      <c r="Y3918" t="s">
        <v>24065</v>
      </c>
      <c r="Z3918" t="s">
        <v>30773</v>
      </c>
      <c r="AA3918">
        <v>0.55799464072987248</v>
      </c>
      <c r="AB3918" t="str">
        <f>HYPERLINK("Melting_Curves/meltCurve_Q6BDS2_UHRF1BP1.pdf", "Melting_Curves/meltCurve_Q6BDS2_UHRF1BP1.pdf")</f>
        <v>Melting_Curves/meltCurve_Q6BDS2_UHRF1BP1.pdf</v>
      </c>
    </row>
    <row r="3919" spans="1:28" x14ac:dyDescent="0.25">
      <c r="A3919" t="s">
        <v>3923</v>
      </c>
      <c r="B3919">
        <v>0.995954080203443</v>
      </c>
      <c r="C3919">
        <v>0.97363385414896597</v>
      </c>
      <c r="D3919">
        <v>0.66629192111615798</v>
      </c>
      <c r="E3919">
        <v>0.324147036182523</v>
      </c>
      <c r="F3919">
        <v>0.202591976841759</v>
      </c>
      <c r="G3919">
        <v>0.13441518921072701</v>
      </c>
      <c r="H3919">
        <v>0.10714467249119899</v>
      </c>
      <c r="I3919">
        <v>0.103071355713423</v>
      </c>
      <c r="J3919">
        <v>0.122759981374917</v>
      </c>
      <c r="K3919">
        <v>0.12113701732934901</v>
      </c>
      <c r="L3919">
        <v>1093.1626073018299</v>
      </c>
      <c r="M3919">
        <v>23.111431256320799</v>
      </c>
      <c r="N3919">
        <v>47.848276644071497</v>
      </c>
      <c r="O3919">
        <v>46.949795617549199</v>
      </c>
      <c r="P3919">
        <v>-0.10874248770313</v>
      </c>
      <c r="Q3919">
        <v>0.11639504217619</v>
      </c>
      <c r="R3919">
        <v>0.99630756706759205</v>
      </c>
      <c r="S3919" t="s">
        <v>10725</v>
      </c>
      <c r="T3919" t="s">
        <v>13610</v>
      </c>
      <c r="U3919" t="s">
        <v>13610</v>
      </c>
      <c r="V3919" t="s">
        <v>13610</v>
      </c>
      <c r="W3919" t="s">
        <v>17469</v>
      </c>
      <c r="X3919">
        <v>5</v>
      </c>
      <c r="Y3919" t="s">
        <v>24066</v>
      </c>
      <c r="Z3919" t="s">
        <v>30774</v>
      </c>
      <c r="AA3919">
        <v>0.34071591041577598</v>
      </c>
      <c r="AB3919" t="str">
        <f>HYPERLINK("Melting_Curves/meltCurve_Q6DCA0_AMMECR1L.pdf", "Melting_Curves/meltCurve_Q6DCA0_AMMECR1L.pdf")</f>
        <v>Melting_Curves/meltCurve_Q6DCA0_AMMECR1L.pdf</v>
      </c>
    </row>
    <row r="3920" spans="1:28" x14ac:dyDescent="0.25">
      <c r="A3920" t="s">
        <v>3924</v>
      </c>
      <c r="B3920">
        <v>0.995954080203443</v>
      </c>
      <c r="C3920">
        <v>0.92285555405425301</v>
      </c>
      <c r="D3920">
        <v>0.93543644534558801</v>
      </c>
      <c r="E3920">
        <v>0.86078553788962398</v>
      </c>
      <c r="F3920">
        <v>0.77805046596476701</v>
      </c>
      <c r="G3920">
        <v>0.56664247103737997</v>
      </c>
      <c r="H3920">
        <v>0.48599047540995399</v>
      </c>
      <c r="I3920">
        <v>0.52549918319150701</v>
      </c>
      <c r="J3920">
        <v>0.60910590602326597</v>
      </c>
      <c r="K3920">
        <v>0.56411872479852099</v>
      </c>
      <c r="L3920">
        <v>1125.8566952536401</v>
      </c>
      <c r="M3920">
        <v>21.5637938146638</v>
      </c>
      <c r="O3920">
        <v>51.767725601004599</v>
      </c>
      <c r="P3920">
        <v>-4.8299148383208999E-2</v>
      </c>
      <c r="Q3920">
        <v>0.53620844235785703</v>
      </c>
      <c r="R3920">
        <v>0.93756625069877197</v>
      </c>
      <c r="S3920" t="s">
        <v>10726</v>
      </c>
      <c r="T3920" t="s">
        <v>13610</v>
      </c>
      <c r="U3920" t="s">
        <v>13610</v>
      </c>
      <c r="V3920" t="s">
        <v>13610</v>
      </c>
      <c r="W3920" t="s">
        <v>17470</v>
      </c>
      <c r="X3920">
        <v>15</v>
      </c>
      <c r="Y3920" t="s">
        <v>24067</v>
      </c>
      <c r="Z3920" t="s">
        <v>30775</v>
      </c>
      <c r="AA3920">
        <v>0.73057774341615767</v>
      </c>
      <c r="AB3920" t="str">
        <f>HYPERLINK("Melting_Curves/meltCurve_Q6DD87_ZNF787.pdf", "Melting_Curves/meltCurve_Q6DD87_ZNF787.pdf")</f>
        <v>Melting_Curves/meltCurve_Q6DD87_ZNF787.pdf</v>
      </c>
    </row>
    <row r="3921" spans="1:28" x14ac:dyDescent="0.25">
      <c r="A3921" t="s">
        <v>3925</v>
      </c>
      <c r="B3921">
        <v>0.995954080203443</v>
      </c>
      <c r="C3921">
        <v>1.0307568752482701</v>
      </c>
      <c r="D3921">
        <v>1.0214919289430699</v>
      </c>
      <c r="E3921">
        <v>0.91195027409871099</v>
      </c>
      <c r="F3921">
        <v>0.89249885438197496</v>
      </c>
      <c r="G3921">
        <v>0.64227607257522701</v>
      </c>
      <c r="H3921">
        <v>0.48314650618210198</v>
      </c>
      <c r="I3921">
        <v>0.44753324386527399</v>
      </c>
      <c r="J3921">
        <v>0.239053491161658</v>
      </c>
      <c r="K3921">
        <v>0.11991924814093299</v>
      </c>
      <c r="L3921">
        <v>738.463763336738</v>
      </c>
      <c r="M3921">
        <v>12.122020224102499</v>
      </c>
      <c r="N3921">
        <v>60.919199140924</v>
      </c>
      <c r="O3921">
        <v>59.332406116561799</v>
      </c>
      <c r="P3921">
        <v>-5.1088565791194002E-2</v>
      </c>
      <c r="Q3921">
        <v>0</v>
      </c>
      <c r="R3921">
        <v>0.98216168985206498</v>
      </c>
      <c r="S3921" t="s">
        <v>10727</v>
      </c>
      <c r="T3921" t="s">
        <v>13610</v>
      </c>
      <c r="U3921" t="s">
        <v>13610</v>
      </c>
      <c r="V3921" t="s">
        <v>13610</v>
      </c>
      <c r="W3921" t="s">
        <v>17471</v>
      </c>
      <c r="X3921">
        <v>12</v>
      </c>
      <c r="Y3921" t="s">
        <v>24068</v>
      </c>
      <c r="Z3921" t="s">
        <v>30776</v>
      </c>
      <c r="AA3921">
        <v>0.69420600854260062</v>
      </c>
      <c r="AB3921" t="str">
        <f>HYPERLINK("Melting_Curves/meltCurve_Q6DHV7_3_ADAL.pdf", "Melting_Curves/meltCurve_Q6DHV7_3_ADAL.pdf")</f>
        <v>Melting_Curves/meltCurve_Q6DHV7_3_ADAL.pdf</v>
      </c>
    </row>
    <row r="3922" spans="1:28" x14ac:dyDescent="0.25">
      <c r="A3922" t="s">
        <v>3926</v>
      </c>
      <c r="B3922">
        <v>0.995954080203443</v>
      </c>
      <c r="C3922">
        <v>0.62383127683998696</v>
      </c>
      <c r="D3922">
        <v>0.27917371234760402</v>
      </c>
      <c r="E3922">
        <v>0.21084100480055401</v>
      </c>
      <c r="F3922">
        <v>0.12651577688583901</v>
      </c>
      <c r="G3922">
        <v>7.6674040495788298E-2</v>
      </c>
      <c r="H3922">
        <v>5.5021236126525597E-2</v>
      </c>
      <c r="I3922">
        <v>5.1063709518172601E-2</v>
      </c>
      <c r="J3922">
        <v>4.9131676420014599E-2</v>
      </c>
      <c r="K3922">
        <v>5.1617410213227598E-2</v>
      </c>
      <c r="L3922">
        <v>1077.06225296969</v>
      </c>
      <c r="M3922">
        <v>24.5838676875277</v>
      </c>
      <c r="N3922">
        <v>44.111641588370901</v>
      </c>
      <c r="O3922">
        <v>43.524950157603399</v>
      </c>
      <c r="P3922">
        <v>-0.13034073868371401</v>
      </c>
      <c r="Q3922">
        <v>7.6957075144311202E-2</v>
      </c>
      <c r="R3922">
        <v>0.97816072602090098</v>
      </c>
      <c r="S3922" t="s">
        <v>10728</v>
      </c>
      <c r="T3922" t="s">
        <v>13610</v>
      </c>
      <c r="U3922" t="s">
        <v>13610</v>
      </c>
      <c r="V3922" t="s">
        <v>13610</v>
      </c>
      <c r="W3922" t="s">
        <v>17472</v>
      </c>
      <c r="X3922">
        <v>5</v>
      </c>
      <c r="Y3922" t="s">
        <v>24069</v>
      </c>
      <c r="Z3922" t="s">
        <v>30777</v>
      </c>
      <c r="AA3922">
        <v>0.20564150360212399</v>
      </c>
      <c r="AB3922" t="str">
        <f>HYPERLINK("Melting_Curves/meltCurve_Q6DKI1_RPL7L1.pdf", "Melting_Curves/meltCurve_Q6DKI1_RPL7L1.pdf")</f>
        <v>Melting_Curves/meltCurve_Q6DKI1_RPL7L1.pdf</v>
      </c>
    </row>
    <row r="3923" spans="1:28" x14ac:dyDescent="0.25">
      <c r="A3923" t="s">
        <v>3927</v>
      </c>
      <c r="B3923">
        <v>0.995954080203443</v>
      </c>
      <c r="C3923">
        <v>1.0197364607056201</v>
      </c>
      <c r="D3923">
        <v>0.97017952828080301</v>
      </c>
      <c r="E3923">
        <v>0.69791942673358198</v>
      </c>
      <c r="F3923">
        <v>0.331745983381451</v>
      </c>
      <c r="G3923">
        <v>0.18541975922155901</v>
      </c>
      <c r="H3923">
        <v>0.11292302951041901</v>
      </c>
      <c r="I3923">
        <v>0.100373249796123</v>
      </c>
      <c r="J3923">
        <v>8.8057052667058794E-2</v>
      </c>
      <c r="K3923">
        <v>8.2823539122490006E-2</v>
      </c>
      <c r="L3923">
        <v>1427.4024504893</v>
      </c>
      <c r="M3923">
        <v>27.887098272876099</v>
      </c>
      <c r="N3923">
        <v>51.590899512452403</v>
      </c>
      <c r="O3923">
        <v>50.924015758474503</v>
      </c>
      <c r="P3923">
        <v>-0.123422428542041</v>
      </c>
      <c r="Q3923">
        <v>9.8491950856958693E-2</v>
      </c>
      <c r="R3923">
        <v>0.998195793603185</v>
      </c>
      <c r="S3923" t="s">
        <v>10729</v>
      </c>
      <c r="T3923" t="s">
        <v>13610</v>
      </c>
      <c r="U3923" t="s">
        <v>13610</v>
      </c>
      <c r="V3923" t="s">
        <v>13610</v>
      </c>
      <c r="W3923" t="s">
        <v>17473</v>
      </c>
      <c r="X3923">
        <v>10</v>
      </c>
      <c r="Y3923" t="s">
        <v>24070</v>
      </c>
      <c r="Z3923" t="s">
        <v>30778</v>
      </c>
      <c r="AA3923">
        <v>0.4411821570840424</v>
      </c>
      <c r="AB3923" t="str">
        <f>HYPERLINK("Melting_Curves/meltCurve_Q6DKJ4_NXN.pdf", "Melting_Curves/meltCurve_Q6DKJ4_NXN.pdf")</f>
        <v>Melting_Curves/meltCurve_Q6DKJ4_NXN.pdf</v>
      </c>
    </row>
    <row r="3924" spans="1:28" x14ac:dyDescent="0.25">
      <c r="A3924" t="s">
        <v>3928</v>
      </c>
      <c r="B3924">
        <v>0.995954080203443</v>
      </c>
      <c r="C3924">
        <v>0.99853436203329005</v>
      </c>
      <c r="D3924">
        <v>1.0069424767208</v>
      </c>
      <c r="E3924">
        <v>0.76045357064820096</v>
      </c>
      <c r="F3924">
        <v>0.46709658259073999</v>
      </c>
      <c r="G3924">
        <v>0.22100116546329501</v>
      </c>
      <c r="H3924">
        <v>0.141217303372799</v>
      </c>
      <c r="I3924">
        <v>0.106536555561679</v>
      </c>
      <c r="J3924">
        <v>0.104562661381798</v>
      </c>
      <c r="K3924">
        <v>8.4175166959986003E-2</v>
      </c>
      <c r="L3924">
        <v>1242.1981542480501</v>
      </c>
      <c r="M3924">
        <v>23.777949363335001</v>
      </c>
      <c r="N3924">
        <v>52.731362441283302</v>
      </c>
      <c r="O3924">
        <v>51.876304323542897</v>
      </c>
      <c r="P3924">
        <v>-0.103238106846136</v>
      </c>
      <c r="Q3924">
        <v>9.9077291547435706E-2</v>
      </c>
      <c r="R3924">
        <v>0.99833624964289802</v>
      </c>
      <c r="S3924" t="s">
        <v>10730</v>
      </c>
      <c r="T3924" t="s">
        <v>13610</v>
      </c>
      <c r="U3924" t="s">
        <v>13610</v>
      </c>
      <c r="V3924" t="s">
        <v>13610</v>
      </c>
      <c r="W3924" t="s">
        <v>17474</v>
      </c>
      <c r="X3924">
        <v>7</v>
      </c>
      <c r="Y3924" t="s">
        <v>24071</v>
      </c>
      <c r="Z3924" t="s">
        <v>30779</v>
      </c>
      <c r="AA3924">
        <v>0.47576951301657477</v>
      </c>
      <c r="AB3924" t="str">
        <f>HYPERLINK("Melting_Curves/meltCurve_Q6DKK2_TTC19.pdf", "Melting_Curves/meltCurve_Q6DKK2_TTC19.pdf")</f>
        <v>Melting_Curves/meltCurve_Q6DKK2_TTC19.pdf</v>
      </c>
    </row>
    <row r="3925" spans="1:28" x14ac:dyDescent="0.25">
      <c r="A3925" t="s">
        <v>3929</v>
      </c>
      <c r="B3925">
        <v>0.995954080203443</v>
      </c>
      <c r="C3925">
        <v>0.97728449929064198</v>
      </c>
      <c r="D3925">
        <v>0.88216623470382305</v>
      </c>
      <c r="E3925">
        <v>0.48000571565266698</v>
      </c>
      <c r="F3925">
        <v>0.360614179114989</v>
      </c>
      <c r="G3925">
        <v>0.25813950198222702</v>
      </c>
      <c r="H3925">
        <v>0.21200254921776901</v>
      </c>
      <c r="I3925">
        <v>0.23544890840163399</v>
      </c>
      <c r="J3925">
        <v>0.29189953269461799</v>
      </c>
      <c r="K3925">
        <v>0.26678618342981902</v>
      </c>
      <c r="L3925">
        <v>1314.92507942057</v>
      </c>
      <c r="M3925">
        <v>27.013556913447399</v>
      </c>
      <c r="N3925">
        <v>49.981164969580497</v>
      </c>
      <c r="O3925">
        <v>48.4120958268118</v>
      </c>
      <c r="P3925">
        <v>-0.104208622925196</v>
      </c>
      <c r="Q3925">
        <v>0.25298152582114602</v>
      </c>
      <c r="R3925">
        <v>0.99407193318345799</v>
      </c>
      <c r="S3925" t="s">
        <v>10731</v>
      </c>
      <c r="T3925" t="s">
        <v>13610</v>
      </c>
      <c r="U3925" t="s">
        <v>13610</v>
      </c>
      <c r="V3925" t="s">
        <v>13610</v>
      </c>
      <c r="W3925" t="s">
        <v>17475</v>
      </c>
      <c r="X3925">
        <v>12</v>
      </c>
      <c r="Y3925" t="s">
        <v>24072</v>
      </c>
      <c r="Z3925" t="s">
        <v>30780</v>
      </c>
      <c r="AA3925">
        <v>0.47465767417441429</v>
      </c>
      <c r="AB3925" t="str">
        <f>HYPERLINK("Melting_Curves/meltCurve_Q6DN90_2_IQSEC1.pdf", "Melting_Curves/meltCurve_Q6DN90_2_IQSEC1.pdf")</f>
        <v>Melting_Curves/meltCurve_Q6DN90_2_IQSEC1.pdf</v>
      </c>
    </row>
    <row r="3926" spans="1:28" x14ac:dyDescent="0.25">
      <c r="A3926" t="s">
        <v>3930</v>
      </c>
      <c r="B3926">
        <v>0.995954080203443</v>
      </c>
      <c r="C3926">
        <v>0.67358840048974</v>
      </c>
      <c r="D3926">
        <v>0.55429907014194102</v>
      </c>
      <c r="E3926">
        <v>0.51635585788740901</v>
      </c>
      <c r="F3926">
        <v>0.31936298964208298</v>
      </c>
      <c r="G3926">
        <v>0.22789693651989901</v>
      </c>
      <c r="H3926">
        <v>0.18693834444041399</v>
      </c>
      <c r="I3926">
        <v>0.19520949490651501</v>
      </c>
      <c r="J3926">
        <v>0.205172238562561</v>
      </c>
      <c r="K3926">
        <v>0.16880078553519301</v>
      </c>
      <c r="L3926">
        <v>516.80298283299601</v>
      </c>
      <c r="M3926">
        <v>11.115451612500699</v>
      </c>
      <c r="N3926">
        <v>48.105993092028797</v>
      </c>
      <c r="O3926">
        <v>45.065333409161497</v>
      </c>
      <c r="P3926">
        <v>-5.20927111788346E-2</v>
      </c>
      <c r="Q3926">
        <v>0.15547611653996299</v>
      </c>
      <c r="R3926">
        <v>0.94982563844328105</v>
      </c>
      <c r="S3926" t="s">
        <v>10732</v>
      </c>
      <c r="T3926" t="s">
        <v>13610</v>
      </c>
      <c r="U3926" t="s">
        <v>13610</v>
      </c>
      <c r="V3926" t="s">
        <v>13610</v>
      </c>
      <c r="W3926" t="s">
        <v>17476</v>
      </c>
      <c r="X3926">
        <v>9</v>
      </c>
      <c r="Y3926" t="s">
        <v>24073</v>
      </c>
      <c r="Z3926" t="s">
        <v>30781</v>
      </c>
      <c r="AA3926">
        <v>0.38062871969472151</v>
      </c>
      <c r="AB3926" t="str">
        <f>HYPERLINK("Melting_Curves/meltCurve_Q6DT37_CDC42BPG.pdf", "Melting_Curves/meltCurve_Q6DT37_CDC42BPG.pdf")</f>
        <v>Melting_Curves/meltCurve_Q6DT37_CDC42BPG.pdf</v>
      </c>
    </row>
    <row r="3927" spans="1:28" x14ac:dyDescent="0.25">
      <c r="A3927" t="s">
        <v>3931</v>
      </c>
      <c r="B3927">
        <v>0.995954080203443</v>
      </c>
      <c r="C3927">
        <v>1.05388022879527</v>
      </c>
      <c r="D3927">
        <v>1.1040934272009799</v>
      </c>
      <c r="E3927">
        <v>1.00520742690528</v>
      </c>
      <c r="F3927">
        <v>1.07314381304833</v>
      </c>
      <c r="G3927">
        <v>0.80879226576105001</v>
      </c>
      <c r="H3927">
        <v>0.79994155635911401</v>
      </c>
      <c r="I3927">
        <v>1.01938001305661</v>
      </c>
      <c r="J3927">
        <v>1.03453334350688</v>
      </c>
      <c r="K3927">
        <v>1.2422343238821001</v>
      </c>
      <c r="L3927">
        <v>4215.9035893098799</v>
      </c>
      <c r="M3927">
        <v>60.525815475250901</v>
      </c>
      <c r="O3927">
        <v>69.5787121258642</v>
      </c>
      <c r="P3927">
        <v>9.1754440854458594E-2</v>
      </c>
      <c r="Q3927">
        <v>1.42191278461876</v>
      </c>
      <c r="R3927">
        <v>0.376622868869668</v>
      </c>
      <c r="S3927" t="s">
        <v>10733</v>
      </c>
      <c r="T3927" t="s">
        <v>13610</v>
      </c>
      <c r="U3927" t="s">
        <v>13610</v>
      </c>
      <c r="V3927" t="s">
        <v>13610</v>
      </c>
      <c r="W3927" t="s">
        <v>17477</v>
      </c>
      <c r="X3927">
        <v>2</v>
      </c>
      <c r="Y3927" t="s">
        <v>22128</v>
      </c>
      <c r="Z3927" t="s">
        <v>30782</v>
      </c>
      <c r="AA3927">
        <v>1.0134105382037211</v>
      </c>
      <c r="AB3927" t="str">
        <f>HYPERLINK("Melting_Curves/meltCurve_Q6EEV4_2_POLR2M.pdf", "Melting_Curves/meltCurve_Q6EEV4_2_POLR2M.pdf")</f>
        <v>Melting_Curves/meltCurve_Q6EEV4_2_POLR2M.pdf</v>
      </c>
    </row>
    <row r="3928" spans="1:28" x14ac:dyDescent="0.25">
      <c r="A3928" t="s">
        <v>3932</v>
      </c>
      <c r="B3928">
        <v>0.995954080203443</v>
      </c>
      <c r="C3928">
        <v>0.93539364806144598</v>
      </c>
      <c r="D3928">
        <v>0</v>
      </c>
      <c r="E3928">
        <v>0.75054655124814795</v>
      </c>
      <c r="F3928">
        <v>0.69090713076367005</v>
      </c>
      <c r="G3928">
        <v>0.587433992126978</v>
      </c>
      <c r="H3928">
        <v>0.43959169543402099</v>
      </c>
      <c r="I3928">
        <v>0.44235982915681998</v>
      </c>
      <c r="J3928">
        <v>0.57123487312768295</v>
      </c>
      <c r="K3928">
        <v>0.50692153664041595</v>
      </c>
      <c r="L3928">
        <v>10806.984947484299</v>
      </c>
      <c r="M3928">
        <v>250</v>
      </c>
      <c r="N3928">
        <v>44.272010958799001</v>
      </c>
      <c r="O3928">
        <v>43.225189724368299</v>
      </c>
      <c r="P3928">
        <v>-0.72494724876022698</v>
      </c>
      <c r="Q3928">
        <v>0.49862446992050602</v>
      </c>
      <c r="R3928">
        <v>0.48740919495704998</v>
      </c>
      <c r="S3928" t="s">
        <v>10734</v>
      </c>
      <c r="T3928" t="s">
        <v>13610</v>
      </c>
      <c r="U3928" t="s">
        <v>13610</v>
      </c>
      <c r="V3928" t="s">
        <v>13610</v>
      </c>
      <c r="W3928" t="s">
        <v>17478</v>
      </c>
      <c r="X3928">
        <v>5</v>
      </c>
      <c r="Y3928" t="s">
        <v>24074</v>
      </c>
      <c r="Z3928" t="s">
        <v>30783</v>
      </c>
      <c r="AA3928">
        <v>0.55260950723406155</v>
      </c>
      <c r="AB3928" t="str">
        <f>HYPERLINK("Melting_Curves/meltCurve_Q6EMK4_VASN.pdf", "Melting_Curves/meltCurve_Q6EMK4_VASN.pdf")</f>
        <v>Melting_Curves/meltCurve_Q6EMK4_VASN.pdf</v>
      </c>
    </row>
    <row r="3929" spans="1:28" x14ac:dyDescent="0.25">
      <c r="A3929" t="s">
        <v>3933</v>
      </c>
      <c r="B3929">
        <v>0.995954080203443</v>
      </c>
      <c r="C3929">
        <v>0.89517211809195296</v>
      </c>
      <c r="D3929">
        <v>0.81097964586564697</v>
      </c>
      <c r="E3929">
        <v>0.68850280238043005</v>
      </c>
      <c r="F3929">
        <v>0.55205190115922298</v>
      </c>
      <c r="G3929">
        <v>0.41024626857102298</v>
      </c>
      <c r="H3929">
        <v>0.34445469609163698</v>
      </c>
      <c r="I3929">
        <v>0.39567761542554503</v>
      </c>
      <c r="J3929">
        <v>0.49925875366038203</v>
      </c>
      <c r="K3929">
        <v>0.45684184701296598</v>
      </c>
      <c r="L3929">
        <v>749.48557477176598</v>
      </c>
      <c r="M3929">
        <v>15.409702781356399</v>
      </c>
      <c r="N3929">
        <v>54.606234608920502</v>
      </c>
      <c r="O3929">
        <v>47.840248861431697</v>
      </c>
      <c r="P3929">
        <v>-4.7738714521638803E-2</v>
      </c>
      <c r="Q3929">
        <v>0.40722442102455803</v>
      </c>
      <c r="R3929">
        <v>0.94828686055845701</v>
      </c>
      <c r="S3929" t="s">
        <v>10735</v>
      </c>
      <c r="T3929" t="s">
        <v>13610</v>
      </c>
      <c r="U3929" t="s">
        <v>13610</v>
      </c>
      <c r="V3929" t="s">
        <v>13610</v>
      </c>
      <c r="W3929" t="s">
        <v>17479</v>
      </c>
      <c r="X3929">
        <v>5</v>
      </c>
      <c r="Y3929" t="s">
        <v>24075</v>
      </c>
      <c r="Z3929" t="s">
        <v>30784</v>
      </c>
      <c r="AA3929">
        <v>0.59197503837608401</v>
      </c>
      <c r="AB3929" t="str">
        <f>HYPERLINK("Melting_Curves/meltCurve_Q6F5E8_RLTPR.pdf", "Melting_Curves/meltCurve_Q6F5E8_RLTPR.pdf")</f>
        <v>Melting_Curves/meltCurve_Q6F5E8_RLTPR.pdf</v>
      </c>
    </row>
    <row r="3930" spans="1:28" x14ac:dyDescent="0.25">
      <c r="A3930" t="s">
        <v>3934</v>
      </c>
      <c r="B3930">
        <v>0.995954080203443</v>
      </c>
      <c r="C3930">
        <v>1.0751054200385699</v>
      </c>
      <c r="D3930">
        <v>1.21468755940188</v>
      </c>
      <c r="E3930">
        <v>0.97164530228861801</v>
      </c>
      <c r="F3930">
        <v>0.81802994823114905</v>
      </c>
      <c r="G3930">
        <v>0.45571700792164799</v>
      </c>
      <c r="H3930">
        <v>0.35410043007013098</v>
      </c>
      <c r="I3930">
        <v>0.37152768207041598</v>
      </c>
      <c r="J3930">
        <v>0.45166223334043998</v>
      </c>
      <c r="K3930">
        <v>0.42761598198202999</v>
      </c>
      <c r="L3930">
        <v>2458.7497978063302</v>
      </c>
      <c r="M3930">
        <v>45.567295893020599</v>
      </c>
      <c r="N3930">
        <v>55.955579499051801</v>
      </c>
      <c r="O3930">
        <v>53.855034871478502</v>
      </c>
      <c r="P3930">
        <v>-0.12656519533456301</v>
      </c>
      <c r="Q3930">
        <v>0.40166169088418002</v>
      </c>
      <c r="R3930">
        <v>0.94142307796499602</v>
      </c>
      <c r="S3930" t="s">
        <v>10736</v>
      </c>
      <c r="T3930" t="s">
        <v>13610</v>
      </c>
      <c r="U3930" t="s">
        <v>13610</v>
      </c>
      <c r="V3930" t="s">
        <v>13610</v>
      </c>
      <c r="W3930" t="s">
        <v>17480</v>
      </c>
      <c r="X3930">
        <v>17</v>
      </c>
      <c r="Y3930" t="s">
        <v>24076</v>
      </c>
      <c r="Z3930" t="s">
        <v>30785</v>
      </c>
      <c r="AA3930">
        <v>0.68177696392537179</v>
      </c>
      <c r="AB3930" t="str">
        <f>HYPERLINK("Melting_Curves/meltCurve_Q6FI81_3_CIAPIN1.pdf", "Melting_Curves/meltCurve_Q6FI81_3_CIAPIN1.pdf")</f>
        <v>Melting_Curves/meltCurve_Q6FI81_3_CIAPIN1.pdf</v>
      </c>
    </row>
    <row r="3931" spans="1:28" x14ac:dyDescent="0.25">
      <c r="A3931" t="s">
        <v>3935</v>
      </c>
      <c r="B3931">
        <v>0.995954080203443</v>
      </c>
      <c r="C3931">
        <v>0.88454103707882703</v>
      </c>
      <c r="D3931">
        <v>0.89440112129073102</v>
      </c>
      <c r="E3931">
        <v>0.83353337577373199</v>
      </c>
      <c r="F3931">
        <v>0.72076984855074999</v>
      </c>
      <c r="G3931">
        <v>0.48136011636044601</v>
      </c>
      <c r="H3931">
        <v>0.390430264411882</v>
      </c>
      <c r="I3931">
        <v>0.42899947370025299</v>
      </c>
      <c r="J3931">
        <v>0.47712250735300299</v>
      </c>
      <c r="K3931">
        <v>0.506309550461161</v>
      </c>
      <c r="L3931">
        <v>938.09425874465603</v>
      </c>
      <c r="M3931">
        <v>18.048118066952402</v>
      </c>
      <c r="N3931">
        <v>58.4487469094028</v>
      </c>
      <c r="O3931">
        <v>51.351884121573498</v>
      </c>
      <c r="P3931">
        <v>-4.9890871778227E-2</v>
      </c>
      <c r="Q3931">
        <v>0.43221444475445298</v>
      </c>
      <c r="R3931">
        <v>0.93172246297947403</v>
      </c>
      <c r="S3931" t="s">
        <v>10737</v>
      </c>
      <c r="T3931" t="s">
        <v>13610</v>
      </c>
      <c r="U3931" t="s">
        <v>13610</v>
      </c>
      <c r="V3931" t="s">
        <v>13610</v>
      </c>
      <c r="W3931" t="s">
        <v>17481</v>
      </c>
      <c r="X3931">
        <v>6</v>
      </c>
      <c r="Y3931" t="s">
        <v>24077</v>
      </c>
      <c r="Z3931" t="s">
        <v>30786</v>
      </c>
      <c r="AA3931">
        <v>0.66830929726370847</v>
      </c>
      <c r="AB3931" t="str">
        <f>HYPERLINK("Melting_Curves/meltCurve_Q6FIF0_2_ZFAND6.pdf", "Melting_Curves/meltCurve_Q6FIF0_2_ZFAND6.pdf")</f>
        <v>Melting_Curves/meltCurve_Q6FIF0_2_ZFAND6.pdf</v>
      </c>
    </row>
    <row r="3932" spans="1:28" x14ac:dyDescent="0.25">
      <c r="A3932" t="s">
        <v>3936</v>
      </c>
      <c r="B3932">
        <v>0.995954080203443</v>
      </c>
      <c r="C3932">
        <v>1.0263879754335099</v>
      </c>
      <c r="D3932">
        <v>1.02663119744081</v>
      </c>
      <c r="E3932">
        <v>0.91385741111047303</v>
      </c>
      <c r="F3932">
        <v>0.62075793979464999</v>
      </c>
      <c r="G3932">
        <v>0.20546311849772</v>
      </c>
      <c r="H3932">
        <v>0.12928661055118401</v>
      </c>
      <c r="I3932">
        <v>0.110861782744283</v>
      </c>
      <c r="J3932">
        <v>0.129349169351169</v>
      </c>
      <c r="K3932">
        <v>0.120966232672125</v>
      </c>
      <c r="L3932">
        <v>1839.3808698114599</v>
      </c>
      <c r="M3932">
        <v>34.441008423267597</v>
      </c>
      <c r="N3932">
        <v>53.828233754012899</v>
      </c>
      <c r="O3932">
        <v>53.227633283794297</v>
      </c>
      <c r="P3932">
        <v>-0.14264337202329899</v>
      </c>
      <c r="Q3932">
        <v>0.118197912690545</v>
      </c>
      <c r="R3932">
        <v>0.99880601965601101</v>
      </c>
      <c r="S3932" t="s">
        <v>10738</v>
      </c>
      <c r="T3932" t="s">
        <v>13610</v>
      </c>
      <c r="U3932" t="s">
        <v>13610</v>
      </c>
      <c r="V3932" t="s">
        <v>13610</v>
      </c>
      <c r="W3932" t="s">
        <v>17482</v>
      </c>
      <c r="X3932">
        <v>12</v>
      </c>
      <c r="Y3932" t="s">
        <v>24078</v>
      </c>
      <c r="Z3932" t="s">
        <v>30787</v>
      </c>
      <c r="AA3932">
        <v>0.51664865682955075</v>
      </c>
      <c r="AB3932" t="str">
        <f>HYPERLINK("Melting_Curves/meltCurve_Q6GMV2_SMYD5.pdf", "Melting_Curves/meltCurve_Q6GMV2_SMYD5.pdf")</f>
        <v>Melting_Curves/meltCurve_Q6GMV2_SMYD5.pdf</v>
      </c>
    </row>
    <row r="3933" spans="1:28" x14ac:dyDescent="0.25">
      <c r="A3933" t="s">
        <v>3937</v>
      </c>
      <c r="B3933">
        <v>0.995954080203443</v>
      </c>
      <c r="C3933">
        <v>1.0466926228806099</v>
      </c>
      <c r="D3933">
        <v>1.0464282240984899</v>
      </c>
      <c r="E3933">
        <v>0.95089380979442895</v>
      </c>
      <c r="F3933">
        <v>0.89195327820190795</v>
      </c>
      <c r="G3933">
        <v>0.64487285374981096</v>
      </c>
      <c r="H3933">
        <v>0.43281310101458997</v>
      </c>
      <c r="I3933">
        <v>0.30404812320566599</v>
      </c>
      <c r="J3933">
        <v>0.22106803517264401</v>
      </c>
      <c r="K3933">
        <v>0.18058746154247801</v>
      </c>
      <c r="L3933">
        <v>1025.2443759249099</v>
      </c>
      <c r="M3933">
        <v>17.535280456341901</v>
      </c>
      <c r="N3933">
        <v>59.595564789278903</v>
      </c>
      <c r="O3933">
        <v>57.723022690145001</v>
      </c>
      <c r="P3933">
        <v>-6.5223893090805896E-2</v>
      </c>
      <c r="Q3933">
        <v>0.141225180233471</v>
      </c>
      <c r="R3933">
        <v>0.99465911310523003</v>
      </c>
      <c r="S3933" t="s">
        <v>10739</v>
      </c>
      <c r="T3933" t="s">
        <v>13610</v>
      </c>
      <c r="U3933" t="s">
        <v>13610</v>
      </c>
      <c r="V3933" t="s">
        <v>13610</v>
      </c>
      <c r="W3933" t="s">
        <v>17483</v>
      </c>
      <c r="X3933">
        <v>6</v>
      </c>
      <c r="Y3933" t="s">
        <v>24079</v>
      </c>
      <c r="Z3933" t="s">
        <v>30788</v>
      </c>
      <c r="AA3933">
        <v>0.67996252368778098</v>
      </c>
      <c r="AB3933" t="str">
        <f>HYPERLINK("Melting_Curves/meltCurve_Q6GMV3_PTRHD1.pdf", "Melting_Curves/meltCurve_Q6GMV3_PTRHD1.pdf")</f>
        <v>Melting_Curves/meltCurve_Q6GMV3_PTRHD1.pdf</v>
      </c>
    </row>
    <row r="3934" spans="1:28" x14ac:dyDescent="0.25">
      <c r="A3934" t="s">
        <v>3938</v>
      </c>
      <c r="B3934">
        <v>0.995954080203443</v>
      </c>
      <c r="C3934">
        <v>1.0502571880589999</v>
      </c>
      <c r="D3934">
        <v>0.87269243177489297</v>
      </c>
      <c r="E3934">
        <v>0.57107012190115003</v>
      </c>
      <c r="F3934">
        <v>0.41489334765015401</v>
      </c>
      <c r="G3934">
        <v>0.30826439237916597</v>
      </c>
      <c r="H3934">
        <v>0.245471947537414</v>
      </c>
      <c r="I3934">
        <v>0.29573682265587198</v>
      </c>
      <c r="J3934">
        <v>0.33177871324042202</v>
      </c>
      <c r="K3934">
        <v>0.34222441821893201</v>
      </c>
      <c r="L3934">
        <v>1255.3054726063399</v>
      </c>
      <c r="M3934">
        <v>25.5651333571458</v>
      </c>
      <c r="N3934">
        <v>50.952371265371703</v>
      </c>
      <c r="O3934">
        <v>48.804761630805402</v>
      </c>
      <c r="P3934">
        <v>-9.1357966731911794E-2</v>
      </c>
      <c r="Q3934">
        <v>0.30238597015087398</v>
      </c>
      <c r="R3934">
        <v>0.98652076679044398</v>
      </c>
      <c r="S3934" t="s">
        <v>10740</v>
      </c>
      <c r="T3934" t="s">
        <v>13610</v>
      </c>
      <c r="U3934" t="s">
        <v>13610</v>
      </c>
      <c r="V3934" t="s">
        <v>13610</v>
      </c>
      <c r="W3934" t="s">
        <v>17484</v>
      </c>
      <c r="X3934">
        <v>17</v>
      </c>
      <c r="Y3934" t="s">
        <v>24080</v>
      </c>
      <c r="Z3934" t="s">
        <v>30789</v>
      </c>
      <c r="AA3934">
        <v>0.51995612368712285</v>
      </c>
      <c r="AB3934" t="str">
        <f>HYPERLINK("Melting_Curves/meltCurve_Q6GQQ9_OTUD7B.pdf", "Melting_Curves/meltCurve_Q6GQQ9_OTUD7B.pdf")</f>
        <v>Melting_Curves/meltCurve_Q6GQQ9_OTUD7B.pdf</v>
      </c>
    </row>
    <row r="3935" spans="1:28" x14ac:dyDescent="0.25">
      <c r="A3935" t="s">
        <v>3939</v>
      </c>
      <c r="B3935">
        <v>0.995954080203443</v>
      </c>
      <c r="C3935">
        <v>0.80318928197991002</v>
      </c>
      <c r="D3935">
        <v>0.56741248840574399</v>
      </c>
      <c r="E3935">
        <v>0.44441711120138699</v>
      </c>
      <c r="F3935">
        <v>0.254226132985721</v>
      </c>
      <c r="G3935">
        <v>0.17928892378518299</v>
      </c>
      <c r="H3935">
        <v>0.14550111907939001</v>
      </c>
      <c r="I3935">
        <v>0.158177913066577</v>
      </c>
      <c r="J3935">
        <v>0.16250093580347399</v>
      </c>
      <c r="K3935">
        <v>0.18222759547942999</v>
      </c>
      <c r="L3935">
        <v>698.89874704619399</v>
      </c>
      <c r="M3935">
        <v>14.9954888539249</v>
      </c>
      <c r="N3935">
        <v>47.730971418643598</v>
      </c>
      <c r="O3935">
        <v>45.801944991197097</v>
      </c>
      <c r="P3935">
        <v>-6.96837886848094E-2</v>
      </c>
      <c r="Q3935">
        <v>0.148722222507783</v>
      </c>
      <c r="R3935">
        <v>0.98399010357540395</v>
      </c>
      <c r="S3935" t="s">
        <v>10741</v>
      </c>
      <c r="T3935" t="s">
        <v>13610</v>
      </c>
      <c r="U3935" t="s">
        <v>13610</v>
      </c>
      <c r="V3935" t="s">
        <v>13610</v>
      </c>
      <c r="W3935" t="s">
        <v>17485</v>
      </c>
      <c r="X3935">
        <v>10</v>
      </c>
      <c r="Y3935" t="s">
        <v>24081</v>
      </c>
      <c r="Z3935" t="s">
        <v>30790</v>
      </c>
      <c r="AA3935">
        <v>0.35996102431126548</v>
      </c>
      <c r="AB3935" t="str">
        <f>HYPERLINK("Melting_Curves/meltCurve_Q6GYQ0_RALGAPA1.pdf", "Melting_Curves/meltCurve_Q6GYQ0_RALGAPA1.pdf")</f>
        <v>Melting_Curves/meltCurve_Q6GYQ0_RALGAPA1.pdf</v>
      </c>
    </row>
    <row r="3936" spans="1:28" x14ac:dyDescent="0.25">
      <c r="A3936" t="s">
        <v>3940</v>
      </c>
      <c r="B3936">
        <v>0.995954080203443</v>
      </c>
      <c r="C3936">
        <v>0.74941092303599899</v>
      </c>
      <c r="D3936">
        <v>0.60989696035810803</v>
      </c>
      <c r="E3936">
        <v>0.65758093212306701</v>
      </c>
      <c r="F3936">
        <v>0.42245222802672999</v>
      </c>
      <c r="G3936">
        <v>0.25299506284068801</v>
      </c>
      <c r="H3936">
        <v>0.21078847373449699</v>
      </c>
      <c r="I3936">
        <v>0.21918713421635999</v>
      </c>
      <c r="J3936">
        <v>0.24924416960321699</v>
      </c>
      <c r="K3936">
        <v>0.248497560152765</v>
      </c>
      <c r="L3936">
        <v>482.69331798894098</v>
      </c>
      <c r="M3936">
        <v>9.9757093042973999</v>
      </c>
      <c r="N3936">
        <v>50.490769383658197</v>
      </c>
      <c r="O3936">
        <v>46.562944686987002</v>
      </c>
      <c r="P3936">
        <v>-4.4474018120512097E-2</v>
      </c>
      <c r="Q3936">
        <v>0.17005373844486599</v>
      </c>
      <c r="R3936">
        <v>0.92927957134031702</v>
      </c>
      <c r="S3936" t="s">
        <v>10742</v>
      </c>
      <c r="T3936" t="s">
        <v>13610</v>
      </c>
      <c r="U3936" t="s">
        <v>13610</v>
      </c>
      <c r="V3936" t="s">
        <v>13610</v>
      </c>
      <c r="W3936" t="s">
        <v>17486</v>
      </c>
      <c r="X3936">
        <v>7</v>
      </c>
      <c r="Y3936" t="s">
        <v>24082</v>
      </c>
      <c r="Z3936" t="s">
        <v>30791</v>
      </c>
      <c r="AA3936">
        <v>0.44486665825517802</v>
      </c>
      <c r="AB3936" t="str">
        <f>HYPERLINK("Melting_Curves/meltCurve_Q6I9Y2_THOC7.pdf", "Melting_Curves/meltCurve_Q6I9Y2_THOC7.pdf")</f>
        <v>Melting_Curves/meltCurve_Q6I9Y2_THOC7.pdf</v>
      </c>
    </row>
    <row r="3937" spans="1:28" x14ac:dyDescent="0.25">
      <c r="A3937" t="s">
        <v>3941</v>
      </c>
      <c r="B3937">
        <v>0.995954080203443</v>
      </c>
      <c r="C3937">
        <v>0.76583595429761697</v>
      </c>
      <c r="D3937">
        <v>0.58753025741181297</v>
      </c>
      <c r="E3937">
        <v>0.72764696346986102</v>
      </c>
      <c r="F3937">
        <v>0.38984246895968699</v>
      </c>
      <c r="G3937">
        <v>0.27449480720979202</v>
      </c>
      <c r="H3937">
        <v>0.11516707583152</v>
      </c>
      <c r="I3937">
        <v>8.3483429800690401E-2</v>
      </c>
      <c r="J3937">
        <v>7.9994622017217507E-2</v>
      </c>
      <c r="K3937">
        <v>7.3332610226291298E-2</v>
      </c>
      <c r="L3937">
        <v>471.62258746631801</v>
      </c>
      <c r="M3937">
        <v>9.2939134714025897</v>
      </c>
      <c r="N3937">
        <v>50.745336480349501</v>
      </c>
      <c r="O3937">
        <v>48.562008243391801</v>
      </c>
      <c r="P3937">
        <v>-4.7876360250716898E-2</v>
      </c>
      <c r="Q3937">
        <v>0</v>
      </c>
      <c r="R3937">
        <v>0.92969465896973702</v>
      </c>
      <c r="S3937" t="s">
        <v>10743</v>
      </c>
      <c r="T3937" t="s">
        <v>13610</v>
      </c>
      <c r="U3937" t="s">
        <v>13610</v>
      </c>
      <c r="V3937" t="s">
        <v>13610</v>
      </c>
      <c r="W3937" t="s">
        <v>17487</v>
      </c>
      <c r="X3937">
        <v>7</v>
      </c>
      <c r="Y3937" t="s">
        <v>24083</v>
      </c>
      <c r="Z3937" t="s">
        <v>30792</v>
      </c>
      <c r="AA3937">
        <v>0.40469640857366762</v>
      </c>
      <c r="AB3937" t="str">
        <f>HYPERLINK("Melting_Curves/meltCurve_Q6IA69_NADSYN1.pdf", "Melting_Curves/meltCurve_Q6IA69_NADSYN1.pdf")</f>
        <v>Melting_Curves/meltCurve_Q6IA69_NADSYN1.pdf</v>
      </c>
    </row>
    <row r="3938" spans="1:28" x14ac:dyDescent="0.25">
      <c r="A3938" t="s">
        <v>3942</v>
      </c>
      <c r="B3938">
        <v>0.995954080203443</v>
      </c>
      <c r="C3938">
        <v>0.78218673987510901</v>
      </c>
      <c r="D3938">
        <v>0.59289788233386298</v>
      </c>
      <c r="E3938">
        <v>0.73012890701294297</v>
      </c>
      <c r="F3938">
        <v>0.44906748097710403</v>
      </c>
      <c r="G3938">
        <v>0.18302566199613801</v>
      </c>
      <c r="H3938">
        <v>7.0062404992516397E-2</v>
      </c>
      <c r="I3938">
        <v>5.3614254187720201E-2</v>
      </c>
      <c r="J3938">
        <v>5.7346759765536999E-2</v>
      </c>
      <c r="K3938">
        <v>4.8224981996823103E-2</v>
      </c>
      <c r="L3938">
        <v>532.14006091973897</v>
      </c>
      <c r="M3938">
        <v>10.4891793284751</v>
      </c>
      <c r="N3938">
        <v>50.732287451721</v>
      </c>
      <c r="O3938">
        <v>48.9923601229453</v>
      </c>
      <c r="P3938">
        <v>-5.3546247583416598E-2</v>
      </c>
      <c r="Q3938">
        <v>0</v>
      </c>
      <c r="R3938">
        <v>0.926104100381966</v>
      </c>
      <c r="S3938" t="s">
        <v>10744</v>
      </c>
      <c r="T3938" t="s">
        <v>13610</v>
      </c>
      <c r="U3938" t="s">
        <v>13610</v>
      </c>
      <c r="V3938" t="s">
        <v>13610</v>
      </c>
      <c r="W3938" t="s">
        <v>17488</v>
      </c>
      <c r="X3938">
        <v>24</v>
      </c>
      <c r="Y3938" t="s">
        <v>24084</v>
      </c>
      <c r="Z3938" t="s">
        <v>30793</v>
      </c>
      <c r="AA3938">
        <v>0.39773921155951009</v>
      </c>
      <c r="AB3938" t="str">
        <f>HYPERLINK("Melting_Curves/meltCurve_Q6IA86_3_ELP2.pdf", "Melting_Curves/meltCurve_Q6IA86_3_ELP2.pdf")</f>
        <v>Melting_Curves/meltCurve_Q6IA86_3_ELP2.pdf</v>
      </c>
    </row>
    <row r="3939" spans="1:28" x14ac:dyDescent="0.25">
      <c r="A3939" t="s">
        <v>3943</v>
      </c>
      <c r="B3939">
        <v>0.995954080203443</v>
      </c>
      <c r="C3939">
        <v>1.04023261166896</v>
      </c>
      <c r="D3939">
        <v>0.90650257951204205</v>
      </c>
      <c r="E3939">
        <v>0.90473493717779596</v>
      </c>
      <c r="F3939">
        <v>0.73314137774423205</v>
      </c>
      <c r="G3939">
        <v>0.507857914008914</v>
      </c>
      <c r="H3939">
        <v>0.306850480178815</v>
      </c>
      <c r="I3939">
        <v>0.195055687039943</v>
      </c>
      <c r="J3939">
        <v>0.157938976731197</v>
      </c>
      <c r="K3939">
        <v>0.126044868016016</v>
      </c>
      <c r="L3939">
        <v>829.273576908667</v>
      </c>
      <c r="M3939">
        <v>14.6860395334814</v>
      </c>
      <c r="N3939">
        <v>57.050042503438199</v>
      </c>
      <c r="O3939">
        <v>55.450800093919497</v>
      </c>
      <c r="P3939">
        <v>-6.1603367754442001E-2</v>
      </c>
      <c r="Q3939">
        <v>6.9706333565622405E-2</v>
      </c>
      <c r="R3939">
        <v>0.99409408444641201</v>
      </c>
      <c r="S3939" t="s">
        <v>10745</v>
      </c>
      <c r="T3939" t="s">
        <v>13610</v>
      </c>
      <c r="U3939" t="s">
        <v>13610</v>
      </c>
      <c r="V3939" t="s">
        <v>13610</v>
      </c>
      <c r="W3939" t="s">
        <v>17489</v>
      </c>
      <c r="X3939">
        <v>3</v>
      </c>
      <c r="Y3939" t="s">
        <v>24085</v>
      </c>
      <c r="Z3939" t="s">
        <v>30794</v>
      </c>
      <c r="AA3939">
        <v>0.59629389166246094</v>
      </c>
      <c r="AB3939" t="str">
        <f>HYPERLINK("Melting_Curves/meltCurve_Q6IAA8_LAMTOR1.pdf", "Melting_Curves/meltCurve_Q6IAA8_LAMTOR1.pdf")</f>
        <v>Melting_Curves/meltCurve_Q6IAA8_LAMTOR1.pdf</v>
      </c>
    </row>
    <row r="3940" spans="1:28" x14ac:dyDescent="0.25">
      <c r="A3940" t="s">
        <v>3944</v>
      </c>
      <c r="B3940">
        <v>0.995954080203443</v>
      </c>
      <c r="C3940">
        <v>0.83573137434691502</v>
      </c>
      <c r="D3940">
        <v>0.80495843274955303</v>
      </c>
      <c r="E3940">
        <v>0.78836199856822098</v>
      </c>
      <c r="F3940">
        <v>0.66733631100273405</v>
      </c>
      <c r="G3940">
        <v>0.26656868177568599</v>
      </c>
      <c r="H3940">
        <v>0.114179400640062</v>
      </c>
      <c r="I3940">
        <v>9.5011738450300795E-2</v>
      </c>
      <c r="J3940">
        <v>0.10270020501322701</v>
      </c>
      <c r="K3940">
        <v>8.9666647128450697E-2</v>
      </c>
      <c r="L3940">
        <v>714.57186111045098</v>
      </c>
      <c r="M3940">
        <v>13.2351584013318</v>
      </c>
      <c r="N3940">
        <v>53.997029669872198</v>
      </c>
      <c r="O3940">
        <v>52.802498817336499</v>
      </c>
      <c r="P3940">
        <v>-6.2623149372848699E-2</v>
      </c>
      <c r="Q3940">
        <v>8.0839807027166804E-4</v>
      </c>
      <c r="R3940">
        <v>0.95725093823740703</v>
      </c>
      <c r="S3940" t="s">
        <v>10746</v>
      </c>
      <c r="T3940" t="s">
        <v>13610</v>
      </c>
      <c r="U3940" t="s">
        <v>13610</v>
      </c>
      <c r="V3940" t="s">
        <v>13610</v>
      </c>
      <c r="W3940" t="s">
        <v>17490</v>
      </c>
      <c r="X3940">
        <v>19</v>
      </c>
      <c r="Y3940" t="s">
        <v>24086</v>
      </c>
      <c r="Z3940" t="s">
        <v>30795</v>
      </c>
      <c r="AA3940">
        <v>0.49047442641894778</v>
      </c>
      <c r="AB3940" t="str">
        <f>HYPERLINK("Melting_Curves/meltCurve_Q6IBS0_TWF2.pdf", "Melting_Curves/meltCurve_Q6IBS0_TWF2.pdf")</f>
        <v>Melting_Curves/meltCurve_Q6IBS0_TWF2.pdf</v>
      </c>
    </row>
    <row r="3941" spans="1:28" x14ac:dyDescent="0.25">
      <c r="A3941" t="s">
        <v>3945</v>
      </c>
      <c r="B3941">
        <v>0.995954080203443</v>
      </c>
      <c r="C3941">
        <v>0.73799373358774301</v>
      </c>
      <c r="D3941">
        <v>0.58969435257233804</v>
      </c>
      <c r="E3941">
        <v>0.42046269281668303</v>
      </c>
      <c r="F3941">
        <v>0.34844844867597902</v>
      </c>
      <c r="G3941">
        <v>0.214682959205657</v>
      </c>
      <c r="H3941">
        <v>0.163085143274591</v>
      </c>
      <c r="I3941">
        <v>0.16554909241287399</v>
      </c>
      <c r="J3941">
        <v>0.206844574884018</v>
      </c>
      <c r="K3941">
        <v>0.183556006951136</v>
      </c>
      <c r="L3941">
        <v>607.93609066062697</v>
      </c>
      <c r="M3941">
        <v>13.0764467515639</v>
      </c>
      <c r="N3941">
        <v>47.948982606341097</v>
      </c>
      <c r="O3941">
        <v>45.443959249830201</v>
      </c>
      <c r="P3941">
        <v>-6.0146459118050798E-2</v>
      </c>
      <c r="Q3941">
        <v>0.16404773247132901</v>
      </c>
      <c r="R3941">
        <v>0.97860227690799395</v>
      </c>
      <c r="S3941" t="s">
        <v>10747</v>
      </c>
      <c r="T3941" t="s">
        <v>13610</v>
      </c>
      <c r="U3941" t="s">
        <v>13610</v>
      </c>
      <c r="V3941" t="s">
        <v>13610</v>
      </c>
      <c r="W3941" t="s">
        <v>17491</v>
      </c>
      <c r="X3941">
        <v>9</v>
      </c>
      <c r="Y3941" t="s">
        <v>24087</v>
      </c>
      <c r="Z3941" t="s">
        <v>30796</v>
      </c>
      <c r="AA3941">
        <v>0.37592870368622772</v>
      </c>
      <c r="AB3941" t="str">
        <f>HYPERLINK("Melting_Curves/meltCurve_Q6IBW4_NCAPH2.pdf", "Melting_Curves/meltCurve_Q6IBW4_NCAPH2.pdf")</f>
        <v>Melting_Curves/meltCurve_Q6IBW4_NCAPH2.pdf</v>
      </c>
    </row>
    <row r="3942" spans="1:28" x14ac:dyDescent="0.25">
      <c r="A3942" t="s">
        <v>3946</v>
      </c>
      <c r="B3942">
        <v>0.995954080203443</v>
      </c>
      <c r="C3942">
        <v>0.89908583029327105</v>
      </c>
      <c r="D3942">
        <v>0.56775471104889397</v>
      </c>
      <c r="E3942">
        <v>0.36643479863143302</v>
      </c>
      <c r="F3942">
        <v>0.20582768422071401</v>
      </c>
      <c r="G3942">
        <v>0.12135752108508301</v>
      </c>
      <c r="H3942">
        <v>7.8198464663193107E-2</v>
      </c>
      <c r="I3942">
        <v>6.9079806018723405E-2</v>
      </c>
      <c r="J3942">
        <v>6.9521807232663393E-2</v>
      </c>
      <c r="K3942">
        <v>5.4326906565715698E-2</v>
      </c>
      <c r="L3942">
        <v>780.834383657476</v>
      </c>
      <c r="M3942">
        <v>16.518974172857799</v>
      </c>
      <c r="N3942">
        <v>47.6487579815145</v>
      </c>
      <c r="O3942">
        <v>46.592487641363697</v>
      </c>
      <c r="P3942">
        <v>-8.3173674051166699E-2</v>
      </c>
      <c r="Q3942">
        <v>6.1684634051685797E-2</v>
      </c>
      <c r="R3942">
        <v>0.99145103043745697</v>
      </c>
      <c r="S3942" t="s">
        <v>10748</v>
      </c>
      <c r="T3942" t="s">
        <v>13610</v>
      </c>
      <c r="U3942" t="s">
        <v>13610</v>
      </c>
      <c r="V3942" t="s">
        <v>13610</v>
      </c>
      <c r="W3942" t="s">
        <v>17492</v>
      </c>
      <c r="X3942">
        <v>3</v>
      </c>
      <c r="Y3942" t="s">
        <v>24088</v>
      </c>
      <c r="Z3942" t="s">
        <v>30797</v>
      </c>
      <c r="AA3942">
        <v>0.30957036771782021</v>
      </c>
      <c r="AB3942" t="str">
        <f>HYPERLINK("Melting_Curves/meltCurve_Q6ICB0_DESI1.pdf", "Melting_Curves/meltCurve_Q6ICB0_DESI1.pdf")</f>
        <v>Melting_Curves/meltCurve_Q6ICB0_DESI1.pdf</v>
      </c>
    </row>
    <row r="3943" spans="1:28" x14ac:dyDescent="0.25">
      <c r="A3943" t="s">
        <v>3947</v>
      </c>
      <c r="B3943">
        <v>0.995954080203443</v>
      </c>
      <c r="C3943">
        <v>0.95633478052667598</v>
      </c>
      <c r="D3943">
        <v>0.951764407481546</v>
      </c>
      <c r="E3943">
        <v>0.73665662829548295</v>
      </c>
      <c r="F3943">
        <v>0.564196519554516</v>
      </c>
      <c r="G3943">
        <v>0.240456844451302</v>
      </c>
      <c r="H3943">
        <v>8.4612465414085E-2</v>
      </c>
      <c r="I3943">
        <v>7.8131407407777506E-2</v>
      </c>
      <c r="J3943">
        <v>9.1248142487377407E-2</v>
      </c>
      <c r="K3943">
        <v>7.1095947548917807E-2</v>
      </c>
      <c r="L3943">
        <v>991.03652315776299</v>
      </c>
      <c r="M3943">
        <v>18.694847142176901</v>
      </c>
      <c r="N3943">
        <v>53.296658520760197</v>
      </c>
      <c r="O3943">
        <v>52.415825915998099</v>
      </c>
      <c r="P3943">
        <v>-8.4921998838758006E-2</v>
      </c>
      <c r="Q3943">
        <v>4.7637598616382199E-2</v>
      </c>
      <c r="R3943">
        <v>0.99598482167251501</v>
      </c>
      <c r="S3943" t="s">
        <v>10749</v>
      </c>
      <c r="T3943" t="s">
        <v>13610</v>
      </c>
      <c r="U3943" t="s">
        <v>13610</v>
      </c>
      <c r="V3943" t="s">
        <v>13610</v>
      </c>
      <c r="W3943" t="s">
        <v>17493</v>
      </c>
      <c r="X3943">
        <v>9</v>
      </c>
      <c r="Y3943" t="s">
        <v>24089</v>
      </c>
      <c r="Z3943" t="s">
        <v>30798</v>
      </c>
      <c r="AA3943">
        <v>0.47534676079695548</v>
      </c>
      <c r="AB3943" t="str">
        <f>HYPERLINK("Melting_Curves/meltCurve_Q6ICL3_3_TANGO2.pdf", "Melting_Curves/meltCurve_Q6ICL3_3_TANGO2.pdf")</f>
        <v>Melting_Curves/meltCurve_Q6ICL3_3_TANGO2.pdf</v>
      </c>
    </row>
    <row r="3944" spans="1:28" x14ac:dyDescent="0.25">
      <c r="A3944" t="s">
        <v>3948</v>
      </c>
      <c r="B3944">
        <v>0.995954080203443</v>
      </c>
      <c r="C3944">
        <v>0.90209997494131899</v>
      </c>
      <c r="D3944">
        <v>0.93898723455074096</v>
      </c>
      <c r="E3944">
        <v>0.77201162656419398</v>
      </c>
      <c r="F3944">
        <v>0.56789875381120403</v>
      </c>
      <c r="G3944">
        <v>0.59583813329454804</v>
      </c>
      <c r="H3944">
        <v>0.55601634659118804</v>
      </c>
      <c r="I3944">
        <v>0.488141044230197</v>
      </c>
      <c r="J3944">
        <v>0.66758960942536805</v>
      </c>
      <c r="K3944">
        <v>0.43878836455443399</v>
      </c>
      <c r="L3944">
        <v>1037.1422329163499</v>
      </c>
      <c r="M3944">
        <v>20.967244848644299</v>
      </c>
      <c r="O3944">
        <v>49.021508661208998</v>
      </c>
      <c r="P3944">
        <v>-4.9798459075803603E-2</v>
      </c>
      <c r="Q3944">
        <v>0.53429639227741799</v>
      </c>
      <c r="R3944">
        <v>0.88248656176926898</v>
      </c>
      <c r="S3944" t="s">
        <v>10750</v>
      </c>
      <c r="T3944" t="s">
        <v>13610</v>
      </c>
      <c r="U3944" t="s">
        <v>13610</v>
      </c>
      <c r="V3944" t="s">
        <v>13610</v>
      </c>
      <c r="W3944" t="s">
        <v>17494</v>
      </c>
      <c r="X3944">
        <v>3</v>
      </c>
      <c r="Y3944" t="s">
        <v>24090</v>
      </c>
      <c r="Z3944" t="s">
        <v>30799</v>
      </c>
      <c r="AA3944">
        <v>0.68713793404842727</v>
      </c>
      <c r="AB3944" t="str">
        <f>HYPERLINK("Melting_Curves/meltCurve_Q6IE81_2_PHF17.pdf", "Melting_Curves/meltCurve_Q6IE81_2_PHF17.pdf")</f>
        <v>Melting_Curves/meltCurve_Q6IE81_2_PHF17.pdf</v>
      </c>
    </row>
    <row r="3945" spans="1:28" x14ac:dyDescent="0.25">
      <c r="A3945" t="s">
        <v>3949</v>
      </c>
      <c r="B3945">
        <v>0.995954080203443</v>
      </c>
      <c r="C3945">
        <v>0.69272442982149895</v>
      </c>
      <c r="D3945">
        <v>0.614666042204984</v>
      </c>
      <c r="E3945">
        <v>0.70793859243342905</v>
      </c>
      <c r="F3945">
        <v>0.451693006333656</v>
      </c>
      <c r="G3945">
        <v>0.31588496231159702</v>
      </c>
      <c r="H3945">
        <v>0.22572647743522301</v>
      </c>
      <c r="I3945">
        <v>0.29430443887631902</v>
      </c>
      <c r="J3945">
        <v>0.340290989877853</v>
      </c>
      <c r="K3945">
        <v>0.33770242912402698</v>
      </c>
      <c r="L3945">
        <v>453.53855113853803</v>
      </c>
      <c r="M3945">
        <v>9.5468685553400494</v>
      </c>
      <c r="N3945">
        <v>51.218832340061098</v>
      </c>
      <c r="O3945">
        <v>45.562324278875401</v>
      </c>
      <c r="P3945">
        <v>-3.9326187249508898E-2</v>
      </c>
      <c r="Q3945">
        <v>0.24970067563913401</v>
      </c>
      <c r="R3945">
        <v>0.85967195554935405</v>
      </c>
      <c r="S3945" t="s">
        <v>10751</v>
      </c>
      <c r="T3945" t="s">
        <v>13610</v>
      </c>
      <c r="U3945" t="s">
        <v>13610</v>
      </c>
      <c r="V3945" t="s">
        <v>13610</v>
      </c>
      <c r="W3945" t="s">
        <v>17495</v>
      </c>
      <c r="X3945">
        <v>2</v>
      </c>
      <c r="Y3945" t="s">
        <v>24091</v>
      </c>
      <c r="Z3945" t="s">
        <v>30800</v>
      </c>
      <c r="AA3945">
        <v>0.4818756109362779</v>
      </c>
      <c r="AB3945" t="str">
        <f>HYPERLINK("Melting_Curves/meltCurve_Q6IEG0_SNRNP48.pdf", "Melting_Curves/meltCurve_Q6IEG0_SNRNP48.pdf")</f>
        <v>Melting_Curves/meltCurve_Q6IEG0_SNRNP48.pdf</v>
      </c>
    </row>
    <row r="3946" spans="1:28" x14ac:dyDescent="0.25">
      <c r="A3946" t="s">
        <v>3950</v>
      </c>
      <c r="B3946">
        <v>0.995954080203443</v>
      </c>
      <c r="C3946">
        <v>0.84088651238860102</v>
      </c>
      <c r="D3946">
        <v>0.71843382794140398</v>
      </c>
      <c r="E3946">
        <v>0.76598104263781097</v>
      </c>
      <c r="F3946">
        <v>0.53274095933075105</v>
      </c>
      <c r="G3946">
        <v>0.28627509197148898</v>
      </c>
      <c r="H3946">
        <v>0.10490684408529601</v>
      </c>
      <c r="I3946">
        <v>6.6312529054181696E-2</v>
      </c>
      <c r="J3946">
        <v>0.10541620985094299</v>
      </c>
      <c r="K3946">
        <v>9.5365433724381193E-2</v>
      </c>
      <c r="L3946">
        <v>586.84219756186405</v>
      </c>
      <c r="M3946">
        <v>11.1289307972629</v>
      </c>
      <c r="N3946">
        <v>52.731225432706403</v>
      </c>
      <c r="O3946">
        <v>51.114541385720798</v>
      </c>
      <c r="P3946">
        <v>-5.4448892421546401E-2</v>
      </c>
      <c r="Q3946">
        <v>0</v>
      </c>
      <c r="R3946">
        <v>0.95789911688220897</v>
      </c>
      <c r="S3946" t="s">
        <v>10752</v>
      </c>
      <c r="T3946" t="s">
        <v>13610</v>
      </c>
      <c r="U3946" t="s">
        <v>13610</v>
      </c>
      <c r="V3946" t="s">
        <v>13610</v>
      </c>
      <c r="W3946" t="s">
        <v>17496</v>
      </c>
      <c r="X3946">
        <v>3</v>
      </c>
      <c r="Y3946" t="s">
        <v>24092</v>
      </c>
      <c r="Z3946" t="s">
        <v>30801</v>
      </c>
      <c r="AA3946">
        <v>0.45599346224070447</v>
      </c>
      <c r="AB3946" t="str">
        <f>HYPERLINK("Melting_Curves/meltCurve_Q6IN84_MRM1.pdf", "Melting_Curves/meltCurve_Q6IN84_MRM1.pdf")</f>
        <v>Melting_Curves/meltCurve_Q6IN84_MRM1.pdf</v>
      </c>
    </row>
    <row r="3947" spans="1:28" x14ac:dyDescent="0.25">
      <c r="A3947" t="s">
        <v>3951</v>
      </c>
      <c r="B3947">
        <v>0.995954080203443</v>
      </c>
      <c r="C3947">
        <v>0.99256240209228697</v>
      </c>
      <c r="D3947">
        <v>0.89349049903953903</v>
      </c>
      <c r="E3947">
        <v>0.78246706434729296</v>
      </c>
      <c r="F3947">
        <v>0.51255107628600205</v>
      </c>
      <c r="G3947">
        <v>0.290421881304116</v>
      </c>
      <c r="H3947">
        <v>0.15201535194059099</v>
      </c>
      <c r="I3947">
        <v>0.152576212069123</v>
      </c>
      <c r="J3947">
        <v>0.15883575882991799</v>
      </c>
      <c r="K3947">
        <v>0.16569221825685901</v>
      </c>
      <c r="L3947">
        <v>1028.7230442785999</v>
      </c>
      <c r="M3947">
        <v>19.640588724676899</v>
      </c>
      <c r="N3947">
        <v>53.242111589630497</v>
      </c>
      <c r="O3947">
        <v>51.8434880272236</v>
      </c>
      <c r="P3947">
        <v>-8.1780295572686207E-2</v>
      </c>
      <c r="Q3947">
        <v>0.13655795580497199</v>
      </c>
      <c r="R3947">
        <v>0.99548949040058898</v>
      </c>
      <c r="S3947" t="s">
        <v>10753</v>
      </c>
      <c r="T3947" t="s">
        <v>13610</v>
      </c>
      <c r="U3947" t="s">
        <v>13610</v>
      </c>
      <c r="V3947" t="s">
        <v>13610</v>
      </c>
      <c r="W3947" t="s">
        <v>17497</v>
      </c>
      <c r="X3947">
        <v>25</v>
      </c>
      <c r="Y3947" t="s">
        <v>24093</v>
      </c>
      <c r="Z3947" t="s">
        <v>30802</v>
      </c>
      <c r="AA3947">
        <v>0.5051095155111045</v>
      </c>
      <c r="AB3947" t="str">
        <f>HYPERLINK("Melting_Curves/meltCurve_Q6IN85_SMEK1.pdf", "Melting_Curves/meltCurve_Q6IN85_SMEK1.pdf")</f>
        <v>Melting_Curves/meltCurve_Q6IN85_SMEK1.pdf</v>
      </c>
    </row>
    <row r="3948" spans="1:28" x14ac:dyDescent="0.25">
      <c r="A3948" t="s">
        <v>3952</v>
      </c>
      <c r="B3948">
        <v>0.995954080203443</v>
      </c>
      <c r="C3948">
        <v>1.07314485613757</v>
      </c>
      <c r="D3948">
        <v>0.91501940640846002</v>
      </c>
      <c r="E3948">
        <v>0.69460092041921195</v>
      </c>
      <c r="F3948">
        <v>0.36691076336418199</v>
      </c>
      <c r="G3948">
        <v>0.17834864589832999</v>
      </c>
      <c r="H3948">
        <v>7.2104407467675102E-2</v>
      </c>
      <c r="I3948">
        <v>4.1411790687836798E-2</v>
      </c>
      <c r="J3948">
        <v>3.4954055394641699E-2</v>
      </c>
      <c r="K3948">
        <v>3.21763131924655E-2</v>
      </c>
      <c r="L3948">
        <v>1107.88566191121</v>
      </c>
      <c r="M3948">
        <v>21.441211489304401</v>
      </c>
      <c r="N3948">
        <v>51.839807003240999</v>
      </c>
      <c r="O3948">
        <v>51.227685544723897</v>
      </c>
      <c r="P3948">
        <v>-0.101108114361411</v>
      </c>
      <c r="Q3948">
        <v>3.3747407747937802E-2</v>
      </c>
      <c r="R3948">
        <v>0.99448663715468999</v>
      </c>
      <c r="S3948" t="s">
        <v>10754</v>
      </c>
      <c r="T3948" t="s">
        <v>13610</v>
      </c>
      <c r="U3948" t="s">
        <v>13610</v>
      </c>
      <c r="V3948" t="s">
        <v>13610</v>
      </c>
      <c r="W3948" t="s">
        <v>17498</v>
      </c>
      <c r="X3948">
        <v>2</v>
      </c>
      <c r="Y3948" t="s">
        <v>24094</v>
      </c>
      <c r="Z3948" t="s">
        <v>30803</v>
      </c>
      <c r="AA3948">
        <v>0.42142487252308458</v>
      </c>
      <c r="AB3948" t="str">
        <f>HYPERLINK("Melting_Curves/meltCurve_Q6IPR1_LYRM5.pdf", "Melting_Curves/meltCurve_Q6IPR1_LYRM5.pdf")</f>
        <v>Melting_Curves/meltCurve_Q6IPR1_LYRM5.pdf</v>
      </c>
    </row>
    <row r="3949" spans="1:28" x14ac:dyDescent="0.25">
      <c r="A3949" t="s">
        <v>3953</v>
      </c>
      <c r="B3949">
        <v>0.995954080203443</v>
      </c>
      <c r="C3949">
        <v>0.84092231563245301</v>
      </c>
      <c r="D3949">
        <v>0.71368183391895001</v>
      </c>
      <c r="E3949">
        <v>0.57100358008894503</v>
      </c>
      <c r="F3949">
        <v>0.314860952307491</v>
      </c>
      <c r="G3949">
        <v>0.14042955884302899</v>
      </c>
      <c r="H3949">
        <v>8.3225408931313694E-2</v>
      </c>
      <c r="I3949">
        <v>6.5171544375239407E-2</v>
      </c>
      <c r="J3949">
        <v>6.02986645381033E-2</v>
      </c>
      <c r="K3949">
        <v>4.6617476843922201E-2</v>
      </c>
      <c r="L3949">
        <v>620.21558457395497</v>
      </c>
      <c r="M3949">
        <v>12.417957189160701</v>
      </c>
      <c r="N3949">
        <v>49.9726274870943</v>
      </c>
      <c r="O3949">
        <v>48.702880124233403</v>
      </c>
      <c r="P3949">
        <v>-6.35392531013413E-2</v>
      </c>
      <c r="Q3949">
        <v>3.4138199178901998E-3</v>
      </c>
      <c r="R3949">
        <v>0.989769901561384</v>
      </c>
      <c r="S3949" t="s">
        <v>10755</v>
      </c>
      <c r="T3949" t="s">
        <v>13610</v>
      </c>
      <c r="U3949" t="s">
        <v>13610</v>
      </c>
      <c r="V3949" t="s">
        <v>13610</v>
      </c>
      <c r="W3949" t="s">
        <v>17499</v>
      </c>
      <c r="X3949">
        <v>7</v>
      </c>
      <c r="Y3949" t="s">
        <v>24095</v>
      </c>
      <c r="Z3949" t="s">
        <v>30804</v>
      </c>
      <c r="AA3949">
        <v>0.36656533463114849</v>
      </c>
      <c r="AB3949" t="str">
        <f>HYPERLINK("Melting_Curves/meltCurve_Q6IPR3_TYW3.pdf", "Melting_Curves/meltCurve_Q6IPR3_TYW3.pdf")</f>
        <v>Melting_Curves/meltCurve_Q6IPR3_TYW3.pdf</v>
      </c>
    </row>
    <row r="3950" spans="1:28" x14ac:dyDescent="0.25">
      <c r="A3950" t="s">
        <v>3954</v>
      </c>
      <c r="B3950">
        <v>0.995954080203443</v>
      </c>
      <c r="C3950">
        <v>1.04731959896603</v>
      </c>
      <c r="D3950">
        <v>0.93351274191109601</v>
      </c>
      <c r="E3950">
        <v>0.85204442061380004</v>
      </c>
      <c r="F3950">
        <v>0.56562180241899596</v>
      </c>
      <c r="G3950">
        <v>0.35221168460765201</v>
      </c>
      <c r="H3950">
        <v>0.200810446556309</v>
      </c>
      <c r="I3950">
        <v>0.151067599064411</v>
      </c>
      <c r="J3950">
        <v>0.123300976974711</v>
      </c>
      <c r="K3950">
        <v>0.114737774232102</v>
      </c>
      <c r="L3950">
        <v>994.91444054030103</v>
      </c>
      <c r="M3950">
        <v>18.548900540565899</v>
      </c>
      <c r="N3950">
        <v>54.352911914988503</v>
      </c>
      <c r="O3950">
        <v>53.025605392218203</v>
      </c>
      <c r="P3950">
        <v>-7.7982245074804196E-2</v>
      </c>
      <c r="Q3950">
        <v>0.108329732246095</v>
      </c>
      <c r="R3950">
        <v>0.99482195292259601</v>
      </c>
      <c r="S3950" t="s">
        <v>10756</v>
      </c>
      <c r="T3950" t="s">
        <v>13610</v>
      </c>
      <c r="U3950" t="s">
        <v>13610</v>
      </c>
      <c r="V3950" t="s">
        <v>13610</v>
      </c>
      <c r="W3950" t="s">
        <v>17500</v>
      </c>
      <c r="X3950">
        <v>5</v>
      </c>
      <c r="Y3950" t="s">
        <v>24096</v>
      </c>
      <c r="Z3950" t="s">
        <v>30805</v>
      </c>
      <c r="AA3950">
        <v>0.52741239518250294</v>
      </c>
      <c r="AB3950" t="str">
        <f>HYPERLINK("Melting_Curves/meltCurve_Q6IQ22_RAB12.pdf", "Melting_Curves/meltCurve_Q6IQ22_RAB12.pdf")</f>
        <v>Melting_Curves/meltCurve_Q6IQ22_RAB12.pdf</v>
      </c>
    </row>
    <row r="3951" spans="1:28" x14ac:dyDescent="0.25">
      <c r="A3951" t="s">
        <v>3955</v>
      </c>
      <c r="B3951">
        <v>0.995954080203443</v>
      </c>
      <c r="C3951">
        <v>0.98196434816950995</v>
      </c>
      <c r="D3951">
        <v>0.84028064238135003</v>
      </c>
      <c r="E3951">
        <v>0.54682742199675605</v>
      </c>
      <c r="F3951">
        <v>0.19779471523356201</v>
      </c>
      <c r="G3951">
        <v>0.115288143598853</v>
      </c>
      <c r="H3951">
        <v>8.9858399836113198E-2</v>
      </c>
      <c r="I3951">
        <v>8.4851644273192306E-2</v>
      </c>
      <c r="J3951">
        <v>0.12998839145708799</v>
      </c>
      <c r="K3951">
        <v>0.106302120570407</v>
      </c>
      <c r="L3951">
        <v>1230.0077277176099</v>
      </c>
      <c r="M3951">
        <v>24.8097090344286</v>
      </c>
      <c r="N3951">
        <v>49.987773600108</v>
      </c>
      <c r="O3951">
        <v>49.258940466859201</v>
      </c>
      <c r="P3951">
        <v>-0.114322256119404</v>
      </c>
      <c r="Q3951">
        <v>9.2078817876706201E-2</v>
      </c>
      <c r="R3951">
        <v>0.99396928922817296</v>
      </c>
      <c r="S3951" t="s">
        <v>10757</v>
      </c>
      <c r="T3951" t="s">
        <v>13610</v>
      </c>
      <c r="U3951" t="s">
        <v>13610</v>
      </c>
      <c r="V3951" t="s">
        <v>13610</v>
      </c>
      <c r="W3951" t="s">
        <v>17501</v>
      </c>
      <c r="X3951">
        <v>7</v>
      </c>
      <c r="Y3951" t="s">
        <v>24097</v>
      </c>
      <c r="Z3951" t="s">
        <v>30806</v>
      </c>
      <c r="AA3951">
        <v>0.39014624215784988</v>
      </c>
      <c r="AB3951" t="str">
        <f>HYPERLINK("Melting_Curves/meltCurve_Q6IQ26_2_DENND5A.pdf", "Melting_Curves/meltCurve_Q6IQ26_2_DENND5A.pdf")</f>
        <v>Melting_Curves/meltCurve_Q6IQ26_2_DENND5A.pdf</v>
      </c>
    </row>
    <row r="3952" spans="1:28" x14ac:dyDescent="0.25">
      <c r="A3952" t="s">
        <v>3956</v>
      </c>
      <c r="B3952">
        <v>0.995954080203443</v>
      </c>
      <c r="C3952">
        <v>0.96247106100067803</v>
      </c>
      <c r="D3952">
        <v>1.1008140845251899</v>
      </c>
      <c r="E3952">
        <v>0.90505359761966697</v>
      </c>
      <c r="F3952">
        <v>0.95742645121953396</v>
      </c>
      <c r="G3952">
        <v>0.73651579633551201</v>
      </c>
      <c r="H3952">
        <v>0.68649218456194505</v>
      </c>
      <c r="I3952">
        <v>0.79448465896074605</v>
      </c>
      <c r="J3952">
        <v>1.0090087595745101</v>
      </c>
      <c r="K3952">
        <v>0.943973944572009</v>
      </c>
      <c r="L3952">
        <v>1777.6201479640399</v>
      </c>
      <c r="M3952">
        <v>34.2965350038479</v>
      </c>
      <c r="O3952">
        <v>51.655631030308101</v>
      </c>
      <c r="P3952">
        <v>-2.6520606804301499E-2</v>
      </c>
      <c r="Q3952">
        <v>0.84022485755532506</v>
      </c>
      <c r="R3952">
        <v>0.36419555947071802</v>
      </c>
      <c r="S3952" t="s">
        <v>10758</v>
      </c>
      <c r="T3952" t="s">
        <v>13610</v>
      </c>
      <c r="U3952" t="s">
        <v>13610</v>
      </c>
      <c r="V3952" t="s">
        <v>13610</v>
      </c>
      <c r="W3952" t="s">
        <v>17502</v>
      </c>
      <c r="X3952">
        <v>17</v>
      </c>
      <c r="Y3952" t="s">
        <v>24098</v>
      </c>
      <c r="Z3952" t="s">
        <v>30807</v>
      </c>
      <c r="AA3952">
        <v>0.90401368724840891</v>
      </c>
      <c r="AB3952" t="str">
        <f>HYPERLINK("Melting_Curves/meltCurve_Q6IQ49_2_SDE2.pdf", "Melting_Curves/meltCurve_Q6IQ49_2_SDE2.pdf")</f>
        <v>Melting_Curves/meltCurve_Q6IQ49_2_SDE2.pdf</v>
      </c>
    </row>
    <row r="3953" spans="1:28" x14ac:dyDescent="0.25">
      <c r="A3953" t="s">
        <v>3957</v>
      </c>
      <c r="B3953">
        <v>0.995954080203443</v>
      </c>
      <c r="C3953">
        <v>0.92540216511897599</v>
      </c>
      <c r="D3953">
        <v>0.76438387338579805</v>
      </c>
      <c r="E3953">
        <v>0.86774342148883299</v>
      </c>
      <c r="F3953">
        <v>0.69234665245899096</v>
      </c>
      <c r="G3953">
        <v>0.39670651608000501</v>
      </c>
      <c r="H3953">
        <v>0.28495349237811302</v>
      </c>
      <c r="I3953">
        <v>0.32149777291910803</v>
      </c>
      <c r="J3953">
        <v>0.408390200321537</v>
      </c>
      <c r="K3953">
        <v>0.338191081948713</v>
      </c>
      <c r="L3953">
        <v>764.29441123531603</v>
      </c>
      <c r="M3953">
        <v>14.534949631033999</v>
      </c>
      <c r="N3953">
        <v>55.985882359544597</v>
      </c>
      <c r="O3953">
        <v>51.617945456068398</v>
      </c>
      <c r="P3953">
        <v>-4.9754308746444202E-2</v>
      </c>
      <c r="Q3953">
        <v>0.29331114866852298</v>
      </c>
      <c r="R3953">
        <v>0.91040290047038697</v>
      </c>
      <c r="S3953" t="s">
        <v>10759</v>
      </c>
      <c r="T3953" t="s">
        <v>13610</v>
      </c>
      <c r="U3953" t="s">
        <v>13610</v>
      </c>
      <c r="V3953" t="s">
        <v>13610</v>
      </c>
      <c r="W3953" t="s">
        <v>17503</v>
      </c>
      <c r="X3953">
        <v>1</v>
      </c>
      <c r="Y3953" t="s">
        <v>24099</v>
      </c>
      <c r="Z3953" t="s">
        <v>30808</v>
      </c>
      <c r="AA3953">
        <v>0.60590360249244291</v>
      </c>
      <c r="AB3953" t="str">
        <f>HYPERLINK("Melting_Curves/meltCurve_Q6IQ55_2_TTBK2.pdf", "Melting_Curves/meltCurve_Q6IQ55_2_TTBK2.pdf")</f>
        <v>Melting_Curves/meltCurve_Q6IQ55_2_TTBK2.pdf</v>
      </c>
    </row>
    <row r="3954" spans="1:28" x14ac:dyDescent="0.25">
      <c r="A3954" t="s">
        <v>3958</v>
      </c>
      <c r="B3954">
        <v>0.995954080203443</v>
      </c>
      <c r="C3954">
        <v>0.97320762983310605</v>
      </c>
      <c r="D3954">
        <v>1.1015171013280001</v>
      </c>
      <c r="E3954">
        <v>0.95443900822000105</v>
      </c>
      <c r="F3954">
        <v>1.0642419008680299</v>
      </c>
      <c r="G3954">
        <v>0.90233881241261904</v>
      </c>
      <c r="H3954">
        <v>0.93751030590650397</v>
      </c>
      <c r="I3954">
        <v>1.15445859319356</v>
      </c>
      <c r="J3954">
        <v>1.6989502883157599</v>
      </c>
      <c r="K3954">
        <v>1.3972105676220801</v>
      </c>
      <c r="L3954">
        <v>15000</v>
      </c>
      <c r="M3954">
        <v>233.570341853093</v>
      </c>
      <c r="O3954">
        <v>64.215768938644004</v>
      </c>
      <c r="P3954">
        <v>0.45465920408874699</v>
      </c>
      <c r="Q3954">
        <v>1.5</v>
      </c>
      <c r="R3954">
        <v>0.85605851440312697</v>
      </c>
      <c r="S3954" t="s">
        <v>10760</v>
      </c>
      <c r="T3954" t="s">
        <v>13610</v>
      </c>
      <c r="U3954" t="s">
        <v>13610</v>
      </c>
      <c r="V3954" t="s">
        <v>13610</v>
      </c>
      <c r="W3954" t="s">
        <v>17504</v>
      </c>
      <c r="X3954">
        <v>37</v>
      </c>
      <c r="Y3954" t="s">
        <v>24100</v>
      </c>
      <c r="Z3954" t="s">
        <v>30809</v>
      </c>
      <c r="AA3954">
        <v>1.0962607335903529</v>
      </c>
      <c r="AB3954" t="str">
        <f>HYPERLINK("Melting_Curves/meltCurve_Q6JBY9_RCSD1.pdf", "Melting_Curves/meltCurve_Q6JBY9_RCSD1.pdf")</f>
        <v>Melting_Curves/meltCurve_Q6JBY9_RCSD1.pdf</v>
      </c>
    </row>
    <row r="3955" spans="1:28" x14ac:dyDescent="0.25">
      <c r="A3955" t="s">
        <v>3959</v>
      </c>
      <c r="B3955">
        <v>0.995954080203443</v>
      </c>
      <c r="C3955">
        <v>0.88372180090513097</v>
      </c>
      <c r="D3955">
        <v>0.77650235989113303</v>
      </c>
      <c r="E3955">
        <v>0.69903732154059395</v>
      </c>
      <c r="F3955">
        <v>0.67714038161633106</v>
      </c>
      <c r="G3955">
        <v>0.52579352755009301</v>
      </c>
      <c r="H3955">
        <v>0.52038858868103899</v>
      </c>
      <c r="I3955">
        <v>0.63693211079031298</v>
      </c>
      <c r="J3955">
        <v>0.81350328056505905</v>
      </c>
      <c r="K3955">
        <v>0.74629590651684596</v>
      </c>
      <c r="L3955">
        <v>1021.21282800139</v>
      </c>
      <c r="M3955">
        <v>22.901108361398101</v>
      </c>
      <c r="O3955">
        <v>44.256452836723298</v>
      </c>
      <c r="P3955">
        <v>-4.4713095358635997E-2</v>
      </c>
      <c r="Q3955">
        <v>0.65437390710978804</v>
      </c>
      <c r="R3955">
        <v>0.65044643463098295</v>
      </c>
      <c r="S3955" t="s">
        <v>10761</v>
      </c>
      <c r="T3955" t="s">
        <v>13610</v>
      </c>
      <c r="U3955" t="s">
        <v>13610</v>
      </c>
      <c r="V3955" t="s">
        <v>13610</v>
      </c>
      <c r="W3955" t="s">
        <v>17505</v>
      </c>
      <c r="X3955">
        <v>39</v>
      </c>
      <c r="Y3955" t="s">
        <v>24101</v>
      </c>
      <c r="Z3955" t="s">
        <v>30810</v>
      </c>
      <c r="AA3955">
        <v>0.71174569332146465</v>
      </c>
      <c r="AB3955" t="str">
        <f>HYPERLINK("Melting_Curves/meltCurve_Q6KC79_2_NIPBL.pdf", "Melting_Curves/meltCurve_Q6KC79_2_NIPBL.pdf")</f>
        <v>Melting_Curves/meltCurve_Q6KC79_2_NIPBL.pdf</v>
      </c>
    </row>
    <row r="3956" spans="1:28" x14ac:dyDescent="0.25">
      <c r="A3956" t="s">
        <v>3960</v>
      </c>
      <c r="B3956">
        <v>0.995954080203443</v>
      </c>
      <c r="C3956">
        <v>0.95675520370074196</v>
      </c>
      <c r="D3956">
        <v>0.89270646129020204</v>
      </c>
      <c r="E3956">
        <v>0.78221604470885897</v>
      </c>
      <c r="F3956">
        <v>0.38951963072607698</v>
      </c>
      <c r="G3956">
        <v>0.16478174884865801</v>
      </c>
      <c r="H3956">
        <v>0.118975206280344</v>
      </c>
      <c r="I3956">
        <v>0.110945159755742</v>
      </c>
      <c r="J3956">
        <v>0.12008698827474899</v>
      </c>
      <c r="K3956">
        <v>0.114112773030526</v>
      </c>
      <c r="L3956">
        <v>1463.63031757573</v>
      </c>
      <c r="M3956">
        <v>28.319358178415101</v>
      </c>
      <c r="N3956">
        <v>52.139085101222001</v>
      </c>
      <c r="O3956">
        <v>51.427380122602798</v>
      </c>
      <c r="P3956">
        <v>-0.122565024721208</v>
      </c>
      <c r="Q3956">
        <v>0.109704899036385</v>
      </c>
      <c r="R3956">
        <v>0.99317517540528799</v>
      </c>
      <c r="S3956" t="s">
        <v>10762</v>
      </c>
      <c r="T3956" t="s">
        <v>13610</v>
      </c>
      <c r="U3956" t="s">
        <v>13610</v>
      </c>
      <c r="V3956" t="s">
        <v>13610</v>
      </c>
      <c r="W3956" t="s">
        <v>17506</v>
      </c>
      <c r="X3956">
        <v>21</v>
      </c>
      <c r="Y3956" t="s">
        <v>24102</v>
      </c>
      <c r="Z3956" t="s">
        <v>30811</v>
      </c>
      <c r="AA3956">
        <v>0.4627621885498297</v>
      </c>
      <c r="AB3956" t="str">
        <f>HYPERLINK("Melting_Curves/meltCurve_Q6L8Q7_2_PDE12.pdf", "Melting_Curves/meltCurve_Q6L8Q7_2_PDE12.pdf")</f>
        <v>Melting_Curves/meltCurve_Q6L8Q7_2_PDE12.pdf</v>
      </c>
    </row>
    <row r="3957" spans="1:28" x14ac:dyDescent="0.25">
      <c r="A3957" t="s">
        <v>3961</v>
      </c>
      <c r="B3957">
        <v>0.995954080203443</v>
      </c>
      <c r="C3957">
        <v>1.00559645700224</v>
      </c>
      <c r="D3957">
        <v>1.0605548767055799</v>
      </c>
      <c r="E3957">
        <v>0.88754725419809599</v>
      </c>
      <c r="F3957">
        <v>0.94815238037904004</v>
      </c>
      <c r="G3957">
        <v>0.70276321541053299</v>
      </c>
      <c r="H3957">
        <v>0.699155412098869</v>
      </c>
      <c r="I3957">
        <v>0.77975298213089805</v>
      </c>
      <c r="J3957">
        <v>0.928402408651956</v>
      </c>
      <c r="K3957">
        <v>0.89482134033440297</v>
      </c>
      <c r="L3957">
        <v>1599.7421608139</v>
      </c>
      <c r="M3957">
        <v>30.9640667402623</v>
      </c>
      <c r="O3957">
        <v>51.450419681989402</v>
      </c>
      <c r="P3957">
        <v>-2.8908134678028701E-2</v>
      </c>
      <c r="Q3957">
        <v>0.80786412958692599</v>
      </c>
      <c r="R3957">
        <v>0.55864770076876702</v>
      </c>
      <c r="S3957" t="s">
        <v>10763</v>
      </c>
      <c r="T3957" t="s">
        <v>13610</v>
      </c>
      <c r="U3957" t="s">
        <v>13610</v>
      </c>
      <c r="V3957" t="s">
        <v>13610</v>
      </c>
      <c r="W3957" t="s">
        <v>17507</v>
      </c>
      <c r="X3957">
        <v>8</v>
      </c>
      <c r="Y3957" t="s">
        <v>24103</v>
      </c>
      <c r="Z3957" t="s">
        <v>30812</v>
      </c>
      <c r="AA3957">
        <v>0.88371613307446517</v>
      </c>
      <c r="AB3957" t="str">
        <f>HYPERLINK("Melting_Curves/meltCurve_Q6MZP7_LIN54.pdf", "Melting_Curves/meltCurve_Q6MZP7_LIN54.pdf")</f>
        <v>Melting_Curves/meltCurve_Q6MZP7_LIN54.pdf</v>
      </c>
    </row>
    <row r="3958" spans="1:28" x14ac:dyDescent="0.25">
      <c r="A3958" t="s">
        <v>3962</v>
      </c>
      <c r="B3958">
        <v>0.995954080203443</v>
      </c>
      <c r="C3958">
        <v>0.90811311168393805</v>
      </c>
      <c r="D3958">
        <v>1.0048991034230399</v>
      </c>
      <c r="E3958">
        <v>0.96887191074683798</v>
      </c>
      <c r="F3958">
        <v>1.0277953974589999</v>
      </c>
      <c r="G3958">
        <v>0.71988284575940498</v>
      </c>
      <c r="H3958">
        <v>0.90754144845859397</v>
      </c>
      <c r="I3958">
        <v>1.00814524381725</v>
      </c>
      <c r="J3958">
        <v>2.0164825831317699</v>
      </c>
      <c r="K3958">
        <v>1.27216943212655</v>
      </c>
      <c r="L3958">
        <v>15000</v>
      </c>
      <c r="M3958">
        <v>231.11795405199999</v>
      </c>
      <c r="O3958">
        <v>64.897039952391196</v>
      </c>
      <c r="P3958">
        <v>0.445162570663726</v>
      </c>
      <c r="Q3958">
        <v>1.5</v>
      </c>
      <c r="R3958">
        <v>0.63338879473550302</v>
      </c>
      <c r="S3958" t="s">
        <v>10764</v>
      </c>
      <c r="T3958" t="s">
        <v>13610</v>
      </c>
      <c r="U3958" t="s">
        <v>13610</v>
      </c>
      <c r="V3958" t="s">
        <v>13610</v>
      </c>
      <c r="W3958" t="s">
        <v>17508</v>
      </c>
      <c r="X3958">
        <v>2</v>
      </c>
      <c r="Y3958" t="s">
        <v>24103</v>
      </c>
      <c r="Z3958" t="s">
        <v>30813</v>
      </c>
      <c r="AA3958">
        <v>1.084901286381913</v>
      </c>
      <c r="AB3958" t="str">
        <f>HYPERLINK("Melting_Curves/meltCurve_Q6MZP7_4_LIN54.pdf", "Melting_Curves/meltCurve_Q6MZP7_4_LIN54.pdf")</f>
        <v>Melting_Curves/meltCurve_Q6MZP7_4_LIN54.pdf</v>
      </c>
    </row>
    <row r="3959" spans="1:28" x14ac:dyDescent="0.25">
      <c r="A3959" t="s">
        <v>3963</v>
      </c>
      <c r="B3959">
        <v>0.995954080203443</v>
      </c>
      <c r="C3959">
        <v>0.97342941393458104</v>
      </c>
      <c r="D3959">
        <v>0.93812300918006697</v>
      </c>
      <c r="E3959">
        <v>0.83003437549713199</v>
      </c>
      <c r="F3959">
        <v>0.77038472922068302</v>
      </c>
      <c r="G3959">
        <v>0.66620648147765504</v>
      </c>
      <c r="H3959">
        <v>0.55898255350595505</v>
      </c>
      <c r="I3959">
        <v>0.66460906625736105</v>
      </c>
      <c r="J3959">
        <v>0.87257484450580003</v>
      </c>
      <c r="K3959">
        <v>0.75109059417273305</v>
      </c>
      <c r="L3959">
        <v>1174.80799109027</v>
      </c>
      <c r="M3959">
        <v>23.936534160514299</v>
      </c>
      <c r="O3959">
        <v>48.741410808093796</v>
      </c>
      <c r="P3959">
        <v>-3.6240335937462002E-2</v>
      </c>
      <c r="Q3959">
        <v>0.70482328349838697</v>
      </c>
      <c r="R3959">
        <v>0.70025181135155801</v>
      </c>
      <c r="S3959" t="s">
        <v>10765</v>
      </c>
      <c r="T3959" t="s">
        <v>13610</v>
      </c>
      <c r="U3959" t="s">
        <v>13610</v>
      </c>
      <c r="V3959" t="s">
        <v>13610</v>
      </c>
      <c r="W3959" t="s">
        <v>17509</v>
      </c>
      <c r="X3959">
        <v>2</v>
      </c>
      <c r="Y3959" t="s">
        <v>24104</v>
      </c>
      <c r="Z3959" t="s">
        <v>30814</v>
      </c>
      <c r="AA3959">
        <v>0.79702633790210342</v>
      </c>
      <c r="AB3959" t="str">
        <f>HYPERLINK("Melting_Curves/meltCurve_Q6N021_2_TET2.pdf", "Melting_Curves/meltCurve_Q6N021_2_TET2.pdf")</f>
        <v>Melting_Curves/meltCurve_Q6N021_2_TET2.pdf</v>
      </c>
    </row>
    <row r="3960" spans="1:28" x14ac:dyDescent="0.25">
      <c r="A3960" t="s">
        <v>3964</v>
      </c>
      <c r="B3960">
        <v>0.995954080203443</v>
      </c>
      <c r="C3960">
        <v>1.04105278534142</v>
      </c>
      <c r="D3960">
        <v>1.1043013382340801</v>
      </c>
      <c r="E3960">
        <v>0.98141289732835701</v>
      </c>
      <c r="F3960">
        <v>0.97183141028616105</v>
      </c>
      <c r="G3960">
        <v>0.73018930516001401</v>
      </c>
      <c r="H3960">
        <v>0.70812740907423</v>
      </c>
      <c r="I3960">
        <v>0.77539428884863104</v>
      </c>
      <c r="J3960">
        <v>1.04948343082096</v>
      </c>
      <c r="K3960">
        <v>0.93623576500217598</v>
      </c>
      <c r="L3960">
        <v>13331.841382894299</v>
      </c>
      <c r="M3960">
        <v>250</v>
      </c>
      <c r="O3960">
        <v>53.323934201528502</v>
      </c>
      <c r="P3960">
        <v>-0.18766655253547199</v>
      </c>
      <c r="Q3960">
        <v>0.83988604124387101</v>
      </c>
      <c r="R3960">
        <v>0.44250359851417997</v>
      </c>
      <c r="S3960" t="s">
        <v>10766</v>
      </c>
      <c r="T3960" t="s">
        <v>13610</v>
      </c>
      <c r="U3960" t="s">
        <v>13610</v>
      </c>
      <c r="V3960" t="s">
        <v>13610</v>
      </c>
      <c r="W3960" t="s">
        <v>17510</v>
      </c>
      <c r="X3960">
        <v>4</v>
      </c>
      <c r="Y3960" t="s">
        <v>24105</v>
      </c>
      <c r="Z3960" t="s">
        <v>30815</v>
      </c>
      <c r="AA3960">
        <v>0.91103093460226392</v>
      </c>
      <c r="AB3960" t="str">
        <f>HYPERLINK("Melting_Curves/meltCurve_Q6N043_2_ZNF280D.pdf", "Melting_Curves/meltCurve_Q6N043_2_ZNF280D.pdf")</f>
        <v>Melting_Curves/meltCurve_Q6N043_2_ZNF280D.pdf</v>
      </c>
    </row>
    <row r="3961" spans="1:28" x14ac:dyDescent="0.25">
      <c r="A3961" t="s">
        <v>3965</v>
      </c>
      <c r="B3961">
        <v>0.995954080203443</v>
      </c>
      <c r="C3961">
        <v>1.0816388897934901</v>
      </c>
      <c r="D3961">
        <v>0.96701359590440905</v>
      </c>
      <c r="E3961">
        <v>0.58583574751065504</v>
      </c>
      <c r="F3961">
        <v>0.37805009739758699</v>
      </c>
      <c r="G3961">
        <v>0.21955368648707699</v>
      </c>
      <c r="H3961">
        <v>0.146836283947407</v>
      </c>
      <c r="I3961">
        <v>0.131245111571686</v>
      </c>
      <c r="J3961">
        <v>0.145831717485471</v>
      </c>
      <c r="K3961">
        <v>0.124428981530745</v>
      </c>
      <c r="L3961">
        <v>1231.72922634732</v>
      </c>
      <c r="M3961">
        <v>24.362549739385202</v>
      </c>
      <c r="N3961">
        <v>51.249093906832002</v>
      </c>
      <c r="O3961">
        <v>50.221356209540701</v>
      </c>
      <c r="P3961">
        <v>-0.104304032016905</v>
      </c>
      <c r="Q3961">
        <v>0.13995670327614501</v>
      </c>
      <c r="R3961">
        <v>0.99030916446052997</v>
      </c>
      <c r="S3961" t="s">
        <v>10767</v>
      </c>
      <c r="T3961" t="s">
        <v>13610</v>
      </c>
      <c r="U3961" t="s">
        <v>13610</v>
      </c>
      <c r="V3961" t="s">
        <v>13610</v>
      </c>
      <c r="W3961" t="s">
        <v>17511</v>
      </c>
      <c r="X3961">
        <v>10</v>
      </c>
      <c r="Y3961" t="s">
        <v>24106</v>
      </c>
      <c r="Z3961" t="s">
        <v>30816</v>
      </c>
      <c r="AA3961">
        <v>0.45078201890008451</v>
      </c>
      <c r="AB3961" t="str">
        <f>HYPERLINK("Melting_Curves/meltCurve_Q6N063_OGFOD2.pdf", "Melting_Curves/meltCurve_Q6N063_OGFOD2.pdf")</f>
        <v>Melting_Curves/meltCurve_Q6N063_OGFOD2.pdf</v>
      </c>
    </row>
    <row r="3962" spans="1:28" x14ac:dyDescent="0.25">
      <c r="A3962" t="s">
        <v>3966</v>
      </c>
      <c r="B3962">
        <v>0.995954080203443</v>
      </c>
      <c r="C3962">
        <v>0.83245997588640797</v>
      </c>
      <c r="D3962">
        <v>0.55942377195950799</v>
      </c>
      <c r="E3962">
        <v>0.30544723482655101</v>
      </c>
      <c r="F3962">
        <v>0.163276392975096</v>
      </c>
      <c r="G3962">
        <v>0.104011768777952</v>
      </c>
      <c r="H3962">
        <v>7.3840881369675704E-2</v>
      </c>
      <c r="I3962">
        <v>8.8625396511602103E-2</v>
      </c>
      <c r="J3962">
        <v>7.6782955189374197E-2</v>
      </c>
      <c r="K3962">
        <v>7.8596863615442797E-2</v>
      </c>
      <c r="L3962">
        <v>841.12876643596996</v>
      </c>
      <c r="M3962">
        <v>18.086673569252799</v>
      </c>
      <c r="N3962">
        <v>46.927031355083898</v>
      </c>
      <c r="O3962">
        <v>45.9481149347437</v>
      </c>
      <c r="P3962">
        <v>-9.1033181136055699E-2</v>
      </c>
      <c r="Q3962">
        <v>7.49873331464012E-2</v>
      </c>
      <c r="R3962">
        <v>0.996911530313497</v>
      </c>
      <c r="S3962" t="s">
        <v>10768</v>
      </c>
      <c r="T3962" t="s">
        <v>13610</v>
      </c>
      <c r="U3962" t="s">
        <v>13610</v>
      </c>
      <c r="V3962" t="s">
        <v>13610</v>
      </c>
      <c r="W3962" t="s">
        <v>17512</v>
      </c>
      <c r="X3962">
        <v>14</v>
      </c>
      <c r="Y3962" t="s">
        <v>24107</v>
      </c>
      <c r="Z3962" t="s">
        <v>30817</v>
      </c>
      <c r="AA3962">
        <v>0.29292735896128769</v>
      </c>
      <c r="AB3962" t="str">
        <f>HYPERLINK("Melting_Curves/meltCurve_Q6N069_NAA16.pdf", "Melting_Curves/meltCurve_Q6N069_NAA16.pdf")</f>
        <v>Melting_Curves/meltCurve_Q6N069_NAA16.pdf</v>
      </c>
    </row>
    <row r="3963" spans="1:28" x14ac:dyDescent="0.25">
      <c r="A3963" t="s">
        <v>3967</v>
      </c>
      <c r="B3963">
        <v>0.995954080203443</v>
      </c>
      <c r="C3963">
        <v>0.865271423502187</v>
      </c>
      <c r="D3963">
        <v>0.59231780302821102</v>
      </c>
      <c r="E3963">
        <v>0.52537577142925895</v>
      </c>
      <c r="F3963">
        <v>0.42689245324571501</v>
      </c>
      <c r="G3963">
        <v>0.29963188552975101</v>
      </c>
      <c r="H3963">
        <v>0.25291337966247002</v>
      </c>
      <c r="I3963">
        <v>0.285982049901568</v>
      </c>
      <c r="J3963">
        <v>0.32895885900035798</v>
      </c>
      <c r="K3963">
        <v>0.30814479770374598</v>
      </c>
      <c r="L3963">
        <v>700.82825324821101</v>
      </c>
      <c r="M3963">
        <v>15.075990457557999</v>
      </c>
      <c r="N3963">
        <v>49.302870230535703</v>
      </c>
      <c r="O3963">
        <v>45.6914818258671</v>
      </c>
      <c r="P3963">
        <v>-5.8681176458987003E-2</v>
      </c>
      <c r="Q3963">
        <v>0.28867974047238798</v>
      </c>
      <c r="R3963">
        <v>0.96724715674102002</v>
      </c>
      <c r="S3963" t="s">
        <v>10769</v>
      </c>
      <c r="T3963" t="s">
        <v>13610</v>
      </c>
      <c r="U3963" t="s">
        <v>13610</v>
      </c>
      <c r="V3963" t="s">
        <v>13610</v>
      </c>
      <c r="W3963" t="s">
        <v>17513</v>
      </c>
      <c r="X3963">
        <v>2</v>
      </c>
      <c r="Y3963" t="s">
        <v>24108</v>
      </c>
      <c r="Z3963" t="s">
        <v>30818</v>
      </c>
      <c r="AA3963">
        <v>0.46227150703660869</v>
      </c>
      <c r="AB3963" t="str">
        <f>HYPERLINK("Melting_Curves/meltCurve_Q6NS38_ALKBH2.pdf", "Melting_Curves/meltCurve_Q6NS38_ALKBH2.pdf")</f>
        <v>Melting_Curves/meltCurve_Q6NS38_ALKBH2.pdf</v>
      </c>
    </row>
    <row r="3964" spans="1:28" x14ac:dyDescent="0.25">
      <c r="A3964" t="s">
        <v>3968</v>
      </c>
      <c r="B3964">
        <v>0.995954080203443</v>
      </c>
      <c r="C3964">
        <v>0.92539104722251198</v>
      </c>
      <c r="D3964">
        <v>0.89196631743977095</v>
      </c>
      <c r="E3964">
        <v>0.69429177737742398</v>
      </c>
      <c r="F3964">
        <v>0.67441956402943304</v>
      </c>
      <c r="G3964">
        <v>0.41155489885797703</v>
      </c>
      <c r="H3964">
        <v>0.41566318544537101</v>
      </c>
      <c r="I3964">
        <v>0.55077686625139599</v>
      </c>
      <c r="J3964">
        <v>0.63171242076360501</v>
      </c>
      <c r="K3964">
        <v>0.61955187706846004</v>
      </c>
      <c r="L3964">
        <v>1013.7584962923301</v>
      </c>
      <c r="M3964">
        <v>20.894071383155399</v>
      </c>
      <c r="O3964">
        <v>48.081086585035102</v>
      </c>
      <c r="P3964">
        <v>-5.0746755128247202E-2</v>
      </c>
      <c r="Q3964">
        <v>0.53290261327564603</v>
      </c>
      <c r="R3964">
        <v>0.83809904221586196</v>
      </c>
      <c r="S3964" t="s">
        <v>10770</v>
      </c>
      <c r="T3964" t="s">
        <v>13610</v>
      </c>
      <c r="U3964" t="s">
        <v>13610</v>
      </c>
      <c r="V3964" t="s">
        <v>13610</v>
      </c>
      <c r="W3964" t="s">
        <v>17514</v>
      </c>
      <c r="X3964">
        <v>2</v>
      </c>
      <c r="Y3964" t="s">
        <v>24109</v>
      </c>
      <c r="Z3964" t="s">
        <v>30819</v>
      </c>
      <c r="AA3964">
        <v>0.67154951886737513</v>
      </c>
      <c r="AB3964" t="str">
        <f>HYPERLINK("Melting_Curves/meltCurve_Q6NSB6_MKRN3.pdf", "Melting_Curves/meltCurve_Q6NSB6_MKRN3.pdf")</f>
        <v>Melting_Curves/meltCurve_Q6NSB6_MKRN3.pdf</v>
      </c>
    </row>
    <row r="3965" spans="1:28" x14ac:dyDescent="0.25">
      <c r="A3965" t="s">
        <v>3969</v>
      </c>
      <c r="B3965">
        <v>0.995954080203443</v>
      </c>
      <c r="C3965">
        <v>0.99166577048655402</v>
      </c>
      <c r="D3965">
        <v>0.94331042979280399</v>
      </c>
      <c r="E3965">
        <v>0.86637598469205102</v>
      </c>
      <c r="F3965">
        <v>0.69794696825958003</v>
      </c>
      <c r="G3965">
        <v>0.50645681121291597</v>
      </c>
      <c r="H3965">
        <v>0.461505347334973</v>
      </c>
      <c r="I3965">
        <v>0.60343795308241099</v>
      </c>
      <c r="J3965">
        <v>0.60264263278456898</v>
      </c>
      <c r="K3965">
        <v>0.69156015084499201</v>
      </c>
      <c r="L3965">
        <v>1785.2235201199901</v>
      </c>
      <c r="M3965">
        <v>34.873444382323697</v>
      </c>
      <c r="O3965">
        <v>51.024035771413303</v>
      </c>
      <c r="P3965">
        <v>-7.2765287139273105E-2</v>
      </c>
      <c r="Q3965">
        <v>0.57414413391631702</v>
      </c>
      <c r="R3965">
        <v>0.89482154546027604</v>
      </c>
      <c r="S3965" t="s">
        <v>10771</v>
      </c>
      <c r="T3965" t="s">
        <v>13610</v>
      </c>
      <c r="U3965" t="s">
        <v>13610</v>
      </c>
      <c r="V3965" t="s">
        <v>13610</v>
      </c>
      <c r="W3965" t="s">
        <v>17515</v>
      </c>
      <c r="X3965">
        <v>8</v>
      </c>
      <c r="Y3965" t="s">
        <v>24110</v>
      </c>
      <c r="Z3965" t="s">
        <v>30820</v>
      </c>
      <c r="AA3965">
        <v>0.73499527136720388</v>
      </c>
      <c r="AB3965" t="str">
        <f>HYPERLINK("Melting_Curves/meltCurve_Q6NSH3_CT45A5.pdf", "Melting_Curves/meltCurve_Q6NSH3_CT45A5.pdf")</f>
        <v>Melting_Curves/meltCurve_Q6NSH3_CT45A5.pdf</v>
      </c>
    </row>
    <row r="3966" spans="1:28" x14ac:dyDescent="0.25">
      <c r="A3966" t="s">
        <v>3970</v>
      </c>
      <c r="B3966">
        <v>0.995954080203443</v>
      </c>
      <c r="C3966">
        <v>0.740266337580615</v>
      </c>
      <c r="D3966">
        <v>0.89023695649809698</v>
      </c>
      <c r="E3966">
        <v>0.67545936365147896</v>
      </c>
      <c r="F3966">
        <v>0.85909233881670299</v>
      </c>
      <c r="G3966">
        <v>0.59776095058281498</v>
      </c>
      <c r="H3966">
        <v>0.62070325890158695</v>
      </c>
      <c r="I3966">
        <v>0.65693831662791702</v>
      </c>
      <c r="J3966">
        <v>0.99387169937936704</v>
      </c>
      <c r="K3966">
        <v>0.85216646934588303</v>
      </c>
      <c r="L3966">
        <v>10161.724263345601</v>
      </c>
      <c r="M3966">
        <v>250</v>
      </c>
      <c r="O3966">
        <v>40.644295931059602</v>
      </c>
      <c r="P3966">
        <v>-0.36111133201950602</v>
      </c>
      <c r="Q3966">
        <v>0.76516614684749196</v>
      </c>
      <c r="R3966">
        <v>0.23783862247738399</v>
      </c>
      <c r="S3966" t="s">
        <v>10772</v>
      </c>
      <c r="T3966" t="s">
        <v>13610</v>
      </c>
      <c r="U3966" t="s">
        <v>13610</v>
      </c>
      <c r="V3966" t="s">
        <v>13610</v>
      </c>
      <c r="W3966" t="s">
        <v>17516</v>
      </c>
      <c r="X3966">
        <v>8</v>
      </c>
      <c r="Y3966" t="s">
        <v>24111</v>
      </c>
      <c r="Z3966" t="s">
        <v>30821</v>
      </c>
      <c r="AA3966">
        <v>0.77026794312386793</v>
      </c>
      <c r="AB3966" t="str">
        <f>HYPERLINK("Melting_Curves/meltCurve_Q6NSJ2_PHLDB3.pdf", "Melting_Curves/meltCurve_Q6NSJ2_PHLDB3.pdf")</f>
        <v>Melting_Curves/meltCurve_Q6NSJ2_PHLDB3.pdf</v>
      </c>
    </row>
    <row r="3967" spans="1:28" x14ac:dyDescent="0.25">
      <c r="A3967" t="s">
        <v>3971</v>
      </c>
      <c r="B3967">
        <v>0.995954080203443</v>
      </c>
      <c r="C3967">
        <v>0.96873553173660898</v>
      </c>
      <c r="D3967">
        <v>0.94559122261519601</v>
      </c>
      <c r="E3967">
        <v>0.809505058748341</v>
      </c>
      <c r="F3967">
        <v>0.55871177828852203</v>
      </c>
      <c r="G3967">
        <v>0.268231317259089</v>
      </c>
      <c r="H3967">
        <v>0.192669441081775</v>
      </c>
      <c r="I3967">
        <v>0.213920611316258</v>
      </c>
      <c r="J3967">
        <v>0.23147131235879501</v>
      </c>
      <c r="K3967">
        <v>0.223042666455503</v>
      </c>
      <c r="L3967">
        <v>1349.8813851851201</v>
      </c>
      <c r="M3967">
        <v>25.795880862140301</v>
      </c>
      <c r="N3967">
        <v>53.422324216555097</v>
      </c>
      <c r="O3967">
        <v>52.0178936588215</v>
      </c>
      <c r="P3967">
        <v>-9.8557237813502993E-2</v>
      </c>
      <c r="Q3967">
        <v>0.20503912213901901</v>
      </c>
      <c r="R3967">
        <v>0.995810140972755</v>
      </c>
      <c r="S3967" t="s">
        <v>10773</v>
      </c>
      <c r="T3967" t="s">
        <v>13610</v>
      </c>
      <c r="U3967" t="s">
        <v>13610</v>
      </c>
      <c r="V3967" t="s">
        <v>13610</v>
      </c>
      <c r="W3967" t="s">
        <v>17517</v>
      </c>
      <c r="X3967">
        <v>7</v>
      </c>
      <c r="Y3967" t="s">
        <v>24112</v>
      </c>
      <c r="Z3967" t="s">
        <v>30822</v>
      </c>
      <c r="AA3967">
        <v>0.5386057194169821</v>
      </c>
      <c r="AB3967" t="str">
        <f>HYPERLINK("Melting_Curves/meltCurve_Q6NSZ9_ZSCAN25.pdf", "Melting_Curves/meltCurve_Q6NSZ9_ZSCAN25.pdf")</f>
        <v>Melting_Curves/meltCurve_Q6NSZ9_ZSCAN25.pdf</v>
      </c>
    </row>
    <row r="3968" spans="1:28" x14ac:dyDescent="0.25">
      <c r="A3968" t="s">
        <v>3972</v>
      </c>
      <c r="B3968">
        <v>0.995954080203443</v>
      </c>
      <c r="C3968">
        <v>0.97538087073552804</v>
      </c>
      <c r="D3968">
        <v>0.92796085858159305</v>
      </c>
      <c r="E3968">
        <v>0.84991685041714404</v>
      </c>
      <c r="F3968">
        <v>0.67779948828380898</v>
      </c>
      <c r="G3968">
        <v>0.45127316275400298</v>
      </c>
      <c r="H3968">
        <v>0.30906952693456702</v>
      </c>
      <c r="I3968">
        <v>0.29307036294651601</v>
      </c>
      <c r="J3968">
        <v>0.29851350969629897</v>
      </c>
      <c r="K3968">
        <v>0.29457179232670999</v>
      </c>
      <c r="L3968">
        <v>988.887749446763</v>
      </c>
      <c r="M3968">
        <v>18.475843957725299</v>
      </c>
      <c r="N3968">
        <v>55.854948361946803</v>
      </c>
      <c r="O3968">
        <v>52.908075518033698</v>
      </c>
      <c r="P3968">
        <v>-6.3838786041745504E-2</v>
      </c>
      <c r="Q3968">
        <v>0.26878858884296403</v>
      </c>
      <c r="R3968">
        <v>0.99623085523673405</v>
      </c>
      <c r="S3968" t="s">
        <v>10774</v>
      </c>
      <c r="T3968" t="s">
        <v>13610</v>
      </c>
      <c r="U3968" t="s">
        <v>13610</v>
      </c>
      <c r="V3968" t="s">
        <v>13610</v>
      </c>
      <c r="W3968" t="s">
        <v>17518</v>
      </c>
      <c r="X3968">
        <v>9</v>
      </c>
      <c r="Y3968" t="s">
        <v>24113</v>
      </c>
      <c r="Z3968" t="s">
        <v>30823</v>
      </c>
      <c r="AA3968">
        <v>0.60977137684988969</v>
      </c>
      <c r="AB3968" t="str">
        <f>HYPERLINK("Melting_Curves/meltCurve_Q6NT76_2_HMBOX1.pdf", "Melting_Curves/meltCurve_Q6NT76_2_HMBOX1.pdf")</f>
        <v>Melting_Curves/meltCurve_Q6NT76_2_HMBOX1.pdf</v>
      </c>
    </row>
    <row r="3969" spans="1:28" x14ac:dyDescent="0.25">
      <c r="A3969" t="s">
        <v>3973</v>
      </c>
      <c r="B3969">
        <v>0.995954080203443</v>
      </c>
      <c r="C3969">
        <v>1.00676090331701</v>
      </c>
      <c r="D3969">
        <v>0.83240041303408796</v>
      </c>
      <c r="E3969">
        <v>0.76028156794269497</v>
      </c>
      <c r="F3969">
        <v>0.70330363754971004</v>
      </c>
      <c r="G3969">
        <v>0.49838266907113399</v>
      </c>
      <c r="H3969">
        <v>0.42434408300705401</v>
      </c>
      <c r="I3969">
        <v>0.57284023143825002</v>
      </c>
      <c r="J3969">
        <v>0.59559118340949402</v>
      </c>
      <c r="K3969">
        <v>0.607894741881983</v>
      </c>
      <c r="L3969">
        <v>866.20855822443696</v>
      </c>
      <c r="M3969">
        <v>17.617176589696101</v>
      </c>
      <c r="O3969">
        <v>48.548009529335502</v>
      </c>
      <c r="P3969">
        <v>-4.18410044956826E-2</v>
      </c>
      <c r="Q3969">
        <v>0.53881637414161998</v>
      </c>
      <c r="R3969">
        <v>0.88529765787714099</v>
      </c>
      <c r="S3969" t="s">
        <v>10775</v>
      </c>
      <c r="T3969" t="s">
        <v>13610</v>
      </c>
      <c r="U3969" t="s">
        <v>13610</v>
      </c>
      <c r="V3969" t="s">
        <v>13610</v>
      </c>
      <c r="W3969" t="s">
        <v>17519</v>
      </c>
      <c r="X3969">
        <v>4</v>
      </c>
      <c r="Y3969" t="s">
        <v>24114</v>
      </c>
      <c r="Z3969" t="s">
        <v>30824</v>
      </c>
      <c r="AA3969">
        <v>0.68806902192596542</v>
      </c>
      <c r="AB3969" t="str">
        <f>HYPERLINK("Melting_Curves/meltCurve_Q6NTE8_C5orf45.pdf", "Melting_Curves/meltCurve_Q6NTE8_C5orf45.pdf")</f>
        <v>Melting_Curves/meltCurve_Q6NTE8_C5orf45.pdf</v>
      </c>
    </row>
    <row r="3970" spans="1:28" x14ac:dyDescent="0.25">
      <c r="A3970" t="s">
        <v>3974</v>
      </c>
      <c r="B3970">
        <v>0.995954080203443</v>
      </c>
      <c r="C3970">
        <v>0.89054750398987503</v>
      </c>
      <c r="D3970">
        <v>0.75064200017122795</v>
      </c>
      <c r="E3970">
        <v>0.67161437362630105</v>
      </c>
      <c r="F3970">
        <v>0.38575283686643302</v>
      </c>
      <c r="G3970">
        <v>0.16613107259211601</v>
      </c>
      <c r="H3970">
        <v>0.10038850987746099</v>
      </c>
      <c r="I3970">
        <v>9.9068675870417303E-2</v>
      </c>
      <c r="J3970">
        <v>0.106581352741241</v>
      </c>
      <c r="K3970">
        <v>9.9751072213642905E-2</v>
      </c>
      <c r="L3970">
        <v>697.92184467407901</v>
      </c>
      <c r="M3970">
        <v>13.7387700620466</v>
      </c>
      <c r="N3970">
        <v>51.172934014949497</v>
      </c>
      <c r="O3970">
        <v>49.759475844083298</v>
      </c>
      <c r="P3970">
        <v>-6.5742378734828105E-2</v>
      </c>
      <c r="Q3970">
        <v>4.7705359419614797E-2</v>
      </c>
      <c r="R3970">
        <v>0.98216650242926096</v>
      </c>
      <c r="S3970" t="s">
        <v>10776</v>
      </c>
      <c r="T3970" t="s">
        <v>13610</v>
      </c>
      <c r="U3970" t="s">
        <v>13610</v>
      </c>
      <c r="V3970" t="s">
        <v>13610</v>
      </c>
      <c r="W3970" t="s">
        <v>17520</v>
      </c>
      <c r="X3970">
        <v>6</v>
      </c>
      <c r="Y3970" t="s">
        <v>24115</v>
      </c>
      <c r="Z3970" t="s">
        <v>30825</v>
      </c>
      <c r="AA3970">
        <v>0.41608001261491129</v>
      </c>
      <c r="AB3970" t="str">
        <f>HYPERLINK("Melting_Curves/meltCurve_Q6NUM6_TYW1B.pdf", "Melting_Curves/meltCurve_Q6NUM6_TYW1B.pdf")</f>
        <v>Melting_Curves/meltCurve_Q6NUM6_TYW1B.pdf</v>
      </c>
    </row>
    <row r="3971" spans="1:28" x14ac:dyDescent="0.25">
      <c r="A3971" t="s">
        <v>3975</v>
      </c>
      <c r="B3971">
        <v>0.995954080203443</v>
      </c>
      <c r="C3971">
        <v>1.0184928188134801</v>
      </c>
      <c r="D3971">
        <v>1.0074708894971101</v>
      </c>
      <c r="E3971">
        <v>0.97967172202602704</v>
      </c>
      <c r="F3971">
        <v>0.86331252421785198</v>
      </c>
      <c r="G3971">
        <v>0.60961278266415997</v>
      </c>
      <c r="H3971">
        <v>0.559680998194234</v>
      </c>
      <c r="I3971">
        <v>0.59436568152480596</v>
      </c>
      <c r="J3971">
        <v>0.73552889909150398</v>
      </c>
      <c r="K3971">
        <v>0.76689713153069905</v>
      </c>
      <c r="L3971">
        <v>9274.0491861875598</v>
      </c>
      <c r="M3971">
        <v>174.55222834713001</v>
      </c>
      <c r="O3971">
        <v>53.123538027137897</v>
      </c>
      <c r="P3971">
        <v>-0.284863264367407</v>
      </c>
      <c r="Q3971">
        <v>0.65321681677893395</v>
      </c>
      <c r="R3971">
        <v>0.88653706026510004</v>
      </c>
      <c r="S3971" t="s">
        <v>10777</v>
      </c>
      <c r="T3971" t="s">
        <v>13610</v>
      </c>
      <c r="U3971" t="s">
        <v>13610</v>
      </c>
      <c r="V3971" t="s">
        <v>13610</v>
      </c>
      <c r="W3971" t="s">
        <v>17521</v>
      </c>
      <c r="X3971">
        <v>3</v>
      </c>
      <c r="Y3971" t="s">
        <v>24116</v>
      </c>
      <c r="Z3971" t="s">
        <v>30826</v>
      </c>
      <c r="AA3971">
        <v>0.8050645145928037</v>
      </c>
      <c r="AB3971" t="str">
        <f>HYPERLINK("Melting_Curves/meltCurve_Q6NUQ4_2_TMEM214.pdf", "Melting_Curves/meltCurve_Q6NUQ4_2_TMEM214.pdf")</f>
        <v>Melting_Curves/meltCurve_Q6NUQ4_2_TMEM214.pdf</v>
      </c>
    </row>
    <row r="3972" spans="1:28" x14ac:dyDescent="0.25">
      <c r="A3972" t="s">
        <v>3976</v>
      </c>
      <c r="B3972">
        <v>0.995954080203443</v>
      </c>
      <c r="C3972">
        <v>0.92719990145432796</v>
      </c>
      <c r="D3972">
        <v>0.88920714069045004</v>
      </c>
      <c r="E3972">
        <v>0.65442910578200797</v>
      </c>
      <c r="F3972">
        <v>0.39163583410366198</v>
      </c>
      <c r="G3972">
        <v>0.21225572052511901</v>
      </c>
      <c r="H3972">
        <v>0.16279962154559199</v>
      </c>
      <c r="I3972">
        <v>0.18107696887975899</v>
      </c>
      <c r="J3972">
        <v>0.20008046955928399</v>
      </c>
      <c r="K3972">
        <v>0.173751677947525</v>
      </c>
      <c r="L3972">
        <v>1050.5552275360301</v>
      </c>
      <c r="M3972">
        <v>20.7827627412473</v>
      </c>
      <c r="N3972">
        <v>51.540409805390901</v>
      </c>
      <c r="O3972">
        <v>50.088321091231798</v>
      </c>
      <c r="P3972">
        <v>-8.6647069020457795E-2</v>
      </c>
      <c r="Q3972">
        <v>0.16471455634962101</v>
      </c>
      <c r="R3972">
        <v>0.99465473097522505</v>
      </c>
      <c r="S3972" t="s">
        <v>10778</v>
      </c>
      <c r="T3972" t="s">
        <v>13610</v>
      </c>
      <c r="U3972" t="s">
        <v>13610</v>
      </c>
      <c r="V3972" t="s">
        <v>13610</v>
      </c>
      <c r="W3972" t="s">
        <v>17522</v>
      </c>
      <c r="X3972">
        <v>1</v>
      </c>
      <c r="Y3972" t="s">
        <v>24117</v>
      </c>
      <c r="Z3972" t="s">
        <v>30827</v>
      </c>
      <c r="AA3972">
        <v>0.46922332228414337</v>
      </c>
      <c r="AB3972" t="str">
        <f>HYPERLINK("Melting_Curves/meltCurve_Q6NVU6_UFSP1.pdf", "Melting_Curves/meltCurve_Q6NVU6_UFSP1.pdf")</f>
        <v>Melting_Curves/meltCurve_Q6NVU6_UFSP1.pdf</v>
      </c>
    </row>
    <row r="3973" spans="1:28" x14ac:dyDescent="0.25">
      <c r="A3973" t="s">
        <v>3977</v>
      </c>
      <c r="B3973">
        <v>0.995954080203443</v>
      </c>
      <c r="C3973">
        <v>1.08516170348785</v>
      </c>
      <c r="D3973">
        <v>1.12870143112657</v>
      </c>
      <c r="E3973">
        <v>0.93200648758211302</v>
      </c>
      <c r="F3973">
        <v>0.53478875568893902</v>
      </c>
      <c r="G3973">
        <v>0.109971105139037</v>
      </c>
      <c r="H3973">
        <v>7.3657894597773804E-2</v>
      </c>
      <c r="I3973">
        <v>5.9333903225743598E-2</v>
      </c>
      <c r="J3973">
        <v>6.69077339900402E-2</v>
      </c>
      <c r="K3973">
        <v>6.4242423842765697E-2</v>
      </c>
      <c r="L3973">
        <v>2310.8294856174898</v>
      </c>
      <c r="M3973">
        <v>43.5924652649378</v>
      </c>
      <c r="N3973">
        <v>53.181380712808497</v>
      </c>
      <c r="O3973">
        <v>52.898645257188001</v>
      </c>
      <c r="P3973">
        <v>-0.19250534485662399</v>
      </c>
      <c r="Q3973">
        <v>6.5594761989720501E-2</v>
      </c>
      <c r="R3973">
        <v>0.98832066684489595</v>
      </c>
      <c r="S3973" t="s">
        <v>10779</v>
      </c>
      <c r="T3973" t="s">
        <v>13610</v>
      </c>
      <c r="U3973" t="s">
        <v>13610</v>
      </c>
      <c r="V3973" t="s">
        <v>13610</v>
      </c>
      <c r="W3973" t="s">
        <v>17523</v>
      </c>
      <c r="X3973">
        <v>16</v>
      </c>
      <c r="Y3973" t="s">
        <v>24118</v>
      </c>
      <c r="Z3973" t="s">
        <v>30828</v>
      </c>
      <c r="AA3973">
        <v>0.47368787651019351</v>
      </c>
      <c r="AB3973" t="str">
        <f>HYPERLINK("Melting_Curves/meltCurve_Q6NVY1_HIBCH.pdf", "Melting_Curves/meltCurve_Q6NVY1_HIBCH.pdf")</f>
        <v>Melting_Curves/meltCurve_Q6NVY1_HIBCH.pdf</v>
      </c>
    </row>
    <row r="3974" spans="1:28" x14ac:dyDescent="0.25">
      <c r="A3974" t="s">
        <v>3978</v>
      </c>
      <c r="B3974">
        <v>0.995954080203443</v>
      </c>
      <c r="C3974">
        <v>1.0096002948954099</v>
      </c>
      <c r="D3974">
        <v>0.99098416837076697</v>
      </c>
      <c r="E3974">
        <v>0.95159806726658702</v>
      </c>
      <c r="F3974">
        <v>1.0680942057612699</v>
      </c>
      <c r="G3974">
        <v>0.765764617993416</v>
      </c>
      <c r="H3974">
        <v>0.79850266837448003</v>
      </c>
      <c r="I3974">
        <v>0.922671084148596</v>
      </c>
      <c r="J3974">
        <v>1.2540420267977499</v>
      </c>
      <c r="K3974">
        <v>1.17059722433502</v>
      </c>
      <c r="L3974">
        <v>7484.23063646023</v>
      </c>
      <c r="M3974">
        <v>114.035400804163</v>
      </c>
      <c r="O3974">
        <v>65.610579161619697</v>
      </c>
      <c r="P3974">
        <v>9.4397072954914202E-2</v>
      </c>
      <c r="Q3974">
        <v>1.21724647684496</v>
      </c>
      <c r="R3974">
        <v>0.42596790186357703</v>
      </c>
      <c r="S3974" t="s">
        <v>10780</v>
      </c>
      <c r="T3974" t="s">
        <v>13610</v>
      </c>
      <c r="U3974" t="s">
        <v>13610</v>
      </c>
      <c r="V3974" t="s">
        <v>13610</v>
      </c>
      <c r="W3974" t="s">
        <v>17524</v>
      </c>
      <c r="X3974">
        <v>4</v>
      </c>
      <c r="Y3974" t="s">
        <v>24119</v>
      </c>
      <c r="Z3974" t="s">
        <v>30829</v>
      </c>
      <c r="AA3974">
        <v>1.0315235776950771</v>
      </c>
      <c r="AB3974" t="str">
        <f>HYPERLINK("Melting_Curves/meltCurve_Q6NW34_2_C3orf17.pdf", "Melting_Curves/meltCurve_Q6NW34_2_C3orf17.pdf")</f>
        <v>Melting_Curves/meltCurve_Q6NW34_2_C3orf17.pdf</v>
      </c>
    </row>
    <row r="3975" spans="1:28" x14ac:dyDescent="0.25">
      <c r="A3975" t="s">
        <v>3979</v>
      </c>
      <c r="B3975">
        <v>0.995954080203443</v>
      </c>
      <c r="C3975">
        <v>0.45319618323555799</v>
      </c>
      <c r="D3975">
        <v>0.234969545337121</v>
      </c>
      <c r="E3975">
        <v>0.24083175819552799</v>
      </c>
      <c r="F3975">
        <v>0.14473232364685601</v>
      </c>
      <c r="G3975">
        <v>8.1078972203438293E-2</v>
      </c>
      <c r="H3975">
        <v>5.4332322787418397E-2</v>
      </c>
      <c r="I3975">
        <v>4.90244587041525E-2</v>
      </c>
      <c r="J3975">
        <v>6.0218134536399702E-2</v>
      </c>
      <c r="K3975">
        <v>4.9502367829202303E-2</v>
      </c>
      <c r="L3975">
        <v>1592.8387774503999</v>
      </c>
      <c r="M3975">
        <v>37.391667744430599</v>
      </c>
      <c r="N3975">
        <v>42.867135776433898</v>
      </c>
      <c r="O3975">
        <v>42.477467962472197</v>
      </c>
      <c r="P3975">
        <v>-0.197100911734163</v>
      </c>
      <c r="Q3975">
        <v>0.104364644754943</v>
      </c>
      <c r="R3975">
        <v>0.94603379758934503</v>
      </c>
      <c r="S3975" t="s">
        <v>10781</v>
      </c>
      <c r="T3975" t="s">
        <v>13610</v>
      </c>
      <c r="U3975" t="s">
        <v>13610</v>
      </c>
      <c r="V3975" t="s">
        <v>13610</v>
      </c>
      <c r="W3975" t="s">
        <v>17525</v>
      </c>
      <c r="X3975">
        <v>11</v>
      </c>
      <c r="Y3975" t="s">
        <v>24120</v>
      </c>
      <c r="Z3975" t="s">
        <v>30830</v>
      </c>
      <c r="AA3975">
        <v>0.1873832797685395</v>
      </c>
      <c r="AB3975" t="str">
        <f>HYPERLINK("Melting_Curves/meltCurve_Q6NXE6_2_ARMC6.pdf", "Melting_Curves/meltCurve_Q6NXE6_2_ARMC6.pdf")</f>
        <v>Melting_Curves/meltCurve_Q6NXE6_2_ARMC6.pdf</v>
      </c>
    </row>
    <row r="3976" spans="1:28" x14ac:dyDescent="0.25">
      <c r="A3976" t="s">
        <v>3980</v>
      </c>
      <c r="B3976">
        <v>0.995954080203443</v>
      </c>
      <c r="C3976">
        <v>0.86164643737951296</v>
      </c>
      <c r="D3976">
        <v>0.78343483474326603</v>
      </c>
      <c r="E3976">
        <v>0.58908509092768602</v>
      </c>
      <c r="F3976">
        <v>0.55210014796944695</v>
      </c>
      <c r="G3976">
        <v>0.38334333680819499</v>
      </c>
      <c r="H3976">
        <v>0.28937611164521099</v>
      </c>
      <c r="I3976">
        <v>0.36027623416042898</v>
      </c>
      <c r="J3976">
        <v>0.34523980380429098</v>
      </c>
      <c r="K3976">
        <v>0.39714483172814902</v>
      </c>
      <c r="L3976">
        <v>640.752003945414</v>
      </c>
      <c r="M3976">
        <v>13.2080842712846</v>
      </c>
      <c r="N3976">
        <v>52.770151093914897</v>
      </c>
      <c r="O3976">
        <v>47.440505214213402</v>
      </c>
      <c r="P3976">
        <v>-4.67974160909604E-2</v>
      </c>
      <c r="Q3976">
        <v>0.32776794056401898</v>
      </c>
      <c r="R3976">
        <v>0.969579991080325</v>
      </c>
      <c r="S3976" t="s">
        <v>10782</v>
      </c>
      <c r="T3976" t="s">
        <v>13610</v>
      </c>
      <c r="U3976" t="s">
        <v>13610</v>
      </c>
      <c r="V3976" t="s">
        <v>13610</v>
      </c>
      <c r="W3976" t="s">
        <v>17526</v>
      </c>
      <c r="X3976">
        <v>7</v>
      </c>
      <c r="Y3976" t="s">
        <v>24121</v>
      </c>
      <c r="Z3976" t="s">
        <v>30831</v>
      </c>
      <c r="AA3976">
        <v>0.53997910890474698</v>
      </c>
      <c r="AB3976" t="str">
        <f>HYPERLINK("Melting_Curves/meltCurve_Q6NXT1_ANKRD54.pdf", "Melting_Curves/meltCurve_Q6NXT1_ANKRD54.pdf")</f>
        <v>Melting_Curves/meltCurve_Q6NXT1_ANKRD54.pdf</v>
      </c>
    </row>
    <row r="3977" spans="1:28" x14ac:dyDescent="0.25">
      <c r="A3977" t="s">
        <v>3981</v>
      </c>
      <c r="B3977">
        <v>0.995954080203443</v>
      </c>
      <c r="C3977">
        <v>0.97526681010835803</v>
      </c>
      <c r="D3977">
        <v>1.09476818111958</v>
      </c>
      <c r="E3977">
        <v>0.90456808599390703</v>
      </c>
      <c r="F3977">
        <v>1.01050114840515</v>
      </c>
      <c r="G3977">
        <v>0.79264175005983595</v>
      </c>
      <c r="H3977">
        <v>0.798204312295547</v>
      </c>
      <c r="I3977">
        <v>1.0100541255984601</v>
      </c>
      <c r="J3977">
        <v>1.2008454025948401</v>
      </c>
      <c r="K3977">
        <v>1.20507183772565</v>
      </c>
      <c r="L3977">
        <v>9998.0816199644996</v>
      </c>
      <c r="M3977">
        <v>153.23357329112699</v>
      </c>
      <c r="O3977">
        <v>65.236218615433302</v>
      </c>
      <c r="P3977">
        <v>0.12026012409474</v>
      </c>
      <c r="Q3977">
        <v>1.2047936494690199</v>
      </c>
      <c r="R3977">
        <v>0.44576382777272799</v>
      </c>
      <c r="S3977" t="s">
        <v>10783</v>
      </c>
      <c r="T3977" t="s">
        <v>13610</v>
      </c>
      <c r="U3977" t="s">
        <v>13610</v>
      </c>
      <c r="V3977" t="s">
        <v>13610</v>
      </c>
      <c r="W3977" t="s">
        <v>17527</v>
      </c>
      <c r="X3977">
        <v>27</v>
      </c>
      <c r="Y3977" t="s">
        <v>24122</v>
      </c>
      <c r="Z3977" t="s">
        <v>30832</v>
      </c>
      <c r="AA3977">
        <v>1.03238154328434</v>
      </c>
      <c r="AB3977" t="str">
        <f>HYPERLINK("Melting_Curves/meltCurve_Q6NYC8_PPP1R18.pdf", "Melting_Curves/meltCurve_Q6NYC8_PPP1R18.pdf")</f>
        <v>Melting_Curves/meltCurve_Q6NYC8_PPP1R18.pdf</v>
      </c>
    </row>
    <row r="3978" spans="1:28" x14ac:dyDescent="0.25">
      <c r="A3978" t="s">
        <v>3982</v>
      </c>
      <c r="B3978">
        <v>0.995954080203443</v>
      </c>
      <c r="C3978">
        <v>1.0855465115868399</v>
      </c>
      <c r="D3978">
        <v>1.26347632606358</v>
      </c>
      <c r="E3978">
        <v>0.99049499879546499</v>
      </c>
      <c r="F3978">
        <v>1.0370713445855899</v>
      </c>
      <c r="G3978">
        <v>0.90037212002978795</v>
      </c>
      <c r="H3978">
        <v>0.78869248228352895</v>
      </c>
      <c r="I3978">
        <v>0.97745572581297402</v>
      </c>
      <c r="J3978">
        <v>0.78712936491355401</v>
      </c>
      <c r="K3978">
        <v>1.0840241673377899</v>
      </c>
      <c r="L3978">
        <v>5869.9282748005398</v>
      </c>
      <c r="M3978">
        <v>106.184061618664</v>
      </c>
      <c r="O3978">
        <v>55.261090684266897</v>
      </c>
      <c r="P3978">
        <v>-4.4690574348646803E-2</v>
      </c>
      <c r="Q3978">
        <v>0.90696721371217404</v>
      </c>
      <c r="R3978">
        <v>0.22614369961195999</v>
      </c>
      <c r="S3978" t="s">
        <v>10784</v>
      </c>
      <c r="T3978" t="s">
        <v>13610</v>
      </c>
      <c r="U3978" t="s">
        <v>13610</v>
      </c>
      <c r="V3978" t="s">
        <v>13610</v>
      </c>
      <c r="W3978" t="s">
        <v>17528</v>
      </c>
      <c r="X3978">
        <v>2</v>
      </c>
      <c r="Y3978" t="s">
        <v>24123</v>
      </c>
      <c r="Z3978" t="s">
        <v>30833</v>
      </c>
      <c r="AA3978">
        <v>0.95440413696928528</v>
      </c>
      <c r="AB3978" t="str">
        <f>HYPERLINK("Melting_Curves/meltCurve_Q6NZ36_3_FAAP20.pdf", "Melting_Curves/meltCurve_Q6NZ36_3_FAAP20.pdf")</f>
        <v>Melting_Curves/meltCurve_Q6NZ36_3_FAAP20.pdf</v>
      </c>
    </row>
    <row r="3979" spans="1:28" x14ac:dyDescent="0.25">
      <c r="A3979" t="s">
        <v>3983</v>
      </c>
      <c r="B3979">
        <v>0.995954080203443</v>
      </c>
      <c r="C3979">
        <v>0.97369217931338004</v>
      </c>
      <c r="D3979">
        <v>1.0228541291408499</v>
      </c>
      <c r="E3979">
        <v>0.82222980241501498</v>
      </c>
      <c r="F3979">
        <v>0.805713391931283</v>
      </c>
      <c r="G3979">
        <v>0.62920179450783698</v>
      </c>
      <c r="H3979">
        <v>0.57750343878108901</v>
      </c>
      <c r="I3979">
        <v>0.67431145079333998</v>
      </c>
      <c r="J3979">
        <v>0.86211090409264501</v>
      </c>
      <c r="K3979">
        <v>0.81521843596162802</v>
      </c>
      <c r="L3979">
        <v>1785.5551660020801</v>
      </c>
      <c r="M3979">
        <v>35.912281777936997</v>
      </c>
      <c r="O3979">
        <v>49.5664904421659</v>
      </c>
      <c r="P3979">
        <v>-5.0788318336677997E-2</v>
      </c>
      <c r="Q3979">
        <v>0.71960672489881305</v>
      </c>
      <c r="R3979">
        <v>0.68920521349193697</v>
      </c>
      <c r="S3979" t="s">
        <v>10785</v>
      </c>
      <c r="T3979" t="s">
        <v>13610</v>
      </c>
      <c r="U3979" t="s">
        <v>13610</v>
      </c>
      <c r="V3979" t="s">
        <v>13610</v>
      </c>
      <c r="W3979" t="s">
        <v>17529</v>
      </c>
      <c r="X3979">
        <v>8</v>
      </c>
      <c r="Y3979" t="s">
        <v>24124</v>
      </c>
      <c r="Z3979" t="s">
        <v>30834</v>
      </c>
      <c r="AA3979">
        <v>0.81165212757121807</v>
      </c>
      <c r="AB3979" t="str">
        <f>HYPERLINK("Melting_Curves/meltCurve_Q6NZI2_PTRF.pdf", "Melting_Curves/meltCurve_Q6NZI2_PTRF.pdf")</f>
        <v>Melting_Curves/meltCurve_Q6NZI2_PTRF.pdf</v>
      </c>
    </row>
    <row r="3980" spans="1:28" x14ac:dyDescent="0.25">
      <c r="A3980" t="s">
        <v>3984</v>
      </c>
      <c r="B3980">
        <v>0.995954080203443</v>
      </c>
      <c r="C3980">
        <v>0.84854109440041503</v>
      </c>
      <c r="D3980">
        <v>0.74843243856054398</v>
      </c>
      <c r="E3980">
        <v>0.72110897009267405</v>
      </c>
      <c r="F3980">
        <v>0.44567889965317098</v>
      </c>
      <c r="G3980">
        <v>0.27865696245379301</v>
      </c>
      <c r="H3980">
        <v>0.21403510569699699</v>
      </c>
      <c r="I3980">
        <v>0.22736450621399301</v>
      </c>
      <c r="J3980">
        <v>0.28884354811579499</v>
      </c>
      <c r="K3980">
        <v>0.26208440732676802</v>
      </c>
      <c r="L3980">
        <v>635.13134981791495</v>
      </c>
      <c r="M3980">
        <v>12.7073140011485</v>
      </c>
      <c r="N3980">
        <v>52.095213801554401</v>
      </c>
      <c r="O3980">
        <v>48.792242433121999</v>
      </c>
      <c r="P3980">
        <v>-5.2005016884337903E-2</v>
      </c>
      <c r="Q3980">
        <v>0.20142000745579799</v>
      </c>
      <c r="R3980">
        <v>0.95520929314998004</v>
      </c>
      <c r="S3980" t="s">
        <v>10786</v>
      </c>
      <c r="T3980" t="s">
        <v>13610</v>
      </c>
      <c r="U3980" t="s">
        <v>13610</v>
      </c>
      <c r="V3980" t="s">
        <v>13610</v>
      </c>
      <c r="W3980" t="s">
        <v>17530</v>
      </c>
      <c r="X3980">
        <v>27</v>
      </c>
      <c r="Y3980" t="s">
        <v>24125</v>
      </c>
      <c r="Z3980" t="s">
        <v>30835</v>
      </c>
      <c r="AA3980">
        <v>0.49238366195114602</v>
      </c>
      <c r="AB3980" t="str">
        <f>HYPERLINK("Melting_Curves/meltCurve_Q6NZY4_ZCCHC8.pdf", "Melting_Curves/meltCurve_Q6NZY4_ZCCHC8.pdf")</f>
        <v>Melting_Curves/meltCurve_Q6NZY4_ZCCHC8.pdf</v>
      </c>
    </row>
    <row r="3981" spans="1:28" x14ac:dyDescent="0.25">
      <c r="A3981" t="s">
        <v>3985</v>
      </c>
      <c r="B3981">
        <v>0.995954080203443</v>
      </c>
      <c r="C3981">
        <v>1.1000177404250999</v>
      </c>
      <c r="D3981">
        <v>1.4265422196353701</v>
      </c>
      <c r="E3981">
        <v>1.00719686785483</v>
      </c>
      <c r="F3981">
        <v>1.2368166250866099</v>
      </c>
      <c r="G3981">
        <v>1.25932280893522</v>
      </c>
      <c r="H3981">
        <v>0.83367934578017999</v>
      </c>
      <c r="I3981">
        <v>0.27786918482378398</v>
      </c>
      <c r="J3981">
        <v>6.05308623132432E-2</v>
      </c>
      <c r="K3981">
        <v>0.11879050506271401</v>
      </c>
      <c r="L3981">
        <v>3925.5014202560301</v>
      </c>
      <c r="M3981">
        <v>62.744988706401003</v>
      </c>
      <c r="N3981">
        <v>62.7523231756294</v>
      </c>
      <c r="O3981">
        <v>62.499330357776998</v>
      </c>
      <c r="P3981">
        <v>-0.22931813170377199</v>
      </c>
      <c r="Q3981">
        <v>8.6319080349869903E-2</v>
      </c>
      <c r="R3981">
        <v>0.85747475227181003</v>
      </c>
      <c r="S3981" t="s">
        <v>10787</v>
      </c>
      <c r="T3981" t="s">
        <v>13610</v>
      </c>
      <c r="U3981" t="s">
        <v>13610</v>
      </c>
      <c r="V3981" t="s">
        <v>13610</v>
      </c>
      <c r="W3981" t="s">
        <v>17531</v>
      </c>
      <c r="X3981">
        <v>2</v>
      </c>
      <c r="Y3981" t="s">
        <v>24126</v>
      </c>
      <c r="Z3981" t="s">
        <v>30836</v>
      </c>
      <c r="AA3981">
        <v>0.7750397296565078</v>
      </c>
      <c r="AB3981" t="str">
        <f>HYPERLINK("Melting_Curves/meltCurve_Q6P052_MAN1A1.pdf", "Melting_Curves/meltCurve_Q6P052_MAN1A1.pdf")</f>
        <v>Melting_Curves/meltCurve_Q6P052_MAN1A1.pdf</v>
      </c>
    </row>
    <row r="3982" spans="1:28" x14ac:dyDescent="0.25">
      <c r="A3982" t="s">
        <v>3986</v>
      </c>
      <c r="B3982">
        <v>0.995954080203443</v>
      </c>
      <c r="C3982">
        <v>0.79121098841608695</v>
      </c>
      <c r="D3982">
        <v>0.58120970769760605</v>
      </c>
      <c r="E3982">
        <v>0.33380472087103003</v>
      </c>
      <c r="F3982">
        <v>0.21828573788530101</v>
      </c>
      <c r="G3982">
        <v>0.103482137254042</v>
      </c>
      <c r="H3982">
        <v>4.36909811766725E-2</v>
      </c>
      <c r="I3982">
        <v>1.89739269354087E-2</v>
      </c>
      <c r="J3982">
        <v>2.7821795756554399E-2</v>
      </c>
      <c r="K3982">
        <v>1.7943209009388401E-2</v>
      </c>
      <c r="L3982">
        <v>654.47000844703405</v>
      </c>
      <c r="M3982">
        <v>13.813211556971</v>
      </c>
      <c r="N3982">
        <v>47.433119088952601</v>
      </c>
      <c r="O3982">
        <v>46.420106517059402</v>
      </c>
      <c r="P3982">
        <v>-7.3831816863637004E-2</v>
      </c>
      <c r="Q3982">
        <v>7.6739042575288798E-3</v>
      </c>
      <c r="R3982">
        <v>0.99432374416258196</v>
      </c>
      <c r="S3982" t="s">
        <v>10788</v>
      </c>
      <c r="T3982" t="s">
        <v>13610</v>
      </c>
      <c r="U3982" t="s">
        <v>13610</v>
      </c>
      <c r="V3982" t="s">
        <v>13610</v>
      </c>
      <c r="W3982" t="s">
        <v>17532</v>
      </c>
      <c r="X3982">
        <v>2</v>
      </c>
      <c r="Y3982" t="s">
        <v>24127</v>
      </c>
      <c r="Z3982" t="s">
        <v>30837</v>
      </c>
      <c r="AA3982">
        <v>0.28286132755043492</v>
      </c>
      <c r="AB3982" t="str">
        <f>HYPERLINK("Melting_Curves/meltCurve_Q6P087_2_RPUSD3.pdf", "Melting_Curves/meltCurve_Q6P087_2_RPUSD3.pdf")</f>
        <v>Melting_Curves/meltCurve_Q6P087_2_RPUSD3.pdf</v>
      </c>
    </row>
    <row r="3983" spans="1:28" x14ac:dyDescent="0.25">
      <c r="A3983" t="s">
        <v>3987</v>
      </c>
      <c r="B3983">
        <v>0.995954080203443</v>
      </c>
      <c r="C3983">
        <v>1.0064894401195099</v>
      </c>
      <c r="D3983">
        <v>1.1719791909845101</v>
      </c>
      <c r="E3983">
        <v>1.0138649228662</v>
      </c>
      <c r="F3983">
        <v>1.21284641416963</v>
      </c>
      <c r="G3983">
        <v>0.90617578661788001</v>
      </c>
      <c r="H3983">
        <v>0.87859422497012396</v>
      </c>
      <c r="I3983">
        <v>1.0584847372801001</v>
      </c>
      <c r="J3983">
        <v>1.1997602852128499</v>
      </c>
      <c r="K3983">
        <v>1.3112199949394501</v>
      </c>
      <c r="L3983">
        <v>3665.7785559123199</v>
      </c>
      <c r="M3983">
        <v>55.2379126052708</v>
      </c>
      <c r="O3983">
        <v>66.276642850784299</v>
      </c>
      <c r="P3983">
        <v>6.8060397010039506E-2</v>
      </c>
      <c r="Q3983">
        <v>1.3266460885297999</v>
      </c>
      <c r="R3983">
        <v>0.451206053361698</v>
      </c>
      <c r="S3983" t="s">
        <v>10789</v>
      </c>
      <c r="T3983" t="s">
        <v>13610</v>
      </c>
      <c r="U3983" t="s">
        <v>13610</v>
      </c>
      <c r="V3983" t="s">
        <v>13610</v>
      </c>
      <c r="W3983" t="s">
        <v>17533</v>
      </c>
      <c r="X3983">
        <v>4</v>
      </c>
      <c r="Y3983" t="s">
        <v>24128</v>
      </c>
      <c r="Z3983" t="s">
        <v>30838</v>
      </c>
      <c r="AA3983">
        <v>1.039648785122872</v>
      </c>
      <c r="AB3983" t="str">
        <f>HYPERLINK("Melting_Curves/meltCurve_Q6P0N0_MIS18BP1.pdf", "Melting_Curves/meltCurve_Q6P0N0_MIS18BP1.pdf")</f>
        <v>Melting_Curves/meltCurve_Q6P0N0_MIS18BP1.pdf</v>
      </c>
    </row>
    <row r="3984" spans="1:28" x14ac:dyDescent="0.25">
      <c r="A3984" t="s">
        <v>3988</v>
      </c>
      <c r="B3984">
        <v>0.995954080203443</v>
      </c>
      <c r="C3984">
        <v>1.0074141397224201</v>
      </c>
      <c r="D3984">
        <v>0.88560784256312697</v>
      </c>
      <c r="E3984">
        <v>0.67659499585167404</v>
      </c>
      <c r="F3984">
        <v>0.37218465287422298</v>
      </c>
      <c r="G3984">
        <v>0.20294906209059599</v>
      </c>
      <c r="H3984">
        <v>0.10128624807177</v>
      </c>
      <c r="I3984">
        <v>7.3267017341605595E-2</v>
      </c>
      <c r="J3984">
        <v>9.4943998908112406E-2</v>
      </c>
      <c r="K3984">
        <v>9.2516166079861295E-2</v>
      </c>
      <c r="L3984">
        <v>1031.0224066644901</v>
      </c>
      <c r="M3984">
        <v>20.1088796626148</v>
      </c>
      <c r="N3984">
        <v>51.700177987469502</v>
      </c>
      <c r="O3984">
        <v>50.773017093953001</v>
      </c>
      <c r="P3984">
        <v>-9.1421783695714104E-2</v>
      </c>
      <c r="Q3984">
        <v>7.6703977301988996E-2</v>
      </c>
      <c r="R3984">
        <v>0.99749673464798805</v>
      </c>
      <c r="S3984" t="s">
        <v>10790</v>
      </c>
      <c r="T3984" t="s">
        <v>13610</v>
      </c>
      <c r="U3984" t="s">
        <v>13610</v>
      </c>
      <c r="V3984" t="s">
        <v>13610</v>
      </c>
      <c r="W3984" t="s">
        <v>17534</v>
      </c>
      <c r="X3984">
        <v>19</v>
      </c>
      <c r="Y3984" t="s">
        <v>24129</v>
      </c>
      <c r="Z3984" t="s">
        <v>30839</v>
      </c>
      <c r="AA3984">
        <v>0.43629675691862091</v>
      </c>
      <c r="AB3984" t="str">
        <f>HYPERLINK("Melting_Curves/meltCurve_Q6P158_DHX57.pdf", "Melting_Curves/meltCurve_Q6P158_DHX57.pdf")</f>
        <v>Melting_Curves/meltCurve_Q6P158_DHX57.pdf</v>
      </c>
    </row>
    <row r="3985" spans="1:28" x14ac:dyDescent="0.25">
      <c r="A3985" t="s">
        <v>3989</v>
      </c>
      <c r="B3985">
        <v>0.995954080203443</v>
      </c>
      <c r="C3985">
        <v>0.95402388401364302</v>
      </c>
      <c r="D3985">
        <v>0.74338982932597397</v>
      </c>
      <c r="E3985">
        <v>0.76225644426560302</v>
      </c>
      <c r="F3985">
        <v>0.56372045064978205</v>
      </c>
      <c r="G3985">
        <v>0.36976840452519</v>
      </c>
      <c r="H3985">
        <v>0.29934143316205503</v>
      </c>
      <c r="I3985">
        <v>0.31224226996683502</v>
      </c>
      <c r="J3985">
        <v>0.34000339240484101</v>
      </c>
      <c r="K3985">
        <v>0.39699283560084397</v>
      </c>
      <c r="L3985">
        <v>679.90717599625305</v>
      </c>
      <c r="M3985">
        <v>13.4901839788033</v>
      </c>
      <c r="N3985">
        <v>54.123753763181099</v>
      </c>
      <c r="O3985">
        <v>49.331294631919299</v>
      </c>
      <c r="P3985">
        <v>-4.7702454815826398E-2</v>
      </c>
      <c r="Q3985">
        <v>0.30234779938957601</v>
      </c>
      <c r="R3985">
        <v>0.94687718211098104</v>
      </c>
      <c r="S3985" t="s">
        <v>10791</v>
      </c>
      <c r="T3985" t="s">
        <v>13610</v>
      </c>
      <c r="U3985" t="s">
        <v>13610</v>
      </c>
      <c r="V3985" t="s">
        <v>13610</v>
      </c>
      <c r="W3985" t="s">
        <v>17535</v>
      </c>
      <c r="X3985">
        <v>2</v>
      </c>
      <c r="Y3985" t="s">
        <v>24130</v>
      </c>
      <c r="Z3985" t="s">
        <v>30840</v>
      </c>
      <c r="AA3985">
        <v>0.56382956009450103</v>
      </c>
      <c r="AB3985" t="str">
        <f>HYPERLINK("Melting_Curves/meltCurve_Q6P161_MRPL54.pdf", "Melting_Curves/meltCurve_Q6P161_MRPL54.pdf")</f>
        <v>Melting_Curves/meltCurve_Q6P161_MRPL54.pdf</v>
      </c>
    </row>
    <row r="3986" spans="1:28" x14ac:dyDescent="0.25">
      <c r="A3986" t="s">
        <v>3990</v>
      </c>
      <c r="B3986">
        <v>0.995954080203443</v>
      </c>
      <c r="C3986">
        <v>0.89164333301054399</v>
      </c>
      <c r="D3986">
        <v>0.916676866115258</v>
      </c>
      <c r="E3986">
        <v>0.62871828058828305</v>
      </c>
      <c r="F3986">
        <v>0.470058330452717</v>
      </c>
      <c r="G3986">
        <v>0.23231336338342901</v>
      </c>
      <c r="H3986">
        <v>0.181755657467493</v>
      </c>
      <c r="I3986">
        <v>0.19858641562477899</v>
      </c>
      <c r="J3986">
        <v>0.216213994094759</v>
      </c>
      <c r="K3986">
        <v>0.23131362404616901</v>
      </c>
      <c r="L3986">
        <v>959.90336418754703</v>
      </c>
      <c r="M3986">
        <v>18.9674309345076</v>
      </c>
      <c r="N3986">
        <v>51.905828663187201</v>
      </c>
      <c r="O3986">
        <v>50.055508491303598</v>
      </c>
      <c r="P3986">
        <v>-7.6847087627273297E-2</v>
      </c>
      <c r="Q3986">
        <v>0.18882727116011</v>
      </c>
      <c r="R3986">
        <v>0.985962517756655</v>
      </c>
      <c r="S3986" t="s">
        <v>10792</v>
      </c>
      <c r="T3986" t="s">
        <v>13610</v>
      </c>
      <c r="U3986" t="s">
        <v>13610</v>
      </c>
      <c r="V3986" t="s">
        <v>13610</v>
      </c>
      <c r="W3986" t="s">
        <v>17536</v>
      </c>
      <c r="X3986">
        <v>29</v>
      </c>
      <c r="Y3986" t="s">
        <v>24131</v>
      </c>
      <c r="Z3986" t="s">
        <v>30841</v>
      </c>
      <c r="AA3986">
        <v>0.48811539514058211</v>
      </c>
      <c r="AB3986" t="str">
        <f>HYPERLINK("Melting_Curves/meltCurve_Q6P1J9_CDC73.pdf", "Melting_Curves/meltCurve_Q6P1J9_CDC73.pdf")</f>
        <v>Melting_Curves/meltCurve_Q6P1J9_CDC73.pdf</v>
      </c>
    </row>
    <row r="3987" spans="1:28" x14ac:dyDescent="0.25">
      <c r="A3987" t="s">
        <v>3991</v>
      </c>
      <c r="B3987">
        <v>0.995954080203443</v>
      </c>
      <c r="C3987">
        <v>1.0121474573654701</v>
      </c>
      <c r="D3987">
        <v>0.92248962676079005</v>
      </c>
      <c r="E3987">
        <v>0.69202548984312895</v>
      </c>
      <c r="F3987">
        <v>0.33966396761933099</v>
      </c>
      <c r="G3987">
        <v>0.19054593716718701</v>
      </c>
      <c r="H3987">
        <v>0.108875126197802</v>
      </c>
      <c r="I3987">
        <v>8.6632530100263297E-2</v>
      </c>
      <c r="J3987">
        <v>9.1348169044730004E-2</v>
      </c>
      <c r="K3987">
        <v>8.8038854744391701E-2</v>
      </c>
      <c r="L3987">
        <v>1238.2660879398099</v>
      </c>
      <c r="M3987">
        <v>24.1930411589945</v>
      </c>
      <c r="N3987">
        <v>51.606155542912298</v>
      </c>
      <c r="O3987">
        <v>50.8368844804749</v>
      </c>
      <c r="P3987">
        <v>-0.10826553721260999</v>
      </c>
      <c r="Q3987">
        <v>9.0019601911706396E-2</v>
      </c>
      <c r="R3987">
        <v>0.99796436955766699</v>
      </c>
      <c r="S3987" t="s">
        <v>10793</v>
      </c>
      <c r="T3987" t="s">
        <v>13610</v>
      </c>
      <c r="U3987" t="s">
        <v>13610</v>
      </c>
      <c r="V3987" t="s">
        <v>13610</v>
      </c>
      <c r="W3987" t="s">
        <v>17537</v>
      </c>
      <c r="X3987">
        <v>6</v>
      </c>
      <c r="Y3987" t="s">
        <v>24132</v>
      </c>
      <c r="Z3987" t="s">
        <v>30842</v>
      </c>
      <c r="AA3987">
        <v>0.43800460522238999</v>
      </c>
      <c r="AB3987" t="str">
        <f>HYPERLINK("Melting_Curves/meltCurve_Q6P1K2_PMF1.pdf", "Melting_Curves/meltCurve_Q6P1K2_PMF1.pdf")</f>
        <v>Melting_Curves/meltCurve_Q6P1K2_PMF1.pdf</v>
      </c>
    </row>
    <row r="3988" spans="1:28" x14ac:dyDescent="0.25">
      <c r="A3988" t="s">
        <v>3992</v>
      </c>
      <c r="B3988">
        <v>0.995954080203443</v>
      </c>
      <c r="C3988">
        <v>0.875427891386514</v>
      </c>
      <c r="D3988">
        <v>0.86789606343627101</v>
      </c>
      <c r="E3988">
        <v>0.76224777119573905</v>
      </c>
      <c r="F3988">
        <v>0.481564378170314</v>
      </c>
      <c r="G3988">
        <v>0.26335790655635799</v>
      </c>
      <c r="H3988">
        <v>0.182151273647957</v>
      </c>
      <c r="I3988">
        <v>0.176464548975517</v>
      </c>
      <c r="J3988">
        <v>0.19396783577700499</v>
      </c>
      <c r="K3988">
        <v>0.201055763863246</v>
      </c>
      <c r="L3988">
        <v>916.80456727856404</v>
      </c>
      <c r="M3988">
        <v>17.741219728139502</v>
      </c>
      <c r="N3988">
        <v>52.820704559156901</v>
      </c>
      <c r="O3988">
        <v>51.033373984094901</v>
      </c>
      <c r="P3988">
        <v>-7.3048320717295001E-2</v>
      </c>
      <c r="Q3988">
        <v>0.15953748387894001</v>
      </c>
      <c r="R3988">
        <v>0.98063958529282502</v>
      </c>
      <c r="S3988" t="s">
        <v>10794</v>
      </c>
      <c r="T3988" t="s">
        <v>13610</v>
      </c>
      <c r="U3988" t="s">
        <v>13610</v>
      </c>
      <c r="V3988" t="s">
        <v>13610</v>
      </c>
      <c r="W3988" t="s">
        <v>17538</v>
      </c>
      <c r="X3988">
        <v>13</v>
      </c>
      <c r="Y3988" t="s">
        <v>24133</v>
      </c>
      <c r="Z3988" t="s">
        <v>30843</v>
      </c>
      <c r="AA3988">
        <v>0.50106293710288408</v>
      </c>
      <c r="AB3988" t="str">
        <f>HYPERLINK("Melting_Curves/meltCurve_Q6P1K8_GTF2H2C.pdf", "Melting_Curves/meltCurve_Q6P1K8_GTF2H2C.pdf")</f>
        <v>Melting_Curves/meltCurve_Q6P1K8_GTF2H2C.pdf</v>
      </c>
    </row>
    <row r="3989" spans="1:28" x14ac:dyDescent="0.25">
      <c r="A3989" t="s">
        <v>3993</v>
      </c>
      <c r="B3989">
        <v>0.995954080203443</v>
      </c>
      <c r="C3989">
        <v>0.97541650183647099</v>
      </c>
      <c r="D3989">
        <v>1.0616784972191999</v>
      </c>
      <c r="E3989">
        <v>1.01214975217166</v>
      </c>
      <c r="F3989">
        <v>1.0455707426830401</v>
      </c>
      <c r="G3989">
        <v>0.78285882920655303</v>
      </c>
      <c r="H3989">
        <v>0.75467185070101594</v>
      </c>
      <c r="I3989">
        <v>0.85470411525735002</v>
      </c>
      <c r="J3989">
        <v>0.95470971909490998</v>
      </c>
      <c r="K3989">
        <v>0.93063702326271203</v>
      </c>
      <c r="L3989">
        <v>4560.6099454431996</v>
      </c>
      <c r="M3989">
        <v>83.193462782345307</v>
      </c>
      <c r="O3989">
        <v>54.787679367994102</v>
      </c>
      <c r="P3989">
        <v>-5.4916028905925701E-2</v>
      </c>
      <c r="Q3989">
        <v>0.85533856503905104</v>
      </c>
      <c r="R3989">
        <v>0.61556345677074598</v>
      </c>
      <c r="S3989" t="s">
        <v>10795</v>
      </c>
      <c r="T3989" t="s">
        <v>13610</v>
      </c>
      <c r="U3989" t="s">
        <v>13610</v>
      </c>
      <c r="V3989" t="s">
        <v>13610</v>
      </c>
      <c r="W3989" t="s">
        <v>17539</v>
      </c>
      <c r="X3989">
        <v>6</v>
      </c>
      <c r="Y3989" t="s">
        <v>24134</v>
      </c>
      <c r="Z3989" t="s">
        <v>30844</v>
      </c>
      <c r="AA3989">
        <v>0.92692398907914941</v>
      </c>
      <c r="AB3989" t="str">
        <f>HYPERLINK("Melting_Curves/meltCurve_Q6P1L5_FAM117B.pdf", "Melting_Curves/meltCurve_Q6P1L5_FAM117B.pdf")</f>
        <v>Melting_Curves/meltCurve_Q6P1L5_FAM117B.pdf</v>
      </c>
    </row>
    <row r="3990" spans="1:28" x14ac:dyDescent="0.25">
      <c r="A3990" t="s">
        <v>3994</v>
      </c>
      <c r="B3990">
        <v>0.995954080203443</v>
      </c>
      <c r="C3990">
        <v>0.67954652642431201</v>
      </c>
      <c r="D3990">
        <v>0.40164245383653002</v>
      </c>
      <c r="E3990">
        <v>0.37870443796841302</v>
      </c>
      <c r="F3990">
        <v>0.20244960280306901</v>
      </c>
      <c r="G3990">
        <v>0.119823133061284</v>
      </c>
      <c r="H3990">
        <v>7.59677832109968E-2</v>
      </c>
      <c r="I3990">
        <v>8.6230646923178403E-2</v>
      </c>
      <c r="J3990">
        <v>0.10253151575784</v>
      </c>
      <c r="K3990">
        <v>9.4372037973409303E-2</v>
      </c>
      <c r="L3990">
        <v>664.95184605517204</v>
      </c>
      <c r="M3990">
        <v>14.6995791138834</v>
      </c>
      <c r="N3990">
        <v>45.855340289385303</v>
      </c>
      <c r="O3990">
        <v>44.423663803505697</v>
      </c>
      <c r="P3990">
        <v>-7.5285168023057306E-2</v>
      </c>
      <c r="Q3990">
        <v>9.0020987308563297E-2</v>
      </c>
      <c r="R3990">
        <v>0.95885551634840305</v>
      </c>
      <c r="S3990" t="s">
        <v>10796</v>
      </c>
      <c r="T3990" t="s">
        <v>13610</v>
      </c>
      <c r="U3990" t="s">
        <v>13610</v>
      </c>
      <c r="V3990" t="s">
        <v>13610</v>
      </c>
      <c r="W3990" t="s">
        <v>17540</v>
      </c>
      <c r="X3990">
        <v>1</v>
      </c>
      <c r="Y3990" t="s">
        <v>24135</v>
      </c>
      <c r="Z3990" t="s">
        <v>30845</v>
      </c>
      <c r="AA3990">
        <v>0.27859666296539792</v>
      </c>
      <c r="AB3990" t="str">
        <f>HYPERLINK("Melting_Curves/meltCurve_Q6P1L8_MRPL14.pdf", "Melting_Curves/meltCurve_Q6P1L8_MRPL14.pdf")</f>
        <v>Melting_Curves/meltCurve_Q6P1L8_MRPL14.pdf</v>
      </c>
    </row>
    <row r="3991" spans="1:28" x14ac:dyDescent="0.25">
      <c r="A3991" t="s">
        <v>3995</v>
      </c>
      <c r="B3991">
        <v>0.995954080203443</v>
      </c>
      <c r="C3991">
        <v>0.86259533901620999</v>
      </c>
      <c r="D3991">
        <v>1.01256221065653</v>
      </c>
      <c r="E3991">
        <v>0.81021660891104397</v>
      </c>
      <c r="F3991">
        <v>0.90198533506982703</v>
      </c>
      <c r="G3991">
        <v>0.66152759956842899</v>
      </c>
      <c r="H3991">
        <v>0.66888157122462799</v>
      </c>
      <c r="I3991">
        <v>0.76323059386453895</v>
      </c>
      <c r="J3991">
        <v>1.0834882754227699</v>
      </c>
      <c r="K3991">
        <v>0.94226500546871494</v>
      </c>
      <c r="L3991">
        <v>784.80931850863703</v>
      </c>
      <c r="M3991">
        <v>17.311909461969201</v>
      </c>
      <c r="O3991">
        <v>44.741568548035197</v>
      </c>
      <c r="P3991">
        <v>-1.6187038266821802E-2</v>
      </c>
      <c r="Q3991">
        <v>0.83267199491786004</v>
      </c>
      <c r="R3991">
        <v>0.12516805955386401</v>
      </c>
      <c r="S3991" t="s">
        <v>10797</v>
      </c>
      <c r="T3991" t="s">
        <v>13610</v>
      </c>
      <c r="U3991" t="s">
        <v>13610</v>
      </c>
      <c r="V3991" t="s">
        <v>13610</v>
      </c>
      <c r="W3991" t="s">
        <v>17541</v>
      </c>
      <c r="X3991">
        <v>3</v>
      </c>
      <c r="Y3991" t="s">
        <v>24136</v>
      </c>
      <c r="Z3991" t="s">
        <v>30846</v>
      </c>
      <c r="AA3991">
        <v>0.86622238913249316</v>
      </c>
      <c r="AB3991" t="str">
        <f>HYPERLINK("Melting_Curves/meltCurve_Q6P1M9_ARMCX5.pdf", "Melting_Curves/meltCurve_Q6P1M9_ARMCX5.pdf")</f>
        <v>Melting_Curves/meltCurve_Q6P1M9_ARMCX5.pdf</v>
      </c>
    </row>
    <row r="3992" spans="1:28" x14ac:dyDescent="0.25">
      <c r="A3992" t="s">
        <v>3996</v>
      </c>
      <c r="B3992">
        <v>0.995954080203443</v>
      </c>
      <c r="C3992">
        <v>0.96517046941598905</v>
      </c>
      <c r="D3992">
        <v>0.83167595987623</v>
      </c>
      <c r="E3992">
        <v>0.53480076512140395</v>
      </c>
      <c r="F3992">
        <v>0.355715657602169</v>
      </c>
      <c r="G3992">
        <v>0.22880723363870301</v>
      </c>
      <c r="H3992">
        <v>0.18817176614046499</v>
      </c>
      <c r="I3992">
        <v>0.21649324885155899</v>
      </c>
      <c r="J3992">
        <v>0.248940915077172</v>
      </c>
      <c r="K3992">
        <v>0.23357071012025701</v>
      </c>
      <c r="L3992">
        <v>1035.64950310734</v>
      </c>
      <c r="M3992">
        <v>21.126707955511002</v>
      </c>
      <c r="N3992">
        <v>50.347016885531197</v>
      </c>
      <c r="O3992">
        <v>48.588008267901003</v>
      </c>
      <c r="P3992">
        <v>-8.5509419734146094E-2</v>
      </c>
      <c r="Q3992">
        <v>0.21338945918298899</v>
      </c>
      <c r="R3992">
        <v>0.99624040459369101</v>
      </c>
      <c r="S3992" t="s">
        <v>10798</v>
      </c>
      <c r="T3992" t="s">
        <v>13610</v>
      </c>
      <c r="U3992" t="s">
        <v>13610</v>
      </c>
      <c r="V3992" t="s">
        <v>13610</v>
      </c>
      <c r="W3992" t="s">
        <v>17542</v>
      </c>
      <c r="X3992">
        <v>28</v>
      </c>
      <c r="Y3992" t="s">
        <v>24137</v>
      </c>
      <c r="Z3992" t="s">
        <v>30847</v>
      </c>
      <c r="AA3992">
        <v>0.45977191519719612</v>
      </c>
      <c r="AB3992" t="str">
        <f>HYPERLINK("Melting_Curves/meltCurve_Q6P1N0_2_CC2D1A.pdf", "Melting_Curves/meltCurve_Q6P1N0_2_CC2D1A.pdf")</f>
        <v>Melting_Curves/meltCurve_Q6P1N0_2_CC2D1A.pdf</v>
      </c>
    </row>
    <row r="3993" spans="1:28" x14ac:dyDescent="0.25">
      <c r="A3993" t="s">
        <v>3997</v>
      </c>
      <c r="B3993">
        <v>0.995954080203443</v>
      </c>
      <c r="C3993">
        <v>1.0322381573944699</v>
      </c>
      <c r="D3993">
        <v>0.97787232494690102</v>
      </c>
      <c r="E3993">
        <v>0.88633153278600696</v>
      </c>
      <c r="F3993">
        <v>0.77347893054855799</v>
      </c>
      <c r="G3993">
        <v>0.59070168794410205</v>
      </c>
      <c r="H3993">
        <v>0.383723093693842</v>
      </c>
      <c r="I3993">
        <v>0.133464334324045</v>
      </c>
      <c r="J3993">
        <v>8.9329765130128996E-2</v>
      </c>
      <c r="K3993">
        <v>9.0778476131490704E-2</v>
      </c>
      <c r="L3993">
        <v>858.85665189934105</v>
      </c>
      <c r="M3993">
        <v>14.8079062493132</v>
      </c>
      <c r="N3993">
        <v>57.999871150171003</v>
      </c>
      <c r="O3993">
        <v>56.972917483276198</v>
      </c>
      <c r="P3993">
        <v>-6.4984733640058398E-2</v>
      </c>
      <c r="Q3993">
        <v>0</v>
      </c>
      <c r="R3993">
        <v>0.99079048510803902</v>
      </c>
      <c r="S3993" t="s">
        <v>10799</v>
      </c>
      <c r="T3993" t="s">
        <v>13610</v>
      </c>
      <c r="U3993" t="s">
        <v>13610</v>
      </c>
      <c r="V3993" t="s">
        <v>13610</v>
      </c>
      <c r="W3993" t="s">
        <v>17543</v>
      </c>
      <c r="X3993">
        <v>19</v>
      </c>
      <c r="Y3993" t="s">
        <v>24138</v>
      </c>
      <c r="Z3993" t="s">
        <v>30848</v>
      </c>
      <c r="AA3993">
        <v>0.61345427713208411</v>
      </c>
      <c r="AB3993" t="str">
        <f>HYPERLINK("Melting_Curves/meltCurve_Q6P1N9_TATDN1.pdf", "Melting_Curves/meltCurve_Q6P1N9_TATDN1.pdf")</f>
        <v>Melting_Curves/meltCurve_Q6P1N9_TATDN1.pdf</v>
      </c>
    </row>
    <row r="3994" spans="1:28" x14ac:dyDescent="0.25">
      <c r="A3994" t="s">
        <v>3998</v>
      </c>
      <c r="B3994">
        <v>0.995954080203443</v>
      </c>
      <c r="C3994">
        <v>0.95185441063998999</v>
      </c>
      <c r="D3994">
        <v>0.599584142447387</v>
      </c>
      <c r="E3994">
        <v>0.32063228590805398</v>
      </c>
      <c r="F3994">
        <v>0.170183701308457</v>
      </c>
      <c r="G3994">
        <v>8.8354410783582998E-2</v>
      </c>
      <c r="H3994">
        <v>6.6271756143114396E-2</v>
      </c>
      <c r="I3994">
        <v>6.9307997053747405E-2</v>
      </c>
      <c r="J3994">
        <v>7.7855465806227306E-2</v>
      </c>
      <c r="K3994">
        <v>7.0598652887379099E-2</v>
      </c>
      <c r="L3994">
        <v>970.12493286556901</v>
      </c>
      <c r="M3994">
        <v>20.5711894284698</v>
      </c>
      <c r="N3994">
        <v>47.509984768891997</v>
      </c>
      <c r="O3994">
        <v>46.720528132066697</v>
      </c>
      <c r="P3994">
        <v>-0.102327256164539</v>
      </c>
      <c r="Q3994">
        <v>7.0419481168237499E-2</v>
      </c>
      <c r="R3994">
        <v>0.99364018500266005</v>
      </c>
      <c r="S3994" t="s">
        <v>10800</v>
      </c>
      <c r="T3994" t="s">
        <v>13610</v>
      </c>
      <c r="U3994" t="s">
        <v>13610</v>
      </c>
      <c r="V3994" t="s">
        <v>13610</v>
      </c>
      <c r="W3994" t="s">
        <v>17544</v>
      </c>
      <c r="X3994">
        <v>10</v>
      </c>
      <c r="Y3994" t="s">
        <v>24139</v>
      </c>
      <c r="Z3994" t="s">
        <v>30849</v>
      </c>
      <c r="AA3994">
        <v>0.30497424767225761</v>
      </c>
      <c r="AB3994" t="str">
        <f>HYPERLINK("Melting_Curves/meltCurve_Q6P1Q9_METTL2B.pdf", "Melting_Curves/meltCurve_Q6P1Q9_METTL2B.pdf")</f>
        <v>Melting_Curves/meltCurve_Q6P1Q9_METTL2B.pdf</v>
      </c>
    </row>
    <row r="3995" spans="1:28" x14ac:dyDescent="0.25">
      <c r="A3995" t="s">
        <v>3999</v>
      </c>
      <c r="B3995">
        <v>0.995954080203443</v>
      </c>
      <c r="C3995">
        <v>0.807068432067654</v>
      </c>
      <c r="D3995">
        <v>0.56092576792770998</v>
      </c>
      <c r="E3995">
        <v>0.356036511294826</v>
      </c>
      <c r="F3995">
        <v>0.26833931217949503</v>
      </c>
      <c r="G3995">
        <v>0.177277892846257</v>
      </c>
      <c r="H3995">
        <v>0.143384453627208</v>
      </c>
      <c r="I3995">
        <v>0.144318220602519</v>
      </c>
      <c r="J3995">
        <v>0.14430649596006301</v>
      </c>
      <c r="K3995">
        <v>0.14098528111856701</v>
      </c>
      <c r="L3995">
        <v>748.18194570636695</v>
      </c>
      <c r="M3995">
        <v>16.155165776793201</v>
      </c>
      <c r="N3995">
        <v>47.273386763587801</v>
      </c>
      <c r="O3995">
        <v>45.620060587531597</v>
      </c>
      <c r="P3995">
        <v>-7.6143820423455993E-2</v>
      </c>
      <c r="Q3995">
        <v>0.13998446163327299</v>
      </c>
      <c r="R3995">
        <v>0.99330471187162706</v>
      </c>
      <c r="S3995" t="s">
        <v>10801</v>
      </c>
      <c r="T3995" t="s">
        <v>13610</v>
      </c>
      <c r="U3995" t="s">
        <v>13610</v>
      </c>
      <c r="V3995" t="s">
        <v>13610</v>
      </c>
      <c r="W3995" t="s">
        <v>17545</v>
      </c>
      <c r="X3995">
        <v>8</v>
      </c>
      <c r="Y3995" t="s">
        <v>24140</v>
      </c>
      <c r="Z3995" t="s">
        <v>30850</v>
      </c>
      <c r="AA3995">
        <v>0.34186583321135811</v>
      </c>
      <c r="AB3995" t="str">
        <f>HYPERLINK("Melting_Curves/meltCurve_Q6P1R4_DUS1L.pdf", "Melting_Curves/meltCurve_Q6P1R4_DUS1L.pdf")</f>
        <v>Melting_Curves/meltCurve_Q6P1R4_DUS1L.pdf</v>
      </c>
    </row>
    <row r="3996" spans="1:28" x14ac:dyDescent="0.25">
      <c r="A3996" t="s">
        <v>4000</v>
      </c>
      <c r="B3996">
        <v>0.995954080203443</v>
      </c>
      <c r="C3996">
        <v>0.85428283512018899</v>
      </c>
      <c r="D3996">
        <v>0.73882915353679701</v>
      </c>
      <c r="E3996">
        <v>0.65583019572287804</v>
      </c>
      <c r="F3996">
        <v>0.25882548099702002</v>
      </c>
      <c r="G3996">
        <v>0.12852299289764099</v>
      </c>
      <c r="H3996">
        <v>0.10855488462229</v>
      </c>
      <c r="I3996">
        <v>0.10359364290124499</v>
      </c>
      <c r="J3996">
        <v>0.11168635182304799</v>
      </c>
      <c r="K3996">
        <v>0.102259036901232</v>
      </c>
      <c r="L3996">
        <v>745.89587569010303</v>
      </c>
      <c r="M3996">
        <v>14.983562256022299</v>
      </c>
      <c r="N3996">
        <v>50.243771549113802</v>
      </c>
      <c r="O3996">
        <v>48.919474916149603</v>
      </c>
      <c r="P3996">
        <v>-7.1643928669784807E-2</v>
      </c>
      <c r="Q3996">
        <v>6.4460710966493404E-2</v>
      </c>
      <c r="R3996">
        <v>0.96841009625793095</v>
      </c>
      <c r="S3996" t="s">
        <v>10802</v>
      </c>
      <c r="T3996" t="s">
        <v>13610</v>
      </c>
      <c r="U3996" t="s">
        <v>13610</v>
      </c>
      <c r="V3996" t="s">
        <v>13610</v>
      </c>
      <c r="W3996" t="s">
        <v>17546</v>
      </c>
      <c r="X3996">
        <v>23</v>
      </c>
      <c r="Y3996" t="s">
        <v>21120</v>
      </c>
      <c r="Z3996" t="s">
        <v>30851</v>
      </c>
      <c r="AA3996">
        <v>0.39198926513535459</v>
      </c>
      <c r="AB3996" t="str">
        <f>HYPERLINK("Melting_Curves/meltCurve_Q6P1X5_TAF2.pdf", "Melting_Curves/meltCurve_Q6P1X5_TAF2.pdf")</f>
        <v>Melting_Curves/meltCurve_Q6P1X5_TAF2.pdf</v>
      </c>
    </row>
    <row r="3997" spans="1:28" x14ac:dyDescent="0.25">
      <c r="A3997" t="s">
        <v>4001</v>
      </c>
      <c r="B3997">
        <v>0.995954080203443</v>
      </c>
      <c r="C3997">
        <v>1.0167866996125701</v>
      </c>
      <c r="D3997">
        <v>0.93685996840154895</v>
      </c>
      <c r="E3997">
        <v>0.86424528853407101</v>
      </c>
      <c r="F3997">
        <v>0.72076331921494896</v>
      </c>
      <c r="G3997">
        <v>0.33191009923348502</v>
      </c>
      <c r="H3997">
        <v>0.13271899299148701</v>
      </c>
      <c r="I3997">
        <v>0.117564270266445</v>
      </c>
      <c r="J3997">
        <v>0.13224312537191299</v>
      </c>
      <c r="K3997">
        <v>8.7306066858512901E-2</v>
      </c>
      <c r="L3997">
        <v>1235.89640657678</v>
      </c>
      <c r="M3997">
        <v>22.6546334503889</v>
      </c>
      <c r="N3997">
        <v>55.0167715310509</v>
      </c>
      <c r="O3997">
        <v>54.134064350631597</v>
      </c>
      <c r="P3997">
        <v>-9.5545144517196798E-2</v>
      </c>
      <c r="Q3997">
        <v>8.6783832790575999E-2</v>
      </c>
      <c r="R3997">
        <v>0.99536138890083603</v>
      </c>
      <c r="S3997" t="s">
        <v>10803</v>
      </c>
      <c r="T3997" t="s">
        <v>13610</v>
      </c>
      <c r="U3997" t="s">
        <v>13610</v>
      </c>
      <c r="V3997" t="s">
        <v>13610</v>
      </c>
      <c r="W3997" t="s">
        <v>17547</v>
      </c>
      <c r="X3997">
        <v>7</v>
      </c>
      <c r="Y3997" t="s">
        <v>24141</v>
      </c>
      <c r="Z3997" t="s">
        <v>30852</v>
      </c>
      <c r="AA3997">
        <v>0.53984633719967834</v>
      </c>
      <c r="AB3997" t="str">
        <f>HYPERLINK("Melting_Curves/meltCurve_Q6P1X6_C8orf82.pdf", "Melting_Curves/meltCurve_Q6P1X6_C8orf82.pdf")</f>
        <v>Melting_Curves/meltCurve_Q6P1X6_C8orf82.pdf</v>
      </c>
    </row>
    <row r="3998" spans="1:28" x14ac:dyDescent="0.25">
      <c r="A3998" t="s">
        <v>4002</v>
      </c>
      <c r="B3998">
        <v>0.995954080203443</v>
      </c>
      <c r="C3998">
        <v>0.80249754681660201</v>
      </c>
      <c r="D3998">
        <v>0.68898572230615496</v>
      </c>
      <c r="E3998">
        <v>0.63871831536824397</v>
      </c>
      <c r="F3998">
        <v>0.28392179549524699</v>
      </c>
      <c r="G3998">
        <v>0.140486473634791</v>
      </c>
      <c r="H3998">
        <v>0.12226041744386</v>
      </c>
      <c r="I3998">
        <v>0.120985318438864</v>
      </c>
      <c r="J3998">
        <v>0.156737462120767</v>
      </c>
      <c r="K3998">
        <v>0.14567585781221901</v>
      </c>
      <c r="L3998">
        <v>635.76178796695399</v>
      </c>
      <c r="M3998">
        <v>12.948286636799899</v>
      </c>
      <c r="N3998">
        <v>49.830137181016603</v>
      </c>
      <c r="O3998">
        <v>47.973159239474697</v>
      </c>
      <c r="P3998">
        <v>-6.1657824323288299E-2</v>
      </c>
      <c r="Q3998">
        <v>8.6399132358379094E-2</v>
      </c>
      <c r="R3998">
        <v>0.95593409188121303</v>
      </c>
      <c r="S3998" t="s">
        <v>10804</v>
      </c>
      <c r="T3998" t="s">
        <v>13610</v>
      </c>
      <c r="U3998" t="s">
        <v>13610</v>
      </c>
      <c r="V3998" t="s">
        <v>13610</v>
      </c>
      <c r="W3998" t="s">
        <v>17548</v>
      </c>
      <c r="X3998">
        <v>10</v>
      </c>
      <c r="Y3998" t="s">
        <v>24142</v>
      </c>
      <c r="Z3998" t="s">
        <v>30853</v>
      </c>
      <c r="AA3998">
        <v>0.39283585822702749</v>
      </c>
      <c r="AB3998" t="str">
        <f>HYPERLINK("Melting_Curves/meltCurve_Q6P275_STAG1.pdf", "Melting_Curves/meltCurve_Q6P275_STAG1.pdf")</f>
        <v>Melting_Curves/meltCurve_Q6P275_STAG1.pdf</v>
      </c>
    </row>
    <row r="3999" spans="1:28" x14ac:dyDescent="0.25">
      <c r="A3999" t="s">
        <v>4003</v>
      </c>
      <c r="B3999">
        <v>0.995954080203443</v>
      </c>
      <c r="C3999">
        <v>0.689701094704814</v>
      </c>
      <c r="D3999">
        <v>0.45527884217811598</v>
      </c>
      <c r="E3999">
        <v>0.51588665906657705</v>
      </c>
      <c r="F3999">
        <v>0.214112007963698</v>
      </c>
      <c r="G3999">
        <v>8.9165957814325805E-2</v>
      </c>
      <c r="H3999">
        <v>5.5386944381500998E-2</v>
      </c>
      <c r="I3999">
        <v>4.9239987374062301E-2</v>
      </c>
      <c r="J3999">
        <v>5.2831811839476599E-2</v>
      </c>
      <c r="K3999">
        <v>5.2304378106762299E-2</v>
      </c>
      <c r="L3999">
        <v>511.21649093756002</v>
      </c>
      <c r="M3999">
        <v>10.829364059660501</v>
      </c>
      <c r="N3999">
        <v>47.2213964428555</v>
      </c>
      <c r="O3999">
        <v>45.682346933092298</v>
      </c>
      <c r="P3999">
        <v>-5.9184746652551197E-2</v>
      </c>
      <c r="Q3999">
        <v>1.70373039649444E-3</v>
      </c>
      <c r="R3999">
        <v>0.93860878389619995</v>
      </c>
      <c r="S3999" t="s">
        <v>10805</v>
      </c>
      <c r="T3999" t="s">
        <v>13610</v>
      </c>
      <c r="U3999" t="s">
        <v>13610</v>
      </c>
      <c r="V3999" t="s">
        <v>13610</v>
      </c>
      <c r="W3999" t="s">
        <v>17549</v>
      </c>
      <c r="X3999">
        <v>6</v>
      </c>
      <c r="Y3999" t="s">
        <v>24143</v>
      </c>
      <c r="Z3999" t="s">
        <v>30854</v>
      </c>
      <c r="AA3999">
        <v>0.29095460273312612</v>
      </c>
      <c r="AB3999" t="str">
        <f>HYPERLINK("Melting_Curves/meltCurve_Q6P2C8_MED27.pdf", "Melting_Curves/meltCurve_Q6P2C8_MED27.pdf")</f>
        <v>Melting_Curves/meltCurve_Q6P2C8_MED27.pdf</v>
      </c>
    </row>
    <row r="4000" spans="1:28" x14ac:dyDescent="0.25">
      <c r="A4000" t="s">
        <v>4004</v>
      </c>
      <c r="B4000">
        <v>0.995954080203443</v>
      </c>
      <c r="C4000">
        <v>0.93370473032814805</v>
      </c>
      <c r="D4000">
        <v>0.80709323673210398</v>
      </c>
      <c r="E4000">
        <v>0.617488442379591</v>
      </c>
      <c r="F4000">
        <v>0.413765522075491</v>
      </c>
      <c r="G4000">
        <v>0.28347687893393198</v>
      </c>
      <c r="H4000">
        <v>0.247941521410807</v>
      </c>
      <c r="I4000">
        <v>0.37442456657099099</v>
      </c>
      <c r="J4000">
        <v>0.405098319307857</v>
      </c>
      <c r="K4000">
        <v>0.447895870127971</v>
      </c>
      <c r="L4000">
        <v>1025.4561115537899</v>
      </c>
      <c r="M4000">
        <v>21.2328725318389</v>
      </c>
      <c r="N4000">
        <v>51.157394465392201</v>
      </c>
      <c r="O4000">
        <v>47.8734171609509</v>
      </c>
      <c r="P4000">
        <v>-7.2346026377236E-2</v>
      </c>
      <c r="Q4000">
        <v>0.34754709317415799</v>
      </c>
      <c r="R4000">
        <v>0.94275500103463805</v>
      </c>
      <c r="S4000" t="s">
        <v>10806</v>
      </c>
      <c r="T4000" t="s">
        <v>13610</v>
      </c>
      <c r="U4000" t="s">
        <v>13610</v>
      </c>
      <c r="V4000" t="s">
        <v>13610</v>
      </c>
      <c r="W4000" t="s">
        <v>17550</v>
      </c>
      <c r="X4000">
        <v>5</v>
      </c>
      <c r="Y4000" t="s">
        <v>24144</v>
      </c>
      <c r="Z4000" t="s">
        <v>30855</v>
      </c>
      <c r="AA4000">
        <v>0.53609835269856743</v>
      </c>
      <c r="AB4000" t="str">
        <f>HYPERLINK("Melting_Curves/meltCurve_Q6P2D0_2_ZFP1.pdf", "Melting_Curves/meltCurve_Q6P2D0_2_ZFP1.pdf")</f>
        <v>Melting_Curves/meltCurve_Q6P2D0_2_ZFP1.pdf</v>
      </c>
    </row>
    <row r="4001" spans="1:28" x14ac:dyDescent="0.25">
      <c r="A4001" t="s">
        <v>4005</v>
      </c>
      <c r="B4001">
        <v>0.995954080203443</v>
      </c>
      <c r="C4001">
        <v>1.0053873091195</v>
      </c>
      <c r="D4001">
        <v>0.95385653586193497</v>
      </c>
      <c r="E4001">
        <v>0.81831692192771699</v>
      </c>
      <c r="F4001">
        <v>0.527067639029977</v>
      </c>
      <c r="G4001">
        <v>0.21329047415822699</v>
      </c>
      <c r="H4001">
        <v>0.13059858139161901</v>
      </c>
      <c r="I4001">
        <v>0.122285740196937</v>
      </c>
      <c r="J4001">
        <v>0.121351390280888</v>
      </c>
      <c r="K4001">
        <v>0.130678798538132</v>
      </c>
      <c r="L4001">
        <v>1362.64072238779</v>
      </c>
      <c r="M4001">
        <v>25.887778038649301</v>
      </c>
      <c r="N4001">
        <v>53.176261142732798</v>
      </c>
      <c r="O4001">
        <v>52.3253915744097</v>
      </c>
      <c r="P4001">
        <v>-0.109396210112551</v>
      </c>
      <c r="Q4001">
        <v>0.115547006334277</v>
      </c>
      <c r="R4001">
        <v>0.99918574064600296</v>
      </c>
      <c r="S4001" t="s">
        <v>10807</v>
      </c>
      <c r="T4001" t="s">
        <v>13610</v>
      </c>
      <c r="U4001" t="s">
        <v>13610</v>
      </c>
      <c r="V4001" t="s">
        <v>13610</v>
      </c>
      <c r="W4001" t="s">
        <v>17551</v>
      </c>
      <c r="X4001">
        <v>53</v>
      </c>
      <c r="Y4001" t="s">
        <v>24145</v>
      </c>
      <c r="Z4001" t="s">
        <v>30856</v>
      </c>
      <c r="AA4001">
        <v>0.49569046252462212</v>
      </c>
      <c r="AB4001" t="str">
        <f>HYPERLINK("Melting_Curves/meltCurve_Q6P2E9_EDC4.pdf", "Melting_Curves/meltCurve_Q6P2E9_EDC4.pdf")</f>
        <v>Melting_Curves/meltCurve_Q6P2E9_EDC4.pdf</v>
      </c>
    </row>
    <row r="4002" spans="1:28" x14ac:dyDescent="0.25">
      <c r="A4002" t="s">
        <v>4006</v>
      </c>
      <c r="B4002">
        <v>0.995954080203443</v>
      </c>
      <c r="C4002">
        <v>0.85651828901646199</v>
      </c>
      <c r="D4002">
        <v>0.78271779000397801</v>
      </c>
      <c r="E4002">
        <v>0.66908604369881697</v>
      </c>
      <c r="F4002">
        <v>0.42808030699302402</v>
      </c>
      <c r="G4002">
        <v>0.27677020908785499</v>
      </c>
      <c r="H4002">
        <v>0.21279152233283999</v>
      </c>
      <c r="I4002">
        <v>0.221287235252038</v>
      </c>
      <c r="J4002">
        <v>0.25483369037063802</v>
      </c>
      <c r="K4002">
        <v>0.253311172397581</v>
      </c>
      <c r="L4002">
        <v>680.18954236928096</v>
      </c>
      <c r="M4002">
        <v>13.650827425668799</v>
      </c>
      <c r="N4002">
        <v>51.7331650259502</v>
      </c>
      <c r="O4002">
        <v>48.794890032573399</v>
      </c>
      <c r="P4002">
        <v>-5.6129396821832697E-2</v>
      </c>
      <c r="Q4002">
        <v>0.197578943509503</v>
      </c>
      <c r="R4002">
        <v>0.977303640652742</v>
      </c>
      <c r="S4002" t="s">
        <v>10808</v>
      </c>
      <c r="T4002" t="s">
        <v>13610</v>
      </c>
      <c r="U4002" t="s">
        <v>13610</v>
      </c>
      <c r="V4002" t="s">
        <v>13610</v>
      </c>
      <c r="W4002" t="s">
        <v>17552</v>
      </c>
      <c r="X4002">
        <v>8</v>
      </c>
      <c r="Y4002" t="s">
        <v>24146</v>
      </c>
      <c r="Z4002" t="s">
        <v>30857</v>
      </c>
      <c r="AA4002">
        <v>0.48313871071919162</v>
      </c>
      <c r="AB4002" t="str">
        <f>HYPERLINK("Melting_Curves/meltCurve_Q6P2H3_2_CEP85.pdf", "Melting_Curves/meltCurve_Q6P2H3_2_CEP85.pdf")</f>
        <v>Melting_Curves/meltCurve_Q6P2H3_2_CEP85.pdf</v>
      </c>
    </row>
    <row r="4003" spans="1:28" x14ac:dyDescent="0.25">
      <c r="A4003" t="s">
        <v>4007</v>
      </c>
      <c r="B4003">
        <v>0.995954080203443</v>
      </c>
      <c r="C4003">
        <v>1.07696857736411</v>
      </c>
      <c r="D4003">
        <v>0</v>
      </c>
      <c r="E4003">
        <v>0.78977625776516003</v>
      </c>
      <c r="F4003">
        <v>0.49645993171545399</v>
      </c>
      <c r="G4003">
        <v>0.20096444050708701</v>
      </c>
      <c r="H4003">
        <v>9.8278606253948603E-2</v>
      </c>
      <c r="I4003">
        <v>7.5346967705844897E-2</v>
      </c>
      <c r="J4003">
        <v>4.6241154115001001E-2</v>
      </c>
      <c r="K4003">
        <v>2.1733579356110599E-2</v>
      </c>
      <c r="L4003">
        <v>440.97867233911199</v>
      </c>
      <c r="M4003">
        <v>8.9399788819028601</v>
      </c>
      <c r="N4003">
        <v>49.326589998074098</v>
      </c>
      <c r="O4003">
        <v>47.045848058219001</v>
      </c>
      <c r="P4003">
        <v>-4.7542106745271803E-2</v>
      </c>
      <c r="Q4003">
        <v>0</v>
      </c>
      <c r="R4003">
        <v>0.59890906566104396</v>
      </c>
      <c r="S4003" t="s">
        <v>10809</v>
      </c>
      <c r="T4003" t="s">
        <v>13610</v>
      </c>
      <c r="U4003" t="s">
        <v>13610</v>
      </c>
      <c r="V4003" t="s">
        <v>13610</v>
      </c>
      <c r="W4003" t="s">
        <v>17553</v>
      </c>
      <c r="X4003">
        <v>11</v>
      </c>
      <c r="Y4003" t="s">
        <v>24147</v>
      </c>
      <c r="Z4003" t="s">
        <v>30858</v>
      </c>
      <c r="AA4003">
        <v>0.36652968278800568</v>
      </c>
      <c r="AB4003" t="str">
        <f>HYPERLINK("Melting_Curves/meltCurve_Q6P2I3_FAHD2B.pdf", "Melting_Curves/meltCurve_Q6P2I3_FAHD2B.pdf")</f>
        <v>Melting_Curves/meltCurve_Q6P2I3_FAHD2B.pdf</v>
      </c>
    </row>
    <row r="4004" spans="1:28" x14ac:dyDescent="0.25">
      <c r="A4004" t="s">
        <v>4008</v>
      </c>
      <c r="B4004">
        <v>0.995954080203443</v>
      </c>
      <c r="C4004">
        <v>0.93593814449719803</v>
      </c>
      <c r="D4004">
        <v>0.89174700882687197</v>
      </c>
      <c r="E4004">
        <v>0.74365612735517295</v>
      </c>
      <c r="F4004">
        <v>0.36253036373634201</v>
      </c>
      <c r="G4004">
        <v>0.16811527103007701</v>
      </c>
      <c r="H4004">
        <v>0.11721509373925799</v>
      </c>
      <c r="I4004">
        <v>0.13481196019636299</v>
      </c>
      <c r="J4004">
        <v>0.149570284766881</v>
      </c>
      <c r="K4004">
        <v>0.150936801803461</v>
      </c>
      <c r="L4004">
        <v>1438.6681554136301</v>
      </c>
      <c r="M4004">
        <v>28.069847326800801</v>
      </c>
      <c r="N4004">
        <v>51.8138128395344</v>
      </c>
      <c r="O4004">
        <v>50.995137002593403</v>
      </c>
      <c r="P4004">
        <v>-0.119588287719403</v>
      </c>
      <c r="Q4004">
        <v>0.13097221656258701</v>
      </c>
      <c r="R4004">
        <v>0.99087780989326002</v>
      </c>
      <c r="S4004" t="s">
        <v>10810</v>
      </c>
      <c r="T4004" t="s">
        <v>13610</v>
      </c>
      <c r="U4004" t="s">
        <v>13610</v>
      </c>
      <c r="V4004" t="s">
        <v>13610</v>
      </c>
      <c r="W4004" t="s">
        <v>17554</v>
      </c>
      <c r="X4004">
        <v>17</v>
      </c>
      <c r="Y4004" t="s">
        <v>24148</v>
      </c>
      <c r="Z4004" t="s">
        <v>30859</v>
      </c>
      <c r="AA4004">
        <v>0.46321302995159619</v>
      </c>
      <c r="AB4004" t="str">
        <f>HYPERLINK("Melting_Curves/meltCurve_Q6P2P2_PRMT10.pdf", "Melting_Curves/meltCurve_Q6P2P2_PRMT10.pdf")</f>
        <v>Melting_Curves/meltCurve_Q6P2P2_PRMT10.pdf</v>
      </c>
    </row>
    <row r="4005" spans="1:28" x14ac:dyDescent="0.25">
      <c r="A4005" t="s">
        <v>4009</v>
      </c>
      <c r="B4005">
        <v>0.995954080203443</v>
      </c>
      <c r="C4005">
        <v>0.67299492709782005</v>
      </c>
      <c r="D4005">
        <v>0.465948808487883</v>
      </c>
      <c r="E4005">
        <v>0.61177789905563995</v>
      </c>
      <c r="F4005">
        <v>0.21917767533251001</v>
      </c>
      <c r="G4005">
        <v>0.12055284110561899</v>
      </c>
      <c r="H4005">
        <v>8.09353687842366E-2</v>
      </c>
      <c r="I4005">
        <v>7.1621581772995699E-2</v>
      </c>
      <c r="J4005">
        <v>8.54521299080504E-2</v>
      </c>
      <c r="K4005">
        <v>7.1688082053919994E-2</v>
      </c>
      <c r="L4005">
        <v>470.28373707127599</v>
      </c>
      <c r="M4005">
        <v>9.8559669166473505</v>
      </c>
      <c r="N4005">
        <v>47.783078191602598</v>
      </c>
      <c r="O4005">
        <v>45.875836589746001</v>
      </c>
      <c r="P4005">
        <v>-5.3366458217773603E-2</v>
      </c>
      <c r="Q4005">
        <v>6.90713021505976E-3</v>
      </c>
      <c r="R4005">
        <v>0.90277702117330005</v>
      </c>
      <c r="S4005" t="s">
        <v>10811</v>
      </c>
      <c r="T4005" t="s">
        <v>13610</v>
      </c>
      <c r="U4005" t="s">
        <v>13610</v>
      </c>
      <c r="V4005" t="s">
        <v>13610</v>
      </c>
      <c r="W4005" t="s">
        <v>17555</v>
      </c>
      <c r="X4005">
        <v>72</v>
      </c>
      <c r="Y4005" t="s">
        <v>24149</v>
      </c>
      <c r="Z4005" t="s">
        <v>30860</v>
      </c>
      <c r="AA4005">
        <v>0.31736448528777578</v>
      </c>
      <c r="AB4005" t="str">
        <f>HYPERLINK("Melting_Curves/meltCurve_Q6P2Q9_PRPF8.pdf", "Melting_Curves/meltCurve_Q6P2Q9_PRPF8.pdf")</f>
        <v>Melting_Curves/meltCurve_Q6P2Q9_PRPF8.pdf</v>
      </c>
    </row>
    <row r="4006" spans="1:28" x14ac:dyDescent="0.25">
      <c r="A4006" t="s">
        <v>4010</v>
      </c>
      <c r="B4006">
        <v>0.995954080203443</v>
      </c>
      <c r="C4006">
        <v>1.11575840012815</v>
      </c>
      <c r="D4006">
        <v>1.07510926251976</v>
      </c>
      <c r="E4006">
        <v>0.90265237785824604</v>
      </c>
      <c r="F4006">
        <v>0.47468583190400399</v>
      </c>
      <c r="G4006">
        <v>0.206481258952187</v>
      </c>
      <c r="H4006">
        <v>0.16471985281875601</v>
      </c>
      <c r="I4006">
        <v>0.161244833609201</v>
      </c>
      <c r="J4006">
        <v>0.18955453790106999</v>
      </c>
      <c r="K4006">
        <v>0.16961451799220201</v>
      </c>
      <c r="L4006">
        <v>2287.7467779291801</v>
      </c>
      <c r="M4006">
        <v>43.715202590336801</v>
      </c>
      <c r="N4006">
        <v>52.847223887973797</v>
      </c>
      <c r="O4006">
        <v>52.223820443665801</v>
      </c>
      <c r="P4006">
        <v>-0.17301501851598999</v>
      </c>
      <c r="Q4006">
        <v>0.173240287535285</v>
      </c>
      <c r="R4006">
        <v>0.98761043944868299</v>
      </c>
      <c r="S4006" t="s">
        <v>10812</v>
      </c>
      <c r="T4006" t="s">
        <v>13610</v>
      </c>
      <c r="U4006" t="s">
        <v>13610</v>
      </c>
      <c r="V4006" t="s">
        <v>13610</v>
      </c>
      <c r="W4006" t="s">
        <v>17556</v>
      </c>
      <c r="X4006">
        <v>4</v>
      </c>
      <c r="Y4006" t="s">
        <v>24150</v>
      </c>
      <c r="Z4006" t="s">
        <v>30861</v>
      </c>
      <c r="AA4006">
        <v>0.51562071811821653</v>
      </c>
      <c r="AB4006" t="str">
        <f>HYPERLINK("Melting_Curves/meltCurve_Q6P3S1_5_DENND1B.pdf", "Melting_Curves/meltCurve_Q6P3S1_5_DENND1B.pdf")</f>
        <v>Melting_Curves/meltCurve_Q6P3S1_5_DENND1B.pdf</v>
      </c>
    </row>
    <row r="4007" spans="1:28" x14ac:dyDescent="0.25">
      <c r="A4007" t="s">
        <v>4011</v>
      </c>
      <c r="B4007">
        <v>0.995954080203443</v>
      </c>
      <c r="C4007">
        <v>0.83058797793789696</v>
      </c>
      <c r="D4007">
        <v>0.66061865210383297</v>
      </c>
      <c r="E4007">
        <v>0.65625521269256704</v>
      </c>
      <c r="F4007">
        <v>0.40245549611278297</v>
      </c>
      <c r="G4007">
        <v>0.20555094503362301</v>
      </c>
      <c r="H4007">
        <v>0.15677856152672401</v>
      </c>
      <c r="I4007">
        <v>0.197351085491106</v>
      </c>
      <c r="J4007">
        <v>0.203053923274613</v>
      </c>
      <c r="K4007">
        <v>0.21388028305725701</v>
      </c>
      <c r="L4007">
        <v>578.31404699442305</v>
      </c>
      <c r="M4007">
        <v>11.7501525926135</v>
      </c>
      <c r="N4007">
        <v>50.626708272329402</v>
      </c>
      <c r="O4007">
        <v>47.856901435667503</v>
      </c>
      <c r="P4007">
        <v>-5.2834222377817798E-2</v>
      </c>
      <c r="Q4007">
        <v>0.139476360279433</v>
      </c>
      <c r="R4007">
        <v>0.95451209167209305</v>
      </c>
      <c r="S4007" t="s">
        <v>10813</v>
      </c>
      <c r="T4007" t="s">
        <v>13610</v>
      </c>
      <c r="U4007" t="s">
        <v>13610</v>
      </c>
      <c r="V4007" t="s">
        <v>13610</v>
      </c>
      <c r="W4007" t="s">
        <v>17557</v>
      </c>
      <c r="X4007">
        <v>10</v>
      </c>
      <c r="Y4007" t="s">
        <v>24151</v>
      </c>
      <c r="Z4007" t="s">
        <v>30862</v>
      </c>
      <c r="AA4007">
        <v>0.43617144588288248</v>
      </c>
      <c r="AB4007" t="str">
        <f>HYPERLINK("Melting_Curves/meltCurve_Q6P3S6_FBXO42.pdf", "Melting_Curves/meltCurve_Q6P3S6_FBXO42.pdf")</f>
        <v>Melting_Curves/meltCurve_Q6P3S6_FBXO42.pdf</v>
      </c>
    </row>
    <row r="4008" spans="1:28" x14ac:dyDescent="0.25">
      <c r="A4008" t="s">
        <v>4012</v>
      </c>
      <c r="B4008">
        <v>0.995954080203443</v>
      </c>
      <c r="C4008">
        <v>1.00169657499777</v>
      </c>
      <c r="D4008">
        <v>0.96207656168535804</v>
      </c>
      <c r="E4008">
        <v>0.90115195618836097</v>
      </c>
      <c r="F4008">
        <v>0.70808891345211</v>
      </c>
      <c r="G4008">
        <v>0.27884473474617</v>
      </c>
      <c r="H4008">
        <v>0.101739294545886</v>
      </c>
      <c r="I4008">
        <v>8.9574691829671593E-2</v>
      </c>
      <c r="J4008">
        <v>9.0539825859574305E-2</v>
      </c>
      <c r="K4008">
        <v>8.7094519236598902E-2</v>
      </c>
      <c r="L4008">
        <v>1481.1647307807</v>
      </c>
      <c r="M4008">
        <v>27.240489866233901</v>
      </c>
      <c r="N4008">
        <v>54.703209320604998</v>
      </c>
      <c r="O4008">
        <v>54.083150939149299</v>
      </c>
      <c r="P4008">
        <v>-0.116391417375571</v>
      </c>
      <c r="Q4008">
        <v>7.5676791192489004E-2</v>
      </c>
      <c r="R4008">
        <v>0.99865324733397098</v>
      </c>
      <c r="S4008" t="s">
        <v>10814</v>
      </c>
      <c r="T4008" t="s">
        <v>13610</v>
      </c>
      <c r="U4008" t="s">
        <v>13610</v>
      </c>
      <c r="V4008" t="s">
        <v>13610</v>
      </c>
      <c r="W4008" t="s">
        <v>17558</v>
      </c>
      <c r="X4008">
        <v>23</v>
      </c>
      <c r="Y4008" t="s">
        <v>24152</v>
      </c>
      <c r="Z4008" t="s">
        <v>30863</v>
      </c>
      <c r="AA4008">
        <v>0.52585512085577324</v>
      </c>
      <c r="AB4008" t="str">
        <f>HYPERLINK("Melting_Curves/meltCurve_Q6P3W7_SCYL2.pdf", "Melting_Curves/meltCurve_Q6P3W7_SCYL2.pdf")</f>
        <v>Melting_Curves/meltCurve_Q6P3W7_SCYL2.pdf</v>
      </c>
    </row>
    <row r="4009" spans="1:28" x14ac:dyDescent="0.25">
      <c r="A4009" t="s">
        <v>4013</v>
      </c>
      <c r="B4009">
        <v>0.995954080203443</v>
      </c>
      <c r="C4009">
        <v>0.96364721159408395</v>
      </c>
      <c r="D4009">
        <v>0.74161968417443103</v>
      </c>
      <c r="E4009">
        <v>0.286718749096458</v>
      </c>
      <c r="F4009">
        <v>0.14387571083481299</v>
      </c>
      <c r="G4009">
        <v>8.8133825056826001E-2</v>
      </c>
      <c r="H4009">
        <v>5.9836665101454897E-2</v>
      </c>
      <c r="I4009">
        <v>5.7243630920392002E-2</v>
      </c>
      <c r="J4009">
        <v>5.4857525050873802E-2</v>
      </c>
      <c r="K4009">
        <v>5.4574532987774697E-2</v>
      </c>
      <c r="L4009">
        <v>1206.0317140401801</v>
      </c>
      <c r="M4009">
        <v>25.2312884110287</v>
      </c>
      <c r="N4009">
        <v>48.040807211044701</v>
      </c>
      <c r="O4009">
        <v>47.501833979030799</v>
      </c>
      <c r="P4009">
        <v>-0.12487582268766299</v>
      </c>
      <c r="Q4009">
        <v>5.96194467660143E-2</v>
      </c>
      <c r="R4009">
        <v>0.99956281674751901</v>
      </c>
      <c r="S4009" t="s">
        <v>10815</v>
      </c>
      <c r="T4009" t="s">
        <v>13610</v>
      </c>
      <c r="U4009" t="s">
        <v>13610</v>
      </c>
      <c r="V4009" t="s">
        <v>13610</v>
      </c>
      <c r="W4009" t="s">
        <v>17559</v>
      </c>
      <c r="X4009">
        <v>30</v>
      </c>
      <c r="Y4009" t="s">
        <v>24153</v>
      </c>
      <c r="Z4009" t="s">
        <v>30864</v>
      </c>
      <c r="AA4009">
        <v>0.31224428410679211</v>
      </c>
      <c r="AB4009" t="str">
        <f>HYPERLINK("Melting_Curves/meltCurve_Q6P3X3_TTC27.pdf", "Melting_Curves/meltCurve_Q6P3X3_TTC27.pdf")</f>
        <v>Melting_Curves/meltCurve_Q6P3X3_TTC27.pdf</v>
      </c>
    </row>
    <row r="4010" spans="1:28" x14ac:dyDescent="0.25">
      <c r="A4010" t="s">
        <v>4014</v>
      </c>
      <c r="B4010">
        <v>0.995954080203443</v>
      </c>
      <c r="C4010">
        <v>0.97806759440657798</v>
      </c>
      <c r="D4010">
        <v>0.84638878728481703</v>
      </c>
      <c r="E4010">
        <v>0.90926874613076003</v>
      </c>
      <c r="F4010">
        <v>0.64531862306518695</v>
      </c>
      <c r="G4010">
        <v>0.46962958094024698</v>
      </c>
      <c r="H4010">
        <v>0.34423880397009698</v>
      </c>
      <c r="I4010">
        <v>0.28057344125981198</v>
      </c>
      <c r="J4010">
        <v>0.238648333192611</v>
      </c>
      <c r="K4010">
        <v>0.18743381861574401</v>
      </c>
      <c r="L4010">
        <v>692.85779875596097</v>
      </c>
      <c r="M4010">
        <v>12.564825656520901</v>
      </c>
      <c r="N4010">
        <v>56.6741334087884</v>
      </c>
      <c r="O4010">
        <v>53.801797693937601</v>
      </c>
      <c r="P4010">
        <v>-4.9990408580443499E-2</v>
      </c>
      <c r="Q4010">
        <v>0.14394944484716199</v>
      </c>
      <c r="R4010">
        <v>0.98054460063152005</v>
      </c>
      <c r="S4010" t="s">
        <v>10816</v>
      </c>
      <c r="T4010" t="s">
        <v>13610</v>
      </c>
      <c r="U4010" t="s">
        <v>13610</v>
      </c>
      <c r="V4010" t="s">
        <v>13610</v>
      </c>
      <c r="W4010" t="s">
        <v>17560</v>
      </c>
      <c r="X4010">
        <v>3</v>
      </c>
      <c r="Y4010" t="s">
        <v>24154</v>
      </c>
      <c r="Z4010" t="s">
        <v>30865</v>
      </c>
      <c r="AA4010">
        <v>0.59515128802553185</v>
      </c>
      <c r="AB4010" t="str">
        <f>HYPERLINK("Melting_Curves/meltCurve_Q6P4A8_PLBD1.pdf", "Melting_Curves/meltCurve_Q6P4A8_PLBD1.pdf")</f>
        <v>Melting_Curves/meltCurve_Q6P4A8_PLBD1.pdf</v>
      </c>
    </row>
    <row r="4011" spans="1:28" x14ac:dyDescent="0.25">
      <c r="A4011" t="s">
        <v>4015</v>
      </c>
      <c r="B4011">
        <v>0.995954080203443</v>
      </c>
      <c r="C4011">
        <v>0.79532705675975401</v>
      </c>
      <c r="D4011">
        <v>0.62521942078883197</v>
      </c>
      <c r="E4011">
        <v>0.54966563755228204</v>
      </c>
      <c r="F4011">
        <v>0.42972275983253799</v>
      </c>
      <c r="G4011">
        <v>0.26949966941588199</v>
      </c>
      <c r="H4011">
        <v>0.24735848025443199</v>
      </c>
      <c r="I4011">
        <v>0.29821371620771198</v>
      </c>
      <c r="J4011">
        <v>0.40184872666896998</v>
      </c>
      <c r="K4011">
        <v>0.321179739590578</v>
      </c>
      <c r="L4011">
        <v>659.73125315950494</v>
      </c>
      <c r="M4011">
        <v>14.254501963138599</v>
      </c>
      <c r="N4011">
        <v>49.483805643597499</v>
      </c>
      <c r="O4011">
        <v>45.400005546270698</v>
      </c>
      <c r="P4011">
        <v>-5.4859481648294899E-2</v>
      </c>
      <c r="Q4011">
        <v>0.30118537336682699</v>
      </c>
      <c r="R4011">
        <v>0.94070167976618602</v>
      </c>
      <c r="S4011" t="s">
        <v>10817</v>
      </c>
      <c r="T4011" t="s">
        <v>13610</v>
      </c>
      <c r="U4011" t="s">
        <v>13610</v>
      </c>
      <c r="V4011" t="s">
        <v>13610</v>
      </c>
      <c r="W4011" t="s">
        <v>17561</v>
      </c>
      <c r="X4011">
        <v>3</v>
      </c>
      <c r="Y4011" t="s">
        <v>24155</v>
      </c>
      <c r="Z4011" t="s">
        <v>30866</v>
      </c>
      <c r="AA4011">
        <v>0.46970072323876572</v>
      </c>
      <c r="AB4011" t="str">
        <f>HYPERLINK("Melting_Curves/meltCurve_Q6P4F2_FDX1L.pdf", "Melting_Curves/meltCurve_Q6P4F2_FDX1L.pdf")</f>
        <v>Melting_Curves/meltCurve_Q6P4F2_FDX1L.pdf</v>
      </c>
    </row>
    <row r="4012" spans="1:28" x14ac:dyDescent="0.25">
      <c r="A4012" t="s">
        <v>4016</v>
      </c>
      <c r="B4012">
        <v>0.995954080203443</v>
      </c>
      <c r="C4012">
        <v>0.96054355597119201</v>
      </c>
      <c r="D4012">
        <v>1.04873871694944</v>
      </c>
      <c r="E4012">
        <v>0.80828022915722098</v>
      </c>
      <c r="F4012">
        <v>0.75481318324786895</v>
      </c>
      <c r="G4012">
        <v>0.43468553812308702</v>
      </c>
      <c r="H4012">
        <v>0.199208160882896</v>
      </c>
      <c r="I4012">
        <v>0.17547486421028399</v>
      </c>
      <c r="J4012">
        <v>0.176420900818926</v>
      </c>
      <c r="K4012">
        <v>0.17625443931939</v>
      </c>
      <c r="L4012">
        <v>1078.3669257378899</v>
      </c>
      <c r="M4012">
        <v>19.651660068618401</v>
      </c>
      <c r="N4012">
        <v>55.803184710437897</v>
      </c>
      <c r="O4012">
        <v>54.315354155909098</v>
      </c>
      <c r="P4012">
        <v>-7.7833968947189094E-2</v>
      </c>
      <c r="Q4012">
        <v>0.139526920663401</v>
      </c>
      <c r="R4012">
        <v>0.98631227303441105</v>
      </c>
      <c r="S4012" t="s">
        <v>10818</v>
      </c>
      <c r="T4012" t="s">
        <v>13610</v>
      </c>
      <c r="U4012" t="s">
        <v>13610</v>
      </c>
      <c r="V4012" t="s">
        <v>13610</v>
      </c>
      <c r="W4012" t="s">
        <v>17562</v>
      </c>
      <c r="X4012">
        <v>10</v>
      </c>
      <c r="Y4012" t="s">
        <v>24156</v>
      </c>
      <c r="Z4012" t="s">
        <v>30867</v>
      </c>
      <c r="AA4012">
        <v>0.57795257908258402</v>
      </c>
      <c r="AB4012" t="str">
        <f>HYPERLINK("Melting_Curves/meltCurve_Q6P4I2_WDR73.pdf", "Melting_Curves/meltCurve_Q6P4I2_WDR73.pdf")</f>
        <v>Melting_Curves/meltCurve_Q6P4I2_WDR73.pdf</v>
      </c>
    </row>
    <row r="4013" spans="1:28" x14ac:dyDescent="0.25">
      <c r="A4013" t="s">
        <v>4017</v>
      </c>
      <c r="B4013">
        <v>0.995954080203443</v>
      </c>
      <c r="C4013">
        <v>1.00795910657001</v>
      </c>
      <c r="D4013">
        <v>0.79913712517008995</v>
      </c>
      <c r="E4013">
        <v>0.87122552811350196</v>
      </c>
      <c r="F4013">
        <v>0.424227794847296</v>
      </c>
      <c r="G4013">
        <v>0.21245528551321299</v>
      </c>
      <c r="H4013">
        <v>0.103959266152903</v>
      </c>
      <c r="I4013">
        <v>0.115513752905895</v>
      </c>
      <c r="J4013">
        <v>0.11393019914216999</v>
      </c>
      <c r="K4013">
        <v>0.100716186952212</v>
      </c>
      <c r="L4013">
        <v>1467.71340332156</v>
      </c>
      <c r="M4013">
        <v>28.089668629842802</v>
      </c>
      <c r="N4013">
        <v>52.697084777156803</v>
      </c>
      <c r="O4013">
        <v>51.988335798814397</v>
      </c>
      <c r="P4013">
        <v>-0.120785141250539</v>
      </c>
      <c r="Q4013">
        <v>0.105811441897605</v>
      </c>
      <c r="R4013">
        <v>0.97152432722678095</v>
      </c>
      <c r="S4013" t="s">
        <v>10819</v>
      </c>
      <c r="T4013" t="s">
        <v>13610</v>
      </c>
      <c r="U4013" t="s">
        <v>13610</v>
      </c>
      <c r="V4013" t="s">
        <v>13610</v>
      </c>
      <c r="W4013" t="s">
        <v>17563</v>
      </c>
      <c r="X4013">
        <v>1</v>
      </c>
      <c r="Y4013" t="s">
        <v>24157</v>
      </c>
      <c r="Z4013" t="s">
        <v>30868</v>
      </c>
      <c r="AA4013">
        <v>0.47749696304435668</v>
      </c>
      <c r="AB4013" t="str">
        <f>HYPERLINK("Melting_Curves/meltCurve_Q6P577_MAGT1.pdf", "Melting_Curves/meltCurve_Q6P577_MAGT1.pdf")</f>
        <v>Melting_Curves/meltCurve_Q6P577_MAGT1.pdf</v>
      </c>
    </row>
    <row r="4014" spans="1:28" x14ac:dyDescent="0.25">
      <c r="A4014" t="s">
        <v>4018</v>
      </c>
      <c r="B4014">
        <v>0.995954080203443</v>
      </c>
      <c r="C4014">
        <v>0.95567984930835503</v>
      </c>
      <c r="D4014">
        <v>0.82335558351330096</v>
      </c>
      <c r="E4014">
        <v>0.84011444535858104</v>
      </c>
      <c r="F4014">
        <v>0.67245688850917595</v>
      </c>
      <c r="G4014">
        <v>0.47951204483382798</v>
      </c>
      <c r="H4014">
        <v>0.43624491696495299</v>
      </c>
      <c r="I4014">
        <v>0.50223130724614196</v>
      </c>
      <c r="J4014">
        <v>0.57971220995813399</v>
      </c>
      <c r="K4014">
        <v>0.57598277706953904</v>
      </c>
      <c r="L4014">
        <v>829.35753303150602</v>
      </c>
      <c r="M4014">
        <v>16.538966318984802</v>
      </c>
      <c r="O4014">
        <v>49.429762422572303</v>
      </c>
      <c r="P4014">
        <v>-4.1528379931401897E-2</v>
      </c>
      <c r="Q4014">
        <v>0.503573181654142</v>
      </c>
      <c r="R4014">
        <v>0.89305977517696999</v>
      </c>
      <c r="S4014" t="s">
        <v>10820</v>
      </c>
      <c r="T4014" t="s">
        <v>13610</v>
      </c>
      <c r="U4014" t="s">
        <v>13610</v>
      </c>
      <c r="V4014" t="s">
        <v>13610</v>
      </c>
      <c r="W4014" t="s">
        <v>17564</v>
      </c>
      <c r="X4014">
        <v>3</v>
      </c>
      <c r="Y4014" t="s">
        <v>24158</v>
      </c>
      <c r="Z4014" t="s">
        <v>30869</v>
      </c>
      <c r="AA4014">
        <v>0.68134886102151926</v>
      </c>
      <c r="AB4014" t="str">
        <f>HYPERLINK("Melting_Curves/meltCurve_Q6P582_MZT2A.pdf", "Melting_Curves/meltCurve_Q6P582_MZT2A.pdf")</f>
        <v>Melting_Curves/meltCurve_Q6P582_MZT2A.pdf</v>
      </c>
    </row>
    <row r="4015" spans="1:28" x14ac:dyDescent="0.25">
      <c r="A4015" t="s">
        <v>4019</v>
      </c>
      <c r="B4015">
        <v>0.995954080203443</v>
      </c>
      <c r="C4015">
        <v>1.0494160408972699</v>
      </c>
      <c r="D4015">
        <v>1.1679423363408601</v>
      </c>
      <c r="E4015">
        <v>0.99439026304490796</v>
      </c>
      <c r="F4015">
        <v>1.00761568504918</v>
      </c>
      <c r="G4015">
        <v>0.84539268784877697</v>
      </c>
      <c r="H4015">
        <v>0.73697488413619405</v>
      </c>
      <c r="I4015">
        <v>0.84037497350434298</v>
      </c>
      <c r="J4015">
        <v>0.91097739006127998</v>
      </c>
      <c r="K4015">
        <v>0.70046906490298</v>
      </c>
      <c r="L4015">
        <v>14183.5572548118</v>
      </c>
      <c r="M4015">
        <v>250</v>
      </c>
      <c r="O4015">
        <v>56.730598435073603</v>
      </c>
      <c r="P4015">
        <v>-0.22342541691909301</v>
      </c>
      <c r="Q4015">
        <v>0.79719907862676098</v>
      </c>
      <c r="R4015">
        <v>0.69289597842238904</v>
      </c>
      <c r="S4015" t="s">
        <v>10821</v>
      </c>
      <c r="T4015" t="s">
        <v>13610</v>
      </c>
      <c r="U4015" t="s">
        <v>13610</v>
      </c>
      <c r="V4015" t="s">
        <v>13610</v>
      </c>
      <c r="W4015" t="s">
        <v>17565</v>
      </c>
      <c r="X4015">
        <v>8</v>
      </c>
      <c r="Y4015" t="s">
        <v>24159</v>
      </c>
      <c r="Z4015" t="s">
        <v>30870</v>
      </c>
      <c r="AA4015">
        <v>0.9103431731649565</v>
      </c>
      <c r="AB4015" t="str">
        <f>HYPERLINK("Melting_Curves/meltCurve_Q6P587_FAHD1.pdf", "Melting_Curves/meltCurve_Q6P587_FAHD1.pdf")</f>
        <v>Melting_Curves/meltCurve_Q6P587_FAHD1.pdf</v>
      </c>
    </row>
    <row r="4016" spans="1:28" x14ac:dyDescent="0.25">
      <c r="A4016" t="s">
        <v>4020</v>
      </c>
      <c r="B4016">
        <v>0.995954080203443</v>
      </c>
      <c r="C4016">
        <v>0.92983061029359004</v>
      </c>
      <c r="D4016">
        <v>0.68293172478747899</v>
      </c>
      <c r="E4016">
        <v>0.47988216820135599</v>
      </c>
      <c r="F4016">
        <v>0.34089717326311503</v>
      </c>
      <c r="G4016">
        <v>0.235822663072044</v>
      </c>
      <c r="H4016">
        <v>0.18751682265721001</v>
      </c>
      <c r="I4016">
        <v>0.225366897126515</v>
      </c>
      <c r="J4016">
        <v>0.25058114675448301</v>
      </c>
      <c r="K4016">
        <v>0.23330459296827299</v>
      </c>
      <c r="L4016">
        <v>840.71505156672799</v>
      </c>
      <c r="M4016">
        <v>17.659884104798</v>
      </c>
      <c r="N4016">
        <v>49.1861072491104</v>
      </c>
      <c r="O4016">
        <v>47.0080894062921</v>
      </c>
      <c r="P4016">
        <v>-7.3590886034392303E-2</v>
      </c>
      <c r="Q4016">
        <v>0.21648818083284399</v>
      </c>
      <c r="R4016">
        <v>0.99104315498673201</v>
      </c>
      <c r="S4016" t="s">
        <v>10822</v>
      </c>
      <c r="T4016" t="s">
        <v>13610</v>
      </c>
      <c r="U4016" t="s">
        <v>13610</v>
      </c>
      <c r="V4016" t="s">
        <v>13610</v>
      </c>
      <c r="W4016" t="s">
        <v>17566</v>
      </c>
      <c r="X4016">
        <v>6</v>
      </c>
      <c r="Y4016" t="s">
        <v>24160</v>
      </c>
      <c r="Z4016" t="s">
        <v>30871</v>
      </c>
      <c r="AA4016">
        <v>0.42979997464678732</v>
      </c>
      <c r="AB4016" t="str">
        <f>HYPERLINK("Melting_Curves/meltCurve_Q6P5Z2_PKN3.pdf", "Melting_Curves/meltCurve_Q6P5Z2_PKN3.pdf")</f>
        <v>Melting_Curves/meltCurve_Q6P5Z2_PKN3.pdf</v>
      </c>
    </row>
    <row r="4017" spans="1:28" x14ac:dyDescent="0.25">
      <c r="A4017" t="s">
        <v>4021</v>
      </c>
      <c r="B4017">
        <v>0.995954080203443</v>
      </c>
      <c r="C4017">
        <v>0.79532373771270304</v>
      </c>
      <c r="D4017">
        <v>0.56247462209988697</v>
      </c>
      <c r="E4017">
        <v>0.46494238391234799</v>
      </c>
      <c r="F4017">
        <v>0.236654509954252</v>
      </c>
      <c r="G4017">
        <v>0.14528817701101601</v>
      </c>
      <c r="H4017">
        <v>0.106685149496157</v>
      </c>
      <c r="I4017">
        <v>9.4765935381623395E-2</v>
      </c>
      <c r="J4017">
        <v>8.9207255783638403E-2</v>
      </c>
      <c r="K4017">
        <v>0.110356673820638</v>
      </c>
      <c r="L4017">
        <v>622.72776516022998</v>
      </c>
      <c r="M4017">
        <v>13.143634566373899</v>
      </c>
      <c r="N4017">
        <v>47.952652941495103</v>
      </c>
      <c r="O4017">
        <v>46.322183188252801</v>
      </c>
      <c r="P4017">
        <v>-6.5783740600132201E-2</v>
      </c>
      <c r="Q4017">
        <v>7.2788982913460101E-2</v>
      </c>
      <c r="R4017">
        <v>0.98174436239861096</v>
      </c>
      <c r="S4017" t="s">
        <v>10823</v>
      </c>
      <c r="T4017" t="s">
        <v>13610</v>
      </c>
      <c r="U4017" t="s">
        <v>13610</v>
      </c>
      <c r="V4017" t="s">
        <v>13610</v>
      </c>
      <c r="W4017" t="s">
        <v>17567</v>
      </c>
      <c r="X4017">
        <v>3</v>
      </c>
      <c r="Y4017" t="s">
        <v>24161</v>
      </c>
      <c r="Z4017" t="s">
        <v>30872</v>
      </c>
      <c r="AA4017">
        <v>0.33280814883163962</v>
      </c>
      <c r="AB4017" t="str">
        <f>HYPERLINK("Melting_Curves/meltCurve_Q6P6B7_2_ANKRD16.pdf", "Melting_Curves/meltCurve_Q6P6B7_2_ANKRD16.pdf")</f>
        <v>Melting_Curves/meltCurve_Q6P6B7_2_ANKRD16.pdf</v>
      </c>
    </row>
    <row r="4018" spans="1:28" x14ac:dyDescent="0.25">
      <c r="A4018" t="s">
        <v>4022</v>
      </c>
      <c r="B4018">
        <v>0.995954080203443</v>
      </c>
      <c r="C4018">
        <v>0.83749574735777799</v>
      </c>
      <c r="D4018">
        <v>0.76376306989291098</v>
      </c>
      <c r="E4018">
        <v>0.487850710884352</v>
      </c>
      <c r="F4018">
        <v>0.42847718966243997</v>
      </c>
      <c r="G4018">
        <v>0.28924513375894101</v>
      </c>
      <c r="H4018">
        <v>0.25480298810560598</v>
      </c>
      <c r="I4018">
        <v>0.27230449287081399</v>
      </c>
      <c r="J4018">
        <v>0.33858096796196002</v>
      </c>
      <c r="K4018">
        <v>0.27923834529163399</v>
      </c>
      <c r="L4018">
        <v>744.73042180865195</v>
      </c>
      <c r="M4018">
        <v>15.6457162014826</v>
      </c>
      <c r="N4018">
        <v>50.112477784223799</v>
      </c>
      <c r="O4018">
        <v>46.842376976653703</v>
      </c>
      <c r="P4018">
        <v>-6.0808531380944303E-2</v>
      </c>
      <c r="Q4018">
        <v>0.27183346011061499</v>
      </c>
      <c r="R4018">
        <v>0.981366507790425</v>
      </c>
      <c r="S4018" t="s">
        <v>10824</v>
      </c>
      <c r="T4018" t="s">
        <v>13610</v>
      </c>
      <c r="U4018" t="s">
        <v>13610</v>
      </c>
      <c r="V4018" t="s">
        <v>13610</v>
      </c>
      <c r="W4018" t="s">
        <v>17568</v>
      </c>
      <c r="X4018">
        <v>16</v>
      </c>
      <c r="Y4018" t="s">
        <v>24162</v>
      </c>
      <c r="Z4018" t="s">
        <v>30873</v>
      </c>
      <c r="AA4018">
        <v>0.47384169903757462</v>
      </c>
      <c r="AB4018" t="str">
        <f>HYPERLINK("Melting_Curves/meltCurve_Q6P6C2_ALKBH5.pdf", "Melting_Curves/meltCurve_Q6P6C2_ALKBH5.pdf")</f>
        <v>Melting_Curves/meltCurve_Q6P6C2_ALKBH5.pdf</v>
      </c>
    </row>
    <row r="4019" spans="1:28" x14ac:dyDescent="0.25">
      <c r="A4019" t="s">
        <v>4023</v>
      </c>
      <c r="B4019">
        <v>0.995954080203443</v>
      </c>
      <c r="C4019">
        <v>0.61549408884642498</v>
      </c>
      <c r="D4019">
        <v>0.51753691499635102</v>
      </c>
      <c r="E4019">
        <v>0.349036668536513</v>
      </c>
      <c r="F4019">
        <v>0.19973582679965901</v>
      </c>
      <c r="G4019">
        <v>0.15031254124506399</v>
      </c>
      <c r="H4019">
        <v>0.13125736015635001</v>
      </c>
      <c r="I4019">
        <v>0.120034100928576</v>
      </c>
      <c r="J4019">
        <v>0.10666524460992299</v>
      </c>
      <c r="K4019">
        <v>0.133626533640226</v>
      </c>
      <c r="L4019">
        <v>640.00110381750505</v>
      </c>
      <c r="M4019">
        <v>14.1386267756544</v>
      </c>
      <c r="N4019">
        <v>46.098898930959301</v>
      </c>
      <c r="O4019">
        <v>44.3894752857708</v>
      </c>
      <c r="P4019">
        <v>-7.0663153633211101E-2</v>
      </c>
      <c r="Q4019">
        <v>0.11270021639090901</v>
      </c>
      <c r="R4019">
        <v>0.96416201891828102</v>
      </c>
      <c r="S4019" t="s">
        <v>10825</v>
      </c>
      <c r="T4019" t="s">
        <v>13610</v>
      </c>
      <c r="U4019" t="s">
        <v>13610</v>
      </c>
      <c r="V4019" t="s">
        <v>13610</v>
      </c>
      <c r="W4019" t="s">
        <v>17569</v>
      </c>
      <c r="X4019">
        <v>4</v>
      </c>
      <c r="Y4019" t="s">
        <v>24163</v>
      </c>
      <c r="Z4019" t="s">
        <v>30874</v>
      </c>
      <c r="AA4019">
        <v>0.29979700302322859</v>
      </c>
      <c r="AB4019" t="str">
        <f>HYPERLINK("Melting_Curves/meltCurve_Q6P9B9_INTS5.pdf", "Melting_Curves/meltCurve_Q6P9B9_INTS5.pdf")</f>
        <v>Melting_Curves/meltCurve_Q6P9B9_INTS5.pdf</v>
      </c>
    </row>
    <row r="4020" spans="1:28" x14ac:dyDescent="0.25">
      <c r="A4020" t="s">
        <v>4024</v>
      </c>
      <c r="B4020">
        <v>0.995954080203443</v>
      </c>
      <c r="C4020">
        <v>0.96101073439735996</v>
      </c>
      <c r="D4020">
        <v>0.883898365709474</v>
      </c>
      <c r="E4020">
        <v>0.73618310604833304</v>
      </c>
      <c r="F4020">
        <v>0.55659599157397899</v>
      </c>
      <c r="G4020">
        <v>0.38038641273561102</v>
      </c>
      <c r="H4020">
        <v>0.34592053286547397</v>
      </c>
      <c r="I4020">
        <v>0.389078124219851</v>
      </c>
      <c r="J4020">
        <v>0.43474628983560398</v>
      </c>
      <c r="K4020">
        <v>0.45573195652933302</v>
      </c>
      <c r="L4020">
        <v>1066.2865648899699</v>
      </c>
      <c r="M4020">
        <v>21.246316587550002</v>
      </c>
      <c r="N4020">
        <v>54.098369918270301</v>
      </c>
      <c r="O4020">
        <v>49.748632107033799</v>
      </c>
      <c r="P4020">
        <v>-6.4874259070148793E-2</v>
      </c>
      <c r="Q4020">
        <v>0.39239859384065501</v>
      </c>
      <c r="R4020">
        <v>0.97399855477232</v>
      </c>
      <c r="S4020" t="s">
        <v>10826</v>
      </c>
      <c r="T4020" t="s">
        <v>13610</v>
      </c>
      <c r="U4020" t="s">
        <v>13610</v>
      </c>
      <c r="V4020" t="s">
        <v>13610</v>
      </c>
      <c r="W4020" t="s">
        <v>17570</v>
      </c>
      <c r="X4020">
        <v>24</v>
      </c>
      <c r="Y4020" t="s">
        <v>24164</v>
      </c>
      <c r="Z4020" t="s">
        <v>30875</v>
      </c>
      <c r="AA4020">
        <v>0.60623132194730645</v>
      </c>
      <c r="AB4020" t="str">
        <f>HYPERLINK("Melting_Curves/meltCurve_Q6PCB5_RSBN1L.pdf", "Melting_Curves/meltCurve_Q6PCB5_RSBN1L.pdf")</f>
        <v>Melting_Curves/meltCurve_Q6PCB5_RSBN1L.pdf</v>
      </c>
    </row>
    <row r="4021" spans="1:28" x14ac:dyDescent="0.25">
      <c r="A4021" t="s">
        <v>4025</v>
      </c>
      <c r="B4021">
        <v>0.995954080203443</v>
      </c>
      <c r="C4021">
        <v>1.0010961269151499</v>
      </c>
      <c r="D4021">
        <v>0.910992240736889</v>
      </c>
      <c r="E4021">
        <v>0.83677916886618398</v>
      </c>
      <c r="F4021">
        <v>0.58263977015394897</v>
      </c>
      <c r="G4021">
        <v>0.29526823847801498</v>
      </c>
      <c r="H4021">
        <v>0.14288233327703001</v>
      </c>
      <c r="I4021">
        <v>0.11654416612157301</v>
      </c>
      <c r="J4021">
        <v>0.110325895746201</v>
      </c>
      <c r="K4021">
        <v>0.110481784975919</v>
      </c>
      <c r="L4021">
        <v>1074.43102124809</v>
      </c>
      <c r="M4021">
        <v>20.100499383141798</v>
      </c>
      <c r="N4021">
        <v>53.985572542059998</v>
      </c>
      <c r="O4021">
        <v>52.932321341187503</v>
      </c>
      <c r="P4021">
        <v>-8.6398956133690002E-2</v>
      </c>
      <c r="Q4021">
        <v>8.9942704044468205E-2</v>
      </c>
      <c r="R4021">
        <v>0.99717123180724498</v>
      </c>
      <c r="S4021" t="s">
        <v>10827</v>
      </c>
      <c r="T4021" t="s">
        <v>13610</v>
      </c>
      <c r="U4021" t="s">
        <v>13610</v>
      </c>
      <c r="V4021" t="s">
        <v>13610</v>
      </c>
      <c r="W4021" t="s">
        <v>17571</v>
      </c>
      <c r="X4021">
        <v>13</v>
      </c>
      <c r="Y4021" t="s">
        <v>24165</v>
      </c>
      <c r="Z4021" t="s">
        <v>30876</v>
      </c>
      <c r="AA4021">
        <v>0.51039805388252002</v>
      </c>
      <c r="AB4021" t="str">
        <f>HYPERLINK("Melting_Curves/meltCurve_Q6PCE3_PGM2L1.pdf", "Melting_Curves/meltCurve_Q6PCE3_PGM2L1.pdf")</f>
        <v>Melting_Curves/meltCurve_Q6PCE3_PGM2L1.pdf</v>
      </c>
    </row>
    <row r="4022" spans="1:28" x14ac:dyDescent="0.25">
      <c r="A4022" t="s">
        <v>4026</v>
      </c>
      <c r="B4022">
        <v>0.995954080203443</v>
      </c>
      <c r="C4022">
        <v>0.98006937529434401</v>
      </c>
      <c r="D4022">
        <v>0.93563406504598001</v>
      </c>
      <c r="E4022">
        <v>0.83022071032396605</v>
      </c>
      <c r="F4022">
        <v>0.73014113659268098</v>
      </c>
      <c r="G4022">
        <v>0.543801221967814</v>
      </c>
      <c r="H4022">
        <v>0.49245033320230402</v>
      </c>
      <c r="I4022">
        <v>0.57286122462838396</v>
      </c>
      <c r="J4022">
        <v>0.62028927339042295</v>
      </c>
      <c r="K4022">
        <v>0.64551604043877397</v>
      </c>
      <c r="L4022">
        <v>1240.46252530887</v>
      </c>
      <c r="M4022">
        <v>24.372761835696501</v>
      </c>
      <c r="O4022">
        <v>50.556506700244903</v>
      </c>
      <c r="P4022">
        <v>-5.1481200533535498E-2</v>
      </c>
      <c r="Q4022">
        <v>0.57285561702439303</v>
      </c>
      <c r="R4022">
        <v>0.93292911676777401</v>
      </c>
      <c r="S4022" t="s">
        <v>10828</v>
      </c>
      <c r="T4022" t="s">
        <v>13610</v>
      </c>
      <c r="U4022" t="s">
        <v>13610</v>
      </c>
      <c r="V4022" t="s">
        <v>13610</v>
      </c>
      <c r="W4022" t="s">
        <v>17572</v>
      </c>
      <c r="X4022">
        <v>14</v>
      </c>
      <c r="Y4022" t="s">
        <v>24166</v>
      </c>
      <c r="Z4022" t="s">
        <v>30877</v>
      </c>
      <c r="AA4022">
        <v>0.73203861704855244</v>
      </c>
      <c r="AB4022" t="str">
        <f>HYPERLINK("Melting_Curves/meltCurve_Q6PCT2_2_FBXL19.pdf", "Melting_Curves/meltCurve_Q6PCT2_2_FBXL19.pdf")</f>
        <v>Melting_Curves/meltCurve_Q6PCT2_2_FBXL19.pdf</v>
      </c>
    </row>
    <row r="4023" spans="1:28" x14ac:dyDescent="0.25">
      <c r="A4023" t="s">
        <v>4027</v>
      </c>
      <c r="B4023">
        <v>0.995954080203443</v>
      </c>
      <c r="C4023">
        <v>0.76025130181939005</v>
      </c>
      <c r="D4023">
        <v>0.56287150985996304</v>
      </c>
      <c r="E4023">
        <v>0.34130362739574699</v>
      </c>
      <c r="F4023">
        <v>0.21639345756039899</v>
      </c>
      <c r="G4023">
        <v>0.117462816939649</v>
      </c>
      <c r="H4023">
        <v>7.7531421560600403E-2</v>
      </c>
      <c r="I4023">
        <v>7.9824982658346602E-2</v>
      </c>
      <c r="J4023">
        <v>8.5902463284777103E-2</v>
      </c>
      <c r="K4023">
        <v>7.4707722615604003E-2</v>
      </c>
      <c r="L4023">
        <v>683.74237654687602</v>
      </c>
      <c r="M4023">
        <v>14.6628254410334</v>
      </c>
      <c r="N4023">
        <v>47.085944692549504</v>
      </c>
      <c r="O4023">
        <v>45.789409499446002</v>
      </c>
      <c r="P4023">
        <v>-7.4776658419098793E-2</v>
      </c>
      <c r="Q4023">
        <v>6.6045693548932999E-2</v>
      </c>
      <c r="R4023">
        <v>0.99212282885621095</v>
      </c>
      <c r="S4023" t="s">
        <v>10829</v>
      </c>
      <c r="T4023" t="s">
        <v>13610</v>
      </c>
      <c r="U4023" t="s">
        <v>13610</v>
      </c>
      <c r="V4023" t="s">
        <v>13610</v>
      </c>
      <c r="W4023" t="s">
        <v>17573</v>
      </c>
      <c r="X4023">
        <v>36</v>
      </c>
      <c r="Y4023" t="s">
        <v>24167</v>
      </c>
      <c r="Z4023" t="s">
        <v>30878</v>
      </c>
      <c r="AA4023">
        <v>0.29973228086718701</v>
      </c>
      <c r="AB4023" t="str">
        <f>HYPERLINK("Melting_Curves/meltCurve_Q6PD62_CTR9.pdf", "Melting_Curves/meltCurve_Q6PD62_CTR9.pdf")</f>
        <v>Melting_Curves/meltCurve_Q6PD62_CTR9.pdf</v>
      </c>
    </row>
    <row r="4024" spans="1:28" x14ac:dyDescent="0.25">
      <c r="A4024" t="s">
        <v>4028</v>
      </c>
      <c r="B4024">
        <v>0.995954080203443</v>
      </c>
      <c r="C4024">
        <v>1.0420768728109699</v>
      </c>
      <c r="D4024">
        <v>0.97369243245773496</v>
      </c>
      <c r="E4024">
        <v>0.66623781134405302</v>
      </c>
      <c r="F4024">
        <v>0.22592936703019201</v>
      </c>
      <c r="G4024">
        <v>0.110151501224444</v>
      </c>
      <c r="H4024">
        <v>8.6981559453903595E-2</v>
      </c>
      <c r="I4024">
        <v>9.7782282350847599E-2</v>
      </c>
      <c r="J4024">
        <v>9.2322821216160797E-2</v>
      </c>
      <c r="K4024">
        <v>0.104002352757362</v>
      </c>
      <c r="L4024">
        <v>2024.70488779692</v>
      </c>
      <c r="M4024">
        <v>39.965369227385501</v>
      </c>
      <c r="N4024">
        <v>50.931960443639198</v>
      </c>
      <c r="O4024">
        <v>50.535128583797601</v>
      </c>
      <c r="P4024">
        <v>-0.1788073181997</v>
      </c>
      <c r="Q4024">
        <v>9.5613654261819794E-2</v>
      </c>
      <c r="R4024">
        <v>0.998680580728742</v>
      </c>
      <c r="S4024" t="s">
        <v>10830</v>
      </c>
      <c r="T4024" t="s">
        <v>13610</v>
      </c>
      <c r="U4024" t="s">
        <v>13610</v>
      </c>
      <c r="V4024" t="s">
        <v>13610</v>
      </c>
      <c r="W4024" t="s">
        <v>17574</v>
      </c>
      <c r="X4024">
        <v>9</v>
      </c>
      <c r="Y4024" t="s">
        <v>24168</v>
      </c>
      <c r="Z4024" t="s">
        <v>30879</v>
      </c>
      <c r="AA4024">
        <v>0.42018976416867182</v>
      </c>
      <c r="AB4024" t="str">
        <f>HYPERLINK("Melting_Curves/meltCurve_Q6PD74_AAGAB.pdf", "Melting_Curves/meltCurve_Q6PD74_AAGAB.pdf")</f>
        <v>Melting_Curves/meltCurve_Q6PD74_AAGAB.pdf</v>
      </c>
    </row>
    <row r="4025" spans="1:28" x14ac:dyDescent="0.25">
      <c r="A4025" t="s">
        <v>4029</v>
      </c>
      <c r="B4025">
        <v>0.995954080203443</v>
      </c>
      <c r="C4025">
        <v>0.97595137265112497</v>
      </c>
      <c r="D4025">
        <v>0.74061039538225804</v>
      </c>
      <c r="E4025">
        <v>0.78910722732203498</v>
      </c>
      <c r="F4025">
        <v>0.61555923087332898</v>
      </c>
      <c r="G4025">
        <v>0.476329237279215</v>
      </c>
      <c r="H4025">
        <v>0.44779812161490201</v>
      </c>
      <c r="I4025">
        <v>0.49409665184368601</v>
      </c>
      <c r="J4025">
        <v>0.52912428855986104</v>
      </c>
      <c r="K4025">
        <v>0.64990681327706301</v>
      </c>
      <c r="L4025">
        <v>750.63875256908</v>
      </c>
      <c r="M4025">
        <v>15.6192379179328</v>
      </c>
      <c r="O4025">
        <v>47.291506793876302</v>
      </c>
      <c r="P4025">
        <v>-4.00018734165093E-2</v>
      </c>
      <c r="Q4025">
        <v>0.51557539526515905</v>
      </c>
      <c r="R4025">
        <v>0.851325454400093</v>
      </c>
      <c r="S4025" t="s">
        <v>10831</v>
      </c>
      <c r="T4025" t="s">
        <v>13610</v>
      </c>
      <c r="U4025" t="s">
        <v>13610</v>
      </c>
      <c r="V4025" t="s">
        <v>13610</v>
      </c>
      <c r="W4025" t="s">
        <v>17575</v>
      </c>
      <c r="X4025">
        <v>1</v>
      </c>
      <c r="Y4025" t="s">
        <v>24169</v>
      </c>
      <c r="Z4025" t="s">
        <v>30880</v>
      </c>
      <c r="AA4025">
        <v>0.65717224240297967</v>
      </c>
      <c r="AB4025" t="str">
        <f>HYPERLINK("Melting_Curves/meltCurve_Q6PEV8_2_FAM199X.pdf", "Melting_Curves/meltCurve_Q6PEV8_2_FAM199X.pdf")</f>
        <v>Melting_Curves/meltCurve_Q6PEV8_2_FAM199X.pdf</v>
      </c>
    </row>
    <row r="4026" spans="1:28" x14ac:dyDescent="0.25">
      <c r="A4026" t="s">
        <v>4030</v>
      </c>
      <c r="B4026">
        <v>0.995954080203443</v>
      </c>
      <c r="C4026">
        <v>0.91091079167289002</v>
      </c>
      <c r="D4026">
        <v>0.428607773051565</v>
      </c>
      <c r="E4026">
        <v>0.29288002486180897</v>
      </c>
      <c r="F4026">
        <v>0.185561876060509</v>
      </c>
      <c r="G4026">
        <v>8.1527330707541701E-2</v>
      </c>
      <c r="H4026">
        <v>5.68772736899378E-2</v>
      </c>
      <c r="I4026">
        <v>4.7355259464989197E-2</v>
      </c>
      <c r="J4026">
        <v>5.42553237384652E-2</v>
      </c>
      <c r="K4026">
        <v>5.6347702927152403E-2</v>
      </c>
      <c r="L4026">
        <v>936.919970537636</v>
      </c>
      <c r="M4026">
        <v>20.357843715280801</v>
      </c>
      <c r="N4026">
        <v>46.358186050145299</v>
      </c>
      <c r="O4026">
        <v>45.585380777938198</v>
      </c>
      <c r="P4026">
        <v>-0.103999862833152</v>
      </c>
      <c r="Q4026">
        <v>6.8520298152381406E-2</v>
      </c>
      <c r="R4026">
        <v>0.97483400701026002</v>
      </c>
      <c r="S4026" t="s">
        <v>10832</v>
      </c>
      <c r="T4026" t="s">
        <v>13610</v>
      </c>
      <c r="U4026" t="s">
        <v>13610</v>
      </c>
      <c r="V4026" t="s">
        <v>13610</v>
      </c>
      <c r="W4026" t="s">
        <v>17576</v>
      </c>
      <c r="X4026">
        <v>15</v>
      </c>
      <c r="Y4026" t="s">
        <v>24170</v>
      </c>
      <c r="Z4026" t="s">
        <v>30881</v>
      </c>
      <c r="AA4026">
        <v>0.26932089786678298</v>
      </c>
      <c r="AB4026" t="str">
        <f>HYPERLINK("Melting_Curves/meltCurve_Q6PFW1_7_PPIP5K1.pdf", "Melting_Curves/meltCurve_Q6PFW1_7_PPIP5K1.pdf")</f>
        <v>Melting_Curves/meltCurve_Q6PFW1_7_PPIP5K1.pdf</v>
      </c>
    </row>
    <row r="4027" spans="1:28" x14ac:dyDescent="0.25">
      <c r="A4027" t="s">
        <v>4031</v>
      </c>
      <c r="B4027">
        <v>0.995954080203443</v>
      </c>
      <c r="C4027">
        <v>0.90151870333972495</v>
      </c>
      <c r="D4027">
        <v>0.88990401080415604</v>
      </c>
      <c r="E4027">
        <v>0.83184926309399498</v>
      </c>
      <c r="F4027">
        <v>0.75712147618851799</v>
      </c>
      <c r="G4027">
        <v>0.51573199806799597</v>
      </c>
      <c r="H4027">
        <v>0.48807398859600298</v>
      </c>
      <c r="I4027">
        <v>0.56133521237807604</v>
      </c>
      <c r="J4027">
        <v>0.64184484223378002</v>
      </c>
      <c r="K4027">
        <v>0.66129003361903704</v>
      </c>
      <c r="L4027">
        <v>856.38646939382204</v>
      </c>
      <c r="M4027">
        <v>17.056316897706999</v>
      </c>
      <c r="O4027">
        <v>49.534398444737</v>
      </c>
      <c r="P4027">
        <v>-3.70591685460126E-2</v>
      </c>
      <c r="Q4027">
        <v>0.56952213999796097</v>
      </c>
      <c r="R4027">
        <v>0.83610697238958498</v>
      </c>
      <c r="S4027" t="s">
        <v>10833</v>
      </c>
      <c r="T4027" t="s">
        <v>13610</v>
      </c>
      <c r="U4027" t="s">
        <v>13610</v>
      </c>
      <c r="V4027" t="s">
        <v>13610</v>
      </c>
      <c r="W4027" t="s">
        <v>17577</v>
      </c>
      <c r="X4027">
        <v>7</v>
      </c>
      <c r="Y4027" t="s">
        <v>24171</v>
      </c>
      <c r="Z4027" t="s">
        <v>30882</v>
      </c>
      <c r="AA4027">
        <v>0.72411258425243907</v>
      </c>
      <c r="AB4027" t="str">
        <f>HYPERLINK("Melting_Curves/meltCurve_Q6PGN9_2_PSRC1.pdf", "Melting_Curves/meltCurve_Q6PGN9_2_PSRC1.pdf")</f>
        <v>Melting_Curves/meltCurve_Q6PGN9_2_PSRC1.pdf</v>
      </c>
    </row>
    <row r="4028" spans="1:28" x14ac:dyDescent="0.25">
      <c r="A4028" t="s">
        <v>4032</v>
      </c>
      <c r="B4028">
        <v>0.995954080203443</v>
      </c>
      <c r="C4028">
        <v>0.78941242063708705</v>
      </c>
      <c r="D4028">
        <v>0.71184000543343195</v>
      </c>
      <c r="E4028">
        <v>0.69909065336667198</v>
      </c>
      <c r="F4028">
        <v>0.669704580553798</v>
      </c>
      <c r="G4028">
        <v>0.53518632226592799</v>
      </c>
      <c r="H4028">
        <v>0.52409402439414798</v>
      </c>
      <c r="I4028">
        <v>0.590973850713991</v>
      </c>
      <c r="J4028">
        <v>0.75627624874278998</v>
      </c>
      <c r="K4028">
        <v>0.67739337922753795</v>
      </c>
      <c r="L4028">
        <v>1067.9582462880901</v>
      </c>
      <c r="M4028">
        <v>24.8066738301039</v>
      </c>
      <c r="O4028">
        <v>42.774413796655203</v>
      </c>
      <c r="P4028">
        <v>-5.3084875782486801E-2</v>
      </c>
      <c r="Q4028">
        <v>0.63386589338129495</v>
      </c>
      <c r="R4028">
        <v>0.71701523106526799</v>
      </c>
      <c r="S4028" t="s">
        <v>10834</v>
      </c>
      <c r="T4028" t="s">
        <v>13610</v>
      </c>
      <c r="U4028" t="s">
        <v>13610</v>
      </c>
      <c r="V4028" t="s">
        <v>13610</v>
      </c>
      <c r="W4028" t="s">
        <v>17578</v>
      </c>
      <c r="X4028">
        <v>2</v>
      </c>
      <c r="Y4028" t="s">
        <v>24172</v>
      </c>
      <c r="Z4028" t="s">
        <v>30883</v>
      </c>
      <c r="AA4028">
        <v>0.67636344531265025</v>
      </c>
      <c r="AB4028" t="str">
        <f>HYPERLINK("Melting_Curves/meltCurve_Q6PH81_2_C16orf87.pdf", "Melting_Curves/meltCurve_Q6PH81_2_C16orf87.pdf")</f>
        <v>Melting_Curves/meltCurve_Q6PH81_2_C16orf87.pdf</v>
      </c>
    </row>
    <row r="4029" spans="1:28" x14ac:dyDescent="0.25">
      <c r="A4029" t="s">
        <v>4033</v>
      </c>
      <c r="B4029">
        <v>0.995954080203443</v>
      </c>
      <c r="C4029">
        <v>0.82771632787629601</v>
      </c>
      <c r="D4029">
        <v>0.600241415522347</v>
      </c>
      <c r="E4029">
        <v>0.34135430403464501</v>
      </c>
      <c r="F4029">
        <v>0.21479149136974801</v>
      </c>
      <c r="G4029">
        <v>0.14113578691738099</v>
      </c>
      <c r="H4029">
        <v>0.112279870105936</v>
      </c>
      <c r="I4029">
        <v>0.111091143619654</v>
      </c>
      <c r="J4029">
        <v>0.12820035209816999</v>
      </c>
      <c r="K4029">
        <v>9.9236348582448702E-2</v>
      </c>
      <c r="L4029">
        <v>796.57103782824004</v>
      </c>
      <c r="M4029">
        <v>17.044191192166</v>
      </c>
      <c r="N4029">
        <v>47.395331804371303</v>
      </c>
      <c r="O4029">
        <v>46.106514897368299</v>
      </c>
      <c r="P4029">
        <v>-8.2663355294932503E-2</v>
      </c>
      <c r="Q4029">
        <v>0.105598946905943</v>
      </c>
      <c r="R4029">
        <v>0.99698860032962999</v>
      </c>
      <c r="S4029" t="s">
        <v>10835</v>
      </c>
      <c r="T4029" t="s">
        <v>13610</v>
      </c>
      <c r="U4029" t="s">
        <v>13610</v>
      </c>
      <c r="V4029" t="s">
        <v>13610</v>
      </c>
      <c r="W4029" t="s">
        <v>17579</v>
      </c>
      <c r="X4029">
        <v>5</v>
      </c>
      <c r="Y4029" t="s">
        <v>24173</v>
      </c>
      <c r="Z4029" t="s">
        <v>30884</v>
      </c>
      <c r="AA4029">
        <v>0.32525775710328098</v>
      </c>
      <c r="AB4029" t="str">
        <f>HYPERLINK("Melting_Curves/meltCurve_Q6PHR2_3_ULK3.pdf", "Melting_Curves/meltCurve_Q6PHR2_3_ULK3.pdf")</f>
        <v>Melting_Curves/meltCurve_Q6PHR2_3_ULK3.pdf</v>
      </c>
    </row>
    <row r="4030" spans="1:28" x14ac:dyDescent="0.25">
      <c r="A4030" t="s">
        <v>4034</v>
      </c>
      <c r="B4030">
        <v>0.995954080203443</v>
      </c>
      <c r="C4030">
        <v>0.80401192747498595</v>
      </c>
      <c r="D4030">
        <v>0.48332422412640802</v>
      </c>
      <c r="E4030">
        <v>0.33568284613920202</v>
      </c>
      <c r="F4030">
        <v>0.18550861830180601</v>
      </c>
      <c r="G4030">
        <v>0.110133751725494</v>
      </c>
      <c r="H4030">
        <v>7.91827931377969E-2</v>
      </c>
      <c r="I4030">
        <v>7.5290230234308406E-2</v>
      </c>
      <c r="J4030">
        <v>8.4903407906870801E-2</v>
      </c>
      <c r="K4030">
        <v>8.0798323362904295E-2</v>
      </c>
      <c r="L4030">
        <v>762.697453444698</v>
      </c>
      <c r="M4030">
        <v>16.536067042781301</v>
      </c>
      <c r="N4030">
        <v>46.600398797251202</v>
      </c>
      <c r="O4030">
        <v>45.464562037136297</v>
      </c>
      <c r="P4030">
        <v>-8.3852974476306297E-2</v>
      </c>
      <c r="Q4030">
        <v>7.7876003417810993E-2</v>
      </c>
      <c r="R4030">
        <v>0.98778272904317299</v>
      </c>
      <c r="S4030" t="s">
        <v>10836</v>
      </c>
      <c r="T4030" t="s">
        <v>13610</v>
      </c>
      <c r="U4030" t="s">
        <v>13610</v>
      </c>
      <c r="V4030" t="s">
        <v>13610</v>
      </c>
      <c r="W4030" t="s">
        <v>17580</v>
      </c>
      <c r="X4030">
        <v>15</v>
      </c>
      <c r="Y4030" t="s">
        <v>24174</v>
      </c>
      <c r="Z4030" t="s">
        <v>30885</v>
      </c>
      <c r="AA4030">
        <v>0.28772593872875241</v>
      </c>
      <c r="AB4030" t="str">
        <f>HYPERLINK("Melting_Curves/meltCurve_Q6PI48_DARS2.pdf", "Melting_Curves/meltCurve_Q6PI48_DARS2.pdf")</f>
        <v>Melting_Curves/meltCurve_Q6PI48_DARS2.pdf</v>
      </c>
    </row>
    <row r="4031" spans="1:28" x14ac:dyDescent="0.25">
      <c r="A4031" t="s">
        <v>4035</v>
      </c>
      <c r="B4031">
        <v>0.995954080203443</v>
      </c>
      <c r="C4031">
        <v>0.83077421534752605</v>
      </c>
      <c r="D4031">
        <v>0.66810296088430499</v>
      </c>
      <c r="E4031">
        <v>0.48811401821959299</v>
      </c>
      <c r="F4031">
        <v>0.21778475782574799</v>
      </c>
      <c r="G4031">
        <v>0.109909944615446</v>
      </c>
      <c r="H4031">
        <v>6.4648449564054203E-2</v>
      </c>
      <c r="I4031">
        <v>5.2840497761478998E-2</v>
      </c>
      <c r="J4031">
        <v>6.8025277217826197E-2</v>
      </c>
      <c r="K4031">
        <v>5.4616059446001397E-2</v>
      </c>
      <c r="L4031">
        <v>678.68887189048598</v>
      </c>
      <c r="M4031">
        <v>13.976959984969699</v>
      </c>
      <c r="N4031">
        <v>48.740938469534903</v>
      </c>
      <c r="O4031">
        <v>47.596094811070301</v>
      </c>
      <c r="P4031">
        <v>-7.1544773014217494E-2</v>
      </c>
      <c r="Q4031">
        <v>2.5596885105954599E-2</v>
      </c>
      <c r="R4031">
        <v>0.98982544830407704</v>
      </c>
      <c r="S4031" t="s">
        <v>10837</v>
      </c>
      <c r="T4031" t="s">
        <v>13610</v>
      </c>
      <c r="U4031" t="s">
        <v>13610</v>
      </c>
      <c r="V4031" t="s">
        <v>13610</v>
      </c>
      <c r="W4031" t="s">
        <v>17581</v>
      </c>
      <c r="X4031">
        <v>5</v>
      </c>
      <c r="Y4031" t="s">
        <v>24175</v>
      </c>
      <c r="Z4031" t="s">
        <v>30886</v>
      </c>
      <c r="AA4031">
        <v>0.33152906383009673</v>
      </c>
      <c r="AB4031" t="str">
        <f>HYPERLINK("Melting_Curves/meltCurve_Q6PID6_TTC33.pdf", "Melting_Curves/meltCurve_Q6PID6_TTC33.pdf")</f>
        <v>Melting_Curves/meltCurve_Q6PID6_TTC33.pdf</v>
      </c>
    </row>
    <row r="4032" spans="1:28" x14ac:dyDescent="0.25">
      <c r="A4032" t="s">
        <v>4036</v>
      </c>
      <c r="B4032">
        <v>0.995954080203443</v>
      </c>
      <c r="C4032">
        <v>0.96725199501185899</v>
      </c>
      <c r="D4032">
        <v>1.0465152772106101</v>
      </c>
      <c r="E4032">
        <v>0.93295021500964004</v>
      </c>
      <c r="F4032">
        <v>0.94874201308653705</v>
      </c>
      <c r="G4032">
        <v>0.68292149479827302</v>
      </c>
      <c r="H4032">
        <v>0.67689438509690902</v>
      </c>
      <c r="I4032">
        <v>0.80338665782347296</v>
      </c>
      <c r="J4032">
        <v>1.07188497044387</v>
      </c>
      <c r="K4032">
        <v>0.94591344122607801</v>
      </c>
      <c r="L4032">
        <v>13291.6819164894</v>
      </c>
      <c r="M4032">
        <v>250</v>
      </c>
      <c r="O4032">
        <v>53.163320334927697</v>
      </c>
      <c r="P4032">
        <v>-0.192566734613621</v>
      </c>
      <c r="Q4032">
        <v>0.83620019275358304</v>
      </c>
      <c r="R4032">
        <v>0.28825067569837498</v>
      </c>
      <c r="S4032" t="s">
        <v>10838</v>
      </c>
      <c r="T4032" t="s">
        <v>13610</v>
      </c>
      <c r="U4032" t="s">
        <v>13610</v>
      </c>
      <c r="V4032" t="s">
        <v>13610</v>
      </c>
      <c r="W4032" t="s">
        <v>17582</v>
      </c>
      <c r="X4032">
        <v>11</v>
      </c>
      <c r="Y4032" t="s">
        <v>24176</v>
      </c>
      <c r="Z4032" t="s">
        <v>30887</v>
      </c>
      <c r="AA4032">
        <v>0.90810572484442642</v>
      </c>
      <c r="AB4032" t="str">
        <f>HYPERLINK("Melting_Curves/meltCurve_Q6PII3_CCDC174.pdf", "Melting_Curves/meltCurve_Q6PII3_CCDC174.pdf")</f>
        <v>Melting_Curves/meltCurve_Q6PII3_CCDC174.pdf</v>
      </c>
    </row>
    <row r="4033" spans="1:28" x14ac:dyDescent="0.25">
      <c r="A4033" t="s">
        <v>4037</v>
      </c>
      <c r="B4033">
        <v>0.995954080203443</v>
      </c>
      <c r="C4033">
        <v>0.97414753355797101</v>
      </c>
      <c r="D4033">
        <v>0.94557050213007399</v>
      </c>
      <c r="E4033">
        <v>0.83674899492941401</v>
      </c>
      <c r="F4033">
        <v>0.753513396778839</v>
      </c>
      <c r="G4033">
        <v>0.52885361870612901</v>
      </c>
      <c r="H4033">
        <v>0.49689306427163599</v>
      </c>
      <c r="I4033">
        <v>0.51466338148318003</v>
      </c>
      <c r="J4033">
        <v>0.44032337090301599</v>
      </c>
      <c r="K4033">
        <v>0.26250121885169803</v>
      </c>
      <c r="L4033">
        <v>539.32589585797405</v>
      </c>
      <c r="M4033">
        <v>9.5340815565091699</v>
      </c>
      <c r="N4033">
        <v>60.862502777296903</v>
      </c>
      <c r="O4033">
        <v>54.247338547749401</v>
      </c>
      <c r="P4033">
        <v>-3.3199791761284903E-2</v>
      </c>
      <c r="Q4033">
        <v>0.244835448937229</v>
      </c>
      <c r="R4033">
        <v>0.95901518185539003</v>
      </c>
      <c r="S4033" t="s">
        <v>10839</v>
      </c>
      <c r="T4033" t="s">
        <v>13610</v>
      </c>
      <c r="U4033" t="s">
        <v>13610</v>
      </c>
      <c r="V4033" t="s">
        <v>13610</v>
      </c>
      <c r="W4033" t="s">
        <v>17583</v>
      </c>
      <c r="X4033">
        <v>9</v>
      </c>
      <c r="Y4033" t="s">
        <v>24177</v>
      </c>
      <c r="Z4033" t="s">
        <v>30888</v>
      </c>
      <c r="AA4033">
        <v>0.67533511378479816</v>
      </c>
      <c r="AB4033" t="str">
        <f>HYPERLINK("Melting_Curves/meltCurve_Q6PII5_2_HAGHL.pdf", "Melting_Curves/meltCurve_Q6PII5_2_HAGHL.pdf")</f>
        <v>Melting_Curves/meltCurve_Q6PII5_2_HAGHL.pdf</v>
      </c>
    </row>
    <row r="4034" spans="1:28" x14ac:dyDescent="0.25">
      <c r="A4034" t="s">
        <v>4038</v>
      </c>
      <c r="B4034">
        <v>0.995954080203443</v>
      </c>
      <c r="C4034">
        <v>0.85567743404694596</v>
      </c>
      <c r="D4034">
        <v>0.97710286787729295</v>
      </c>
      <c r="E4034">
        <v>0.760744379519389</v>
      </c>
      <c r="F4034">
        <v>0.85644683260793697</v>
      </c>
      <c r="G4034">
        <v>0.71181225253352598</v>
      </c>
      <c r="H4034">
        <v>0.656645724594351</v>
      </c>
      <c r="I4034">
        <v>0.544591126416474</v>
      </c>
      <c r="J4034">
        <v>0.970429067153605</v>
      </c>
      <c r="K4034">
        <v>1.0131101108643601</v>
      </c>
      <c r="L4034">
        <v>772.68336207099105</v>
      </c>
      <c r="M4034">
        <v>17.0537715177602</v>
      </c>
      <c r="O4034">
        <v>44.699406633059098</v>
      </c>
      <c r="P4034">
        <v>-2.0538456878293001E-2</v>
      </c>
      <c r="Q4034">
        <v>0.78468087176229795</v>
      </c>
      <c r="R4034">
        <v>0.18084010356046701</v>
      </c>
      <c r="S4034" t="s">
        <v>10840</v>
      </c>
      <c r="T4034" t="s">
        <v>13610</v>
      </c>
      <c r="U4034" t="s">
        <v>13610</v>
      </c>
      <c r="V4034" t="s">
        <v>13610</v>
      </c>
      <c r="W4034" t="s">
        <v>17584</v>
      </c>
      <c r="X4034">
        <v>7</v>
      </c>
      <c r="Y4034" t="s">
        <v>24178</v>
      </c>
      <c r="Z4034" t="s">
        <v>30889</v>
      </c>
      <c r="AA4034">
        <v>0.82785473483010885</v>
      </c>
      <c r="AB4034" t="str">
        <f>HYPERLINK("Melting_Curves/meltCurve_Q6PIJ6_FBXO38.pdf", "Melting_Curves/meltCurve_Q6PIJ6_FBXO38.pdf")</f>
        <v>Melting_Curves/meltCurve_Q6PIJ6_FBXO38.pdf</v>
      </c>
    </row>
    <row r="4035" spans="1:28" x14ac:dyDescent="0.25">
      <c r="A4035" t="s">
        <v>4039</v>
      </c>
      <c r="B4035">
        <v>0.995954080203443</v>
      </c>
      <c r="C4035">
        <v>0.93340750733590305</v>
      </c>
      <c r="D4035">
        <v>0.75193243678646904</v>
      </c>
      <c r="E4035">
        <v>0.71599236442651704</v>
      </c>
      <c r="F4035">
        <v>0.51217540764734004</v>
      </c>
      <c r="G4035">
        <v>0.26877449775052797</v>
      </c>
      <c r="H4035">
        <v>0.14907562674510899</v>
      </c>
      <c r="I4035">
        <v>0.14167904589487099</v>
      </c>
      <c r="J4035">
        <v>0.16688956470971</v>
      </c>
      <c r="K4035">
        <v>0.14243920525887599</v>
      </c>
      <c r="L4035">
        <v>645.42549729655104</v>
      </c>
      <c r="M4035">
        <v>12.4365376355187</v>
      </c>
      <c r="N4035">
        <v>52.620595979707403</v>
      </c>
      <c r="O4035">
        <v>50.610476337887597</v>
      </c>
      <c r="P4035">
        <v>-5.6619320352301203E-2</v>
      </c>
      <c r="Q4035">
        <v>7.8544339202766905E-2</v>
      </c>
      <c r="R4035">
        <v>0.98010836213160801</v>
      </c>
      <c r="S4035" t="s">
        <v>10841</v>
      </c>
      <c r="T4035" t="s">
        <v>13610</v>
      </c>
      <c r="U4035" t="s">
        <v>13610</v>
      </c>
      <c r="V4035" t="s">
        <v>13610</v>
      </c>
      <c r="W4035" t="s">
        <v>17585</v>
      </c>
      <c r="X4035">
        <v>12</v>
      </c>
      <c r="Y4035" t="s">
        <v>24179</v>
      </c>
      <c r="Z4035" t="s">
        <v>30890</v>
      </c>
      <c r="AA4035">
        <v>0.47106463715901609</v>
      </c>
      <c r="AB4035" t="str">
        <f>HYPERLINK("Melting_Curves/meltCurve_Q6PIW4_2_FIGNL1.pdf", "Melting_Curves/meltCurve_Q6PIW4_2_FIGNL1.pdf")</f>
        <v>Melting_Curves/meltCurve_Q6PIW4_2_FIGNL1.pdf</v>
      </c>
    </row>
    <row r="4036" spans="1:28" x14ac:dyDescent="0.25">
      <c r="A4036" t="s">
        <v>4040</v>
      </c>
      <c r="B4036">
        <v>0.995954080203443</v>
      </c>
      <c r="C4036">
        <v>0.811193819100823</v>
      </c>
      <c r="D4036">
        <v>0.53326348229174403</v>
      </c>
      <c r="E4036">
        <v>0.457157372762098</v>
      </c>
      <c r="F4036">
        <v>0.28079784155364201</v>
      </c>
      <c r="G4036">
        <v>0.213819706451819</v>
      </c>
      <c r="H4036">
        <v>0.14477991920380801</v>
      </c>
      <c r="I4036">
        <v>0.193477712342396</v>
      </c>
      <c r="J4036">
        <v>0.15180140893485999</v>
      </c>
      <c r="K4036">
        <v>0.1714268958032</v>
      </c>
      <c r="L4036">
        <v>664.66675019590195</v>
      </c>
      <c r="M4036">
        <v>14.2822665340542</v>
      </c>
      <c r="N4036">
        <v>47.788488512293902</v>
      </c>
      <c r="O4036">
        <v>45.654066678079801</v>
      </c>
      <c r="P4036">
        <v>-6.6022312055685803E-2</v>
      </c>
      <c r="Q4036">
        <v>0.15592721001643001</v>
      </c>
      <c r="R4036">
        <v>0.97690305233781205</v>
      </c>
      <c r="S4036" t="s">
        <v>10842</v>
      </c>
      <c r="T4036" t="s">
        <v>13610</v>
      </c>
      <c r="U4036" t="s">
        <v>13610</v>
      </c>
      <c r="V4036" t="s">
        <v>13610</v>
      </c>
      <c r="W4036" t="s">
        <v>17586</v>
      </c>
      <c r="X4036">
        <v>2</v>
      </c>
      <c r="Y4036" t="s">
        <v>24180</v>
      </c>
      <c r="Z4036" t="s">
        <v>30891</v>
      </c>
      <c r="AA4036">
        <v>0.36604301143333878</v>
      </c>
      <c r="AB4036" t="str">
        <f>HYPERLINK("Melting_Curves/meltCurve_Q6PJ61_FBXO46.pdf", "Melting_Curves/meltCurve_Q6PJ61_FBXO46.pdf")</f>
        <v>Melting_Curves/meltCurve_Q6PJ61_FBXO46.pdf</v>
      </c>
    </row>
    <row r="4037" spans="1:28" x14ac:dyDescent="0.25">
      <c r="A4037" t="s">
        <v>4041</v>
      </c>
      <c r="B4037">
        <v>0.995954080203443</v>
      </c>
      <c r="C4037">
        <v>0.83826546532632595</v>
      </c>
      <c r="D4037">
        <v>0.56252117126317303</v>
      </c>
      <c r="E4037">
        <v>0.33405366287239502</v>
      </c>
      <c r="F4037">
        <v>0.242285676009073</v>
      </c>
      <c r="G4037">
        <v>0.13401933650676701</v>
      </c>
      <c r="H4037">
        <v>0.106295928635881</v>
      </c>
      <c r="I4037">
        <v>0.113857886198513</v>
      </c>
      <c r="J4037">
        <v>0.141315466502138</v>
      </c>
      <c r="K4037">
        <v>0.124852932073008</v>
      </c>
      <c r="L4037">
        <v>811.71824041194202</v>
      </c>
      <c r="M4037">
        <v>17.474952919985501</v>
      </c>
      <c r="N4037">
        <v>47.179952430576201</v>
      </c>
      <c r="O4037">
        <v>45.8549160027966</v>
      </c>
      <c r="P4037">
        <v>-8.3997778121888203E-2</v>
      </c>
      <c r="Q4037">
        <v>0.11839620507965801</v>
      </c>
      <c r="R4037">
        <v>0.993631065031508</v>
      </c>
      <c r="S4037" t="s">
        <v>10843</v>
      </c>
      <c r="T4037" t="s">
        <v>13610</v>
      </c>
      <c r="U4037" t="s">
        <v>13610</v>
      </c>
      <c r="V4037" t="s">
        <v>13610</v>
      </c>
      <c r="W4037" t="s">
        <v>17587</v>
      </c>
      <c r="X4037">
        <v>12</v>
      </c>
      <c r="Y4037" t="s">
        <v>24181</v>
      </c>
      <c r="Z4037" t="s">
        <v>30892</v>
      </c>
      <c r="AA4037">
        <v>0.32585844357664151</v>
      </c>
      <c r="AB4037" t="str">
        <f>HYPERLINK("Melting_Curves/meltCurve_Q6PJ69_TRIM65.pdf", "Melting_Curves/meltCurve_Q6PJ69_TRIM65.pdf")</f>
        <v>Melting_Curves/meltCurve_Q6PJ69_TRIM65.pdf</v>
      </c>
    </row>
    <row r="4038" spans="1:28" x14ac:dyDescent="0.25">
      <c r="A4038" t="s">
        <v>4042</v>
      </c>
      <c r="B4038">
        <v>0.995954080203443</v>
      </c>
      <c r="C4038">
        <v>1.0106181800137699</v>
      </c>
      <c r="D4038">
        <v>0.94870891747636399</v>
      </c>
      <c r="E4038">
        <v>0.82791753253815903</v>
      </c>
      <c r="F4038">
        <v>0.66937284023855104</v>
      </c>
      <c r="G4038">
        <v>0.50510878099456402</v>
      </c>
      <c r="H4038">
        <v>0.471550404921739</v>
      </c>
      <c r="I4038">
        <v>0.55989849883877996</v>
      </c>
      <c r="J4038">
        <v>0.60663572247534503</v>
      </c>
      <c r="K4038">
        <v>0.68359141280083502</v>
      </c>
      <c r="L4038">
        <v>1648.0322062631001</v>
      </c>
      <c r="M4038">
        <v>32.5484271740495</v>
      </c>
      <c r="O4038">
        <v>50.443274315706397</v>
      </c>
      <c r="P4038">
        <v>-6.99636172830011E-2</v>
      </c>
      <c r="Q4038">
        <v>0.56628615435165597</v>
      </c>
      <c r="R4038">
        <v>0.91502161819809302</v>
      </c>
      <c r="S4038" t="s">
        <v>10844</v>
      </c>
      <c r="T4038" t="s">
        <v>13610</v>
      </c>
      <c r="U4038" t="s">
        <v>13610</v>
      </c>
      <c r="V4038" t="s">
        <v>13610</v>
      </c>
      <c r="W4038" t="s">
        <v>17588</v>
      </c>
      <c r="X4038">
        <v>21</v>
      </c>
      <c r="Y4038" t="s">
        <v>24182</v>
      </c>
      <c r="Z4038" t="s">
        <v>30893</v>
      </c>
      <c r="AA4038">
        <v>0.72231252698903625</v>
      </c>
      <c r="AB4038" t="str">
        <f>HYPERLINK("Melting_Curves/meltCurve_Q6PJG2_ELMSAN1.pdf", "Melting_Curves/meltCurve_Q6PJG2_ELMSAN1.pdf")</f>
        <v>Melting_Curves/meltCurve_Q6PJG2_ELMSAN1.pdf</v>
      </c>
    </row>
    <row r="4039" spans="1:28" x14ac:dyDescent="0.25">
      <c r="A4039" t="s">
        <v>4043</v>
      </c>
      <c r="B4039">
        <v>0.995954080203443</v>
      </c>
      <c r="C4039">
        <v>0.59352786323904605</v>
      </c>
      <c r="D4039">
        <v>0.34471189688545201</v>
      </c>
      <c r="E4039">
        <v>0.32660237609627701</v>
      </c>
      <c r="F4039">
        <v>0.22694388193175799</v>
      </c>
      <c r="G4039">
        <v>0.14699159574984499</v>
      </c>
      <c r="H4039">
        <v>7.0202833271642395E-2</v>
      </c>
      <c r="I4039">
        <v>5.6602621205477002E-2</v>
      </c>
      <c r="J4039">
        <v>5.8531094542974303E-2</v>
      </c>
      <c r="K4039">
        <v>5.2543268476628199E-2</v>
      </c>
      <c r="L4039">
        <v>652.77689436755202</v>
      </c>
      <c r="M4039">
        <v>14.655672758923901</v>
      </c>
      <c r="N4039">
        <v>45.064186610298599</v>
      </c>
      <c r="O4039">
        <v>43.736289611531802</v>
      </c>
      <c r="P4039">
        <v>-7.7226772422923501E-2</v>
      </c>
      <c r="Q4039">
        <v>7.8244167658005001E-2</v>
      </c>
      <c r="R4039">
        <v>0.93854072575388503</v>
      </c>
      <c r="S4039" t="s">
        <v>10845</v>
      </c>
      <c r="T4039" t="s">
        <v>13610</v>
      </c>
      <c r="U4039" t="s">
        <v>13610</v>
      </c>
      <c r="V4039" t="s">
        <v>13610</v>
      </c>
      <c r="W4039" t="s">
        <v>17589</v>
      </c>
      <c r="X4039">
        <v>17</v>
      </c>
      <c r="Y4039" t="s">
        <v>24183</v>
      </c>
      <c r="Z4039" t="s">
        <v>30894</v>
      </c>
      <c r="AA4039">
        <v>0.25049938729207388</v>
      </c>
      <c r="AB4039" t="str">
        <f>HYPERLINK("Melting_Curves/meltCurve_Q6PJG6_BRAT1.pdf", "Melting_Curves/meltCurve_Q6PJG6_BRAT1.pdf")</f>
        <v>Melting_Curves/meltCurve_Q6PJG6_BRAT1.pdf</v>
      </c>
    </row>
    <row r="4040" spans="1:28" x14ac:dyDescent="0.25">
      <c r="A4040" t="s">
        <v>4044</v>
      </c>
      <c r="B4040">
        <v>0.995954080203443</v>
      </c>
      <c r="C4040">
        <v>0.84438370383161399</v>
      </c>
      <c r="D4040">
        <v>0.73784569922634002</v>
      </c>
      <c r="E4040">
        <v>0.68853165307095998</v>
      </c>
      <c r="F4040">
        <v>0.47497989690582298</v>
      </c>
      <c r="G4040">
        <v>0.28797101749072801</v>
      </c>
      <c r="H4040">
        <v>0.187978855145359</v>
      </c>
      <c r="I4040">
        <v>0.151986630213782</v>
      </c>
      <c r="J4040">
        <v>0.171435231127128</v>
      </c>
      <c r="K4040">
        <v>0.13874473295614301</v>
      </c>
      <c r="L4040">
        <v>523.88954894795802</v>
      </c>
      <c r="M4040">
        <v>10.1440625673412</v>
      </c>
      <c r="N4040">
        <v>52.270666906360702</v>
      </c>
      <c r="O4040">
        <v>49.7584759088273</v>
      </c>
      <c r="P4040">
        <v>-4.8074641470381603E-2</v>
      </c>
      <c r="Q4040">
        <v>5.7174647993882298E-2</v>
      </c>
      <c r="R4040">
        <v>0.98143288660919303</v>
      </c>
      <c r="S4040" t="s">
        <v>10846</v>
      </c>
      <c r="T4040" t="s">
        <v>13610</v>
      </c>
      <c r="U4040" t="s">
        <v>13610</v>
      </c>
      <c r="V4040" t="s">
        <v>13610</v>
      </c>
      <c r="W4040" t="s">
        <v>17590</v>
      </c>
      <c r="X4040">
        <v>4</v>
      </c>
      <c r="Y4040" t="s">
        <v>24184</v>
      </c>
      <c r="Z4040" t="s">
        <v>30895</v>
      </c>
      <c r="AA4040">
        <v>0.45956144667408338</v>
      </c>
      <c r="AB4040" t="str">
        <f>HYPERLINK("Melting_Curves/meltCurve_Q6PJI9_WDR59.pdf", "Melting_Curves/meltCurve_Q6PJI9_WDR59.pdf")</f>
        <v>Melting_Curves/meltCurve_Q6PJI9_WDR59.pdf</v>
      </c>
    </row>
    <row r="4041" spans="1:28" x14ac:dyDescent="0.25">
      <c r="A4041" t="s">
        <v>4045</v>
      </c>
      <c r="B4041">
        <v>0.995954080203443</v>
      </c>
      <c r="C4041">
        <v>0.902477057010594</v>
      </c>
      <c r="D4041">
        <v>1.0539603273050899</v>
      </c>
      <c r="E4041">
        <v>0.85224523735028002</v>
      </c>
      <c r="F4041">
        <v>0.92606412847567399</v>
      </c>
      <c r="G4041">
        <v>0.73949640950471196</v>
      </c>
      <c r="H4041">
        <v>0.74976442140480504</v>
      </c>
      <c r="I4041">
        <v>0.87133150914597002</v>
      </c>
      <c r="J4041">
        <v>1.13047712807019</v>
      </c>
      <c r="K4041">
        <v>0.99969475801458996</v>
      </c>
      <c r="L4041">
        <v>11986.108462235101</v>
      </c>
      <c r="M4041">
        <v>250</v>
      </c>
      <c r="O4041">
        <v>47.941341177849701</v>
      </c>
      <c r="P4041">
        <v>-0.13612743142814099</v>
      </c>
      <c r="Q4041">
        <v>0.89558184009347697</v>
      </c>
      <c r="R4041">
        <v>0.109715710001497</v>
      </c>
      <c r="S4041" t="s">
        <v>10847</v>
      </c>
      <c r="T4041" t="s">
        <v>13610</v>
      </c>
      <c r="U4041" t="s">
        <v>13610</v>
      </c>
      <c r="V4041" t="s">
        <v>13610</v>
      </c>
      <c r="W4041" t="s">
        <v>17591</v>
      </c>
      <c r="X4041">
        <v>3</v>
      </c>
      <c r="Y4041" t="s">
        <v>24185</v>
      </c>
      <c r="Z4041" t="s">
        <v>30896</v>
      </c>
      <c r="AA4041">
        <v>0.92324206481881377</v>
      </c>
      <c r="AB4041" t="str">
        <f>HYPERLINK("Melting_Curves/meltCurve_Q6PJP8_DCLRE1A.pdf", "Melting_Curves/meltCurve_Q6PJP8_DCLRE1A.pdf")</f>
        <v>Melting_Curves/meltCurve_Q6PJP8_DCLRE1A.pdf</v>
      </c>
    </row>
    <row r="4042" spans="1:28" x14ac:dyDescent="0.25">
      <c r="A4042" t="s">
        <v>4046</v>
      </c>
      <c r="B4042">
        <v>0.995954080203443</v>
      </c>
      <c r="C4042">
        <v>1.0658741323549299</v>
      </c>
      <c r="D4042">
        <v>1.01168332647364</v>
      </c>
      <c r="E4042">
        <v>0.91868257326395797</v>
      </c>
      <c r="F4042">
        <v>0.63177075651340397</v>
      </c>
      <c r="G4042">
        <v>0.40440701850608501</v>
      </c>
      <c r="H4042">
        <v>0.32523817809368399</v>
      </c>
      <c r="I4042">
        <v>0.33242166154067798</v>
      </c>
      <c r="J4042">
        <v>0.33442587672442098</v>
      </c>
      <c r="K4042">
        <v>0.438771843125975</v>
      </c>
      <c r="L4042">
        <v>1972.9049826001401</v>
      </c>
      <c r="M4042">
        <v>37.517079760823698</v>
      </c>
      <c r="N4042">
        <v>54.425624077469699</v>
      </c>
      <c r="O4042">
        <v>52.438113181271</v>
      </c>
      <c r="P4042">
        <v>-0.11460982030295599</v>
      </c>
      <c r="Q4042">
        <v>0.35923519469286203</v>
      </c>
      <c r="R4042">
        <v>0.98472304150413903</v>
      </c>
      <c r="S4042" t="s">
        <v>10848</v>
      </c>
      <c r="T4042" t="s">
        <v>13610</v>
      </c>
      <c r="U4042" t="s">
        <v>13610</v>
      </c>
      <c r="V4042" t="s">
        <v>13610</v>
      </c>
      <c r="W4042" t="s">
        <v>17592</v>
      </c>
      <c r="X4042">
        <v>26</v>
      </c>
      <c r="Y4042" t="s">
        <v>24186</v>
      </c>
      <c r="Z4042" t="s">
        <v>30897</v>
      </c>
      <c r="AA4042">
        <v>0.63072220857374739</v>
      </c>
      <c r="AB4042" t="str">
        <f>HYPERLINK("Melting_Curves/meltCurve_Q6PJT7_3_ZC3H14.pdf", "Melting_Curves/meltCurve_Q6PJT7_3_ZC3H14.pdf")</f>
        <v>Melting_Curves/meltCurve_Q6PJT7_3_ZC3H14.pdf</v>
      </c>
    </row>
    <row r="4043" spans="1:28" x14ac:dyDescent="0.25">
      <c r="A4043" t="s">
        <v>4047</v>
      </c>
      <c r="B4043">
        <v>0.995954080203443</v>
      </c>
      <c r="C4043">
        <v>0.98518254487554602</v>
      </c>
      <c r="D4043">
        <v>1.0082278926413899</v>
      </c>
      <c r="E4043">
        <v>0.90354321381268998</v>
      </c>
      <c r="F4043">
        <v>0.91713792335201405</v>
      </c>
      <c r="G4043">
        <v>0.70237525027357195</v>
      </c>
      <c r="H4043">
        <v>0.66983334013940798</v>
      </c>
      <c r="I4043">
        <v>0.75961341796455695</v>
      </c>
      <c r="J4043">
        <v>0.91506013649487195</v>
      </c>
      <c r="K4043">
        <v>0.88831878070503001</v>
      </c>
      <c r="L4043">
        <v>1612.3624120829099</v>
      </c>
      <c r="M4043">
        <v>31.271779702867502</v>
      </c>
      <c r="O4043">
        <v>51.350206641179199</v>
      </c>
      <c r="P4043">
        <v>-3.1609820816905602E-2</v>
      </c>
      <c r="Q4043">
        <v>0.79238002960681797</v>
      </c>
      <c r="R4043">
        <v>0.57787087024229999</v>
      </c>
      <c r="S4043" t="s">
        <v>10849</v>
      </c>
      <c r="T4043" t="s">
        <v>13610</v>
      </c>
      <c r="U4043" t="s">
        <v>13610</v>
      </c>
      <c r="V4043" t="s">
        <v>13610</v>
      </c>
      <c r="W4043" t="s">
        <v>17593</v>
      </c>
      <c r="X4043">
        <v>27</v>
      </c>
      <c r="Y4043" t="s">
        <v>24186</v>
      </c>
      <c r="Z4043" t="s">
        <v>30898</v>
      </c>
      <c r="AA4043">
        <v>0.87359320056610201</v>
      </c>
      <c r="AB4043" t="str">
        <f>HYPERLINK("Melting_Curves/meltCurve_Q6PJT7_5_ZC3H14.pdf", "Melting_Curves/meltCurve_Q6PJT7_5_ZC3H14.pdf")</f>
        <v>Melting_Curves/meltCurve_Q6PJT7_5_ZC3H14.pdf</v>
      </c>
    </row>
    <row r="4044" spans="1:28" x14ac:dyDescent="0.25">
      <c r="A4044" t="s">
        <v>4048</v>
      </c>
      <c r="B4044">
        <v>0.995954080203443</v>
      </c>
      <c r="C4044">
        <v>0.81761968787666595</v>
      </c>
      <c r="D4044">
        <v>0.80819186147634903</v>
      </c>
      <c r="E4044">
        <v>0.60838366059163496</v>
      </c>
      <c r="F4044">
        <v>0.55400143582091199</v>
      </c>
      <c r="G4044">
        <v>0.400024926810852</v>
      </c>
      <c r="H4044">
        <v>0.30305980981043301</v>
      </c>
      <c r="I4044">
        <v>0.33891477247080098</v>
      </c>
      <c r="J4044">
        <v>0.41621642762866901</v>
      </c>
      <c r="K4044">
        <v>0.410160488387598</v>
      </c>
      <c r="L4044">
        <v>616.05869498488801</v>
      </c>
      <c r="M4044">
        <v>12.724767599702799</v>
      </c>
      <c r="N4044">
        <v>53.317889420220197</v>
      </c>
      <c r="O4044">
        <v>47.265169734684697</v>
      </c>
      <c r="P4044">
        <v>-4.4102380911062798E-2</v>
      </c>
      <c r="Q4044">
        <v>0.34486636531850501</v>
      </c>
      <c r="R4044">
        <v>0.95014878966615102</v>
      </c>
      <c r="S4044" t="s">
        <v>10850</v>
      </c>
      <c r="T4044" t="s">
        <v>13610</v>
      </c>
      <c r="U4044" t="s">
        <v>13610</v>
      </c>
      <c r="V4044" t="s">
        <v>13610</v>
      </c>
      <c r="W4044" t="s">
        <v>17594</v>
      </c>
      <c r="X4044">
        <v>7</v>
      </c>
      <c r="Y4044" t="s">
        <v>24187</v>
      </c>
      <c r="Z4044" t="s">
        <v>30899</v>
      </c>
      <c r="AA4044">
        <v>0.55112131356878069</v>
      </c>
      <c r="AB4044" t="str">
        <f>HYPERLINK("Melting_Curves/meltCurve_Q6PJW8_2_CNST.pdf", "Melting_Curves/meltCurve_Q6PJW8_2_CNST.pdf")</f>
        <v>Melting_Curves/meltCurve_Q6PJW8_2_CNST.pdf</v>
      </c>
    </row>
    <row r="4045" spans="1:28" x14ac:dyDescent="0.25">
      <c r="A4045" t="s">
        <v>4049</v>
      </c>
      <c r="B4045">
        <v>0.995954080203443</v>
      </c>
      <c r="C4045">
        <v>0.95062782311653304</v>
      </c>
      <c r="D4045">
        <v>1.0471452727388</v>
      </c>
      <c r="E4045">
        <v>0.91392691023611905</v>
      </c>
      <c r="F4045">
        <v>1.0373012304004401</v>
      </c>
      <c r="G4045">
        <v>0.83958290207683395</v>
      </c>
      <c r="H4045">
        <v>0.860109559130388</v>
      </c>
      <c r="I4045">
        <v>1.0978299352643299</v>
      </c>
      <c r="J4045">
        <v>1.2659682406015</v>
      </c>
      <c r="K4045">
        <v>1.3283093677369999</v>
      </c>
      <c r="L4045">
        <v>4694.1893063416101</v>
      </c>
      <c r="M4045">
        <v>72.312687472996402</v>
      </c>
      <c r="O4045">
        <v>64.865573368845304</v>
      </c>
      <c r="P4045">
        <v>8.7835366890162997E-2</v>
      </c>
      <c r="Q4045">
        <v>1.3151584863226899</v>
      </c>
      <c r="R4045">
        <v>0.74334862852486905</v>
      </c>
      <c r="S4045" t="s">
        <v>10851</v>
      </c>
      <c r="T4045" t="s">
        <v>13610</v>
      </c>
      <c r="U4045" t="s">
        <v>13610</v>
      </c>
      <c r="V4045" t="s">
        <v>13610</v>
      </c>
      <c r="W4045" t="s">
        <v>17595</v>
      </c>
      <c r="X4045">
        <v>11</v>
      </c>
      <c r="Y4045" t="s">
        <v>24188</v>
      </c>
      <c r="Z4045" t="s">
        <v>30900</v>
      </c>
      <c r="AA4045">
        <v>1.0530465717928661</v>
      </c>
      <c r="AB4045" t="str">
        <f>HYPERLINK("Melting_Curves/meltCurve_Q6PK04_CCDC137.pdf", "Melting_Curves/meltCurve_Q6PK04_CCDC137.pdf")</f>
        <v>Melting_Curves/meltCurve_Q6PK04_CCDC137.pdf</v>
      </c>
    </row>
    <row r="4046" spans="1:28" x14ac:dyDescent="0.25">
      <c r="A4046" t="s">
        <v>4050</v>
      </c>
      <c r="B4046">
        <v>0.995954080203443</v>
      </c>
      <c r="C4046">
        <v>0.72361970989342295</v>
      </c>
      <c r="D4046">
        <v>0.71105419061886799</v>
      </c>
      <c r="E4046">
        <v>0.52202737143433098</v>
      </c>
      <c r="F4046">
        <v>0.35438190223705501</v>
      </c>
      <c r="G4046">
        <v>0.22844487970191399</v>
      </c>
      <c r="H4046">
        <v>0.17849199597999399</v>
      </c>
      <c r="I4046">
        <v>0.20910823134310999</v>
      </c>
      <c r="J4046">
        <v>0.22362717804589999</v>
      </c>
      <c r="K4046">
        <v>0.22532805665617101</v>
      </c>
      <c r="L4046">
        <v>579.10460107412098</v>
      </c>
      <c r="M4046">
        <v>12.142967272813699</v>
      </c>
      <c r="N4046">
        <v>49.413933512274603</v>
      </c>
      <c r="O4046">
        <v>46.452414782078201</v>
      </c>
      <c r="P4046">
        <v>-5.4082766626906503E-2</v>
      </c>
      <c r="Q4046">
        <v>0.17262504164282799</v>
      </c>
      <c r="R4046">
        <v>0.96455480159642204</v>
      </c>
      <c r="S4046" t="s">
        <v>10852</v>
      </c>
      <c r="T4046" t="s">
        <v>13610</v>
      </c>
      <c r="U4046" t="s">
        <v>13610</v>
      </c>
      <c r="V4046" t="s">
        <v>13610</v>
      </c>
      <c r="W4046" t="s">
        <v>17596</v>
      </c>
      <c r="X4046">
        <v>1</v>
      </c>
      <c r="Y4046" t="s">
        <v>24189</v>
      </c>
      <c r="Z4046" t="s">
        <v>30901</v>
      </c>
      <c r="AA4046">
        <v>0.41708679142374028</v>
      </c>
      <c r="AB4046" t="str">
        <f>HYPERLINK("Melting_Curves/meltCurve_Q6PK81_2_ZNF773.pdf", "Melting_Curves/meltCurve_Q6PK81_2_ZNF773.pdf")</f>
        <v>Melting_Curves/meltCurve_Q6PK81_2_ZNF773.pdf</v>
      </c>
    </row>
    <row r="4047" spans="1:28" x14ac:dyDescent="0.25">
      <c r="A4047" t="s">
        <v>4051</v>
      </c>
      <c r="B4047">
        <v>0.995954080203443</v>
      </c>
      <c r="C4047">
        <v>0.89575362930269997</v>
      </c>
      <c r="D4047">
        <v>0.83194006063035597</v>
      </c>
      <c r="E4047">
        <v>0.71439701390480403</v>
      </c>
      <c r="F4047">
        <v>0.44811483643964201</v>
      </c>
      <c r="G4047">
        <v>0.28173493788679799</v>
      </c>
      <c r="H4047">
        <v>0.24118769974569401</v>
      </c>
      <c r="I4047">
        <v>0.279753832377725</v>
      </c>
      <c r="J4047">
        <v>0.330203111682839</v>
      </c>
      <c r="K4047">
        <v>0.32098734004173102</v>
      </c>
      <c r="L4047">
        <v>898.93210593329297</v>
      </c>
      <c r="M4047">
        <v>17.968644474004599</v>
      </c>
      <c r="N4047">
        <v>52.287621144192897</v>
      </c>
      <c r="O4047">
        <v>49.4205327520271</v>
      </c>
      <c r="P4047">
        <v>-6.6356764388698697E-2</v>
      </c>
      <c r="Q4047">
        <v>0.27001195702045</v>
      </c>
      <c r="R4047">
        <v>0.96790604633265798</v>
      </c>
      <c r="S4047" t="s">
        <v>10853</v>
      </c>
      <c r="T4047" t="s">
        <v>13610</v>
      </c>
      <c r="U4047" t="s">
        <v>13610</v>
      </c>
      <c r="V4047" t="s">
        <v>13610</v>
      </c>
      <c r="W4047" t="s">
        <v>17597</v>
      </c>
      <c r="X4047">
        <v>54</v>
      </c>
      <c r="Y4047" t="s">
        <v>24190</v>
      </c>
      <c r="Z4047" t="s">
        <v>30902</v>
      </c>
      <c r="AA4047">
        <v>0.52650381444003047</v>
      </c>
      <c r="AB4047" t="str">
        <f>HYPERLINK("Melting_Curves/meltCurve_Q6PKG0_LARP1.pdf", "Melting_Curves/meltCurve_Q6PKG0_LARP1.pdf")</f>
        <v>Melting_Curves/meltCurve_Q6PKG0_LARP1.pdf</v>
      </c>
    </row>
    <row r="4048" spans="1:28" x14ac:dyDescent="0.25">
      <c r="A4048" t="s">
        <v>4052</v>
      </c>
      <c r="B4048">
        <v>0.995954080203443</v>
      </c>
      <c r="C4048">
        <v>0.81993858100644301</v>
      </c>
      <c r="D4048">
        <v>0.48357941019834899</v>
      </c>
      <c r="E4048">
        <v>0.28890264946760402</v>
      </c>
      <c r="F4048">
        <v>0.17316564442010399</v>
      </c>
      <c r="G4048">
        <v>0.123041093995993</v>
      </c>
      <c r="H4048">
        <v>0.12342403123555699</v>
      </c>
      <c r="I4048">
        <v>0.12613999181959201</v>
      </c>
      <c r="J4048">
        <v>0.129670225900713</v>
      </c>
      <c r="K4048">
        <v>0.14899128687997901</v>
      </c>
      <c r="L4048">
        <v>975.61791252794796</v>
      </c>
      <c r="M4048">
        <v>21.444515125875299</v>
      </c>
      <c r="N4048">
        <v>46.156084328211897</v>
      </c>
      <c r="O4048">
        <v>45.104909545754502</v>
      </c>
      <c r="P4048">
        <v>-0.103144847125562</v>
      </c>
      <c r="Q4048">
        <v>0.13223056744874001</v>
      </c>
      <c r="R4048">
        <v>0.99388369986837</v>
      </c>
      <c r="S4048" t="s">
        <v>10854</v>
      </c>
      <c r="T4048" t="s">
        <v>13610</v>
      </c>
      <c r="U4048" t="s">
        <v>13610</v>
      </c>
      <c r="V4048" t="s">
        <v>13610</v>
      </c>
      <c r="W4048" t="s">
        <v>17598</v>
      </c>
      <c r="X4048">
        <v>4</v>
      </c>
      <c r="Y4048" t="s">
        <v>24191</v>
      </c>
      <c r="Z4048" t="s">
        <v>30903</v>
      </c>
      <c r="AA4048">
        <v>0.30305069850375399</v>
      </c>
      <c r="AB4048" t="str">
        <f>HYPERLINK("Melting_Curves/meltCurve_Q6PL18_ATAD2.pdf", "Melting_Curves/meltCurve_Q6PL18_ATAD2.pdf")</f>
        <v>Melting_Curves/meltCurve_Q6PL18_ATAD2.pdf</v>
      </c>
    </row>
    <row r="4049" spans="1:28" x14ac:dyDescent="0.25">
      <c r="A4049" t="s">
        <v>4053</v>
      </c>
      <c r="B4049">
        <v>0.995954080203443</v>
      </c>
      <c r="C4049">
        <v>0.94926068414988296</v>
      </c>
      <c r="D4049">
        <v>0.81659362904892197</v>
      </c>
      <c r="E4049">
        <v>0.47069733159724803</v>
      </c>
      <c r="F4049">
        <v>0.27950772353592701</v>
      </c>
      <c r="G4049">
        <v>0.20485374313431801</v>
      </c>
      <c r="H4049">
        <v>0.19587443560759099</v>
      </c>
      <c r="I4049">
        <v>0.23858479137687899</v>
      </c>
      <c r="J4049">
        <v>0.276722821782801</v>
      </c>
      <c r="K4049">
        <v>0.284897810206372</v>
      </c>
      <c r="L4049">
        <v>1236.0092512597701</v>
      </c>
      <c r="M4049">
        <v>25.672410637067902</v>
      </c>
      <c r="N4049">
        <v>49.368042342398603</v>
      </c>
      <c r="O4049">
        <v>47.856138627014701</v>
      </c>
      <c r="P4049">
        <v>-0.10256506409049999</v>
      </c>
      <c r="Q4049">
        <v>0.23523975464375099</v>
      </c>
      <c r="R4049">
        <v>0.99002528727414996</v>
      </c>
      <c r="S4049" t="s">
        <v>10855</v>
      </c>
      <c r="T4049" t="s">
        <v>13610</v>
      </c>
      <c r="U4049" t="s">
        <v>13610</v>
      </c>
      <c r="V4049" t="s">
        <v>13610</v>
      </c>
      <c r="W4049" t="s">
        <v>17599</v>
      </c>
      <c r="X4049">
        <v>9</v>
      </c>
      <c r="Y4049" t="s">
        <v>24192</v>
      </c>
      <c r="Z4049" t="s">
        <v>30904</v>
      </c>
      <c r="AA4049">
        <v>0.44927274255548028</v>
      </c>
      <c r="AB4049" t="str">
        <f>HYPERLINK("Melting_Curves/meltCurve_Q6PL24_TMED8.pdf", "Melting_Curves/meltCurve_Q6PL24_TMED8.pdf")</f>
        <v>Melting_Curves/meltCurve_Q6PL24_TMED8.pdf</v>
      </c>
    </row>
    <row r="4050" spans="1:28" x14ac:dyDescent="0.25">
      <c r="A4050" t="s">
        <v>4054</v>
      </c>
      <c r="B4050">
        <v>0.995954080203443</v>
      </c>
      <c r="C4050">
        <v>0.94903292282097396</v>
      </c>
      <c r="D4050">
        <v>0.93095685838282705</v>
      </c>
      <c r="E4050">
        <v>0.86133632692353801</v>
      </c>
      <c r="F4050">
        <v>0.69686837097142695</v>
      </c>
      <c r="G4050">
        <v>0.49697346365239098</v>
      </c>
      <c r="H4050">
        <v>0.36604086570341499</v>
      </c>
      <c r="I4050">
        <v>0.41624724364465798</v>
      </c>
      <c r="J4050">
        <v>0.45845119543470603</v>
      </c>
      <c r="K4050">
        <v>0.47012214502385802</v>
      </c>
      <c r="L4050">
        <v>1234.7678997671801</v>
      </c>
      <c r="M4050">
        <v>23.530636105524898</v>
      </c>
      <c r="N4050">
        <v>56.959396527200397</v>
      </c>
      <c r="O4050">
        <v>52.100315511905897</v>
      </c>
      <c r="P4050">
        <v>-6.5310027321097794E-2</v>
      </c>
      <c r="Q4050">
        <v>0.42158557354029302</v>
      </c>
      <c r="R4050">
        <v>0.97430310080973903</v>
      </c>
      <c r="S4050" t="s">
        <v>10856</v>
      </c>
      <c r="T4050" t="s">
        <v>13610</v>
      </c>
      <c r="U4050" t="s">
        <v>13610</v>
      </c>
      <c r="V4050" t="s">
        <v>13610</v>
      </c>
      <c r="W4050" t="s">
        <v>17600</v>
      </c>
      <c r="X4050">
        <v>11</v>
      </c>
      <c r="Y4050" t="s">
        <v>24193</v>
      </c>
      <c r="Z4050" t="s">
        <v>30905</v>
      </c>
      <c r="AA4050">
        <v>0.66805345479007838</v>
      </c>
      <c r="AB4050" t="str">
        <f>HYPERLINK("Melting_Curves/meltCurve_Q6QNY0_BLOC1S3.pdf", "Melting_Curves/meltCurve_Q6QNY0_BLOC1S3.pdf")</f>
        <v>Melting_Curves/meltCurve_Q6QNY0_BLOC1S3.pdf</v>
      </c>
    </row>
    <row r="4051" spans="1:28" x14ac:dyDescent="0.25">
      <c r="A4051" t="s">
        <v>4055</v>
      </c>
      <c r="B4051">
        <v>0.995954080203443</v>
      </c>
      <c r="C4051">
        <v>0.84164826057278797</v>
      </c>
      <c r="D4051">
        <v>0.71787401835168196</v>
      </c>
      <c r="E4051">
        <v>0.67912817715829699</v>
      </c>
      <c r="F4051">
        <v>0.56131425853688999</v>
      </c>
      <c r="G4051">
        <v>0.29673726802459299</v>
      </c>
      <c r="H4051">
        <v>0.21955082024726799</v>
      </c>
      <c r="I4051">
        <v>0.19752113631952001</v>
      </c>
      <c r="J4051">
        <v>0.263709025211183</v>
      </c>
      <c r="K4051">
        <v>0.18428093396925299</v>
      </c>
      <c r="L4051">
        <v>494.24664810617901</v>
      </c>
      <c r="M4051">
        <v>9.6087257954697307</v>
      </c>
      <c r="N4051">
        <v>52.815468480799602</v>
      </c>
      <c r="O4051">
        <v>49.357422390624301</v>
      </c>
      <c r="P4051">
        <v>-4.3296901342667803E-2</v>
      </c>
      <c r="Q4051">
        <v>0.110885813793576</v>
      </c>
      <c r="R4051">
        <v>0.96345647455829797</v>
      </c>
      <c r="S4051" t="s">
        <v>10857</v>
      </c>
      <c r="T4051" t="s">
        <v>13610</v>
      </c>
      <c r="U4051" t="s">
        <v>13610</v>
      </c>
      <c r="V4051" t="s">
        <v>13610</v>
      </c>
      <c r="W4051" t="s">
        <v>17601</v>
      </c>
      <c r="X4051">
        <v>4</v>
      </c>
      <c r="Y4051" t="s">
        <v>24194</v>
      </c>
      <c r="Z4051" t="s">
        <v>30906</v>
      </c>
      <c r="AA4051">
        <v>0.48710422724682179</v>
      </c>
      <c r="AB4051" t="str">
        <f>HYPERLINK("Melting_Curves/meltCurve_Q6QNY1_BLOC1S2.pdf", "Melting_Curves/meltCurve_Q6QNY1_BLOC1S2.pdf")</f>
        <v>Melting_Curves/meltCurve_Q6QNY1_BLOC1S2.pdf</v>
      </c>
    </row>
    <row r="4052" spans="1:28" x14ac:dyDescent="0.25">
      <c r="A4052" t="s">
        <v>4056</v>
      </c>
      <c r="B4052">
        <v>0.995954080203443</v>
      </c>
      <c r="C4052">
        <v>0.85612354995925899</v>
      </c>
      <c r="D4052">
        <v>0.77248033833358598</v>
      </c>
      <c r="E4052">
        <v>0.71574789758128898</v>
      </c>
      <c r="F4052">
        <v>0.57971514778490296</v>
      </c>
      <c r="G4052">
        <v>0.379698746676633</v>
      </c>
      <c r="H4052">
        <v>0.34660793041635402</v>
      </c>
      <c r="I4052">
        <v>0.38948216242898598</v>
      </c>
      <c r="J4052">
        <v>0.46057425815390102</v>
      </c>
      <c r="K4052">
        <v>0.42165041189042801</v>
      </c>
      <c r="L4052">
        <v>609.45733118465796</v>
      </c>
      <c r="M4052">
        <v>12.458452894894601</v>
      </c>
      <c r="N4052">
        <v>54.893816028738101</v>
      </c>
      <c r="O4052">
        <v>47.710088737275697</v>
      </c>
      <c r="P4052">
        <v>-4.1061049009101298E-2</v>
      </c>
      <c r="Q4052">
        <v>0.371152081892833</v>
      </c>
      <c r="R4052">
        <v>0.93763141815349504</v>
      </c>
      <c r="S4052" t="s">
        <v>10858</v>
      </c>
      <c r="T4052" t="s">
        <v>13610</v>
      </c>
      <c r="U4052" t="s">
        <v>13610</v>
      </c>
      <c r="V4052" t="s">
        <v>13610</v>
      </c>
      <c r="W4052" t="s">
        <v>17602</v>
      </c>
      <c r="X4052">
        <v>9</v>
      </c>
      <c r="Y4052" t="s">
        <v>24195</v>
      </c>
      <c r="Z4052" t="s">
        <v>30907</v>
      </c>
      <c r="AA4052">
        <v>0.57989380935791857</v>
      </c>
      <c r="AB4052" t="str">
        <f>HYPERLINK("Melting_Curves/meltCurve_Q6R327_RICTOR.pdf", "Melting_Curves/meltCurve_Q6R327_RICTOR.pdf")</f>
        <v>Melting_Curves/meltCurve_Q6R327_RICTOR.pdf</v>
      </c>
    </row>
    <row r="4053" spans="1:28" x14ac:dyDescent="0.25">
      <c r="A4053" t="s">
        <v>4057</v>
      </c>
      <c r="B4053">
        <v>0.995954080203443</v>
      </c>
      <c r="C4053">
        <v>1.08006731011471</v>
      </c>
      <c r="D4053">
        <v>0.77851996256679801</v>
      </c>
      <c r="E4053">
        <v>0.38932862015869302</v>
      </c>
      <c r="F4053">
        <v>0.14211487388931901</v>
      </c>
      <c r="G4053">
        <v>7.60171463109173E-2</v>
      </c>
      <c r="H4053">
        <v>3.7094352130719301E-2</v>
      </c>
      <c r="I4053">
        <v>5.2125486454472299E-2</v>
      </c>
      <c r="J4053">
        <v>3.4151428290973097E-2</v>
      </c>
      <c r="K4053">
        <v>2.8558241102933202E-2</v>
      </c>
      <c r="L4053">
        <v>1221.9897300309501</v>
      </c>
      <c r="M4053">
        <v>25.0727824811201</v>
      </c>
      <c r="N4053">
        <v>48.893028897382898</v>
      </c>
      <c r="O4053">
        <v>48.4308583313166</v>
      </c>
      <c r="P4053">
        <v>-0.12447266438051401</v>
      </c>
      <c r="Q4053">
        <v>3.8282252970663101E-2</v>
      </c>
      <c r="R4053">
        <v>0.99076663641117901</v>
      </c>
      <c r="S4053" t="s">
        <v>10859</v>
      </c>
      <c r="T4053" t="s">
        <v>13610</v>
      </c>
      <c r="U4053" t="s">
        <v>13610</v>
      </c>
      <c r="V4053" t="s">
        <v>13610</v>
      </c>
      <c r="W4053" t="s">
        <v>17603</v>
      </c>
      <c r="X4053">
        <v>5</v>
      </c>
      <c r="Y4053" t="s">
        <v>24196</v>
      </c>
      <c r="Z4053" t="s">
        <v>30908</v>
      </c>
      <c r="AA4053">
        <v>0.32684744293770879</v>
      </c>
      <c r="AB4053" t="str">
        <f>HYPERLINK("Melting_Curves/meltCurve_Q6RI45_5_BRWD3.pdf", "Melting_Curves/meltCurve_Q6RI45_5_BRWD3.pdf")</f>
        <v>Melting_Curves/meltCurve_Q6RI45_5_BRWD3.pdf</v>
      </c>
    </row>
    <row r="4054" spans="1:28" x14ac:dyDescent="0.25">
      <c r="A4054" t="s">
        <v>4058</v>
      </c>
      <c r="B4054">
        <v>0.995954080203443</v>
      </c>
      <c r="C4054">
        <v>0.89975708465500503</v>
      </c>
      <c r="D4054">
        <v>0.77856829063895205</v>
      </c>
      <c r="E4054">
        <v>0.91862865387792603</v>
      </c>
      <c r="F4054">
        <v>0.68350944500202704</v>
      </c>
      <c r="G4054">
        <v>0.496895907596407</v>
      </c>
      <c r="H4054">
        <v>0.40430572292539702</v>
      </c>
      <c r="I4054">
        <v>0.39846818743106999</v>
      </c>
      <c r="J4054">
        <v>0.41106911901826099</v>
      </c>
      <c r="K4054">
        <v>0.42202379531819401</v>
      </c>
      <c r="L4054">
        <v>600.95386221268495</v>
      </c>
      <c r="M4054">
        <v>11.3293658600613</v>
      </c>
      <c r="N4054">
        <v>58.799131451119599</v>
      </c>
      <c r="O4054">
        <v>51.471895305091003</v>
      </c>
      <c r="P4054">
        <v>-3.6601684340877801E-2</v>
      </c>
      <c r="Q4054">
        <v>0.33504099402566501</v>
      </c>
      <c r="R4054">
        <v>0.91211958993708098</v>
      </c>
      <c r="S4054" t="s">
        <v>10860</v>
      </c>
      <c r="T4054" t="s">
        <v>13610</v>
      </c>
      <c r="U4054" t="s">
        <v>13610</v>
      </c>
      <c r="V4054" t="s">
        <v>13610</v>
      </c>
      <c r="W4054" t="s">
        <v>17604</v>
      </c>
      <c r="X4054">
        <v>1</v>
      </c>
      <c r="Y4054" t="s">
        <v>24197</v>
      </c>
      <c r="Z4054" t="s">
        <v>30909</v>
      </c>
      <c r="AA4054">
        <v>0.64423158460817265</v>
      </c>
      <c r="AB4054" t="str">
        <f>HYPERLINK("Melting_Curves/meltCurve_Q6RW13_2_AGTRAP.pdf", "Melting_Curves/meltCurve_Q6RW13_2_AGTRAP.pdf")</f>
        <v>Melting_Curves/meltCurve_Q6RW13_2_AGTRAP.pdf</v>
      </c>
    </row>
    <row r="4055" spans="1:28" x14ac:dyDescent="0.25">
      <c r="A4055" t="s">
        <v>4059</v>
      </c>
      <c r="B4055">
        <v>0.995954080203443</v>
      </c>
      <c r="C4055">
        <v>0.92822836241530604</v>
      </c>
      <c r="D4055">
        <v>0.86178315343254797</v>
      </c>
      <c r="E4055">
        <v>0.72761148624171101</v>
      </c>
      <c r="F4055">
        <v>0.74113014691238699</v>
      </c>
      <c r="G4055">
        <v>0.58851752717487404</v>
      </c>
      <c r="H4055">
        <v>0.56076011906190604</v>
      </c>
      <c r="I4055">
        <v>0.70406581056738604</v>
      </c>
      <c r="J4055">
        <v>0.72872028713359405</v>
      </c>
      <c r="K4055">
        <v>0.83077551539227101</v>
      </c>
      <c r="L4055">
        <v>1032.4764794754999</v>
      </c>
      <c r="M4055">
        <v>22.4037917659365</v>
      </c>
      <c r="O4055">
        <v>45.7224381130343</v>
      </c>
      <c r="P4055">
        <v>-3.81890716947638E-2</v>
      </c>
      <c r="Q4055">
        <v>0.68825610248508495</v>
      </c>
      <c r="R4055">
        <v>0.70229737093731204</v>
      </c>
      <c r="S4055" t="s">
        <v>10861</v>
      </c>
      <c r="T4055" t="s">
        <v>13610</v>
      </c>
      <c r="U4055" t="s">
        <v>13610</v>
      </c>
      <c r="V4055" t="s">
        <v>13610</v>
      </c>
      <c r="W4055" t="s">
        <v>17605</v>
      </c>
      <c r="X4055">
        <v>12</v>
      </c>
      <c r="Y4055" t="s">
        <v>24198</v>
      </c>
      <c r="Z4055" t="s">
        <v>30910</v>
      </c>
      <c r="AA4055">
        <v>0.75517865946486895</v>
      </c>
      <c r="AB4055" t="str">
        <f>HYPERLINK("Melting_Curves/meltCurve_Q6SPF0_SAMD1.pdf", "Melting_Curves/meltCurve_Q6SPF0_SAMD1.pdf")</f>
        <v>Melting_Curves/meltCurve_Q6SPF0_SAMD1.pdf</v>
      </c>
    </row>
    <row r="4056" spans="1:28" x14ac:dyDescent="0.25">
      <c r="A4056" t="s">
        <v>4060</v>
      </c>
      <c r="B4056">
        <v>0.995954080203443</v>
      </c>
      <c r="C4056">
        <v>0.71622890161575903</v>
      </c>
      <c r="D4056">
        <v>0.41964847499871999</v>
      </c>
      <c r="E4056">
        <v>0.23997107656818001</v>
      </c>
      <c r="F4056">
        <v>0.10220108723035801</v>
      </c>
      <c r="G4056">
        <v>6.5898382330633401E-2</v>
      </c>
      <c r="H4056">
        <v>4.27666830929457E-2</v>
      </c>
      <c r="I4056">
        <v>3.4068128533205497E-2</v>
      </c>
      <c r="J4056">
        <v>4.33984581312633E-2</v>
      </c>
      <c r="K4056">
        <v>4.1041001356500899E-2</v>
      </c>
      <c r="L4056">
        <v>827.91362699620402</v>
      </c>
      <c r="M4056">
        <v>18.301033089504799</v>
      </c>
      <c r="N4056">
        <v>45.462326341261601</v>
      </c>
      <c r="O4056">
        <v>44.708862261417103</v>
      </c>
      <c r="P4056">
        <v>-9.7932691197157001E-2</v>
      </c>
      <c r="Q4056">
        <v>4.3057989598423801E-2</v>
      </c>
      <c r="R4056">
        <v>0.98976036465285</v>
      </c>
      <c r="S4056" t="s">
        <v>10862</v>
      </c>
      <c r="T4056" t="s">
        <v>13610</v>
      </c>
      <c r="U4056" t="s">
        <v>13610</v>
      </c>
      <c r="V4056" t="s">
        <v>13610</v>
      </c>
      <c r="W4056" t="s">
        <v>17606</v>
      </c>
      <c r="X4056">
        <v>14</v>
      </c>
      <c r="Y4056" t="s">
        <v>24199</v>
      </c>
      <c r="Z4056" t="s">
        <v>30911</v>
      </c>
      <c r="AA4056">
        <v>0.2295305914204851</v>
      </c>
      <c r="AB4056" t="str">
        <f>HYPERLINK("Melting_Curves/meltCurve_Q6STE5_2_SMARCD3.pdf", "Melting_Curves/meltCurve_Q6STE5_2_SMARCD3.pdf")</f>
        <v>Melting_Curves/meltCurve_Q6STE5_2_SMARCD3.pdf</v>
      </c>
    </row>
    <row r="4057" spans="1:28" x14ac:dyDescent="0.25">
      <c r="A4057" t="s">
        <v>4061</v>
      </c>
      <c r="B4057">
        <v>0.995954080203443</v>
      </c>
      <c r="C4057">
        <v>1.0156623829615301</v>
      </c>
      <c r="D4057">
        <v>1.13056904271378</v>
      </c>
      <c r="E4057">
        <v>0.92869748050970602</v>
      </c>
      <c r="F4057">
        <v>1.03680191465426</v>
      </c>
      <c r="G4057">
        <v>0.81268087423475999</v>
      </c>
      <c r="H4057">
        <v>0.93368815938716399</v>
      </c>
      <c r="I4057">
        <v>0.95237667792567604</v>
      </c>
      <c r="J4057">
        <v>1.2954691775175899</v>
      </c>
      <c r="K4057">
        <v>1.6192167148107799</v>
      </c>
      <c r="L4057">
        <v>15000</v>
      </c>
      <c r="M4057">
        <v>224.24856990487399</v>
      </c>
      <c r="O4057">
        <v>66.884737647860902</v>
      </c>
      <c r="P4057">
        <v>0.41909517498464499</v>
      </c>
      <c r="Q4057">
        <v>1.5</v>
      </c>
      <c r="R4057">
        <v>0.83536375533738605</v>
      </c>
      <c r="S4057" t="s">
        <v>10863</v>
      </c>
      <c r="T4057" t="s">
        <v>13610</v>
      </c>
      <c r="U4057" t="s">
        <v>13610</v>
      </c>
      <c r="V4057" t="s">
        <v>13610</v>
      </c>
      <c r="W4057" t="s">
        <v>17607</v>
      </c>
      <c r="X4057">
        <v>2</v>
      </c>
      <c r="Y4057" t="s">
        <v>24200</v>
      </c>
      <c r="Z4057" t="s">
        <v>30912</v>
      </c>
      <c r="AA4057">
        <v>1.051759660320237</v>
      </c>
      <c r="AB4057" t="str">
        <f>HYPERLINK("Melting_Curves/meltCurve_Q6T4P5_4_LPPR3.pdf", "Melting_Curves/meltCurve_Q6T4P5_4_LPPR3.pdf")</f>
        <v>Melting_Curves/meltCurve_Q6T4P5_4_LPPR3.pdf</v>
      </c>
    </row>
    <row r="4058" spans="1:28" x14ac:dyDescent="0.25">
      <c r="A4058" t="s">
        <v>4062</v>
      </c>
      <c r="B4058">
        <v>0.995954080203443</v>
      </c>
      <c r="C4058">
        <v>0.76090860957438899</v>
      </c>
      <c r="D4058">
        <v>0.38862670257410797</v>
      </c>
      <c r="E4058">
        <v>0.24715208626205401</v>
      </c>
      <c r="F4058">
        <v>0.147832093452618</v>
      </c>
      <c r="G4058">
        <v>9.2565545898596099E-2</v>
      </c>
      <c r="H4058">
        <v>6.4176542502602296E-2</v>
      </c>
      <c r="I4058">
        <v>6.2578950398193695E-2</v>
      </c>
      <c r="J4058">
        <v>7.1316037681525099E-2</v>
      </c>
      <c r="K4058">
        <v>7.0539821641838002E-2</v>
      </c>
      <c r="L4058">
        <v>936.19798040618105</v>
      </c>
      <c r="M4058">
        <v>20.799681076206401</v>
      </c>
      <c r="N4058">
        <v>45.392697351451403</v>
      </c>
      <c r="O4058">
        <v>44.600354841934603</v>
      </c>
      <c r="P4058">
        <v>-0.10722005294557201</v>
      </c>
      <c r="Q4058">
        <v>8.03861270219908E-2</v>
      </c>
      <c r="R4058">
        <v>0.98783259514368604</v>
      </c>
      <c r="S4058" t="s">
        <v>10864</v>
      </c>
      <c r="T4058" t="s">
        <v>13610</v>
      </c>
      <c r="U4058" t="s">
        <v>13610</v>
      </c>
      <c r="V4058" t="s">
        <v>13610</v>
      </c>
      <c r="W4058" t="s">
        <v>17608</v>
      </c>
      <c r="X4058">
        <v>23</v>
      </c>
      <c r="Y4058" t="s">
        <v>24201</v>
      </c>
      <c r="Z4058" t="s">
        <v>30913</v>
      </c>
      <c r="AA4058">
        <v>0.24815430499926019</v>
      </c>
      <c r="AB4058" t="str">
        <f>HYPERLINK("Melting_Curves/meltCurve_Q6UB35_MTHFD1L.pdf", "Melting_Curves/meltCurve_Q6UB35_MTHFD1L.pdf")</f>
        <v>Melting_Curves/meltCurve_Q6UB35_MTHFD1L.pdf</v>
      </c>
    </row>
    <row r="4059" spans="1:28" x14ac:dyDescent="0.25">
      <c r="A4059" t="s">
        <v>4063</v>
      </c>
      <c r="B4059">
        <v>0.995954080203443</v>
      </c>
      <c r="C4059">
        <v>0.80418054338737599</v>
      </c>
      <c r="D4059">
        <v>0.90049533239759005</v>
      </c>
      <c r="E4059">
        <v>0.71202660655907102</v>
      </c>
      <c r="F4059">
        <v>0.40980330451768199</v>
      </c>
      <c r="G4059">
        <v>0.32612096585808198</v>
      </c>
      <c r="H4059">
        <v>0.26236254297724598</v>
      </c>
      <c r="I4059">
        <v>0.36616148039463697</v>
      </c>
      <c r="J4059">
        <v>0.47820230242813999</v>
      </c>
      <c r="K4059">
        <v>0.294122412229398</v>
      </c>
      <c r="L4059">
        <v>1110.4192553850201</v>
      </c>
      <c r="M4059">
        <v>22.3448325429497</v>
      </c>
      <c r="N4059">
        <v>52.251891806775902</v>
      </c>
      <c r="O4059">
        <v>49.301791745631697</v>
      </c>
      <c r="P4059">
        <v>-7.5634860676301499E-2</v>
      </c>
      <c r="Q4059">
        <v>0.33248891036760903</v>
      </c>
      <c r="R4059">
        <v>0.894761079527852</v>
      </c>
      <c r="S4059" t="s">
        <v>10865</v>
      </c>
      <c r="T4059" t="s">
        <v>13610</v>
      </c>
      <c r="U4059" t="s">
        <v>13610</v>
      </c>
      <c r="V4059" t="s">
        <v>13610</v>
      </c>
      <c r="W4059" t="s">
        <v>17609</v>
      </c>
      <c r="X4059">
        <v>3</v>
      </c>
      <c r="Y4059" t="s">
        <v>24202</v>
      </c>
      <c r="Z4059" t="s">
        <v>30914</v>
      </c>
      <c r="AA4059">
        <v>0.5556596045291573</v>
      </c>
      <c r="AB4059" t="str">
        <f>HYPERLINK("Melting_Curves/meltCurve_Q6UB98_2_ANKRD12.pdf", "Melting_Curves/meltCurve_Q6UB98_2_ANKRD12.pdf")</f>
        <v>Melting_Curves/meltCurve_Q6UB98_2_ANKRD12.pdf</v>
      </c>
    </row>
    <row r="4060" spans="1:28" x14ac:dyDescent="0.25">
      <c r="A4060" t="s">
        <v>4064</v>
      </c>
      <c r="B4060">
        <v>0.995954080203443</v>
      </c>
      <c r="C4060">
        <v>0.98464662573948003</v>
      </c>
      <c r="D4060">
        <v>0.98853061444675305</v>
      </c>
      <c r="E4060">
        <v>0.87860025820782495</v>
      </c>
      <c r="F4060">
        <v>0.80647266545880802</v>
      </c>
      <c r="G4060">
        <v>0.63175457246605604</v>
      </c>
      <c r="H4060">
        <v>0.58593408011227899</v>
      </c>
      <c r="I4060">
        <v>0.69076001556480604</v>
      </c>
      <c r="J4060">
        <v>0.75297968778851898</v>
      </c>
      <c r="K4060">
        <v>0.820108930664879</v>
      </c>
      <c r="L4060">
        <v>1631.66538928161</v>
      </c>
      <c r="M4060">
        <v>32.012274027776897</v>
      </c>
      <c r="O4060">
        <v>50.7723319285383</v>
      </c>
      <c r="P4060">
        <v>-4.7386680002367398E-2</v>
      </c>
      <c r="Q4060">
        <v>0.69937530873751896</v>
      </c>
      <c r="R4060">
        <v>0.80734549467862504</v>
      </c>
      <c r="S4060" t="s">
        <v>10866</v>
      </c>
      <c r="T4060" t="s">
        <v>13610</v>
      </c>
      <c r="U4060" t="s">
        <v>13610</v>
      </c>
      <c r="V4060" t="s">
        <v>13610</v>
      </c>
      <c r="W4060" t="s">
        <v>17610</v>
      </c>
      <c r="X4060">
        <v>38</v>
      </c>
      <c r="Y4060" t="s">
        <v>24203</v>
      </c>
      <c r="Z4060" t="s">
        <v>30915</v>
      </c>
      <c r="AA4060">
        <v>0.81096213607709278</v>
      </c>
      <c r="AB4060" t="str">
        <f>HYPERLINK("Melting_Curves/meltCurve_Q6UB99_ANKRD11.pdf", "Melting_Curves/meltCurve_Q6UB99_ANKRD11.pdf")</f>
        <v>Melting_Curves/meltCurve_Q6UB99_ANKRD11.pdf</v>
      </c>
    </row>
    <row r="4061" spans="1:28" x14ac:dyDescent="0.25">
      <c r="A4061" t="s">
        <v>4065</v>
      </c>
      <c r="B4061">
        <v>0.995954080203443</v>
      </c>
      <c r="C4061">
        <v>0.99139154903850202</v>
      </c>
      <c r="D4061">
        <v>0.94286142414005902</v>
      </c>
      <c r="E4061">
        <v>0.88451873773152401</v>
      </c>
      <c r="F4061">
        <v>0.74729768662358398</v>
      </c>
      <c r="G4061">
        <v>0.56998694934685001</v>
      </c>
      <c r="H4061">
        <v>0.51852828516537197</v>
      </c>
      <c r="I4061">
        <v>0.61205487190821295</v>
      </c>
      <c r="J4061">
        <v>0.67602281449580504</v>
      </c>
      <c r="K4061">
        <v>0.72282590751803599</v>
      </c>
      <c r="L4061">
        <v>1692.9315991610099</v>
      </c>
      <c r="M4061">
        <v>32.956808281009202</v>
      </c>
      <c r="O4061">
        <v>51.180168091305397</v>
      </c>
      <c r="P4061">
        <v>-6.1119830011025403E-2</v>
      </c>
      <c r="Q4061">
        <v>0.62033833680839101</v>
      </c>
      <c r="R4061">
        <v>0.88748811648794801</v>
      </c>
      <c r="S4061" t="s">
        <v>10867</v>
      </c>
      <c r="T4061" t="s">
        <v>13610</v>
      </c>
      <c r="U4061" t="s">
        <v>13610</v>
      </c>
      <c r="V4061" t="s">
        <v>13610</v>
      </c>
      <c r="W4061" t="s">
        <v>17611</v>
      </c>
      <c r="X4061">
        <v>17</v>
      </c>
      <c r="Y4061" t="s">
        <v>24204</v>
      </c>
      <c r="Z4061" t="s">
        <v>30916</v>
      </c>
      <c r="AA4061">
        <v>0.76619683108249292</v>
      </c>
      <c r="AB4061" t="str">
        <f>HYPERLINK("Melting_Curves/meltCurve_Q6ULP2_5_AFTPH.pdf", "Melting_Curves/meltCurve_Q6ULP2_5_AFTPH.pdf")</f>
        <v>Melting_Curves/meltCurve_Q6ULP2_5_AFTPH.pdf</v>
      </c>
    </row>
    <row r="4062" spans="1:28" x14ac:dyDescent="0.25">
      <c r="A4062" t="s">
        <v>4066</v>
      </c>
      <c r="B4062">
        <v>0.995954080203443</v>
      </c>
      <c r="C4062">
        <v>0.893344681805327</v>
      </c>
      <c r="D4062">
        <v>0.83918236588855999</v>
      </c>
      <c r="E4062">
        <v>0.78270414812048905</v>
      </c>
      <c r="F4062">
        <v>0.76896651085121603</v>
      </c>
      <c r="G4062">
        <v>0.75402903609966498</v>
      </c>
      <c r="H4062">
        <v>0.79964893220167899</v>
      </c>
      <c r="I4062">
        <v>0.982660377506969</v>
      </c>
      <c r="J4062">
        <v>1.2823304034985901</v>
      </c>
      <c r="K4062">
        <v>1.2070372460343799</v>
      </c>
      <c r="L4062">
        <v>15000</v>
      </c>
      <c r="M4062">
        <v>229.47711309300999</v>
      </c>
      <c r="O4062">
        <v>65.361032674419107</v>
      </c>
      <c r="P4062">
        <v>0.21503932912703899</v>
      </c>
      <c r="Q4062">
        <v>1.2449951036773199</v>
      </c>
      <c r="R4062">
        <v>0.22805277861822901</v>
      </c>
      <c r="S4062" t="s">
        <v>10868</v>
      </c>
      <c r="T4062" t="s">
        <v>13610</v>
      </c>
      <c r="U4062" t="s">
        <v>13610</v>
      </c>
      <c r="V4062" t="s">
        <v>13610</v>
      </c>
      <c r="W4062" t="s">
        <v>17612</v>
      </c>
      <c r="X4062">
        <v>15</v>
      </c>
      <c r="Y4062" t="s">
        <v>24205</v>
      </c>
      <c r="Z4062" t="s">
        <v>30917</v>
      </c>
      <c r="AA4062">
        <v>1.03781025423675</v>
      </c>
      <c r="AB4062" t="str">
        <f>HYPERLINK("Melting_Curves/meltCurve_Q6UN15_FIP1L1.pdf", "Melting_Curves/meltCurve_Q6UN15_FIP1L1.pdf")</f>
        <v>Melting_Curves/meltCurve_Q6UN15_FIP1L1.pdf</v>
      </c>
    </row>
    <row r="4063" spans="1:28" x14ac:dyDescent="0.25">
      <c r="A4063" t="s">
        <v>4067</v>
      </c>
      <c r="B4063">
        <v>0.995954080203443</v>
      </c>
      <c r="C4063">
        <v>0.59500629908890601</v>
      </c>
      <c r="D4063">
        <v>0.78912237075430103</v>
      </c>
      <c r="E4063">
        <v>0.78647755586500701</v>
      </c>
      <c r="F4063">
        <v>0.98248969986638301</v>
      </c>
      <c r="G4063">
        <v>1.3693350737091701</v>
      </c>
      <c r="H4063">
        <v>1.8807281631927999</v>
      </c>
      <c r="I4063">
        <v>3.32155401549725</v>
      </c>
      <c r="J4063">
        <v>3.3869219444879701</v>
      </c>
      <c r="K4063">
        <v>4.0058747822772904</v>
      </c>
      <c r="L4063">
        <v>14190.773090517599</v>
      </c>
      <c r="M4063">
        <v>250</v>
      </c>
      <c r="O4063">
        <v>56.759459919940198</v>
      </c>
      <c r="P4063">
        <v>0.55056901688850701</v>
      </c>
      <c r="Q4063">
        <v>1.5</v>
      </c>
      <c r="R4063">
        <v>7.8108311791466906E-2</v>
      </c>
      <c r="S4063" t="s">
        <v>10869</v>
      </c>
      <c r="T4063" t="s">
        <v>13610</v>
      </c>
      <c r="U4063" t="s">
        <v>13610</v>
      </c>
      <c r="V4063" t="s">
        <v>13610</v>
      </c>
      <c r="W4063" t="s">
        <v>17613</v>
      </c>
      <c r="X4063">
        <v>14</v>
      </c>
      <c r="Y4063" t="s">
        <v>24205</v>
      </c>
      <c r="Z4063" t="s">
        <v>30918</v>
      </c>
      <c r="AA4063">
        <v>1.2205653181269931</v>
      </c>
      <c r="AB4063" t="str">
        <f>HYPERLINK("Melting_Curves/meltCurve_Q6UN15_3_FIP1L1.pdf", "Melting_Curves/meltCurve_Q6UN15_3_FIP1L1.pdf")</f>
        <v>Melting_Curves/meltCurve_Q6UN15_3_FIP1L1.pdf</v>
      </c>
    </row>
    <row r="4064" spans="1:28" x14ac:dyDescent="0.25">
      <c r="A4064" t="s">
        <v>4068</v>
      </c>
      <c r="B4064">
        <v>0.995954080203443</v>
      </c>
      <c r="C4064">
        <v>0.91434799710720105</v>
      </c>
      <c r="D4064">
        <v>0.958152970460315</v>
      </c>
      <c r="E4064">
        <v>0.83434432428489702</v>
      </c>
      <c r="F4064">
        <v>0.93001788441106104</v>
      </c>
      <c r="G4064">
        <v>0.643796506822228</v>
      </c>
      <c r="H4064">
        <v>0.66373906587355602</v>
      </c>
      <c r="I4064">
        <v>0.84719564089801003</v>
      </c>
      <c r="J4064">
        <v>0.98627692747240103</v>
      </c>
      <c r="K4064">
        <v>0.90993414022022201</v>
      </c>
      <c r="L4064">
        <v>864.24410456379701</v>
      </c>
      <c r="M4064">
        <v>18.717043460167101</v>
      </c>
      <c r="O4064">
        <v>45.6567850965018</v>
      </c>
      <c r="P4064">
        <v>-1.79690976433775E-2</v>
      </c>
      <c r="Q4064">
        <v>0.82467818027309603</v>
      </c>
      <c r="R4064">
        <v>0.227419382670841</v>
      </c>
      <c r="S4064" t="s">
        <v>10870</v>
      </c>
      <c r="T4064" t="s">
        <v>13610</v>
      </c>
      <c r="U4064" t="s">
        <v>13610</v>
      </c>
      <c r="V4064" t="s">
        <v>13610</v>
      </c>
      <c r="W4064" t="s">
        <v>17614</v>
      </c>
      <c r="X4064">
        <v>4</v>
      </c>
      <c r="Y4064" t="s">
        <v>24206</v>
      </c>
      <c r="Z4064" t="s">
        <v>30919</v>
      </c>
      <c r="AA4064">
        <v>0.86387330103650095</v>
      </c>
      <c r="AB4064" t="str">
        <f>HYPERLINK("Melting_Curves/meltCurve_Q6UUV7_3_CRTC3.pdf", "Melting_Curves/meltCurve_Q6UUV7_3_CRTC3.pdf")</f>
        <v>Melting_Curves/meltCurve_Q6UUV7_3_CRTC3.pdf</v>
      </c>
    </row>
    <row r="4065" spans="1:28" x14ac:dyDescent="0.25">
      <c r="A4065" t="s">
        <v>4069</v>
      </c>
      <c r="B4065">
        <v>0.995954080203443</v>
      </c>
      <c r="C4065">
        <v>0.94866471196527902</v>
      </c>
      <c r="D4065">
        <v>0.75802960167434097</v>
      </c>
      <c r="E4065">
        <v>0.80207234094800695</v>
      </c>
      <c r="F4065">
        <v>0.70548569545574502</v>
      </c>
      <c r="G4065">
        <v>0.52257495539945797</v>
      </c>
      <c r="H4065">
        <v>0.46172074919946698</v>
      </c>
      <c r="I4065">
        <v>0.53729752665113295</v>
      </c>
      <c r="J4065">
        <v>0.45221889068294102</v>
      </c>
      <c r="K4065">
        <v>0.64772952695955999</v>
      </c>
      <c r="L4065">
        <v>605.28118113364405</v>
      </c>
      <c r="M4065">
        <v>12.281058927565599</v>
      </c>
      <c r="O4065">
        <v>48.033633810474001</v>
      </c>
      <c r="P4065">
        <v>-3.1848098266050999E-2</v>
      </c>
      <c r="Q4065">
        <v>0.501853132337579</v>
      </c>
      <c r="R4065">
        <v>0.84910228429795798</v>
      </c>
      <c r="S4065" t="s">
        <v>10871</v>
      </c>
      <c r="T4065" t="s">
        <v>13610</v>
      </c>
      <c r="U4065" t="s">
        <v>13610</v>
      </c>
      <c r="V4065" t="s">
        <v>13610</v>
      </c>
      <c r="W4065" t="s">
        <v>17615</v>
      </c>
      <c r="X4065">
        <v>2</v>
      </c>
      <c r="Y4065" t="s">
        <v>24207</v>
      </c>
      <c r="Z4065" t="s">
        <v>30920</v>
      </c>
      <c r="AA4065">
        <v>0.67335412133573014</v>
      </c>
      <c r="AB4065" t="str">
        <f>HYPERLINK("Melting_Curves/meltCurve_Q6UUV9_3_CRTC1.pdf", "Melting_Curves/meltCurve_Q6UUV9_3_CRTC1.pdf")</f>
        <v>Melting_Curves/meltCurve_Q6UUV9_3_CRTC1.pdf</v>
      </c>
    </row>
    <row r="4066" spans="1:28" x14ac:dyDescent="0.25">
      <c r="A4066" t="s">
        <v>4070</v>
      </c>
      <c r="B4066">
        <v>0.995954080203443</v>
      </c>
      <c r="C4066">
        <v>1.0574288857268099</v>
      </c>
      <c r="D4066">
        <v>0.98257384707097795</v>
      </c>
      <c r="E4066">
        <v>0.74267163898213395</v>
      </c>
      <c r="F4066">
        <v>0.43103291561240298</v>
      </c>
      <c r="G4066">
        <v>0.27193712368402401</v>
      </c>
      <c r="H4066">
        <v>0.237335117908371</v>
      </c>
      <c r="I4066">
        <v>0.25011597292649101</v>
      </c>
      <c r="J4066">
        <v>0.321320560198667</v>
      </c>
      <c r="K4066">
        <v>0.28208400684938101</v>
      </c>
      <c r="L4066">
        <v>1744.50239275119</v>
      </c>
      <c r="M4066">
        <v>34.250272087743497</v>
      </c>
      <c r="N4066">
        <v>52.111576099062901</v>
      </c>
      <c r="O4066">
        <v>50.761280724129897</v>
      </c>
      <c r="P4066">
        <v>-0.12323802015942099</v>
      </c>
      <c r="Q4066">
        <v>0.26941366707771602</v>
      </c>
      <c r="R4066">
        <v>0.99237802735771297</v>
      </c>
      <c r="S4066" t="s">
        <v>10872</v>
      </c>
      <c r="T4066" t="s">
        <v>13610</v>
      </c>
      <c r="U4066" t="s">
        <v>13610</v>
      </c>
      <c r="V4066" t="s">
        <v>13610</v>
      </c>
      <c r="W4066" t="s">
        <v>17616</v>
      </c>
      <c r="X4066">
        <v>16</v>
      </c>
      <c r="Y4066" t="s">
        <v>24208</v>
      </c>
      <c r="Z4066" t="s">
        <v>30921</v>
      </c>
      <c r="AA4066">
        <v>0.53920329988703453</v>
      </c>
      <c r="AB4066" t="str">
        <f>HYPERLINK("Melting_Curves/meltCurve_Q6UVJ0_SASS6.pdf", "Melting_Curves/meltCurve_Q6UVJ0_SASS6.pdf")</f>
        <v>Melting_Curves/meltCurve_Q6UVJ0_SASS6.pdf</v>
      </c>
    </row>
    <row r="4067" spans="1:28" x14ac:dyDescent="0.25">
      <c r="A4067" t="s">
        <v>4071</v>
      </c>
      <c r="B4067">
        <v>0.995954080203443</v>
      </c>
      <c r="C4067">
        <v>0.97480366071843805</v>
      </c>
      <c r="D4067">
        <v>0.86721147081120797</v>
      </c>
      <c r="E4067">
        <v>0.41346798206879498</v>
      </c>
      <c r="F4067">
        <v>0.170667724480591</v>
      </c>
      <c r="G4067">
        <v>0.10009522542994501</v>
      </c>
      <c r="H4067">
        <v>6.5328102425197002E-2</v>
      </c>
      <c r="I4067">
        <v>5.4890579319815599E-2</v>
      </c>
      <c r="J4067">
        <v>5.5146764703800401E-2</v>
      </c>
      <c r="K4067">
        <v>5.4993739674868002E-2</v>
      </c>
      <c r="L4067">
        <v>1301.87034074142</v>
      </c>
      <c r="M4067">
        <v>26.532339427612801</v>
      </c>
      <c r="N4067">
        <v>49.300646012843501</v>
      </c>
      <c r="O4067">
        <v>48.7911096487828</v>
      </c>
      <c r="P4067">
        <v>-0.12792812612102</v>
      </c>
      <c r="Q4067">
        <v>5.9006617471735197E-2</v>
      </c>
      <c r="R4067">
        <v>0.99968726160377497</v>
      </c>
      <c r="S4067" t="s">
        <v>10873</v>
      </c>
      <c r="T4067" t="s">
        <v>13610</v>
      </c>
      <c r="U4067" t="s">
        <v>13610</v>
      </c>
      <c r="V4067" t="s">
        <v>13610</v>
      </c>
      <c r="W4067" t="s">
        <v>17617</v>
      </c>
      <c r="X4067">
        <v>7</v>
      </c>
      <c r="Y4067" t="s">
        <v>24209</v>
      </c>
      <c r="Z4067" t="s">
        <v>30922</v>
      </c>
      <c r="AA4067">
        <v>0.35079726492292201</v>
      </c>
      <c r="AB4067" t="str">
        <f>HYPERLINK("Melting_Curves/meltCurve_Q6UW63_KDELC1.pdf", "Melting_Curves/meltCurve_Q6UW63_KDELC1.pdf")</f>
        <v>Melting_Curves/meltCurve_Q6UW63_KDELC1.pdf</v>
      </c>
    </row>
    <row r="4068" spans="1:28" x14ac:dyDescent="0.25">
      <c r="A4068" t="s">
        <v>4072</v>
      </c>
      <c r="B4068">
        <v>0.995954080203443</v>
      </c>
      <c r="C4068">
        <v>1.06431834603402</v>
      </c>
      <c r="D4068">
        <v>1.0208780041443499</v>
      </c>
      <c r="E4068">
        <v>0.90330663181027404</v>
      </c>
      <c r="F4068">
        <v>0.73977384832871795</v>
      </c>
      <c r="G4068">
        <v>0.28264485965371999</v>
      </c>
      <c r="H4068">
        <v>0.13568438839491201</v>
      </c>
      <c r="I4068">
        <v>8.9734266270313195E-2</v>
      </c>
      <c r="J4068">
        <v>0.121471319340965</v>
      </c>
      <c r="K4068">
        <v>9.9233097209414201E-2</v>
      </c>
      <c r="L4068">
        <v>1596.7325428925001</v>
      </c>
      <c r="M4068">
        <v>29.312087899724801</v>
      </c>
      <c r="N4068">
        <v>54.878191712180403</v>
      </c>
      <c r="O4068">
        <v>54.221867730159303</v>
      </c>
      <c r="P4068">
        <v>-0.122014267392672</v>
      </c>
      <c r="Q4068">
        <v>9.7192382303805794E-2</v>
      </c>
      <c r="R4068">
        <v>0.99572981513868297</v>
      </c>
      <c r="S4068" t="s">
        <v>10874</v>
      </c>
      <c r="T4068" t="s">
        <v>13610</v>
      </c>
      <c r="U4068" t="s">
        <v>13610</v>
      </c>
      <c r="V4068" t="s">
        <v>13610</v>
      </c>
      <c r="W4068" t="s">
        <v>17618</v>
      </c>
      <c r="X4068">
        <v>34</v>
      </c>
      <c r="Y4068" t="s">
        <v>24210</v>
      </c>
      <c r="Z4068" t="s">
        <v>30923</v>
      </c>
      <c r="AA4068">
        <v>0.53898231012391129</v>
      </c>
      <c r="AB4068" t="str">
        <f>HYPERLINK("Melting_Curves/meltCurve_Q6UWE0_LRSAM1.pdf", "Melting_Curves/meltCurve_Q6UWE0_LRSAM1.pdf")</f>
        <v>Melting_Curves/meltCurve_Q6UWE0_LRSAM1.pdf</v>
      </c>
    </row>
    <row r="4069" spans="1:28" x14ac:dyDescent="0.25">
      <c r="A4069" t="s">
        <v>4073</v>
      </c>
      <c r="B4069">
        <v>0.995954080203443</v>
      </c>
      <c r="C4069">
        <v>0.86010632963542</v>
      </c>
      <c r="D4069">
        <v>0.79829946181151701</v>
      </c>
      <c r="E4069">
        <v>0.491203877828711</v>
      </c>
      <c r="F4069">
        <v>0.12922296865984201</v>
      </c>
      <c r="G4069">
        <v>7.1711387979454796E-2</v>
      </c>
      <c r="H4069">
        <v>4.0947264934237497E-2</v>
      </c>
      <c r="I4069">
        <v>3.2384842547748899E-2</v>
      </c>
      <c r="J4069">
        <v>3.1568403885869199E-2</v>
      </c>
      <c r="K4069">
        <v>3.0173129367889101E-2</v>
      </c>
      <c r="L4069">
        <v>961.29420825388502</v>
      </c>
      <c r="M4069">
        <v>19.562641728987298</v>
      </c>
      <c r="N4069">
        <v>49.2179576121274</v>
      </c>
      <c r="O4069">
        <v>48.634449416997903</v>
      </c>
      <c r="P4069">
        <v>-9.9015180689897994E-2</v>
      </c>
      <c r="Q4069">
        <v>1.53932433963106E-2</v>
      </c>
      <c r="R4069">
        <v>0.98734821863120303</v>
      </c>
      <c r="S4069" t="s">
        <v>10875</v>
      </c>
      <c r="T4069" t="s">
        <v>13610</v>
      </c>
      <c r="U4069" t="s">
        <v>13610</v>
      </c>
      <c r="V4069" t="s">
        <v>13610</v>
      </c>
      <c r="W4069" t="s">
        <v>17619</v>
      </c>
      <c r="X4069">
        <v>11</v>
      </c>
      <c r="Y4069" t="s">
        <v>24211</v>
      </c>
      <c r="Z4069" t="s">
        <v>30924</v>
      </c>
      <c r="AA4069">
        <v>0.32975026644636912</v>
      </c>
      <c r="AB4069" t="str">
        <f>HYPERLINK("Melting_Curves/meltCurve_Q6UWP2_DHRS11.pdf", "Melting_Curves/meltCurve_Q6UWP2_DHRS11.pdf")</f>
        <v>Melting_Curves/meltCurve_Q6UWP2_DHRS11.pdf</v>
      </c>
    </row>
    <row r="4070" spans="1:28" x14ac:dyDescent="0.25">
      <c r="A4070" t="s">
        <v>4074</v>
      </c>
      <c r="B4070">
        <v>0.995954080203443</v>
      </c>
      <c r="C4070">
        <v>1.3637605032456801</v>
      </c>
      <c r="D4070">
        <v>0.88698726603827704</v>
      </c>
      <c r="E4070">
        <v>1.13908522609183</v>
      </c>
      <c r="F4070">
        <v>0.87373940483971102</v>
      </c>
      <c r="G4070">
        <v>0.53351115478794298</v>
      </c>
      <c r="H4070">
        <v>0.49353381603429203</v>
      </c>
      <c r="I4070">
        <v>0.54031834568694204</v>
      </c>
      <c r="J4070">
        <v>0.52423484255210595</v>
      </c>
      <c r="K4070">
        <v>0.45268679255772298</v>
      </c>
      <c r="L4070">
        <v>13306.245088556199</v>
      </c>
      <c r="M4070">
        <v>250</v>
      </c>
      <c r="O4070">
        <v>53.2215593381408</v>
      </c>
      <c r="P4070">
        <v>-0.57676682875025798</v>
      </c>
      <c r="Q4070">
        <v>0.508856981807294</v>
      </c>
      <c r="R4070">
        <v>0.81341756225779704</v>
      </c>
      <c r="S4070" t="s">
        <v>10876</v>
      </c>
      <c r="T4070" t="s">
        <v>13610</v>
      </c>
      <c r="U4070" t="s">
        <v>13610</v>
      </c>
      <c r="V4070" t="s">
        <v>13610</v>
      </c>
      <c r="W4070" t="s">
        <v>17620</v>
      </c>
      <c r="X4070">
        <v>1</v>
      </c>
      <c r="Y4070" t="s">
        <v>24212</v>
      </c>
      <c r="Z4070" t="s">
        <v>30925</v>
      </c>
      <c r="AA4070">
        <v>0.72541475121522547</v>
      </c>
      <c r="AB4070" t="str">
        <f>HYPERLINK("Melting_Curves/meltCurve_Q6UWP8_SBSN.pdf", "Melting_Curves/meltCurve_Q6UWP8_SBSN.pdf")</f>
        <v>Melting_Curves/meltCurve_Q6UWP8_SBSN.pdf</v>
      </c>
    </row>
    <row r="4071" spans="1:28" x14ac:dyDescent="0.25">
      <c r="A4071" t="s">
        <v>4075</v>
      </c>
      <c r="B4071">
        <v>0.995954080203443</v>
      </c>
      <c r="C4071">
        <v>0.98546441142837105</v>
      </c>
      <c r="D4071">
        <v>0.90115991616361302</v>
      </c>
      <c r="E4071">
        <v>0.58738129765652203</v>
      </c>
      <c r="F4071">
        <v>0.404218130440957</v>
      </c>
      <c r="G4071">
        <v>0.26175323160765701</v>
      </c>
      <c r="H4071">
        <v>0.233205251621286</v>
      </c>
      <c r="I4071">
        <v>0.25175850733942501</v>
      </c>
      <c r="J4071">
        <v>0.31842802532981301</v>
      </c>
      <c r="K4071">
        <v>0.28642083282464798</v>
      </c>
      <c r="L4071">
        <v>1235.98365164849</v>
      </c>
      <c r="M4071">
        <v>24.954686217492402</v>
      </c>
      <c r="N4071">
        <v>51.0813509610404</v>
      </c>
      <c r="O4071">
        <v>49.214346002125602</v>
      </c>
      <c r="P4071">
        <v>-9.3076061580861499E-2</v>
      </c>
      <c r="Q4071">
        <v>0.26577069982825802</v>
      </c>
      <c r="R4071">
        <v>0.99326710032092402</v>
      </c>
      <c r="S4071" t="s">
        <v>10877</v>
      </c>
      <c r="T4071" t="s">
        <v>13610</v>
      </c>
      <c r="U4071" t="s">
        <v>13610</v>
      </c>
      <c r="V4071" t="s">
        <v>13610</v>
      </c>
      <c r="W4071" t="s">
        <v>17621</v>
      </c>
      <c r="X4071">
        <v>13</v>
      </c>
      <c r="Y4071" t="s">
        <v>24213</v>
      </c>
      <c r="Z4071" t="s">
        <v>30926</v>
      </c>
      <c r="AA4071">
        <v>0.50554641607183015</v>
      </c>
      <c r="AB4071" t="str">
        <f>HYPERLINK("Melting_Curves/meltCurve_Q6UX04_CWC27.pdf", "Melting_Curves/meltCurve_Q6UX04_CWC27.pdf")</f>
        <v>Melting_Curves/meltCurve_Q6UX04_CWC27.pdf</v>
      </c>
    </row>
    <row r="4072" spans="1:28" x14ac:dyDescent="0.25">
      <c r="A4072" t="s">
        <v>4076</v>
      </c>
      <c r="B4072">
        <v>0.995954080203443</v>
      </c>
      <c r="C4072">
        <v>0.91858239057357804</v>
      </c>
      <c r="D4072">
        <v>0.99443584560013198</v>
      </c>
      <c r="E4072">
        <v>0.82803108177615203</v>
      </c>
      <c r="F4072">
        <v>0.82280612396114505</v>
      </c>
      <c r="G4072">
        <v>0.617101640254197</v>
      </c>
      <c r="H4072">
        <v>0.57247461370287001</v>
      </c>
      <c r="I4072">
        <v>0.64426027155348797</v>
      </c>
      <c r="J4072">
        <v>0.87533134234008603</v>
      </c>
      <c r="K4072">
        <v>0.72625747396221996</v>
      </c>
      <c r="L4072">
        <v>1310.6302849951701</v>
      </c>
      <c r="M4072">
        <v>26.095132629354101</v>
      </c>
      <c r="O4072">
        <v>49.9329159153828</v>
      </c>
      <c r="P4072">
        <v>-4.0134379302702999E-2</v>
      </c>
      <c r="Q4072">
        <v>0.69281568841104701</v>
      </c>
      <c r="R4072">
        <v>0.66228078835792203</v>
      </c>
      <c r="S4072" t="s">
        <v>10878</v>
      </c>
      <c r="T4072" t="s">
        <v>13610</v>
      </c>
      <c r="U4072" t="s">
        <v>13610</v>
      </c>
      <c r="V4072" t="s">
        <v>13610</v>
      </c>
      <c r="W4072" t="s">
        <v>17622</v>
      </c>
      <c r="X4072">
        <v>4</v>
      </c>
      <c r="Y4072" t="s">
        <v>24214</v>
      </c>
      <c r="Z4072" t="s">
        <v>30927</v>
      </c>
      <c r="AA4072">
        <v>0.80004056407791591</v>
      </c>
      <c r="AB4072" t="str">
        <f>HYPERLINK("Melting_Curves/meltCurve_Q6UXH1_4_CRELD2.pdf", "Melting_Curves/meltCurve_Q6UXH1_4_CRELD2.pdf")</f>
        <v>Melting_Curves/meltCurve_Q6UXH1_4_CRELD2.pdf</v>
      </c>
    </row>
    <row r="4073" spans="1:28" x14ac:dyDescent="0.25">
      <c r="A4073" t="s">
        <v>4077</v>
      </c>
      <c r="B4073">
        <v>0.995954080203443</v>
      </c>
      <c r="C4073">
        <v>0.95867243524247303</v>
      </c>
      <c r="D4073">
        <v>0.90538181162943199</v>
      </c>
      <c r="E4073">
        <v>0.81593531905624095</v>
      </c>
      <c r="F4073">
        <v>0.73115596201741295</v>
      </c>
      <c r="G4073">
        <v>0.49705834151452499</v>
      </c>
      <c r="H4073">
        <v>0.25261282191416601</v>
      </c>
      <c r="I4073">
        <v>0.13111550652593201</v>
      </c>
      <c r="J4073">
        <v>0.12741718544166999</v>
      </c>
      <c r="K4073">
        <v>0.115031066661475</v>
      </c>
      <c r="L4073">
        <v>730.80155623802398</v>
      </c>
      <c r="M4073">
        <v>12.966493190542399</v>
      </c>
      <c r="N4073">
        <v>56.422280468583502</v>
      </c>
      <c r="O4073">
        <v>55.070735805406798</v>
      </c>
      <c r="P4073">
        <v>-5.8460226226090102E-2</v>
      </c>
      <c r="Q4073">
        <v>7.0180573429630203E-3</v>
      </c>
      <c r="R4073">
        <v>0.99227191883570698</v>
      </c>
      <c r="S4073" t="s">
        <v>10879</v>
      </c>
      <c r="T4073" t="s">
        <v>13610</v>
      </c>
      <c r="U4073" t="s">
        <v>13610</v>
      </c>
      <c r="V4073" t="s">
        <v>13610</v>
      </c>
      <c r="W4073" t="s">
        <v>17623</v>
      </c>
      <c r="X4073">
        <v>18</v>
      </c>
      <c r="Y4073" t="s">
        <v>24215</v>
      </c>
      <c r="Z4073" t="s">
        <v>30928</v>
      </c>
      <c r="AA4073">
        <v>0.5670748014978062</v>
      </c>
      <c r="AB4073" t="str">
        <f>HYPERLINK("Melting_Curves/meltCurve_Q6UXN9_WDR82.pdf", "Melting_Curves/meltCurve_Q6UXN9_WDR82.pdf")</f>
        <v>Melting_Curves/meltCurve_Q6UXN9_WDR82.pdf</v>
      </c>
    </row>
    <row r="4074" spans="1:28" x14ac:dyDescent="0.25">
      <c r="A4074" t="s">
        <v>4078</v>
      </c>
      <c r="B4074">
        <v>0.995954080203443</v>
      </c>
      <c r="C4074">
        <v>0.88899853091579994</v>
      </c>
      <c r="D4074">
        <v>0.90909877461555</v>
      </c>
      <c r="E4074">
        <v>0.72209270786284496</v>
      </c>
      <c r="F4074">
        <v>0.78666060090702306</v>
      </c>
      <c r="G4074">
        <v>0.60567315065653204</v>
      </c>
      <c r="H4074">
        <v>0.66677180096128497</v>
      </c>
      <c r="I4074">
        <v>0.81778362078900502</v>
      </c>
      <c r="J4074">
        <v>1.0494517905365499</v>
      </c>
      <c r="K4074">
        <v>0.97884032737913396</v>
      </c>
      <c r="L4074">
        <v>1125.5589200583499</v>
      </c>
      <c r="M4074">
        <v>25.910844746667401</v>
      </c>
      <c r="O4074">
        <v>43.183417016142002</v>
      </c>
      <c r="P4074">
        <v>-2.8664417501505099E-2</v>
      </c>
      <c r="Q4074">
        <v>0.80891198590456104</v>
      </c>
      <c r="R4074">
        <v>0.17184300151732801</v>
      </c>
      <c r="S4074" t="s">
        <v>10880</v>
      </c>
      <c r="T4074" t="s">
        <v>13610</v>
      </c>
      <c r="U4074" t="s">
        <v>13610</v>
      </c>
      <c r="V4074" t="s">
        <v>13610</v>
      </c>
      <c r="W4074" t="s">
        <v>17624</v>
      </c>
      <c r="X4074">
        <v>3</v>
      </c>
      <c r="Y4074" t="s">
        <v>24216</v>
      </c>
      <c r="Z4074" t="s">
        <v>30929</v>
      </c>
      <c r="AA4074">
        <v>0.83307011523829932</v>
      </c>
      <c r="AB4074" t="str">
        <f>HYPERLINK("Melting_Curves/meltCurve_Q6UXV4_APOOL.pdf", "Melting_Curves/meltCurve_Q6UXV4_APOOL.pdf")</f>
        <v>Melting_Curves/meltCurve_Q6UXV4_APOOL.pdf</v>
      </c>
    </row>
    <row r="4075" spans="1:28" x14ac:dyDescent="0.25">
      <c r="A4075" t="s">
        <v>4079</v>
      </c>
      <c r="B4075">
        <v>0.995954080203443</v>
      </c>
      <c r="C4075">
        <v>1.1353421451849901</v>
      </c>
      <c r="D4075">
        <v>1.4119620806025901</v>
      </c>
      <c r="E4075">
        <v>0.77739239158512496</v>
      </c>
      <c r="F4075">
        <v>0.63563865738120995</v>
      </c>
      <c r="G4075">
        <v>0.29589002985686302</v>
      </c>
      <c r="H4075">
        <v>0.37671090575348398</v>
      </c>
      <c r="I4075">
        <v>0.28237419563246502</v>
      </c>
      <c r="J4075">
        <v>0.53062685962206901</v>
      </c>
      <c r="K4075">
        <v>0.42159817298726898</v>
      </c>
      <c r="L4075">
        <v>1899.1670500786399</v>
      </c>
      <c r="M4075">
        <v>36.700280143232398</v>
      </c>
      <c r="N4075">
        <v>53.896744545043298</v>
      </c>
      <c r="O4075">
        <v>51.595101589758599</v>
      </c>
      <c r="P4075">
        <v>-0.109498491812549</v>
      </c>
      <c r="Q4075">
        <v>0.38424780788605101</v>
      </c>
      <c r="R4075">
        <v>0.81267000762547803</v>
      </c>
      <c r="S4075" t="s">
        <v>10881</v>
      </c>
      <c r="T4075" t="s">
        <v>13610</v>
      </c>
      <c r="U4075" t="s">
        <v>13610</v>
      </c>
      <c r="V4075" t="s">
        <v>13610</v>
      </c>
      <c r="W4075" t="s">
        <v>17625</v>
      </c>
      <c r="X4075">
        <v>6</v>
      </c>
      <c r="Y4075" t="s">
        <v>24217</v>
      </c>
      <c r="Z4075" t="s">
        <v>30930</v>
      </c>
      <c r="AA4075">
        <v>0.62799478567378586</v>
      </c>
      <c r="AB4075" t="str">
        <f>HYPERLINK("Melting_Curves/meltCurve_Q6UY14_ADAMTSL4.pdf", "Melting_Curves/meltCurve_Q6UY14_ADAMTSL4.pdf")</f>
        <v>Melting_Curves/meltCurve_Q6UY14_ADAMTSL4.pdf</v>
      </c>
    </row>
    <row r="4076" spans="1:28" x14ac:dyDescent="0.25">
      <c r="A4076" t="s">
        <v>4080</v>
      </c>
      <c r="B4076">
        <v>0.995954080203443</v>
      </c>
      <c r="C4076">
        <v>0.77218455860089896</v>
      </c>
      <c r="D4076">
        <v>0.80466649299288295</v>
      </c>
      <c r="E4076">
        <v>0.77014811599994204</v>
      </c>
      <c r="F4076">
        <v>0.59115451992163803</v>
      </c>
      <c r="G4076">
        <v>0.47515883517509</v>
      </c>
      <c r="H4076">
        <v>0.33718086412074</v>
      </c>
      <c r="I4076">
        <v>0.25130806681767698</v>
      </c>
      <c r="J4076">
        <v>0.20989545981968499</v>
      </c>
      <c r="K4076">
        <v>0.153334871160795</v>
      </c>
      <c r="L4076">
        <v>415.46262189998299</v>
      </c>
      <c r="M4076">
        <v>7.4773429805411897</v>
      </c>
      <c r="N4076">
        <v>55.562868109373198</v>
      </c>
      <c r="O4076">
        <v>52.004931522109302</v>
      </c>
      <c r="P4076">
        <v>-3.5997623700251502E-2</v>
      </c>
      <c r="Q4076">
        <v>0</v>
      </c>
      <c r="R4076">
        <v>0.96621404108632702</v>
      </c>
      <c r="S4076" t="s">
        <v>10882</v>
      </c>
      <c r="T4076" t="s">
        <v>13610</v>
      </c>
      <c r="U4076" t="s">
        <v>13610</v>
      </c>
      <c r="V4076" t="s">
        <v>13610</v>
      </c>
      <c r="W4076" t="s">
        <v>17626</v>
      </c>
      <c r="X4076">
        <v>1</v>
      </c>
      <c r="Y4076" t="s">
        <v>24218</v>
      </c>
      <c r="Z4076" t="s">
        <v>30931</v>
      </c>
      <c r="AA4076">
        <v>0.54136883589492824</v>
      </c>
      <c r="AB4076" t="str">
        <f>HYPERLINK("Melting_Curves/meltCurve_Q6V0I7_3_FAT4.pdf", "Melting_Curves/meltCurve_Q6V0I7_3_FAT4.pdf")</f>
        <v>Melting_Curves/meltCurve_Q6V0I7_3_FAT4.pdf</v>
      </c>
    </row>
    <row r="4077" spans="1:28" x14ac:dyDescent="0.25">
      <c r="A4077" t="s">
        <v>4081</v>
      </c>
      <c r="B4077">
        <v>0.995954080203443</v>
      </c>
      <c r="C4077">
        <v>1.0100296951168699</v>
      </c>
      <c r="D4077">
        <v>0.92186431287098403</v>
      </c>
      <c r="E4077">
        <v>0.80375684967008598</v>
      </c>
      <c r="F4077">
        <v>0.54209591084751696</v>
      </c>
      <c r="G4077">
        <v>0.27293270293785998</v>
      </c>
      <c r="H4077">
        <v>0.16849705101374099</v>
      </c>
      <c r="I4077">
        <v>0.16059203402588401</v>
      </c>
      <c r="J4077">
        <v>0.169209916234875</v>
      </c>
      <c r="K4077">
        <v>0.18141904076895099</v>
      </c>
      <c r="L4077">
        <v>1188.9418164686999</v>
      </c>
      <c r="M4077">
        <v>22.634370300531199</v>
      </c>
      <c r="N4077">
        <v>53.406890344028099</v>
      </c>
      <c r="O4077">
        <v>52.123293604949602</v>
      </c>
      <c r="P4077">
        <v>-9.1685882031402904E-2</v>
      </c>
      <c r="Q4077">
        <v>0.155465821608368</v>
      </c>
      <c r="R4077">
        <v>0.99715531863783302</v>
      </c>
      <c r="S4077" t="s">
        <v>10883</v>
      </c>
      <c r="T4077" t="s">
        <v>13610</v>
      </c>
      <c r="U4077" t="s">
        <v>13610</v>
      </c>
      <c r="V4077" t="s">
        <v>13610</v>
      </c>
      <c r="W4077" t="s">
        <v>17627</v>
      </c>
      <c r="X4077">
        <v>17</v>
      </c>
      <c r="Y4077" t="s">
        <v>24219</v>
      </c>
      <c r="Z4077" t="s">
        <v>30932</v>
      </c>
      <c r="AA4077">
        <v>0.51747997421399683</v>
      </c>
      <c r="AB4077" t="str">
        <f>HYPERLINK("Melting_Curves/meltCurve_Q6VY07_PACS1.pdf", "Melting_Curves/meltCurve_Q6VY07_PACS1.pdf")</f>
        <v>Melting_Curves/meltCurve_Q6VY07_PACS1.pdf</v>
      </c>
    </row>
    <row r="4078" spans="1:28" x14ac:dyDescent="0.25">
      <c r="A4078" t="s">
        <v>4082</v>
      </c>
      <c r="B4078">
        <v>0.995954080203443</v>
      </c>
      <c r="C4078">
        <v>0.98026096470756696</v>
      </c>
      <c r="D4078">
        <v>1.07856062161601</v>
      </c>
      <c r="E4078">
        <v>0.88580408835962698</v>
      </c>
      <c r="F4078">
        <v>0.88904387281446096</v>
      </c>
      <c r="G4078">
        <v>0.64345389975053702</v>
      </c>
      <c r="H4078">
        <v>0.60770467953812202</v>
      </c>
      <c r="I4078">
        <v>0.70350106097696097</v>
      </c>
      <c r="J4078">
        <v>0.83933628852325004</v>
      </c>
      <c r="K4078">
        <v>0.80426969691075501</v>
      </c>
      <c r="L4078">
        <v>1772.01803938445</v>
      </c>
      <c r="M4078">
        <v>33.930796768220702</v>
      </c>
      <c r="O4078">
        <v>52.044073103825603</v>
      </c>
      <c r="P4078">
        <v>-4.5194062982210598E-2</v>
      </c>
      <c r="Q4078">
        <v>0.72272107292708798</v>
      </c>
      <c r="R4078">
        <v>0.73314688972171804</v>
      </c>
      <c r="S4078" t="s">
        <v>10884</v>
      </c>
      <c r="T4078" t="s">
        <v>13610</v>
      </c>
      <c r="U4078" t="s">
        <v>13610</v>
      </c>
      <c r="V4078" t="s">
        <v>13610</v>
      </c>
      <c r="W4078" t="s">
        <v>17628</v>
      </c>
      <c r="X4078">
        <v>24</v>
      </c>
      <c r="Y4078" t="s">
        <v>24220</v>
      </c>
      <c r="Z4078" t="s">
        <v>30933</v>
      </c>
      <c r="AA4078">
        <v>0.83709891604748654</v>
      </c>
      <c r="AB4078" t="str">
        <f>HYPERLINK("Melting_Curves/meltCurve_Q6W2J9_4_BCOR.pdf", "Melting_Curves/meltCurve_Q6W2J9_4_BCOR.pdf")</f>
        <v>Melting_Curves/meltCurve_Q6W2J9_4_BCOR.pdf</v>
      </c>
    </row>
    <row r="4079" spans="1:28" x14ac:dyDescent="0.25">
      <c r="A4079" t="s">
        <v>4083</v>
      </c>
      <c r="B4079">
        <v>0.995954080203443</v>
      </c>
      <c r="C4079">
        <v>0.95202060091979201</v>
      </c>
      <c r="D4079">
        <v>0.94564885789983</v>
      </c>
      <c r="E4079">
        <v>0.81315719572420297</v>
      </c>
      <c r="F4079">
        <v>0.65010251944901498</v>
      </c>
      <c r="G4079">
        <v>0.417535763657083</v>
      </c>
      <c r="H4079">
        <v>0.33652497430012701</v>
      </c>
      <c r="I4079">
        <v>0.368500344927498</v>
      </c>
      <c r="J4079">
        <v>0.46936242608967599</v>
      </c>
      <c r="K4079">
        <v>0.41663767720179301</v>
      </c>
      <c r="L4079">
        <v>1272.59488534414</v>
      </c>
      <c r="M4079">
        <v>24.542560478174298</v>
      </c>
      <c r="N4079">
        <v>55.245211291030003</v>
      </c>
      <c r="O4079">
        <v>51.5119992192583</v>
      </c>
      <c r="P4079">
        <v>-7.2750139970997801E-2</v>
      </c>
      <c r="Q4079">
        <v>0.389232354948857</v>
      </c>
      <c r="R4079">
        <v>0.97323952213377596</v>
      </c>
      <c r="S4079" t="s">
        <v>10885</v>
      </c>
      <c r="T4079" t="s">
        <v>13610</v>
      </c>
      <c r="U4079" t="s">
        <v>13610</v>
      </c>
      <c r="V4079" t="s">
        <v>13610</v>
      </c>
      <c r="W4079" t="s">
        <v>17629</v>
      </c>
      <c r="X4079">
        <v>27</v>
      </c>
      <c r="Y4079" t="s">
        <v>21074</v>
      </c>
      <c r="Z4079" t="s">
        <v>30934</v>
      </c>
      <c r="AA4079">
        <v>0.63630724954816775</v>
      </c>
      <c r="AB4079" t="str">
        <f>HYPERLINK("Melting_Curves/meltCurve_Q6WCQ1_MPRIP.pdf", "Melting_Curves/meltCurve_Q6WCQ1_MPRIP.pdf")</f>
        <v>Melting_Curves/meltCurve_Q6WCQ1_MPRIP.pdf</v>
      </c>
    </row>
    <row r="4080" spans="1:28" x14ac:dyDescent="0.25">
      <c r="A4080" t="s">
        <v>4084</v>
      </c>
      <c r="B4080">
        <v>0.995954080203443</v>
      </c>
      <c r="C4080">
        <v>0.99110827286887904</v>
      </c>
      <c r="D4080">
        <v>1.14203633289117</v>
      </c>
      <c r="E4080">
        <v>0.84875600520049799</v>
      </c>
      <c r="F4080">
        <v>0.79009010568114302</v>
      </c>
      <c r="G4080">
        <v>0.61484637843866896</v>
      </c>
      <c r="H4080">
        <v>0.58576614026291596</v>
      </c>
      <c r="I4080">
        <v>0.71060909712015896</v>
      </c>
      <c r="J4080">
        <v>0.74605569723501097</v>
      </c>
      <c r="K4080">
        <v>0.83612424596378498</v>
      </c>
      <c r="L4080">
        <v>2193.8526543808198</v>
      </c>
      <c r="M4080">
        <v>43.566085749808799</v>
      </c>
      <c r="O4080">
        <v>50.251136836655498</v>
      </c>
      <c r="P4080">
        <v>-6.3668290339853398E-2</v>
      </c>
      <c r="Q4080">
        <v>0.70624863824995499</v>
      </c>
      <c r="R4080">
        <v>0.760832007221383</v>
      </c>
      <c r="S4080" t="s">
        <v>10886</v>
      </c>
      <c r="T4080" t="s">
        <v>13610</v>
      </c>
      <c r="U4080" t="s">
        <v>13610</v>
      </c>
      <c r="V4080" t="s">
        <v>13610</v>
      </c>
      <c r="W4080" t="s">
        <v>17630</v>
      </c>
      <c r="X4080">
        <v>30</v>
      </c>
      <c r="Y4080" t="s">
        <v>24221</v>
      </c>
      <c r="Z4080" t="s">
        <v>30935</v>
      </c>
      <c r="AA4080">
        <v>0.8085213085672931</v>
      </c>
      <c r="AB4080" t="str">
        <f>HYPERLINK("Melting_Curves/meltCurve_Q6WKZ4_RAB11FIP1.pdf", "Melting_Curves/meltCurve_Q6WKZ4_RAB11FIP1.pdf")</f>
        <v>Melting_Curves/meltCurve_Q6WKZ4_RAB11FIP1.pdf</v>
      </c>
    </row>
    <row r="4081" spans="1:28" x14ac:dyDescent="0.25">
      <c r="A4081" t="s">
        <v>4085</v>
      </c>
      <c r="B4081">
        <v>0.995954080203443</v>
      </c>
      <c r="C4081">
        <v>0.90080463245424403</v>
      </c>
      <c r="D4081">
        <v>0.86626497439077299</v>
      </c>
      <c r="E4081">
        <v>0.72265773760551699</v>
      </c>
      <c r="F4081">
        <v>0.79137164413908601</v>
      </c>
      <c r="G4081">
        <v>0.42544571943663501</v>
      </c>
      <c r="H4081">
        <v>0.44413976510207698</v>
      </c>
      <c r="I4081">
        <v>0.45462761869247398</v>
      </c>
      <c r="J4081">
        <v>0.61893412464844599</v>
      </c>
      <c r="K4081">
        <v>0.36429632232291498</v>
      </c>
      <c r="L4081">
        <v>596.70463039177901</v>
      </c>
      <c r="M4081">
        <v>11.662752028712401</v>
      </c>
      <c r="N4081">
        <v>60.445034881317298</v>
      </c>
      <c r="O4081">
        <v>49.728514063104598</v>
      </c>
      <c r="P4081">
        <v>-3.4215495251330198E-2</v>
      </c>
      <c r="Q4081">
        <v>0.41659473319684298</v>
      </c>
      <c r="R4081">
        <v>0.83851440339637495</v>
      </c>
      <c r="S4081" t="s">
        <v>10887</v>
      </c>
      <c r="T4081" t="s">
        <v>13610</v>
      </c>
      <c r="U4081" t="s">
        <v>13610</v>
      </c>
      <c r="V4081" t="s">
        <v>13610</v>
      </c>
      <c r="W4081" t="s">
        <v>17631</v>
      </c>
      <c r="X4081">
        <v>2</v>
      </c>
      <c r="Y4081" t="s">
        <v>24222</v>
      </c>
      <c r="Z4081" t="s">
        <v>30936</v>
      </c>
      <c r="AA4081">
        <v>0.65328641636097595</v>
      </c>
      <c r="AB4081" t="str">
        <f>HYPERLINK("Melting_Curves/meltCurve_Q6WRI0_IGSF10.pdf", "Melting_Curves/meltCurve_Q6WRI0_IGSF10.pdf")</f>
        <v>Melting_Curves/meltCurve_Q6WRI0_IGSF10.pdf</v>
      </c>
    </row>
    <row r="4082" spans="1:28" x14ac:dyDescent="0.25">
      <c r="A4082" t="s">
        <v>4086</v>
      </c>
      <c r="B4082">
        <v>0.995954080203443</v>
      </c>
      <c r="C4082">
        <v>1.0264496226202899</v>
      </c>
      <c r="D4082">
        <v>1.0000763296317401</v>
      </c>
      <c r="E4082">
        <v>0.95940962672645302</v>
      </c>
      <c r="F4082">
        <v>0.84535110492902699</v>
      </c>
      <c r="G4082">
        <v>0.61758321932598204</v>
      </c>
      <c r="H4082">
        <v>0.28630496841692599</v>
      </c>
      <c r="I4082">
        <v>0.11537973447585401</v>
      </c>
      <c r="J4082">
        <v>9.2780120425526802E-2</v>
      </c>
      <c r="K4082">
        <v>8.9725515509490594E-2</v>
      </c>
      <c r="L4082">
        <v>1206.9871306070399</v>
      </c>
      <c r="M4082">
        <v>20.8722094750106</v>
      </c>
      <c r="N4082">
        <v>58.061755362980897</v>
      </c>
      <c r="O4082">
        <v>57.304503022540601</v>
      </c>
      <c r="P4082">
        <v>-8.7383413588683095E-2</v>
      </c>
      <c r="Q4082">
        <v>4.0384216647378499E-2</v>
      </c>
      <c r="R4082">
        <v>0.99714157905101497</v>
      </c>
      <c r="S4082" t="s">
        <v>10888</v>
      </c>
      <c r="T4082" t="s">
        <v>13610</v>
      </c>
      <c r="U4082" t="s">
        <v>13610</v>
      </c>
      <c r="V4082" t="s">
        <v>13610</v>
      </c>
      <c r="W4082" t="s">
        <v>17632</v>
      </c>
      <c r="X4082">
        <v>21</v>
      </c>
      <c r="Y4082" t="s">
        <v>24223</v>
      </c>
      <c r="Z4082" t="s">
        <v>30937</v>
      </c>
      <c r="AA4082">
        <v>0.62119737940995001</v>
      </c>
      <c r="AB4082" t="str">
        <f>HYPERLINK("Melting_Curves/meltCurve_Q6XQN6_NAPRT1.pdf", "Melting_Curves/meltCurve_Q6XQN6_NAPRT1.pdf")</f>
        <v>Melting_Curves/meltCurve_Q6XQN6_NAPRT1.pdf</v>
      </c>
    </row>
    <row r="4083" spans="1:28" x14ac:dyDescent="0.25">
      <c r="A4083" t="s">
        <v>4087</v>
      </c>
      <c r="B4083">
        <v>0.995954080203443</v>
      </c>
      <c r="C4083">
        <v>1.0134950102331599</v>
      </c>
      <c r="D4083">
        <v>1.2198153527578699</v>
      </c>
      <c r="E4083">
        <v>0.92874562140403005</v>
      </c>
      <c r="F4083">
        <v>0.82346115380444695</v>
      </c>
      <c r="G4083">
        <v>0.39422222258943002</v>
      </c>
      <c r="H4083">
        <v>0.224925688655294</v>
      </c>
      <c r="I4083">
        <v>0.27682205374214502</v>
      </c>
      <c r="J4083">
        <v>0.18619928289756901</v>
      </c>
      <c r="K4083">
        <v>0.203715425583332</v>
      </c>
      <c r="L4083">
        <v>1789.6891642276501</v>
      </c>
      <c r="M4083">
        <v>32.591183024960102</v>
      </c>
      <c r="N4083">
        <v>55.8641249375003</v>
      </c>
      <c r="O4083">
        <v>54.707787564658602</v>
      </c>
      <c r="P4083">
        <v>-0.117228004934489</v>
      </c>
      <c r="Q4083">
        <v>0.212884697244662</v>
      </c>
      <c r="R4083">
        <v>0.96261702411872996</v>
      </c>
      <c r="S4083" t="s">
        <v>10889</v>
      </c>
      <c r="T4083" t="s">
        <v>13610</v>
      </c>
      <c r="U4083" t="s">
        <v>13610</v>
      </c>
      <c r="V4083" t="s">
        <v>13610</v>
      </c>
      <c r="W4083" t="s">
        <v>17633</v>
      </c>
      <c r="X4083">
        <v>1</v>
      </c>
      <c r="Y4083" t="s">
        <v>24224</v>
      </c>
      <c r="Z4083" t="s">
        <v>30938</v>
      </c>
      <c r="AA4083">
        <v>0.60862019211046481</v>
      </c>
      <c r="AB4083" t="str">
        <f>HYPERLINK("Melting_Curves/meltCurve_Q6XUX3_2_DSTYK.pdf", "Melting_Curves/meltCurve_Q6XUX3_2_DSTYK.pdf")</f>
        <v>Melting_Curves/meltCurve_Q6XUX3_2_DSTYK.pdf</v>
      </c>
    </row>
    <row r="4084" spans="1:28" x14ac:dyDescent="0.25">
      <c r="A4084" t="s">
        <v>4088</v>
      </c>
      <c r="B4084">
        <v>0.995954080203443</v>
      </c>
      <c r="C4084">
        <v>0.97853546199157904</v>
      </c>
      <c r="D4084">
        <v>0.94104846373893003</v>
      </c>
      <c r="E4084">
        <v>0.66554198665340703</v>
      </c>
      <c r="F4084">
        <v>0.48620720363188002</v>
      </c>
      <c r="G4084">
        <v>0.27530789329682698</v>
      </c>
      <c r="H4084">
        <v>0.199732588913384</v>
      </c>
      <c r="I4084">
        <v>0.20743829985083201</v>
      </c>
      <c r="J4084">
        <v>0.24616343310090899</v>
      </c>
      <c r="K4084">
        <v>0.21076017117878901</v>
      </c>
      <c r="L4084">
        <v>1062.8421638458699</v>
      </c>
      <c r="M4084">
        <v>20.8192854942222</v>
      </c>
      <c r="N4084">
        <v>52.380642960556699</v>
      </c>
      <c r="O4084">
        <v>50.586846831037199</v>
      </c>
      <c r="P4084">
        <v>-8.1771290903490598E-2</v>
      </c>
      <c r="Q4084">
        <v>0.20526821905363299</v>
      </c>
      <c r="R4084">
        <v>0.99621545462161898</v>
      </c>
      <c r="S4084" t="s">
        <v>10890</v>
      </c>
      <c r="T4084" t="s">
        <v>13610</v>
      </c>
      <c r="U4084" t="s">
        <v>13610</v>
      </c>
      <c r="V4084" t="s">
        <v>13610</v>
      </c>
      <c r="W4084" t="s">
        <v>17634</v>
      </c>
      <c r="X4084">
        <v>19</v>
      </c>
      <c r="Y4084" t="s">
        <v>24225</v>
      </c>
      <c r="Z4084" t="s">
        <v>30939</v>
      </c>
      <c r="AA4084">
        <v>0.50824599047112917</v>
      </c>
      <c r="AB4084" t="str">
        <f>HYPERLINK("Melting_Curves/meltCurve_Q6XZF7_DNMBP.pdf", "Melting_Curves/meltCurve_Q6XZF7_DNMBP.pdf")</f>
        <v>Melting_Curves/meltCurve_Q6XZF7_DNMBP.pdf</v>
      </c>
    </row>
    <row r="4085" spans="1:28" x14ac:dyDescent="0.25">
      <c r="A4085" t="s">
        <v>4089</v>
      </c>
      <c r="B4085">
        <v>0.995954080203443</v>
      </c>
      <c r="C4085">
        <v>0.94482950617577099</v>
      </c>
      <c r="D4085">
        <v>0.90583789811517401</v>
      </c>
      <c r="E4085">
        <v>0.79396354074406705</v>
      </c>
      <c r="F4085">
        <v>0.63407076656336303</v>
      </c>
      <c r="G4085">
        <v>0.41815737695967198</v>
      </c>
      <c r="H4085">
        <v>0.31890735794722502</v>
      </c>
      <c r="I4085">
        <v>0.32331303146492602</v>
      </c>
      <c r="J4085">
        <v>0.41089369610847598</v>
      </c>
      <c r="K4085">
        <v>0.33231752439268702</v>
      </c>
      <c r="L4085">
        <v>950.80644810553702</v>
      </c>
      <c r="M4085">
        <v>18.277911430247698</v>
      </c>
      <c r="N4085">
        <v>55.211244368321204</v>
      </c>
      <c r="O4085">
        <v>51.408735283731602</v>
      </c>
      <c r="P4085">
        <v>-5.9894129609389599E-2</v>
      </c>
      <c r="Q4085">
        <v>0.326194614647276</v>
      </c>
      <c r="R4085">
        <v>0.98149966906288</v>
      </c>
      <c r="S4085" t="s">
        <v>10891</v>
      </c>
      <c r="T4085" t="s">
        <v>13610</v>
      </c>
      <c r="U4085" t="s">
        <v>13610</v>
      </c>
      <c r="V4085" t="s">
        <v>13610</v>
      </c>
      <c r="W4085" t="s">
        <v>17635</v>
      </c>
      <c r="X4085">
        <v>52</v>
      </c>
      <c r="Y4085" t="s">
        <v>24226</v>
      </c>
      <c r="Z4085" t="s">
        <v>30940</v>
      </c>
      <c r="AA4085">
        <v>0.60707279648950607</v>
      </c>
      <c r="AB4085" t="str">
        <f>HYPERLINK("Melting_Curves/meltCurve_Q6Y7W6_GIGYF2.pdf", "Melting_Curves/meltCurve_Q6Y7W6_GIGYF2.pdf")</f>
        <v>Melting_Curves/meltCurve_Q6Y7W6_GIGYF2.pdf</v>
      </c>
    </row>
    <row r="4086" spans="1:28" x14ac:dyDescent="0.25">
      <c r="A4086" t="s">
        <v>4090</v>
      </c>
      <c r="B4086">
        <v>0.995954080203443</v>
      </c>
      <c r="C4086">
        <v>0.85509149919795302</v>
      </c>
      <c r="D4086">
        <v>0.62001262891208497</v>
      </c>
      <c r="E4086">
        <v>0.324695212060715</v>
      </c>
      <c r="F4086">
        <v>0.119989436549156</v>
      </c>
      <c r="G4086">
        <v>6.9284859017815101E-2</v>
      </c>
      <c r="H4086">
        <v>4.9423611525095001E-2</v>
      </c>
      <c r="I4086">
        <v>4.1847649295700798E-2</v>
      </c>
      <c r="J4086">
        <v>4.6598970026466298E-2</v>
      </c>
      <c r="K4086">
        <v>4.3795123477087902E-2</v>
      </c>
      <c r="L4086">
        <v>860.52160877202596</v>
      </c>
      <c r="M4086">
        <v>18.2248768346291</v>
      </c>
      <c r="N4086">
        <v>47.4029315920926</v>
      </c>
      <c r="O4086">
        <v>46.659396288939199</v>
      </c>
      <c r="P4086">
        <v>-9.4282262490275798E-2</v>
      </c>
      <c r="Q4086">
        <v>3.4518189408547402E-2</v>
      </c>
      <c r="R4086">
        <v>0.99724949403058005</v>
      </c>
      <c r="S4086" t="s">
        <v>10892</v>
      </c>
      <c r="T4086" t="s">
        <v>13610</v>
      </c>
      <c r="U4086" t="s">
        <v>13610</v>
      </c>
      <c r="V4086" t="s">
        <v>13610</v>
      </c>
      <c r="W4086" t="s">
        <v>17636</v>
      </c>
      <c r="X4086">
        <v>32</v>
      </c>
      <c r="Y4086" t="s">
        <v>24227</v>
      </c>
      <c r="Z4086" t="s">
        <v>30941</v>
      </c>
      <c r="AA4086">
        <v>0.28394293055090469</v>
      </c>
      <c r="AB4086" t="str">
        <f>HYPERLINK("Melting_Curves/meltCurve_Q6YHU6_3_THADA.pdf", "Melting_Curves/meltCurve_Q6YHU6_3_THADA.pdf")</f>
        <v>Melting_Curves/meltCurve_Q6YHU6_3_THADA.pdf</v>
      </c>
    </row>
    <row r="4087" spans="1:28" x14ac:dyDescent="0.25">
      <c r="A4087" t="s">
        <v>4091</v>
      </c>
      <c r="B4087">
        <v>0.995954080203443</v>
      </c>
      <c r="C4087">
        <v>0.9504079404968</v>
      </c>
      <c r="D4087">
        <v>0.81050034445180297</v>
      </c>
      <c r="E4087">
        <v>0.50873546089605903</v>
      </c>
      <c r="F4087">
        <v>0.22408552527273201</v>
      </c>
      <c r="G4087">
        <v>0.132016557458181</v>
      </c>
      <c r="H4087">
        <v>9.4097724582139594E-2</v>
      </c>
      <c r="I4087">
        <v>9.1087497507620199E-2</v>
      </c>
      <c r="J4087">
        <v>8.8272133299222205E-2</v>
      </c>
      <c r="K4087">
        <v>7.3884070613238095E-2</v>
      </c>
      <c r="L4087">
        <v>1003.3685740324401</v>
      </c>
      <c r="M4087">
        <v>20.3374627695034</v>
      </c>
      <c r="N4087">
        <v>49.736221934466599</v>
      </c>
      <c r="O4087">
        <v>48.866407022845898</v>
      </c>
      <c r="P4087">
        <v>-9.6195152234588605E-2</v>
      </c>
      <c r="Q4087">
        <v>7.5485873506499004E-2</v>
      </c>
      <c r="R4087">
        <v>0.99796007444808299</v>
      </c>
      <c r="S4087" t="s">
        <v>10893</v>
      </c>
      <c r="T4087" t="s">
        <v>13610</v>
      </c>
      <c r="U4087" t="s">
        <v>13610</v>
      </c>
      <c r="V4087" t="s">
        <v>13610</v>
      </c>
      <c r="W4087" t="s">
        <v>17637</v>
      </c>
      <c r="X4087">
        <v>12</v>
      </c>
      <c r="Y4087" t="s">
        <v>24228</v>
      </c>
      <c r="Z4087" t="s">
        <v>30942</v>
      </c>
      <c r="AA4087">
        <v>0.37568252617443021</v>
      </c>
      <c r="AB4087" t="str">
        <f>HYPERLINK("Melting_Curves/meltCurve_Q6YN16_HSDL2.pdf", "Melting_Curves/meltCurve_Q6YN16_HSDL2.pdf")</f>
        <v>Melting_Curves/meltCurve_Q6YN16_HSDL2.pdf</v>
      </c>
    </row>
    <row r="4088" spans="1:28" x14ac:dyDescent="0.25">
      <c r="A4088" t="s">
        <v>4092</v>
      </c>
      <c r="B4088">
        <v>0.995954080203443</v>
      </c>
      <c r="C4088">
        <v>1.0343048870484299</v>
      </c>
      <c r="D4088">
        <v>0.98968582525978099</v>
      </c>
      <c r="E4088">
        <v>0.86837738995770797</v>
      </c>
      <c r="F4088">
        <v>0.73292100164653695</v>
      </c>
      <c r="G4088">
        <v>0.54922954316661698</v>
      </c>
      <c r="H4088">
        <v>0.382285766490785</v>
      </c>
      <c r="I4088">
        <v>0.343614849823142</v>
      </c>
      <c r="J4088">
        <v>0.27765163028052797</v>
      </c>
      <c r="K4088">
        <v>0.16733310368073101</v>
      </c>
      <c r="L4088">
        <v>719.87562387040305</v>
      </c>
      <c r="M4088">
        <v>12.6890614864621</v>
      </c>
      <c r="N4088">
        <v>58.2602069557013</v>
      </c>
      <c r="O4088">
        <v>55.378288741493897</v>
      </c>
      <c r="P4088">
        <v>-4.9184025851131699E-2</v>
      </c>
      <c r="Q4088">
        <v>0.141560000676065</v>
      </c>
      <c r="R4088">
        <v>0.99170196009893097</v>
      </c>
      <c r="S4088" t="s">
        <v>10894</v>
      </c>
      <c r="T4088" t="s">
        <v>13610</v>
      </c>
      <c r="U4088" t="s">
        <v>13610</v>
      </c>
      <c r="V4088" t="s">
        <v>13610</v>
      </c>
      <c r="W4088" t="s">
        <v>17638</v>
      </c>
      <c r="X4088">
        <v>19</v>
      </c>
      <c r="Y4088" t="s">
        <v>24229</v>
      </c>
      <c r="Z4088" t="s">
        <v>30943</v>
      </c>
      <c r="AA4088">
        <v>0.63550640953862092</v>
      </c>
      <c r="AB4088" t="str">
        <f>HYPERLINK("Melting_Curves/meltCurve_Q6YP21_3_CCBL2.pdf", "Melting_Curves/meltCurve_Q6YP21_3_CCBL2.pdf")</f>
        <v>Melting_Curves/meltCurve_Q6YP21_3_CCBL2.pdf</v>
      </c>
    </row>
    <row r="4089" spans="1:28" x14ac:dyDescent="0.25">
      <c r="A4089" t="s">
        <v>4093</v>
      </c>
      <c r="B4089">
        <v>0.995954080203443</v>
      </c>
      <c r="C4089">
        <v>0.88361121801759501</v>
      </c>
      <c r="D4089">
        <v>0.74516863836990999</v>
      </c>
      <c r="E4089">
        <v>0.43286021544382802</v>
      </c>
      <c r="F4089">
        <v>0.21307156155694201</v>
      </c>
      <c r="G4089">
        <v>0.14206600567834499</v>
      </c>
      <c r="H4089">
        <v>9.76290736668044E-2</v>
      </c>
      <c r="I4089">
        <v>0.101193985346633</v>
      </c>
      <c r="J4089">
        <v>0.12010130310985299</v>
      </c>
      <c r="K4089">
        <v>0.104214989721002</v>
      </c>
      <c r="L4089">
        <v>883.51797928682697</v>
      </c>
      <c r="M4089">
        <v>18.2997141614374</v>
      </c>
      <c r="N4089">
        <v>48.8313117563129</v>
      </c>
      <c r="O4089">
        <v>47.714958632684798</v>
      </c>
      <c r="P4089">
        <v>-8.6942097134236895E-2</v>
      </c>
      <c r="Q4089">
        <v>9.3265226935518405E-2</v>
      </c>
      <c r="R4089">
        <v>0.99688625852884805</v>
      </c>
      <c r="S4089" t="s">
        <v>10895</v>
      </c>
      <c r="T4089" t="s">
        <v>13610</v>
      </c>
      <c r="U4089" t="s">
        <v>13610</v>
      </c>
      <c r="V4089" t="s">
        <v>13610</v>
      </c>
      <c r="W4089" t="s">
        <v>17639</v>
      </c>
      <c r="X4089">
        <v>26</v>
      </c>
      <c r="Y4089" t="s">
        <v>24230</v>
      </c>
      <c r="Z4089" t="s">
        <v>30944</v>
      </c>
      <c r="AA4089">
        <v>0.35896202906799218</v>
      </c>
      <c r="AB4089" t="str">
        <f>HYPERLINK("Melting_Curves/meltCurve_Q6ZMI0_PPP1R21.pdf", "Melting_Curves/meltCurve_Q6ZMI0_PPP1R21.pdf")</f>
        <v>Melting_Curves/meltCurve_Q6ZMI0_PPP1R21.pdf</v>
      </c>
    </row>
    <row r="4090" spans="1:28" x14ac:dyDescent="0.25">
      <c r="A4090" t="s">
        <v>4094</v>
      </c>
      <c r="B4090">
        <v>0.995954080203443</v>
      </c>
      <c r="C4090">
        <v>0.89748026042409101</v>
      </c>
      <c r="D4090">
        <v>0.89168067222841396</v>
      </c>
      <c r="E4090">
        <v>0.82051109732695304</v>
      </c>
      <c r="F4090">
        <v>0.75763175229095803</v>
      </c>
      <c r="G4090">
        <v>0.60692480874315802</v>
      </c>
      <c r="H4090">
        <v>0.62505725573798399</v>
      </c>
      <c r="I4090">
        <v>0.83944104506190398</v>
      </c>
      <c r="J4090">
        <v>0.95487067473183695</v>
      </c>
      <c r="K4090">
        <v>0.91258311831399896</v>
      </c>
      <c r="L4090">
        <v>955.00452308843501</v>
      </c>
      <c r="M4090">
        <v>21.503962106064499</v>
      </c>
      <c r="O4090">
        <v>44.031906501612603</v>
      </c>
      <c r="P4090">
        <v>-2.60531885182308E-2</v>
      </c>
      <c r="Q4090">
        <v>0.78661720140708002</v>
      </c>
      <c r="R4090">
        <v>0.290463486274113</v>
      </c>
      <c r="S4090" t="s">
        <v>10896</v>
      </c>
      <c r="T4090" t="s">
        <v>13610</v>
      </c>
      <c r="U4090" t="s">
        <v>13610</v>
      </c>
      <c r="V4090" t="s">
        <v>13610</v>
      </c>
      <c r="W4090" t="s">
        <v>17640</v>
      </c>
      <c r="X4090">
        <v>2</v>
      </c>
      <c r="Y4090" t="s">
        <v>24231</v>
      </c>
      <c r="Z4090" t="s">
        <v>30945</v>
      </c>
      <c r="AA4090">
        <v>0.82127448545593396</v>
      </c>
      <c r="AB4090" t="str">
        <f>HYPERLINK("Melting_Curves/meltCurve_Q6ZMT4_JHDM1D.pdf", "Melting_Curves/meltCurve_Q6ZMT4_JHDM1D.pdf")</f>
        <v>Melting_Curves/meltCurve_Q6ZMT4_JHDM1D.pdf</v>
      </c>
    </row>
    <row r="4091" spans="1:28" x14ac:dyDescent="0.25">
      <c r="A4091" t="s">
        <v>4095</v>
      </c>
      <c r="B4091">
        <v>0.995954080203443</v>
      </c>
      <c r="C4091">
        <v>0.85083467348894004</v>
      </c>
      <c r="D4091">
        <v>0.63104447835858202</v>
      </c>
      <c r="E4091">
        <v>0.45215177256212602</v>
      </c>
      <c r="F4091">
        <v>0.350828505797186</v>
      </c>
      <c r="G4091">
        <v>0.21238566135553399</v>
      </c>
      <c r="H4091">
        <v>0.18274796797333301</v>
      </c>
      <c r="I4091">
        <v>0.16007265975431001</v>
      </c>
      <c r="J4091">
        <v>0.10985582126620499</v>
      </c>
      <c r="K4091">
        <v>0.112783004767452</v>
      </c>
      <c r="L4091">
        <v>603.65963644288502</v>
      </c>
      <c r="M4091">
        <v>12.543814060465699</v>
      </c>
      <c r="N4091">
        <v>49.0742330809706</v>
      </c>
      <c r="O4091">
        <v>46.950127088685903</v>
      </c>
      <c r="P4091">
        <v>-5.96043783879854E-2</v>
      </c>
      <c r="Q4091">
        <v>0.10781024730427199</v>
      </c>
      <c r="R4091">
        <v>0.99113770954674696</v>
      </c>
      <c r="S4091" t="s">
        <v>10897</v>
      </c>
      <c r="T4091" t="s">
        <v>13610</v>
      </c>
      <c r="U4091" t="s">
        <v>13610</v>
      </c>
      <c r="V4091" t="s">
        <v>13610</v>
      </c>
      <c r="W4091" t="s">
        <v>17641</v>
      </c>
      <c r="X4091">
        <v>3</v>
      </c>
      <c r="Y4091" t="s">
        <v>24232</v>
      </c>
      <c r="Z4091" t="s">
        <v>30946</v>
      </c>
      <c r="AA4091">
        <v>0.38142152276550217</v>
      </c>
      <c r="AB4091" t="str">
        <f>HYPERLINK("Melting_Curves/meltCurve_Q6ZMZ3_3_SYNE3.pdf", "Melting_Curves/meltCurve_Q6ZMZ3_3_SYNE3.pdf")</f>
        <v>Melting_Curves/meltCurve_Q6ZMZ3_3_SYNE3.pdf</v>
      </c>
    </row>
    <row r="4092" spans="1:28" x14ac:dyDescent="0.25">
      <c r="A4092" t="s">
        <v>4096</v>
      </c>
      <c r="B4092">
        <v>0.995954080203443</v>
      </c>
      <c r="C4092">
        <v>0.96224790875478305</v>
      </c>
      <c r="D4092">
        <v>0.90910650444698804</v>
      </c>
      <c r="E4092">
        <v>0.732930103418999</v>
      </c>
      <c r="F4092">
        <v>0.69172669242210605</v>
      </c>
      <c r="G4092">
        <v>0.46655714769883999</v>
      </c>
      <c r="H4092">
        <v>0.33750375203590099</v>
      </c>
      <c r="I4092">
        <v>0.34859907235708298</v>
      </c>
      <c r="J4092">
        <v>0.42245990765984398</v>
      </c>
      <c r="K4092">
        <v>0.37673059869712</v>
      </c>
      <c r="L4092">
        <v>788.36499494268298</v>
      </c>
      <c r="M4092">
        <v>15.172078099102</v>
      </c>
      <c r="N4092">
        <v>56.269552444365303</v>
      </c>
      <c r="O4092">
        <v>51.0839511603671</v>
      </c>
      <c r="P4092">
        <v>-4.8750085695137703E-2</v>
      </c>
      <c r="Q4092">
        <v>0.34350286994743101</v>
      </c>
      <c r="R4092">
        <v>0.97531810776757499</v>
      </c>
      <c r="S4092" t="s">
        <v>10898</v>
      </c>
      <c r="T4092" t="s">
        <v>13610</v>
      </c>
      <c r="U4092" t="s">
        <v>13610</v>
      </c>
      <c r="V4092" t="s">
        <v>13610</v>
      </c>
      <c r="W4092" t="s">
        <v>17642</v>
      </c>
      <c r="X4092">
        <v>2</v>
      </c>
      <c r="Y4092" t="s">
        <v>24233</v>
      </c>
      <c r="Z4092" t="s">
        <v>30947</v>
      </c>
      <c r="AA4092">
        <v>0.61970166722547448</v>
      </c>
      <c r="AB4092" t="str">
        <f>HYPERLINK("Melting_Curves/meltCurve_Q6ZN04_MEX3B.pdf", "Melting_Curves/meltCurve_Q6ZN04_MEX3B.pdf")</f>
        <v>Melting_Curves/meltCurve_Q6ZN04_MEX3B.pdf</v>
      </c>
    </row>
    <row r="4093" spans="1:28" x14ac:dyDescent="0.25">
      <c r="A4093" t="s">
        <v>4097</v>
      </c>
      <c r="B4093">
        <v>0.995954080203443</v>
      </c>
      <c r="C4093">
        <v>0.93894220166890596</v>
      </c>
      <c r="D4093">
        <v>0.76318975185821103</v>
      </c>
      <c r="E4093">
        <v>0.61169082531895902</v>
      </c>
      <c r="F4093">
        <v>0.407365987872992</v>
      </c>
      <c r="G4093">
        <v>0.25209208497525898</v>
      </c>
      <c r="H4093">
        <v>0.21350901872688799</v>
      </c>
      <c r="I4093">
        <v>0.24641582655837899</v>
      </c>
      <c r="J4093">
        <v>0.27329051088147999</v>
      </c>
      <c r="K4093">
        <v>0.31238575684570302</v>
      </c>
      <c r="L4093">
        <v>831.04508250008598</v>
      </c>
      <c r="M4093">
        <v>16.969882791681002</v>
      </c>
      <c r="N4093">
        <v>50.960441247974501</v>
      </c>
      <c r="O4093">
        <v>48.306881777918001</v>
      </c>
      <c r="P4093">
        <v>-6.6561063174989998E-2</v>
      </c>
      <c r="Q4093">
        <v>0.242149750410285</v>
      </c>
      <c r="R4093">
        <v>0.980201828045837</v>
      </c>
      <c r="S4093" t="s">
        <v>10899</v>
      </c>
      <c r="T4093" t="s">
        <v>13610</v>
      </c>
      <c r="U4093" t="s">
        <v>13610</v>
      </c>
      <c r="V4093" t="s">
        <v>13610</v>
      </c>
      <c r="W4093" t="s">
        <v>17643</v>
      </c>
      <c r="X4093">
        <v>7</v>
      </c>
      <c r="Y4093" t="s">
        <v>24234</v>
      </c>
      <c r="Z4093" t="s">
        <v>30948</v>
      </c>
      <c r="AA4093">
        <v>0.48355241886933598</v>
      </c>
      <c r="AB4093" t="str">
        <f>HYPERLINK("Melting_Curves/meltCurve_Q6ZN06_ZNF813.pdf", "Melting_Curves/meltCurve_Q6ZN06_ZNF813.pdf")</f>
        <v>Melting_Curves/meltCurve_Q6ZN06_ZNF813.pdf</v>
      </c>
    </row>
    <row r="4094" spans="1:28" x14ac:dyDescent="0.25">
      <c r="A4094" t="s">
        <v>4098</v>
      </c>
      <c r="B4094">
        <v>0.995954080203443</v>
      </c>
      <c r="C4094">
        <v>0.95981978449705996</v>
      </c>
      <c r="D4094">
        <v>0.89918845406092296</v>
      </c>
      <c r="E4094">
        <v>0.73461717321442199</v>
      </c>
      <c r="F4094">
        <v>0.48207992871472299</v>
      </c>
      <c r="G4094">
        <v>0.34781556124826302</v>
      </c>
      <c r="H4094">
        <v>0.31145033381438503</v>
      </c>
      <c r="I4094">
        <v>0.35884070505656201</v>
      </c>
      <c r="J4094">
        <v>0.35178954104888399</v>
      </c>
      <c r="K4094">
        <v>0.42608160119078597</v>
      </c>
      <c r="L4094">
        <v>1280.7601739342099</v>
      </c>
      <c r="M4094">
        <v>25.4452312077992</v>
      </c>
      <c r="N4094">
        <v>52.853354440143001</v>
      </c>
      <c r="O4094">
        <v>50.026201306941502</v>
      </c>
      <c r="P4094">
        <v>-8.2485132713456699E-2</v>
      </c>
      <c r="Q4094">
        <v>0.35133372557306902</v>
      </c>
      <c r="R4094">
        <v>0.98101777636085397</v>
      </c>
      <c r="S4094" t="s">
        <v>10900</v>
      </c>
      <c r="T4094" t="s">
        <v>13610</v>
      </c>
      <c r="U4094" t="s">
        <v>13610</v>
      </c>
      <c r="V4094" t="s">
        <v>13610</v>
      </c>
      <c r="W4094" t="s">
        <v>17644</v>
      </c>
      <c r="X4094">
        <v>13</v>
      </c>
      <c r="Y4094" t="s">
        <v>24235</v>
      </c>
      <c r="Z4094" t="s">
        <v>30949</v>
      </c>
      <c r="AA4094">
        <v>0.58039379034770833</v>
      </c>
      <c r="AB4094" t="str">
        <f>HYPERLINK("Melting_Curves/meltCurve_Q6ZN17_LIN28B.pdf", "Melting_Curves/meltCurve_Q6ZN17_LIN28B.pdf")</f>
        <v>Melting_Curves/meltCurve_Q6ZN17_LIN28B.pdf</v>
      </c>
    </row>
    <row r="4095" spans="1:28" x14ac:dyDescent="0.25">
      <c r="A4095" t="s">
        <v>4099</v>
      </c>
      <c r="B4095">
        <v>0.995954080203443</v>
      </c>
      <c r="C4095">
        <v>1.0494694371406801</v>
      </c>
      <c r="D4095">
        <v>1.2002799441813199</v>
      </c>
      <c r="E4095">
        <v>0.83150107286469199</v>
      </c>
      <c r="F4095">
        <v>0.40400573649244997</v>
      </c>
      <c r="G4095">
        <v>0.20735823099376199</v>
      </c>
      <c r="H4095">
        <v>0.14352492511793799</v>
      </c>
      <c r="I4095">
        <v>0.14106273888371601</v>
      </c>
      <c r="J4095">
        <v>0.13376286960691</v>
      </c>
      <c r="K4095">
        <v>0.150178251334254</v>
      </c>
      <c r="L4095">
        <v>2082.8649123674099</v>
      </c>
      <c r="M4095">
        <v>40.151399083872398</v>
      </c>
      <c r="N4095">
        <v>52.339204554759498</v>
      </c>
      <c r="O4095">
        <v>51.747094150487897</v>
      </c>
      <c r="P4095">
        <v>-0.16493531440574899</v>
      </c>
      <c r="Q4095">
        <v>0.14972768350723001</v>
      </c>
      <c r="R4095">
        <v>0.97342395627857903</v>
      </c>
      <c r="S4095" t="s">
        <v>10901</v>
      </c>
      <c r="T4095" t="s">
        <v>13610</v>
      </c>
      <c r="U4095" t="s">
        <v>13610</v>
      </c>
      <c r="V4095" t="s">
        <v>13610</v>
      </c>
      <c r="W4095" t="s">
        <v>17645</v>
      </c>
      <c r="X4095">
        <v>11</v>
      </c>
      <c r="Y4095" t="s">
        <v>24236</v>
      </c>
      <c r="Z4095" t="s">
        <v>30950</v>
      </c>
      <c r="AA4095">
        <v>0.48932618234489023</v>
      </c>
      <c r="AB4095" t="str">
        <f>HYPERLINK("Melting_Curves/meltCurve_Q6ZN28_MACC1.pdf", "Melting_Curves/meltCurve_Q6ZN28_MACC1.pdf")</f>
        <v>Melting_Curves/meltCurve_Q6ZN28_MACC1.pdf</v>
      </c>
    </row>
    <row r="4096" spans="1:28" x14ac:dyDescent="0.25">
      <c r="A4096" t="s">
        <v>4100</v>
      </c>
      <c r="B4096">
        <v>0.995954080203443</v>
      </c>
      <c r="C4096">
        <v>0.85986125144374403</v>
      </c>
      <c r="D4096">
        <v>0.80428694842936099</v>
      </c>
      <c r="E4096">
        <v>0.67227204115655903</v>
      </c>
      <c r="F4096">
        <v>0.49992429515284598</v>
      </c>
      <c r="G4096">
        <v>0.23961861596200201</v>
      </c>
      <c r="H4096">
        <v>0.20451471491282799</v>
      </c>
      <c r="I4096">
        <v>0.218080476121644</v>
      </c>
      <c r="J4096">
        <v>0.251997125745416</v>
      </c>
      <c r="K4096">
        <v>0.19905909840094901</v>
      </c>
      <c r="L4096">
        <v>671.342331462581</v>
      </c>
      <c r="M4096">
        <v>13.261086013957099</v>
      </c>
      <c r="N4096">
        <v>52.2240040115718</v>
      </c>
      <c r="O4096">
        <v>49.515312622369201</v>
      </c>
      <c r="P4096">
        <v>-5.5791876614740103E-2</v>
      </c>
      <c r="Q4096">
        <v>0.16685537612359999</v>
      </c>
      <c r="R4096">
        <v>0.97573790859137399</v>
      </c>
      <c r="S4096" t="s">
        <v>10902</v>
      </c>
      <c r="T4096" t="s">
        <v>13610</v>
      </c>
      <c r="U4096" t="s">
        <v>13610</v>
      </c>
      <c r="V4096" t="s">
        <v>13610</v>
      </c>
      <c r="W4096" t="s">
        <v>17646</v>
      </c>
      <c r="X4096">
        <v>3</v>
      </c>
      <c r="Y4096" t="s">
        <v>24237</v>
      </c>
      <c r="Z4096" t="s">
        <v>30951</v>
      </c>
      <c r="AA4096">
        <v>0.48577307465054809</v>
      </c>
      <c r="AB4096" t="str">
        <f>HYPERLINK("Melting_Curves/meltCurve_Q6ZN54_6_DEF8.pdf", "Melting_Curves/meltCurve_Q6ZN54_6_DEF8.pdf")</f>
        <v>Melting_Curves/meltCurve_Q6ZN54_6_DEF8.pdf</v>
      </c>
    </row>
    <row r="4097" spans="1:28" x14ac:dyDescent="0.25">
      <c r="A4097" t="s">
        <v>4101</v>
      </c>
      <c r="B4097">
        <v>0.995954080203443</v>
      </c>
      <c r="C4097">
        <v>0.79657216552779997</v>
      </c>
      <c r="D4097">
        <v>0.68375165251438197</v>
      </c>
      <c r="E4097">
        <v>0.51731239677668805</v>
      </c>
      <c r="F4097">
        <v>0.34302873279813001</v>
      </c>
      <c r="G4097">
        <v>0.21318269840394699</v>
      </c>
      <c r="H4097">
        <v>0.15273238532341199</v>
      </c>
      <c r="I4097">
        <v>0.15178884914575799</v>
      </c>
      <c r="J4097">
        <v>0.16393510260654301</v>
      </c>
      <c r="K4097">
        <v>0.16216220980061699</v>
      </c>
      <c r="L4097">
        <v>596.30359465717299</v>
      </c>
      <c r="M4097">
        <v>12.324003112428199</v>
      </c>
      <c r="N4097">
        <v>49.476578206467103</v>
      </c>
      <c r="O4097">
        <v>47.164494853418702</v>
      </c>
      <c r="P4097">
        <v>-5.7564603688353803E-2</v>
      </c>
      <c r="Q4097">
        <v>0.11898261799811199</v>
      </c>
      <c r="R4097">
        <v>0.98786393368247805</v>
      </c>
      <c r="S4097" t="s">
        <v>10903</v>
      </c>
      <c r="T4097" t="s">
        <v>13610</v>
      </c>
      <c r="U4097" t="s">
        <v>13610</v>
      </c>
      <c r="V4097" t="s">
        <v>13610</v>
      </c>
      <c r="W4097" t="s">
        <v>17647</v>
      </c>
      <c r="X4097">
        <v>5</v>
      </c>
      <c r="Y4097" t="s">
        <v>24238</v>
      </c>
      <c r="Z4097" t="s">
        <v>30952</v>
      </c>
      <c r="AA4097">
        <v>0.39733836514650489</v>
      </c>
      <c r="AB4097" t="str">
        <f>HYPERLINK("Melting_Curves/meltCurve_Q6ZN55_ZNF574.pdf", "Melting_Curves/meltCurve_Q6ZN55_ZNF574.pdf")</f>
        <v>Melting_Curves/meltCurve_Q6ZN55_ZNF574.pdf</v>
      </c>
    </row>
    <row r="4098" spans="1:28" x14ac:dyDescent="0.25">
      <c r="A4098" t="s">
        <v>4102</v>
      </c>
      <c r="B4098">
        <v>0.995954080203443</v>
      </c>
      <c r="C4098">
        <v>0.80967647456954495</v>
      </c>
      <c r="D4098">
        <v>0.69573028047298702</v>
      </c>
      <c r="E4098">
        <v>0.69699991469433997</v>
      </c>
      <c r="F4098">
        <v>0.88649055002632504</v>
      </c>
      <c r="G4098">
        <v>1.2843950766391501</v>
      </c>
      <c r="H4098">
        <v>0.984349304843952</v>
      </c>
      <c r="I4098">
        <v>1.4371738453895999</v>
      </c>
      <c r="J4098">
        <v>2.19239536905115</v>
      </c>
      <c r="K4098">
        <v>1.6965744141692101</v>
      </c>
      <c r="L4098">
        <v>15000</v>
      </c>
      <c r="M4098">
        <v>236.31523758789999</v>
      </c>
      <c r="O4098">
        <v>63.4699903593811</v>
      </c>
      <c r="P4098">
        <v>0.465407428505624</v>
      </c>
      <c r="Q4098">
        <v>1.5</v>
      </c>
      <c r="R4098">
        <v>0.60917885520102799</v>
      </c>
      <c r="S4098" t="s">
        <v>10904</v>
      </c>
      <c r="T4098" t="s">
        <v>13610</v>
      </c>
      <c r="U4098" t="s">
        <v>13610</v>
      </c>
      <c r="V4098" t="s">
        <v>13610</v>
      </c>
      <c r="W4098" t="s">
        <v>17648</v>
      </c>
      <c r="X4098">
        <v>1</v>
      </c>
      <c r="Y4098" t="s">
        <v>24239</v>
      </c>
      <c r="Z4098" t="s">
        <v>30953</v>
      </c>
      <c r="AA4098">
        <v>1.108695399550542</v>
      </c>
      <c r="AB4098" t="str">
        <f>HYPERLINK("Melting_Curves/meltCurve_Q6ZNG1_ZNF600.pdf", "Melting_Curves/meltCurve_Q6ZNG1_ZNF600.pdf")</f>
        <v>Melting_Curves/meltCurve_Q6ZNG1_ZNF600.pdf</v>
      </c>
    </row>
    <row r="4099" spans="1:28" x14ac:dyDescent="0.25">
      <c r="A4099" t="s">
        <v>4103</v>
      </c>
      <c r="B4099">
        <v>0.995954080203443</v>
      </c>
      <c r="C4099">
        <v>0.79612202273868704</v>
      </c>
      <c r="D4099">
        <v>0.479545986048797</v>
      </c>
      <c r="E4099">
        <v>0.27140933556693803</v>
      </c>
      <c r="F4099">
        <v>0.17738707621174801</v>
      </c>
      <c r="G4099">
        <v>0.11206660193566299</v>
      </c>
      <c r="H4099">
        <v>9.0170104163015893E-2</v>
      </c>
      <c r="I4099">
        <v>8.1140544802338704E-2</v>
      </c>
      <c r="J4099">
        <v>8.9857397946573297E-2</v>
      </c>
      <c r="K4099">
        <v>8.1040568733862201E-2</v>
      </c>
      <c r="L4099">
        <v>860.73795427533105</v>
      </c>
      <c r="M4099">
        <v>18.8348127237788</v>
      </c>
      <c r="N4099">
        <v>46.1858538715531</v>
      </c>
      <c r="O4099">
        <v>45.193504923139002</v>
      </c>
      <c r="P4099">
        <v>-9.4818455950669206E-2</v>
      </c>
      <c r="Q4099">
        <v>8.9982663636660798E-2</v>
      </c>
      <c r="R4099">
        <v>0.99373529689266904</v>
      </c>
      <c r="S4099" t="s">
        <v>10905</v>
      </c>
      <c r="T4099" t="s">
        <v>13610</v>
      </c>
      <c r="U4099" t="s">
        <v>13610</v>
      </c>
      <c r="V4099" t="s">
        <v>13610</v>
      </c>
      <c r="W4099" t="s">
        <v>17649</v>
      </c>
      <c r="X4099">
        <v>17</v>
      </c>
      <c r="Y4099" t="s">
        <v>24240</v>
      </c>
      <c r="Z4099" t="s">
        <v>30954</v>
      </c>
      <c r="AA4099">
        <v>0.27938529785261601</v>
      </c>
      <c r="AB4099" t="str">
        <f>HYPERLINK("Melting_Curves/meltCurve_Q6ZNJ1_2_NBEAL2.pdf", "Melting_Curves/meltCurve_Q6ZNJ1_2_NBEAL2.pdf")</f>
        <v>Melting_Curves/meltCurve_Q6ZNJ1_2_NBEAL2.pdf</v>
      </c>
    </row>
    <row r="4100" spans="1:28" x14ac:dyDescent="0.25">
      <c r="A4100" t="s">
        <v>4104</v>
      </c>
      <c r="B4100">
        <v>0.995954080203443</v>
      </c>
      <c r="C4100">
        <v>1.0908327436738501</v>
      </c>
      <c r="D4100">
        <v>1.0387233689428099</v>
      </c>
      <c r="E4100">
        <v>0.86535200563172499</v>
      </c>
      <c r="F4100">
        <v>0.33886810966509001</v>
      </c>
      <c r="G4100">
        <v>0.14408774504020699</v>
      </c>
      <c r="H4100">
        <v>0.101487325017648</v>
      </c>
      <c r="I4100">
        <v>9.6655968718893898E-2</v>
      </c>
      <c r="J4100">
        <v>0.10983303213165101</v>
      </c>
      <c r="K4100">
        <v>9.5800605671751901E-2</v>
      </c>
      <c r="L4100">
        <v>2430.0196688177998</v>
      </c>
      <c r="M4100">
        <v>46.878090977269402</v>
      </c>
      <c r="N4100">
        <v>52.103012194211999</v>
      </c>
      <c r="O4100">
        <v>51.742933656802897</v>
      </c>
      <c r="P4100">
        <v>-0.20239204448230799</v>
      </c>
      <c r="Q4100">
        <v>0.106418695008607</v>
      </c>
      <c r="R4100">
        <v>0.993994153516366</v>
      </c>
      <c r="S4100" t="s">
        <v>10906</v>
      </c>
      <c r="T4100" t="s">
        <v>13610</v>
      </c>
      <c r="U4100" t="s">
        <v>13610</v>
      </c>
      <c r="V4100" t="s">
        <v>13610</v>
      </c>
      <c r="W4100" t="s">
        <v>17650</v>
      </c>
      <c r="X4100">
        <v>11</v>
      </c>
      <c r="Y4100" t="s">
        <v>24241</v>
      </c>
      <c r="Z4100" t="s">
        <v>30955</v>
      </c>
      <c r="AA4100">
        <v>0.46132205138977012</v>
      </c>
      <c r="AB4100" t="str">
        <f>HYPERLINK("Melting_Curves/meltCurve_Q6ZNW5_GDPGP1.pdf", "Melting_Curves/meltCurve_Q6ZNW5_GDPGP1.pdf")</f>
        <v>Melting_Curves/meltCurve_Q6ZNW5_GDPGP1.pdf</v>
      </c>
    </row>
    <row r="4101" spans="1:28" x14ac:dyDescent="0.25">
      <c r="A4101" t="s">
        <v>4105</v>
      </c>
      <c r="B4101">
        <v>0.995954080203443</v>
      </c>
      <c r="C4101">
        <v>0.85253383809891403</v>
      </c>
      <c r="D4101">
        <v>1.5934208686417299</v>
      </c>
      <c r="E4101">
        <v>0.99881497891133197</v>
      </c>
      <c r="F4101">
        <v>1.9066843151397199</v>
      </c>
      <c r="G4101">
        <v>1.6852033437073399</v>
      </c>
      <c r="H4101">
        <v>1.59819725232879</v>
      </c>
      <c r="I4101">
        <v>1.8380756927642701</v>
      </c>
      <c r="J4101">
        <v>1.5301321338664999</v>
      </c>
      <c r="K4101">
        <v>1.66731292915582</v>
      </c>
      <c r="L4101">
        <v>11110.591278571501</v>
      </c>
      <c r="M4101">
        <v>250</v>
      </c>
      <c r="O4101">
        <v>44.439521071023897</v>
      </c>
      <c r="P4101">
        <v>0.70320289833743199</v>
      </c>
      <c r="Q4101">
        <v>1.5</v>
      </c>
      <c r="R4101">
        <v>0.50239054105355396</v>
      </c>
      <c r="S4101" t="s">
        <v>10907</v>
      </c>
      <c r="T4101" t="s">
        <v>13610</v>
      </c>
      <c r="U4101" t="s">
        <v>13610</v>
      </c>
      <c r="V4101" t="s">
        <v>13610</v>
      </c>
      <c r="W4101" t="s">
        <v>17651</v>
      </c>
      <c r="X4101">
        <v>1</v>
      </c>
      <c r="Y4101" t="s">
        <v>24242</v>
      </c>
      <c r="Z4101" t="s">
        <v>30956</v>
      </c>
      <c r="AA4101">
        <v>1.4259215835990151</v>
      </c>
      <c r="AB4101" t="str">
        <f>HYPERLINK("Melting_Curves/meltCurve_Q6ZQN7_SLCO4C1.pdf", "Melting_Curves/meltCurve_Q6ZQN7_SLCO4C1.pdf")</f>
        <v>Melting_Curves/meltCurve_Q6ZQN7_SLCO4C1.pdf</v>
      </c>
    </row>
    <row r="4102" spans="1:28" x14ac:dyDescent="0.25">
      <c r="A4102" t="s">
        <v>4106</v>
      </c>
      <c r="B4102">
        <v>0.995954080203443</v>
      </c>
      <c r="C4102">
        <v>0.77115703933951896</v>
      </c>
      <c r="D4102">
        <v>0.74692257784332905</v>
      </c>
      <c r="E4102">
        <v>0.82559942697942701</v>
      </c>
      <c r="F4102">
        <v>0.45559245670114001</v>
      </c>
      <c r="G4102">
        <v>0.209713385755843</v>
      </c>
      <c r="H4102">
        <v>0.122079439836329</v>
      </c>
      <c r="I4102">
        <v>0.109998305724978</v>
      </c>
      <c r="J4102">
        <v>5.0887215445360998E-2</v>
      </c>
      <c r="K4102">
        <v>6.9962229389030101E-2</v>
      </c>
      <c r="L4102">
        <v>620.94440656783797</v>
      </c>
      <c r="M4102">
        <v>11.849248876177199</v>
      </c>
      <c r="N4102">
        <v>52.403710959400698</v>
      </c>
      <c r="O4102">
        <v>50.977984192791197</v>
      </c>
      <c r="P4102">
        <v>-5.8124349517621597E-2</v>
      </c>
      <c r="Q4102">
        <v>0</v>
      </c>
      <c r="R4102">
        <v>0.93670303073555305</v>
      </c>
      <c r="S4102" t="s">
        <v>10908</v>
      </c>
      <c r="T4102" t="s">
        <v>13610</v>
      </c>
      <c r="U4102" t="s">
        <v>13610</v>
      </c>
      <c r="V4102" t="s">
        <v>13610</v>
      </c>
      <c r="W4102" t="s">
        <v>17652</v>
      </c>
      <c r="X4102">
        <v>1</v>
      </c>
      <c r="Y4102" t="s">
        <v>24243</v>
      </c>
      <c r="Z4102" t="s">
        <v>30957</v>
      </c>
      <c r="AA4102">
        <v>0.44367882681078841</v>
      </c>
      <c r="AB4102" t="str">
        <f>HYPERLINK("Melting_Curves/meltCurve_Q6ZRP7_QSOX2.pdf", "Melting_Curves/meltCurve_Q6ZRP7_QSOX2.pdf")</f>
        <v>Melting_Curves/meltCurve_Q6ZRP7_QSOX2.pdf</v>
      </c>
    </row>
    <row r="4103" spans="1:28" x14ac:dyDescent="0.25">
      <c r="A4103" t="s">
        <v>4107</v>
      </c>
      <c r="B4103">
        <v>0.995954080203443</v>
      </c>
      <c r="C4103">
        <v>0.69051221074691904</v>
      </c>
      <c r="D4103">
        <v>0.52068951651921402</v>
      </c>
      <c r="E4103">
        <v>0.49502233172309401</v>
      </c>
      <c r="F4103">
        <v>0.42693837525760497</v>
      </c>
      <c r="G4103">
        <v>0.32020630216200202</v>
      </c>
      <c r="H4103">
        <v>0.29822337337587201</v>
      </c>
      <c r="I4103">
        <v>0.37223040412419101</v>
      </c>
      <c r="J4103">
        <v>0.39716577440593598</v>
      </c>
      <c r="K4103">
        <v>0.41972384998625401</v>
      </c>
      <c r="L4103">
        <v>978.85877421274301</v>
      </c>
      <c r="M4103">
        <v>22.503173385372001</v>
      </c>
      <c r="N4103">
        <v>46.459628345928003</v>
      </c>
      <c r="O4103">
        <v>43.159559380538703</v>
      </c>
      <c r="P4103">
        <v>-8.0708240557628194E-2</v>
      </c>
      <c r="Q4103">
        <v>0.38084093289880699</v>
      </c>
      <c r="R4103">
        <v>0.92782454698705996</v>
      </c>
      <c r="S4103" t="s">
        <v>10909</v>
      </c>
      <c r="T4103" t="s">
        <v>13610</v>
      </c>
      <c r="U4103" t="s">
        <v>13610</v>
      </c>
      <c r="V4103" t="s">
        <v>13610</v>
      </c>
      <c r="W4103" t="s">
        <v>17653</v>
      </c>
      <c r="X4103">
        <v>18</v>
      </c>
      <c r="Y4103" t="s">
        <v>24244</v>
      </c>
      <c r="Z4103" t="s">
        <v>30958</v>
      </c>
      <c r="AA4103">
        <v>0.46310632701284993</v>
      </c>
      <c r="AB4103" t="str">
        <f>HYPERLINK("Melting_Curves/meltCurve_Q6ZRS2_2_SRCAP.pdf", "Melting_Curves/meltCurve_Q6ZRS2_2_SRCAP.pdf")</f>
        <v>Melting_Curves/meltCurve_Q6ZRS2_2_SRCAP.pdf</v>
      </c>
    </row>
    <row r="4104" spans="1:28" x14ac:dyDescent="0.25">
      <c r="A4104" t="s">
        <v>4108</v>
      </c>
      <c r="B4104">
        <v>0.995954080203443</v>
      </c>
      <c r="C4104">
        <v>0.90117812976936595</v>
      </c>
      <c r="D4104">
        <v>0.644076238118786</v>
      </c>
      <c r="E4104">
        <v>0.40427448255354198</v>
      </c>
      <c r="F4104">
        <v>0.30605193264786301</v>
      </c>
      <c r="G4104">
        <v>0.21005186205531301</v>
      </c>
      <c r="H4104">
        <v>0.17076759055427601</v>
      </c>
      <c r="I4104">
        <v>0.14553246575756401</v>
      </c>
      <c r="J4104">
        <v>0.146576447643363</v>
      </c>
      <c r="K4104">
        <v>0.11956304967821001</v>
      </c>
      <c r="L4104">
        <v>757.46161114662198</v>
      </c>
      <c r="M4104">
        <v>15.927575910987899</v>
      </c>
      <c r="N4104">
        <v>48.545410573092703</v>
      </c>
      <c r="O4104">
        <v>46.825913484672697</v>
      </c>
      <c r="P4104">
        <v>-7.3262217368991203E-2</v>
      </c>
      <c r="Q4104">
        <v>0.138526724089549</v>
      </c>
      <c r="R4104">
        <v>0.994412870408653</v>
      </c>
      <c r="S4104" t="s">
        <v>10910</v>
      </c>
      <c r="T4104" t="s">
        <v>13610</v>
      </c>
      <c r="U4104" t="s">
        <v>13610</v>
      </c>
      <c r="V4104" t="s">
        <v>13610</v>
      </c>
      <c r="W4104" t="s">
        <v>17654</v>
      </c>
      <c r="X4104">
        <v>13</v>
      </c>
      <c r="Y4104" t="s">
        <v>24245</v>
      </c>
      <c r="Z4104" t="s">
        <v>30959</v>
      </c>
      <c r="AA4104">
        <v>0.37557611032491772</v>
      </c>
      <c r="AB4104" t="str">
        <f>HYPERLINK("Melting_Curves/meltCurve_Q6ZS11_RINL.pdf", "Melting_Curves/meltCurve_Q6ZS11_RINL.pdf")</f>
        <v>Melting_Curves/meltCurve_Q6ZS11_RINL.pdf</v>
      </c>
    </row>
    <row r="4105" spans="1:28" x14ac:dyDescent="0.25">
      <c r="A4105" t="s">
        <v>4109</v>
      </c>
      <c r="B4105">
        <v>0.995954080203443</v>
      </c>
      <c r="C4105">
        <v>1.0375988579301301</v>
      </c>
      <c r="D4105">
        <v>0.71033090409223398</v>
      </c>
      <c r="E4105">
        <v>0.47712923434330101</v>
      </c>
      <c r="F4105">
        <v>0.22372080233880401</v>
      </c>
      <c r="G4105">
        <v>0.151128804031398</v>
      </c>
      <c r="H4105">
        <v>9.2573413266250806E-2</v>
      </c>
      <c r="I4105">
        <v>0.100084082932909</v>
      </c>
      <c r="J4105">
        <v>0.10241861475035401</v>
      </c>
      <c r="K4105">
        <v>0.106004056432799</v>
      </c>
      <c r="L4105">
        <v>962.94708128800505</v>
      </c>
      <c r="M4105">
        <v>19.774385117082002</v>
      </c>
      <c r="N4105">
        <v>49.216738548094099</v>
      </c>
      <c r="O4105">
        <v>48.206880159438299</v>
      </c>
      <c r="P4105">
        <v>-9.2884332572198497E-2</v>
      </c>
      <c r="Q4105">
        <v>9.4280594167413301E-2</v>
      </c>
      <c r="R4105">
        <v>0.98659192178878896</v>
      </c>
      <c r="S4105" t="s">
        <v>10911</v>
      </c>
      <c r="T4105" t="s">
        <v>13610</v>
      </c>
      <c r="U4105" t="s">
        <v>13610</v>
      </c>
      <c r="V4105" t="s">
        <v>13610</v>
      </c>
      <c r="W4105" t="s">
        <v>17655</v>
      </c>
      <c r="X4105">
        <v>6</v>
      </c>
      <c r="Y4105" t="s">
        <v>24246</v>
      </c>
      <c r="Z4105" t="s">
        <v>30960</v>
      </c>
      <c r="AA4105">
        <v>0.36986797214080308</v>
      </c>
      <c r="AB4105" t="str">
        <f>HYPERLINK("Melting_Curves/meltCurve_Q6ZS17_2_FAM65A.pdf", "Melting_Curves/meltCurve_Q6ZS17_2_FAM65A.pdf")</f>
        <v>Melting_Curves/meltCurve_Q6ZS17_2_FAM65A.pdf</v>
      </c>
    </row>
    <row r="4106" spans="1:28" x14ac:dyDescent="0.25">
      <c r="A4106" t="s">
        <v>4110</v>
      </c>
      <c r="B4106">
        <v>0.995954080203443</v>
      </c>
      <c r="C4106">
        <v>0.96487501332501902</v>
      </c>
      <c r="D4106">
        <v>0.85977603243745804</v>
      </c>
      <c r="E4106">
        <v>0.78159065366883695</v>
      </c>
      <c r="F4106">
        <v>0.56888172181805596</v>
      </c>
      <c r="G4106">
        <v>0.38546283394754</v>
      </c>
      <c r="H4106">
        <v>0.24877590806378999</v>
      </c>
      <c r="I4106">
        <v>0.239250888585092</v>
      </c>
      <c r="J4106">
        <v>0.31404779527896598</v>
      </c>
      <c r="K4106">
        <v>0.284397265947613</v>
      </c>
      <c r="L4106">
        <v>870.867029844576</v>
      </c>
      <c r="M4106">
        <v>16.756143578475399</v>
      </c>
      <c r="N4106">
        <v>54.161820412627797</v>
      </c>
      <c r="O4106">
        <v>51.2496733692562</v>
      </c>
      <c r="P4106">
        <v>-6.1636700314387199E-2</v>
      </c>
      <c r="Q4106">
        <v>0.245971099872727</v>
      </c>
      <c r="R4106">
        <v>0.98414964269306304</v>
      </c>
      <c r="S4106" t="s">
        <v>10912</v>
      </c>
      <c r="T4106" t="s">
        <v>13610</v>
      </c>
      <c r="U4106" t="s">
        <v>13610</v>
      </c>
      <c r="V4106" t="s">
        <v>13610</v>
      </c>
      <c r="W4106" t="s">
        <v>17656</v>
      </c>
      <c r="X4106">
        <v>3</v>
      </c>
      <c r="Y4106" t="s">
        <v>24247</v>
      </c>
      <c r="Z4106" t="s">
        <v>30961</v>
      </c>
      <c r="AA4106">
        <v>0.56105695443698822</v>
      </c>
      <c r="AB4106" t="str">
        <f>HYPERLINK("Melting_Curves/meltCurve_Q6ZSJ8_C1orf122.pdf", "Melting_Curves/meltCurve_Q6ZSJ8_C1orf122.pdf")</f>
        <v>Melting_Curves/meltCurve_Q6ZSJ8_C1orf122.pdf</v>
      </c>
    </row>
    <row r="4107" spans="1:28" x14ac:dyDescent="0.25">
      <c r="A4107" t="s">
        <v>4111</v>
      </c>
      <c r="B4107">
        <v>0.995954080203443</v>
      </c>
      <c r="C4107">
        <v>0.94601447505460201</v>
      </c>
      <c r="D4107">
        <v>0.76630756648334197</v>
      </c>
      <c r="E4107">
        <v>0.560047960103495</v>
      </c>
      <c r="F4107">
        <v>0.39160321652685498</v>
      </c>
      <c r="G4107">
        <v>0.26959938694478103</v>
      </c>
      <c r="H4107">
        <v>0.22322341116670899</v>
      </c>
      <c r="I4107">
        <v>0.240542051665914</v>
      </c>
      <c r="J4107">
        <v>0.30267735992849798</v>
      </c>
      <c r="K4107">
        <v>0.28172310947072898</v>
      </c>
      <c r="L4107">
        <v>867.93490603492603</v>
      </c>
      <c r="M4107">
        <v>17.875456689446299</v>
      </c>
      <c r="N4107">
        <v>50.511341551945897</v>
      </c>
      <c r="O4107">
        <v>47.9591161409395</v>
      </c>
      <c r="P4107">
        <v>-6.9904470527871104E-2</v>
      </c>
      <c r="Q4107">
        <v>0.24983465991767601</v>
      </c>
      <c r="R4107">
        <v>0.98949948201095705</v>
      </c>
      <c r="S4107" t="s">
        <v>10913</v>
      </c>
      <c r="T4107" t="s">
        <v>13610</v>
      </c>
      <c r="U4107" t="s">
        <v>13610</v>
      </c>
      <c r="V4107" t="s">
        <v>13610</v>
      </c>
      <c r="W4107" t="s">
        <v>17657</v>
      </c>
      <c r="X4107">
        <v>20</v>
      </c>
      <c r="Y4107" t="s">
        <v>24248</v>
      </c>
      <c r="Z4107" t="s">
        <v>30962</v>
      </c>
      <c r="AA4107">
        <v>0.47704745024511719</v>
      </c>
      <c r="AB4107" t="str">
        <f>HYPERLINK("Melting_Curves/meltCurve_Q6ZSZ5_2_ARHGEF18.pdf", "Melting_Curves/meltCurve_Q6ZSZ5_2_ARHGEF18.pdf")</f>
        <v>Melting_Curves/meltCurve_Q6ZSZ5_2_ARHGEF18.pdf</v>
      </c>
    </row>
    <row r="4108" spans="1:28" x14ac:dyDescent="0.25">
      <c r="A4108" t="s">
        <v>4112</v>
      </c>
      <c r="B4108">
        <v>0.995954080203443</v>
      </c>
      <c r="C4108">
        <v>0.87714767845012398</v>
      </c>
      <c r="D4108">
        <v>0.75384941225832802</v>
      </c>
      <c r="E4108">
        <v>0.43280361497331599</v>
      </c>
      <c r="F4108">
        <v>0.21074020630245799</v>
      </c>
      <c r="G4108">
        <v>0.124379115142906</v>
      </c>
      <c r="H4108">
        <v>8.6118212654975698E-2</v>
      </c>
      <c r="I4108">
        <v>8.3107448443535306E-2</v>
      </c>
      <c r="J4108">
        <v>9.8805170965038699E-2</v>
      </c>
      <c r="K4108">
        <v>8.14192796032671E-2</v>
      </c>
      <c r="L4108">
        <v>870.19860240356695</v>
      </c>
      <c r="M4108">
        <v>17.9579809986536</v>
      </c>
      <c r="N4108">
        <v>48.885195405571203</v>
      </c>
      <c r="O4108">
        <v>47.868578752816298</v>
      </c>
      <c r="P4108">
        <v>-8.6973984319162298E-2</v>
      </c>
      <c r="Q4108">
        <v>7.2698944123607404E-2</v>
      </c>
      <c r="R4108">
        <v>0.99693479953307096</v>
      </c>
      <c r="S4108" t="s">
        <v>10914</v>
      </c>
      <c r="T4108" t="s">
        <v>13610</v>
      </c>
      <c r="U4108" t="s">
        <v>13610</v>
      </c>
      <c r="V4108" t="s">
        <v>13610</v>
      </c>
      <c r="W4108" t="s">
        <v>17658</v>
      </c>
      <c r="X4108">
        <v>23</v>
      </c>
      <c r="Y4108" t="s">
        <v>24249</v>
      </c>
      <c r="Z4108" t="s">
        <v>30963</v>
      </c>
      <c r="AA4108">
        <v>0.35044726753633743</v>
      </c>
      <c r="AB4108" t="str">
        <f>HYPERLINK("Melting_Curves/meltCurve_Q6ZT12_UBR3.pdf", "Melting_Curves/meltCurve_Q6ZT12_UBR3.pdf")</f>
        <v>Melting_Curves/meltCurve_Q6ZT12_UBR3.pdf</v>
      </c>
    </row>
    <row r="4109" spans="1:28" x14ac:dyDescent="0.25">
      <c r="A4109" t="s">
        <v>4113</v>
      </c>
      <c r="B4109">
        <v>0.995954080203443</v>
      </c>
      <c r="C4109">
        <v>1.0334864068775</v>
      </c>
      <c r="D4109">
        <v>1.03748640887671</v>
      </c>
      <c r="E4109">
        <v>0.85694466832689997</v>
      </c>
      <c r="F4109">
        <v>0.66371144928075998</v>
      </c>
      <c r="G4109">
        <v>0.26821828511426798</v>
      </c>
      <c r="H4109">
        <v>0.184626493197075</v>
      </c>
      <c r="I4109">
        <v>0.19111766817664599</v>
      </c>
      <c r="J4109">
        <v>0.16207000854451101</v>
      </c>
      <c r="K4109">
        <v>0.141641130941975</v>
      </c>
      <c r="L4109">
        <v>1472.85476640671</v>
      </c>
      <c r="M4109">
        <v>27.504583676075001</v>
      </c>
      <c r="N4109">
        <v>54.289017398559501</v>
      </c>
      <c r="O4109">
        <v>53.268781443220298</v>
      </c>
      <c r="P4109">
        <v>-0.108915948308574</v>
      </c>
      <c r="Q4109">
        <v>0.15624771335631099</v>
      </c>
      <c r="R4109">
        <v>0.99519127426965504</v>
      </c>
      <c r="S4109" t="s">
        <v>10915</v>
      </c>
      <c r="T4109" t="s">
        <v>13610</v>
      </c>
      <c r="U4109" t="s">
        <v>13610</v>
      </c>
      <c r="V4109" t="s">
        <v>13610</v>
      </c>
      <c r="W4109" t="s">
        <v>17659</v>
      </c>
      <c r="X4109">
        <v>27</v>
      </c>
      <c r="Y4109" t="s">
        <v>24250</v>
      </c>
      <c r="Z4109" t="s">
        <v>30964</v>
      </c>
      <c r="AA4109">
        <v>0.54384159543826915</v>
      </c>
      <c r="AB4109" t="str">
        <f>HYPERLINK("Melting_Curves/meltCurve_Q6ZT62_SH3BP1.pdf", "Melting_Curves/meltCurve_Q6ZT62_SH3BP1.pdf")</f>
        <v>Melting_Curves/meltCurve_Q6ZT62_SH3BP1.pdf</v>
      </c>
    </row>
    <row r="4110" spans="1:28" x14ac:dyDescent="0.25">
      <c r="A4110" t="s">
        <v>4114</v>
      </c>
      <c r="B4110">
        <v>0.995954080203443</v>
      </c>
      <c r="C4110">
        <v>0.88754113259027101</v>
      </c>
      <c r="D4110">
        <v>0.85062268335410796</v>
      </c>
      <c r="E4110">
        <v>0.51808607077776603</v>
      </c>
      <c r="F4110">
        <v>0.55047466536423895</v>
      </c>
      <c r="G4110">
        <v>0.35880130421024498</v>
      </c>
      <c r="H4110">
        <v>0.31948791272160698</v>
      </c>
      <c r="I4110">
        <v>0.37598711310893101</v>
      </c>
      <c r="J4110">
        <v>0.376676671640852</v>
      </c>
      <c r="K4110">
        <v>0.45515082087977099</v>
      </c>
      <c r="L4110">
        <v>894.18850767012805</v>
      </c>
      <c r="M4110">
        <v>18.640795976234902</v>
      </c>
      <c r="N4110">
        <v>51.840021448386402</v>
      </c>
      <c r="O4110">
        <v>47.427618043840603</v>
      </c>
      <c r="P4110">
        <v>-6.1347237243660299E-2</v>
      </c>
      <c r="Q4110">
        <v>0.37568600432947102</v>
      </c>
      <c r="R4110">
        <v>0.95026191481547995</v>
      </c>
      <c r="S4110" t="s">
        <v>10916</v>
      </c>
      <c r="T4110" t="s">
        <v>13610</v>
      </c>
      <c r="U4110" t="s">
        <v>13610</v>
      </c>
      <c r="V4110" t="s">
        <v>13610</v>
      </c>
      <c r="W4110" t="s">
        <v>17660</v>
      </c>
      <c r="X4110">
        <v>6</v>
      </c>
      <c r="Y4110" t="s">
        <v>24251</v>
      </c>
      <c r="Z4110" t="s">
        <v>30965</v>
      </c>
      <c r="AA4110">
        <v>0.55183643633329627</v>
      </c>
      <c r="AB4110" t="str">
        <f>HYPERLINK("Melting_Curves/meltCurve_Q6ZTN6_ANKRD13D.pdf", "Melting_Curves/meltCurve_Q6ZTN6_ANKRD13D.pdf")</f>
        <v>Melting_Curves/meltCurve_Q6ZTN6_ANKRD13D.pdf</v>
      </c>
    </row>
    <row r="4111" spans="1:28" x14ac:dyDescent="0.25">
      <c r="A4111" t="s">
        <v>4115</v>
      </c>
      <c r="B4111">
        <v>0.995954080203443</v>
      </c>
      <c r="C4111">
        <v>0.92353277030602798</v>
      </c>
      <c r="D4111">
        <v>0.74955937987238797</v>
      </c>
      <c r="E4111">
        <v>0.64745033558732701</v>
      </c>
      <c r="F4111">
        <v>0.58687959755951902</v>
      </c>
      <c r="G4111">
        <v>0.43075610203506098</v>
      </c>
      <c r="H4111">
        <v>0.39875334031430698</v>
      </c>
      <c r="I4111">
        <v>0.45657528401565201</v>
      </c>
      <c r="J4111">
        <v>0.52562620665263804</v>
      </c>
      <c r="K4111">
        <v>0.52698229106818595</v>
      </c>
      <c r="L4111">
        <v>779.04361335452995</v>
      </c>
      <c r="M4111">
        <v>16.521590523002001</v>
      </c>
      <c r="N4111">
        <v>56.503172393146102</v>
      </c>
      <c r="O4111">
        <v>46.478478671825599</v>
      </c>
      <c r="P4111">
        <v>-4.73230905139225E-2</v>
      </c>
      <c r="Q4111">
        <v>0.46752000999688698</v>
      </c>
      <c r="R4111">
        <v>0.94106356909524402</v>
      </c>
      <c r="S4111" t="s">
        <v>10917</v>
      </c>
      <c r="T4111" t="s">
        <v>13610</v>
      </c>
      <c r="U4111" t="s">
        <v>13610</v>
      </c>
      <c r="V4111" t="s">
        <v>13610</v>
      </c>
      <c r="W4111" t="s">
        <v>17661</v>
      </c>
      <c r="X4111">
        <v>16</v>
      </c>
      <c r="Y4111" t="s">
        <v>24252</v>
      </c>
      <c r="Z4111" t="s">
        <v>30966</v>
      </c>
      <c r="AA4111">
        <v>0.60620056682825518</v>
      </c>
      <c r="AB4111" t="str">
        <f>HYPERLINK("Melting_Curves/meltCurve_Q6ZU65_UBN2.pdf", "Melting_Curves/meltCurve_Q6ZU65_UBN2.pdf")</f>
        <v>Melting_Curves/meltCurve_Q6ZU65_UBN2.pdf</v>
      </c>
    </row>
    <row r="4112" spans="1:28" x14ac:dyDescent="0.25">
      <c r="A4112" t="s">
        <v>4116</v>
      </c>
      <c r="B4112">
        <v>0.995954080203443</v>
      </c>
      <c r="C4112">
        <v>0.81061194047923102</v>
      </c>
      <c r="D4112">
        <v>0.61816637340247205</v>
      </c>
      <c r="E4112">
        <v>0.66689718539287901</v>
      </c>
      <c r="F4112">
        <v>0.32026439918886002</v>
      </c>
      <c r="G4112">
        <v>0.22397438124133401</v>
      </c>
      <c r="H4112">
        <v>0.13343538455785101</v>
      </c>
      <c r="I4112">
        <v>0.146057226647686</v>
      </c>
      <c r="J4112">
        <v>0.183362662553052</v>
      </c>
      <c r="K4112">
        <v>0.15642563378530999</v>
      </c>
      <c r="L4112">
        <v>545.20633792899503</v>
      </c>
      <c r="M4112">
        <v>11.100094539516601</v>
      </c>
      <c r="N4112">
        <v>50.079795918682301</v>
      </c>
      <c r="O4112">
        <v>47.603944676538298</v>
      </c>
      <c r="P4112">
        <v>-5.2711424535129198E-2</v>
      </c>
      <c r="Q4112">
        <v>9.6060152791805895E-2</v>
      </c>
      <c r="R4112">
        <v>0.94496052332633196</v>
      </c>
      <c r="S4112" t="s">
        <v>10918</v>
      </c>
      <c r="T4112" t="s">
        <v>13610</v>
      </c>
      <c r="U4112" t="s">
        <v>13610</v>
      </c>
      <c r="V4112" t="s">
        <v>13610</v>
      </c>
      <c r="W4112" t="s">
        <v>17662</v>
      </c>
      <c r="X4112">
        <v>2</v>
      </c>
      <c r="Y4112" t="s">
        <v>24253</v>
      </c>
      <c r="Z4112" t="s">
        <v>30967</v>
      </c>
      <c r="AA4112">
        <v>0.4081879841351545</v>
      </c>
      <c r="AB4112" t="str">
        <f>HYPERLINK("Melting_Curves/meltCurve_Q6ZUM4_2_ARHGAP27.pdf", "Melting_Curves/meltCurve_Q6ZUM4_2_ARHGAP27.pdf")</f>
        <v>Melting_Curves/meltCurve_Q6ZUM4_2_ARHGAP27.pdf</v>
      </c>
    </row>
    <row r="4113" spans="1:28" x14ac:dyDescent="0.25">
      <c r="A4113" t="s">
        <v>4117</v>
      </c>
      <c r="B4113">
        <v>0.995954080203443</v>
      </c>
      <c r="C4113">
        <v>0.89990333816498502</v>
      </c>
      <c r="D4113">
        <v>1.1708340554501999</v>
      </c>
      <c r="E4113">
        <v>0.86624679441665398</v>
      </c>
      <c r="F4113">
        <v>1.0154318789485199</v>
      </c>
      <c r="G4113">
        <v>0.76458677661027497</v>
      </c>
      <c r="H4113">
        <v>0.67942777223427497</v>
      </c>
      <c r="I4113">
        <v>0.76672636684247197</v>
      </c>
      <c r="J4113">
        <v>0.81594168786912702</v>
      </c>
      <c r="K4113">
        <v>0.83473113995916903</v>
      </c>
      <c r="L4113">
        <v>7567.2491095836704</v>
      </c>
      <c r="M4113">
        <v>137.45385938808599</v>
      </c>
      <c r="O4113">
        <v>55.041360268643501</v>
      </c>
      <c r="P4113">
        <v>-0.142336246790918</v>
      </c>
      <c r="Q4113">
        <v>0.77201423768312405</v>
      </c>
      <c r="R4113">
        <v>0.62034733060316705</v>
      </c>
      <c r="S4113" t="s">
        <v>10919</v>
      </c>
      <c r="T4113" t="s">
        <v>13610</v>
      </c>
      <c r="U4113" t="s">
        <v>13610</v>
      </c>
      <c r="V4113" t="s">
        <v>13610</v>
      </c>
      <c r="W4113" t="s">
        <v>17663</v>
      </c>
      <c r="X4113">
        <v>3</v>
      </c>
      <c r="Y4113" t="s">
        <v>24254</v>
      </c>
      <c r="Z4113" t="s">
        <v>30968</v>
      </c>
      <c r="AA4113">
        <v>0.886482896387079</v>
      </c>
      <c r="AB4113" t="str">
        <f>HYPERLINK("Melting_Curves/meltCurve_Q6ZUT1_3_C11orf57.pdf", "Melting_Curves/meltCurve_Q6ZUT1_3_C11orf57.pdf")</f>
        <v>Melting_Curves/meltCurve_Q6ZUT1_3_C11orf57.pdf</v>
      </c>
    </row>
    <row r="4114" spans="1:28" x14ac:dyDescent="0.25">
      <c r="A4114" t="s">
        <v>4118</v>
      </c>
      <c r="B4114">
        <v>0.995954080203443</v>
      </c>
      <c r="C4114">
        <v>0.95836411790933496</v>
      </c>
      <c r="D4114">
        <v>0.85417545516781701</v>
      </c>
      <c r="E4114">
        <v>0.65462091496345098</v>
      </c>
      <c r="F4114">
        <v>0.27629433771651901</v>
      </c>
      <c r="G4114">
        <v>9.7804032404982005E-2</v>
      </c>
      <c r="H4114">
        <v>6.5627386159481493E-2</v>
      </c>
      <c r="I4114">
        <v>5.6194937010026098E-2</v>
      </c>
      <c r="J4114">
        <v>5.55171512601529E-2</v>
      </c>
      <c r="K4114">
        <v>6.0262128205104799E-2</v>
      </c>
      <c r="L4114">
        <v>1151.4780969575199</v>
      </c>
      <c r="M4114">
        <v>22.6942725321586</v>
      </c>
      <c r="N4114">
        <v>50.9481060951627</v>
      </c>
      <c r="O4114">
        <v>50.349680599417198</v>
      </c>
      <c r="P4114">
        <v>-0.10766790906939799</v>
      </c>
      <c r="Q4114">
        <v>4.4527765670764101E-2</v>
      </c>
      <c r="R4114">
        <v>0.99406447953590804</v>
      </c>
      <c r="S4114" t="s">
        <v>10920</v>
      </c>
      <c r="T4114" t="s">
        <v>13610</v>
      </c>
      <c r="U4114" t="s">
        <v>13610</v>
      </c>
      <c r="V4114" t="s">
        <v>13610</v>
      </c>
      <c r="W4114" t="s">
        <v>17664</v>
      </c>
      <c r="X4114">
        <v>5</v>
      </c>
      <c r="Y4114" t="s">
        <v>24255</v>
      </c>
      <c r="Z4114" t="s">
        <v>30969</v>
      </c>
      <c r="AA4114">
        <v>0.39695499738435658</v>
      </c>
      <c r="AB4114" t="str">
        <f>HYPERLINK("Melting_Curves/meltCurve_Q6ZV70_2_LANCL3.pdf", "Melting_Curves/meltCurve_Q6ZV70_2_LANCL3.pdf")</f>
        <v>Melting_Curves/meltCurve_Q6ZV70_2_LANCL3.pdf</v>
      </c>
    </row>
    <row r="4115" spans="1:28" x14ac:dyDescent="0.25">
      <c r="A4115" t="s">
        <v>4119</v>
      </c>
      <c r="B4115">
        <v>0.995954080203443</v>
      </c>
      <c r="C4115">
        <v>0.97392890774858398</v>
      </c>
      <c r="D4115">
        <v>0.91442919040953397</v>
      </c>
      <c r="E4115">
        <v>0.80357034096692204</v>
      </c>
      <c r="F4115">
        <v>0.55305438963537501</v>
      </c>
      <c r="G4115">
        <v>0.223791946365688</v>
      </c>
      <c r="H4115">
        <v>0.111496608473609</v>
      </c>
      <c r="I4115">
        <v>0.100731361383653</v>
      </c>
      <c r="J4115">
        <v>0.106801929409699</v>
      </c>
      <c r="K4115">
        <v>9.9781472668920596E-2</v>
      </c>
      <c r="L4115">
        <v>1155.9297035320301</v>
      </c>
      <c r="M4115">
        <v>21.841438122804099</v>
      </c>
      <c r="N4115">
        <v>53.365546289493402</v>
      </c>
      <c r="O4115">
        <v>52.486048182020099</v>
      </c>
      <c r="P4115">
        <v>-9.5431467938387998E-2</v>
      </c>
      <c r="Q4115">
        <v>8.27151502768224E-2</v>
      </c>
      <c r="R4115">
        <v>0.99676528492331296</v>
      </c>
      <c r="S4115" t="s">
        <v>10921</v>
      </c>
      <c r="T4115" t="s">
        <v>13610</v>
      </c>
      <c r="U4115" t="s">
        <v>13610</v>
      </c>
      <c r="V4115" t="s">
        <v>13610</v>
      </c>
      <c r="W4115" t="s">
        <v>17665</v>
      </c>
      <c r="X4115">
        <v>7</v>
      </c>
      <c r="Y4115" t="s">
        <v>24256</v>
      </c>
      <c r="Z4115" t="s">
        <v>30970</v>
      </c>
      <c r="AA4115">
        <v>0.48869114413104009</v>
      </c>
      <c r="AB4115" t="str">
        <f>HYPERLINK("Melting_Curves/meltCurve_Q6ZVK8_NUDT18.pdf", "Melting_Curves/meltCurve_Q6ZVK8_NUDT18.pdf")</f>
        <v>Melting_Curves/meltCurve_Q6ZVK8_NUDT18.pdf</v>
      </c>
    </row>
    <row r="4116" spans="1:28" x14ac:dyDescent="0.25">
      <c r="A4116" t="s">
        <v>4120</v>
      </c>
      <c r="B4116">
        <v>0.995954080203443</v>
      </c>
      <c r="C4116">
        <v>0.95707472342979405</v>
      </c>
      <c r="D4116">
        <v>0.99498440315403303</v>
      </c>
      <c r="E4116">
        <v>0.836462078304261</v>
      </c>
      <c r="F4116">
        <v>0.62767666295961999</v>
      </c>
      <c r="G4116">
        <v>0.30074252048147199</v>
      </c>
      <c r="H4116">
        <v>0.21331553226411201</v>
      </c>
      <c r="I4116">
        <v>0.224951753566451</v>
      </c>
      <c r="J4116">
        <v>0.26879279848459298</v>
      </c>
      <c r="K4116">
        <v>0.25976315076600298</v>
      </c>
      <c r="L4116">
        <v>1462.2646008844099</v>
      </c>
      <c r="M4116">
        <v>27.685116062694799</v>
      </c>
      <c r="N4116">
        <v>54.042098065728197</v>
      </c>
      <c r="O4116">
        <v>52.5444469851004</v>
      </c>
      <c r="P4116">
        <v>-0.10103630469532</v>
      </c>
      <c r="Q4116">
        <v>0.23296703742757299</v>
      </c>
      <c r="R4116">
        <v>0.99314766177403901</v>
      </c>
      <c r="S4116" t="s">
        <v>10922</v>
      </c>
      <c r="T4116" t="s">
        <v>13610</v>
      </c>
      <c r="U4116" t="s">
        <v>13610</v>
      </c>
      <c r="V4116" t="s">
        <v>13610</v>
      </c>
      <c r="W4116" t="s">
        <v>17666</v>
      </c>
      <c r="X4116">
        <v>7</v>
      </c>
      <c r="Y4116" t="s">
        <v>24257</v>
      </c>
      <c r="Z4116" t="s">
        <v>30971</v>
      </c>
      <c r="AA4116">
        <v>0.5664900106565488</v>
      </c>
      <c r="AB4116" t="str">
        <f>HYPERLINK("Melting_Curves/meltCurve_Q6ZVM7_TOM1L2.pdf", "Melting_Curves/meltCurve_Q6ZVM7_TOM1L2.pdf")</f>
        <v>Melting_Curves/meltCurve_Q6ZVM7_TOM1L2.pdf</v>
      </c>
    </row>
    <row r="4117" spans="1:28" x14ac:dyDescent="0.25">
      <c r="A4117" t="s">
        <v>4121</v>
      </c>
      <c r="B4117">
        <v>0.995954080203443</v>
      </c>
      <c r="C4117">
        <v>0.89875443230014496</v>
      </c>
      <c r="D4117">
        <v>0.94068716340883496</v>
      </c>
      <c r="E4117">
        <v>0.74742705144932797</v>
      </c>
      <c r="F4117">
        <v>0.74633053355159296</v>
      </c>
      <c r="G4117">
        <v>0.489763681124816</v>
      </c>
      <c r="H4117">
        <v>0.248293850580702</v>
      </c>
      <c r="I4117">
        <v>0.23371575982812201</v>
      </c>
      <c r="J4117">
        <v>0.26455962071466199</v>
      </c>
      <c r="K4117">
        <v>0.27024348217674299</v>
      </c>
      <c r="L4117">
        <v>749.35027198646696</v>
      </c>
      <c r="M4117">
        <v>13.790100263824501</v>
      </c>
      <c r="N4117">
        <v>56.212389081631898</v>
      </c>
      <c r="O4117">
        <v>53.235266815907302</v>
      </c>
      <c r="P4117">
        <v>-5.28407263180476E-2</v>
      </c>
      <c r="Q4117">
        <v>0.18416991032515301</v>
      </c>
      <c r="R4117">
        <v>0.96632855144583096</v>
      </c>
      <c r="S4117" t="s">
        <v>10923</v>
      </c>
      <c r="T4117" t="s">
        <v>13610</v>
      </c>
      <c r="U4117" t="s">
        <v>13610</v>
      </c>
      <c r="V4117" t="s">
        <v>13610</v>
      </c>
      <c r="W4117" t="s">
        <v>17667</v>
      </c>
      <c r="X4117">
        <v>17</v>
      </c>
      <c r="Y4117" t="s">
        <v>24258</v>
      </c>
      <c r="Z4117" t="s">
        <v>30972</v>
      </c>
      <c r="AA4117">
        <v>0.59217250948860756</v>
      </c>
      <c r="AB4117" t="str">
        <f>HYPERLINK("Melting_Curves/meltCurve_Q6ZW49_4_PAXIP1.pdf", "Melting_Curves/meltCurve_Q6ZW49_4_PAXIP1.pdf")</f>
        <v>Melting_Curves/meltCurve_Q6ZW49_4_PAXIP1.pdf</v>
      </c>
    </row>
    <row r="4118" spans="1:28" x14ac:dyDescent="0.25">
      <c r="A4118" t="s">
        <v>4122</v>
      </c>
      <c r="B4118">
        <v>0.995954080203443</v>
      </c>
      <c r="C4118">
        <v>0.75665807498938897</v>
      </c>
      <c r="D4118">
        <v>0.44165357042845299</v>
      </c>
      <c r="E4118">
        <v>0.36204341412281699</v>
      </c>
      <c r="F4118">
        <v>0.39155423021455199</v>
      </c>
      <c r="G4118">
        <v>0.45066975190360198</v>
      </c>
      <c r="H4118">
        <v>0.50189830872600405</v>
      </c>
      <c r="I4118">
        <v>0.57320119970098504</v>
      </c>
      <c r="J4118">
        <v>0.68614785202591</v>
      </c>
      <c r="K4118">
        <v>0.60709325791255797</v>
      </c>
      <c r="L4118">
        <v>10726.986573308401</v>
      </c>
      <c r="M4118">
        <v>250</v>
      </c>
      <c r="O4118">
        <v>42.9051756731414</v>
      </c>
      <c r="P4118">
        <v>-0.72575307963046298</v>
      </c>
      <c r="Q4118">
        <v>0.50178269601803005</v>
      </c>
      <c r="R4118">
        <v>0.74174373606733202</v>
      </c>
      <c r="S4118" t="s">
        <v>10924</v>
      </c>
      <c r="T4118" t="s">
        <v>13610</v>
      </c>
      <c r="U4118" t="s">
        <v>13610</v>
      </c>
      <c r="V4118" t="s">
        <v>13610</v>
      </c>
      <c r="W4118" t="s">
        <v>17668</v>
      </c>
      <c r="X4118">
        <v>2</v>
      </c>
      <c r="Y4118" t="s">
        <v>24259</v>
      </c>
      <c r="Z4118" t="s">
        <v>30973</v>
      </c>
      <c r="AA4118">
        <v>0.55011318527446218</v>
      </c>
      <c r="AB4118" t="str">
        <f>HYPERLINK("Melting_Curves/meltCurve_Q6ZYL4_GTF2H5.pdf", "Melting_Curves/meltCurve_Q6ZYL4_GTF2H5.pdf")</f>
        <v>Melting_Curves/meltCurve_Q6ZYL4_GTF2H5.pdf</v>
      </c>
    </row>
    <row r="4119" spans="1:28" x14ac:dyDescent="0.25">
      <c r="A4119" t="s">
        <v>4123</v>
      </c>
      <c r="B4119">
        <v>0.995954080203443</v>
      </c>
      <c r="C4119">
        <v>0.90073315211572802</v>
      </c>
      <c r="D4119">
        <v>0.80586714233529599</v>
      </c>
      <c r="E4119">
        <v>0.90371654053680095</v>
      </c>
      <c r="F4119">
        <v>0.70187466029450096</v>
      </c>
      <c r="G4119">
        <v>0.42581273433022598</v>
      </c>
      <c r="H4119">
        <v>0.17520160693401399</v>
      </c>
      <c r="I4119">
        <v>0.123492211623593</v>
      </c>
      <c r="J4119">
        <v>0.11556403887196</v>
      </c>
      <c r="K4119">
        <v>0.105979126679643</v>
      </c>
      <c r="L4119">
        <v>870.14185391355795</v>
      </c>
      <c r="M4119">
        <v>15.7193176692669</v>
      </c>
      <c r="N4119">
        <v>55.665731709317399</v>
      </c>
      <c r="O4119">
        <v>54.482318215027398</v>
      </c>
      <c r="P4119">
        <v>-6.9105688016341399E-2</v>
      </c>
      <c r="Q4119">
        <v>4.2014278191451898E-2</v>
      </c>
      <c r="R4119">
        <v>0.96827042054310397</v>
      </c>
      <c r="S4119" t="s">
        <v>10925</v>
      </c>
      <c r="T4119" t="s">
        <v>13610</v>
      </c>
      <c r="U4119" t="s">
        <v>13610</v>
      </c>
      <c r="V4119" t="s">
        <v>13610</v>
      </c>
      <c r="W4119" t="s">
        <v>17669</v>
      </c>
      <c r="X4119">
        <v>79</v>
      </c>
      <c r="Y4119" t="s">
        <v>24260</v>
      </c>
      <c r="Z4119" t="s">
        <v>30974</v>
      </c>
      <c r="AA4119">
        <v>0.54947804194323535</v>
      </c>
      <c r="AB4119" t="str">
        <f>HYPERLINK("Melting_Curves/meltCurve_Q709C8_3_VPS13C.pdf", "Melting_Curves/meltCurve_Q709C8_3_VPS13C.pdf")</f>
        <v>Melting_Curves/meltCurve_Q709C8_3_VPS13C.pdf</v>
      </c>
    </row>
    <row r="4120" spans="1:28" x14ac:dyDescent="0.25">
      <c r="A4120" t="s">
        <v>4124</v>
      </c>
      <c r="B4120">
        <v>0.995954080203443</v>
      </c>
      <c r="C4120">
        <v>0.807048135522624</v>
      </c>
      <c r="D4120">
        <v>0.64234072151778299</v>
      </c>
      <c r="E4120">
        <v>0.52531535270757901</v>
      </c>
      <c r="F4120">
        <v>0.24810302970526399</v>
      </c>
      <c r="G4120">
        <v>0.14056377827014399</v>
      </c>
      <c r="H4120">
        <v>9.0705342222962601E-2</v>
      </c>
      <c r="I4120">
        <v>8.4889653679820695E-2</v>
      </c>
      <c r="J4120">
        <v>9.8856288045195001E-2</v>
      </c>
      <c r="K4120">
        <v>8.8063161081572902E-2</v>
      </c>
      <c r="L4120">
        <v>620.72793498351803</v>
      </c>
      <c r="M4120">
        <v>12.8084467984661</v>
      </c>
      <c r="N4120">
        <v>48.8586566876116</v>
      </c>
      <c r="O4120">
        <v>47.326645648089801</v>
      </c>
      <c r="P4120">
        <v>-6.4333974467410404E-2</v>
      </c>
      <c r="Q4120">
        <v>4.9332844751581E-2</v>
      </c>
      <c r="R4120">
        <v>0.98219387331636299</v>
      </c>
      <c r="S4120" t="s">
        <v>10926</v>
      </c>
      <c r="T4120" t="s">
        <v>13610</v>
      </c>
      <c r="U4120" t="s">
        <v>13610</v>
      </c>
      <c r="V4120" t="s">
        <v>13610</v>
      </c>
      <c r="W4120" t="s">
        <v>17670</v>
      </c>
      <c r="X4120">
        <v>22</v>
      </c>
      <c r="Y4120" t="s">
        <v>24261</v>
      </c>
      <c r="Z4120" t="s">
        <v>30975</v>
      </c>
      <c r="AA4120">
        <v>0.34968788133237771</v>
      </c>
      <c r="AB4120" t="str">
        <f>HYPERLINK("Melting_Curves/meltCurve_Q70CQ2_USP34.pdf", "Melting_Curves/meltCurve_Q70CQ2_USP34.pdf")</f>
        <v>Melting_Curves/meltCurve_Q70CQ2_USP34.pdf</v>
      </c>
    </row>
    <row r="4121" spans="1:28" x14ac:dyDescent="0.25">
      <c r="A4121" t="s">
        <v>4125</v>
      </c>
      <c r="B4121">
        <v>0.995954080203443</v>
      </c>
      <c r="C4121">
        <v>0.99548308268902097</v>
      </c>
      <c r="D4121">
        <v>0.81594315608796597</v>
      </c>
      <c r="E4121">
        <v>0.71366355215142296</v>
      </c>
      <c r="F4121">
        <v>0.59557456536599795</v>
      </c>
      <c r="G4121">
        <v>0.411686710145306</v>
      </c>
      <c r="H4121">
        <v>0.37712278211427103</v>
      </c>
      <c r="I4121">
        <v>0.42823136303588399</v>
      </c>
      <c r="J4121">
        <v>0.53777243147854903</v>
      </c>
      <c r="K4121">
        <v>0.43682632048026998</v>
      </c>
      <c r="L4121">
        <v>864.99369891463698</v>
      </c>
      <c r="M4121">
        <v>17.542122801575999</v>
      </c>
      <c r="N4121">
        <v>55.516414040177501</v>
      </c>
      <c r="O4121">
        <v>48.682117547153801</v>
      </c>
      <c r="P4121">
        <v>-5.13819652312731E-2</v>
      </c>
      <c r="Q4121">
        <v>0.429659390114144</v>
      </c>
      <c r="R4121">
        <v>0.94635798849839103</v>
      </c>
      <c r="S4121" t="s">
        <v>10927</v>
      </c>
      <c r="T4121" t="s">
        <v>13610</v>
      </c>
      <c r="U4121" t="s">
        <v>13610</v>
      </c>
      <c r="V4121" t="s">
        <v>13610</v>
      </c>
      <c r="W4121" t="s">
        <v>17671</v>
      </c>
      <c r="X4121">
        <v>2</v>
      </c>
      <c r="Y4121" t="s">
        <v>24262</v>
      </c>
      <c r="Z4121" t="s">
        <v>30976</v>
      </c>
      <c r="AA4121">
        <v>0.61697934848193081</v>
      </c>
      <c r="AB4121" t="str">
        <f>HYPERLINK("Melting_Curves/meltCurve_Q70EK8_USP53.pdf", "Melting_Curves/meltCurve_Q70EK8_USP53.pdf")</f>
        <v>Melting_Curves/meltCurve_Q70EK8_USP53.pdf</v>
      </c>
    </row>
    <row r="4122" spans="1:28" x14ac:dyDescent="0.25">
      <c r="A4122" t="s">
        <v>4126</v>
      </c>
      <c r="B4122">
        <v>0.995954080203443</v>
      </c>
      <c r="C4122">
        <v>1.05903010787828</v>
      </c>
      <c r="D4122">
        <v>1.1174632423455</v>
      </c>
      <c r="E4122">
        <v>0.89957226954657099</v>
      </c>
      <c r="F4122">
        <v>0.83745562824951403</v>
      </c>
      <c r="G4122">
        <v>0.65127823811423302</v>
      </c>
      <c r="H4122">
        <v>0.63079467431420599</v>
      </c>
      <c r="I4122">
        <v>0.74705175159569304</v>
      </c>
      <c r="J4122">
        <v>0.97265053068984797</v>
      </c>
      <c r="K4122">
        <v>0.89810311095213902</v>
      </c>
      <c r="L4122">
        <v>2523.8631609976501</v>
      </c>
      <c r="M4122">
        <v>50.107304917488896</v>
      </c>
      <c r="O4122">
        <v>50.289135572581799</v>
      </c>
      <c r="P4122">
        <v>-5.3402457726334403E-2</v>
      </c>
      <c r="Q4122">
        <v>0.78561520972229604</v>
      </c>
      <c r="R4122">
        <v>0.54923989708918097</v>
      </c>
      <c r="S4122" t="s">
        <v>10928</v>
      </c>
      <c r="T4122" t="s">
        <v>13610</v>
      </c>
      <c r="U4122" t="s">
        <v>13610</v>
      </c>
      <c r="V4122" t="s">
        <v>13610</v>
      </c>
      <c r="W4122" t="s">
        <v>17672</v>
      </c>
      <c r="X4122">
        <v>2</v>
      </c>
      <c r="Y4122" t="s">
        <v>24263</v>
      </c>
      <c r="Z4122" t="s">
        <v>30977</v>
      </c>
      <c r="AA4122">
        <v>0.86018919651073944</v>
      </c>
      <c r="AB4122" t="str">
        <f>HYPERLINK("Melting_Curves/meltCurve_Q70EK9_USP51.pdf", "Melting_Curves/meltCurve_Q70EK9_USP51.pdf")</f>
        <v>Melting_Curves/meltCurve_Q70EK9_USP51.pdf</v>
      </c>
    </row>
    <row r="4123" spans="1:28" x14ac:dyDescent="0.25">
      <c r="A4123" t="s">
        <v>4127</v>
      </c>
      <c r="B4123">
        <v>0.995954080203443</v>
      </c>
      <c r="C4123">
        <v>0.93506355666806995</v>
      </c>
      <c r="D4123">
        <v>0.947868473940496</v>
      </c>
      <c r="E4123">
        <v>0.83538080711117202</v>
      </c>
      <c r="F4123">
        <v>0.80549213872818803</v>
      </c>
      <c r="G4123">
        <v>0.58464011188137799</v>
      </c>
      <c r="H4123">
        <v>0.54613084375387</v>
      </c>
      <c r="I4123">
        <v>0.64423463600182596</v>
      </c>
      <c r="J4123">
        <v>0.77607870113023703</v>
      </c>
      <c r="K4123">
        <v>0.69607639529395704</v>
      </c>
      <c r="L4123">
        <v>1135.5799928394099</v>
      </c>
      <c r="M4123">
        <v>22.5119072038935</v>
      </c>
      <c r="O4123">
        <v>50.050543887041201</v>
      </c>
      <c r="P4123">
        <v>-3.9093067971501701E-2</v>
      </c>
      <c r="Q4123">
        <v>0.65234587550602396</v>
      </c>
      <c r="R4123">
        <v>0.79048657695345903</v>
      </c>
      <c r="S4123" t="s">
        <v>10929</v>
      </c>
      <c r="T4123" t="s">
        <v>13610</v>
      </c>
      <c r="U4123" t="s">
        <v>13610</v>
      </c>
      <c r="V4123" t="s">
        <v>13610</v>
      </c>
      <c r="W4123" t="s">
        <v>17673</v>
      </c>
      <c r="X4123">
        <v>7</v>
      </c>
      <c r="Y4123" t="s">
        <v>24264</v>
      </c>
      <c r="Z4123" t="s">
        <v>30978</v>
      </c>
      <c r="AA4123">
        <v>0.77721156824881299</v>
      </c>
      <c r="AB4123" t="str">
        <f>HYPERLINK("Melting_Curves/meltCurve_Q70EL1_7_USP54.pdf", "Melting_Curves/meltCurve_Q70EL1_7_USP54.pdf")</f>
        <v>Melting_Curves/meltCurve_Q70EL1_7_USP54.pdf</v>
      </c>
    </row>
    <row r="4124" spans="1:28" x14ac:dyDescent="0.25">
      <c r="A4124" t="s">
        <v>4128</v>
      </c>
      <c r="B4124">
        <v>0.995954080203443</v>
      </c>
      <c r="C4124">
        <v>0.94718000708089201</v>
      </c>
      <c r="D4124">
        <v>0.74262670050687096</v>
      </c>
      <c r="E4124">
        <v>0.26297057985482403</v>
      </c>
      <c r="F4124">
        <v>0.109781412296759</v>
      </c>
      <c r="G4124">
        <v>6.9148552167448404E-2</v>
      </c>
      <c r="H4124">
        <v>4.9841791745117103E-2</v>
      </c>
      <c r="I4124">
        <v>4.2984360425285903E-2</v>
      </c>
      <c r="J4124">
        <v>4.6063863934562903E-2</v>
      </c>
      <c r="K4124">
        <v>4.8405923434925897E-2</v>
      </c>
      <c r="L4124">
        <v>1261.2522160692799</v>
      </c>
      <c r="M4124">
        <v>26.440902531765602</v>
      </c>
      <c r="N4124">
        <v>47.881149408948403</v>
      </c>
      <c r="O4124">
        <v>47.430457988394103</v>
      </c>
      <c r="P4124">
        <v>-0.13276259643774599</v>
      </c>
      <c r="Q4124">
        <v>4.7396703771781901E-2</v>
      </c>
      <c r="R4124">
        <v>0.99988074880512001</v>
      </c>
      <c r="S4124" t="s">
        <v>10930</v>
      </c>
      <c r="T4124" t="s">
        <v>13610</v>
      </c>
      <c r="U4124" t="s">
        <v>13610</v>
      </c>
      <c r="V4124" t="s">
        <v>13610</v>
      </c>
      <c r="W4124" t="s">
        <v>17674</v>
      </c>
      <c r="X4124">
        <v>6</v>
      </c>
      <c r="Y4124" t="s">
        <v>24265</v>
      </c>
      <c r="Z4124" t="s">
        <v>30979</v>
      </c>
      <c r="AA4124">
        <v>0.29940102005832081</v>
      </c>
      <c r="AB4124" t="str">
        <f>HYPERLINK("Melting_Curves/meltCurve_Q70IA6_MOB2.pdf", "Melting_Curves/meltCurve_Q70IA6_MOB2.pdf")</f>
        <v>Melting_Curves/meltCurve_Q70IA6_MOB2.pdf</v>
      </c>
    </row>
    <row r="4125" spans="1:28" x14ac:dyDescent="0.25">
      <c r="A4125" t="s">
        <v>4129</v>
      </c>
      <c r="B4125">
        <v>0.995954080203443</v>
      </c>
      <c r="C4125">
        <v>0.86651321758194699</v>
      </c>
      <c r="D4125">
        <v>0.56417322473266296</v>
      </c>
      <c r="E4125">
        <v>0.32973947378198898</v>
      </c>
      <c r="F4125">
        <v>0.22650964909639401</v>
      </c>
      <c r="G4125">
        <v>0.13596911296848499</v>
      </c>
      <c r="H4125">
        <v>9.4419061936743001E-2</v>
      </c>
      <c r="I4125">
        <v>9.0064259206262001E-2</v>
      </c>
      <c r="J4125">
        <v>0.108279733404824</v>
      </c>
      <c r="K4125">
        <v>9.5757198583778694E-2</v>
      </c>
      <c r="L4125">
        <v>818.34099799876901</v>
      </c>
      <c r="M4125">
        <v>17.5198236955383</v>
      </c>
      <c r="N4125">
        <v>47.289939684058098</v>
      </c>
      <c r="O4125">
        <v>46.113636625427702</v>
      </c>
      <c r="P4125">
        <v>-8.57965124808098E-2</v>
      </c>
      <c r="Q4125">
        <v>9.67554689328812E-2</v>
      </c>
      <c r="R4125">
        <v>0.994277439200001</v>
      </c>
      <c r="S4125" t="s">
        <v>10931</v>
      </c>
      <c r="T4125" t="s">
        <v>13610</v>
      </c>
      <c r="U4125" t="s">
        <v>13610</v>
      </c>
      <c r="V4125" t="s">
        <v>13610</v>
      </c>
      <c r="W4125" t="s">
        <v>17675</v>
      </c>
      <c r="X4125">
        <v>13</v>
      </c>
      <c r="Y4125" t="s">
        <v>24266</v>
      </c>
      <c r="Z4125" t="s">
        <v>30980</v>
      </c>
      <c r="AA4125">
        <v>0.31671835018541622</v>
      </c>
      <c r="AB4125" t="str">
        <f>HYPERLINK("Melting_Curves/meltCurve_Q70J99_UNC13D.pdf", "Melting_Curves/meltCurve_Q70J99_UNC13D.pdf")</f>
        <v>Melting_Curves/meltCurve_Q70J99_UNC13D.pdf</v>
      </c>
    </row>
    <row r="4126" spans="1:28" x14ac:dyDescent="0.25">
      <c r="A4126" t="s">
        <v>4130</v>
      </c>
      <c r="B4126">
        <v>0.995954080203443</v>
      </c>
      <c r="C4126">
        <v>0.81136165506444802</v>
      </c>
      <c r="D4126">
        <v>1.6434281853935599</v>
      </c>
      <c r="E4126">
        <v>1.1423897816297499</v>
      </c>
      <c r="F4126">
        <v>2.16558410107401</v>
      </c>
      <c r="G4126">
        <v>2.3575068362969001</v>
      </c>
      <c r="H4126">
        <v>2.5493887221886902</v>
      </c>
      <c r="I4126">
        <v>3.4919674029761798</v>
      </c>
      <c r="J4126">
        <v>3.1979782077382599</v>
      </c>
      <c r="K4126">
        <v>4.3827015329694099</v>
      </c>
      <c r="L4126">
        <v>11106.746431215501</v>
      </c>
      <c r="M4126">
        <v>250</v>
      </c>
      <c r="O4126">
        <v>44.424142703159802</v>
      </c>
      <c r="P4126">
        <v>0.70344632766403503</v>
      </c>
      <c r="Q4126">
        <v>1.5</v>
      </c>
      <c r="R4126">
        <v>-0.42950217792982398</v>
      </c>
      <c r="S4126" t="s">
        <v>10932</v>
      </c>
      <c r="T4126" t="s">
        <v>13610</v>
      </c>
      <c r="U4126" t="s">
        <v>13610</v>
      </c>
      <c r="V4126" t="s">
        <v>13610</v>
      </c>
      <c r="W4126" t="s">
        <v>17676</v>
      </c>
      <c r="X4126">
        <v>1</v>
      </c>
      <c r="Y4126" t="s">
        <v>24267</v>
      </c>
      <c r="Z4126" t="s">
        <v>30981</v>
      </c>
      <c r="AA4126">
        <v>1.426177920251376</v>
      </c>
      <c r="AB4126" t="str">
        <f>HYPERLINK("Melting_Curves/meltCurve_Q70UQ0_4_IKBIP.pdf", "Melting_Curves/meltCurve_Q70UQ0_4_IKBIP.pdf")</f>
        <v>Melting_Curves/meltCurve_Q70UQ0_4_IKBIP.pdf</v>
      </c>
    </row>
    <row r="4127" spans="1:28" x14ac:dyDescent="0.25">
      <c r="A4127" t="s">
        <v>4131</v>
      </c>
      <c r="B4127">
        <v>0.995954080203443</v>
      </c>
      <c r="C4127">
        <v>0.96241640022185704</v>
      </c>
      <c r="D4127">
        <v>0.96110419009855996</v>
      </c>
      <c r="E4127">
        <v>0.65897367772711701</v>
      </c>
      <c r="F4127">
        <v>0.31521348492408102</v>
      </c>
      <c r="G4127">
        <v>0.18144500764330901</v>
      </c>
      <c r="H4127">
        <v>0.121305714393472</v>
      </c>
      <c r="I4127">
        <v>9.7069705233420095E-2</v>
      </c>
      <c r="J4127">
        <v>0.12045559574808901</v>
      </c>
      <c r="K4127">
        <v>9.9285027931966294E-2</v>
      </c>
      <c r="L4127">
        <v>1392.1554765025401</v>
      </c>
      <c r="M4127">
        <v>27.389240454842</v>
      </c>
      <c r="N4127">
        <v>51.296116852891799</v>
      </c>
      <c r="O4127">
        <v>50.559934078865098</v>
      </c>
      <c r="P4127">
        <v>-0.120470794853059</v>
      </c>
      <c r="Q4127">
        <v>0.110462955273872</v>
      </c>
      <c r="R4127">
        <v>0.99819812830188204</v>
      </c>
      <c r="S4127" t="s">
        <v>10933</v>
      </c>
      <c r="T4127" t="s">
        <v>13610</v>
      </c>
      <c r="U4127" t="s">
        <v>13610</v>
      </c>
      <c r="V4127" t="s">
        <v>13610</v>
      </c>
      <c r="W4127" t="s">
        <v>17677</v>
      </c>
      <c r="X4127">
        <v>4</v>
      </c>
      <c r="Y4127" t="s">
        <v>24268</v>
      </c>
      <c r="Z4127" t="s">
        <v>30982</v>
      </c>
      <c r="AA4127">
        <v>0.43823458420548278</v>
      </c>
      <c r="AB4127" t="str">
        <f>HYPERLINK("Melting_Curves/meltCurve_Q70Z53_FRA10AC1.pdf", "Melting_Curves/meltCurve_Q70Z53_FRA10AC1.pdf")</f>
        <v>Melting_Curves/meltCurve_Q70Z53_FRA10AC1.pdf</v>
      </c>
    </row>
    <row r="4128" spans="1:28" x14ac:dyDescent="0.25">
      <c r="A4128" t="s">
        <v>4132</v>
      </c>
      <c r="B4128">
        <v>0.995954080203443</v>
      </c>
      <c r="C4128">
        <v>0.82353049141061796</v>
      </c>
      <c r="D4128">
        <v>1.1996579571269499</v>
      </c>
      <c r="E4128">
        <v>0.69055409460902895</v>
      </c>
      <c r="F4128">
        <v>1.0498246168996199</v>
      </c>
      <c r="G4128">
        <v>1.0729541733019801</v>
      </c>
      <c r="H4128">
        <v>0.97484629769111197</v>
      </c>
      <c r="I4128">
        <v>1.4174011542749201</v>
      </c>
      <c r="J4128">
        <v>1.1823478229289599</v>
      </c>
      <c r="K4128">
        <v>1.3971699014491501</v>
      </c>
      <c r="L4128">
        <v>15000</v>
      </c>
      <c r="M4128">
        <v>240.71889422183199</v>
      </c>
      <c r="O4128">
        <v>62.309042434552701</v>
      </c>
      <c r="P4128">
        <v>0.32104108059240899</v>
      </c>
      <c r="Q4128">
        <v>1.3324003877321</v>
      </c>
      <c r="R4128">
        <v>0.55996611220744796</v>
      </c>
      <c r="S4128" t="s">
        <v>10934</v>
      </c>
      <c r="T4128" t="s">
        <v>13610</v>
      </c>
      <c r="U4128" t="s">
        <v>13610</v>
      </c>
      <c r="V4128" t="s">
        <v>13610</v>
      </c>
      <c r="W4128" t="s">
        <v>17678</v>
      </c>
      <c r="X4128">
        <v>2</v>
      </c>
      <c r="Y4128" t="s">
        <v>24269</v>
      </c>
      <c r="Z4128" t="s">
        <v>30983</v>
      </c>
      <c r="AA4128">
        <v>1.085129005142069</v>
      </c>
      <c r="AB4128" t="str">
        <f>HYPERLINK("Melting_Curves/meltCurve_Q711Q0_C10orf71.pdf", "Melting_Curves/meltCurve_Q711Q0_C10orf71.pdf")</f>
        <v>Melting_Curves/meltCurve_Q711Q0_C10orf71.pdf</v>
      </c>
    </row>
    <row r="4129" spans="1:28" x14ac:dyDescent="0.25">
      <c r="A4129" t="s">
        <v>4133</v>
      </c>
      <c r="B4129">
        <v>0.995954080203443</v>
      </c>
      <c r="C4129">
        <v>1.0212424826668001</v>
      </c>
      <c r="D4129">
        <v>0.97585186929244105</v>
      </c>
      <c r="E4129">
        <v>0.88080063157993604</v>
      </c>
      <c r="F4129">
        <v>0.78757019703289799</v>
      </c>
      <c r="G4129">
        <v>0.488353519057182</v>
      </c>
      <c r="H4129">
        <v>0.196078847875096</v>
      </c>
      <c r="I4129">
        <v>0.118961168687406</v>
      </c>
      <c r="J4129">
        <v>0.118693258382381</v>
      </c>
      <c r="K4129">
        <v>9.2538890969062801E-2</v>
      </c>
      <c r="L4129">
        <v>1094.1708254182599</v>
      </c>
      <c r="M4129">
        <v>19.483051083220001</v>
      </c>
      <c r="N4129">
        <v>56.536928096867904</v>
      </c>
      <c r="O4129">
        <v>55.578525813290398</v>
      </c>
      <c r="P4129">
        <v>-8.2304921935147005E-2</v>
      </c>
      <c r="Q4129">
        <v>6.08819710603467E-2</v>
      </c>
      <c r="R4129">
        <v>0.99661864472960204</v>
      </c>
      <c r="S4129" t="s">
        <v>10935</v>
      </c>
      <c r="T4129" t="s">
        <v>13610</v>
      </c>
      <c r="U4129" t="s">
        <v>13610</v>
      </c>
      <c r="V4129" t="s">
        <v>13610</v>
      </c>
      <c r="W4129" t="s">
        <v>17679</v>
      </c>
      <c r="X4129">
        <v>10</v>
      </c>
      <c r="Y4129" t="s">
        <v>24270</v>
      </c>
      <c r="Z4129" t="s">
        <v>30984</v>
      </c>
      <c r="AA4129">
        <v>0.57919348915640301</v>
      </c>
      <c r="AB4129" t="str">
        <f>HYPERLINK("Melting_Curves/meltCurve_Q712K3_UBE2R2.pdf", "Melting_Curves/meltCurve_Q712K3_UBE2R2.pdf")</f>
        <v>Melting_Curves/meltCurve_Q712K3_UBE2R2.pdf</v>
      </c>
    </row>
    <row r="4130" spans="1:28" x14ac:dyDescent="0.25">
      <c r="A4130" t="s">
        <v>4134</v>
      </c>
      <c r="B4130">
        <v>0.995954080203443</v>
      </c>
      <c r="C4130">
        <v>0.89261378616047604</v>
      </c>
      <c r="D4130">
        <v>0.74481257896495001</v>
      </c>
      <c r="E4130">
        <v>0.65344605674098899</v>
      </c>
      <c r="F4130">
        <v>0.40856268263135997</v>
      </c>
      <c r="G4130">
        <v>0.23390780087326901</v>
      </c>
      <c r="H4130">
        <v>0.16512028908107099</v>
      </c>
      <c r="I4130">
        <v>0.18382794854041201</v>
      </c>
      <c r="J4130">
        <v>0.21567980735391401</v>
      </c>
      <c r="K4130">
        <v>0.21113337047772299</v>
      </c>
      <c r="L4130">
        <v>694.14089655036798</v>
      </c>
      <c r="M4130">
        <v>13.923101644863699</v>
      </c>
      <c r="N4130">
        <v>51.234751687629</v>
      </c>
      <c r="O4130">
        <v>48.860642482330199</v>
      </c>
      <c r="P4130">
        <v>-6.0111890774503102E-2</v>
      </c>
      <c r="Q4130">
        <v>0.15630622492541099</v>
      </c>
      <c r="R4130">
        <v>0.97920736898821903</v>
      </c>
      <c r="S4130" t="s">
        <v>10936</v>
      </c>
      <c r="T4130" t="s">
        <v>13610</v>
      </c>
      <c r="U4130" t="s">
        <v>13610</v>
      </c>
      <c r="V4130" t="s">
        <v>13610</v>
      </c>
      <c r="W4130" t="s">
        <v>17680</v>
      </c>
      <c r="X4130">
        <v>7</v>
      </c>
      <c r="Y4130" t="s">
        <v>24271</v>
      </c>
      <c r="Z4130" t="s">
        <v>30985</v>
      </c>
      <c r="AA4130">
        <v>0.45650829996226888</v>
      </c>
      <c r="AB4130" t="str">
        <f>HYPERLINK("Melting_Curves/meltCurve_Q71F56_MED13L.pdf", "Melting_Curves/meltCurve_Q71F56_MED13L.pdf")</f>
        <v>Melting_Curves/meltCurve_Q71F56_MED13L.pdf</v>
      </c>
    </row>
    <row r="4131" spans="1:28" x14ac:dyDescent="0.25">
      <c r="A4131" t="s">
        <v>4135</v>
      </c>
      <c r="B4131">
        <v>0.995954080203443</v>
      </c>
      <c r="C4131">
        <v>0.98719766791637897</v>
      </c>
      <c r="D4131">
        <v>0.99765404240653699</v>
      </c>
      <c r="E4131">
        <v>0.860158077680655</v>
      </c>
      <c r="F4131">
        <v>0.80618086376613096</v>
      </c>
      <c r="G4131">
        <v>0.54554428295178603</v>
      </c>
      <c r="H4131">
        <v>0.42183408028564201</v>
      </c>
      <c r="I4131">
        <v>0.44221607137522101</v>
      </c>
      <c r="J4131">
        <v>0.44673271234204198</v>
      </c>
      <c r="K4131">
        <v>0.471779146906534</v>
      </c>
      <c r="L4131">
        <v>1237.055162224</v>
      </c>
      <c r="M4131">
        <v>23.012989762882199</v>
      </c>
      <c r="N4131">
        <v>58.899567787295297</v>
      </c>
      <c r="O4131">
        <v>53.353690241584999</v>
      </c>
      <c r="P4131">
        <v>-6.11400128526721E-2</v>
      </c>
      <c r="Q4131">
        <v>0.43301866941622402</v>
      </c>
      <c r="R4131">
        <v>0.98512489685197302</v>
      </c>
      <c r="S4131" t="s">
        <v>10937</v>
      </c>
      <c r="T4131" t="s">
        <v>13610</v>
      </c>
      <c r="U4131" t="s">
        <v>13610</v>
      </c>
      <c r="V4131" t="s">
        <v>13610</v>
      </c>
      <c r="W4131" t="s">
        <v>17681</v>
      </c>
      <c r="X4131">
        <v>16</v>
      </c>
      <c r="Y4131" t="s">
        <v>24272</v>
      </c>
      <c r="Z4131" t="s">
        <v>30986</v>
      </c>
      <c r="AA4131">
        <v>0.69906038381689883</v>
      </c>
      <c r="AB4131" t="str">
        <f>HYPERLINK("Melting_Curves/meltCurve_Q71RC2_3_LARP4.pdf", "Melting_Curves/meltCurve_Q71RC2_3_LARP4.pdf")</f>
        <v>Melting_Curves/meltCurve_Q71RC2_3_LARP4.pdf</v>
      </c>
    </row>
    <row r="4132" spans="1:28" x14ac:dyDescent="0.25">
      <c r="A4132" t="s">
        <v>4136</v>
      </c>
      <c r="B4132">
        <v>0.995954080203443</v>
      </c>
      <c r="C4132">
        <v>0.80800976400784497</v>
      </c>
      <c r="D4132">
        <v>0.72996578853764504</v>
      </c>
      <c r="E4132">
        <v>0.60345641432740205</v>
      </c>
      <c r="F4132">
        <v>0.44538245092454998</v>
      </c>
      <c r="G4132">
        <v>0.21549393780543</v>
      </c>
      <c r="H4132">
        <v>0.11605771292892</v>
      </c>
      <c r="I4132">
        <v>7.7462300530379294E-2</v>
      </c>
      <c r="J4132">
        <v>8.9183299598001198E-2</v>
      </c>
      <c r="K4132">
        <v>8.3821294021491993E-2</v>
      </c>
      <c r="L4132">
        <v>533.74207746196601</v>
      </c>
      <c r="M4132">
        <v>10.4589499821952</v>
      </c>
      <c r="N4132">
        <v>51.032065203381002</v>
      </c>
      <c r="O4132">
        <v>49.272329711250201</v>
      </c>
      <c r="P4132">
        <v>-5.30888009412721E-2</v>
      </c>
      <c r="Q4132">
        <v>0</v>
      </c>
      <c r="R4132">
        <v>0.98446380088704</v>
      </c>
      <c r="S4132" t="s">
        <v>10938</v>
      </c>
      <c r="T4132" t="s">
        <v>13610</v>
      </c>
      <c r="U4132" t="s">
        <v>13610</v>
      </c>
      <c r="V4132" t="s">
        <v>13610</v>
      </c>
      <c r="W4132" t="s">
        <v>17682</v>
      </c>
      <c r="X4132">
        <v>5</v>
      </c>
      <c r="Y4132" t="s">
        <v>24273</v>
      </c>
      <c r="Z4132" t="s">
        <v>30987</v>
      </c>
      <c r="AA4132">
        <v>0.40694056464155759</v>
      </c>
      <c r="AB4132" t="str">
        <f>HYPERLINK("Melting_Curves/meltCurve_Q71SY5_4_MED25.pdf", "Melting_Curves/meltCurve_Q71SY5_4_MED25.pdf")</f>
        <v>Melting_Curves/meltCurve_Q71SY5_4_MED25.pdf</v>
      </c>
    </row>
    <row r="4133" spans="1:28" x14ac:dyDescent="0.25">
      <c r="A4133" t="s">
        <v>4137</v>
      </c>
      <c r="B4133">
        <v>0.995954080203443</v>
      </c>
      <c r="C4133">
        <v>0.53107979927452298</v>
      </c>
      <c r="D4133">
        <v>0.30180214204240902</v>
      </c>
      <c r="E4133">
        <v>0.36843304325755</v>
      </c>
      <c r="F4133">
        <v>0.178381514474863</v>
      </c>
      <c r="G4133">
        <v>7.9103892560214703E-2</v>
      </c>
      <c r="H4133">
        <v>4.90337562440393E-2</v>
      </c>
      <c r="I4133">
        <v>4.0811256464961601E-2</v>
      </c>
      <c r="J4133">
        <v>4.0323372840843703E-2</v>
      </c>
      <c r="K4133">
        <v>4.13042004541972E-2</v>
      </c>
      <c r="L4133">
        <v>638.32862701212696</v>
      </c>
      <c r="M4133">
        <v>14.4237237022397</v>
      </c>
      <c r="N4133">
        <v>44.6185753453533</v>
      </c>
      <c r="O4133">
        <v>43.430902076565999</v>
      </c>
      <c r="P4133">
        <v>-7.8438376323846495E-2</v>
      </c>
      <c r="Q4133">
        <v>5.5376709402112499E-2</v>
      </c>
      <c r="R4133">
        <v>0.90962401993430897</v>
      </c>
      <c r="S4133" t="s">
        <v>10939</v>
      </c>
      <c r="T4133" t="s">
        <v>13610</v>
      </c>
      <c r="U4133" t="s">
        <v>13610</v>
      </c>
      <c r="V4133" t="s">
        <v>13610</v>
      </c>
      <c r="W4133" t="s">
        <v>17683</v>
      </c>
      <c r="X4133">
        <v>23</v>
      </c>
      <c r="Y4133" t="s">
        <v>24274</v>
      </c>
      <c r="Z4133" t="s">
        <v>30988</v>
      </c>
      <c r="AA4133">
        <v>0.22525211323774111</v>
      </c>
      <c r="AB4133" t="str">
        <f>HYPERLINK("Melting_Curves/meltCurve_Q71U36_2_TUBA1A.pdf", "Melting_Curves/meltCurve_Q71U36_2_TUBA1A.pdf")</f>
        <v>Melting_Curves/meltCurve_Q71U36_2_TUBA1A.pdf</v>
      </c>
    </row>
    <row r="4134" spans="1:28" x14ac:dyDescent="0.25">
      <c r="A4134" t="s">
        <v>4138</v>
      </c>
      <c r="B4134">
        <v>0.995954080203443</v>
      </c>
      <c r="C4134">
        <v>1.00937599804711</v>
      </c>
      <c r="D4134">
        <v>0.71107805497314203</v>
      </c>
      <c r="E4134">
        <v>0.42883581808001803</v>
      </c>
      <c r="F4134">
        <v>0.23097909727032001</v>
      </c>
      <c r="G4134">
        <v>0.1494248343639</v>
      </c>
      <c r="H4134">
        <v>9.2923729953148695E-2</v>
      </c>
      <c r="I4134">
        <v>8.8878792659126002E-2</v>
      </c>
      <c r="J4134">
        <v>0.10551495847853</v>
      </c>
      <c r="K4134">
        <v>8.9693148868071199E-2</v>
      </c>
      <c r="L4134">
        <v>954.458150826973</v>
      </c>
      <c r="M4134">
        <v>19.708570037812699</v>
      </c>
      <c r="N4134">
        <v>48.929669606418798</v>
      </c>
      <c r="O4134">
        <v>47.938264233105997</v>
      </c>
      <c r="P4134">
        <v>-9.3391607279370806E-2</v>
      </c>
      <c r="Q4134">
        <v>9.1384687655206798E-2</v>
      </c>
      <c r="R4134">
        <v>0.99263144636175205</v>
      </c>
      <c r="S4134" t="s">
        <v>10940</v>
      </c>
      <c r="T4134" t="s">
        <v>13610</v>
      </c>
      <c r="U4134" t="s">
        <v>13610</v>
      </c>
      <c r="V4134" t="s">
        <v>13610</v>
      </c>
      <c r="W4134" t="s">
        <v>17684</v>
      </c>
      <c r="X4134">
        <v>5</v>
      </c>
      <c r="Y4134" t="s">
        <v>24275</v>
      </c>
      <c r="Z4134" t="s">
        <v>30989</v>
      </c>
      <c r="AA4134">
        <v>0.35987516689003363</v>
      </c>
      <c r="AB4134" t="str">
        <f>HYPERLINK("Melting_Curves/meltCurve_Q71UI9_H2AFV.pdf", "Melting_Curves/meltCurve_Q71UI9_H2AFV.pdf")</f>
        <v>Melting_Curves/meltCurve_Q71UI9_H2AFV.pdf</v>
      </c>
    </row>
    <row r="4135" spans="1:28" x14ac:dyDescent="0.25">
      <c r="A4135" t="s">
        <v>4139</v>
      </c>
      <c r="B4135">
        <v>0.995954080203443</v>
      </c>
      <c r="C4135">
        <v>0.94314056827103199</v>
      </c>
      <c r="D4135">
        <v>0.95262381282230801</v>
      </c>
      <c r="E4135">
        <v>0.76212323955939598</v>
      </c>
      <c r="F4135">
        <v>0.59565731917989695</v>
      </c>
      <c r="G4135">
        <v>0.37286316959450599</v>
      </c>
      <c r="H4135">
        <v>0.27235029594591198</v>
      </c>
      <c r="I4135">
        <v>0.276096574806245</v>
      </c>
      <c r="J4135">
        <v>0.29670218081295802</v>
      </c>
      <c r="K4135">
        <v>0.32084344605849302</v>
      </c>
      <c r="L4135">
        <v>1045.9044935643601</v>
      </c>
      <c r="M4135">
        <v>20.121704865378401</v>
      </c>
      <c r="N4135">
        <v>54.152107290682402</v>
      </c>
      <c r="O4135">
        <v>51.473698213853702</v>
      </c>
      <c r="P4135">
        <v>-7.0657932554322095E-2</v>
      </c>
      <c r="Q4135">
        <v>0.27701762098444199</v>
      </c>
      <c r="R4135">
        <v>0.99210888473551095</v>
      </c>
      <c r="S4135" t="s">
        <v>10941</v>
      </c>
      <c r="T4135" t="s">
        <v>13610</v>
      </c>
      <c r="U4135" t="s">
        <v>13610</v>
      </c>
      <c r="V4135" t="s">
        <v>13610</v>
      </c>
      <c r="W4135" t="s">
        <v>17685</v>
      </c>
      <c r="X4135">
        <v>10</v>
      </c>
      <c r="Y4135" t="s">
        <v>24276</v>
      </c>
      <c r="Z4135" t="s">
        <v>30990</v>
      </c>
      <c r="AA4135">
        <v>0.5756001719839372</v>
      </c>
      <c r="AB4135" t="str">
        <f>HYPERLINK("Melting_Curves/meltCurve_Q75N03_CBLL1.pdf", "Melting_Curves/meltCurve_Q75N03_CBLL1.pdf")</f>
        <v>Melting_Curves/meltCurve_Q75N03_CBLL1.pdf</v>
      </c>
    </row>
    <row r="4136" spans="1:28" x14ac:dyDescent="0.25">
      <c r="A4136" t="s">
        <v>4140</v>
      </c>
      <c r="B4136">
        <v>0.995954080203443</v>
      </c>
      <c r="C4136">
        <v>0.67338076744972797</v>
      </c>
      <c r="D4136">
        <v>0.401360697631783</v>
      </c>
      <c r="E4136">
        <v>0.31356391113112397</v>
      </c>
      <c r="F4136">
        <v>0.11753917163418399</v>
      </c>
      <c r="G4136">
        <v>8.1949156645590396E-2</v>
      </c>
      <c r="H4136">
        <v>5.7109268226328502E-2</v>
      </c>
      <c r="I4136">
        <v>5.0767069252625301E-2</v>
      </c>
      <c r="J4136">
        <v>6.3524773739621995E-2</v>
      </c>
      <c r="K4136">
        <v>5.5609389001794102E-2</v>
      </c>
      <c r="L4136">
        <v>736.67327509189795</v>
      </c>
      <c r="M4136">
        <v>16.331240021260399</v>
      </c>
      <c r="N4136">
        <v>45.445661655992197</v>
      </c>
      <c r="O4136">
        <v>44.448149365246401</v>
      </c>
      <c r="P4136">
        <v>-8.6617035110214596E-2</v>
      </c>
      <c r="Q4136">
        <v>5.7098341255362201E-2</v>
      </c>
      <c r="R4136">
        <v>0.97375781276168705</v>
      </c>
      <c r="S4136" t="s">
        <v>10942</v>
      </c>
      <c r="T4136" t="s">
        <v>13610</v>
      </c>
      <c r="U4136" t="s">
        <v>13610</v>
      </c>
      <c r="V4136" t="s">
        <v>13610</v>
      </c>
      <c r="W4136" t="s">
        <v>17686</v>
      </c>
      <c r="X4136">
        <v>5</v>
      </c>
      <c r="Y4136" t="s">
        <v>24277</v>
      </c>
      <c r="Z4136" t="s">
        <v>30991</v>
      </c>
      <c r="AA4136">
        <v>0.24260023616539869</v>
      </c>
      <c r="AB4136" t="str">
        <f>HYPERLINK("Melting_Curves/meltCurve_Q75QN2_2_INTS8.pdf", "Melting_Curves/meltCurve_Q75QN2_2_INTS8.pdf")</f>
        <v>Melting_Curves/meltCurve_Q75QN2_2_INTS8.pdf</v>
      </c>
    </row>
    <row r="4137" spans="1:28" x14ac:dyDescent="0.25">
      <c r="A4137" t="s">
        <v>4141</v>
      </c>
      <c r="B4137">
        <v>0.995954080203443</v>
      </c>
      <c r="C4137">
        <v>1.0082396006838701</v>
      </c>
      <c r="D4137">
        <v>1.09628369016331</v>
      </c>
      <c r="E4137">
        <v>0.91213147928417804</v>
      </c>
      <c r="F4137">
        <v>0.96470525111026795</v>
      </c>
      <c r="G4137">
        <v>0.79520070135795995</v>
      </c>
      <c r="H4137">
        <v>0.73080861845643097</v>
      </c>
      <c r="I4137">
        <v>0.85699561220050802</v>
      </c>
      <c r="J4137">
        <v>1.0317222587652199</v>
      </c>
      <c r="K4137">
        <v>1.0485301419775599</v>
      </c>
      <c r="L4137">
        <v>8797.0488693804291</v>
      </c>
      <c r="M4137">
        <v>165.269120662006</v>
      </c>
      <c r="O4137">
        <v>53.220836839933597</v>
      </c>
      <c r="P4137">
        <v>-8.3338072926486206E-2</v>
      </c>
      <c r="Q4137">
        <v>0.89265213183147496</v>
      </c>
      <c r="R4137">
        <v>0.22011689945529</v>
      </c>
      <c r="S4137" t="s">
        <v>10943</v>
      </c>
      <c r="T4137" t="s">
        <v>13610</v>
      </c>
      <c r="U4137" t="s">
        <v>13610</v>
      </c>
      <c r="V4137" t="s">
        <v>13610</v>
      </c>
      <c r="W4137" t="s">
        <v>17687</v>
      </c>
      <c r="X4137">
        <v>11</v>
      </c>
      <c r="Y4137" t="s">
        <v>24278</v>
      </c>
      <c r="Z4137" t="s">
        <v>30992</v>
      </c>
      <c r="AA4137">
        <v>0.94001059199898074</v>
      </c>
      <c r="AB4137" t="str">
        <f>HYPERLINK("Melting_Curves/meltCurve_Q765P7_MTSS1L.pdf", "Melting_Curves/meltCurve_Q765P7_MTSS1L.pdf")</f>
        <v>Melting_Curves/meltCurve_Q765P7_MTSS1L.pdf</v>
      </c>
    </row>
    <row r="4138" spans="1:28" x14ac:dyDescent="0.25">
      <c r="A4138" t="s">
        <v>4142</v>
      </c>
      <c r="B4138">
        <v>0.995954080203443</v>
      </c>
      <c r="C4138">
        <v>0.93740239642932099</v>
      </c>
      <c r="D4138">
        <v>0.889147567955208</v>
      </c>
      <c r="E4138">
        <v>0.85104221572699801</v>
      </c>
      <c r="F4138">
        <v>0.92397375336080001</v>
      </c>
      <c r="G4138">
        <v>0.70740398322614895</v>
      </c>
      <c r="H4138">
        <v>0.69018619776303602</v>
      </c>
      <c r="I4138">
        <v>0.82666723481102899</v>
      </c>
      <c r="J4138">
        <v>0.98413610412063002</v>
      </c>
      <c r="K4138">
        <v>0.96972279983323195</v>
      </c>
      <c r="L4138">
        <v>1075.69182272029</v>
      </c>
      <c r="M4138">
        <v>24.540798719341101</v>
      </c>
      <c r="O4138">
        <v>43.544847198898999</v>
      </c>
      <c r="P4138">
        <v>-2.1249652205259598E-2</v>
      </c>
      <c r="Q4138">
        <v>0.84918183491250698</v>
      </c>
      <c r="R4138">
        <v>0.21316242515367401</v>
      </c>
      <c r="S4138" t="s">
        <v>10944</v>
      </c>
      <c r="T4138" t="s">
        <v>13610</v>
      </c>
      <c r="U4138" t="s">
        <v>13610</v>
      </c>
      <c r="V4138" t="s">
        <v>13610</v>
      </c>
      <c r="W4138" t="s">
        <v>17688</v>
      </c>
      <c r="X4138">
        <v>38</v>
      </c>
      <c r="Y4138" t="s">
        <v>24279</v>
      </c>
      <c r="Z4138" t="s">
        <v>30993</v>
      </c>
      <c r="AA4138">
        <v>0.87031405182706534</v>
      </c>
      <c r="AB4138" t="str">
        <f>HYPERLINK("Melting_Curves/meltCurve_Q76FK4_4_NOL8.pdf", "Melting_Curves/meltCurve_Q76FK4_4_NOL8.pdf")</f>
        <v>Melting_Curves/meltCurve_Q76FK4_4_NOL8.pdf</v>
      </c>
    </row>
    <row r="4139" spans="1:28" x14ac:dyDescent="0.25">
      <c r="A4139" t="s">
        <v>4143</v>
      </c>
      <c r="B4139">
        <v>0.995954080203443</v>
      </c>
      <c r="C4139">
        <v>0.93420959044715102</v>
      </c>
      <c r="D4139">
        <v>1.0079993766469599</v>
      </c>
      <c r="E4139">
        <v>0.84853040421995496</v>
      </c>
      <c r="F4139">
        <v>0.90289666954584902</v>
      </c>
      <c r="G4139">
        <v>0.69851557870984404</v>
      </c>
      <c r="H4139">
        <v>0.70869381636026596</v>
      </c>
      <c r="I4139">
        <v>0.80669818287041495</v>
      </c>
      <c r="J4139">
        <v>1.0243374221536301</v>
      </c>
      <c r="K4139">
        <v>0.99008335647988099</v>
      </c>
      <c r="L4139">
        <v>11988.6335612939</v>
      </c>
      <c r="M4139">
        <v>250</v>
      </c>
      <c r="O4139">
        <v>47.951467556852201</v>
      </c>
      <c r="P4139">
        <v>-0.18997062777007301</v>
      </c>
      <c r="Q4139">
        <v>0.85425008019198301</v>
      </c>
      <c r="R4139">
        <v>0.236778194753197</v>
      </c>
      <c r="S4139" t="s">
        <v>10945</v>
      </c>
      <c r="T4139" t="s">
        <v>13610</v>
      </c>
      <c r="U4139" t="s">
        <v>13610</v>
      </c>
      <c r="V4139" t="s">
        <v>13610</v>
      </c>
      <c r="W4139" t="s">
        <v>17689</v>
      </c>
      <c r="X4139">
        <v>9</v>
      </c>
      <c r="Y4139" t="s">
        <v>24280</v>
      </c>
      <c r="Z4139" t="s">
        <v>30994</v>
      </c>
      <c r="AA4139">
        <v>0.89290810403818743</v>
      </c>
      <c r="AB4139" t="str">
        <f>HYPERLINK("Melting_Curves/meltCurve_Q76I76_SSH2.pdf", "Melting_Curves/meltCurve_Q76I76_SSH2.pdf")</f>
        <v>Melting_Curves/meltCurve_Q76I76_SSH2.pdf</v>
      </c>
    </row>
    <row r="4140" spans="1:28" x14ac:dyDescent="0.25">
      <c r="A4140" t="s">
        <v>4144</v>
      </c>
      <c r="B4140">
        <v>0.995954080203443</v>
      </c>
      <c r="C4140">
        <v>0.74907732317862197</v>
      </c>
      <c r="D4140">
        <v>0.90841995581506296</v>
      </c>
      <c r="E4140">
        <v>0.75664414705233296</v>
      </c>
      <c r="F4140">
        <v>0.73706597080201197</v>
      </c>
      <c r="G4140">
        <v>0.73848145596294301</v>
      </c>
      <c r="H4140">
        <v>0.80235924623864496</v>
      </c>
      <c r="I4140">
        <v>0.92319837761787304</v>
      </c>
      <c r="J4140">
        <v>1.1213658633758701</v>
      </c>
      <c r="K4140">
        <v>1.0664716912063801</v>
      </c>
      <c r="L4140">
        <v>10138.4232383664</v>
      </c>
      <c r="M4140">
        <v>250</v>
      </c>
      <c r="O4140">
        <v>40.551097800139303</v>
      </c>
      <c r="P4140">
        <v>-0.20497387560025501</v>
      </c>
      <c r="Q4140">
        <v>0.86700934938688301</v>
      </c>
      <c r="R4140">
        <v>7.9599595541759896E-2</v>
      </c>
      <c r="S4140" t="s">
        <v>10946</v>
      </c>
      <c r="T4140" t="s">
        <v>13610</v>
      </c>
      <c r="U4140" t="s">
        <v>13610</v>
      </c>
      <c r="V4140" t="s">
        <v>13610</v>
      </c>
      <c r="W4140" t="s">
        <v>17690</v>
      </c>
      <c r="X4140">
        <v>2</v>
      </c>
      <c r="Y4140" t="s">
        <v>24281</v>
      </c>
      <c r="Z4140" t="s">
        <v>30995</v>
      </c>
      <c r="AA4140">
        <v>0.86949481469267875</v>
      </c>
      <c r="AB4140" t="str">
        <f>HYPERLINK("Melting_Curves/meltCurve_Q76N32_2_CEP68.pdf", "Melting_Curves/meltCurve_Q76N32_2_CEP68.pdf")</f>
        <v>Melting_Curves/meltCurve_Q76N32_2_CEP68.pdf</v>
      </c>
    </row>
    <row r="4141" spans="1:28" x14ac:dyDescent="0.25">
      <c r="A4141" t="s">
        <v>4145</v>
      </c>
      <c r="B4141">
        <v>0.995954080203443</v>
      </c>
      <c r="C4141">
        <v>0.90602628585700995</v>
      </c>
      <c r="D4141">
        <v>0.76811723843934399</v>
      </c>
      <c r="E4141">
        <v>0.46544682943499099</v>
      </c>
      <c r="F4141">
        <v>0.25342911669065599</v>
      </c>
      <c r="G4141">
        <v>0.16392306296144099</v>
      </c>
      <c r="H4141">
        <v>0.126324400345073</v>
      </c>
      <c r="I4141">
        <v>0.12690453120387901</v>
      </c>
      <c r="J4141">
        <v>0.14846634211988499</v>
      </c>
      <c r="K4141">
        <v>0.13543861612101399</v>
      </c>
      <c r="L4141">
        <v>906.05507937063805</v>
      </c>
      <c r="M4141">
        <v>18.669903708291098</v>
      </c>
      <c r="N4141">
        <v>49.268522557376699</v>
      </c>
      <c r="O4141">
        <v>47.983757108727502</v>
      </c>
      <c r="P4141">
        <v>-8.5406672332392103E-2</v>
      </c>
      <c r="Q4141">
        <v>0.12201840292921801</v>
      </c>
      <c r="R4141">
        <v>0.99776511597783202</v>
      </c>
      <c r="S4141" t="s">
        <v>10947</v>
      </c>
      <c r="T4141" t="s">
        <v>13610</v>
      </c>
      <c r="U4141" t="s">
        <v>13610</v>
      </c>
      <c r="V4141" t="s">
        <v>13610</v>
      </c>
      <c r="W4141" t="s">
        <v>17691</v>
      </c>
      <c r="X4141">
        <v>45</v>
      </c>
      <c r="Y4141" t="s">
        <v>24282</v>
      </c>
      <c r="Z4141" t="s">
        <v>30996</v>
      </c>
      <c r="AA4141">
        <v>0.38591713790814569</v>
      </c>
      <c r="AB4141" t="str">
        <f>HYPERLINK("Melting_Curves/meltCurve_Q7KZ85_SUPT6H.pdf", "Melting_Curves/meltCurve_Q7KZ85_SUPT6H.pdf")</f>
        <v>Melting_Curves/meltCurve_Q7KZ85_SUPT6H.pdf</v>
      </c>
    </row>
    <row r="4142" spans="1:28" x14ac:dyDescent="0.25">
      <c r="A4142" t="s">
        <v>4146</v>
      </c>
      <c r="B4142">
        <v>0.995954080203443</v>
      </c>
      <c r="C4142">
        <v>0.92626681326452498</v>
      </c>
      <c r="D4142">
        <v>0.84064715327956296</v>
      </c>
      <c r="E4142">
        <v>0.84184922851673005</v>
      </c>
      <c r="F4142">
        <v>0.667191369052621</v>
      </c>
      <c r="G4142">
        <v>0.464005608117672</v>
      </c>
      <c r="H4142">
        <v>0.41040507899020401</v>
      </c>
      <c r="I4142">
        <v>0.42806132925478302</v>
      </c>
      <c r="J4142">
        <v>0.60066443020622595</v>
      </c>
      <c r="K4142">
        <v>0.48413379388919298</v>
      </c>
      <c r="L4142">
        <v>851.374677562079</v>
      </c>
      <c r="M4142">
        <v>16.7476316534906</v>
      </c>
      <c r="N4142">
        <v>59.821214006710697</v>
      </c>
      <c r="O4142">
        <v>50.1273296604096</v>
      </c>
      <c r="P4142">
        <v>-4.5140570039988198E-2</v>
      </c>
      <c r="Q4142">
        <v>0.45959453854905702</v>
      </c>
      <c r="R4142">
        <v>0.89312693430362999</v>
      </c>
      <c r="S4142" t="s">
        <v>10948</v>
      </c>
      <c r="T4142" t="s">
        <v>13610</v>
      </c>
      <c r="U4142" t="s">
        <v>13610</v>
      </c>
      <c r="V4142" t="s">
        <v>13610</v>
      </c>
      <c r="W4142" t="s">
        <v>17692</v>
      </c>
      <c r="X4142">
        <v>18</v>
      </c>
      <c r="Y4142" t="s">
        <v>24282</v>
      </c>
      <c r="Z4142" t="s">
        <v>30997</v>
      </c>
      <c r="AA4142">
        <v>0.66516296434361177</v>
      </c>
      <c r="AB4142" t="str">
        <f>HYPERLINK("Melting_Curves/meltCurve_Q7KZ85_2_SUPT6H.pdf", "Melting_Curves/meltCurve_Q7KZ85_2_SUPT6H.pdf")</f>
        <v>Melting_Curves/meltCurve_Q7KZ85_2_SUPT6H.pdf</v>
      </c>
    </row>
    <row r="4143" spans="1:28" x14ac:dyDescent="0.25">
      <c r="A4143" t="s">
        <v>4147</v>
      </c>
      <c r="B4143">
        <v>0.995954080203443</v>
      </c>
      <c r="C4143">
        <v>0.843406165205699</v>
      </c>
      <c r="D4143">
        <v>0.264102476907845</v>
      </c>
      <c r="E4143">
        <v>0.17887101490394999</v>
      </c>
      <c r="F4143">
        <v>8.7928786396342398E-2</v>
      </c>
      <c r="G4143">
        <v>5.7512623251839201E-2</v>
      </c>
      <c r="H4143">
        <v>4.0902493104909003E-2</v>
      </c>
      <c r="I4143">
        <v>3.6898011141954297E-2</v>
      </c>
      <c r="J4143">
        <v>4.5452809246472603E-2</v>
      </c>
      <c r="K4143">
        <v>3.93752943044322E-2</v>
      </c>
      <c r="L4143">
        <v>1739.2722678489999</v>
      </c>
      <c r="M4143">
        <v>39.015114406957501</v>
      </c>
      <c r="N4143">
        <v>44.740572948232703</v>
      </c>
      <c r="O4143">
        <v>44.462812576163202</v>
      </c>
      <c r="P4143">
        <v>-0.20499222717825499</v>
      </c>
      <c r="Q4143">
        <v>6.5540604977067499E-2</v>
      </c>
      <c r="R4143">
        <v>0.98834633696137697</v>
      </c>
      <c r="S4143" t="s">
        <v>10949</v>
      </c>
      <c r="T4143" t="s">
        <v>13610</v>
      </c>
      <c r="U4143" t="s">
        <v>13610</v>
      </c>
      <c r="V4143" t="s">
        <v>13610</v>
      </c>
      <c r="W4143" t="s">
        <v>17693</v>
      </c>
      <c r="X4143">
        <v>58</v>
      </c>
      <c r="Y4143" t="s">
        <v>24283</v>
      </c>
      <c r="Z4143" t="s">
        <v>30998</v>
      </c>
      <c r="AA4143">
        <v>0.21152620323331961</v>
      </c>
      <c r="AB4143" t="str">
        <f>HYPERLINK("Melting_Curves/meltCurve_Q7KZF4_SND1.pdf", "Melting_Curves/meltCurve_Q7KZF4_SND1.pdf")</f>
        <v>Melting_Curves/meltCurve_Q7KZF4_SND1.pdf</v>
      </c>
    </row>
    <row r="4144" spans="1:28" x14ac:dyDescent="0.25">
      <c r="A4144" t="s">
        <v>4148</v>
      </c>
      <c r="B4144">
        <v>0.995954080203443</v>
      </c>
      <c r="C4144">
        <v>0.87033944021269505</v>
      </c>
      <c r="D4144">
        <v>0.76803374092544796</v>
      </c>
      <c r="E4144">
        <v>0.71185487918780299</v>
      </c>
      <c r="F4144">
        <v>0.70291869557281195</v>
      </c>
      <c r="G4144">
        <v>0.43465479724004202</v>
      </c>
      <c r="H4144">
        <v>0.376916044902187</v>
      </c>
      <c r="I4144">
        <v>0.42771982944703002</v>
      </c>
      <c r="J4144">
        <v>0.54658995055952697</v>
      </c>
      <c r="K4144">
        <v>0.53711569622597399</v>
      </c>
      <c r="L4144">
        <v>581.59781521504601</v>
      </c>
      <c r="M4144">
        <v>11.9903713784618</v>
      </c>
      <c r="N4144">
        <v>59.832720959343597</v>
      </c>
      <c r="O4144">
        <v>47.215297063457399</v>
      </c>
      <c r="P4144">
        <v>-3.5031966656199703E-2</v>
      </c>
      <c r="Q4144">
        <v>0.44834257118709298</v>
      </c>
      <c r="R4144">
        <v>0.85959098015817104</v>
      </c>
      <c r="S4144" t="s">
        <v>10950</v>
      </c>
      <c r="T4144" t="s">
        <v>13610</v>
      </c>
      <c r="U4144" t="s">
        <v>13610</v>
      </c>
      <c r="V4144" t="s">
        <v>13610</v>
      </c>
      <c r="W4144" t="s">
        <v>17694</v>
      </c>
      <c r="X4144">
        <v>14</v>
      </c>
      <c r="Y4144" t="s">
        <v>24284</v>
      </c>
      <c r="Z4144" t="s">
        <v>30999</v>
      </c>
      <c r="AA4144">
        <v>0.62566923001799679</v>
      </c>
      <c r="AB4144" t="str">
        <f>HYPERLINK("Melting_Curves/meltCurve_Q7KZI7_12_MARK2.pdf", "Melting_Curves/meltCurve_Q7KZI7_12_MARK2.pdf")</f>
        <v>Melting_Curves/meltCurve_Q7KZI7_12_MARK2.pdf</v>
      </c>
    </row>
    <row r="4145" spans="1:28" x14ac:dyDescent="0.25">
      <c r="A4145" t="s">
        <v>4149</v>
      </c>
      <c r="B4145">
        <v>0.995954080203443</v>
      </c>
      <c r="C4145">
        <v>0.90209525927606804</v>
      </c>
      <c r="D4145">
        <v>0.723304247726264</v>
      </c>
      <c r="E4145">
        <v>0.50718241625701299</v>
      </c>
      <c r="F4145">
        <v>0.36622459349785202</v>
      </c>
      <c r="G4145">
        <v>0.25004721023814402</v>
      </c>
      <c r="H4145">
        <v>0.23037898641996499</v>
      </c>
      <c r="I4145">
        <v>0.26974240836494801</v>
      </c>
      <c r="J4145">
        <v>0.33444600719593798</v>
      </c>
      <c r="K4145">
        <v>0.29890551013754302</v>
      </c>
      <c r="L4145">
        <v>874.54579869759198</v>
      </c>
      <c r="M4145">
        <v>18.424261941434999</v>
      </c>
      <c r="N4145">
        <v>49.5552724480509</v>
      </c>
      <c r="O4145">
        <v>46.918462135900498</v>
      </c>
      <c r="P4145">
        <v>-7.1672003687524993E-2</v>
      </c>
      <c r="Q4145">
        <v>0.26996474938446102</v>
      </c>
      <c r="R4145">
        <v>0.98422612836280099</v>
      </c>
      <c r="S4145" t="s">
        <v>10951</v>
      </c>
      <c r="T4145" t="s">
        <v>13610</v>
      </c>
      <c r="U4145" t="s">
        <v>13610</v>
      </c>
      <c r="V4145" t="s">
        <v>13610</v>
      </c>
      <c r="W4145" t="s">
        <v>17695</v>
      </c>
      <c r="X4145">
        <v>15</v>
      </c>
      <c r="Y4145" t="s">
        <v>24284</v>
      </c>
      <c r="Z4145" t="s">
        <v>31000</v>
      </c>
      <c r="AA4145">
        <v>0.46422441773510342</v>
      </c>
      <c r="AB4145" t="str">
        <f>HYPERLINK("Melting_Curves/meltCurve_Q7KZI7_14_MARK2.pdf", "Melting_Curves/meltCurve_Q7KZI7_14_MARK2.pdf")</f>
        <v>Melting_Curves/meltCurve_Q7KZI7_14_MARK2.pdf</v>
      </c>
    </row>
    <row r="4146" spans="1:28" x14ac:dyDescent="0.25">
      <c r="A4146" t="s">
        <v>4150</v>
      </c>
      <c r="B4146">
        <v>0.995954080203443</v>
      </c>
      <c r="C4146">
        <v>0.93165527825938099</v>
      </c>
      <c r="D4146">
        <v>0.76745010503574795</v>
      </c>
      <c r="E4146">
        <v>0.54930669680064903</v>
      </c>
      <c r="F4146">
        <v>0.32653297034808099</v>
      </c>
      <c r="G4146">
        <v>0.177591755797539</v>
      </c>
      <c r="H4146">
        <v>0.13036771398588601</v>
      </c>
      <c r="I4146">
        <v>0.14260818293028499</v>
      </c>
      <c r="J4146">
        <v>0.153609660198784</v>
      </c>
      <c r="K4146">
        <v>0.16254535337289799</v>
      </c>
      <c r="L4146">
        <v>832.06186999959095</v>
      </c>
      <c r="M4146">
        <v>16.884278216464299</v>
      </c>
      <c r="N4146">
        <v>50.149660309741698</v>
      </c>
      <c r="O4146">
        <v>48.604561095717401</v>
      </c>
      <c r="P4146">
        <v>-7.5831224102759401E-2</v>
      </c>
      <c r="Q4146">
        <v>0.126877857003454</v>
      </c>
      <c r="R4146">
        <v>0.99490181648478704</v>
      </c>
      <c r="S4146" t="s">
        <v>10952</v>
      </c>
      <c r="T4146" t="s">
        <v>13610</v>
      </c>
      <c r="U4146" t="s">
        <v>13610</v>
      </c>
      <c r="V4146" t="s">
        <v>13610</v>
      </c>
      <c r="W4146" t="s">
        <v>17696</v>
      </c>
      <c r="X4146">
        <v>3</v>
      </c>
      <c r="Y4146" t="s">
        <v>24285</v>
      </c>
      <c r="Z4146" t="s">
        <v>31001</v>
      </c>
      <c r="AA4146">
        <v>0.41402018277103259</v>
      </c>
      <c r="AB4146" t="str">
        <f>HYPERLINK("Melting_Curves/meltCurve_Q7KZJ0_RAD51C.pdf", "Melting_Curves/meltCurve_Q7KZJ0_RAD51C.pdf")</f>
        <v>Melting_Curves/meltCurve_Q7KZJ0_RAD51C.pdf</v>
      </c>
    </row>
    <row r="4147" spans="1:28" x14ac:dyDescent="0.25">
      <c r="A4147" t="s">
        <v>4151</v>
      </c>
      <c r="B4147">
        <v>0.995954080203443</v>
      </c>
      <c r="C4147">
        <v>0.94049372866794101</v>
      </c>
      <c r="D4147">
        <v>0.87802872257764697</v>
      </c>
      <c r="E4147">
        <v>0.529119353022387</v>
      </c>
      <c r="F4147">
        <v>0.44682892831420201</v>
      </c>
      <c r="G4147">
        <v>0.29590752507664098</v>
      </c>
      <c r="H4147">
        <v>0.20416404175014799</v>
      </c>
      <c r="I4147">
        <v>0.181822573920007</v>
      </c>
      <c r="J4147">
        <v>0.20590051806364401</v>
      </c>
      <c r="K4147">
        <v>0.195786791559691</v>
      </c>
      <c r="L4147">
        <v>830.046947093104</v>
      </c>
      <c r="M4147">
        <v>16.632311684291199</v>
      </c>
      <c r="N4147">
        <v>51.323217737191698</v>
      </c>
      <c r="O4147">
        <v>49.200983339238803</v>
      </c>
      <c r="P4147">
        <v>-6.8952968297869802E-2</v>
      </c>
      <c r="Q4147">
        <v>0.18416002753080901</v>
      </c>
      <c r="R4147">
        <v>0.99230277664884103</v>
      </c>
      <c r="S4147" t="s">
        <v>10953</v>
      </c>
      <c r="T4147" t="s">
        <v>13610</v>
      </c>
      <c r="U4147" t="s">
        <v>13610</v>
      </c>
      <c r="V4147" t="s">
        <v>13610</v>
      </c>
      <c r="W4147" t="s">
        <v>17697</v>
      </c>
      <c r="X4147">
        <v>60</v>
      </c>
      <c r="Y4147" t="s">
        <v>24286</v>
      </c>
      <c r="Z4147" t="s">
        <v>31002</v>
      </c>
      <c r="AA4147">
        <v>0.46970881326007041</v>
      </c>
      <c r="AB4147" t="str">
        <f>HYPERLINK("Melting_Curves/meltCurve_Q7L014_DDX46.pdf", "Melting_Curves/meltCurve_Q7L014_DDX46.pdf")</f>
        <v>Melting_Curves/meltCurve_Q7L014_DDX46.pdf</v>
      </c>
    </row>
    <row r="4148" spans="1:28" x14ac:dyDescent="0.25">
      <c r="A4148" t="s">
        <v>4152</v>
      </c>
      <c r="B4148">
        <v>0.995954080203443</v>
      </c>
      <c r="C4148">
        <v>0.830434763340404</v>
      </c>
      <c r="D4148">
        <v>0.98049051004284704</v>
      </c>
      <c r="E4148">
        <v>0.79503373022864798</v>
      </c>
      <c r="F4148">
        <v>0.72382799319728297</v>
      </c>
      <c r="G4148">
        <v>0.49057530380157299</v>
      </c>
      <c r="H4148">
        <v>0.47078599047234998</v>
      </c>
      <c r="I4148">
        <v>0.61601696209447299</v>
      </c>
      <c r="J4148">
        <v>0.81738727511298304</v>
      </c>
      <c r="K4148">
        <v>0.71924456805972503</v>
      </c>
      <c r="L4148">
        <v>1499.1201296864699</v>
      </c>
      <c r="M4148">
        <v>30.142597269157498</v>
      </c>
      <c r="O4148">
        <v>49.516910409318299</v>
      </c>
      <c r="P4148">
        <v>-5.6501643769233702E-2</v>
      </c>
      <c r="Q4148">
        <v>0.62872888296980101</v>
      </c>
      <c r="R4148">
        <v>0.58618480600066603</v>
      </c>
      <c r="S4148" t="s">
        <v>10954</v>
      </c>
      <c r="T4148" t="s">
        <v>13610</v>
      </c>
      <c r="U4148" t="s">
        <v>13610</v>
      </c>
      <c r="V4148" t="s">
        <v>13610</v>
      </c>
      <c r="W4148" t="s">
        <v>17698</v>
      </c>
      <c r="X4148">
        <v>17</v>
      </c>
      <c r="Y4148" t="s">
        <v>24287</v>
      </c>
      <c r="Z4148" t="s">
        <v>31003</v>
      </c>
      <c r="AA4148">
        <v>0.75146204605800138</v>
      </c>
      <c r="AB4148" t="str">
        <f>HYPERLINK("Melting_Curves/meltCurve_Q7L099_2_RUFY3.pdf", "Melting_Curves/meltCurve_Q7L099_2_RUFY3.pdf")</f>
        <v>Melting_Curves/meltCurve_Q7L099_2_RUFY3.pdf</v>
      </c>
    </row>
    <row r="4149" spans="1:28" x14ac:dyDescent="0.25">
      <c r="A4149" t="s">
        <v>4153</v>
      </c>
      <c r="B4149">
        <v>0.995954080203443</v>
      </c>
      <c r="C4149">
        <v>0.99385877730573502</v>
      </c>
      <c r="D4149">
        <v>0.94645219452987395</v>
      </c>
      <c r="E4149">
        <v>0.80103499187917304</v>
      </c>
      <c r="F4149">
        <v>0.40004405232614798</v>
      </c>
      <c r="G4149">
        <v>0.14410988175769299</v>
      </c>
      <c r="H4149">
        <v>7.8436006207448505E-2</v>
      </c>
      <c r="I4149">
        <v>6.0737677237454803E-2</v>
      </c>
      <c r="J4149">
        <v>6.92849612450845E-2</v>
      </c>
      <c r="K4149">
        <v>5.5701330313624002E-2</v>
      </c>
      <c r="L4149">
        <v>1529.2648499642</v>
      </c>
      <c r="M4149">
        <v>29.372805815446402</v>
      </c>
      <c r="N4149">
        <v>52.304429278238999</v>
      </c>
      <c r="O4149">
        <v>51.824435386035802</v>
      </c>
      <c r="P4149">
        <v>-0.13274574224108901</v>
      </c>
      <c r="Q4149">
        <v>6.3157348168552702E-2</v>
      </c>
      <c r="R4149">
        <v>0.99883155514978605</v>
      </c>
      <c r="S4149" t="s">
        <v>10955</v>
      </c>
      <c r="T4149" t="s">
        <v>13610</v>
      </c>
      <c r="U4149" t="s">
        <v>13610</v>
      </c>
      <c r="V4149" t="s">
        <v>13610</v>
      </c>
      <c r="W4149" t="s">
        <v>17699</v>
      </c>
      <c r="X4149">
        <v>18</v>
      </c>
      <c r="Y4149" t="s">
        <v>24287</v>
      </c>
      <c r="Z4149" t="s">
        <v>31004</v>
      </c>
      <c r="AA4149">
        <v>0.44613962311327671</v>
      </c>
      <c r="AB4149" t="str">
        <f>HYPERLINK("Melting_Curves/meltCurve_Q7L099_4_RUFY3.pdf", "Melting_Curves/meltCurve_Q7L099_4_RUFY3.pdf")</f>
        <v>Melting_Curves/meltCurve_Q7L099_4_RUFY3.pdf</v>
      </c>
    </row>
    <row r="4150" spans="1:28" x14ac:dyDescent="0.25">
      <c r="A4150" t="s">
        <v>4154</v>
      </c>
      <c r="B4150">
        <v>0.995954080203443</v>
      </c>
      <c r="C4150">
        <v>0.76940526346891103</v>
      </c>
      <c r="D4150">
        <v>0.78276964765377099</v>
      </c>
      <c r="E4150">
        <v>0.63215975397516599</v>
      </c>
      <c r="F4150">
        <v>0.24440788986767201</v>
      </c>
      <c r="G4150">
        <v>0.11539920821590099</v>
      </c>
      <c r="H4150">
        <v>8.5684007638092502E-2</v>
      </c>
      <c r="I4150">
        <v>7.8859277374762796E-2</v>
      </c>
      <c r="J4150">
        <v>9.8444119451853204E-2</v>
      </c>
      <c r="K4150">
        <v>8.3425235638016501E-2</v>
      </c>
      <c r="L4150">
        <v>710.55450586260702</v>
      </c>
      <c r="M4150">
        <v>14.2789844492334</v>
      </c>
      <c r="N4150">
        <v>50.046669202942802</v>
      </c>
      <c r="O4150">
        <v>48.816764072977598</v>
      </c>
      <c r="P4150">
        <v>-7.0284281564530995E-2</v>
      </c>
      <c r="Q4150">
        <v>3.8970632870112099E-2</v>
      </c>
      <c r="R4150">
        <v>0.95848584996269304</v>
      </c>
      <c r="S4150" t="s">
        <v>10956</v>
      </c>
      <c r="T4150" t="s">
        <v>13610</v>
      </c>
      <c r="U4150" t="s">
        <v>13610</v>
      </c>
      <c r="V4150" t="s">
        <v>13610</v>
      </c>
      <c r="W4150" t="s">
        <v>17700</v>
      </c>
      <c r="X4150">
        <v>19</v>
      </c>
      <c r="Y4150" t="s">
        <v>24288</v>
      </c>
      <c r="Z4150" t="s">
        <v>31005</v>
      </c>
      <c r="AA4150">
        <v>0.3769070269511165</v>
      </c>
      <c r="AB4150" t="str">
        <f>HYPERLINK("Melting_Curves/meltCurve_Q7L0Y3_TRMT10C.pdf", "Melting_Curves/meltCurve_Q7L0Y3_TRMT10C.pdf")</f>
        <v>Melting_Curves/meltCurve_Q7L0Y3_TRMT10C.pdf</v>
      </c>
    </row>
    <row r="4151" spans="1:28" x14ac:dyDescent="0.25">
      <c r="A4151" t="s">
        <v>4155</v>
      </c>
      <c r="B4151">
        <v>0.995954080203443</v>
      </c>
      <c r="C4151">
        <v>0.93258820122631603</v>
      </c>
      <c r="D4151">
        <v>0.86768373536955501</v>
      </c>
      <c r="E4151">
        <v>0.44864799265391497</v>
      </c>
      <c r="F4151">
        <v>0.166301115146538</v>
      </c>
      <c r="G4151">
        <v>9.4880176178861006E-2</v>
      </c>
      <c r="H4151">
        <v>6.4780359984750097E-2</v>
      </c>
      <c r="I4151">
        <v>5.7390661717219203E-2</v>
      </c>
      <c r="J4151">
        <v>7.3032746805983303E-2</v>
      </c>
      <c r="K4151">
        <v>5.7739093416730398E-2</v>
      </c>
      <c r="L4151">
        <v>1255.25381744469</v>
      </c>
      <c r="M4151">
        <v>25.5104902606836</v>
      </c>
      <c r="N4151">
        <v>49.449733657219802</v>
      </c>
      <c r="O4151">
        <v>48.906022591859703</v>
      </c>
      <c r="P4151">
        <v>-0.122685322857131</v>
      </c>
      <c r="Q4151">
        <v>5.9214205540683601E-2</v>
      </c>
      <c r="R4151">
        <v>0.99788597650410504</v>
      </c>
      <c r="S4151" t="s">
        <v>10957</v>
      </c>
      <c r="T4151" t="s">
        <v>13610</v>
      </c>
      <c r="U4151" t="s">
        <v>13610</v>
      </c>
      <c r="V4151" t="s">
        <v>13610</v>
      </c>
      <c r="W4151" t="s">
        <v>17701</v>
      </c>
      <c r="X4151">
        <v>22</v>
      </c>
      <c r="Y4151" t="s">
        <v>24289</v>
      </c>
      <c r="Z4151" t="s">
        <v>31006</v>
      </c>
      <c r="AA4151">
        <v>0.35590090479244679</v>
      </c>
      <c r="AB4151" t="str">
        <f>HYPERLINK("Melting_Curves/meltCurve_Q7L1Q6_BZW1.pdf", "Melting_Curves/meltCurve_Q7L1Q6_BZW1.pdf")</f>
        <v>Melting_Curves/meltCurve_Q7L1Q6_BZW1.pdf</v>
      </c>
    </row>
    <row r="4152" spans="1:28" x14ac:dyDescent="0.25">
      <c r="A4152" t="s">
        <v>4156</v>
      </c>
      <c r="B4152">
        <v>0.995954080203443</v>
      </c>
      <c r="C4152">
        <v>1.00884943148086</v>
      </c>
      <c r="D4152">
        <v>1.11893084454152</v>
      </c>
      <c r="E4152">
        <v>0.60967212372090396</v>
      </c>
      <c r="F4152">
        <v>0.20786056874145101</v>
      </c>
      <c r="G4152">
        <v>0.13574290365100999</v>
      </c>
      <c r="H4152">
        <v>9.3714061726733702E-2</v>
      </c>
      <c r="I4152">
        <v>8.3683203309243101E-2</v>
      </c>
      <c r="J4152">
        <v>9.9140476816664005E-2</v>
      </c>
      <c r="K4152">
        <v>7.7846423691671204E-2</v>
      </c>
      <c r="L4152">
        <v>2335.4950244622</v>
      </c>
      <c r="M4152">
        <v>46.373373726227797</v>
      </c>
      <c r="N4152">
        <v>50.608560254054197</v>
      </c>
      <c r="O4152">
        <v>50.269457357519002</v>
      </c>
      <c r="P4152">
        <v>-0.20737677309984001</v>
      </c>
      <c r="Q4152">
        <v>0.100802463550274</v>
      </c>
      <c r="R4152">
        <v>0.98882565607927697</v>
      </c>
      <c r="S4152" t="s">
        <v>10958</v>
      </c>
      <c r="T4152" t="s">
        <v>13610</v>
      </c>
      <c r="U4152" t="s">
        <v>13610</v>
      </c>
      <c r="V4152" t="s">
        <v>13610</v>
      </c>
      <c r="W4152" t="s">
        <v>17702</v>
      </c>
      <c r="X4152">
        <v>16</v>
      </c>
      <c r="Y4152" t="s">
        <v>24290</v>
      </c>
      <c r="Z4152" t="s">
        <v>31007</v>
      </c>
      <c r="AA4152">
        <v>0.41373496982782548</v>
      </c>
      <c r="AB4152" t="str">
        <f>HYPERLINK("Melting_Curves/meltCurve_Q7L1T6_CYB5R4.pdf", "Melting_Curves/meltCurve_Q7L1T6_CYB5R4.pdf")</f>
        <v>Melting_Curves/meltCurve_Q7L1T6_CYB5R4.pdf</v>
      </c>
    </row>
    <row r="4153" spans="1:28" x14ac:dyDescent="0.25">
      <c r="A4153" t="s">
        <v>4157</v>
      </c>
      <c r="B4153">
        <v>0.995954080203443</v>
      </c>
      <c r="C4153">
        <v>0.86271626818372904</v>
      </c>
      <c r="D4153">
        <v>0.753317680018319</v>
      </c>
      <c r="E4153">
        <v>0.57367028518553598</v>
      </c>
      <c r="F4153">
        <v>0.30318263900070902</v>
      </c>
      <c r="G4153">
        <v>0.15432319536081901</v>
      </c>
      <c r="H4153">
        <v>8.0356065708159605E-2</v>
      </c>
      <c r="I4153">
        <v>7.1131534684398506E-2</v>
      </c>
      <c r="J4153">
        <v>7.2163264639664298E-2</v>
      </c>
      <c r="K4153">
        <v>6.0552618579284699E-2</v>
      </c>
      <c r="L4153">
        <v>687.96946157714399</v>
      </c>
      <c r="M4153">
        <v>13.7703844044806</v>
      </c>
      <c r="N4153">
        <v>50.156149802449001</v>
      </c>
      <c r="O4153">
        <v>48.941810366681999</v>
      </c>
      <c r="P4153">
        <v>-6.8507037795103004E-2</v>
      </c>
      <c r="Q4153">
        <v>2.6204311414757601E-2</v>
      </c>
      <c r="R4153">
        <v>0.99238315844628899</v>
      </c>
      <c r="S4153" t="s">
        <v>10959</v>
      </c>
      <c r="T4153" t="s">
        <v>13610</v>
      </c>
      <c r="U4153" t="s">
        <v>13610</v>
      </c>
      <c r="V4153" t="s">
        <v>13610</v>
      </c>
      <c r="W4153" t="s">
        <v>17703</v>
      </c>
      <c r="X4153">
        <v>18</v>
      </c>
      <c r="Y4153" t="s">
        <v>24291</v>
      </c>
      <c r="Z4153" t="s">
        <v>31008</v>
      </c>
      <c r="AA4153">
        <v>0.37648765719359101</v>
      </c>
      <c r="AB4153" t="str">
        <f>HYPERLINK("Melting_Curves/meltCurve_Q7L1V2_MON1B.pdf", "Melting_Curves/meltCurve_Q7L1V2_MON1B.pdf")</f>
        <v>Melting_Curves/meltCurve_Q7L1V2_MON1B.pdf</v>
      </c>
    </row>
    <row r="4154" spans="1:28" x14ac:dyDescent="0.25">
      <c r="A4154" t="s">
        <v>4158</v>
      </c>
      <c r="B4154">
        <v>0.995954080203443</v>
      </c>
      <c r="C4154">
        <v>1.0346947046547701</v>
      </c>
      <c r="D4154">
        <v>0.96365152403273102</v>
      </c>
      <c r="E4154">
        <v>0.892397303335005</v>
      </c>
      <c r="F4154">
        <v>0.75032594892996696</v>
      </c>
      <c r="G4154">
        <v>0.51406521043943598</v>
      </c>
      <c r="H4154">
        <v>0.34158573493256</v>
      </c>
      <c r="I4154">
        <v>0.29948355794662901</v>
      </c>
      <c r="J4154">
        <v>0.16447839350901</v>
      </c>
      <c r="K4154">
        <v>0.157568992671725</v>
      </c>
      <c r="L4154">
        <v>803.42590647677798</v>
      </c>
      <c r="M4154">
        <v>14.1923735018889</v>
      </c>
      <c r="N4154">
        <v>57.576457588078199</v>
      </c>
      <c r="O4154">
        <v>55.521345412436503</v>
      </c>
      <c r="P4154">
        <v>-5.71372039619868E-2</v>
      </c>
      <c r="Q4154">
        <v>0.10601662605038099</v>
      </c>
      <c r="R4154">
        <v>0.99500430078274504</v>
      </c>
      <c r="S4154" t="s">
        <v>10960</v>
      </c>
      <c r="T4154" t="s">
        <v>13610</v>
      </c>
      <c r="U4154" t="s">
        <v>13610</v>
      </c>
      <c r="V4154" t="s">
        <v>13610</v>
      </c>
      <c r="W4154" t="s">
        <v>17704</v>
      </c>
      <c r="X4154">
        <v>10</v>
      </c>
      <c r="Y4154" t="s">
        <v>24292</v>
      </c>
      <c r="Z4154" t="s">
        <v>31009</v>
      </c>
      <c r="AA4154">
        <v>0.61635887673911938</v>
      </c>
      <c r="AB4154" t="str">
        <f>HYPERLINK("Melting_Curves/meltCurve_Q7L266_ASRGL1.pdf", "Melting_Curves/meltCurve_Q7L266_ASRGL1.pdf")</f>
        <v>Melting_Curves/meltCurve_Q7L266_ASRGL1.pdf</v>
      </c>
    </row>
    <row r="4155" spans="1:28" x14ac:dyDescent="0.25">
      <c r="A4155" t="s">
        <v>4159</v>
      </c>
      <c r="B4155">
        <v>0.995954080203443</v>
      </c>
      <c r="C4155">
        <v>0.94860081965085297</v>
      </c>
      <c r="D4155">
        <v>0.78461883653175102</v>
      </c>
      <c r="E4155">
        <v>0.89353659855239898</v>
      </c>
      <c r="F4155">
        <v>0.54274539007023404</v>
      </c>
      <c r="G4155">
        <v>0.18541594017337801</v>
      </c>
      <c r="H4155">
        <v>7.7105148712696595E-2</v>
      </c>
      <c r="I4155">
        <v>6.1593162707908197E-2</v>
      </c>
      <c r="J4155">
        <v>6.4878007645244901E-2</v>
      </c>
      <c r="K4155">
        <v>6.2807881666186602E-2</v>
      </c>
      <c r="L4155">
        <v>1341.74309538701</v>
      </c>
      <c r="M4155">
        <v>25.2209047473035</v>
      </c>
      <c r="N4155">
        <v>53.423301728924102</v>
      </c>
      <c r="O4155">
        <v>52.8685665832338</v>
      </c>
      <c r="P4155">
        <v>-0.113288385449567</v>
      </c>
      <c r="Q4155">
        <v>5.01027875839423E-2</v>
      </c>
      <c r="R4155">
        <v>0.97072097904576504</v>
      </c>
      <c r="S4155" t="s">
        <v>10961</v>
      </c>
      <c r="T4155" t="s">
        <v>13610</v>
      </c>
      <c r="U4155" t="s">
        <v>13610</v>
      </c>
      <c r="V4155" t="s">
        <v>13610</v>
      </c>
      <c r="W4155" t="s">
        <v>17705</v>
      </c>
      <c r="X4155">
        <v>9</v>
      </c>
      <c r="Y4155" t="s">
        <v>24293</v>
      </c>
      <c r="Z4155" t="s">
        <v>31010</v>
      </c>
      <c r="AA4155">
        <v>0.47666092044541131</v>
      </c>
      <c r="AB4155" t="str">
        <f>HYPERLINK("Melting_Curves/meltCurve_Q7L273_KCTD9.pdf", "Melting_Curves/meltCurve_Q7L273_KCTD9.pdf")</f>
        <v>Melting_Curves/meltCurve_Q7L273_KCTD9.pdf</v>
      </c>
    </row>
    <row r="4156" spans="1:28" x14ac:dyDescent="0.25">
      <c r="A4156" t="s">
        <v>4160</v>
      </c>
      <c r="B4156">
        <v>0.995954080203443</v>
      </c>
      <c r="C4156">
        <v>0.86473272805611401</v>
      </c>
      <c r="D4156">
        <v>0.74564236399605799</v>
      </c>
      <c r="E4156">
        <v>0.42824210657943801</v>
      </c>
      <c r="F4156">
        <v>0.15625964852414001</v>
      </c>
      <c r="G4156">
        <v>8.3856358480674006E-2</v>
      </c>
      <c r="H4156">
        <v>5.3950331730518802E-2</v>
      </c>
      <c r="I4156">
        <v>4.3908266006068203E-2</v>
      </c>
      <c r="J4156">
        <v>4.9606776590235997E-2</v>
      </c>
      <c r="K4156">
        <v>4.0078261828728902E-2</v>
      </c>
      <c r="L4156">
        <v>871.17062227004101</v>
      </c>
      <c r="M4156">
        <v>17.953160068796599</v>
      </c>
      <c r="N4156">
        <v>48.687500939714702</v>
      </c>
      <c r="O4156">
        <v>47.9346064391179</v>
      </c>
      <c r="P4156">
        <v>-9.0909361833211397E-2</v>
      </c>
      <c r="Q4156">
        <v>2.91431208490011E-2</v>
      </c>
      <c r="R4156">
        <v>0.994622293101738</v>
      </c>
      <c r="S4156" t="s">
        <v>10962</v>
      </c>
      <c r="T4156" t="s">
        <v>13610</v>
      </c>
      <c r="U4156" t="s">
        <v>13610</v>
      </c>
      <c r="V4156" t="s">
        <v>13610</v>
      </c>
      <c r="W4156" t="s">
        <v>17706</v>
      </c>
      <c r="X4156">
        <v>11</v>
      </c>
      <c r="Y4156" t="s">
        <v>24294</v>
      </c>
      <c r="Z4156" t="s">
        <v>31011</v>
      </c>
      <c r="AA4156">
        <v>0.32209235243702761</v>
      </c>
      <c r="AB4156" t="str">
        <f>HYPERLINK("Melting_Curves/meltCurve_Q7L2H7_EIF3M.pdf", "Melting_Curves/meltCurve_Q7L2H7_EIF3M.pdf")</f>
        <v>Melting_Curves/meltCurve_Q7L2H7_EIF3M.pdf</v>
      </c>
    </row>
    <row r="4157" spans="1:28" x14ac:dyDescent="0.25">
      <c r="A4157" t="s">
        <v>4161</v>
      </c>
      <c r="B4157">
        <v>0.995954080203443</v>
      </c>
      <c r="C4157">
        <v>0.81565644940603799</v>
      </c>
      <c r="D4157">
        <v>0.73265985467869099</v>
      </c>
      <c r="E4157">
        <v>0.569664015898388</v>
      </c>
      <c r="F4157">
        <v>0.50398207429540298</v>
      </c>
      <c r="G4157">
        <v>0.42327862990064902</v>
      </c>
      <c r="H4157">
        <v>0.43099938025727602</v>
      </c>
      <c r="I4157">
        <v>0.51401340277287699</v>
      </c>
      <c r="J4157">
        <v>0.59587494232072302</v>
      </c>
      <c r="K4157">
        <v>0.60370047900623502</v>
      </c>
      <c r="L4157">
        <v>923.55987075469602</v>
      </c>
      <c r="M4157">
        <v>20.584956772993099</v>
      </c>
      <c r="O4157">
        <v>44.4487920077406</v>
      </c>
      <c r="P4157">
        <v>-5.6672918113404497E-2</v>
      </c>
      <c r="Q4157">
        <v>0.51052226670300505</v>
      </c>
      <c r="R4157">
        <v>0.87549742561994903</v>
      </c>
      <c r="S4157" t="s">
        <v>10963</v>
      </c>
      <c r="T4157" t="s">
        <v>13610</v>
      </c>
      <c r="U4157" t="s">
        <v>13610</v>
      </c>
      <c r="V4157" t="s">
        <v>13610</v>
      </c>
      <c r="W4157" t="s">
        <v>17707</v>
      </c>
      <c r="X4157">
        <v>18</v>
      </c>
      <c r="Y4157" t="s">
        <v>24295</v>
      </c>
      <c r="Z4157" t="s">
        <v>31012</v>
      </c>
      <c r="AA4157">
        <v>0.59777931958578256</v>
      </c>
      <c r="AB4157" t="str">
        <f>HYPERLINK("Melting_Curves/meltCurve_Q7L2J0_MEPCE.pdf", "Melting_Curves/meltCurve_Q7L2J0_MEPCE.pdf")</f>
        <v>Melting_Curves/meltCurve_Q7L2J0_MEPCE.pdf</v>
      </c>
    </row>
    <row r="4158" spans="1:28" x14ac:dyDescent="0.25">
      <c r="A4158" t="s">
        <v>4162</v>
      </c>
      <c r="B4158">
        <v>0.995954080203443</v>
      </c>
      <c r="C4158">
        <v>0.85918163506316003</v>
      </c>
      <c r="D4158">
        <v>0.98546474875496104</v>
      </c>
      <c r="E4158">
        <v>0.93001851252190904</v>
      </c>
      <c r="F4158">
        <v>0.86673692862113005</v>
      </c>
      <c r="G4158">
        <v>0.69435377818886101</v>
      </c>
      <c r="H4158">
        <v>0.60882636092431697</v>
      </c>
      <c r="I4158">
        <v>0.64219725351476598</v>
      </c>
      <c r="J4158">
        <v>0.82196016403340999</v>
      </c>
      <c r="K4158">
        <v>0.84744642033444095</v>
      </c>
      <c r="L4158">
        <v>1937.4186005126201</v>
      </c>
      <c r="M4158">
        <v>36.881033298871202</v>
      </c>
      <c r="O4158">
        <v>52.3778444296982</v>
      </c>
      <c r="P4158">
        <v>-4.8841272767434503E-2</v>
      </c>
      <c r="Q4158">
        <v>0.72254647440659203</v>
      </c>
      <c r="R4158">
        <v>0.58614195752535203</v>
      </c>
      <c r="S4158" t="s">
        <v>10964</v>
      </c>
      <c r="T4158" t="s">
        <v>13610</v>
      </c>
      <c r="U4158" t="s">
        <v>13610</v>
      </c>
      <c r="V4158" t="s">
        <v>13610</v>
      </c>
      <c r="W4158" t="s">
        <v>17708</v>
      </c>
      <c r="X4158">
        <v>12</v>
      </c>
      <c r="Y4158" t="s">
        <v>24296</v>
      </c>
      <c r="Z4158" t="s">
        <v>31013</v>
      </c>
      <c r="AA4158">
        <v>0.83962889942679941</v>
      </c>
      <c r="AB4158" t="str">
        <f>HYPERLINK("Melting_Curves/meltCurve_Q7L3S4_ZNF771.pdf", "Melting_Curves/meltCurve_Q7L3S4_ZNF771.pdf")</f>
        <v>Melting_Curves/meltCurve_Q7L3S4_ZNF771.pdf</v>
      </c>
    </row>
    <row r="4159" spans="1:28" x14ac:dyDescent="0.25">
      <c r="A4159" t="s">
        <v>4163</v>
      </c>
      <c r="B4159">
        <v>0.995954080203443</v>
      </c>
      <c r="C4159">
        <v>0.82407707038117195</v>
      </c>
      <c r="D4159">
        <v>0.58530259852001199</v>
      </c>
      <c r="E4159">
        <v>0.46179317592644897</v>
      </c>
      <c r="F4159">
        <v>0.36008988487461702</v>
      </c>
      <c r="G4159">
        <v>0.20387076442473001</v>
      </c>
      <c r="H4159">
        <v>0.142592444809791</v>
      </c>
      <c r="I4159">
        <v>0.11851029288182099</v>
      </c>
      <c r="J4159">
        <v>0.10299845795795901</v>
      </c>
      <c r="K4159">
        <v>0.120895452798951</v>
      </c>
      <c r="L4159">
        <v>558.48738253013198</v>
      </c>
      <c r="M4159">
        <v>11.6082062082397</v>
      </c>
      <c r="N4159">
        <v>48.861750569896401</v>
      </c>
      <c r="O4159">
        <v>46.750140933167401</v>
      </c>
      <c r="P4159">
        <v>-5.70239619286948E-2</v>
      </c>
      <c r="Q4159">
        <v>8.1633533855714896E-2</v>
      </c>
      <c r="R4159">
        <v>0.98439075474391902</v>
      </c>
      <c r="S4159" t="s">
        <v>10965</v>
      </c>
      <c r="T4159" t="s">
        <v>13610</v>
      </c>
      <c r="U4159" t="s">
        <v>13610</v>
      </c>
      <c r="V4159" t="s">
        <v>13610</v>
      </c>
      <c r="W4159" t="s">
        <v>17709</v>
      </c>
      <c r="X4159">
        <v>3</v>
      </c>
      <c r="Y4159" t="s">
        <v>24297</v>
      </c>
      <c r="Z4159" t="s">
        <v>31014</v>
      </c>
      <c r="AA4159">
        <v>0.36773688252530062</v>
      </c>
      <c r="AB4159" t="str">
        <f>HYPERLINK("Melting_Curves/meltCurve_Q7L3T8_PARS2.pdf", "Melting_Curves/meltCurve_Q7L3T8_PARS2.pdf")</f>
        <v>Melting_Curves/meltCurve_Q7L3T8_PARS2.pdf</v>
      </c>
    </row>
    <row r="4160" spans="1:28" x14ac:dyDescent="0.25">
      <c r="A4160" t="s">
        <v>4164</v>
      </c>
      <c r="B4160">
        <v>0.995954080203443</v>
      </c>
      <c r="C4160">
        <v>0.98615230283532695</v>
      </c>
      <c r="D4160">
        <v>0.81959770920643005</v>
      </c>
      <c r="E4160">
        <v>0.77396654242987695</v>
      </c>
      <c r="F4160">
        <v>0.71230806061830498</v>
      </c>
      <c r="G4160">
        <v>0.44507581701065502</v>
      </c>
      <c r="H4160">
        <v>0.34881561986773801</v>
      </c>
      <c r="I4160">
        <v>0.393971607249685</v>
      </c>
      <c r="J4160">
        <v>0.43600542943670101</v>
      </c>
      <c r="K4160">
        <v>0.45374825095160598</v>
      </c>
      <c r="L4160">
        <v>752.44845825237906</v>
      </c>
      <c r="M4160">
        <v>14.614318949002501</v>
      </c>
      <c r="N4160">
        <v>57.033070687996698</v>
      </c>
      <c r="O4160">
        <v>50.551851291447399</v>
      </c>
      <c r="P4160">
        <v>-4.4866981898220498E-2</v>
      </c>
      <c r="Q4160">
        <v>0.37927856107982399</v>
      </c>
      <c r="R4160">
        <v>0.94258022451191203</v>
      </c>
      <c r="S4160" t="s">
        <v>10966</v>
      </c>
      <c r="T4160" t="s">
        <v>13610</v>
      </c>
      <c r="U4160" t="s">
        <v>13610</v>
      </c>
      <c r="V4160" t="s">
        <v>13610</v>
      </c>
      <c r="W4160" t="s">
        <v>17710</v>
      </c>
      <c r="X4160">
        <v>2</v>
      </c>
      <c r="Y4160" t="s">
        <v>24298</v>
      </c>
      <c r="Z4160" t="s">
        <v>31015</v>
      </c>
      <c r="AA4160">
        <v>0.63166710127443071</v>
      </c>
      <c r="AB4160" t="str">
        <f>HYPERLINK("Melting_Curves/meltCurve_Q7L3V2_BOP.pdf", "Melting_Curves/meltCurve_Q7L3V2_BOP.pdf")</f>
        <v>Melting_Curves/meltCurve_Q7L3V2_BOP.pdf</v>
      </c>
    </row>
    <row r="4161" spans="1:28" x14ac:dyDescent="0.25">
      <c r="A4161" t="s">
        <v>4165</v>
      </c>
      <c r="B4161">
        <v>0.995954080203443</v>
      </c>
      <c r="C4161">
        <v>0.95702834908019196</v>
      </c>
      <c r="D4161">
        <v>1.02521065935176</v>
      </c>
      <c r="E4161">
        <v>0.93116917914298303</v>
      </c>
      <c r="F4161">
        <v>1.04745694902237</v>
      </c>
      <c r="G4161">
        <v>0.81112257981754299</v>
      </c>
      <c r="H4161">
        <v>0.85436510662654397</v>
      </c>
      <c r="I4161">
        <v>1.03933771629409</v>
      </c>
      <c r="J4161">
        <v>1.4386956432640801</v>
      </c>
      <c r="K4161">
        <v>1.28106217326975</v>
      </c>
      <c r="L4161">
        <v>15000</v>
      </c>
      <c r="M4161">
        <v>232.28221204755999</v>
      </c>
      <c r="O4161">
        <v>64.571832559418596</v>
      </c>
      <c r="P4161">
        <v>0.32366469035868101</v>
      </c>
      <c r="Q4161">
        <v>1.3599005186817399</v>
      </c>
      <c r="R4161">
        <v>0.75737679509265599</v>
      </c>
      <c r="S4161" t="s">
        <v>10967</v>
      </c>
      <c r="T4161" t="s">
        <v>13610</v>
      </c>
      <c r="U4161" t="s">
        <v>13610</v>
      </c>
      <c r="V4161" t="s">
        <v>13610</v>
      </c>
      <c r="W4161" t="s">
        <v>17711</v>
      </c>
      <c r="X4161">
        <v>11</v>
      </c>
      <c r="Y4161" t="s">
        <v>24299</v>
      </c>
      <c r="Z4161" t="s">
        <v>31016</v>
      </c>
      <c r="AA4161">
        <v>1.0650153339415891</v>
      </c>
      <c r="AB4161" t="str">
        <f>HYPERLINK("Melting_Curves/meltCurve_Q7L4I2_RSRC2.pdf", "Melting_Curves/meltCurve_Q7L4I2_RSRC2.pdf")</f>
        <v>Melting_Curves/meltCurve_Q7L4I2_RSRC2.pdf</v>
      </c>
    </row>
    <row r="4162" spans="1:28" x14ac:dyDescent="0.25">
      <c r="A4162" t="s">
        <v>4166</v>
      </c>
      <c r="B4162">
        <v>0.995954080203443</v>
      </c>
      <c r="C4162">
        <v>0.96069086485144095</v>
      </c>
      <c r="D4162">
        <v>0.81844362210212296</v>
      </c>
      <c r="E4162">
        <v>0.79969854585266198</v>
      </c>
      <c r="F4162">
        <v>0.63679914831721796</v>
      </c>
      <c r="G4162">
        <v>0.45813020965065598</v>
      </c>
      <c r="H4162">
        <v>0.27259489058401698</v>
      </c>
      <c r="I4162">
        <v>0.17110542092185399</v>
      </c>
      <c r="J4162">
        <v>0.10187675558486101</v>
      </c>
      <c r="K4162">
        <v>7.5591577282426506E-2</v>
      </c>
      <c r="L4162">
        <v>615.34945530078596</v>
      </c>
      <c r="M4162">
        <v>11.083515083394399</v>
      </c>
      <c r="N4162">
        <v>55.519341170934197</v>
      </c>
      <c r="O4162">
        <v>53.803903548851302</v>
      </c>
      <c r="P4162">
        <v>-5.1516462545900997E-2</v>
      </c>
      <c r="Q4162">
        <v>0</v>
      </c>
      <c r="R4162">
        <v>0.99036551271358697</v>
      </c>
      <c r="S4162" t="s">
        <v>10968</v>
      </c>
      <c r="T4162" t="s">
        <v>13610</v>
      </c>
      <c r="U4162" t="s">
        <v>13610</v>
      </c>
      <c r="V4162" t="s">
        <v>13610</v>
      </c>
      <c r="W4162" t="s">
        <v>17712</v>
      </c>
      <c r="X4162">
        <v>12</v>
      </c>
      <c r="Y4162" t="s">
        <v>24300</v>
      </c>
      <c r="Z4162" t="s">
        <v>31017</v>
      </c>
      <c r="AA4162">
        <v>0.54005834440443701</v>
      </c>
      <c r="AB4162" t="str">
        <f>HYPERLINK("Melting_Curves/meltCurve_Q7L523_RRAGA.pdf", "Melting_Curves/meltCurve_Q7L523_RRAGA.pdf")</f>
        <v>Melting_Curves/meltCurve_Q7L523_RRAGA.pdf</v>
      </c>
    </row>
    <row r="4163" spans="1:28" x14ac:dyDescent="0.25">
      <c r="A4163" t="s">
        <v>4167</v>
      </c>
      <c r="B4163">
        <v>0.995954080203443</v>
      </c>
      <c r="C4163">
        <v>0.85109811800202195</v>
      </c>
      <c r="D4163">
        <v>0.68821474303422003</v>
      </c>
      <c r="E4163">
        <v>0.74781736059763604</v>
      </c>
      <c r="F4163">
        <v>0.250824436500725</v>
      </c>
      <c r="G4163">
        <v>0.10674353664584001</v>
      </c>
      <c r="H4163">
        <v>7.0350969282416201E-2</v>
      </c>
      <c r="I4163">
        <v>6.6059027958958294E-2</v>
      </c>
      <c r="J4163">
        <v>7.4074909516782306E-2</v>
      </c>
      <c r="K4163">
        <v>6.8124241858222606E-2</v>
      </c>
      <c r="L4163">
        <v>700.92593163011497</v>
      </c>
      <c r="M4163">
        <v>13.9007364485078</v>
      </c>
      <c r="N4163">
        <v>50.513412902642997</v>
      </c>
      <c r="O4163">
        <v>49.4144898719031</v>
      </c>
      <c r="P4163">
        <v>-6.9478904175069203E-2</v>
      </c>
      <c r="Q4163">
        <v>1.21969176872891E-2</v>
      </c>
      <c r="R4163">
        <v>0.93984576293565203</v>
      </c>
      <c r="S4163" t="s">
        <v>10969</v>
      </c>
      <c r="T4163" t="s">
        <v>13610</v>
      </c>
      <c r="U4163" t="s">
        <v>13610</v>
      </c>
      <c r="V4163" t="s">
        <v>13610</v>
      </c>
      <c r="W4163" t="s">
        <v>17713</v>
      </c>
      <c r="X4163">
        <v>43</v>
      </c>
      <c r="Y4163" t="s">
        <v>24301</v>
      </c>
      <c r="Z4163" t="s">
        <v>31018</v>
      </c>
      <c r="AA4163">
        <v>0.38184153912278129</v>
      </c>
      <c r="AB4163" t="str">
        <f>HYPERLINK("Melting_Curves/meltCurve_Q7L576_CYFIP1.pdf", "Melting_Curves/meltCurve_Q7L576_CYFIP1.pdf")</f>
        <v>Melting_Curves/meltCurve_Q7L576_CYFIP1.pdf</v>
      </c>
    </row>
    <row r="4164" spans="1:28" x14ac:dyDescent="0.25">
      <c r="A4164" t="s">
        <v>4168</v>
      </c>
      <c r="B4164">
        <v>0.995954080203443</v>
      </c>
      <c r="C4164">
        <v>0.91980509727626403</v>
      </c>
      <c r="D4164">
        <v>1.04630042613104</v>
      </c>
      <c r="E4164">
        <v>0.78462111193293804</v>
      </c>
      <c r="F4164">
        <v>0.97185166632898301</v>
      </c>
      <c r="G4164">
        <v>0.87691421847510298</v>
      </c>
      <c r="H4164">
        <v>0.89688872175982204</v>
      </c>
      <c r="I4164">
        <v>1.2043028104061499</v>
      </c>
      <c r="J4164">
        <v>1.3098314873429</v>
      </c>
      <c r="K4164">
        <v>1.42221160962207</v>
      </c>
      <c r="L4164">
        <v>15000</v>
      </c>
      <c r="M4164">
        <v>234.60858932919899</v>
      </c>
      <c r="O4164">
        <v>63.9316322080454</v>
      </c>
      <c r="P4164">
        <v>0.33580169772731</v>
      </c>
      <c r="Q4164">
        <v>1.3660283819647401</v>
      </c>
      <c r="R4164">
        <v>0.76826403565684398</v>
      </c>
      <c r="S4164" t="s">
        <v>10970</v>
      </c>
      <c r="T4164" t="s">
        <v>13610</v>
      </c>
      <c r="U4164" t="s">
        <v>13610</v>
      </c>
      <c r="V4164" t="s">
        <v>13610</v>
      </c>
      <c r="W4164" t="s">
        <v>17714</v>
      </c>
      <c r="X4164">
        <v>12</v>
      </c>
      <c r="Y4164" t="s">
        <v>24302</v>
      </c>
      <c r="Z4164" t="s">
        <v>31019</v>
      </c>
      <c r="AA4164">
        <v>1.07393650641433</v>
      </c>
      <c r="AB4164" t="str">
        <f>HYPERLINK("Melting_Curves/meltCurve_Q7L590_2_MCM10.pdf", "Melting_Curves/meltCurve_Q7L590_2_MCM10.pdf")</f>
        <v>Melting_Curves/meltCurve_Q7L590_2_MCM10.pdf</v>
      </c>
    </row>
    <row r="4165" spans="1:28" x14ac:dyDescent="0.25">
      <c r="A4165" t="s">
        <v>4169</v>
      </c>
      <c r="B4165">
        <v>0.995954080203443</v>
      </c>
      <c r="C4165">
        <v>0.86786788344379195</v>
      </c>
      <c r="D4165">
        <v>0.63212826504038</v>
      </c>
      <c r="E4165">
        <v>0.40768546950597001</v>
      </c>
      <c r="F4165">
        <v>0.18594996704648201</v>
      </c>
      <c r="G4165">
        <v>0.120283435265766</v>
      </c>
      <c r="H4165">
        <v>0.11240028063945</v>
      </c>
      <c r="I4165">
        <v>0.11148775891170599</v>
      </c>
      <c r="J4165">
        <v>0.16662809129030801</v>
      </c>
      <c r="K4165">
        <v>0.12864546796829801</v>
      </c>
      <c r="L4165">
        <v>849.36030487000198</v>
      </c>
      <c r="M4165">
        <v>18.0014016943461</v>
      </c>
      <c r="N4165">
        <v>47.876322054824598</v>
      </c>
      <c r="O4165">
        <v>46.612298821077601</v>
      </c>
      <c r="P4165">
        <v>-8.5474999750436598E-2</v>
      </c>
      <c r="Q4165">
        <v>0.114737888708366</v>
      </c>
      <c r="R4165">
        <v>0.99029534810506104</v>
      </c>
      <c r="S4165" t="s">
        <v>10971</v>
      </c>
      <c r="T4165" t="s">
        <v>13610</v>
      </c>
      <c r="U4165" t="s">
        <v>13610</v>
      </c>
      <c r="V4165" t="s">
        <v>13610</v>
      </c>
      <c r="W4165" t="s">
        <v>17715</v>
      </c>
      <c r="X4165">
        <v>7</v>
      </c>
      <c r="Y4165" t="s">
        <v>24303</v>
      </c>
      <c r="Z4165" t="s">
        <v>31020</v>
      </c>
      <c r="AA4165">
        <v>0.34288916072906112</v>
      </c>
      <c r="AB4165" t="str">
        <f>HYPERLINK("Melting_Curves/meltCurve_Q7L5D6_GET4.pdf", "Melting_Curves/meltCurve_Q7L5D6_GET4.pdf")</f>
        <v>Melting_Curves/meltCurve_Q7L5D6_GET4.pdf</v>
      </c>
    </row>
    <row r="4166" spans="1:28" x14ac:dyDescent="0.25">
      <c r="A4166" t="s">
        <v>4170</v>
      </c>
      <c r="B4166">
        <v>0.995954080203443</v>
      </c>
      <c r="C4166">
        <v>0.96912423740961895</v>
      </c>
      <c r="D4166">
        <v>1.08023310550062</v>
      </c>
      <c r="E4166">
        <v>0.69271241561292296</v>
      </c>
      <c r="F4166">
        <v>0.32482639197784602</v>
      </c>
      <c r="G4166">
        <v>0.18504263015889999</v>
      </c>
      <c r="H4166">
        <v>0.11597143550945201</v>
      </c>
      <c r="I4166">
        <v>0.114546382328159</v>
      </c>
      <c r="J4166">
        <v>0.12531639693819499</v>
      </c>
      <c r="K4166">
        <v>0.10607798024431001</v>
      </c>
      <c r="L4166">
        <v>1749.58587258186</v>
      </c>
      <c r="M4166">
        <v>34.273335012982699</v>
      </c>
      <c r="N4166">
        <v>51.475601838117498</v>
      </c>
      <c r="O4166">
        <v>50.8751700836835</v>
      </c>
      <c r="P4166">
        <v>-0.14755582694962399</v>
      </c>
      <c r="Q4166">
        <v>0.123878799046752</v>
      </c>
      <c r="R4166">
        <v>0.99141565390066599</v>
      </c>
      <c r="S4166" t="s">
        <v>10972</v>
      </c>
      <c r="T4166" t="s">
        <v>13610</v>
      </c>
      <c r="U4166" t="s">
        <v>13610</v>
      </c>
      <c r="V4166" t="s">
        <v>13610</v>
      </c>
      <c r="W4166" t="s">
        <v>17716</v>
      </c>
      <c r="X4166">
        <v>19</v>
      </c>
      <c r="Y4166" t="s">
        <v>24304</v>
      </c>
      <c r="Z4166" t="s">
        <v>31021</v>
      </c>
      <c r="AA4166">
        <v>0.45074503379196762</v>
      </c>
      <c r="AB4166" t="str">
        <f>HYPERLINK("Melting_Curves/meltCurve_Q7L5Y1_ENOSF1.pdf", "Melting_Curves/meltCurve_Q7L5Y1_ENOSF1.pdf")</f>
        <v>Melting_Curves/meltCurve_Q7L5Y1_ENOSF1.pdf</v>
      </c>
    </row>
    <row r="4167" spans="1:28" x14ac:dyDescent="0.25">
      <c r="A4167" t="s">
        <v>4171</v>
      </c>
      <c r="B4167">
        <v>0.995954080203443</v>
      </c>
      <c r="C4167">
        <v>0.93976670816077801</v>
      </c>
      <c r="D4167">
        <v>0.88999661922057705</v>
      </c>
      <c r="E4167">
        <v>0.83761299003410905</v>
      </c>
      <c r="F4167">
        <v>0.46264638722898899</v>
      </c>
      <c r="G4167">
        <v>0.25610684951907198</v>
      </c>
      <c r="H4167">
        <v>0.16827224661434501</v>
      </c>
      <c r="I4167">
        <v>8.6087886887074694E-2</v>
      </c>
      <c r="J4167">
        <v>0.112388765211028</v>
      </c>
      <c r="K4167">
        <v>9.0352635579558596E-2</v>
      </c>
      <c r="L4167">
        <v>1089.58799582298</v>
      </c>
      <c r="M4167">
        <v>20.714193463094599</v>
      </c>
      <c r="N4167">
        <v>53.120035232873597</v>
      </c>
      <c r="O4167">
        <v>52.1181671079312</v>
      </c>
      <c r="P4167">
        <v>-9.0261774314584695E-2</v>
      </c>
      <c r="Q4167">
        <v>9.1609545034235199E-2</v>
      </c>
      <c r="R4167">
        <v>0.98843243093128996</v>
      </c>
      <c r="S4167" t="s">
        <v>10973</v>
      </c>
      <c r="T4167" t="s">
        <v>13610</v>
      </c>
      <c r="U4167" t="s">
        <v>13610</v>
      </c>
      <c r="V4167" t="s">
        <v>13610</v>
      </c>
      <c r="W4167" t="s">
        <v>17717</v>
      </c>
      <c r="X4167">
        <v>1</v>
      </c>
      <c r="Y4167" t="s">
        <v>24305</v>
      </c>
      <c r="Z4167" t="s">
        <v>31022</v>
      </c>
      <c r="AA4167">
        <v>0.48494711713035921</v>
      </c>
      <c r="AB4167" t="str">
        <f>HYPERLINK("Melting_Curves/meltCurve_Q7L5Y6_DET1.pdf", "Melting_Curves/meltCurve_Q7L5Y6_DET1.pdf")</f>
        <v>Melting_Curves/meltCurve_Q7L5Y6_DET1.pdf</v>
      </c>
    </row>
    <row r="4168" spans="1:28" x14ac:dyDescent="0.25">
      <c r="A4168" t="s">
        <v>4172</v>
      </c>
      <c r="B4168">
        <v>0.995954080203443</v>
      </c>
      <c r="C4168">
        <v>0.55775621277656395</v>
      </c>
      <c r="D4168">
        <v>0.42325242176782601</v>
      </c>
      <c r="E4168">
        <v>0.56278833884225299</v>
      </c>
      <c r="F4168">
        <v>0.27063924937936501</v>
      </c>
      <c r="G4168">
        <v>0.16814376267542799</v>
      </c>
      <c r="H4168">
        <v>0.127671290844414</v>
      </c>
      <c r="I4168">
        <v>0.12562057121248399</v>
      </c>
      <c r="J4168">
        <v>0.182925077190632</v>
      </c>
      <c r="K4168">
        <v>0.18997863067235801</v>
      </c>
      <c r="L4168">
        <v>496.443550045493</v>
      </c>
      <c r="M4168">
        <v>10.9773142406776</v>
      </c>
      <c r="N4168">
        <v>46.547295367365997</v>
      </c>
      <c r="O4168">
        <v>43.801386589674003</v>
      </c>
      <c r="P4168">
        <v>-5.42771610415771E-2</v>
      </c>
      <c r="Q4168">
        <v>0.13399338103275699</v>
      </c>
      <c r="R4168">
        <v>0.84916456723448397</v>
      </c>
      <c r="S4168" t="s">
        <v>10974</v>
      </c>
      <c r="T4168" t="s">
        <v>13610</v>
      </c>
      <c r="U4168" t="s">
        <v>13610</v>
      </c>
      <c r="V4168" t="s">
        <v>13610</v>
      </c>
      <c r="W4168" t="s">
        <v>17718</v>
      </c>
      <c r="X4168">
        <v>17</v>
      </c>
      <c r="Y4168" t="s">
        <v>24306</v>
      </c>
      <c r="Z4168" t="s">
        <v>31023</v>
      </c>
      <c r="AA4168">
        <v>0.33448065165466412</v>
      </c>
      <c r="AB4168" t="str">
        <f>HYPERLINK("Melting_Curves/meltCurve_Q7L5Y9_MAEA.pdf", "Melting_Curves/meltCurve_Q7L5Y9_MAEA.pdf")</f>
        <v>Melting_Curves/meltCurve_Q7L5Y9_MAEA.pdf</v>
      </c>
    </row>
    <row r="4169" spans="1:28" x14ac:dyDescent="0.25">
      <c r="A4169" t="s">
        <v>4173</v>
      </c>
      <c r="B4169">
        <v>0.995954080203443</v>
      </c>
      <c r="C4169">
        <v>0.968315432937908</v>
      </c>
      <c r="D4169">
        <v>0.91835025596883901</v>
      </c>
      <c r="E4169">
        <v>0.73351229375243199</v>
      </c>
      <c r="F4169">
        <v>0.37396263467381402</v>
      </c>
      <c r="G4169">
        <v>0.15240948207963301</v>
      </c>
      <c r="H4169">
        <v>0.10135921593448501</v>
      </c>
      <c r="I4169">
        <v>0.10015555207318499</v>
      </c>
      <c r="J4169">
        <v>0.116050673495272</v>
      </c>
      <c r="K4169">
        <v>9.98464774181506E-2</v>
      </c>
      <c r="L4169">
        <v>1364.9516681207799</v>
      </c>
      <c r="M4169">
        <v>26.529089407183999</v>
      </c>
      <c r="N4169">
        <v>51.872141974589397</v>
      </c>
      <c r="O4169">
        <v>51.161471456678299</v>
      </c>
      <c r="P4169">
        <v>-0.117079358699911</v>
      </c>
      <c r="Q4169">
        <v>9.6857645397122993E-2</v>
      </c>
      <c r="R4169">
        <v>0.99749338555636502</v>
      </c>
      <c r="S4169" t="s">
        <v>10975</v>
      </c>
      <c r="T4169" t="s">
        <v>13610</v>
      </c>
      <c r="U4169" t="s">
        <v>13610</v>
      </c>
      <c r="V4169" t="s">
        <v>13610</v>
      </c>
      <c r="W4169" t="s">
        <v>17719</v>
      </c>
      <c r="X4169">
        <v>11</v>
      </c>
      <c r="Y4169" t="s">
        <v>24307</v>
      </c>
      <c r="Z4169" t="s">
        <v>31024</v>
      </c>
      <c r="AA4169">
        <v>0.44888993350980122</v>
      </c>
      <c r="AB4169" t="str">
        <f>HYPERLINK("Melting_Curves/meltCurve_Q7L775_EPM2AIP1.pdf", "Melting_Curves/meltCurve_Q7L775_EPM2AIP1.pdf")</f>
        <v>Melting_Curves/meltCurve_Q7L775_EPM2AIP1.pdf</v>
      </c>
    </row>
    <row r="4170" spans="1:28" x14ac:dyDescent="0.25">
      <c r="A4170" t="s">
        <v>4174</v>
      </c>
      <c r="B4170">
        <v>0.995954080203443</v>
      </c>
      <c r="C4170">
        <v>0.96361660967979501</v>
      </c>
      <c r="D4170">
        <v>0.816556187551426</v>
      </c>
      <c r="E4170">
        <v>0.70751522937161604</v>
      </c>
      <c r="F4170">
        <v>0.23421443376076601</v>
      </c>
      <c r="G4170">
        <v>0.116695812559276</v>
      </c>
      <c r="H4170">
        <v>7.6499668688527506E-2</v>
      </c>
      <c r="I4170">
        <v>7.0375553540608399E-2</v>
      </c>
      <c r="J4170">
        <v>8.4969940633619803E-2</v>
      </c>
      <c r="K4170">
        <v>7.6200644659355901E-2</v>
      </c>
      <c r="L4170">
        <v>1337.34773869523</v>
      </c>
      <c r="M4170">
        <v>26.341818894704499</v>
      </c>
      <c r="N4170">
        <v>51.046833376992602</v>
      </c>
      <c r="O4170">
        <v>50.479123519224899</v>
      </c>
      <c r="P4170">
        <v>-0.121747748135313</v>
      </c>
      <c r="Q4170">
        <v>6.6784022419900405E-2</v>
      </c>
      <c r="R4170">
        <v>0.98099691835511804</v>
      </c>
      <c r="S4170" t="s">
        <v>10976</v>
      </c>
      <c r="T4170" t="s">
        <v>13610</v>
      </c>
      <c r="U4170" t="s">
        <v>13610</v>
      </c>
      <c r="V4170" t="s">
        <v>13610</v>
      </c>
      <c r="W4170" t="s">
        <v>17720</v>
      </c>
      <c r="X4170">
        <v>22</v>
      </c>
      <c r="Y4170" t="s">
        <v>24308</v>
      </c>
      <c r="Z4170" t="s">
        <v>31025</v>
      </c>
      <c r="AA4170">
        <v>0.40935841943609991</v>
      </c>
      <c r="AB4170" t="str">
        <f>HYPERLINK("Melting_Curves/meltCurve_Q7L7X3_TAOK1.pdf", "Melting_Curves/meltCurve_Q7L7X3_TAOK1.pdf")</f>
        <v>Melting_Curves/meltCurve_Q7L7X3_TAOK1.pdf</v>
      </c>
    </row>
    <row r="4171" spans="1:28" x14ac:dyDescent="0.25">
      <c r="A4171" t="s">
        <v>4175</v>
      </c>
      <c r="B4171">
        <v>0.995954080203443</v>
      </c>
      <c r="C4171">
        <v>0.93291620223381599</v>
      </c>
      <c r="D4171">
        <v>0.88091006726309895</v>
      </c>
      <c r="E4171">
        <v>0.72948141501588004</v>
      </c>
      <c r="F4171">
        <v>0.53531012644922904</v>
      </c>
      <c r="G4171">
        <v>0.358952237780364</v>
      </c>
      <c r="H4171">
        <v>0.20657550168316799</v>
      </c>
      <c r="I4171">
        <v>0.189179784529035</v>
      </c>
      <c r="J4171">
        <v>0.209857845944531</v>
      </c>
      <c r="K4171">
        <v>0.21262604933228099</v>
      </c>
      <c r="L4171">
        <v>776.29530205308799</v>
      </c>
      <c r="M4171">
        <v>14.888130761959699</v>
      </c>
      <c r="N4171">
        <v>53.564254498187601</v>
      </c>
      <c r="O4171">
        <v>51.228277617097902</v>
      </c>
      <c r="P4171">
        <v>-6.0799055477030503E-2</v>
      </c>
      <c r="Q4171">
        <v>0.16327761485446399</v>
      </c>
      <c r="R4171">
        <v>0.99423334219234005</v>
      </c>
      <c r="S4171" t="s">
        <v>10977</v>
      </c>
      <c r="T4171" t="s">
        <v>13610</v>
      </c>
      <c r="U4171" t="s">
        <v>13610</v>
      </c>
      <c r="V4171" t="s">
        <v>13610</v>
      </c>
      <c r="W4171" t="s">
        <v>17721</v>
      </c>
      <c r="X4171">
        <v>12</v>
      </c>
      <c r="Y4171" t="s">
        <v>24309</v>
      </c>
      <c r="Z4171" t="s">
        <v>31026</v>
      </c>
      <c r="AA4171">
        <v>0.52074781941489756</v>
      </c>
      <c r="AB4171" t="str">
        <f>HYPERLINK("Melting_Curves/meltCurve_Q7L8J4_SH3BP5L.pdf", "Melting_Curves/meltCurve_Q7L8J4_SH3BP5L.pdf")</f>
        <v>Melting_Curves/meltCurve_Q7L8J4_SH3BP5L.pdf</v>
      </c>
    </row>
    <row r="4172" spans="1:28" x14ac:dyDescent="0.25">
      <c r="A4172" t="s">
        <v>4176</v>
      </c>
      <c r="B4172">
        <v>0.995954080203443</v>
      </c>
      <c r="C4172">
        <v>0.90403537926677802</v>
      </c>
      <c r="D4172">
        <v>0.80875888950110397</v>
      </c>
      <c r="E4172">
        <v>0.424581568085387</v>
      </c>
      <c r="F4172">
        <v>0.29149682546682598</v>
      </c>
      <c r="G4172">
        <v>0.21609870706432899</v>
      </c>
      <c r="H4172">
        <v>0.14824292763215299</v>
      </c>
      <c r="I4172">
        <v>0.17752217364949999</v>
      </c>
      <c r="J4172">
        <v>0.17206386141289701</v>
      </c>
      <c r="K4172">
        <v>0.195330711869241</v>
      </c>
      <c r="L4172">
        <v>1010.62000475855</v>
      </c>
      <c r="M4172">
        <v>20.938117199879201</v>
      </c>
      <c r="N4172">
        <v>49.2570763328456</v>
      </c>
      <c r="O4172">
        <v>47.833167816703003</v>
      </c>
      <c r="P4172">
        <v>-9.0639284072746795E-2</v>
      </c>
      <c r="Q4172">
        <v>0.171759660712275</v>
      </c>
      <c r="R4172">
        <v>0.99558133808741001</v>
      </c>
      <c r="S4172" t="s">
        <v>10978</v>
      </c>
      <c r="T4172" t="s">
        <v>13610</v>
      </c>
      <c r="U4172" t="s">
        <v>13610</v>
      </c>
      <c r="V4172" t="s">
        <v>13610</v>
      </c>
      <c r="W4172" t="s">
        <v>17722</v>
      </c>
      <c r="X4172">
        <v>5</v>
      </c>
      <c r="Y4172" t="s">
        <v>24310</v>
      </c>
      <c r="Z4172" t="s">
        <v>31027</v>
      </c>
      <c r="AA4172">
        <v>0.41063129894937261</v>
      </c>
      <c r="AB4172" t="str">
        <f>HYPERLINK("Melting_Curves/meltCurve_Q7L8L6_FASTKD5.pdf", "Melting_Curves/meltCurve_Q7L8L6_FASTKD5.pdf")</f>
        <v>Melting_Curves/meltCurve_Q7L8L6_FASTKD5.pdf</v>
      </c>
    </row>
    <row r="4173" spans="1:28" x14ac:dyDescent="0.25">
      <c r="A4173" t="s">
        <v>4177</v>
      </c>
      <c r="B4173">
        <v>0.995954080203443</v>
      </c>
      <c r="C4173">
        <v>0.96574313684575697</v>
      </c>
      <c r="D4173">
        <v>0.91399452965905603</v>
      </c>
      <c r="E4173">
        <v>0.61606968410076002</v>
      </c>
      <c r="F4173">
        <v>0.25414039957690399</v>
      </c>
      <c r="G4173">
        <v>0.106745741134883</v>
      </c>
      <c r="H4173">
        <v>7.1492272287111594E-2</v>
      </c>
      <c r="I4173">
        <v>6.2214208146664E-2</v>
      </c>
      <c r="J4173">
        <v>6.7925036561837293E-2</v>
      </c>
      <c r="K4173">
        <v>6.0269144097468398E-2</v>
      </c>
      <c r="L4173">
        <v>1343.8282872399</v>
      </c>
      <c r="M4173">
        <v>26.589991555849501</v>
      </c>
      <c r="N4173">
        <v>50.784650323307503</v>
      </c>
      <c r="O4173">
        <v>50.255621098806998</v>
      </c>
      <c r="P4173">
        <v>-0.124289181382762</v>
      </c>
      <c r="Q4173">
        <v>6.0373657391936598E-2</v>
      </c>
      <c r="R4173">
        <v>0.99874741925341504</v>
      </c>
      <c r="S4173" t="s">
        <v>10979</v>
      </c>
      <c r="T4173" t="s">
        <v>13610</v>
      </c>
      <c r="U4173" t="s">
        <v>13610</v>
      </c>
      <c r="V4173" t="s">
        <v>13610</v>
      </c>
      <c r="W4173" t="s">
        <v>17723</v>
      </c>
      <c r="X4173">
        <v>10</v>
      </c>
      <c r="Y4173" t="s">
        <v>24311</v>
      </c>
      <c r="Z4173" t="s">
        <v>31028</v>
      </c>
      <c r="AA4173">
        <v>0.39792971315871217</v>
      </c>
      <c r="AB4173" t="str">
        <f>HYPERLINK("Melting_Curves/meltCurve_Q7L8W6_ATPBD4.pdf", "Melting_Curves/meltCurve_Q7L8W6_ATPBD4.pdf")</f>
        <v>Melting_Curves/meltCurve_Q7L8W6_ATPBD4.pdf</v>
      </c>
    </row>
    <row r="4174" spans="1:28" x14ac:dyDescent="0.25">
      <c r="A4174" t="s">
        <v>4178</v>
      </c>
      <c r="B4174">
        <v>0.995954080203443</v>
      </c>
      <c r="C4174">
        <v>0.84294536128791198</v>
      </c>
      <c r="D4174">
        <v>1.00003207164085</v>
      </c>
      <c r="E4174">
        <v>0.80968073525575002</v>
      </c>
      <c r="F4174">
        <v>1.10212284171666</v>
      </c>
      <c r="G4174">
        <v>0.83831847738234599</v>
      </c>
      <c r="H4174">
        <v>0.94334432657276401</v>
      </c>
      <c r="I4174">
        <v>1.30939364867137</v>
      </c>
      <c r="J4174">
        <v>1.6456906041241901</v>
      </c>
      <c r="K4174">
        <v>1.4725385946984599</v>
      </c>
      <c r="L4174">
        <v>15000</v>
      </c>
      <c r="M4174">
        <v>234.85946081640901</v>
      </c>
      <c r="O4174">
        <v>63.863347380549101</v>
      </c>
      <c r="P4174">
        <v>0.45969138528893699</v>
      </c>
      <c r="Q4174">
        <v>1.5</v>
      </c>
      <c r="R4174">
        <v>0.83522529192620598</v>
      </c>
      <c r="S4174" t="s">
        <v>10980</v>
      </c>
      <c r="T4174" t="s">
        <v>13610</v>
      </c>
      <c r="U4174" t="s">
        <v>13610</v>
      </c>
      <c r="V4174" t="s">
        <v>13610</v>
      </c>
      <c r="W4174" t="s">
        <v>17724</v>
      </c>
      <c r="X4174">
        <v>3</v>
      </c>
      <c r="Y4174" t="s">
        <v>24312</v>
      </c>
      <c r="Z4174" t="s">
        <v>31029</v>
      </c>
      <c r="AA4174">
        <v>1.1021367826415289</v>
      </c>
      <c r="AB4174" t="str">
        <f>HYPERLINK("Melting_Curves/meltCurve_Q7L945_ZNF627.pdf", "Melting_Curves/meltCurve_Q7L945_ZNF627.pdf")</f>
        <v>Melting_Curves/meltCurve_Q7L945_ZNF627.pdf</v>
      </c>
    </row>
    <row r="4175" spans="1:28" x14ac:dyDescent="0.25">
      <c r="A4175" t="s">
        <v>4179</v>
      </c>
      <c r="B4175">
        <v>0.995954080203443</v>
      </c>
      <c r="C4175">
        <v>0.90630453032501102</v>
      </c>
      <c r="D4175">
        <v>0.85540895285713203</v>
      </c>
      <c r="E4175">
        <v>0.674638410804142</v>
      </c>
      <c r="F4175">
        <v>0.59873926731604299</v>
      </c>
      <c r="G4175">
        <v>0.43257535134219499</v>
      </c>
      <c r="H4175">
        <v>0.41441675572130299</v>
      </c>
      <c r="I4175">
        <v>0.50500222786646698</v>
      </c>
      <c r="J4175">
        <v>0.56794493304252802</v>
      </c>
      <c r="K4175">
        <v>0.57671574669557502</v>
      </c>
      <c r="L4175">
        <v>910.43153057034203</v>
      </c>
      <c r="M4175">
        <v>18.9754251005801</v>
      </c>
      <c r="O4175">
        <v>47.4561625317573</v>
      </c>
      <c r="P4175">
        <v>-5.0062499636022897E-2</v>
      </c>
      <c r="Q4175">
        <v>0.49920933653618499</v>
      </c>
      <c r="R4175">
        <v>0.917056531132455</v>
      </c>
      <c r="S4175" t="s">
        <v>10981</v>
      </c>
      <c r="T4175" t="s">
        <v>13610</v>
      </c>
      <c r="U4175" t="s">
        <v>13610</v>
      </c>
      <c r="V4175" t="s">
        <v>13610</v>
      </c>
      <c r="W4175" t="s">
        <v>17725</v>
      </c>
      <c r="X4175">
        <v>43</v>
      </c>
      <c r="Y4175" t="s">
        <v>24313</v>
      </c>
      <c r="Z4175" t="s">
        <v>31030</v>
      </c>
      <c r="AA4175">
        <v>0.64036949225199513</v>
      </c>
      <c r="AB4175" t="str">
        <f>HYPERLINK("Melting_Curves/meltCurve_Q7LBC6_KDM3B.pdf", "Melting_Curves/meltCurve_Q7LBC6_KDM3B.pdf")</f>
        <v>Melting_Curves/meltCurve_Q7LBC6_KDM3B.pdf</v>
      </c>
    </row>
    <row r="4176" spans="1:28" x14ac:dyDescent="0.25">
      <c r="A4176" t="s">
        <v>4180</v>
      </c>
      <c r="B4176">
        <v>0.995954080203443</v>
      </c>
      <c r="C4176">
        <v>0.97720285243375304</v>
      </c>
      <c r="D4176">
        <v>1.3282987847621901</v>
      </c>
      <c r="E4176">
        <v>0.89149340087018702</v>
      </c>
      <c r="F4176">
        <v>0.69033918656167303</v>
      </c>
      <c r="G4176">
        <v>0.172892383693346</v>
      </c>
      <c r="H4176">
        <v>8.1440190147047398E-2</v>
      </c>
      <c r="I4176">
        <v>6.5997662738571994E-2</v>
      </c>
      <c r="J4176">
        <v>6.8768987001947404E-2</v>
      </c>
      <c r="K4176">
        <v>7.2916933536782899E-2</v>
      </c>
      <c r="L4176">
        <v>1942.4408819815601</v>
      </c>
      <c r="M4176">
        <v>36.0209375704164</v>
      </c>
      <c r="N4176">
        <v>54.138543567572597</v>
      </c>
      <c r="O4176">
        <v>53.759939326543702</v>
      </c>
      <c r="P4176">
        <v>-0.15643127803364201</v>
      </c>
      <c r="Q4176">
        <v>6.6131044922382698E-2</v>
      </c>
      <c r="R4176">
        <v>0.94802118252419398</v>
      </c>
      <c r="S4176" t="s">
        <v>10982</v>
      </c>
      <c r="T4176" t="s">
        <v>13610</v>
      </c>
      <c r="U4176" t="s">
        <v>13610</v>
      </c>
      <c r="V4176" t="s">
        <v>13610</v>
      </c>
      <c r="W4176" t="s">
        <v>17726</v>
      </c>
      <c r="X4176">
        <v>5</v>
      </c>
      <c r="Y4176" t="s">
        <v>24314</v>
      </c>
      <c r="Z4176" t="s">
        <v>31031</v>
      </c>
      <c r="AA4176">
        <v>0.50389319494673745</v>
      </c>
      <c r="AB4176" t="str">
        <f>HYPERLINK("Melting_Curves/meltCurve_Q7LBR1_CHMP1B.pdf", "Melting_Curves/meltCurve_Q7LBR1_CHMP1B.pdf")</f>
        <v>Melting_Curves/meltCurve_Q7LBR1_CHMP1B.pdf</v>
      </c>
    </row>
    <row r="4177" spans="1:28" x14ac:dyDescent="0.25">
      <c r="A4177" t="s">
        <v>4181</v>
      </c>
      <c r="B4177">
        <v>0.995954080203443</v>
      </c>
      <c r="C4177">
        <v>0.79164756001257097</v>
      </c>
      <c r="D4177">
        <v>0.53314448844150197</v>
      </c>
      <c r="E4177">
        <v>0.35522829064293798</v>
      </c>
      <c r="F4177">
        <v>0.18921815225848901</v>
      </c>
      <c r="G4177">
        <v>9.6702942609451795E-2</v>
      </c>
      <c r="H4177">
        <v>6.2269461210693801E-2</v>
      </c>
      <c r="I4177">
        <v>5.5117847866264398E-2</v>
      </c>
      <c r="J4177">
        <v>7.87633046438036E-2</v>
      </c>
      <c r="K4177">
        <v>7.1751143950927299E-2</v>
      </c>
      <c r="L4177">
        <v>709.91891325045401</v>
      </c>
      <c r="M4177">
        <v>15.215446363814801</v>
      </c>
      <c r="N4177">
        <v>47.017288360393998</v>
      </c>
      <c r="O4177">
        <v>45.874116289866798</v>
      </c>
      <c r="P4177">
        <v>-7.8373553559409198E-2</v>
      </c>
      <c r="Q4177">
        <v>5.4914927584971698E-2</v>
      </c>
      <c r="R4177">
        <v>0.99044626504840505</v>
      </c>
      <c r="S4177" t="s">
        <v>10983</v>
      </c>
      <c r="T4177" t="s">
        <v>13610</v>
      </c>
      <c r="U4177" t="s">
        <v>13610</v>
      </c>
      <c r="V4177" t="s">
        <v>13610</v>
      </c>
      <c r="W4177" t="s">
        <v>17727</v>
      </c>
      <c r="X4177">
        <v>3</v>
      </c>
      <c r="Y4177" t="s">
        <v>24315</v>
      </c>
      <c r="Z4177" t="s">
        <v>31032</v>
      </c>
      <c r="AA4177">
        <v>0.29014500881606059</v>
      </c>
      <c r="AB4177" t="str">
        <f>HYPERLINK("Melting_Curves/meltCurve_Q7LDG7_RASGRP2.pdf", "Melting_Curves/meltCurve_Q7LDG7_RASGRP2.pdf")</f>
        <v>Melting_Curves/meltCurve_Q7LDG7_RASGRP2.pdf</v>
      </c>
    </row>
    <row r="4178" spans="1:28" x14ac:dyDescent="0.25">
      <c r="A4178" t="s">
        <v>4182</v>
      </c>
      <c r="B4178">
        <v>0.995954080203443</v>
      </c>
      <c r="C4178">
        <v>0.96546261723396798</v>
      </c>
      <c r="D4178">
        <v>0.94442988774509795</v>
      </c>
      <c r="E4178">
        <v>0.84670380028186198</v>
      </c>
      <c r="F4178">
        <v>0.83696591076982596</v>
      </c>
      <c r="G4178">
        <v>0.56043877943933096</v>
      </c>
      <c r="H4178">
        <v>0.52149398510664602</v>
      </c>
      <c r="I4178">
        <v>0.50714643773518797</v>
      </c>
      <c r="J4178">
        <v>0.52212577227103196</v>
      </c>
      <c r="K4178">
        <v>0.279384616004763</v>
      </c>
      <c r="L4178">
        <v>523.85108576971902</v>
      </c>
      <c r="M4178">
        <v>9.0215707622270305</v>
      </c>
      <c r="N4178">
        <v>62.546075680789002</v>
      </c>
      <c r="O4178">
        <v>55.426445041844502</v>
      </c>
      <c r="P4178">
        <v>-3.1030795628947901E-2</v>
      </c>
      <c r="Q4178">
        <v>0.237964434629136</v>
      </c>
      <c r="R4178">
        <v>0.93757779613351999</v>
      </c>
      <c r="S4178" t="s">
        <v>10984</v>
      </c>
      <c r="T4178" t="s">
        <v>13610</v>
      </c>
      <c r="U4178" t="s">
        <v>13610</v>
      </c>
      <c r="V4178" t="s">
        <v>13610</v>
      </c>
      <c r="W4178" t="s">
        <v>17728</v>
      </c>
      <c r="X4178">
        <v>16</v>
      </c>
      <c r="Y4178" t="s">
        <v>24316</v>
      </c>
      <c r="Z4178" t="s">
        <v>31033</v>
      </c>
      <c r="AA4178">
        <v>0.70212999021989242</v>
      </c>
      <c r="AB4178" t="str">
        <f>HYPERLINK("Melting_Curves/meltCurve_Q7LG56_RRM2B.pdf", "Melting_Curves/meltCurve_Q7LG56_RRM2B.pdf")</f>
        <v>Melting_Curves/meltCurve_Q7LG56_RRM2B.pdf</v>
      </c>
    </row>
    <row r="4179" spans="1:28" x14ac:dyDescent="0.25">
      <c r="A4179" t="s">
        <v>4183</v>
      </c>
      <c r="B4179">
        <v>0.995954080203443</v>
      </c>
      <c r="C4179">
        <v>0.86815467661073797</v>
      </c>
      <c r="D4179">
        <v>0.73445005694254295</v>
      </c>
      <c r="E4179">
        <v>0.71417986277457302</v>
      </c>
      <c r="F4179">
        <v>0.58778650360367402</v>
      </c>
      <c r="G4179">
        <v>0.39382412123687699</v>
      </c>
      <c r="H4179">
        <v>0.188632616256178</v>
      </c>
      <c r="I4179">
        <v>8.9245439559271E-2</v>
      </c>
      <c r="J4179">
        <v>7.9946615961937903E-2</v>
      </c>
      <c r="K4179">
        <v>8.5737464501733002E-2</v>
      </c>
      <c r="L4179">
        <v>545.71798471043098</v>
      </c>
      <c r="M4179">
        <v>10.199302221799</v>
      </c>
      <c r="N4179">
        <v>53.505422803003903</v>
      </c>
      <c r="O4179">
        <v>51.5708590101449</v>
      </c>
      <c r="P4179">
        <v>-4.94654456901506E-2</v>
      </c>
      <c r="Q4179">
        <v>0</v>
      </c>
      <c r="R4179">
        <v>0.97271100765667295</v>
      </c>
      <c r="S4179" t="s">
        <v>10985</v>
      </c>
      <c r="T4179" t="s">
        <v>13610</v>
      </c>
      <c r="U4179" t="s">
        <v>13610</v>
      </c>
      <c r="V4179" t="s">
        <v>13610</v>
      </c>
      <c r="W4179" t="s">
        <v>17729</v>
      </c>
      <c r="X4179">
        <v>7</v>
      </c>
      <c r="Y4179" t="s">
        <v>24317</v>
      </c>
      <c r="Z4179" t="s">
        <v>31034</v>
      </c>
      <c r="AA4179">
        <v>0.4818976120014023</v>
      </c>
      <c r="AB4179" t="str">
        <f>HYPERLINK("Melting_Curves/meltCurve_Q7RTN6_6_STRADA.pdf", "Melting_Curves/meltCurve_Q7RTN6_6_STRADA.pdf")</f>
        <v>Melting_Curves/meltCurve_Q7RTN6_6_STRADA.pdf</v>
      </c>
    </row>
    <row r="4180" spans="1:28" x14ac:dyDescent="0.25">
      <c r="A4180" t="s">
        <v>4184</v>
      </c>
      <c r="B4180">
        <v>0.995954080203443</v>
      </c>
      <c r="C4180">
        <v>0.96350686172745303</v>
      </c>
      <c r="D4180">
        <v>0.88653890427273796</v>
      </c>
      <c r="E4180">
        <v>0.73690342800812003</v>
      </c>
      <c r="F4180">
        <v>0.54600181020082394</v>
      </c>
      <c r="G4180">
        <v>0.39806254483009901</v>
      </c>
      <c r="H4180">
        <v>0.35659326654745799</v>
      </c>
      <c r="I4180">
        <v>0.44469562933410101</v>
      </c>
      <c r="J4180">
        <v>0.473265404041742</v>
      </c>
      <c r="K4180">
        <v>0.50793766023188303</v>
      </c>
      <c r="L4180">
        <v>1156.0517082139199</v>
      </c>
      <c r="M4180">
        <v>23.2132029196822</v>
      </c>
      <c r="N4180">
        <v>54.457900843471897</v>
      </c>
      <c r="O4180">
        <v>49.436298052683902</v>
      </c>
      <c r="P4180">
        <v>-6.6760692994707896E-2</v>
      </c>
      <c r="Q4180">
        <v>0.43129917043934002</v>
      </c>
      <c r="R4180">
        <v>0.95945440990702002</v>
      </c>
      <c r="S4180" t="s">
        <v>10986</v>
      </c>
      <c r="T4180" t="s">
        <v>13610</v>
      </c>
      <c r="U4180" t="s">
        <v>13610</v>
      </c>
      <c r="V4180" t="s">
        <v>13610</v>
      </c>
      <c r="W4180" t="s">
        <v>17730</v>
      </c>
      <c r="X4180">
        <v>40</v>
      </c>
      <c r="Y4180" t="s">
        <v>21284</v>
      </c>
      <c r="Z4180" t="s">
        <v>31035</v>
      </c>
      <c r="AA4180">
        <v>0.62299314587233401</v>
      </c>
      <c r="AB4180" t="str">
        <f>HYPERLINK("Melting_Curves/meltCurve_Q7RTP6_MICAL3.pdf", "Melting_Curves/meltCurve_Q7RTP6_MICAL3.pdf")</f>
        <v>Melting_Curves/meltCurve_Q7RTP6_MICAL3.pdf</v>
      </c>
    </row>
    <row r="4181" spans="1:28" x14ac:dyDescent="0.25">
      <c r="A4181" t="s">
        <v>4185</v>
      </c>
      <c r="B4181">
        <v>0.995954080203443</v>
      </c>
      <c r="C4181">
        <v>1.0062188165458901</v>
      </c>
      <c r="D4181">
        <v>0.95096111064001798</v>
      </c>
      <c r="E4181">
        <v>0.57289027087756095</v>
      </c>
      <c r="F4181">
        <v>0.15075645963760201</v>
      </c>
      <c r="G4181">
        <v>9.6492144817043393E-2</v>
      </c>
      <c r="H4181">
        <v>6.6051024775150499E-2</v>
      </c>
      <c r="I4181">
        <v>5.9117474952512697E-2</v>
      </c>
      <c r="J4181">
        <v>6.8294322496274207E-2</v>
      </c>
      <c r="K4181">
        <v>6.3874862650372302E-2</v>
      </c>
      <c r="L4181">
        <v>2018.35387775959</v>
      </c>
      <c r="M4181">
        <v>40.228421395653697</v>
      </c>
      <c r="N4181">
        <v>50.3526315206094</v>
      </c>
      <c r="O4181">
        <v>50.048841293237402</v>
      </c>
      <c r="P4181">
        <v>-0.18746774629434301</v>
      </c>
      <c r="Q4181">
        <v>6.7075186667326106E-2</v>
      </c>
      <c r="R4181">
        <v>0.99908492613183197</v>
      </c>
      <c r="S4181" t="s">
        <v>10987</v>
      </c>
      <c r="T4181" t="s">
        <v>13610</v>
      </c>
      <c r="U4181" t="s">
        <v>13610</v>
      </c>
      <c r="V4181" t="s">
        <v>13610</v>
      </c>
      <c r="W4181" t="s">
        <v>17731</v>
      </c>
      <c r="X4181">
        <v>8</v>
      </c>
      <c r="Y4181" t="s">
        <v>24318</v>
      </c>
      <c r="Z4181" t="s">
        <v>31036</v>
      </c>
      <c r="AA4181">
        <v>0.38660868076685351</v>
      </c>
      <c r="AB4181" t="str">
        <f>HYPERLINK("Melting_Curves/meltCurve_Q7RTS9_DYM.pdf", "Melting_Curves/meltCurve_Q7RTS9_DYM.pdf")</f>
        <v>Melting_Curves/meltCurve_Q7RTS9_DYM.pdf</v>
      </c>
    </row>
    <row r="4182" spans="1:28" x14ac:dyDescent="0.25">
      <c r="A4182" t="s">
        <v>4186</v>
      </c>
      <c r="B4182">
        <v>0.995954080203443</v>
      </c>
      <c r="C4182">
        <v>0.71539209728230702</v>
      </c>
      <c r="D4182">
        <v>0.56164547403333698</v>
      </c>
      <c r="E4182">
        <v>0.72917033171329604</v>
      </c>
      <c r="F4182">
        <v>0.34876082431000299</v>
      </c>
      <c r="G4182">
        <v>0.204450830987147</v>
      </c>
      <c r="H4182">
        <v>0.15523883914966799</v>
      </c>
      <c r="I4182">
        <v>0.16437924917441801</v>
      </c>
      <c r="J4182">
        <v>0.170791821925837</v>
      </c>
      <c r="K4182">
        <v>0.167173944594563</v>
      </c>
      <c r="L4182">
        <v>442.64685937606203</v>
      </c>
      <c r="M4182">
        <v>8.9843966590334308</v>
      </c>
      <c r="N4182">
        <v>50.056924147570697</v>
      </c>
      <c r="O4182">
        <v>47.011147649078801</v>
      </c>
      <c r="P4182">
        <v>-4.4658034680479297E-2</v>
      </c>
      <c r="Q4182">
        <v>6.5984097228892299E-2</v>
      </c>
      <c r="R4182">
        <v>0.88789272883499804</v>
      </c>
      <c r="S4182" t="s">
        <v>10988</v>
      </c>
      <c r="T4182" t="s">
        <v>13610</v>
      </c>
      <c r="U4182" t="s">
        <v>13610</v>
      </c>
      <c r="V4182" t="s">
        <v>13610</v>
      </c>
      <c r="W4182" t="s">
        <v>17732</v>
      </c>
      <c r="X4182">
        <v>9</v>
      </c>
      <c r="Y4182" t="s">
        <v>24319</v>
      </c>
      <c r="Z4182" t="s">
        <v>31037</v>
      </c>
      <c r="AA4182">
        <v>0.40644949032112732</v>
      </c>
      <c r="AB4182" t="str">
        <f>HYPERLINK("Melting_Curves/meltCurve_Q7RTV0_PHF5A.pdf", "Melting_Curves/meltCurve_Q7RTV0_PHF5A.pdf")</f>
        <v>Melting_Curves/meltCurve_Q7RTV0_PHF5A.pdf</v>
      </c>
    </row>
    <row r="4183" spans="1:28" x14ac:dyDescent="0.25">
      <c r="A4183" t="s">
        <v>4187</v>
      </c>
      <c r="B4183">
        <v>0.995954080203443</v>
      </c>
      <c r="C4183">
        <v>0.94173959153417297</v>
      </c>
      <c r="D4183">
        <v>0.76511612847678001</v>
      </c>
      <c r="E4183">
        <v>0.39556862411932697</v>
      </c>
      <c r="F4183">
        <v>0.137922840465344</v>
      </c>
      <c r="G4183">
        <v>8.4786487759231199E-2</v>
      </c>
      <c r="H4183">
        <v>5.2570475497291297E-2</v>
      </c>
      <c r="I4183">
        <v>4.5119413643270601E-2</v>
      </c>
      <c r="J4183">
        <v>4.7773965900613002E-2</v>
      </c>
      <c r="K4183">
        <v>4.8989303626133199E-2</v>
      </c>
      <c r="L4183">
        <v>1055.72992107306</v>
      </c>
      <c r="M4183">
        <v>21.767510713794401</v>
      </c>
      <c r="N4183">
        <v>48.695040703150802</v>
      </c>
      <c r="O4183">
        <v>48.096504969298799</v>
      </c>
      <c r="P4183">
        <v>-0.108430089189626</v>
      </c>
      <c r="Q4183">
        <v>4.1693728543468998E-2</v>
      </c>
      <c r="R4183">
        <v>0.99852073019959497</v>
      </c>
      <c r="S4183" t="s">
        <v>10989</v>
      </c>
      <c r="T4183" t="s">
        <v>13610</v>
      </c>
      <c r="U4183" t="s">
        <v>13610</v>
      </c>
      <c r="V4183" t="s">
        <v>13610</v>
      </c>
      <c r="W4183" t="s">
        <v>17733</v>
      </c>
      <c r="X4183">
        <v>9</v>
      </c>
      <c r="Y4183" t="s">
        <v>24320</v>
      </c>
      <c r="Z4183" t="s">
        <v>31038</v>
      </c>
      <c r="AA4183">
        <v>0.32453971270390641</v>
      </c>
      <c r="AB4183" t="str">
        <f>HYPERLINK("Melting_Curves/meltCurve_Q7Z2E3_3_APTX.pdf", "Melting_Curves/meltCurve_Q7Z2E3_3_APTX.pdf")</f>
        <v>Melting_Curves/meltCurve_Q7Z2E3_3_APTX.pdf</v>
      </c>
    </row>
    <row r="4184" spans="1:28" x14ac:dyDescent="0.25">
      <c r="A4184" t="s">
        <v>4188</v>
      </c>
      <c r="B4184">
        <v>0.995954080203443</v>
      </c>
      <c r="C4184">
        <v>0.89534265077076103</v>
      </c>
      <c r="D4184">
        <v>1.01456316173601</v>
      </c>
      <c r="E4184">
        <v>0.79017947552766599</v>
      </c>
      <c r="F4184">
        <v>0.83110248786670204</v>
      </c>
      <c r="G4184">
        <v>0.68316155852319005</v>
      </c>
      <c r="H4184">
        <v>0.68223011080249996</v>
      </c>
      <c r="I4184">
        <v>0.87950020671626605</v>
      </c>
      <c r="J4184">
        <v>1.0054077497976099</v>
      </c>
      <c r="K4184">
        <v>1.0303590254100801</v>
      </c>
      <c r="L4184">
        <v>11948.4980778598</v>
      </c>
      <c r="M4184">
        <v>250</v>
      </c>
      <c r="O4184">
        <v>47.790934244823298</v>
      </c>
      <c r="P4184">
        <v>-0.20514579502640301</v>
      </c>
      <c r="Q4184">
        <v>0.84313425438991396</v>
      </c>
      <c r="R4184">
        <v>0.190068152106077</v>
      </c>
      <c r="S4184" t="s">
        <v>10990</v>
      </c>
      <c r="T4184" t="s">
        <v>13610</v>
      </c>
      <c r="U4184" t="s">
        <v>13610</v>
      </c>
      <c r="V4184" t="s">
        <v>13610</v>
      </c>
      <c r="W4184" t="s">
        <v>17734</v>
      </c>
      <c r="X4184">
        <v>24</v>
      </c>
      <c r="Y4184" t="s">
        <v>24321</v>
      </c>
      <c r="Z4184" t="s">
        <v>31039</v>
      </c>
      <c r="AA4184">
        <v>0.88390109243696025</v>
      </c>
      <c r="AB4184" t="str">
        <f>HYPERLINK("Melting_Curves/meltCurve_Q7Z2K8_GPRIN1.pdf", "Melting_Curves/meltCurve_Q7Z2K8_GPRIN1.pdf")</f>
        <v>Melting_Curves/meltCurve_Q7Z2K8_GPRIN1.pdf</v>
      </c>
    </row>
    <row r="4185" spans="1:28" x14ac:dyDescent="0.25">
      <c r="A4185" t="s">
        <v>4189</v>
      </c>
      <c r="B4185">
        <v>0.995954080203443</v>
      </c>
      <c r="C4185">
        <v>0.84030410677359102</v>
      </c>
      <c r="D4185">
        <v>0.71994400964654603</v>
      </c>
      <c r="E4185">
        <v>0.64490959676158499</v>
      </c>
      <c r="F4185">
        <v>0.25674362745552098</v>
      </c>
      <c r="G4185">
        <v>9.6060595746518596E-2</v>
      </c>
      <c r="H4185">
        <v>5.74296767104059E-2</v>
      </c>
      <c r="I4185">
        <v>5.3422896090065897E-2</v>
      </c>
      <c r="J4185">
        <v>6.2667923706234405E-2</v>
      </c>
      <c r="K4185">
        <v>5.5732968022353099E-2</v>
      </c>
      <c r="L4185">
        <v>700.33808607287904</v>
      </c>
      <c r="M4185">
        <v>14.0047840671876</v>
      </c>
      <c r="N4185">
        <v>50.052702370351099</v>
      </c>
      <c r="O4185">
        <v>49.020567822256801</v>
      </c>
      <c r="P4185">
        <v>-7.0979214073079305E-2</v>
      </c>
      <c r="Q4185">
        <v>6.3448040203277897E-3</v>
      </c>
      <c r="R4185">
        <v>0.97043976432061996</v>
      </c>
      <c r="S4185" t="s">
        <v>10991</v>
      </c>
      <c r="T4185" t="s">
        <v>13610</v>
      </c>
      <c r="U4185" t="s">
        <v>13610</v>
      </c>
      <c r="V4185" t="s">
        <v>13610</v>
      </c>
      <c r="W4185" t="s">
        <v>17735</v>
      </c>
      <c r="X4185">
        <v>20</v>
      </c>
      <c r="Y4185" t="s">
        <v>24322</v>
      </c>
      <c r="Z4185" t="s">
        <v>31040</v>
      </c>
      <c r="AA4185">
        <v>0.36449462561471668</v>
      </c>
      <c r="AB4185" t="str">
        <f>HYPERLINK("Melting_Curves/meltCurve_Q7Z2T5_TRMT1L.pdf", "Melting_Curves/meltCurve_Q7Z2T5_TRMT1L.pdf")</f>
        <v>Melting_Curves/meltCurve_Q7Z2T5_TRMT1L.pdf</v>
      </c>
    </row>
    <row r="4186" spans="1:28" x14ac:dyDescent="0.25">
      <c r="A4186" t="s">
        <v>4190</v>
      </c>
      <c r="B4186">
        <v>0.995954080203443</v>
      </c>
      <c r="C4186">
        <v>0.97397881445543</v>
      </c>
      <c r="D4186">
        <v>0.725908815593311</v>
      </c>
      <c r="E4186">
        <v>0.50965831785876103</v>
      </c>
      <c r="F4186">
        <v>0.40786264602578898</v>
      </c>
      <c r="G4186">
        <v>0.25810275407439198</v>
      </c>
      <c r="H4186">
        <v>0.22688815762078199</v>
      </c>
      <c r="I4186">
        <v>0.26889312462133103</v>
      </c>
      <c r="J4186">
        <v>0.32283723029686601</v>
      </c>
      <c r="K4186">
        <v>0.310315380958742</v>
      </c>
      <c r="L4186">
        <v>925.58849583170297</v>
      </c>
      <c r="M4186">
        <v>19.3562340155773</v>
      </c>
      <c r="N4186">
        <v>49.873776984010497</v>
      </c>
      <c r="O4186">
        <v>47.3170191668871</v>
      </c>
      <c r="P4186">
        <v>-7.4168292513113701E-2</v>
      </c>
      <c r="Q4186">
        <v>0.27479872720103199</v>
      </c>
      <c r="R4186">
        <v>0.98104259879975397</v>
      </c>
      <c r="S4186" t="s">
        <v>10992</v>
      </c>
      <c r="T4186" t="s">
        <v>13610</v>
      </c>
      <c r="U4186" t="s">
        <v>13610</v>
      </c>
      <c r="V4186" t="s">
        <v>13610</v>
      </c>
      <c r="W4186" t="s">
        <v>17736</v>
      </c>
      <c r="X4186">
        <v>29</v>
      </c>
      <c r="Y4186" t="s">
        <v>24323</v>
      </c>
      <c r="Z4186" t="s">
        <v>31041</v>
      </c>
      <c r="AA4186">
        <v>0.47489679056402923</v>
      </c>
      <c r="AB4186" t="str">
        <f>HYPERLINK("Melting_Curves/meltCurve_Q7Z2W4_ZC3HAV1.pdf", "Melting_Curves/meltCurve_Q7Z2W4_ZC3HAV1.pdf")</f>
        <v>Melting_Curves/meltCurve_Q7Z2W4_ZC3HAV1.pdf</v>
      </c>
    </row>
    <row r="4187" spans="1:28" x14ac:dyDescent="0.25">
      <c r="A4187" t="s">
        <v>4191</v>
      </c>
      <c r="B4187">
        <v>0.995954080203443</v>
      </c>
      <c r="C4187">
        <v>0.925737529489291</v>
      </c>
      <c r="D4187">
        <v>0.82505909639675901</v>
      </c>
      <c r="E4187">
        <v>0.37988159059309401</v>
      </c>
      <c r="F4187">
        <v>0.17353503429631001</v>
      </c>
      <c r="G4187">
        <v>0.101213594997901</v>
      </c>
      <c r="H4187">
        <v>6.3543699938133302E-2</v>
      </c>
      <c r="I4187">
        <v>5.2724924715052399E-2</v>
      </c>
      <c r="J4187">
        <v>5.7772374898383702E-2</v>
      </c>
      <c r="K4187">
        <v>4.9072344982681398E-2</v>
      </c>
      <c r="L4187">
        <v>1134.3704714098501</v>
      </c>
      <c r="M4187">
        <v>23.3004636504266</v>
      </c>
      <c r="N4187">
        <v>48.927138437392799</v>
      </c>
      <c r="O4187">
        <v>48.330129638085403</v>
      </c>
      <c r="P4187">
        <v>-0.11395237230324599</v>
      </c>
      <c r="Q4187">
        <v>5.4571112656112197E-2</v>
      </c>
      <c r="R4187">
        <v>0.99861068139611198</v>
      </c>
      <c r="S4187" t="s">
        <v>10993</v>
      </c>
      <c r="T4187" t="s">
        <v>13610</v>
      </c>
      <c r="U4187" t="s">
        <v>13610</v>
      </c>
      <c r="V4187" t="s">
        <v>13610</v>
      </c>
      <c r="W4187" t="s">
        <v>17737</v>
      </c>
      <c r="X4187">
        <v>31</v>
      </c>
      <c r="Y4187" t="s">
        <v>24324</v>
      </c>
      <c r="Z4187" t="s">
        <v>31042</v>
      </c>
      <c r="AA4187">
        <v>0.33793797557631311</v>
      </c>
      <c r="AB4187" t="str">
        <f>HYPERLINK("Melting_Curves/meltCurve_Q7Z2Z2_EFTUD1.pdf", "Melting_Curves/meltCurve_Q7Z2Z2_EFTUD1.pdf")</f>
        <v>Melting_Curves/meltCurve_Q7Z2Z2_EFTUD1.pdf</v>
      </c>
    </row>
    <row r="4188" spans="1:28" x14ac:dyDescent="0.25">
      <c r="A4188" t="s">
        <v>4192</v>
      </c>
      <c r="B4188">
        <v>0.995954080203443</v>
      </c>
      <c r="C4188">
        <v>0.90350261452791103</v>
      </c>
      <c r="D4188">
        <v>0.88653975728146295</v>
      </c>
      <c r="E4188">
        <v>0.73262030681608803</v>
      </c>
      <c r="F4188">
        <v>0.61841151968044095</v>
      </c>
      <c r="G4188">
        <v>0.43660716374379699</v>
      </c>
      <c r="H4188">
        <v>0.33714835340456201</v>
      </c>
      <c r="I4188">
        <v>0.32557286962212101</v>
      </c>
      <c r="J4188">
        <v>0.39794019708060102</v>
      </c>
      <c r="K4188">
        <v>0.42370508187459099</v>
      </c>
      <c r="L4188">
        <v>773.47115825920002</v>
      </c>
      <c r="M4188">
        <v>15.178005181013701</v>
      </c>
      <c r="N4188">
        <v>55.296922492003702</v>
      </c>
      <c r="O4188">
        <v>50.099958785326599</v>
      </c>
      <c r="P4188">
        <v>-4.9390028632335797E-2</v>
      </c>
      <c r="Q4188">
        <v>0.34795136303901297</v>
      </c>
      <c r="R4188">
        <v>0.97075861432220001</v>
      </c>
      <c r="S4188" t="s">
        <v>10994</v>
      </c>
      <c r="T4188" t="s">
        <v>13610</v>
      </c>
      <c r="U4188" t="s">
        <v>13610</v>
      </c>
      <c r="V4188" t="s">
        <v>13610</v>
      </c>
      <c r="W4188" t="s">
        <v>17738</v>
      </c>
      <c r="X4188">
        <v>2</v>
      </c>
      <c r="Y4188" t="s">
        <v>24325</v>
      </c>
      <c r="Z4188" t="s">
        <v>31043</v>
      </c>
      <c r="AA4188">
        <v>0.60095778825016599</v>
      </c>
      <c r="AB4188" t="str">
        <f>HYPERLINK("Melting_Curves/meltCurve_Q7Z309_FAM122B.pdf", "Melting_Curves/meltCurve_Q7Z309_FAM122B.pdf")</f>
        <v>Melting_Curves/meltCurve_Q7Z309_FAM122B.pdf</v>
      </c>
    </row>
    <row r="4189" spans="1:28" x14ac:dyDescent="0.25">
      <c r="A4189" t="s">
        <v>4193</v>
      </c>
      <c r="B4189">
        <v>0.995954080203443</v>
      </c>
      <c r="C4189">
        <v>0.95364627529493895</v>
      </c>
      <c r="D4189">
        <v>1.0056801175641099</v>
      </c>
      <c r="E4189">
        <v>0.88169422126256602</v>
      </c>
      <c r="F4189">
        <v>0.82692627395118101</v>
      </c>
      <c r="G4189">
        <v>0.65910171057434297</v>
      </c>
      <c r="H4189">
        <v>0.55229460560525201</v>
      </c>
      <c r="I4189">
        <v>0.62581536751192002</v>
      </c>
      <c r="J4189">
        <v>0.68641438965510804</v>
      </c>
      <c r="K4189">
        <v>0.70667437182145398</v>
      </c>
      <c r="L4189">
        <v>1388.48977413744</v>
      </c>
      <c r="M4189">
        <v>26.564335508022101</v>
      </c>
      <c r="O4189">
        <v>51.975438184713603</v>
      </c>
      <c r="P4189">
        <v>-4.5959401871643803E-2</v>
      </c>
      <c r="Q4189">
        <v>0.64030954552142205</v>
      </c>
      <c r="R4189">
        <v>0.91283748477475701</v>
      </c>
      <c r="S4189" t="s">
        <v>10995</v>
      </c>
      <c r="T4189" t="s">
        <v>13610</v>
      </c>
      <c r="U4189" t="s">
        <v>13610</v>
      </c>
      <c r="V4189" t="s">
        <v>13610</v>
      </c>
      <c r="W4189" t="s">
        <v>17739</v>
      </c>
      <c r="X4189">
        <v>18</v>
      </c>
      <c r="Y4189" t="s">
        <v>24326</v>
      </c>
      <c r="Z4189" t="s">
        <v>31044</v>
      </c>
      <c r="AA4189">
        <v>0.79033905821040329</v>
      </c>
      <c r="AB4189" t="str">
        <f>HYPERLINK("Melting_Curves/meltCurve_Q7Z333_3_SETX.pdf", "Melting_Curves/meltCurve_Q7Z333_3_SETX.pdf")</f>
        <v>Melting_Curves/meltCurve_Q7Z333_3_SETX.pdf</v>
      </c>
    </row>
    <row r="4190" spans="1:28" x14ac:dyDescent="0.25">
      <c r="A4190" t="s">
        <v>4194</v>
      </c>
      <c r="B4190">
        <v>0.995954080203443</v>
      </c>
      <c r="C4190">
        <v>0.76005353929019503</v>
      </c>
      <c r="D4190">
        <v>0.51179925578286101</v>
      </c>
      <c r="E4190">
        <v>0.387028845429292</v>
      </c>
      <c r="F4190">
        <v>0.11900917144345501</v>
      </c>
      <c r="G4190">
        <v>7.2566473959552694E-2</v>
      </c>
      <c r="H4190">
        <v>4.7898028694058098E-2</v>
      </c>
      <c r="I4190">
        <v>4.0161698605753401E-2</v>
      </c>
      <c r="J4190">
        <v>4.6395621549245203E-2</v>
      </c>
      <c r="K4190">
        <v>3.9800679272427503E-2</v>
      </c>
      <c r="L4190">
        <v>680.86351200239005</v>
      </c>
      <c r="M4190">
        <v>14.592364055869</v>
      </c>
      <c r="N4190">
        <v>46.816345842704898</v>
      </c>
      <c r="O4190">
        <v>45.808874113186398</v>
      </c>
      <c r="P4190">
        <v>-7.7738886125822498E-2</v>
      </c>
      <c r="Q4190">
        <v>2.39465453399412E-2</v>
      </c>
      <c r="R4190">
        <v>0.980717247279559</v>
      </c>
      <c r="S4190" t="s">
        <v>10996</v>
      </c>
      <c r="T4190" t="s">
        <v>13610</v>
      </c>
      <c r="U4190" t="s">
        <v>13610</v>
      </c>
      <c r="V4190" t="s">
        <v>13610</v>
      </c>
      <c r="W4190" t="s">
        <v>17740</v>
      </c>
      <c r="X4190">
        <v>16</v>
      </c>
      <c r="Y4190" t="s">
        <v>24327</v>
      </c>
      <c r="Z4190" t="s">
        <v>31045</v>
      </c>
      <c r="AA4190">
        <v>0.26930096963068889</v>
      </c>
      <c r="AB4190" t="str">
        <f>HYPERLINK("Melting_Curves/meltCurve_Q7Z392_TRAPPC11.pdf", "Melting_Curves/meltCurve_Q7Z392_TRAPPC11.pdf")</f>
        <v>Melting_Curves/meltCurve_Q7Z392_TRAPPC11.pdf</v>
      </c>
    </row>
    <row r="4191" spans="1:28" x14ac:dyDescent="0.25">
      <c r="A4191" t="s">
        <v>4195</v>
      </c>
      <c r="B4191">
        <v>0.995954080203443</v>
      </c>
      <c r="C4191">
        <v>0.85492850644590501</v>
      </c>
      <c r="D4191">
        <v>0.635128093853909</v>
      </c>
      <c r="E4191">
        <v>0.47410805315285598</v>
      </c>
      <c r="F4191">
        <v>0.35274053969035601</v>
      </c>
      <c r="G4191">
        <v>0.244193855802884</v>
      </c>
      <c r="H4191">
        <v>0.20432637483275401</v>
      </c>
      <c r="I4191">
        <v>0.23065562625602501</v>
      </c>
      <c r="J4191">
        <v>0.28490303392830102</v>
      </c>
      <c r="K4191">
        <v>0.26067396953232402</v>
      </c>
      <c r="L4191">
        <v>755.20755604606302</v>
      </c>
      <c r="M4191">
        <v>16.136901341466199</v>
      </c>
      <c r="N4191">
        <v>48.726142588362102</v>
      </c>
      <c r="O4191">
        <v>46.099019938256397</v>
      </c>
      <c r="P4191">
        <v>-6.6882401768817198E-2</v>
      </c>
      <c r="Q4191">
        <v>0.23579399428341599</v>
      </c>
      <c r="R4191">
        <v>0.98509920232926296</v>
      </c>
      <c r="S4191" t="s">
        <v>10997</v>
      </c>
      <c r="T4191" t="s">
        <v>13610</v>
      </c>
      <c r="U4191" t="s">
        <v>13610</v>
      </c>
      <c r="V4191" t="s">
        <v>13610</v>
      </c>
      <c r="W4191" t="s">
        <v>17741</v>
      </c>
      <c r="X4191">
        <v>11</v>
      </c>
      <c r="Y4191" t="s">
        <v>24328</v>
      </c>
      <c r="Z4191" t="s">
        <v>31046</v>
      </c>
      <c r="AA4191">
        <v>0.42705559478341648</v>
      </c>
      <c r="AB4191" t="str">
        <f>HYPERLINK("Melting_Curves/meltCurve_Q7Z3B3_KANSL1.pdf", "Melting_Curves/meltCurve_Q7Z3B3_KANSL1.pdf")</f>
        <v>Melting_Curves/meltCurve_Q7Z3B3_KANSL1.pdf</v>
      </c>
    </row>
    <row r="4192" spans="1:28" x14ac:dyDescent="0.25">
      <c r="A4192" t="s">
        <v>4196</v>
      </c>
      <c r="B4192">
        <v>0.995954080203443</v>
      </c>
      <c r="C4192">
        <v>1.0157529704530599</v>
      </c>
      <c r="D4192">
        <v>0.929624777433254</v>
      </c>
      <c r="E4192">
        <v>0.88560489017820399</v>
      </c>
      <c r="F4192">
        <v>0.71287333702035005</v>
      </c>
      <c r="G4192">
        <v>0.48665596102039099</v>
      </c>
      <c r="H4192">
        <v>0.384176814229166</v>
      </c>
      <c r="I4192">
        <v>0.391634582590066</v>
      </c>
      <c r="J4192">
        <v>0.47011720167073101</v>
      </c>
      <c r="K4192">
        <v>0.406286122234855</v>
      </c>
      <c r="L4192">
        <v>1324.9868414233599</v>
      </c>
      <c r="M4192">
        <v>25.029942335181701</v>
      </c>
      <c r="N4192">
        <v>56.713032089194499</v>
      </c>
      <c r="O4192">
        <v>52.601646797251199</v>
      </c>
      <c r="P4192">
        <v>-7.0712154391976298E-2</v>
      </c>
      <c r="Q4192">
        <v>0.405587788899755</v>
      </c>
      <c r="R4192">
        <v>0.98469001439050796</v>
      </c>
      <c r="S4192" t="s">
        <v>10998</v>
      </c>
      <c r="T4192" t="s">
        <v>13610</v>
      </c>
      <c r="U4192" t="s">
        <v>13610</v>
      </c>
      <c r="V4192" t="s">
        <v>13610</v>
      </c>
      <c r="W4192" t="s">
        <v>17742</v>
      </c>
      <c r="X4192">
        <v>2</v>
      </c>
      <c r="Y4192" t="s">
        <v>24329</v>
      </c>
      <c r="Z4192" t="s">
        <v>31047</v>
      </c>
      <c r="AA4192">
        <v>0.66735783168282814</v>
      </c>
      <c r="AB4192" t="str">
        <f>HYPERLINK("Melting_Curves/meltCurve_Q7Z3D4_LYSMD3.pdf", "Melting_Curves/meltCurve_Q7Z3D4_LYSMD3.pdf")</f>
        <v>Melting_Curves/meltCurve_Q7Z3D4_LYSMD3.pdf</v>
      </c>
    </row>
    <row r="4193" spans="1:28" x14ac:dyDescent="0.25">
      <c r="A4193" t="s">
        <v>4197</v>
      </c>
      <c r="B4193">
        <v>0.995954080203443</v>
      </c>
      <c r="C4193">
        <v>1.02164301118039</v>
      </c>
      <c r="D4193">
        <v>1.0141324476898901</v>
      </c>
      <c r="E4193">
        <v>0.95866187531036895</v>
      </c>
      <c r="F4193">
        <v>0.80070235279758295</v>
      </c>
      <c r="G4193">
        <v>0.578389955713149</v>
      </c>
      <c r="H4193">
        <v>0.55941173431323299</v>
      </c>
      <c r="I4193">
        <v>0.65902311185779705</v>
      </c>
      <c r="J4193">
        <v>0.83243366339916602</v>
      </c>
      <c r="K4193">
        <v>0.72624089890145604</v>
      </c>
      <c r="L4193">
        <v>3052.7836518279601</v>
      </c>
      <c r="M4193">
        <v>58.155351761389902</v>
      </c>
      <c r="O4193">
        <v>52.431635023710903</v>
      </c>
      <c r="P4193">
        <v>-9.1072073216055399E-2</v>
      </c>
      <c r="Q4193">
        <v>0.67156553371187799</v>
      </c>
      <c r="R4193">
        <v>0.81953986378337296</v>
      </c>
      <c r="S4193" t="s">
        <v>10999</v>
      </c>
      <c r="T4193" t="s">
        <v>13610</v>
      </c>
      <c r="U4193" t="s">
        <v>13610</v>
      </c>
      <c r="V4193" t="s">
        <v>13610</v>
      </c>
      <c r="W4193" t="s">
        <v>17743</v>
      </c>
      <c r="X4193">
        <v>5</v>
      </c>
      <c r="Y4193" t="s">
        <v>24330</v>
      </c>
      <c r="Z4193" t="s">
        <v>31048</v>
      </c>
      <c r="AA4193">
        <v>0.80890446285508733</v>
      </c>
      <c r="AB4193" t="str">
        <f>HYPERLINK("Melting_Curves/meltCurve_Q7Z3E2_C10orf118.pdf", "Melting_Curves/meltCurve_Q7Z3E2_C10orf118.pdf")</f>
        <v>Melting_Curves/meltCurve_Q7Z3E2_C10orf118.pdf</v>
      </c>
    </row>
    <row r="4194" spans="1:28" x14ac:dyDescent="0.25">
      <c r="A4194" t="s">
        <v>4198</v>
      </c>
      <c r="B4194">
        <v>0.995954080203443</v>
      </c>
      <c r="C4194">
        <v>0.73940535601948298</v>
      </c>
      <c r="D4194">
        <v>0.480525098244243</v>
      </c>
      <c r="E4194">
        <v>0.46993743952365402</v>
      </c>
      <c r="F4194">
        <v>0.158404577208201</v>
      </c>
      <c r="G4194">
        <v>9.7061277266026702E-2</v>
      </c>
      <c r="H4194">
        <v>5.6909452634840499E-2</v>
      </c>
      <c r="I4194">
        <v>4.8063491132747202E-2</v>
      </c>
      <c r="J4194">
        <v>4.8403270244151801E-2</v>
      </c>
      <c r="K4194">
        <v>4.6492472041593499E-2</v>
      </c>
      <c r="L4194">
        <v>586.20547279916104</v>
      </c>
      <c r="M4194">
        <v>12.4771936875454</v>
      </c>
      <c r="N4194">
        <v>47.1190906088178</v>
      </c>
      <c r="O4194">
        <v>45.824301894403803</v>
      </c>
      <c r="P4194">
        <v>-6.6872789027389801E-2</v>
      </c>
      <c r="Q4194">
        <v>1.78039007058877E-2</v>
      </c>
      <c r="R4194">
        <v>0.96065125411739105</v>
      </c>
      <c r="S4194" t="s">
        <v>11000</v>
      </c>
      <c r="T4194" t="s">
        <v>13610</v>
      </c>
      <c r="U4194" t="s">
        <v>13610</v>
      </c>
      <c r="V4194" t="s">
        <v>13610</v>
      </c>
      <c r="W4194" t="s">
        <v>17744</v>
      </c>
      <c r="X4194">
        <v>17</v>
      </c>
      <c r="Y4194" t="s">
        <v>24331</v>
      </c>
      <c r="Z4194" t="s">
        <v>31049</v>
      </c>
      <c r="AA4194">
        <v>0.28480923082758353</v>
      </c>
      <c r="AB4194" t="str">
        <f>HYPERLINK("Melting_Curves/meltCurve_Q7Z3J2_C16orf62.pdf", "Melting_Curves/meltCurve_Q7Z3J2_C16orf62.pdf")</f>
        <v>Melting_Curves/meltCurve_Q7Z3J2_C16orf62.pdf</v>
      </c>
    </row>
    <row r="4195" spans="1:28" x14ac:dyDescent="0.25">
      <c r="A4195" t="s">
        <v>4199</v>
      </c>
      <c r="B4195">
        <v>0.995954080203443</v>
      </c>
      <c r="C4195">
        <v>0.99401036536431098</v>
      </c>
      <c r="D4195">
        <v>0.80448175288108903</v>
      </c>
      <c r="E4195">
        <v>0.57591374125204198</v>
      </c>
      <c r="F4195">
        <v>0.27314866243635699</v>
      </c>
      <c r="G4195">
        <v>0.16619489537608201</v>
      </c>
      <c r="H4195">
        <v>0.10768727365979699</v>
      </c>
      <c r="I4195">
        <v>0.100836412338644</v>
      </c>
      <c r="J4195">
        <v>9.9222102923413796E-2</v>
      </c>
      <c r="K4195">
        <v>9.3557265855762406E-2</v>
      </c>
      <c r="L4195">
        <v>963.82044082745801</v>
      </c>
      <c r="M4195">
        <v>19.3269964535402</v>
      </c>
      <c r="N4195">
        <v>50.366023525738001</v>
      </c>
      <c r="O4195">
        <v>49.3444423266345</v>
      </c>
      <c r="P4195">
        <v>-8.9422891633069601E-2</v>
      </c>
      <c r="Q4195">
        <v>8.6799015644414598E-2</v>
      </c>
      <c r="R4195">
        <v>0.995235745133632</v>
      </c>
      <c r="S4195" t="s">
        <v>11001</v>
      </c>
      <c r="T4195" t="s">
        <v>13610</v>
      </c>
      <c r="U4195" t="s">
        <v>13610</v>
      </c>
      <c r="V4195" t="s">
        <v>13610</v>
      </c>
      <c r="W4195" t="s">
        <v>17745</v>
      </c>
      <c r="X4195">
        <v>21</v>
      </c>
      <c r="Y4195" t="s">
        <v>24332</v>
      </c>
      <c r="Z4195" t="s">
        <v>31050</v>
      </c>
      <c r="AA4195">
        <v>0.40081519146144728</v>
      </c>
      <c r="AB4195" t="str">
        <f>HYPERLINK("Melting_Curves/meltCurve_Q7Z3K3_5_POGZ.pdf", "Melting_Curves/meltCurve_Q7Z3K3_5_POGZ.pdf")</f>
        <v>Melting_Curves/meltCurve_Q7Z3K3_5_POGZ.pdf</v>
      </c>
    </row>
    <row r="4196" spans="1:28" x14ac:dyDescent="0.25">
      <c r="A4196" t="s">
        <v>4200</v>
      </c>
      <c r="B4196">
        <v>0.995954080203443</v>
      </c>
      <c r="C4196">
        <v>0.86504093900922296</v>
      </c>
      <c r="D4196">
        <v>0.54849259428180297</v>
      </c>
      <c r="E4196">
        <v>0.32256864257283802</v>
      </c>
      <c r="F4196">
        <v>0.17531380760575099</v>
      </c>
      <c r="G4196">
        <v>0.105746042657372</v>
      </c>
      <c r="H4196">
        <v>6.0685131603473601E-2</v>
      </c>
      <c r="I4196">
        <v>4.0356979168997199E-2</v>
      </c>
      <c r="J4196">
        <v>6.1493593817726601E-2</v>
      </c>
      <c r="K4196">
        <v>5.6019202956400803E-2</v>
      </c>
      <c r="L4196">
        <v>804.44631263347196</v>
      </c>
      <c r="M4196">
        <v>17.1712290330107</v>
      </c>
      <c r="N4196">
        <v>47.152463675556803</v>
      </c>
      <c r="O4196">
        <v>46.226971116602698</v>
      </c>
      <c r="P4196">
        <v>-8.8003897564648007E-2</v>
      </c>
      <c r="Q4196">
        <v>5.2389284992470003E-2</v>
      </c>
      <c r="R4196">
        <v>0.99392803348649295</v>
      </c>
      <c r="S4196" t="s">
        <v>11002</v>
      </c>
      <c r="T4196" t="s">
        <v>13610</v>
      </c>
      <c r="U4196" t="s">
        <v>13610</v>
      </c>
      <c r="V4196" t="s">
        <v>13610</v>
      </c>
      <c r="W4196" t="s">
        <v>17746</v>
      </c>
      <c r="X4196">
        <v>4</v>
      </c>
      <c r="Y4196" t="s">
        <v>24333</v>
      </c>
      <c r="Z4196" t="s">
        <v>31051</v>
      </c>
      <c r="AA4196">
        <v>0.28823476761663169</v>
      </c>
      <c r="AB4196" t="str">
        <f>HYPERLINK("Melting_Curves/meltCurve_Q7Z3K6_4_MIER3.pdf", "Melting_Curves/meltCurve_Q7Z3K6_4_MIER3.pdf")</f>
        <v>Melting_Curves/meltCurve_Q7Z3K6_4_MIER3.pdf</v>
      </c>
    </row>
    <row r="4197" spans="1:28" x14ac:dyDescent="0.25">
      <c r="A4197" t="s">
        <v>4201</v>
      </c>
      <c r="B4197">
        <v>0.995954080203443</v>
      </c>
      <c r="C4197">
        <v>1.02678724675347</v>
      </c>
      <c r="D4197">
        <v>1.0165190450195001</v>
      </c>
      <c r="E4197">
        <v>0.92820925386116704</v>
      </c>
      <c r="F4197">
        <v>0.75601723526405296</v>
      </c>
      <c r="G4197">
        <v>0.475552062591378</v>
      </c>
      <c r="H4197">
        <v>0.43462248354280297</v>
      </c>
      <c r="I4197">
        <v>0.49027696953481098</v>
      </c>
      <c r="J4197">
        <v>0.573854021120074</v>
      </c>
      <c r="K4197">
        <v>0.56450615741516996</v>
      </c>
      <c r="L4197">
        <v>2384.1488185664098</v>
      </c>
      <c r="M4197">
        <v>45.0964545883593</v>
      </c>
      <c r="O4197">
        <v>52.764129612241497</v>
      </c>
      <c r="P4197">
        <v>-0.105653166039635</v>
      </c>
      <c r="Q4197">
        <v>0.50553191572837997</v>
      </c>
      <c r="R4197">
        <v>0.96568741328073704</v>
      </c>
      <c r="S4197" t="s">
        <v>11003</v>
      </c>
      <c r="T4197" t="s">
        <v>13610</v>
      </c>
      <c r="U4197" t="s">
        <v>13610</v>
      </c>
      <c r="V4197" t="s">
        <v>13610</v>
      </c>
      <c r="W4197" t="s">
        <v>17747</v>
      </c>
      <c r="X4197">
        <v>31</v>
      </c>
      <c r="Y4197" t="s">
        <v>24334</v>
      </c>
      <c r="Z4197" t="s">
        <v>31052</v>
      </c>
      <c r="AA4197">
        <v>0.71904067853855713</v>
      </c>
      <c r="AB4197" t="str">
        <f>HYPERLINK("Melting_Curves/meltCurve_Q7Z3T8_ZFYVE16.pdf", "Melting_Curves/meltCurve_Q7Z3T8_ZFYVE16.pdf")</f>
        <v>Melting_Curves/meltCurve_Q7Z3T8_ZFYVE16.pdf</v>
      </c>
    </row>
    <row r="4198" spans="1:28" x14ac:dyDescent="0.25">
      <c r="A4198" t="s">
        <v>4202</v>
      </c>
      <c r="B4198">
        <v>0.995954080203443</v>
      </c>
      <c r="C4198">
        <v>0.91195531711218303</v>
      </c>
      <c r="D4198">
        <v>0.83504303174576</v>
      </c>
      <c r="E4198">
        <v>0.65791296254946996</v>
      </c>
      <c r="F4198">
        <v>0.31759074514481</v>
      </c>
      <c r="G4198">
        <v>0.20466001164931599</v>
      </c>
      <c r="H4198">
        <v>0.12426745315677799</v>
      </c>
      <c r="I4198">
        <v>0.123523944987262</v>
      </c>
      <c r="J4198">
        <v>0.121109033770402</v>
      </c>
      <c r="K4198">
        <v>0.122239627330538</v>
      </c>
      <c r="L4198">
        <v>903.11953926127399</v>
      </c>
      <c r="M4198">
        <v>17.892182166658099</v>
      </c>
      <c r="N4198">
        <v>51.121342282670597</v>
      </c>
      <c r="O4198">
        <v>49.857788685398098</v>
      </c>
      <c r="P4198">
        <v>-8.06466249795708E-2</v>
      </c>
      <c r="Q4198">
        <v>0.101136082583764</v>
      </c>
      <c r="R4198">
        <v>0.99030648823724399</v>
      </c>
      <c r="S4198" t="s">
        <v>11004</v>
      </c>
      <c r="T4198" t="s">
        <v>13610</v>
      </c>
      <c r="U4198" t="s">
        <v>13610</v>
      </c>
      <c r="V4198" t="s">
        <v>13610</v>
      </c>
      <c r="W4198" t="s">
        <v>17748</v>
      </c>
      <c r="X4198">
        <v>7</v>
      </c>
      <c r="Y4198" t="s">
        <v>24335</v>
      </c>
      <c r="Z4198" t="s">
        <v>31053</v>
      </c>
      <c r="AA4198">
        <v>0.43041791994461998</v>
      </c>
      <c r="AB4198" t="str">
        <f>HYPERLINK("Melting_Curves/meltCurve_Q7Z3V4_UBE3B.pdf", "Melting_Curves/meltCurve_Q7Z3V4_UBE3B.pdf")</f>
        <v>Melting_Curves/meltCurve_Q7Z3V4_UBE3B.pdf</v>
      </c>
    </row>
    <row r="4199" spans="1:28" x14ac:dyDescent="0.25">
      <c r="A4199" t="s">
        <v>4203</v>
      </c>
      <c r="B4199">
        <v>0.995954080203443</v>
      </c>
      <c r="C4199">
        <v>1.1724917992274699</v>
      </c>
      <c r="D4199">
        <v>1.0363285020139501</v>
      </c>
      <c r="E4199">
        <v>1.03799697791975</v>
      </c>
      <c r="F4199">
        <v>0.83104186222708998</v>
      </c>
      <c r="G4199">
        <v>0.51338671216023901</v>
      </c>
      <c r="H4199">
        <v>0.26084532834558499</v>
      </c>
      <c r="I4199">
        <v>0.15752087693140299</v>
      </c>
      <c r="J4199">
        <v>8.3552532415370001E-2</v>
      </c>
      <c r="K4199">
        <v>7.6330437027624307E-2</v>
      </c>
      <c r="L4199">
        <v>1300.9328632537299</v>
      </c>
      <c r="M4199">
        <v>22.855409624152902</v>
      </c>
      <c r="N4199">
        <v>57.312684913477497</v>
      </c>
      <c r="O4199">
        <v>56.489756018553201</v>
      </c>
      <c r="P4199">
        <v>-9.3821701833841101E-2</v>
      </c>
      <c r="Q4199">
        <v>7.2453677733220395E-2</v>
      </c>
      <c r="R4199">
        <v>0.97785467177841401</v>
      </c>
      <c r="S4199" t="s">
        <v>11005</v>
      </c>
      <c r="T4199" t="s">
        <v>13610</v>
      </c>
      <c r="U4199" t="s">
        <v>13610</v>
      </c>
      <c r="V4199" t="s">
        <v>13610</v>
      </c>
      <c r="W4199" t="s">
        <v>17749</v>
      </c>
      <c r="X4199">
        <v>1</v>
      </c>
      <c r="Y4199" t="s">
        <v>24336</v>
      </c>
      <c r="Z4199" t="s">
        <v>31054</v>
      </c>
      <c r="AA4199">
        <v>0.60516546299607454</v>
      </c>
      <c r="AB4199" t="str">
        <f>HYPERLINK("Melting_Curves/meltCurve_Q7Z3Z2_RD3.pdf", "Melting_Curves/meltCurve_Q7Z3Z2_RD3.pdf")</f>
        <v>Melting_Curves/meltCurve_Q7Z3Z2_RD3.pdf</v>
      </c>
    </row>
    <row r="4200" spans="1:28" x14ac:dyDescent="0.25">
      <c r="A4200" t="s">
        <v>4204</v>
      </c>
      <c r="B4200">
        <v>0.995954080203443</v>
      </c>
      <c r="C4200">
        <v>1.0181613659447399</v>
      </c>
      <c r="D4200">
        <v>0.96381892822996595</v>
      </c>
      <c r="E4200">
        <v>0.81681592444282503</v>
      </c>
      <c r="F4200">
        <v>0.47867129425075999</v>
      </c>
      <c r="G4200">
        <v>0.23738344208470899</v>
      </c>
      <c r="H4200">
        <v>0.12829091579506699</v>
      </c>
      <c r="I4200">
        <v>8.1960843420935597E-2</v>
      </c>
      <c r="J4200">
        <v>6.6198378242830397E-2</v>
      </c>
      <c r="K4200">
        <v>6.6556266604643297E-2</v>
      </c>
      <c r="L4200">
        <v>1199.1603495177401</v>
      </c>
      <c r="M4200">
        <v>22.7367039415766</v>
      </c>
      <c r="N4200">
        <v>53.097116648663899</v>
      </c>
      <c r="O4200">
        <v>52.3382660691735</v>
      </c>
      <c r="P4200">
        <v>-0.10093015886538</v>
      </c>
      <c r="Q4200">
        <v>7.0682183611020397E-2</v>
      </c>
      <c r="R4200">
        <v>0.99801626007280797</v>
      </c>
      <c r="S4200" t="s">
        <v>11006</v>
      </c>
      <c r="T4200" t="s">
        <v>13610</v>
      </c>
      <c r="U4200" t="s">
        <v>13610</v>
      </c>
      <c r="V4200" t="s">
        <v>13610</v>
      </c>
      <c r="W4200" t="s">
        <v>17750</v>
      </c>
      <c r="X4200">
        <v>12</v>
      </c>
      <c r="Y4200" t="s">
        <v>24337</v>
      </c>
      <c r="Z4200" t="s">
        <v>31055</v>
      </c>
      <c r="AA4200">
        <v>0.4755590730721122</v>
      </c>
      <c r="AB4200" t="str">
        <f>HYPERLINK("Melting_Curves/meltCurve_Q7Z401_DENND4A.pdf", "Melting_Curves/meltCurve_Q7Z401_DENND4A.pdf")</f>
        <v>Melting_Curves/meltCurve_Q7Z401_DENND4A.pdf</v>
      </c>
    </row>
    <row r="4201" spans="1:28" x14ac:dyDescent="0.25">
      <c r="A4201" t="s">
        <v>4205</v>
      </c>
      <c r="B4201">
        <v>0.995954080203443</v>
      </c>
      <c r="C4201">
        <v>0.72415443392171897</v>
      </c>
      <c r="D4201">
        <v>0.57676639134730601</v>
      </c>
      <c r="E4201">
        <v>0.81956385450013503</v>
      </c>
      <c r="F4201">
        <v>0.159949544648473</v>
      </c>
      <c r="G4201">
        <v>5.9695027029636E-2</v>
      </c>
      <c r="H4201">
        <v>2.9936957865409002E-2</v>
      </c>
      <c r="I4201">
        <v>2.32778633242487E-2</v>
      </c>
      <c r="J4201">
        <v>2.2699626055095099E-2</v>
      </c>
      <c r="K4201">
        <v>2.0507798894637601E-2</v>
      </c>
      <c r="L4201">
        <v>612.40071723902702</v>
      </c>
      <c r="M4201">
        <v>12.4162148830695</v>
      </c>
      <c r="N4201">
        <v>49.322657740716103</v>
      </c>
      <c r="O4201">
        <v>48.0956041366221</v>
      </c>
      <c r="P4201">
        <v>-6.4552844570605894E-2</v>
      </c>
      <c r="Q4201">
        <v>0</v>
      </c>
      <c r="R4201">
        <v>0.85192100647148605</v>
      </c>
      <c r="S4201" t="s">
        <v>11007</v>
      </c>
      <c r="T4201" t="s">
        <v>13610</v>
      </c>
      <c r="U4201" t="s">
        <v>13610</v>
      </c>
      <c r="V4201" t="s">
        <v>13610</v>
      </c>
      <c r="W4201" t="s">
        <v>17751</v>
      </c>
      <c r="X4201">
        <v>18</v>
      </c>
      <c r="Y4201" t="s">
        <v>24338</v>
      </c>
      <c r="Z4201" t="s">
        <v>31056</v>
      </c>
      <c r="AA4201">
        <v>0.34480710243031359</v>
      </c>
      <c r="AB4201" t="str">
        <f>HYPERLINK("Melting_Curves/meltCurve_Q7Z406_MYH14.pdf", "Melting_Curves/meltCurve_Q7Z406_MYH14.pdf")</f>
        <v>Melting_Curves/meltCurve_Q7Z406_MYH14.pdf</v>
      </c>
    </row>
    <row r="4202" spans="1:28" x14ac:dyDescent="0.25">
      <c r="A4202" t="s">
        <v>4206</v>
      </c>
      <c r="B4202">
        <v>0.995954080203443</v>
      </c>
      <c r="C4202">
        <v>1.0063219462103301</v>
      </c>
      <c r="D4202">
        <v>0.99358251836099998</v>
      </c>
      <c r="E4202">
        <v>0.91612670681666697</v>
      </c>
      <c r="F4202">
        <v>0.88834938481300896</v>
      </c>
      <c r="G4202">
        <v>0.71027771282246999</v>
      </c>
      <c r="H4202">
        <v>0.72477780184082397</v>
      </c>
      <c r="I4202">
        <v>0.90803589044604405</v>
      </c>
      <c r="J4202">
        <v>1.1196263277269201</v>
      </c>
      <c r="K4202">
        <v>1.1006229105965799</v>
      </c>
      <c r="L4202">
        <v>3102.3363394452699</v>
      </c>
      <c r="M4202">
        <v>64.730361787031399</v>
      </c>
      <c r="O4202">
        <v>47.881372851912403</v>
      </c>
      <c r="P4202">
        <v>-3.0817852946767001E-2</v>
      </c>
      <c r="Q4202">
        <v>0.90881552297405599</v>
      </c>
      <c r="R4202">
        <v>9.7153183107136096E-2</v>
      </c>
      <c r="S4202" t="s">
        <v>11008</v>
      </c>
      <c r="T4202" t="s">
        <v>13610</v>
      </c>
      <c r="U4202" t="s">
        <v>13610</v>
      </c>
      <c r="V4202" t="s">
        <v>13610</v>
      </c>
      <c r="W4202" t="s">
        <v>17752</v>
      </c>
      <c r="X4202">
        <v>23</v>
      </c>
      <c r="Y4202" t="s">
        <v>24339</v>
      </c>
      <c r="Z4202" t="s">
        <v>31057</v>
      </c>
      <c r="AA4202">
        <v>0.93302446497539193</v>
      </c>
      <c r="AB4202" t="str">
        <f>HYPERLINK("Melting_Curves/meltCurve_Q7Z417_NUFIP2.pdf", "Melting_Curves/meltCurve_Q7Z417_NUFIP2.pdf")</f>
        <v>Melting_Curves/meltCurve_Q7Z417_NUFIP2.pdf</v>
      </c>
    </row>
    <row r="4203" spans="1:28" x14ac:dyDescent="0.25">
      <c r="A4203" t="s">
        <v>4207</v>
      </c>
      <c r="B4203">
        <v>0.995954080203443</v>
      </c>
      <c r="C4203">
        <v>1.01070882786426</v>
      </c>
      <c r="D4203">
        <v>1.04213530630948</v>
      </c>
      <c r="E4203">
        <v>0.95539284286145398</v>
      </c>
      <c r="F4203">
        <v>1.0057371615323301</v>
      </c>
      <c r="G4203">
        <v>0.751975059468597</v>
      </c>
      <c r="H4203">
        <v>0.76741409239970704</v>
      </c>
      <c r="I4203">
        <v>0.90146417916775401</v>
      </c>
      <c r="J4203">
        <v>1.23372716289137</v>
      </c>
      <c r="K4203">
        <v>1.0560668981928401</v>
      </c>
      <c r="L4203">
        <v>2562.57008447823</v>
      </c>
      <c r="M4203">
        <v>38.7045452049787</v>
      </c>
      <c r="O4203">
        <v>66.032506331442093</v>
      </c>
      <c r="P4203">
        <v>1.8074102302056801E-2</v>
      </c>
      <c r="Q4203">
        <v>1.12334214052243</v>
      </c>
      <c r="R4203">
        <v>7.8991084241033793E-2</v>
      </c>
      <c r="S4203" t="s">
        <v>11009</v>
      </c>
      <c r="T4203" t="s">
        <v>13610</v>
      </c>
      <c r="U4203" t="s">
        <v>13610</v>
      </c>
      <c r="V4203" t="s">
        <v>13610</v>
      </c>
      <c r="W4203" t="s">
        <v>17753</v>
      </c>
      <c r="X4203">
        <v>7</v>
      </c>
      <c r="Y4203" t="s">
        <v>24340</v>
      </c>
      <c r="Z4203" t="s">
        <v>31058</v>
      </c>
      <c r="AA4203">
        <v>1.0159522450227889</v>
      </c>
      <c r="AB4203" t="str">
        <f>HYPERLINK("Melting_Curves/meltCurve_Q7Z422_2_SZRD1.pdf", "Melting_Curves/meltCurve_Q7Z422_2_SZRD1.pdf")</f>
        <v>Melting_Curves/meltCurve_Q7Z422_2_SZRD1.pdf</v>
      </c>
    </row>
    <row r="4204" spans="1:28" x14ac:dyDescent="0.25">
      <c r="A4204" t="s">
        <v>4208</v>
      </c>
      <c r="B4204">
        <v>0.995954080203443</v>
      </c>
      <c r="C4204">
        <v>0.95872838383651304</v>
      </c>
      <c r="D4204">
        <v>1.1815302968913</v>
      </c>
      <c r="E4204">
        <v>0.869360073220385</v>
      </c>
      <c r="F4204">
        <v>1.0908345143564799</v>
      </c>
      <c r="G4204">
        <v>0.795818207029928</v>
      </c>
      <c r="H4204">
        <v>0.62585307093403098</v>
      </c>
      <c r="I4204">
        <v>0.68758372321896899</v>
      </c>
      <c r="J4204">
        <v>0.65829196225374897</v>
      </c>
      <c r="K4204">
        <v>0.71193903365391398</v>
      </c>
      <c r="L4204">
        <v>14221.9852256295</v>
      </c>
      <c r="M4204">
        <v>250</v>
      </c>
      <c r="O4204">
        <v>56.8843008600643</v>
      </c>
      <c r="P4204">
        <v>-0.361570605621093</v>
      </c>
      <c r="Q4204">
        <v>0.67091694495143095</v>
      </c>
      <c r="R4204">
        <v>0.80922007796411799</v>
      </c>
      <c r="S4204" t="s">
        <v>11010</v>
      </c>
      <c r="T4204" t="s">
        <v>13610</v>
      </c>
      <c r="U4204" t="s">
        <v>13610</v>
      </c>
      <c r="V4204" t="s">
        <v>13610</v>
      </c>
      <c r="W4204" t="s">
        <v>17754</v>
      </c>
      <c r="X4204">
        <v>8</v>
      </c>
      <c r="Y4204" t="s">
        <v>24341</v>
      </c>
      <c r="Z4204" t="s">
        <v>31059</v>
      </c>
      <c r="AA4204">
        <v>0.85620097262079564</v>
      </c>
      <c r="AB4204" t="str">
        <f>HYPERLINK("Melting_Curves/meltCurve_Q7Z434_MAVS.pdf", "Melting_Curves/meltCurve_Q7Z434_MAVS.pdf")</f>
        <v>Melting_Curves/meltCurve_Q7Z434_MAVS.pdf</v>
      </c>
    </row>
    <row r="4205" spans="1:28" x14ac:dyDescent="0.25">
      <c r="A4205" t="s">
        <v>4209</v>
      </c>
      <c r="B4205">
        <v>0.995954080203443</v>
      </c>
      <c r="C4205">
        <v>0.97003288619443195</v>
      </c>
      <c r="D4205">
        <v>0.92754057438606397</v>
      </c>
      <c r="E4205">
        <v>0.67502415611759903</v>
      </c>
      <c r="F4205">
        <v>0.46291034079951199</v>
      </c>
      <c r="G4205">
        <v>0.26975220405716499</v>
      </c>
      <c r="H4205">
        <v>0.19417901736252599</v>
      </c>
      <c r="I4205">
        <v>0.21301558879302901</v>
      </c>
      <c r="J4205">
        <v>0.26895927212008502</v>
      </c>
      <c r="K4205">
        <v>0.23359484788784601</v>
      </c>
      <c r="L4205">
        <v>1125.57820689094</v>
      </c>
      <c r="M4205">
        <v>22.142801229925801</v>
      </c>
      <c r="N4205">
        <v>52.190119520653099</v>
      </c>
      <c r="O4205">
        <v>50.423540795685199</v>
      </c>
      <c r="P4205">
        <v>-8.5753567869644998E-2</v>
      </c>
      <c r="Q4205">
        <v>0.218905614422332</v>
      </c>
      <c r="R4205">
        <v>0.994823992666379</v>
      </c>
      <c r="S4205" t="s">
        <v>11011</v>
      </c>
      <c r="T4205" t="s">
        <v>13610</v>
      </c>
      <c r="U4205" t="s">
        <v>13610</v>
      </c>
      <c r="V4205" t="s">
        <v>13610</v>
      </c>
      <c r="W4205" t="s">
        <v>17755</v>
      </c>
      <c r="X4205">
        <v>45</v>
      </c>
      <c r="Y4205" t="s">
        <v>24342</v>
      </c>
      <c r="Z4205" t="s">
        <v>31060</v>
      </c>
      <c r="AA4205">
        <v>0.5098811438806623</v>
      </c>
      <c r="AB4205" t="str">
        <f>HYPERLINK("Melting_Curves/meltCurve_Q7Z460_CLASP1.pdf", "Melting_Curves/meltCurve_Q7Z460_CLASP1.pdf")</f>
        <v>Melting_Curves/meltCurve_Q7Z460_CLASP1.pdf</v>
      </c>
    </row>
    <row r="4206" spans="1:28" x14ac:dyDescent="0.25">
      <c r="A4206" t="s">
        <v>4210</v>
      </c>
      <c r="B4206">
        <v>0.995954080203443</v>
      </c>
      <c r="C4206">
        <v>0.91793833814914905</v>
      </c>
      <c r="D4206">
        <v>0.83961671537433302</v>
      </c>
      <c r="E4206">
        <v>0.48953448436496799</v>
      </c>
      <c r="F4206">
        <v>0.28874799899768</v>
      </c>
      <c r="G4206">
        <v>0.18712661468860001</v>
      </c>
      <c r="H4206">
        <v>0.15569100115437901</v>
      </c>
      <c r="I4206">
        <v>0.17673768860539199</v>
      </c>
      <c r="J4206">
        <v>0.20014519070821499</v>
      </c>
      <c r="K4206">
        <v>0.205280699503468</v>
      </c>
      <c r="L4206">
        <v>1085.7717485999201</v>
      </c>
      <c r="M4206">
        <v>22.252840292735002</v>
      </c>
      <c r="N4206">
        <v>49.759155921045902</v>
      </c>
      <c r="O4206">
        <v>48.4036087552483</v>
      </c>
      <c r="P4206">
        <v>-9.4765845836733503E-2</v>
      </c>
      <c r="Q4206">
        <v>0.17549226991699801</v>
      </c>
      <c r="R4206">
        <v>0.99532933522948897</v>
      </c>
      <c r="S4206" t="s">
        <v>11012</v>
      </c>
      <c r="T4206" t="s">
        <v>13610</v>
      </c>
      <c r="U4206" t="s">
        <v>13610</v>
      </c>
      <c r="V4206" t="s">
        <v>13610</v>
      </c>
      <c r="W4206" t="s">
        <v>17756</v>
      </c>
      <c r="X4206">
        <v>33</v>
      </c>
      <c r="Y4206" t="s">
        <v>24343</v>
      </c>
      <c r="Z4206" t="s">
        <v>31061</v>
      </c>
      <c r="AA4206">
        <v>0.42642992156788723</v>
      </c>
      <c r="AB4206" t="str">
        <f>HYPERLINK("Melting_Curves/meltCurve_Q7Z478_DHX29.pdf", "Melting_Curves/meltCurve_Q7Z478_DHX29.pdf")</f>
        <v>Melting_Curves/meltCurve_Q7Z478_DHX29.pdf</v>
      </c>
    </row>
    <row r="4207" spans="1:28" x14ac:dyDescent="0.25">
      <c r="A4207" t="s">
        <v>4211</v>
      </c>
      <c r="B4207">
        <v>0.995954080203443</v>
      </c>
      <c r="C4207">
        <v>0.83759079420764504</v>
      </c>
      <c r="D4207">
        <v>0.62433940784000697</v>
      </c>
      <c r="E4207">
        <v>0.26860785576764501</v>
      </c>
      <c r="F4207">
        <v>0.17514212543951599</v>
      </c>
      <c r="G4207">
        <v>0.119026578317648</v>
      </c>
      <c r="H4207">
        <v>3.6395486187018398E-2</v>
      </c>
      <c r="I4207">
        <v>0.101590819537089</v>
      </c>
      <c r="J4207">
        <v>4.5670755398688902E-2</v>
      </c>
      <c r="K4207">
        <v>0.106919500651339</v>
      </c>
      <c r="L4207">
        <v>894.86191953445802</v>
      </c>
      <c r="M4207">
        <v>19.125823813789498</v>
      </c>
      <c r="N4207">
        <v>47.1761150330126</v>
      </c>
      <c r="O4207">
        <v>46.285653813770601</v>
      </c>
      <c r="P4207">
        <v>-9.5789521451132301E-2</v>
      </c>
      <c r="Q4207">
        <v>7.2770200832709006E-2</v>
      </c>
      <c r="R4207">
        <v>0.99377807993892897</v>
      </c>
      <c r="S4207" t="s">
        <v>11013</v>
      </c>
      <c r="T4207" t="s">
        <v>13610</v>
      </c>
      <c r="U4207" t="s">
        <v>13610</v>
      </c>
      <c r="V4207" t="s">
        <v>13610</v>
      </c>
      <c r="W4207" t="s">
        <v>17757</v>
      </c>
      <c r="X4207">
        <v>1</v>
      </c>
      <c r="Y4207" t="s">
        <v>24344</v>
      </c>
      <c r="Z4207" t="s">
        <v>31062</v>
      </c>
      <c r="AA4207">
        <v>0.29770522959984902</v>
      </c>
      <c r="AB4207" t="str">
        <f>HYPERLINK("Melting_Curves/meltCurve_Q7Z494_2_NPHP3.pdf", "Melting_Curves/meltCurve_Q7Z494_2_NPHP3.pdf")</f>
        <v>Melting_Curves/meltCurve_Q7Z494_2_NPHP3.pdf</v>
      </c>
    </row>
    <row r="4208" spans="1:28" x14ac:dyDescent="0.25">
      <c r="A4208" t="s">
        <v>4212</v>
      </c>
      <c r="B4208">
        <v>0.995954080203443</v>
      </c>
      <c r="C4208">
        <v>0.77587932415289995</v>
      </c>
      <c r="D4208">
        <v>0.557127398478101</v>
      </c>
      <c r="E4208">
        <v>0.52235544851875704</v>
      </c>
      <c r="F4208">
        <v>0.35034895975771502</v>
      </c>
      <c r="G4208">
        <v>0.21880431433328301</v>
      </c>
      <c r="H4208">
        <v>0.114730303066041</v>
      </c>
      <c r="I4208">
        <v>0.10918944291860801</v>
      </c>
      <c r="J4208">
        <v>0.13259233214299099</v>
      </c>
      <c r="K4208">
        <v>0.126342588893261</v>
      </c>
      <c r="L4208">
        <v>506.95942484210099</v>
      </c>
      <c r="M4208">
        <v>10.512411495624701</v>
      </c>
      <c r="N4208">
        <v>48.911323903066702</v>
      </c>
      <c r="O4208">
        <v>46.577820272734002</v>
      </c>
      <c r="P4208">
        <v>-5.2575189575688797E-2</v>
      </c>
      <c r="Q4208">
        <v>6.8585194680380102E-2</v>
      </c>
      <c r="R4208">
        <v>0.96899122708677299</v>
      </c>
      <c r="S4208" t="s">
        <v>11014</v>
      </c>
      <c r="T4208" t="s">
        <v>13610</v>
      </c>
      <c r="U4208" t="s">
        <v>13610</v>
      </c>
      <c r="V4208" t="s">
        <v>13610</v>
      </c>
      <c r="W4208" t="s">
        <v>17758</v>
      </c>
      <c r="X4208">
        <v>3</v>
      </c>
      <c r="Y4208" t="s">
        <v>24345</v>
      </c>
      <c r="Z4208" t="s">
        <v>31063</v>
      </c>
      <c r="AA4208">
        <v>0.36875854731881152</v>
      </c>
      <c r="AB4208" t="str">
        <f>HYPERLINK("Melting_Curves/meltCurve_Q7Z4G1_COMMD6.pdf", "Melting_Curves/meltCurve_Q7Z4G1_COMMD6.pdf")</f>
        <v>Melting_Curves/meltCurve_Q7Z4G1_COMMD6.pdf</v>
      </c>
    </row>
    <row r="4209" spans="1:28" x14ac:dyDescent="0.25">
      <c r="A4209" t="s">
        <v>4213</v>
      </c>
      <c r="B4209">
        <v>0.995954080203443</v>
      </c>
      <c r="C4209">
        <v>1.00994920792517</v>
      </c>
      <c r="D4209">
        <v>0.97824958396431505</v>
      </c>
      <c r="E4209">
        <v>0.67319525788322399</v>
      </c>
      <c r="F4209">
        <v>0.31559820700664998</v>
      </c>
      <c r="G4209">
        <v>0.17878061492463199</v>
      </c>
      <c r="H4209">
        <v>0.12759775845030699</v>
      </c>
      <c r="I4209">
        <v>0.124195862652827</v>
      </c>
      <c r="J4209">
        <v>0.141358521005918</v>
      </c>
      <c r="K4209">
        <v>0.12493344359091101</v>
      </c>
      <c r="L4209">
        <v>1597.41077621676</v>
      </c>
      <c r="M4209">
        <v>31.435116315538998</v>
      </c>
      <c r="N4209">
        <v>51.316089075423797</v>
      </c>
      <c r="O4209">
        <v>50.611803793590298</v>
      </c>
      <c r="P4209">
        <v>-0.13479469376518899</v>
      </c>
      <c r="Q4209">
        <v>0.13190516363752</v>
      </c>
      <c r="R4209">
        <v>0.99935400884511505</v>
      </c>
      <c r="S4209" t="s">
        <v>11015</v>
      </c>
      <c r="T4209" t="s">
        <v>13610</v>
      </c>
      <c r="U4209" t="s">
        <v>13610</v>
      </c>
      <c r="V4209" t="s">
        <v>13610</v>
      </c>
      <c r="W4209" t="s">
        <v>17759</v>
      </c>
      <c r="X4209">
        <v>12</v>
      </c>
      <c r="Y4209" t="s">
        <v>24346</v>
      </c>
      <c r="Z4209" t="s">
        <v>31064</v>
      </c>
      <c r="AA4209">
        <v>0.44984000704963978</v>
      </c>
      <c r="AB4209" t="str">
        <f>HYPERLINK("Melting_Curves/meltCurve_Q7Z4H3_HDDC2.pdf", "Melting_Curves/meltCurve_Q7Z4H3_HDDC2.pdf")</f>
        <v>Melting_Curves/meltCurve_Q7Z4H3_HDDC2.pdf</v>
      </c>
    </row>
    <row r="4210" spans="1:28" x14ac:dyDescent="0.25">
      <c r="A4210" t="s">
        <v>4214</v>
      </c>
      <c r="B4210">
        <v>0.995954080203443</v>
      </c>
      <c r="C4210">
        <v>0.89641400166117302</v>
      </c>
      <c r="D4210">
        <v>0.62180850502420404</v>
      </c>
      <c r="E4210">
        <v>0.45970089778699003</v>
      </c>
      <c r="F4210">
        <v>0.35646737081499902</v>
      </c>
      <c r="G4210">
        <v>0.23317341403022801</v>
      </c>
      <c r="H4210">
        <v>0.207528199027088</v>
      </c>
      <c r="I4210">
        <v>0.23437145868409201</v>
      </c>
      <c r="J4210">
        <v>0.27194485295722798</v>
      </c>
      <c r="K4210">
        <v>0.26040706738761898</v>
      </c>
      <c r="L4210">
        <v>815.15758852024805</v>
      </c>
      <c r="M4210">
        <v>17.425338404154001</v>
      </c>
      <c r="N4210">
        <v>48.579552666309702</v>
      </c>
      <c r="O4210">
        <v>46.176977440075497</v>
      </c>
      <c r="P4210">
        <v>-7.1910368841382299E-2</v>
      </c>
      <c r="Q4210">
        <v>0.237795903468906</v>
      </c>
      <c r="R4210">
        <v>0.98477088703441296</v>
      </c>
      <c r="S4210" t="s">
        <v>11016</v>
      </c>
      <c r="T4210" t="s">
        <v>13610</v>
      </c>
      <c r="U4210" t="s">
        <v>13610</v>
      </c>
      <c r="V4210" t="s">
        <v>13610</v>
      </c>
      <c r="W4210" t="s">
        <v>17760</v>
      </c>
      <c r="X4210">
        <v>24</v>
      </c>
      <c r="Y4210" t="s">
        <v>24347</v>
      </c>
      <c r="Z4210" t="s">
        <v>31065</v>
      </c>
      <c r="AA4210">
        <v>0.42532285026853062</v>
      </c>
      <c r="AB4210" t="str">
        <f>HYPERLINK("Melting_Curves/meltCurve_Q7Z4H7_HAUS6.pdf", "Melting_Curves/meltCurve_Q7Z4H7_HAUS6.pdf")</f>
        <v>Melting_Curves/meltCurve_Q7Z4H7_HAUS6.pdf</v>
      </c>
    </row>
    <row r="4211" spans="1:28" x14ac:dyDescent="0.25">
      <c r="A4211" t="s">
        <v>4215</v>
      </c>
      <c r="B4211">
        <v>0.995954080203443</v>
      </c>
      <c r="C4211">
        <v>0.99813911159956803</v>
      </c>
      <c r="D4211">
        <v>1.02015332677694</v>
      </c>
      <c r="E4211">
        <v>0.72838624818866304</v>
      </c>
      <c r="F4211">
        <v>0.25613948158060101</v>
      </c>
      <c r="G4211">
        <v>0.15696213528862801</v>
      </c>
      <c r="H4211">
        <v>9.6223018732534499E-2</v>
      </c>
      <c r="I4211">
        <v>0.100854998243433</v>
      </c>
      <c r="J4211">
        <v>9.9880132985199793E-2</v>
      </c>
      <c r="K4211">
        <v>0.101853702973894</v>
      </c>
      <c r="L4211">
        <v>2138.8486946477501</v>
      </c>
      <c r="M4211">
        <v>41.944275396285803</v>
      </c>
      <c r="N4211">
        <v>51.290682741573299</v>
      </c>
      <c r="O4211">
        <v>50.8771048253777</v>
      </c>
      <c r="P4211">
        <v>-0.183813719148472</v>
      </c>
      <c r="Q4211">
        <v>0.108159816152631</v>
      </c>
      <c r="R4211">
        <v>0.99833542798997099</v>
      </c>
      <c r="S4211" t="s">
        <v>11017</v>
      </c>
      <c r="T4211" t="s">
        <v>13610</v>
      </c>
      <c r="U4211" t="s">
        <v>13610</v>
      </c>
      <c r="V4211" t="s">
        <v>13610</v>
      </c>
      <c r="W4211" t="s">
        <v>17761</v>
      </c>
      <c r="X4211">
        <v>12</v>
      </c>
      <c r="Y4211" t="s">
        <v>24348</v>
      </c>
      <c r="Z4211" t="s">
        <v>31066</v>
      </c>
      <c r="AA4211">
        <v>0.43780538215851161</v>
      </c>
      <c r="AB4211" t="str">
        <f>HYPERLINK("Melting_Curves/meltCurve_Q7Z4H8_KDELC2.pdf", "Melting_Curves/meltCurve_Q7Z4H8_KDELC2.pdf")</f>
        <v>Melting_Curves/meltCurve_Q7Z4H8_KDELC2.pdf</v>
      </c>
    </row>
    <row r="4212" spans="1:28" x14ac:dyDescent="0.25">
      <c r="A4212" t="s">
        <v>4216</v>
      </c>
      <c r="B4212">
        <v>0.995954080203443</v>
      </c>
      <c r="C4212">
        <v>1.09671756138883</v>
      </c>
      <c r="D4212">
        <v>1.0978161213462501</v>
      </c>
      <c r="E4212">
        <v>0.926707897787583</v>
      </c>
      <c r="F4212">
        <v>0.464404392484492</v>
      </c>
      <c r="G4212">
        <v>8.3023585496559194E-2</v>
      </c>
      <c r="H4212">
        <v>4.77474415364234E-2</v>
      </c>
      <c r="I4212">
        <v>3.6817880003976497E-2</v>
      </c>
      <c r="J4212">
        <v>3.2703109396196799E-2</v>
      </c>
      <c r="K4212">
        <v>3.5878481672579003E-2</v>
      </c>
      <c r="L4212">
        <v>2382.0366653646902</v>
      </c>
      <c r="M4212">
        <v>45.166780683779002</v>
      </c>
      <c r="N4212">
        <v>52.836435466956601</v>
      </c>
      <c r="O4212">
        <v>52.635615484372003</v>
      </c>
      <c r="P4212">
        <v>-0.20592592373743701</v>
      </c>
      <c r="Q4212">
        <v>4.0088867150262601E-2</v>
      </c>
      <c r="R4212">
        <v>0.991022021673852</v>
      </c>
      <c r="S4212" t="s">
        <v>11018</v>
      </c>
      <c r="T4212" t="s">
        <v>13610</v>
      </c>
      <c r="U4212" t="s">
        <v>13610</v>
      </c>
      <c r="V4212" t="s">
        <v>13610</v>
      </c>
      <c r="W4212" t="s">
        <v>17762</v>
      </c>
      <c r="X4212">
        <v>7</v>
      </c>
      <c r="Y4212" t="s">
        <v>24349</v>
      </c>
      <c r="Z4212" t="s">
        <v>31067</v>
      </c>
      <c r="AA4212">
        <v>0.45042811707715152</v>
      </c>
      <c r="AB4212" t="str">
        <f>HYPERLINK("Melting_Curves/meltCurve_Q7Z4I7_4_LIMS2.pdf", "Melting_Curves/meltCurve_Q7Z4I7_4_LIMS2.pdf")</f>
        <v>Melting_Curves/meltCurve_Q7Z4I7_4_LIMS2.pdf</v>
      </c>
    </row>
    <row r="4213" spans="1:28" x14ac:dyDescent="0.25">
      <c r="A4213" t="s">
        <v>4217</v>
      </c>
      <c r="B4213">
        <v>0.995954080203443</v>
      </c>
      <c r="C4213">
        <v>0.84503298373642599</v>
      </c>
      <c r="D4213">
        <v>0.340036811432888</v>
      </c>
      <c r="E4213">
        <v>0.26362555490633</v>
      </c>
      <c r="F4213">
        <v>0.109455432333595</v>
      </c>
      <c r="G4213">
        <v>6.1427623934245897E-2</v>
      </c>
      <c r="H4213">
        <v>3.9352961779146302E-2</v>
      </c>
      <c r="I4213">
        <v>3.0809792909428601E-2</v>
      </c>
      <c r="J4213">
        <v>3.4910636142338802E-2</v>
      </c>
      <c r="K4213">
        <v>3.4839325888070698E-2</v>
      </c>
      <c r="L4213">
        <v>1088.0506142798699</v>
      </c>
      <c r="M4213">
        <v>24.0916096449387</v>
      </c>
      <c r="N4213">
        <v>45.3940642068576</v>
      </c>
      <c r="O4213">
        <v>44.855349824902397</v>
      </c>
      <c r="P4213">
        <v>-0.12652904181324201</v>
      </c>
      <c r="Q4213">
        <v>5.7694617321128197E-2</v>
      </c>
      <c r="R4213">
        <v>0.97444181988675205</v>
      </c>
      <c r="S4213" t="s">
        <v>11019</v>
      </c>
      <c r="T4213" t="s">
        <v>13610</v>
      </c>
      <c r="U4213" t="s">
        <v>13610</v>
      </c>
      <c r="V4213" t="s">
        <v>13610</v>
      </c>
      <c r="W4213" t="s">
        <v>17763</v>
      </c>
      <c r="X4213">
        <v>20</v>
      </c>
      <c r="Y4213" t="s">
        <v>24350</v>
      </c>
      <c r="Z4213" t="s">
        <v>31068</v>
      </c>
      <c r="AA4213">
        <v>0.22995966738846371</v>
      </c>
      <c r="AB4213" t="str">
        <f>HYPERLINK("Melting_Curves/meltCurve_Q7Z4Q2_HEATR3.pdf", "Melting_Curves/meltCurve_Q7Z4Q2_HEATR3.pdf")</f>
        <v>Melting_Curves/meltCurve_Q7Z4Q2_HEATR3.pdf</v>
      </c>
    </row>
    <row r="4214" spans="1:28" x14ac:dyDescent="0.25">
      <c r="A4214" t="s">
        <v>4218</v>
      </c>
      <c r="B4214">
        <v>0.995954080203443</v>
      </c>
      <c r="C4214">
        <v>0.88411723110743401</v>
      </c>
      <c r="D4214">
        <v>0.75534813641042198</v>
      </c>
      <c r="E4214">
        <v>0.67044000767630996</v>
      </c>
      <c r="F4214">
        <v>0.57709937063852501</v>
      </c>
      <c r="G4214">
        <v>0.40228921225471098</v>
      </c>
      <c r="H4214">
        <v>0.29678943769232302</v>
      </c>
      <c r="I4214">
        <v>0.267054197248693</v>
      </c>
      <c r="J4214">
        <v>0.262873717907597</v>
      </c>
      <c r="K4214">
        <v>0.24565860023341901</v>
      </c>
      <c r="L4214">
        <v>485.668099549126</v>
      </c>
      <c r="M4214">
        <v>9.3671261707588798</v>
      </c>
      <c r="N4214">
        <v>54.095310880360302</v>
      </c>
      <c r="O4214">
        <v>49.649717767604599</v>
      </c>
      <c r="P4214">
        <v>-3.9588854517776599E-2</v>
      </c>
      <c r="Q4214">
        <v>0.161172989434196</v>
      </c>
      <c r="R4214">
        <v>0.98857483907389199</v>
      </c>
      <c r="S4214" t="s">
        <v>11020</v>
      </c>
      <c r="T4214" t="s">
        <v>13610</v>
      </c>
      <c r="U4214" t="s">
        <v>13610</v>
      </c>
      <c r="V4214" t="s">
        <v>13610</v>
      </c>
      <c r="W4214" t="s">
        <v>17764</v>
      </c>
      <c r="X4214">
        <v>23</v>
      </c>
      <c r="Y4214" t="s">
        <v>24351</v>
      </c>
      <c r="Z4214" t="s">
        <v>31069</v>
      </c>
      <c r="AA4214">
        <v>0.52711982042473127</v>
      </c>
      <c r="AB4214" t="str">
        <f>HYPERLINK("Melting_Curves/meltCurve_Q7Z4S6_3_KIF21A.pdf", "Melting_Curves/meltCurve_Q7Z4S6_3_KIF21A.pdf")</f>
        <v>Melting_Curves/meltCurve_Q7Z4S6_3_KIF21A.pdf</v>
      </c>
    </row>
    <row r="4215" spans="1:28" x14ac:dyDescent="0.25">
      <c r="A4215" t="s">
        <v>4219</v>
      </c>
      <c r="B4215">
        <v>0.995954080203443</v>
      </c>
      <c r="C4215">
        <v>0.96235803945412202</v>
      </c>
      <c r="D4215">
        <v>0.89328698135060003</v>
      </c>
      <c r="E4215">
        <v>0.76312684147797405</v>
      </c>
      <c r="F4215">
        <v>0.71999038068565102</v>
      </c>
      <c r="G4215">
        <v>0.61440424713085195</v>
      </c>
      <c r="H4215">
        <v>0.60053789706336103</v>
      </c>
      <c r="I4215">
        <v>0.76850321718860404</v>
      </c>
      <c r="J4215">
        <v>0.79415614782515598</v>
      </c>
      <c r="K4215">
        <v>0.86524922406538696</v>
      </c>
      <c r="L4215">
        <v>1416.87285082484</v>
      </c>
      <c r="M4215">
        <v>30.4471249771908</v>
      </c>
      <c r="O4215">
        <v>46.336159144665999</v>
      </c>
      <c r="P4215">
        <v>-4.4827264263537697E-2</v>
      </c>
      <c r="Q4215">
        <v>0.72711899627212195</v>
      </c>
      <c r="R4215">
        <v>0.65841164861200896</v>
      </c>
      <c r="S4215" t="s">
        <v>11021</v>
      </c>
      <c r="T4215" t="s">
        <v>13610</v>
      </c>
      <c r="U4215" t="s">
        <v>13610</v>
      </c>
      <c r="V4215" t="s">
        <v>13610</v>
      </c>
      <c r="W4215" t="s">
        <v>17765</v>
      </c>
      <c r="X4215">
        <v>22</v>
      </c>
      <c r="Y4215" t="s">
        <v>24352</v>
      </c>
      <c r="Z4215" t="s">
        <v>31070</v>
      </c>
      <c r="AA4215">
        <v>0.7881574449325921</v>
      </c>
      <c r="AB4215" t="str">
        <f>HYPERLINK("Melting_Curves/meltCurve_Q7Z4V5_HDGFRP2.pdf", "Melting_Curves/meltCurve_Q7Z4V5_HDGFRP2.pdf")</f>
        <v>Melting_Curves/meltCurve_Q7Z4V5_HDGFRP2.pdf</v>
      </c>
    </row>
    <row r="4216" spans="1:28" x14ac:dyDescent="0.25">
      <c r="A4216" t="s">
        <v>4220</v>
      </c>
      <c r="B4216">
        <v>0.995954080203443</v>
      </c>
      <c r="C4216">
        <v>0.92328606776261302</v>
      </c>
      <c r="D4216">
        <v>1.5945778752016599</v>
      </c>
      <c r="E4216">
        <v>0.94721762126971898</v>
      </c>
      <c r="F4216">
        <v>1.4206210730064901</v>
      </c>
      <c r="G4216">
        <v>1.1056153105342801</v>
      </c>
      <c r="H4216">
        <v>1.15319262941095</v>
      </c>
      <c r="I4216">
        <v>1.3539820206414099</v>
      </c>
      <c r="J4216">
        <v>1.6882959181330599</v>
      </c>
      <c r="K4216">
        <v>1.64201104427863</v>
      </c>
      <c r="L4216">
        <v>386.41041576401199</v>
      </c>
      <c r="M4216">
        <v>7.4075845390896298</v>
      </c>
      <c r="O4216">
        <v>48.767282048389802</v>
      </c>
      <c r="P4216">
        <v>1.9015656866161901E-2</v>
      </c>
      <c r="Q4216">
        <v>1.5</v>
      </c>
      <c r="R4216">
        <v>0.304241280657361</v>
      </c>
      <c r="S4216" t="s">
        <v>11022</v>
      </c>
      <c r="T4216" t="s">
        <v>13610</v>
      </c>
      <c r="U4216" t="s">
        <v>13610</v>
      </c>
      <c r="V4216" t="s">
        <v>13610</v>
      </c>
      <c r="W4216" t="s">
        <v>17766</v>
      </c>
      <c r="X4216">
        <v>22</v>
      </c>
      <c r="Y4216" t="s">
        <v>24352</v>
      </c>
      <c r="Z4216" t="s">
        <v>31071</v>
      </c>
      <c r="AA4216">
        <v>1.272775457818659</v>
      </c>
      <c r="AB4216" t="str">
        <f>HYPERLINK("Melting_Curves/meltCurve_Q7Z4V5_2_HDGFRP2.pdf", "Melting_Curves/meltCurve_Q7Z4V5_2_HDGFRP2.pdf")</f>
        <v>Melting_Curves/meltCurve_Q7Z4V5_2_HDGFRP2.pdf</v>
      </c>
    </row>
    <row r="4217" spans="1:28" x14ac:dyDescent="0.25">
      <c r="A4217" t="s">
        <v>4221</v>
      </c>
      <c r="B4217">
        <v>0.995954080203443</v>
      </c>
      <c r="C4217">
        <v>0.97020617140508603</v>
      </c>
      <c r="D4217">
        <v>0.93320216532037503</v>
      </c>
      <c r="E4217">
        <v>0.78137266999872201</v>
      </c>
      <c r="F4217">
        <v>0.46270026660133801</v>
      </c>
      <c r="G4217">
        <v>0.13870428841379401</v>
      </c>
      <c r="H4217">
        <v>8.1900591195933695E-2</v>
      </c>
      <c r="I4217">
        <v>7.6621504461939202E-2</v>
      </c>
      <c r="J4217">
        <v>8.4090325304553099E-2</v>
      </c>
      <c r="K4217">
        <v>7.1834637068897103E-2</v>
      </c>
      <c r="L4217">
        <v>1353.37553600716</v>
      </c>
      <c r="M4217">
        <v>25.896511350410499</v>
      </c>
      <c r="N4217">
        <v>52.548993310613497</v>
      </c>
      <c r="O4217">
        <v>51.952272751053201</v>
      </c>
      <c r="P4217">
        <v>-0.11637184946998599</v>
      </c>
      <c r="Q4217">
        <v>6.6173630046046303E-2</v>
      </c>
      <c r="R4217">
        <v>0.99782564708819499</v>
      </c>
      <c r="S4217" t="s">
        <v>11023</v>
      </c>
      <c r="T4217" t="s">
        <v>13610</v>
      </c>
      <c r="U4217" t="s">
        <v>13610</v>
      </c>
      <c r="V4217" t="s">
        <v>13610</v>
      </c>
      <c r="W4217" t="s">
        <v>17767</v>
      </c>
      <c r="X4217">
        <v>9</v>
      </c>
      <c r="Y4217" t="s">
        <v>24353</v>
      </c>
      <c r="Z4217" t="s">
        <v>31072</v>
      </c>
      <c r="AA4217">
        <v>0.45581274555017692</v>
      </c>
      <c r="AB4217" t="str">
        <f>HYPERLINK("Melting_Curves/meltCurve_Q7Z4W1_DCXR.pdf", "Melting_Curves/meltCurve_Q7Z4W1_DCXR.pdf")</f>
        <v>Melting_Curves/meltCurve_Q7Z4W1_DCXR.pdf</v>
      </c>
    </row>
    <row r="4218" spans="1:28" x14ac:dyDescent="0.25">
      <c r="A4218" t="s">
        <v>4222</v>
      </c>
      <c r="B4218">
        <v>0.995954080203443</v>
      </c>
      <c r="C4218">
        <v>0.91553692700375</v>
      </c>
      <c r="D4218">
        <v>0.89406237054145199</v>
      </c>
      <c r="E4218">
        <v>0.798743797067195</v>
      </c>
      <c r="F4218">
        <v>0.80814472927994796</v>
      </c>
      <c r="G4218">
        <v>0.60944056182986195</v>
      </c>
      <c r="H4218">
        <v>0.56702311297083896</v>
      </c>
      <c r="I4218">
        <v>0.67543658828076603</v>
      </c>
      <c r="J4218">
        <v>0.78283117176087902</v>
      </c>
      <c r="K4218">
        <v>0.79303313880843496</v>
      </c>
      <c r="L4218">
        <v>777.35958988248797</v>
      </c>
      <c r="M4218">
        <v>16.355361521238301</v>
      </c>
      <c r="O4218">
        <v>46.835856162689403</v>
      </c>
      <c r="P4218">
        <v>-2.6839624030170501E-2</v>
      </c>
      <c r="Q4218">
        <v>0.69258622868437802</v>
      </c>
      <c r="R4218">
        <v>0.68024116665478995</v>
      </c>
      <c r="S4218" t="s">
        <v>11024</v>
      </c>
      <c r="T4218" t="s">
        <v>13610</v>
      </c>
      <c r="U4218" t="s">
        <v>13610</v>
      </c>
      <c r="V4218" t="s">
        <v>13610</v>
      </c>
      <c r="W4218" t="s">
        <v>17768</v>
      </c>
      <c r="X4218">
        <v>25</v>
      </c>
      <c r="Y4218" t="s">
        <v>24354</v>
      </c>
      <c r="Z4218" t="s">
        <v>31073</v>
      </c>
      <c r="AA4218">
        <v>0.77652345549789881</v>
      </c>
      <c r="AB4218" t="str">
        <f>HYPERLINK("Melting_Curves/meltCurve_Q7Z591_AKNA.pdf", "Melting_Curves/meltCurve_Q7Z591_AKNA.pdf")</f>
        <v>Melting_Curves/meltCurve_Q7Z591_AKNA.pdf</v>
      </c>
    </row>
    <row r="4219" spans="1:28" x14ac:dyDescent="0.25">
      <c r="A4219" t="s">
        <v>4223</v>
      </c>
      <c r="B4219">
        <v>0.995954080203443</v>
      </c>
      <c r="C4219">
        <v>1.01441297528158</v>
      </c>
      <c r="D4219">
        <v>0.994484513304702</v>
      </c>
      <c r="E4219">
        <v>0.63115638589172895</v>
      </c>
      <c r="F4219">
        <v>0.447277290089589</v>
      </c>
      <c r="G4219">
        <v>0.334752464215539</v>
      </c>
      <c r="H4219">
        <v>0.30379558282721902</v>
      </c>
      <c r="I4219">
        <v>0.351187991365222</v>
      </c>
      <c r="J4219">
        <v>0.43409838888519903</v>
      </c>
      <c r="K4219">
        <v>0.37501034647057702</v>
      </c>
      <c r="L4219">
        <v>1891.20359618059</v>
      </c>
      <c r="M4219">
        <v>38.062854028695298</v>
      </c>
      <c r="N4219">
        <v>51.436604349615898</v>
      </c>
      <c r="O4219">
        <v>49.5497851163543</v>
      </c>
      <c r="P4219">
        <v>-0.122317125520735</v>
      </c>
      <c r="Q4219">
        <v>0.36307758789357802</v>
      </c>
      <c r="R4219">
        <v>0.98523943381770496</v>
      </c>
      <c r="S4219" t="s">
        <v>11025</v>
      </c>
      <c r="T4219" t="s">
        <v>13610</v>
      </c>
      <c r="U4219" t="s">
        <v>13610</v>
      </c>
      <c r="V4219" t="s">
        <v>13610</v>
      </c>
      <c r="W4219" t="s">
        <v>17769</v>
      </c>
      <c r="X4219">
        <v>16</v>
      </c>
      <c r="Y4219" t="s">
        <v>24355</v>
      </c>
      <c r="Z4219" t="s">
        <v>31074</v>
      </c>
      <c r="AA4219">
        <v>0.57114516904364865</v>
      </c>
      <c r="AB4219" t="str">
        <f>HYPERLINK("Melting_Curves/meltCurve_Q7Z5J4_3_RAI1.pdf", "Melting_Curves/meltCurve_Q7Z5J4_3_RAI1.pdf")</f>
        <v>Melting_Curves/meltCurve_Q7Z5J4_3_RAI1.pdf</v>
      </c>
    </row>
    <row r="4220" spans="1:28" x14ac:dyDescent="0.25">
      <c r="A4220" t="s">
        <v>4224</v>
      </c>
      <c r="B4220">
        <v>0.995954080203443</v>
      </c>
      <c r="C4220">
        <v>0.97340639892609304</v>
      </c>
      <c r="D4220">
        <v>0.95096467037658095</v>
      </c>
      <c r="E4220">
        <v>0.72582508175261296</v>
      </c>
      <c r="F4220">
        <v>0.48015219731528203</v>
      </c>
      <c r="G4220">
        <v>0.37080427574015201</v>
      </c>
      <c r="H4220">
        <v>0.33988282004592102</v>
      </c>
      <c r="I4220">
        <v>0.40619521592963997</v>
      </c>
      <c r="J4220">
        <v>0.38735591783044598</v>
      </c>
      <c r="K4220">
        <v>0.39302748076757199</v>
      </c>
      <c r="L4220">
        <v>1578.82614388515</v>
      </c>
      <c r="M4220">
        <v>31.379201591244499</v>
      </c>
      <c r="N4220">
        <v>52.6536845977203</v>
      </c>
      <c r="O4220">
        <v>50.111373654181797</v>
      </c>
      <c r="P4220">
        <v>-9.7690471315976399E-2</v>
      </c>
      <c r="Q4220">
        <v>0.37597151114070498</v>
      </c>
      <c r="R4220">
        <v>0.99403549911958999</v>
      </c>
      <c r="S4220" t="s">
        <v>11026</v>
      </c>
      <c r="T4220" t="s">
        <v>13610</v>
      </c>
      <c r="U4220" t="s">
        <v>13610</v>
      </c>
      <c r="V4220" t="s">
        <v>13610</v>
      </c>
      <c r="W4220" t="s">
        <v>17770</v>
      </c>
      <c r="X4220">
        <v>31</v>
      </c>
      <c r="Y4220" t="s">
        <v>24356</v>
      </c>
      <c r="Z4220" t="s">
        <v>31075</v>
      </c>
      <c r="AA4220">
        <v>0.5940643144444735</v>
      </c>
      <c r="AB4220" t="str">
        <f>HYPERLINK("Melting_Curves/meltCurve_Q7Z5K2_WAPAL.pdf", "Melting_Curves/meltCurve_Q7Z5K2_WAPAL.pdf")</f>
        <v>Melting_Curves/meltCurve_Q7Z5K2_WAPAL.pdf</v>
      </c>
    </row>
    <row r="4221" spans="1:28" x14ac:dyDescent="0.25">
      <c r="A4221" t="s">
        <v>4225</v>
      </c>
      <c r="B4221">
        <v>0.995954080203443</v>
      </c>
      <c r="C4221">
        <v>0.90078845993432</v>
      </c>
      <c r="D4221">
        <v>0.91187810197670105</v>
      </c>
      <c r="E4221">
        <v>0.72475947926250495</v>
      </c>
      <c r="F4221">
        <v>0.74455011244347602</v>
      </c>
      <c r="G4221">
        <v>0.55028404355679805</v>
      </c>
      <c r="H4221">
        <v>0.51246838509764603</v>
      </c>
      <c r="I4221">
        <v>0.55895089026478295</v>
      </c>
      <c r="J4221">
        <v>0.66512520994695301</v>
      </c>
      <c r="K4221">
        <v>0.62949162969653605</v>
      </c>
      <c r="L4221">
        <v>783.84922702903498</v>
      </c>
      <c r="M4221">
        <v>16.085616784755501</v>
      </c>
      <c r="O4221">
        <v>47.995352307837798</v>
      </c>
      <c r="P4221">
        <v>-3.5170700200843903E-2</v>
      </c>
      <c r="Q4221">
        <v>0.58027086485868895</v>
      </c>
      <c r="R4221">
        <v>0.87848905622629803</v>
      </c>
      <c r="S4221" t="s">
        <v>11027</v>
      </c>
      <c r="T4221" t="s">
        <v>13610</v>
      </c>
      <c r="U4221" t="s">
        <v>13610</v>
      </c>
      <c r="V4221" t="s">
        <v>13610</v>
      </c>
      <c r="W4221" t="s">
        <v>17771</v>
      </c>
      <c r="X4221">
        <v>12</v>
      </c>
      <c r="Y4221" t="s">
        <v>24357</v>
      </c>
      <c r="Z4221" t="s">
        <v>31076</v>
      </c>
      <c r="AA4221">
        <v>0.71155318129586342</v>
      </c>
      <c r="AB4221" t="str">
        <f>HYPERLINK("Melting_Curves/meltCurve_Q7Z5L2_2_R3HCC1L.pdf", "Melting_Curves/meltCurve_Q7Z5L2_2_R3HCC1L.pdf")</f>
        <v>Melting_Curves/meltCurve_Q7Z5L2_2_R3HCC1L.pdf</v>
      </c>
    </row>
    <row r="4222" spans="1:28" x14ac:dyDescent="0.25">
      <c r="A4222" t="s">
        <v>4226</v>
      </c>
      <c r="B4222">
        <v>0.995954080203443</v>
      </c>
      <c r="C4222">
        <v>0.96262529305031197</v>
      </c>
      <c r="D4222">
        <v>1.0093130920209501</v>
      </c>
      <c r="E4222">
        <v>0.85616130391927403</v>
      </c>
      <c r="F4222">
        <v>0.83331557943885903</v>
      </c>
      <c r="G4222">
        <v>0.63675896737645798</v>
      </c>
      <c r="H4222">
        <v>0.60042261794015495</v>
      </c>
      <c r="I4222">
        <v>0.71031673717414501</v>
      </c>
      <c r="J4222">
        <v>0.780069336831826</v>
      </c>
      <c r="K4222">
        <v>0.80201421471984702</v>
      </c>
      <c r="L4222">
        <v>1484.13411185</v>
      </c>
      <c r="M4222">
        <v>29.257145730131601</v>
      </c>
      <c r="O4222">
        <v>50.491993350888002</v>
      </c>
      <c r="P4222">
        <v>-4.1893536175692803E-2</v>
      </c>
      <c r="Q4222">
        <v>0.71080242606470301</v>
      </c>
      <c r="R4222">
        <v>0.78799752256905597</v>
      </c>
      <c r="S4222" t="s">
        <v>11028</v>
      </c>
      <c r="T4222" t="s">
        <v>13610</v>
      </c>
      <c r="U4222" t="s">
        <v>13610</v>
      </c>
      <c r="V4222" t="s">
        <v>13610</v>
      </c>
      <c r="W4222" t="s">
        <v>17772</v>
      </c>
      <c r="X4222">
        <v>28</v>
      </c>
      <c r="Y4222" t="s">
        <v>24358</v>
      </c>
      <c r="Z4222" t="s">
        <v>31077</v>
      </c>
      <c r="AA4222">
        <v>0.81611571462264842</v>
      </c>
      <c r="AB4222" t="str">
        <f>HYPERLINK("Melting_Curves/meltCurve_Q7Z5L9_2_IRF2BP2.pdf", "Melting_Curves/meltCurve_Q7Z5L9_2_IRF2BP2.pdf")</f>
        <v>Melting_Curves/meltCurve_Q7Z5L9_2_IRF2BP2.pdf</v>
      </c>
    </row>
    <row r="4223" spans="1:28" x14ac:dyDescent="0.25">
      <c r="A4223" t="s">
        <v>4227</v>
      </c>
      <c r="B4223">
        <v>0.995954080203443</v>
      </c>
      <c r="C4223">
        <v>1.0720908857999001</v>
      </c>
      <c r="D4223">
        <v>0.88774768969201401</v>
      </c>
      <c r="E4223">
        <v>0.80601419294504395</v>
      </c>
      <c r="F4223">
        <v>0.39428596010959299</v>
      </c>
      <c r="G4223">
        <v>0.181969993005585</v>
      </c>
      <c r="H4223">
        <v>0.12748578255704299</v>
      </c>
      <c r="I4223">
        <v>0.11492206493296001</v>
      </c>
      <c r="J4223">
        <v>0.12470907303331399</v>
      </c>
      <c r="K4223">
        <v>7.7977697395333695E-2</v>
      </c>
      <c r="L4223">
        <v>1519.34385045934</v>
      </c>
      <c r="M4223">
        <v>29.304976658335399</v>
      </c>
      <c r="N4223">
        <v>52.282509956297197</v>
      </c>
      <c r="O4223">
        <v>51.606305077440602</v>
      </c>
      <c r="P4223">
        <v>-0.12655724707509899</v>
      </c>
      <c r="Q4223">
        <v>0.108532964627797</v>
      </c>
      <c r="R4223">
        <v>0.989021531263511</v>
      </c>
      <c r="S4223" t="s">
        <v>11029</v>
      </c>
      <c r="T4223" t="s">
        <v>13610</v>
      </c>
      <c r="U4223" t="s">
        <v>13610</v>
      </c>
      <c r="V4223" t="s">
        <v>13610</v>
      </c>
      <c r="W4223" t="s">
        <v>17773</v>
      </c>
      <c r="X4223">
        <v>2</v>
      </c>
      <c r="Y4223" t="s">
        <v>24359</v>
      </c>
      <c r="Z4223" t="s">
        <v>31078</v>
      </c>
      <c r="AA4223">
        <v>0.46649412842365462</v>
      </c>
      <c r="AB4223" t="str">
        <f>HYPERLINK("Melting_Curves/meltCurve_Q7Z5W3_BCDIN3D.pdf", "Melting_Curves/meltCurve_Q7Z5W3_BCDIN3D.pdf")</f>
        <v>Melting_Curves/meltCurve_Q7Z5W3_BCDIN3D.pdf</v>
      </c>
    </row>
    <row r="4224" spans="1:28" x14ac:dyDescent="0.25">
      <c r="A4224" t="s">
        <v>4228</v>
      </c>
      <c r="B4224">
        <v>0.995954080203443</v>
      </c>
      <c r="C4224">
        <v>1.0104659237951901</v>
      </c>
      <c r="D4224">
        <v>0.91592401083453701</v>
      </c>
      <c r="E4224">
        <v>0.97407741656870805</v>
      </c>
      <c r="F4224">
        <v>0.79652701758435995</v>
      </c>
      <c r="G4224">
        <v>0.643424242105192</v>
      </c>
      <c r="H4224">
        <v>0.58517724267597904</v>
      </c>
      <c r="I4224">
        <v>0.66384088652960704</v>
      </c>
      <c r="J4224">
        <v>0.61744537062322602</v>
      </c>
      <c r="K4224">
        <v>0.74078259740374097</v>
      </c>
      <c r="L4224">
        <v>2721.4805657889601</v>
      </c>
      <c r="M4224">
        <v>51.698453705057503</v>
      </c>
      <c r="O4224">
        <v>52.562843731666199</v>
      </c>
      <c r="P4224">
        <v>-8.6302468642695807E-2</v>
      </c>
      <c r="Q4224">
        <v>0.64901853255948405</v>
      </c>
      <c r="R4224">
        <v>0.91638395741034095</v>
      </c>
      <c r="S4224" t="s">
        <v>11030</v>
      </c>
      <c r="T4224" t="s">
        <v>13610</v>
      </c>
      <c r="U4224" t="s">
        <v>13610</v>
      </c>
      <c r="V4224" t="s">
        <v>13610</v>
      </c>
      <c r="W4224" t="s">
        <v>17774</v>
      </c>
      <c r="X4224">
        <v>2</v>
      </c>
      <c r="Y4224" t="s">
        <v>24360</v>
      </c>
      <c r="Z4224" t="s">
        <v>31079</v>
      </c>
      <c r="AA4224">
        <v>0.7976774464036106</v>
      </c>
      <c r="AB4224" t="str">
        <f>HYPERLINK("Melting_Curves/meltCurve_Q7Z5Y7_KCTD20.pdf", "Melting_Curves/meltCurve_Q7Z5Y7_KCTD20.pdf")</f>
        <v>Melting_Curves/meltCurve_Q7Z5Y7_KCTD20.pdf</v>
      </c>
    </row>
    <row r="4225" spans="1:28" x14ac:dyDescent="0.25">
      <c r="A4225" t="s">
        <v>4229</v>
      </c>
      <c r="B4225">
        <v>0.995954080203443</v>
      </c>
      <c r="C4225">
        <v>0.98069322386305402</v>
      </c>
      <c r="D4225">
        <v>0.72766408296380303</v>
      </c>
      <c r="E4225">
        <v>0.26998024436239298</v>
      </c>
      <c r="F4225">
        <v>0.120835591636339</v>
      </c>
      <c r="G4225">
        <v>7.6710605262266696E-2</v>
      </c>
      <c r="H4225">
        <v>5.53952600957398E-2</v>
      </c>
      <c r="I4225">
        <v>5.1765491461094097E-2</v>
      </c>
      <c r="J4225">
        <v>6.2930685680536599E-2</v>
      </c>
      <c r="K4225">
        <v>6.6060814982004806E-2</v>
      </c>
      <c r="L4225">
        <v>1283.23233393438</v>
      </c>
      <c r="M4225">
        <v>26.9419390354836</v>
      </c>
      <c r="N4225">
        <v>47.858444320337298</v>
      </c>
      <c r="O4225">
        <v>47.369463114532103</v>
      </c>
      <c r="P4225">
        <v>-0.133596259116811</v>
      </c>
      <c r="Q4225">
        <v>6.0450737071079202E-2</v>
      </c>
      <c r="R4225">
        <v>0.99924983734895001</v>
      </c>
      <c r="S4225" t="s">
        <v>11031</v>
      </c>
      <c r="T4225" t="s">
        <v>13610</v>
      </c>
      <c r="U4225" t="s">
        <v>13610</v>
      </c>
      <c r="V4225" t="s">
        <v>13610</v>
      </c>
      <c r="W4225" t="s">
        <v>17775</v>
      </c>
      <c r="X4225">
        <v>6</v>
      </c>
      <c r="Y4225" t="s">
        <v>24361</v>
      </c>
      <c r="Z4225" t="s">
        <v>31080</v>
      </c>
      <c r="AA4225">
        <v>0.30648129557483089</v>
      </c>
      <c r="AB4225" t="str">
        <f>HYPERLINK("Melting_Curves/meltCurve_Q7Z624_CAMKMT.pdf", "Melting_Curves/meltCurve_Q7Z624_CAMKMT.pdf")</f>
        <v>Melting_Curves/meltCurve_Q7Z624_CAMKMT.pdf</v>
      </c>
    </row>
    <row r="4226" spans="1:28" x14ac:dyDescent="0.25">
      <c r="A4226" t="s">
        <v>4230</v>
      </c>
      <c r="B4226">
        <v>0.995954080203443</v>
      </c>
      <c r="C4226">
        <v>1.0182369409607299</v>
      </c>
      <c r="D4226">
        <v>1.1699169969897001</v>
      </c>
      <c r="E4226">
        <v>0.94773126558485699</v>
      </c>
      <c r="F4226">
        <v>0.78041702800027501</v>
      </c>
      <c r="G4226">
        <v>0.587458700745915</v>
      </c>
      <c r="H4226">
        <v>0.49293898991063201</v>
      </c>
      <c r="I4226">
        <v>0.64678493880663701</v>
      </c>
      <c r="J4226">
        <v>0.74944050009028496</v>
      </c>
      <c r="K4226">
        <v>0.86999516644798702</v>
      </c>
      <c r="L4226">
        <v>2718.0087785123901</v>
      </c>
      <c r="M4226">
        <v>52.151016825637001</v>
      </c>
      <c r="O4226">
        <v>52.041584569109197</v>
      </c>
      <c r="P4226">
        <v>-8.2627233591498497E-2</v>
      </c>
      <c r="Q4226">
        <v>0.67018489097880096</v>
      </c>
      <c r="R4226">
        <v>0.71723660578459703</v>
      </c>
      <c r="S4226" t="s">
        <v>11032</v>
      </c>
      <c r="T4226" t="s">
        <v>13610</v>
      </c>
      <c r="U4226" t="s">
        <v>13610</v>
      </c>
      <c r="V4226" t="s">
        <v>13610</v>
      </c>
      <c r="W4226" t="s">
        <v>17776</v>
      </c>
      <c r="X4226">
        <v>20</v>
      </c>
      <c r="Y4226" t="s">
        <v>24362</v>
      </c>
      <c r="Z4226" t="s">
        <v>31081</v>
      </c>
      <c r="AA4226">
        <v>0.80410526674562732</v>
      </c>
      <c r="AB4226" t="str">
        <f>HYPERLINK("Melting_Curves/meltCurve_Q7Z6B0_2_CCDC91.pdf", "Melting_Curves/meltCurve_Q7Z6B0_2_CCDC91.pdf")</f>
        <v>Melting_Curves/meltCurve_Q7Z6B0_2_CCDC91.pdf</v>
      </c>
    </row>
    <row r="4227" spans="1:28" x14ac:dyDescent="0.25">
      <c r="A4227" t="s">
        <v>4231</v>
      </c>
      <c r="B4227">
        <v>0.995954080203443</v>
      </c>
      <c r="C4227">
        <v>0.98107630663911505</v>
      </c>
      <c r="D4227">
        <v>1.0260178326270299</v>
      </c>
      <c r="E4227">
        <v>0.91412362951229198</v>
      </c>
      <c r="F4227">
        <v>0.93520373881303598</v>
      </c>
      <c r="G4227">
        <v>0.70493059177705197</v>
      </c>
      <c r="H4227">
        <v>0.63735664557378202</v>
      </c>
      <c r="I4227">
        <v>0.69903387569098796</v>
      </c>
      <c r="J4227">
        <v>0.78478695619421801</v>
      </c>
      <c r="K4227">
        <v>0.76351099342234796</v>
      </c>
      <c r="L4227">
        <v>4364.0143944640204</v>
      </c>
      <c r="M4227">
        <v>81.165460163648703</v>
      </c>
      <c r="O4227">
        <v>53.734290621140097</v>
      </c>
      <c r="P4227">
        <v>-0.106700246626959</v>
      </c>
      <c r="Q4227">
        <v>0.71744336034918199</v>
      </c>
      <c r="R4227">
        <v>0.87880615001478601</v>
      </c>
      <c r="S4227" t="s">
        <v>11033</v>
      </c>
      <c r="T4227" t="s">
        <v>13610</v>
      </c>
      <c r="U4227" t="s">
        <v>13610</v>
      </c>
      <c r="V4227" t="s">
        <v>13610</v>
      </c>
      <c r="W4227" t="s">
        <v>17777</v>
      </c>
      <c r="X4227">
        <v>49</v>
      </c>
      <c r="Y4227" t="s">
        <v>24363</v>
      </c>
      <c r="Z4227" t="s">
        <v>31082</v>
      </c>
      <c r="AA4227">
        <v>0.84736099419052791</v>
      </c>
      <c r="AB4227" t="str">
        <f>HYPERLINK("Melting_Curves/meltCurve_Q7Z6E9_RBBP6.pdf", "Melting_Curves/meltCurve_Q7Z6E9_RBBP6.pdf")</f>
        <v>Melting_Curves/meltCurve_Q7Z6E9_RBBP6.pdf</v>
      </c>
    </row>
    <row r="4228" spans="1:28" x14ac:dyDescent="0.25">
      <c r="A4228" t="s">
        <v>4232</v>
      </c>
      <c r="B4228">
        <v>0.995954080203443</v>
      </c>
      <c r="C4228">
        <v>0.80244109778502404</v>
      </c>
      <c r="D4228">
        <v>0.62607435507473896</v>
      </c>
      <c r="E4228">
        <v>0.37220175819546297</v>
      </c>
      <c r="F4228">
        <v>0.24201817285314001</v>
      </c>
      <c r="G4228">
        <v>0.13874583896901799</v>
      </c>
      <c r="H4228">
        <v>0.104221205224554</v>
      </c>
      <c r="I4228">
        <v>0.109079886338558</v>
      </c>
      <c r="J4228">
        <v>0.13701241785193899</v>
      </c>
      <c r="K4228">
        <v>0.120210115020258</v>
      </c>
      <c r="L4228">
        <v>734.47466751269201</v>
      </c>
      <c r="M4228">
        <v>15.624443883538101</v>
      </c>
      <c r="N4228">
        <v>47.718109708276302</v>
      </c>
      <c r="O4228">
        <v>46.2582194116004</v>
      </c>
      <c r="P4228">
        <v>-7.5689522941784299E-2</v>
      </c>
      <c r="Q4228">
        <v>0.103722215043004</v>
      </c>
      <c r="R4228">
        <v>0.99408200225758503</v>
      </c>
      <c r="S4228" t="s">
        <v>11034</v>
      </c>
      <c r="T4228" t="s">
        <v>13610</v>
      </c>
      <c r="U4228" t="s">
        <v>13610</v>
      </c>
      <c r="V4228" t="s">
        <v>13610</v>
      </c>
      <c r="W4228" t="s">
        <v>17778</v>
      </c>
      <c r="X4228">
        <v>10</v>
      </c>
      <c r="Y4228" t="s">
        <v>24364</v>
      </c>
      <c r="Z4228" t="s">
        <v>31083</v>
      </c>
      <c r="AA4228">
        <v>0.33545951382514783</v>
      </c>
      <c r="AB4228" t="str">
        <f>HYPERLINK("Melting_Curves/meltCurve_Q7Z6J9_TSEN54.pdf", "Melting_Curves/meltCurve_Q7Z6J9_TSEN54.pdf")</f>
        <v>Melting_Curves/meltCurve_Q7Z6J9_TSEN54.pdf</v>
      </c>
    </row>
    <row r="4229" spans="1:28" x14ac:dyDescent="0.25">
      <c r="A4229" t="s">
        <v>4233</v>
      </c>
      <c r="B4229">
        <v>0.995954080203443</v>
      </c>
      <c r="C4229">
        <v>0.97219699669908199</v>
      </c>
      <c r="D4229">
        <v>0.91935439703484201</v>
      </c>
      <c r="E4229">
        <v>0.76246564757745205</v>
      </c>
      <c r="F4229">
        <v>0.59412546034829194</v>
      </c>
      <c r="G4229">
        <v>0.362855027105637</v>
      </c>
      <c r="H4229">
        <v>0.129851664967745</v>
      </c>
      <c r="I4229">
        <v>9.8617940611820498E-2</v>
      </c>
      <c r="J4229">
        <v>9.9643812280472199E-2</v>
      </c>
      <c r="K4229">
        <v>9.5992745770265106E-2</v>
      </c>
      <c r="L4229">
        <v>819.23338138132397</v>
      </c>
      <c r="M4229">
        <v>15.201802943761701</v>
      </c>
      <c r="N4229">
        <v>54.189494424127297</v>
      </c>
      <c r="O4229">
        <v>52.9837996387513</v>
      </c>
      <c r="P4229">
        <v>-6.8850084782496407E-2</v>
      </c>
      <c r="Q4229">
        <v>4.0221898961730299E-2</v>
      </c>
      <c r="R4229">
        <v>0.99600247470561998</v>
      </c>
      <c r="S4229" t="s">
        <v>11035</v>
      </c>
      <c r="T4229" t="s">
        <v>13610</v>
      </c>
      <c r="U4229" t="s">
        <v>13610</v>
      </c>
      <c r="V4229" t="s">
        <v>13610</v>
      </c>
      <c r="W4229" t="s">
        <v>17779</v>
      </c>
      <c r="X4229">
        <v>6</v>
      </c>
      <c r="Y4229" t="s">
        <v>24365</v>
      </c>
      <c r="Z4229" t="s">
        <v>31084</v>
      </c>
      <c r="AA4229">
        <v>0.50409124090373925</v>
      </c>
      <c r="AB4229" t="str">
        <f>HYPERLINK("Melting_Curves/meltCurve_Q7Z6K3_PTAR1.pdf", "Melting_Curves/meltCurve_Q7Z6K3_PTAR1.pdf")</f>
        <v>Melting_Curves/meltCurve_Q7Z6K3_PTAR1.pdf</v>
      </c>
    </row>
    <row r="4230" spans="1:28" x14ac:dyDescent="0.25">
      <c r="A4230" t="s">
        <v>4234</v>
      </c>
      <c r="B4230">
        <v>0.995954080203443</v>
      </c>
      <c r="C4230">
        <v>0.94232807179849798</v>
      </c>
      <c r="D4230">
        <v>1.0075990665599399</v>
      </c>
      <c r="E4230">
        <v>0.74640500143028898</v>
      </c>
      <c r="F4230">
        <v>0.52115587132567998</v>
      </c>
      <c r="G4230">
        <v>0.37222761168607599</v>
      </c>
      <c r="H4230">
        <v>0.36982901343844798</v>
      </c>
      <c r="I4230">
        <v>0.37402325127258301</v>
      </c>
      <c r="J4230">
        <v>0.48121550230892302</v>
      </c>
      <c r="K4230">
        <v>0.47098780780094901</v>
      </c>
      <c r="L4230">
        <v>1853.0751933228</v>
      </c>
      <c r="M4230">
        <v>36.726126661726298</v>
      </c>
      <c r="N4230">
        <v>53.009110384767403</v>
      </c>
      <c r="O4230">
        <v>50.307696686964398</v>
      </c>
      <c r="P4230">
        <v>-0.10682161743549499</v>
      </c>
      <c r="Q4230">
        <v>0.41470183389593401</v>
      </c>
      <c r="R4230">
        <v>0.97171234728336797</v>
      </c>
      <c r="S4230" t="s">
        <v>11036</v>
      </c>
      <c r="T4230" t="s">
        <v>13610</v>
      </c>
      <c r="U4230" t="s">
        <v>13610</v>
      </c>
      <c r="V4230" t="s">
        <v>13610</v>
      </c>
      <c r="W4230" t="s">
        <v>17780</v>
      </c>
      <c r="X4230">
        <v>3</v>
      </c>
      <c r="Y4230" t="s">
        <v>24366</v>
      </c>
      <c r="Z4230" t="s">
        <v>31085</v>
      </c>
      <c r="AA4230">
        <v>0.62113467414661017</v>
      </c>
      <c r="AB4230" t="str">
        <f>HYPERLINK("Melting_Curves/meltCurve_Q7Z6L1_TECPR1.pdf", "Melting_Curves/meltCurve_Q7Z6L1_TECPR1.pdf")</f>
        <v>Melting_Curves/meltCurve_Q7Z6L1_TECPR1.pdf</v>
      </c>
    </row>
    <row r="4231" spans="1:28" x14ac:dyDescent="0.25">
      <c r="A4231" t="s">
        <v>4235</v>
      </c>
      <c r="B4231">
        <v>0.995954080203443</v>
      </c>
      <c r="C4231">
        <v>1.00937827907289</v>
      </c>
      <c r="D4231">
        <v>0.98157937538016604</v>
      </c>
      <c r="E4231">
        <v>0.85792777672412801</v>
      </c>
      <c r="F4231">
        <v>0.733479844440585</v>
      </c>
      <c r="G4231">
        <v>0.47460112972659302</v>
      </c>
      <c r="H4231">
        <v>0.28731843091470299</v>
      </c>
      <c r="I4231">
        <v>0.199775591788377</v>
      </c>
      <c r="J4231">
        <v>0.18645940114468401</v>
      </c>
      <c r="K4231">
        <v>0.168303587252535</v>
      </c>
      <c r="L4231">
        <v>925.83809046853605</v>
      </c>
      <c r="M4231">
        <v>16.706513487246799</v>
      </c>
      <c r="N4231">
        <v>56.477789975768097</v>
      </c>
      <c r="O4231">
        <v>54.642041290908502</v>
      </c>
      <c r="P4231">
        <v>-6.6153994521697998E-2</v>
      </c>
      <c r="Q4231">
        <v>0.13457704222486999</v>
      </c>
      <c r="R4231">
        <v>0.99890331254720899</v>
      </c>
      <c r="S4231" t="s">
        <v>11037</v>
      </c>
      <c r="T4231" t="s">
        <v>13610</v>
      </c>
      <c r="U4231" t="s">
        <v>13610</v>
      </c>
      <c r="V4231" t="s">
        <v>13610</v>
      </c>
      <c r="W4231" t="s">
        <v>17781</v>
      </c>
      <c r="X4231">
        <v>18</v>
      </c>
      <c r="Y4231" t="s">
        <v>24367</v>
      </c>
      <c r="Z4231" t="s">
        <v>31086</v>
      </c>
      <c r="AA4231">
        <v>0.5937436084502441</v>
      </c>
      <c r="AB4231" t="str">
        <f>HYPERLINK("Melting_Curves/meltCurve_Q7Z6M1_RABEPK.pdf", "Melting_Curves/meltCurve_Q7Z6M1_RABEPK.pdf")</f>
        <v>Melting_Curves/meltCurve_Q7Z6M1_RABEPK.pdf</v>
      </c>
    </row>
    <row r="4232" spans="1:28" x14ac:dyDescent="0.25">
      <c r="A4232" t="s">
        <v>4236</v>
      </c>
      <c r="B4232">
        <v>0.995954080203443</v>
      </c>
      <c r="C4232">
        <v>0.94790059363120005</v>
      </c>
      <c r="D4232">
        <v>0.91773155087982805</v>
      </c>
      <c r="E4232">
        <v>0.90284960381861001</v>
      </c>
      <c r="F4232">
        <v>0.71601965047190697</v>
      </c>
      <c r="G4232">
        <v>0.49658686068396202</v>
      </c>
      <c r="H4232">
        <v>0.47971140389717598</v>
      </c>
      <c r="I4232">
        <v>0.561958643098039</v>
      </c>
      <c r="J4232">
        <v>0.67820408085813799</v>
      </c>
      <c r="K4232">
        <v>0.64817056257540995</v>
      </c>
      <c r="L4232">
        <v>2025.0275832708001</v>
      </c>
      <c r="M4232">
        <v>39.151308196328898</v>
      </c>
      <c r="O4232">
        <v>51.588723798321801</v>
      </c>
      <c r="P4232">
        <v>-8.08783375362125E-2</v>
      </c>
      <c r="Q4232">
        <v>0.57371531270697096</v>
      </c>
      <c r="R4232">
        <v>0.87284771755220203</v>
      </c>
      <c r="S4232" t="s">
        <v>11038</v>
      </c>
      <c r="T4232" t="s">
        <v>13610</v>
      </c>
      <c r="U4232" t="s">
        <v>13610</v>
      </c>
      <c r="V4232" t="s">
        <v>13610</v>
      </c>
      <c r="W4232" t="s">
        <v>17782</v>
      </c>
      <c r="X4232">
        <v>2</v>
      </c>
      <c r="Y4232" t="s">
        <v>24368</v>
      </c>
      <c r="Z4232" t="s">
        <v>31087</v>
      </c>
      <c r="AA4232">
        <v>0.7418854936268332</v>
      </c>
      <c r="AB4232" t="str">
        <f>HYPERLINK("Melting_Curves/meltCurve_Q7Z6M3_MILR1.pdf", "Melting_Curves/meltCurve_Q7Z6M3_MILR1.pdf")</f>
        <v>Melting_Curves/meltCurve_Q7Z6M3_MILR1.pdf</v>
      </c>
    </row>
    <row r="4233" spans="1:28" x14ac:dyDescent="0.25">
      <c r="A4233" t="s">
        <v>4237</v>
      </c>
      <c r="B4233">
        <v>0.995954080203443</v>
      </c>
      <c r="C4233">
        <v>1.0819637881842299</v>
      </c>
      <c r="D4233">
        <v>1.0662933572709301</v>
      </c>
      <c r="E4233">
        <v>0.94616990339407603</v>
      </c>
      <c r="F4233">
        <v>0.72212955852624605</v>
      </c>
      <c r="G4233">
        <v>0.504685461142238</v>
      </c>
      <c r="H4233">
        <v>0.27539986025068403</v>
      </c>
      <c r="I4233">
        <v>0.18162440404483601</v>
      </c>
      <c r="J4233">
        <v>0.14433465378354601</v>
      </c>
      <c r="K4233">
        <v>0.116502606190653</v>
      </c>
      <c r="L4233">
        <v>1043.90112615827</v>
      </c>
      <c r="M4233">
        <v>18.608351551267699</v>
      </c>
      <c r="N4233">
        <v>56.797706729067002</v>
      </c>
      <c r="O4233">
        <v>55.462722075468903</v>
      </c>
      <c r="P4233">
        <v>-7.5294964974996298E-2</v>
      </c>
      <c r="Q4233">
        <v>0.10236400152757801</v>
      </c>
      <c r="R4233">
        <v>0.98784723795811402</v>
      </c>
      <c r="S4233" t="s">
        <v>11039</v>
      </c>
      <c r="T4233" t="s">
        <v>13610</v>
      </c>
      <c r="U4233" t="s">
        <v>13610</v>
      </c>
      <c r="V4233" t="s">
        <v>13610</v>
      </c>
      <c r="W4233" t="s">
        <v>17783</v>
      </c>
      <c r="X4233">
        <v>5</v>
      </c>
      <c r="Y4233" t="s">
        <v>24369</v>
      </c>
      <c r="Z4233" t="s">
        <v>31088</v>
      </c>
      <c r="AA4233">
        <v>0.59668473679142719</v>
      </c>
      <c r="AB4233" t="str">
        <f>HYPERLINK("Melting_Curves/meltCurve_Q7Z6V5_ADAT2.pdf", "Melting_Curves/meltCurve_Q7Z6V5_ADAT2.pdf")</f>
        <v>Melting_Curves/meltCurve_Q7Z6V5_ADAT2.pdf</v>
      </c>
    </row>
    <row r="4234" spans="1:28" x14ac:dyDescent="0.25">
      <c r="A4234" t="s">
        <v>4238</v>
      </c>
      <c r="B4234">
        <v>0.995954080203443</v>
      </c>
      <c r="C4234">
        <v>0.70310694184928602</v>
      </c>
      <c r="D4234">
        <v>0.42126039186013198</v>
      </c>
      <c r="E4234">
        <v>1.08347577014605</v>
      </c>
      <c r="F4234">
        <v>0.60170618941903398</v>
      </c>
      <c r="G4234">
        <v>0.24272136122736801</v>
      </c>
      <c r="H4234">
        <v>7.8862670268892696E-2</v>
      </c>
      <c r="I4234">
        <v>6.9222673933011902E-2</v>
      </c>
      <c r="J4234">
        <v>4.3119187620320402E-2</v>
      </c>
      <c r="K4234">
        <v>4.6570184269643398E-2</v>
      </c>
      <c r="L4234">
        <v>580.14463258135504</v>
      </c>
      <c r="M4234">
        <v>10.9272710129866</v>
      </c>
      <c r="N4234">
        <v>53.091445447850099</v>
      </c>
      <c r="O4234">
        <v>51.406239978226203</v>
      </c>
      <c r="P4234">
        <v>-5.3160146939780301E-2</v>
      </c>
      <c r="Q4234">
        <v>0</v>
      </c>
      <c r="R4234">
        <v>0.69105147115524101</v>
      </c>
      <c r="S4234" t="s">
        <v>11040</v>
      </c>
      <c r="T4234" t="s">
        <v>13610</v>
      </c>
      <c r="U4234" t="s">
        <v>13610</v>
      </c>
      <c r="V4234" t="s">
        <v>13610</v>
      </c>
      <c r="W4234" t="s">
        <v>17784</v>
      </c>
      <c r="X4234">
        <v>6</v>
      </c>
      <c r="Y4234" t="s">
        <v>24370</v>
      </c>
      <c r="Z4234" t="s">
        <v>31089</v>
      </c>
      <c r="AA4234">
        <v>0.46754741322359378</v>
      </c>
      <c r="AB4234" t="str">
        <f>HYPERLINK("Melting_Curves/meltCurve_Q7Z794_KRT77.pdf", "Melting_Curves/meltCurve_Q7Z794_KRT77.pdf")</f>
        <v>Melting_Curves/meltCurve_Q7Z794_KRT77.pdf</v>
      </c>
    </row>
    <row r="4235" spans="1:28" x14ac:dyDescent="0.25">
      <c r="A4235" t="s">
        <v>4239</v>
      </c>
      <c r="B4235">
        <v>0.995954080203443</v>
      </c>
      <c r="C4235">
        <v>0.93564208988955899</v>
      </c>
      <c r="D4235">
        <v>0.95309544539552005</v>
      </c>
      <c r="E4235">
        <v>0.76197464988531405</v>
      </c>
      <c r="F4235">
        <v>0.64546502763498803</v>
      </c>
      <c r="G4235">
        <v>0.43387935600613797</v>
      </c>
      <c r="H4235">
        <v>0.32911917575051503</v>
      </c>
      <c r="I4235">
        <v>0.33797123973472998</v>
      </c>
      <c r="J4235">
        <v>0.45097759437829399</v>
      </c>
      <c r="K4235">
        <v>0.38672310237336899</v>
      </c>
      <c r="L4235">
        <v>1026.0253531721701</v>
      </c>
      <c r="M4235">
        <v>19.8673427171423</v>
      </c>
      <c r="N4235">
        <v>55.287175129095502</v>
      </c>
      <c r="O4235">
        <v>51.129126950871402</v>
      </c>
      <c r="P4235">
        <v>-6.1689122302442202E-2</v>
      </c>
      <c r="Q4235">
        <v>0.36498692842653901</v>
      </c>
      <c r="R4235">
        <v>0.97282831676914905</v>
      </c>
      <c r="S4235" t="s">
        <v>11041</v>
      </c>
      <c r="T4235" t="s">
        <v>13610</v>
      </c>
      <c r="U4235" t="s">
        <v>13610</v>
      </c>
      <c r="V4235" t="s">
        <v>13610</v>
      </c>
      <c r="W4235" t="s">
        <v>17785</v>
      </c>
      <c r="X4235">
        <v>22</v>
      </c>
      <c r="Y4235" t="s">
        <v>24371</v>
      </c>
      <c r="Z4235" t="s">
        <v>31090</v>
      </c>
      <c r="AA4235">
        <v>0.62035920956375468</v>
      </c>
      <c r="AB4235" t="str">
        <f>HYPERLINK("Melting_Curves/meltCurve_Q7Z7A1_5_CNTRL.pdf", "Melting_Curves/meltCurve_Q7Z7A1_5_CNTRL.pdf")</f>
        <v>Melting_Curves/meltCurve_Q7Z7A1_5_CNTRL.pdf</v>
      </c>
    </row>
    <row r="4236" spans="1:28" x14ac:dyDescent="0.25">
      <c r="A4236" t="s">
        <v>4240</v>
      </c>
      <c r="B4236">
        <v>0.995954080203443</v>
      </c>
      <c r="C4236">
        <v>0.86488048175507104</v>
      </c>
      <c r="D4236">
        <v>0.72205978294869599</v>
      </c>
      <c r="E4236">
        <v>0.49939827553593003</v>
      </c>
      <c r="F4236">
        <v>0.30639644180741998</v>
      </c>
      <c r="G4236">
        <v>0.17837284480217699</v>
      </c>
      <c r="H4236">
        <v>0.140144569588042</v>
      </c>
      <c r="I4236">
        <v>0.148992690181495</v>
      </c>
      <c r="J4236">
        <v>0.178529145463167</v>
      </c>
      <c r="K4236">
        <v>0.17014782309519499</v>
      </c>
      <c r="L4236">
        <v>751.79178973448097</v>
      </c>
      <c r="M4236">
        <v>15.5449059953353</v>
      </c>
      <c r="N4236">
        <v>49.383518735522003</v>
      </c>
      <c r="O4236">
        <v>47.5834233647617</v>
      </c>
      <c r="P4236">
        <v>-7.0454488033311904E-2</v>
      </c>
      <c r="Q4236">
        <v>0.137422435441518</v>
      </c>
      <c r="R4236">
        <v>0.99279119472534705</v>
      </c>
      <c r="S4236" t="s">
        <v>11042</v>
      </c>
      <c r="T4236" t="s">
        <v>13610</v>
      </c>
      <c r="U4236" t="s">
        <v>13610</v>
      </c>
      <c r="V4236" t="s">
        <v>13610</v>
      </c>
      <c r="W4236" t="s">
        <v>17786</v>
      </c>
      <c r="X4236">
        <v>15</v>
      </c>
      <c r="Y4236" t="s">
        <v>24372</v>
      </c>
      <c r="Z4236" t="s">
        <v>31091</v>
      </c>
      <c r="AA4236">
        <v>0.39823202253898099</v>
      </c>
      <c r="AB4236" t="str">
        <f>HYPERLINK("Melting_Curves/meltCurve_Q7Z7A3_CTU1.pdf", "Melting_Curves/meltCurve_Q7Z7A3_CTU1.pdf")</f>
        <v>Melting_Curves/meltCurve_Q7Z7A3_CTU1.pdf</v>
      </c>
    </row>
    <row r="4237" spans="1:28" x14ac:dyDescent="0.25">
      <c r="A4237" t="s">
        <v>4241</v>
      </c>
      <c r="B4237">
        <v>0.995954080203443</v>
      </c>
      <c r="C4237">
        <v>1.0376103402391901</v>
      </c>
      <c r="D4237">
        <v>0.95602454069548004</v>
      </c>
      <c r="E4237">
        <v>0.66070530429830798</v>
      </c>
      <c r="F4237">
        <v>0.18011997977225699</v>
      </c>
      <c r="G4237">
        <v>9.7473031396932003E-2</v>
      </c>
      <c r="H4237">
        <v>5.8803136996437903E-2</v>
      </c>
      <c r="I4237">
        <v>5.3435935047245503E-2</v>
      </c>
      <c r="J4237">
        <v>6.3973651313369601E-2</v>
      </c>
      <c r="K4237">
        <v>3.25709669991971E-2</v>
      </c>
      <c r="L4237">
        <v>2077.3201110822502</v>
      </c>
      <c r="M4237">
        <v>40.998804279359199</v>
      </c>
      <c r="N4237">
        <v>50.8193330817111</v>
      </c>
      <c r="O4237">
        <v>50.547724854412898</v>
      </c>
      <c r="P4237">
        <v>-0.19110784325038899</v>
      </c>
      <c r="Q4237">
        <v>5.7528751549274601E-2</v>
      </c>
      <c r="R4237">
        <v>0.99768126395127399</v>
      </c>
      <c r="S4237" t="s">
        <v>11043</v>
      </c>
      <c r="T4237" t="s">
        <v>13610</v>
      </c>
      <c r="U4237" t="s">
        <v>13610</v>
      </c>
      <c r="V4237" t="s">
        <v>13610</v>
      </c>
      <c r="W4237" t="s">
        <v>17787</v>
      </c>
      <c r="X4237">
        <v>9</v>
      </c>
      <c r="Y4237" t="s">
        <v>24373</v>
      </c>
      <c r="Z4237" t="s">
        <v>31092</v>
      </c>
      <c r="AA4237">
        <v>0.39580689481987991</v>
      </c>
      <c r="AB4237" t="str">
        <f>HYPERLINK("Melting_Curves/meltCurve_Q7Z7A4_PXK.pdf", "Melting_Curves/meltCurve_Q7Z7A4_PXK.pdf")</f>
        <v>Melting_Curves/meltCurve_Q7Z7A4_PXK.pdf</v>
      </c>
    </row>
    <row r="4238" spans="1:28" x14ac:dyDescent="0.25">
      <c r="A4238" t="s">
        <v>4242</v>
      </c>
      <c r="B4238">
        <v>0.995954080203443</v>
      </c>
      <c r="C4238">
        <v>0.97214883203178903</v>
      </c>
      <c r="D4238">
        <v>0.85498418809598498</v>
      </c>
      <c r="E4238">
        <v>0.84782681473775701</v>
      </c>
      <c r="F4238">
        <v>0.64140392866927398</v>
      </c>
      <c r="G4238">
        <v>0.31815475343319399</v>
      </c>
      <c r="H4238">
        <v>0.27030194496691401</v>
      </c>
      <c r="I4238">
        <v>0.28492622314688199</v>
      </c>
      <c r="J4238">
        <v>0.28471754754624701</v>
      </c>
      <c r="K4238">
        <v>0.314119144450344</v>
      </c>
      <c r="L4238">
        <v>1280.8558300237901</v>
      </c>
      <c r="M4238">
        <v>24.339748546268201</v>
      </c>
      <c r="N4238">
        <v>54.378671614861801</v>
      </c>
      <c r="O4238">
        <v>52.272672164410402</v>
      </c>
      <c r="P4238">
        <v>-8.4743168819377795E-2</v>
      </c>
      <c r="Q4238">
        <v>0.27202444091518901</v>
      </c>
      <c r="R4238">
        <v>0.97475980063839096</v>
      </c>
      <c r="S4238" t="s">
        <v>11044</v>
      </c>
      <c r="T4238" t="s">
        <v>13610</v>
      </c>
      <c r="U4238" t="s">
        <v>13610</v>
      </c>
      <c r="V4238" t="s">
        <v>13610</v>
      </c>
      <c r="W4238" t="s">
        <v>17788</v>
      </c>
      <c r="X4238">
        <v>5</v>
      </c>
      <c r="Y4238" t="s">
        <v>24374</v>
      </c>
      <c r="Z4238" t="s">
        <v>31093</v>
      </c>
      <c r="AA4238">
        <v>0.58538733291249656</v>
      </c>
      <c r="AB4238" t="str">
        <f>HYPERLINK("Melting_Curves/meltCurve_Q7Z7C8_TAF8.pdf", "Melting_Curves/meltCurve_Q7Z7C8_TAF8.pdf")</f>
        <v>Melting_Curves/meltCurve_Q7Z7C8_TAF8.pdf</v>
      </c>
    </row>
    <row r="4239" spans="1:28" x14ac:dyDescent="0.25">
      <c r="A4239" t="s">
        <v>4243</v>
      </c>
      <c r="B4239">
        <v>0.995954080203443</v>
      </c>
      <c r="C4239">
        <v>1.0335218390244401</v>
      </c>
      <c r="D4239">
        <v>1.0697003112044201</v>
      </c>
      <c r="E4239">
        <v>0.84251100958123704</v>
      </c>
      <c r="F4239">
        <v>0.57860118851207698</v>
      </c>
      <c r="G4239">
        <v>0.220017900200148</v>
      </c>
      <c r="H4239">
        <v>0.106786756883734</v>
      </c>
      <c r="I4239">
        <v>9.4837529565583098E-2</v>
      </c>
      <c r="J4239">
        <v>0.111788374011785</v>
      </c>
      <c r="K4239">
        <v>9.3062075808991798E-2</v>
      </c>
      <c r="L4239">
        <v>1470.34801318768</v>
      </c>
      <c r="M4239">
        <v>27.6374928498198</v>
      </c>
      <c r="N4239">
        <v>53.600563489877104</v>
      </c>
      <c r="O4239">
        <v>52.925015331959699</v>
      </c>
      <c r="P4239">
        <v>-0.118403738824401</v>
      </c>
      <c r="Q4239">
        <v>9.3049002055085095E-2</v>
      </c>
      <c r="R4239">
        <v>0.99465837495012399</v>
      </c>
      <c r="S4239" t="s">
        <v>11045</v>
      </c>
      <c r="T4239" t="s">
        <v>13610</v>
      </c>
      <c r="U4239" t="s">
        <v>13610</v>
      </c>
      <c r="V4239" t="s">
        <v>13610</v>
      </c>
      <c r="W4239" t="s">
        <v>17789</v>
      </c>
      <c r="X4239">
        <v>11</v>
      </c>
      <c r="Y4239" t="s">
        <v>24375</v>
      </c>
      <c r="Z4239" t="s">
        <v>31094</v>
      </c>
      <c r="AA4239">
        <v>0.49905809813608898</v>
      </c>
      <c r="AB4239" t="str">
        <f>HYPERLINK("Melting_Curves/meltCurve_Q7Z7E8_UBE2Q1.pdf", "Melting_Curves/meltCurve_Q7Z7E8_UBE2Q1.pdf")</f>
        <v>Melting_Curves/meltCurve_Q7Z7E8_UBE2Q1.pdf</v>
      </c>
    </row>
    <row r="4240" spans="1:28" x14ac:dyDescent="0.25">
      <c r="A4240" t="s">
        <v>4244</v>
      </c>
      <c r="B4240">
        <v>0.995954080203443</v>
      </c>
      <c r="C4240">
        <v>0.87025386105955604</v>
      </c>
      <c r="D4240">
        <v>0.82463540344864406</v>
      </c>
      <c r="E4240">
        <v>0.65295112481994499</v>
      </c>
      <c r="F4240">
        <v>0.59133405542445205</v>
      </c>
      <c r="G4240">
        <v>0.350617680413077</v>
      </c>
      <c r="H4240">
        <v>0.26404140855744801</v>
      </c>
      <c r="I4240">
        <v>0.26123483755884402</v>
      </c>
      <c r="J4240">
        <v>0.31271548356526402</v>
      </c>
      <c r="K4240">
        <v>0.29145829911356702</v>
      </c>
      <c r="L4240">
        <v>610.06769409566698</v>
      </c>
      <c r="M4240">
        <v>12.0093802376781</v>
      </c>
      <c r="N4240">
        <v>53.551887015804098</v>
      </c>
      <c r="O4240">
        <v>49.4522217788479</v>
      </c>
      <c r="P4240">
        <v>-4.6741311839823198E-2</v>
      </c>
      <c r="Q4240">
        <v>0.23029956941996399</v>
      </c>
      <c r="R4240">
        <v>0.97570490990022496</v>
      </c>
      <c r="S4240" t="s">
        <v>11046</v>
      </c>
      <c r="T4240" t="s">
        <v>13610</v>
      </c>
      <c r="U4240" t="s">
        <v>13610</v>
      </c>
      <c r="V4240" t="s">
        <v>13610</v>
      </c>
      <c r="W4240" t="s">
        <v>17790</v>
      </c>
      <c r="X4240">
        <v>12</v>
      </c>
      <c r="Y4240" t="s">
        <v>24376</v>
      </c>
      <c r="Z4240" t="s">
        <v>31095</v>
      </c>
      <c r="AA4240">
        <v>0.53275427214674587</v>
      </c>
      <c r="AB4240" t="str">
        <f>HYPERLINK("Melting_Curves/meltCurve_Q7Z7F0_KIAA0907.pdf", "Melting_Curves/meltCurve_Q7Z7F0_KIAA0907.pdf")</f>
        <v>Melting_Curves/meltCurve_Q7Z7F0_KIAA0907.pdf</v>
      </c>
    </row>
    <row r="4241" spans="1:28" x14ac:dyDescent="0.25">
      <c r="A4241" t="s">
        <v>4245</v>
      </c>
      <c r="B4241">
        <v>0.995954080203443</v>
      </c>
      <c r="C4241">
        <v>0.71719302808054597</v>
      </c>
      <c r="D4241">
        <v>0.59077653831676602</v>
      </c>
      <c r="E4241">
        <v>0.53759932064650495</v>
      </c>
      <c r="F4241">
        <v>0.37818244154924602</v>
      </c>
      <c r="G4241">
        <v>0.23334089301667801</v>
      </c>
      <c r="H4241">
        <v>0.173662875955406</v>
      </c>
      <c r="I4241">
        <v>0.17453977650673799</v>
      </c>
      <c r="J4241">
        <v>0.189284050733698</v>
      </c>
      <c r="K4241">
        <v>0.18079651573112501</v>
      </c>
      <c r="L4241">
        <v>491.98366888489699</v>
      </c>
      <c r="M4241">
        <v>10.322176982182199</v>
      </c>
      <c r="N4241">
        <v>49.082884045439897</v>
      </c>
      <c r="O4241">
        <v>45.977895850935198</v>
      </c>
      <c r="P4241">
        <v>-4.8901444039245498E-2</v>
      </c>
      <c r="Q4241">
        <v>0.12909180577660601</v>
      </c>
      <c r="R4241">
        <v>0.96144713237085</v>
      </c>
      <c r="S4241" t="s">
        <v>11047</v>
      </c>
      <c r="T4241" t="s">
        <v>13610</v>
      </c>
      <c r="U4241" t="s">
        <v>13610</v>
      </c>
      <c r="V4241" t="s">
        <v>13610</v>
      </c>
      <c r="W4241" t="s">
        <v>17791</v>
      </c>
      <c r="X4241">
        <v>1</v>
      </c>
      <c r="Y4241" t="s">
        <v>24377</v>
      </c>
      <c r="Z4241" t="s">
        <v>31096</v>
      </c>
      <c r="AA4241">
        <v>0.39660320644802027</v>
      </c>
      <c r="AB4241" t="str">
        <f>HYPERLINK("Melting_Curves/meltCurve_Q7Z7F7_MRPL55.pdf", "Melting_Curves/meltCurve_Q7Z7F7_MRPL55.pdf")</f>
        <v>Melting_Curves/meltCurve_Q7Z7F7_MRPL55.pdf</v>
      </c>
    </row>
    <row r="4242" spans="1:28" x14ac:dyDescent="0.25">
      <c r="A4242" t="s">
        <v>4246</v>
      </c>
      <c r="B4242">
        <v>0.995954080203443</v>
      </c>
      <c r="C4242">
        <v>0.81449265096066104</v>
      </c>
      <c r="D4242">
        <v>0.629539694831178</v>
      </c>
      <c r="E4242">
        <v>0.58233028079974303</v>
      </c>
      <c r="F4242">
        <v>0.320990516400462</v>
      </c>
      <c r="G4242">
        <v>0.211984433651666</v>
      </c>
      <c r="H4242">
        <v>0.14065976452165899</v>
      </c>
      <c r="I4242">
        <v>0.11645810724361901</v>
      </c>
      <c r="J4242">
        <v>0.135945613758955</v>
      </c>
      <c r="K4242">
        <v>0.118218164817805</v>
      </c>
      <c r="L4242">
        <v>548.78326362714995</v>
      </c>
      <c r="M4242">
        <v>11.2000313068911</v>
      </c>
      <c r="N4242">
        <v>49.669739326155003</v>
      </c>
      <c r="O4242">
        <v>47.514194426394297</v>
      </c>
      <c r="P4242">
        <v>-5.4807773621898002E-2</v>
      </c>
      <c r="Q4242">
        <v>7.0242659360247095E-2</v>
      </c>
      <c r="R4242">
        <v>0.97666471665709098</v>
      </c>
      <c r="S4242" t="s">
        <v>11048</v>
      </c>
      <c r="T4242" t="s">
        <v>13610</v>
      </c>
      <c r="U4242" t="s">
        <v>13610</v>
      </c>
      <c r="V4242" t="s">
        <v>13610</v>
      </c>
      <c r="W4242" t="s">
        <v>17792</v>
      </c>
      <c r="X4242">
        <v>10</v>
      </c>
      <c r="Y4242" t="s">
        <v>24378</v>
      </c>
      <c r="Z4242" t="s">
        <v>31097</v>
      </c>
      <c r="AA4242">
        <v>0.38736451286663037</v>
      </c>
      <c r="AB4242" t="str">
        <f>HYPERLINK("Melting_Curves/meltCurve_Q7Z7G8_2_VPS13B.pdf", "Melting_Curves/meltCurve_Q7Z7G8_2_VPS13B.pdf")</f>
        <v>Melting_Curves/meltCurve_Q7Z7G8_2_VPS13B.pdf</v>
      </c>
    </row>
    <row r="4243" spans="1:28" x14ac:dyDescent="0.25">
      <c r="A4243" t="s">
        <v>4247</v>
      </c>
      <c r="B4243">
        <v>0.995954080203443</v>
      </c>
      <c r="C4243">
        <v>1.20042985496512</v>
      </c>
      <c r="D4243">
        <v>1.3322062862975199</v>
      </c>
      <c r="E4243">
        <v>1.1220794632382201</v>
      </c>
      <c r="F4243">
        <v>1.03301413038301</v>
      </c>
      <c r="G4243">
        <v>0.72965907821946296</v>
      </c>
      <c r="H4243">
        <v>0.71710335548424098</v>
      </c>
      <c r="I4243">
        <v>0.84169420650424898</v>
      </c>
      <c r="J4243">
        <v>0.94962640055873704</v>
      </c>
      <c r="K4243">
        <v>0.95391094648380803</v>
      </c>
      <c r="L4243">
        <v>4414.8409202468602</v>
      </c>
      <c r="M4243">
        <v>80.813196156213195</v>
      </c>
      <c r="O4243">
        <v>54.596772164705897</v>
      </c>
      <c r="P4243">
        <v>-5.9653947458992197E-2</v>
      </c>
      <c r="Q4243">
        <v>0.83879303267997196</v>
      </c>
      <c r="R4243">
        <v>0.36458543814754002</v>
      </c>
      <c r="S4243" t="s">
        <v>11049</v>
      </c>
      <c r="T4243" t="s">
        <v>13610</v>
      </c>
      <c r="U4243" t="s">
        <v>13610</v>
      </c>
      <c r="V4243" t="s">
        <v>13610</v>
      </c>
      <c r="W4243" t="s">
        <v>17793</v>
      </c>
      <c r="X4243">
        <v>2</v>
      </c>
      <c r="Y4243" t="s">
        <v>24379</v>
      </c>
      <c r="Z4243" t="s">
        <v>31098</v>
      </c>
      <c r="AA4243">
        <v>0.91755755612082313</v>
      </c>
      <c r="AB4243" t="str">
        <f>HYPERLINK("Melting_Curves/meltCurve_Q7Z7K0_CMC1.pdf", "Melting_Curves/meltCurve_Q7Z7K0_CMC1.pdf")</f>
        <v>Melting_Curves/meltCurve_Q7Z7K0_CMC1.pdf</v>
      </c>
    </row>
    <row r="4244" spans="1:28" x14ac:dyDescent="0.25">
      <c r="A4244" t="s">
        <v>4248</v>
      </c>
      <c r="B4244">
        <v>0.995954080203443</v>
      </c>
      <c r="C4244">
        <v>0.67543767900086404</v>
      </c>
      <c r="D4244">
        <v>0.68697815856415101</v>
      </c>
      <c r="E4244">
        <v>0.56661627778955803</v>
      </c>
      <c r="F4244">
        <v>0.68584605361908002</v>
      </c>
      <c r="G4244">
        <v>0.73582582452309298</v>
      </c>
      <c r="H4244">
        <v>0.763494513673311</v>
      </c>
      <c r="I4244">
        <v>0.99826517291057804</v>
      </c>
      <c r="J4244">
        <v>0.98170841410895804</v>
      </c>
      <c r="K4244">
        <v>1.1307719417978399</v>
      </c>
      <c r="L4244">
        <v>10154.5373062911</v>
      </c>
      <c r="M4244">
        <v>250</v>
      </c>
      <c r="O4244">
        <v>40.615550169705202</v>
      </c>
      <c r="P4244">
        <v>-0.30349895454605802</v>
      </c>
      <c r="Q4244">
        <v>0.80277156914328496</v>
      </c>
      <c r="R4244">
        <v>0.106123078913878</v>
      </c>
      <c r="S4244" t="s">
        <v>11050</v>
      </c>
      <c r="T4244" t="s">
        <v>13610</v>
      </c>
      <c r="U4244" t="s">
        <v>13610</v>
      </c>
      <c r="V4244" t="s">
        <v>13610</v>
      </c>
      <c r="W4244" t="s">
        <v>17794</v>
      </c>
      <c r="X4244">
        <v>3</v>
      </c>
      <c r="Y4244" t="s">
        <v>24380</v>
      </c>
      <c r="Z4244" t="s">
        <v>31099</v>
      </c>
      <c r="AA4244">
        <v>0.80687087057007778</v>
      </c>
      <c r="AB4244" t="str">
        <f>HYPERLINK("Melting_Curves/meltCurve_Q7Z7K6_3_CENPV.pdf", "Melting_Curves/meltCurve_Q7Z7K6_3_CENPV.pdf")</f>
        <v>Melting_Curves/meltCurve_Q7Z7K6_3_CENPV.pdf</v>
      </c>
    </row>
    <row r="4245" spans="1:28" x14ac:dyDescent="0.25">
      <c r="A4245" t="s">
        <v>4249</v>
      </c>
      <c r="B4245">
        <v>0.995954080203443</v>
      </c>
      <c r="C4245">
        <v>0.85144166601749105</v>
      </c>
      <c r="D4245">
        <v>0.64590053964767602</v>
      </c>
      <c r="E4245">
        <v>0.45834436430640002</v>
      </c>
      <c r="F4245">
        <v>0.285063459818862</v>
      </c>
      <c r="G4245">
        <v>0.18118332249837499</v>
      </c>
      <c r="H4245">
        <v>0.128678377608099</v>
      </c>
      <c r="I4245">
        <v>0.12604191114136301</v>
      </c>
      <c r="J4245">
        <v>0.16760668341735799</v>
      </c>
      <c r="K4245">
        <v>0.140895121879135</v>
      </c>
      <c r="L4245">
        <v>703.05307708692703</v>
      </c>
      <c r="M4245">
        <v>14.7318320681877</v>
      </c>
      <c r="N4245">
        <v>48.650255907887001</v>
      </c>
      <c r="O4245">
        <v>46.869910359534302</v>
      </c>
      <c r="P4245">
        <v>-6.8971016842264005E-2</v>
      </c>
      <c r="Q4245">
        <v>0.122359011821658</v>
      </c>
      <c r="R4245">
        <v>0.99255640366971498</v>
      </c>
      <c r="S4245" t="s">
        <v>11051</v>
      </c>
      <c r="T4245" t="s">
        <v>13610</v>
      </c>
      <c r="U4245" t="s">
        <v>13610</v>
      </c>
      <c r="V4245" t="s">
        <v>13610</v>
      </c>
      <c r="W4245" t="s">
        <v>17795</v>
      </c>
      <c r="X4245">
        <v>5</v>
      </c>
      <c r="Y4245" t="s">
        <v>24381</v>
      </c>
      <c r="Z4245" t="s">
        <v>31100</v>
      </c>
      <c r="AA4245">
        <v>0.37203657459604461</v>
      </c>
      <c r="AB4245" t="str">
        <f>HYPERLINK("Melting_Curves/meltCurve_Q86SE9_PCGF5.pdf", "Melting_Curves/meltCurve_Q86SE9_PCGF5.pdf")</f>
        <v>Melting_Curves/meltCurve_Q86SE9_PCGF5.pdf</v>
      </c>
    </row>
    <row r="4246" spans="1:28" x14ac:dyDescent="0.25">
      <c r="A4246" t="s">
        <v>4250</v>
      </c>
      <c r="B4246">
        <v>0.995954080203443</v>
      </c>
      <c r="C4246">
        <v>1.0495579439263001</v>
      </c>
      <c r="D4246">
        <v>0.81032398169100395</v>
      </c>
      <c r="E4246">
        <v>0.73121126083250598</v>
      </c>
      <c r="F4246">
        <v>0.45533781126740802</v>
      </c>
      <c r="G4246">
        <v>0.18027520474870001</v>
      </c>
      <c r="H4246">
        <v>5.5729849178213102E-2</v>
      </c>
      <c r="I4246">
        <v>3.0724960385145099E-2</v>
      </c>
      <c r="J4246">
        <v>0</v>
      </c>
      <c r="K4246">
        <v>2.7806833830098798E-2</v>
      </c>
      <c r="L4246">
        <v>917.85063872081798</v>
      </c>
      <c r="M4246">
        <v>17.5392506497673</v>
      </c>
      <c r="N4246">
        <v>52.331235217995399</v>
      </c>
      <c r="O4246">
        <v>51.665168027115499</v>
      </c>
      <c r="P4246">
        <v>-8.4874441556548497E-2</v>
      </c>
      <c r="Q4246">
        <v>0</v>
      </c>
      <c r="R4246">
        <v>0.988257656011712</v>
      </c>
      <c r="S4246" t="s">
        <v>11052</v>
      </c>
      <c r="T4246" t="s">
        <v>13610</v>
      </c>
      <c r="U4246" t="s">
        <v>13610</v>
      </c>
      <c r="V4246" t="s">
        <v>13610</v>
      </c>
      <c r="W4246" t="s">
        <v>17796</v>
      </c>
      <c r="X4246">
        <v>2</v>
      </c>
      <c r="Y4246" t="s">
        <v>24382</v>
      </c>
      <c r="Z4246" t="s">
        <v>31101</v>
      </c>
      <c r="AA4246">
        <v>0.42833082987899102</v>
      </c>
      <c r="AB4246" t="str">
        <f>HYPERLINK("Melting_Curves/meltCurve_Q86SG6_NEK8.pdf", "Melting_Curves/meltCurve_Q86SG6_NEK8.pdf")</f>
        <v>Melting_Curves/meltCurve_Q86SG6_NEK8.pdf</v>
      </c>
    </row>
    <row r="4247" spans="1:28" x14ac:dyDescent="0.25">
      <c r="A4247" t="s">
        <v>4251</v>
      </c>
      <c r="B4247">
        <v>0.995954080203443</v>
      </c>
      <c r="C4247">
        <v>0.85787919659588796</v>
      </c>
      <c r="D4247">
        <v>0.86935829194721703</v>
      </c>
      <c r="E4247">
        <v>0.70130633141286802</v>
      </c>
      <c r="F4247">
        <v>0.79084782521676</v>
      </c>
      <c r="G4247">
        <v>0.79638500295714698</v>
      </c>
      <c r="H4247">
        <v>0.82853649954172404</v>
      </c>
      <c r="I4247">
        <v>1.07030995004992</v>
      </c>
      <c r="J4247">
        <v>1.33318613919246</v>
      </c>
      <c r="K4247">
        <v>1.3531366358781001</v>
      </c>
      <c r="L4247">
        <v>7760.7847740820098</v>
      </c>
      <c r="M4247">
        <v>119.86866047610199</v>
      </c>
      <c r="O4247">
        <v>64.726053051798502</v>
      </c>
      <c r="P4247">
        <v>0.160349761533298</v>
      </c>
      <c r="Q4247">
        <v>1.3463392970485699</v>
      </c>
      <c r="R4247">
        <v>0.481696066503216</v>
      </c>
      <c r="S4247" t="s">
        <v>11053</v>
      </c>
      <c r="T4247" t="s">
        <v>13610</v>
      </c>
      <c r="U4247" t="s">
        <v>13610</v>
      </c>
      <c r="V4247" t="s">
        <v>13610</v>
      </c>
      <c r="W4247" t="s">
        <v>17797</v>
      </c>
      <c r="X4247">
        <v>2</v>
      </c>
      <c r="Y4247" t="s">
        <v>24383</v>
      </c>
      <c r="Z4247" t="s">
        <v>31102</v>
      </c>
      <c r="AA4247">
        <v>1.060507465611864</v>
      </c>
      <c r="AB4247" t="str">
        <f>HYPERLINK("Melting_Curves/meltCurve_Q86SQ4_2_GPR126.pdf", "Melting_Curves/meltCurve_Q86SQ4_2_GPR126.pdf")</f>
        <v>Melting_Curves/meltCurve_Q86SQ4_2_GPR126.pdf</v>
      </c>
    </row>
    <row r="4248" spans="1:28" x14ac:dyDescent="0.25">
      <c r="A4248" t="s">
        <v>4252</v>
      </c>
      <c r="B4248">
        <v>0.995954080203443</v>
      </c>
      <c r="C4248">
        <v>0.96716900374455195</v>
      </c>
      <c r="D4248">
        <v>1.0322841103954901</v>
      </c>
      <c r="E4248">
        <v>0.76653648803390195</v>
      </c>
      <c r="F4248">
        <v>0.66573238472787899</v>
      </c>
      <c r="G4248">
        <v>0.526101712037778</v>
      </c>
      <c r="H4248">
        <v>0.45520205302795802</v>
      </c>
      <c r="I4248">
        <v>0.53578758202269405</v>
      </c>
      <c r="J4248">
        <v>0.62562350603934502</v>
      </c>
      <c r="K4248">
        <v>0.69684493000967995</v>
      </c>
      <c r="L4248">
        <v>1823.8692726808299</v>
      </c>
      <c r="M4248">
        <v>36.458261202557097</v>
      </c>
      <c r="O4248">
        <v>49.8764316285219</v>
      </c>
      <c r="P4248">
        <v>-7.8048809738793995E-2</v>
      </c>
      <c r="Q4248">
        <v>0.57290507302467497</v>
      </c>
      <c r="R4248">
        <v>0.89233023715599702</v>
      </c>
      <c r="S4248" t="s">
        <v>11054</v>
      </c>
      <c r="T4248" t="s">
        <v>13610</v>
      </c>
      <c r="U4248" t="s">
        <v>13610</v>
      </c>
      <c r="V4248" t="s">
        <v>13610</v>
      </c>
      <c r="W4248" t="s">
        <v>17798</v>
      </c>
      <c r="X4248">
        <v>27</v>
      </c>
      <c r="Y4248" t="s">
        <v>24384</v>
      </c>
      <c r="Z4248" t="s">
        <v>31103</v>
      </c>
      <c r="AA4248">
        <v>0.71742497375577285</v>
      </c>
      <c r="AB4248" t="str">
        <f>HYPERLINK("Melting_Curves/meltCurve_Q86SQ7_SDCCAG8.pdf", "Melting_Curves/meltCurve_Q86SQ7_SDCCAG8.pdf")</f>
        <v>Melting_Curves/meltCurve_Q86SQ7_SDCCAG8.pdf</v>
      </c>
    </row>
    <row r="4249" spans="1:28" x14ac:dyDescent="0.25">
      <c r="A4249" t="s">
        <v>4253</v>
      </c>
      <c r="B4249">
        <v>0.995954080203443</v>
      </c>
      <c r="C4249">
        <v>1.0208921330517</v>
      </c>
      <c r="D4249">
        <v>0.94818513204803501</v>
      </c>
      <c r="E4249">
        <v>0.87778540204231703</v>
      </c>
      <c r="F4249">
        <v>0.78416226113474297</v>
      </c>
      <c r="G4249">
        <v>0.52732694925477097</v>
      </c>
      <c r="H4249">
        <v>0.440804876546325</v>
      </c>
      <c r="I4249">
        <v>0.43622960492471502</v>
      </c>
      <c r="J4249">
        <v>0.48003411530930601</v>
      </c>
      <c r="K4249">
        <v>0.45751477032966498</v>
      </c>
      <c r="L4249">
        <v>1260.2840725792901</v>
      </c>
      <c r="M4249">
        <v>23.585284979258699</v>
      </c>
      <c r="N4249">
        <v>58.779193095305203</v>
      </c>
      <c r="O4249">
        <v>53.055485562281902</v>
      </c>
      <c r="P4249">
        <v>-6.2078365052746297E-2</v>
      </c>
      <c r="Q4249">
        <v>0.44142426209632801</v>
      </c>
      <c r="R4249">
        <v>0.98738542903468396</v>
      </c>
      <c r="S4249" t="s">
        <v>11055</v>
      </c>
      <c r="T4249" t="s">
        <v>13610</v>
      </c>
      <c r="U4249" t="s">
        <v>13610</v>
      </c>
      <c r="V4249" t="s">
        <v>13610</v>
      </c>
      <c r="W4249" t="s">
        <v>17799</v>
      </c>
      <c r="X4249">
        <v>2</v>
      </c>
      <c r="Y4249" t="s">
        <v>24385</v>
      </c>
      <c r="Z4249" t="s">
        <v>31104</v>
      </c>
      <c r="AA4249">
        <v>0.69731497376265117</v>
      </c>
      <c r="AB4249" t="str">
        <f>HYPERLINK("Melting_Curves/meltCurve_Q86SX6_GLRX5.pdf", "Melting_Curves/meltCurve_Q86SX6_GLRX5.pdf")</f>
        <v>Melting_Curves/meltCurve_Q86SX6_GLRX5.pdf</v>
      </c>
    </row>
    <row r="4250" spans="1:28" x14ac:dyDescent="0.25">
      <c r="A4250" t="s">
        <v>4254</v>
      </c>
      <c r="B4250">
        <v>0.995954080203443</v>
      </c>
      <c r="C4250">
        <v>0.81810551700794898</v>
      </c>
      <c r="D4250">
        <v>0.68605419240904797</v>
      </c>
      <c r="E4250">
        <v>0.67800149962633804</v>
      </c>
      <c r="F4250">
        <v>0.68331139695796606</v>
      </c>
      <c r="G4250">
        <v>0.27611304759021599</v>
      </c>
      <c r="H4250">
        <v>7.5480445001875202E-2</v>
      </c>
      <c r="I4250">
        <v>5.6546442335758403E-2</v>
      </c>
      <c r="J4250">
        <v>5.6670747531459197E-2</v>
      </c>
      <c r="K4250">
        <v>5.9339391496595402E-2</v>
      </c>
      <c r="L4250">
        <v>583.57606340323605</v>
      </c>
      <c r="M4250">
        <v>11.077854635772701</v>
      </c>
      <c r="N4250">
        <v>52.679516114581403</v>
      </c>
      <c r="O4250">
        <v>51.050259114380303</v>
      </c>
      <c r="P4250">
        <v>-5.4267572040056299E-2</v>
      </c>
      <c r="Q4250">
        <v>0</v>
      </c>
      <c r="R4250">
        <v>0.92491868273960498</v>
      </c>
      <c r="S4250" t="s">
        <v>11056</v>
      </c>
      <c r="T4250" t="s">
        <v>13610</v>
      </c>
      <c r="U4250" t="s">
        <v>13610</v>
      </c>
      <c r="V4250" t="s">
        <v>13610</v>
      </c>
      <c r="W4250" t="s">
        <v>17800</v>
      </c>
      <c r="X4250">
        <v>9</v>
      </c>
      <c r="Y4250" t="s">
        <v>24386</v>
      </c>
      <c r="Z4250" t="s">
        <v>31105</v>
      </c>
      <c r="AA4250">
        <v>0.45457180495926119</v>
      </c>
      <c r="AB4250" t="str">
        <f>HYPERLINK("Melting_Curves/meltCurve_Q86SZ2_TRAPPC6B.pdf", "Melting_Curves/meltCurve_Q86SZ2_TRAPPC6B.pdf")</f>
        <v>Melting_Curves/meltCurve_Q86SZ2_TRAPPC6B.pdf</v>
      </c>
    </row>
    <row r="4251" spans="1:28" x14ac:dyDescent="0.25">
      <c r="A4251" t="s">
        <v>4255</v>
      </c>
      <c r="B4251">
        <v>0.995954080203443</v>
      </c>
      <c r="C4251">
        <v>1.02705532620048</v>
      </c>
      <c r="D4251">
        <v>0.99264075945230901</v>
      </c>
      <c r="E4251">
        <v>0.93393002895284805</v>
      </c>
      <c r="F4251">
        <v>0.80355922996518703</v>
      </c>
      <c r="G4251">
        <v>0.52140491530774402</v>
      </c>
      <c r="H4251">
        <v>0.212439413088644</v>
      </c>
      <c r="I4251">
        <v>0.148018129334163</v>
      </c>
      <c r="J4251">
        <v>0.17130507718590399</v>
      </c>
      <c r="K4251">
        <v>0.16771098529699499</v>
      </c>
      <c r="L4251">
        <v>1302.8827788327801</v>
      </c>
      <c r="M4251">
        <v>23.2392913120533</v>
      </c>
      <c r="N4251">
        <v>56.823584906493899</v>
      </c>
      <c r="O4251">
        <v>55.653607775838701</v>
      </c>
      <c r="P4251">
        <v>-9.0453004110382706E-2</v>
      </c>
      <c r="Q4251">
        <v>0.13354576983654601</v>
      </c>
      <c r="R4251">
        <v>0.99565577037636599</v>
      </c>
      <c r="S4251" t="s">
        <v>11057</v>
      </c>
      <c r="T4251" t="s">
        <v>13610</v>
      </c>
      <c r="U4251" t="s">
        <v>13610</v>
      </c>
      <c r="V4251" t="s">
        <v>13610</v>
      </c>
      <c r="W4251" t="s">
        <v>17801</v>
      </c>
      <c r="X4251">
        <v>6</v>
      </c>
      <c r="Y4251" t="s">
        <v>24387</v>
      </c>
      <c r="Z4251" t="s">
        <v>31106</v>
      </c>
      <c r="AA4251">
        <v>0.60643670609559897</v>
      </c>
      <c r="AB4251" t="str">
        <f>HYPERLINK("Melting_Curves/meltCurve_Q86T24_ZBTB33.pdf", "Melting_Curves/meltCurve_Q86T24_ZBTB33.pdf")</f>
        <v>Melting_Curves/meltCurve_Q86T24_ZBTB33.pdf</v>
      </c>
    </row>
    <row r="4252" spans="1:28" x14ac:dyDescent="0.25">
      <c r="A4252" t="s">
        <v>4256</v>
      </c>
      <c r="B4252">
        <v>0.995954080203443</v>
      </c>
      <c r="C4252">
        <v>0.76712826018662605</v>
      </c>
      <c r="D4252">
        <v>0.63934157625087995</v>
      </c>
      <c r="E4252">
        <v>0.41223900764328503</v>
      </c>
      <c r="F4252">
        <v>0.36015927168600897</v>
      </c>
      <c r="G4252">
        <v>0.24568723116002</v>
      </c>
      <c r="H4252">
        <v>0.224925696242432</v>
      </c>
      <c r="I4252">
        <v>0.20899002149895601</v>
      </c>
      <c r="J4252">
        <v>0.22111951656005999</v>
      </c>
      <c r="K4252">
        <v>0.21330732273810199</v>
      </c>
      <c r="L4252">
        <v>658.41300340761302</v>
      </c>
      <c r="M4252">
        <v>14.152237615811501</v>
      </c>
      <c r="N4252">
        <v>48.317301885923797</v>
      </c>
      <c r="O4252">
        <v>45.624241248965802</v>
      </c>
      <c r="P4252">
        <v>-6.1709923906264098E-2</v>
      </c>
      <c r="Q4252">
        <v>0.20433463148475201</v>
      </c>
      <c r="R4252">
        <v>0.98751536569769405</v>
      </c>
      <c r="S4252" t="s">
        <v>11058</v>
      </c>
      <c r="T4252" t="s">
        <v>13610</v>
      </c>
      <c r="U4252" t="s">
        <v>13610</v>
      </c>
      <c r="V4252" t="s">
        <v>13610</v>
      </c>
      <c r="W4252" t="s">
        <v>17802</v>
      </c>
      <c r="X4252">
        <v>4</v>
      </c>
      <c r="Y4252" t="s">
        <v>24388</v>
      </c>
      <c r="Z4252" t="s">
        <v>31107</v>
      </c>
      <c r="AA4252">
        <v>0.40251068807805968</v>
      </c>
      <c r="AB4252" t="str">
        <f>HYPERLINK("Melting_Curves/meltCurve_Q86T82_2_USP37.pdf", "Melting_Curves/meltCurve_Q86T82_2_USP37.pdf")</f>
        <v>Melting_Curves/meltCurve_Q86T82_2_USP37.pdf</v>
      </c>
    </row>
    <row r="4253" spans="1:28" x14ac:dyDescent="0.25">
      <c r="A4253" t="s">
        <v>4257</v>
      </c>
      <c r="B4253">
        <v>0.995954080203443</v>
      </c>
      <c r="C4253">
        <v>1.1228253109448301</v>
      </c>
      <c r="D4253">
        <v>1.39833471388112</v>
      </c>
      <c r="E4253">
        <v>0.83151614280911601</v>
      </c>
      <c r="F4253">
        <v>0.21393490025523099</v>
      </c>
      <c r="G4253">
        <v>0.10982404779923099</v>
      </c>
      <c r="H4253">
        <v>7.6662458778852402E-2</v>
      </c>
      <c r="I4253">
        <v>7.7362003768998905E-2</v>
      </c>
      <c r="J4253">
        <v>7.8363198041141696E-2</v>
      </c>
      <c r="K4253">
        <v>7.5305925805148499E-2</v>
      </c>
      <c r="L4253">
        <v>2992.3421177056998</v>
      </c>
      <c r="M4253">
        <v>58.299752248582998</v>
      </c>
      <c r="N4253">
        <v>51.488371840833402</v>
      </c>
      <c r="O4253">
        <v>51.266561770544598</v>
      </c>
      <c r="P4253">
        <v>-0.26053743709468402</v>
      </c>
      <c r="Q4253">
        <v>8.3574110666542106E-2</v>
      </c>
      <c r="R4253">
        <v>0.92984406842419798</v>
      </c>
      <c r="S4253" t="s">
        <v>11059</v>
      </c>
      <c r="T4253" t="s">
        <v>13610</v>
      </c>
      <c r="U4253" t="s">
        <v>13610</v>
      </c>
      <c r="V4253" t="s">
        <v>13610</v>
      </c>
      <c r="W4253" t="s">
        <v>17803</v>
      </c>
      <c r="X4253">
        <v>8</v>
      </c>
      <c r="Y4253" t="s">
        <v>24389</v>
      </c>
      <c r="Z4253" t="s">
        <v>31108</v>
      </c>
      <c r="AA4253">
        <v>0.43110497224157712</v>
      </c>
      <c r="AB4253" t="str">
        <f>HYPERLINK("Melting_Curves/meltCurve_Q86TA1_MOB3B.pdf", "Melting_Curves/meltCurve_Q86TA1_MOB3B.pdf")</f>
        <v>Melting_Curves/meltCurve_Q86TA1_MOB3B.pdf</v>
      </c>
    </row>
    <row r="4254" spans="1:28" x14ac:dyDescent="0.25">
      <c r="A4254" t="s">
        <v>4258</v>
      </c>
      <c r="B4254">
        <v>0.995954080203443</v>
      </c>
      <c r="C4254">
        <v>0.81924553611081097</v>
      </c>
      <c r="D4254">
        <v>0.56147072939589004</v>
      </c>
      <c r="E4254">
        <v>0.49165133751951201</v>
      </c>
      <c r="F4254">
        <v>0.38043779843954001</v>
      </c>
      <c r="G4254">
        <v>0.21999120101420999</v>
      </c>
      <c r="H4254">
        <v>0.16478647391927001</v>
      </c>
      <c r="I4254">
        <v>0.17199072297214599</v>
      </c>
      <c r="J4254">
        <v>0.20560591601021599</v>
      </c>
      <c r="K4254">
        <v>0.188832905517028</v>
      </c>
      <c r="L4254">
        <v>592.23131966986398</v>
      </c>
      <c r="M4254">
        <v>12.5360436936511</v>
      </c>
      <c r="N4254">
        <v>48.743276565056803</v>
      </c>
      <c r="O4254">
        <v>46.088467251883699</v>
      </c>
      <c r="P4254">
        <v>-5.7122959335597502E-2</v>
      </c>
      <c r="Q4254">
        <v>0.16012610396881599</v>
      </c>
      <c r="R4254">
        <v>0.97155505982204904</v>
      </c>
      <c r="S4254" t="s">
        <v>11060</v>
      </c>
      <c r="T4254" t="s">
        <v>13610</v>
      </c>
      <c r="U4254" t="s">
        <v>13610</v>
      </c>
      <c r="V4254" t="s">
        <v>13610</v>
      </c>
      <c r="W4254" t="s">
        <v>17804</v>
      </c>
      <c r="X4254">
        <v>17</v>
      </c>
      <c r="Y4254" t="s">
        <v>24390</v>
      </c>
      <c r="Z4254" t="s">
        <v>31109</v>
      </c>
      <c r="AA4254">
        <v>0.39483568319010742</v>
      </c>
      <c r="AB4254" t="str">
        <f>HYPERLINK("Melting_Curves/meltCurve_Q86TB9_4_PATL1.pdf", "Melting_Curves/meltCurve_Q86TB9_4_PATL1.pdf")</f>
        <v>Melting_Curves/meltCurve_Q86TB9_4_PATL1.pdf</v>
      </c>
    </row>
    <row r="4255" spans="1:28" x14ac:dyDescent="0.25">
      <c r="A4255" t="s">
        <v>4259</v>
      </c>
      <c r="B4255">
        <v>0.995954080203443</v>
      </c>
      <c r="C4255">
        <v>1.03281799061461</v>
      </c>
      <c r="D4255">
        <v>1.0345884167878101</v>
      </c>
      <c r="E4255">
        <v>0.96530631877837103</v>
      </c>
      <c r="F4255">
        <v>1.20373479444487</v>
      </c>
      <c r="G4255">
        <v>0.88300039324492796</v>
      </c>
      <c r="H4255">
        <v>0.90475135733848999</v>
      </c>
      <c r="I4255">
        <v>1.07745818390459</v>
      </c>
      <c r="J4255">
        <v>1.46946153448163</v>
      </c>
      <c r="K4255">
        <v>1.27984243870891</v>
      </c>
      <c r="L4255">
        <v>15000</v>
      </c>
      <c r="M4255">
        <v>233.03129861485999</v>
      </c>
      <c r="O4255">
        <v>64.364314037906595</v>
      </c>
      <c r="P4255">
        <v>0.33911514412904098</v>
      </c>
      <c r="Q4255">
        <v>1.3746605245643799</v>
      </c>
      <c r="R4255">
        <v>0.71487844826462299</v>
      </c>
      <c r="S4255" t="s">
        <v>11061</v>
      </c>
      <c r="T4255" t="s">
        <v>13610</v>
      </c>
      <c r="U4255" t="s">
        <v>13610</v>
      </c>
      <c r="V4255" t="s">
        <v>13610</v>
      </c>
      <c r="W4255" t="s">
        <v>17805</v>
      </c>
      <c r="X4255">
        <v>6</v>
      </c>
      <c r="Y4255" t="s">
        <v>24391</v>
      </c>
      <c r="Z4255" t="s">
        <v>31110</v>
      </c>
      <c r="AA4255">
        <v>1.0702746195115069</v>
      </c>
      <c r="AB4255" t="str">
        <f>HYPERLINK("Melting_Curves/meltCurve_Q86TI0_TBC1D1.pdf", "Melting_Curves/meltCurve_Q86TI0_TBC1D1.pdf")</f>
        <v>Melting_Curves/meltCurve_Q86TI0_TBC1D1.pdf</v>
      </c>
    </row>
    <row r="4256" spans="1:28" x14ac:dyDescent="0.25">
      <c r="A4256" t="s">
        <v>4260</v>
      </c>
      <c r="B4256">
        <v>0.995954080203443</v>
      </c>
      <c r="C4256">
        <v>0.91563565147569403</v>
      </c>
      <c r="D4256">
        <v>0.81433928619639995</v>
      </c>
      <c r="E4256">
        <v>0.75630758902622597</v>
      </c>
      <c r="F4256">
        <v>0.26792299640112099</v>
      </c>
      <c r="G4256">
        <v>0.119775471925083</v>
      </c>
      <c r="H4256">
        <v>7.3127236346392704E-2</v>
      </c>
      <c r="I4256">
        <v>6.5918557873094905E-2</v>
      </c>
      <c r="J4256">
        <v>8.3418947898865295E-2</v>
      </c>
      <c r="K4256">
        <v>6.5146117619137994E-2</v>
      </c>
      <c r="L4256">
        <v>1498.72248591586</v>
      </c>
      <c r="M4256">
        <v>29.2770831347881</v>
      </c>
      <c r="N4256">
        <v>51.439758552822497</v>
      </c>
      <c r="O4256">
        <v>50.953929055667899</v>
      </c>
      <c r="P4256">
        <v>-0.134163331253218</v>
      </c>
      <c r="Q4256">
        <v>6.6013552875744105E-2</v>
      </c>
      <c r="R4256">
        <v>0.97428885842470903</v>
      </c>
      <c r="S4256" t="s">
        <v>11062</v>
      </c>
      <c r="T4256" t="s">
        <v>13610</v>
      </c>
      <c r="U4256" t="s">
        <v>13610</v>
      </c>
      <c r="V4256" t="s">
        <v>13610</v>
      </c>
      <c r="W4256" t="s">
        <v>17806</v>
      </c>
      <c r="X4256">
        <v>22</v>
      </c>
      <c r="Y4256" t="s">
        <v>24392</v>
      </c>
      <c r="Z4256" t="s">
        <v>31111</v>
      </c>
      <c r="AA4256">
        <v>0.4206058034334576</v>
      </c>
      <c r="AB4256" t="str">
        <f>HYPERLINK("Melting_Curves/meltCurve_Q86TI2_DPP9.pdf", "Melting_Curves/meltCurve_Q86TI2_DPP9.pdf")</f>
        <v>Melting_Curves/meltCurve_Q86TI2_DPP9.pdf</v>
      </c>
    </row>
    <row r="4257" spans="1:28" x14ac:dyDescent="0.25">
      <c r="A4257" t="s">
        <v>4261</v>
      </c>
      <c r="B4257">
        <v>0.995954080203443</v>
      </c>
      <c r="C4257">
        <v>0.76569374852378003</v>
      </c>
      <c r="D4257">
        <v>0.48435464055998201</v>
      </c>
      <c r="E4257">
        <v>0.40337882820565402</v>
      </c>
      <c r="F4257">
        <v>0.24219234172151899</v>
      </c>
      <c r="G4257">
        <v>0.14598844828544499</v>
      </c>
      <c r="H4257">
        <v>8.0399319782678502E-2</v>
      </c>
      <c r="I4257">
        <v>5.9052666092261799E-2</v>
      </c>
      <c r="J4257">
        <v>7.8024236392964005E-2</v>
      </c>
      <c r="K4257">
        <v>6.1654110324387001E-2</v>
      </c>
      <c r="L4257">
        <v>597.57172258841194</v>
      </c>
      <c r="M4257">
        <v>12.775041981592601</v>
      </c>
      <c r="N4257">
        <v>47.174327722685902</v>
      </c>
      <c r="O4257">
        <v>45.674754153524503</v>
      </c>
      <c r="P4257">
        <v>-6.63657098343505E-2</v>
      </c>
      <c r="Q4257">
        <v>5.1066949093247098E-2</v>
      </c>
      <c r="R4257">
        <v>0.97697229616455705</v>
      </c>
      <c r="S4257" t="s">
        <v>11063</v>
      </c>
      <c r="T4257" t="s">
        <v>13610</v>
      </c>
      <c r="U4257" t="s">
        <v>13610</v>
      </c>
      <c r="V4257" t="s">
        <v>13610</v>
      </c>
      <c r="W4257" t="s">
        <v>17807</v>
      </c>
      <c r="X4257">
        <v>2</v>
      </c>
      <c r="Y4257" t="s">
        <v>24393</v>
      </c>
      <c r="Z4257" t="s">
        <v>31112</v>
      </c>
      <c r="AA4257">
        <v>0.30144635928336599</v>
      </c>
      <c r="AB4257" t="str">
        <f>HYPERLINK("Melting_Curves/meltCurve_Q86TJ2_3_TADA2B.pdf", "Melting_Curves/meltCurve_Q86TJ2_3_TADA2B.pdf")</f>
        <v>Melting_Curves/meltCurve_Q86TJ2_3_TADA2B.pdf</v>
      </c>
    </row>
    <row r="4258" spans="1:28" x14ac:dyDescent="0.25">
      <c r="A4258" t="s">
        <v>4262</v>
      </c>
      <c r="B4258">
        <v>0.995954080203443</v>
      </c>
      <c r="C4258">
        <v>0.92565215373674303</v>
      </c>
      <c r="D4258">
        <v>0.77517335573651702</v>
      </c>
      <c r="E4258">
        <v>0.73916642430598101</v>
      </c>
      <c r="F4258">
        <v>0.46021303482086401</v>
      </c>
      <c r="G4258">
        <v>0.24745703379335801</v>
      </c>
      <c r="H4258">
        <v>0.169450393625523</v>
      </c>
      <c r="I4258">
        <v>0.150638462018712</v>
      </c>
      <c r="J4258">
        <v>0.19215732601746899</v>
      </c>
      <c r="K4258">
        <v>0.17155614411435199</v>
      </c>
      <c r="L4258">
        <v>740.63355087097602</v>
      </c>
      <c r="M4258">
        <v>14.428604969214399</v>
      </c>
      <c r="N4258">
        <v>52.363413341463598</v>
      </c>
      <c r="O4258">
        <v>50.375098569181503</v>
      </c>
      <c r="P4258">
        <v>-6.2748091058990596E-2</v>
      </c>
      <c r="Q4258">
        <v>0.123804115148118</v>
      </c>
      <c r="R4258">
        <v>0.97804889977262999</v>
      </c>
      <c r="S4258" t="s">
        <v>11064</v>
      </c>
      <c r="T4258" t="s">
        <v>13610</v>
      </c>
      <c r="U4258" t="s">
        <v>13610</v>
      </c>
      <c r="V4258" t="s">
        <v>13610</v>
      </c>
      <c r="W4258" t="s">
        <v>17808</v>
      </c>
      <c r="X4258">
        <v>5</v>
      </c>
      <c r="Y4258" t="s">
        <v>24394</v>
      </c>
      <c r="Z4258" t="s">
        <v>31113</v>
      </c>
      <c r="AA4258">
        <v>0.47605230598087311</v>
      </c>
      <c r="AB4258" t="str">
        <f>HYPERLINK("Melting_Curves/meltCurve_Q86TN4_2_TRPT1.pdf", "Melting_Curves/meltCurve_Q86TN4_2_TRPT1.pdf")</f>
        <v>Melting_Curves/meltCurve_Q86TN4_2_TRPT1.pdf</v>
      </c>
    </row>
    <row r="4259" spans="1:28" x14ac:dyDescent="0.25">
      <c r="A4259" t="s">
        <v>4263</v>
      </c>
      <c r="B4259">
        <v>0.995954080203443</v>
      </c>
      <c r="C4259">
        <v>1.0018216676630101</v>
      </c>
      <c r="D4259">
        <v>0.80480858995978199</v>
      </c>
      <c r="E4259">
        <v>0.42439653428395802</v>
      </c>
      <c r="F4259">
        <v>0.194552602613832</v>
      </c>
      <c r="G4259">
        <v>0.113546986927287</v>
      </c>
      <c r="H4259">
        <v>7.1410012512225104E-2</v>
      </c>
      <c r="I4259">
        <v>6.7478825806888201E-2</v>
      </c>
      <c r="J4259">
        <v>5.7369652604075998E-2</v>
      </c>
      <c r="K4259">
        <v>5.4991314227799099E-2</v>
      </c>
      <c r="L4259">
        <v>1112.0090413132</v>
      </c>
      <c r="M4259">
        <v>22.725909636772101</v>
      </c>
      <c r="N4259">
        <v>49.214652094768198</v>
      </c>
      <c r="O4259">
        <v>48.557193022971497</v>
      </c>
      <c r="P4259">
        <v>-0.109833741368789</v>
      </c>
      <c r="Q4259">
        <v>6.1315919389335401E-2</v>
      </c>
      <c r="R4259">
        <v>0.99848788134976096</v>
      </c>
      <c r="S4259" t="s">
        <v>11065</v>
      </c>
      <c r="T4259" t="s">
        <v>13610</v>
      </c>
      <c r="U4259" t="s">
        <v>13610</v>
      </c>
      <c r="V4259" t="s">
        <v>13610</v>
      </c>
      <c r="W4259" t="s">
        <v>17809</v>
      </c>
      <c r="X4259">
        <v>13</v>
      </c>
      <c r="Y4259" t="s">
        <v>24395</v>
      </c>
      <c r="Z4259" t="s">
        <v>31114</v>
      </c>
      <c r="AA4259">
        <v>0.3508955736211582</v>
      </c>
      <c r="AB4259" t="str">
        <f>HYPERLINK("Melting_Curves/meltCurve_Q86TP1_PRUNE.pdf", "Melting_Curves/meltCurve_Q86TP1_PRUNE.pdf")</f>
        <v>Melting_Curves/meltCurve_Q86TP1_PRUNE.pdf</v>
      </c>
    </row>
    <row r="4260" spans="1:28" x14ac:dyDescent="0.25">
      <c r="A4260" t="s">
        <v>4264</v>
      </c>
      <c r="B4260">
        <v>0.995954080203443</v>
      </c>
      <c r="C4260">
        <v>1.0463495526355</v>
      </c>
      <c r="D4260">
        <v>1.00586005891803</v>
      </c>
      <c r="E4260">
        <v>0.75327383113931501</v>
      </c>
      <c r="F4260">
        <v>0.23283207899320801</v>
      </c>
      <c r="G4260">
        <v>0.12718033775867599</v>
      </c>
      <c r="H4260">
        <v>9.3396589008553896E-2</v>
      </c>
      <c r="I4260">
        <v>9.9375969910318995E-2</v>
      </c>
      <c r="J4260">
        <v>9.6483882776600693E-2</v>
      </c>
      <c r="K4260">
        <v>0.107447693281865</v>
      </c>
      <c r="L4260">
        <v>2418.9050484201498</v>
      </c>
      <c r="M4260">
        <v>47.408070831590898</v>
      </c>
      <c r="N4260">
        <v>51.273174566816898</v>
      </c>
      <c r="O4260">
        <v>50.9325298646785</v>
      </c>
      <c r="P4260">
        <v>-0.20867702414776601</v>
      </c>
      <c r="Q4260">
        <v>0.103238209265579</v>
      </c>
      <c r="R4260">
        <v>0.99835454091151499</v>
      </c>
      <c r="S4260" t="s">
        <v>11066</v>
      </c>
      <c r="T4260" t="s">
        <v>13610</v>
      </c>
      <c r="U4260" t="s">
        <v>13610</v>
      </c>
      <c r="V4260" t="s">
        <v>13610</v>
      </c>
      <c r="W4260" t="s">
        <v>17810</v>
      </c>
      <c r="X4260">
        <v>18</v>
      </c>
      <c r="Y4260" t="s">
        <v>24396</v>
      </c>
      <c r="Z4260" t="s">
        <v>31115</v>
      </c>
      <c r="AA4260">
        <v>0.43498662416815892</v>
      </c>
      <c r="AB4260" t="str">
        <f>HYPERLINK("Melting_Curves/meltCurve_Q86TU7_SETD3.pdf", "Melting_Curves/meltCurve_Q86TU7_SETD3.pdf")</f>
        <v>Melting_Curves/meltCurve_Q86TU7_SETD3.pdf</v>
      </c>
    </row>
    <row r="4261" spans="1:28" x14ac:dyDescent="0.25">
      <c r="A4261" t="s">
        <v>4265</v>
      </c>
      <c r="B4261">
        <v>0.995954080203443</v>
      </c>
      <c r="C4261">
        <v>0.81884832385024797</v>
      </c>
      <c r="D4261">
        <v>0.64045144888533101</v>
      </c>
      <c r="E4261">
        <v>0.46287879250714897</v>
      </c>
      <c r="F4261">
        <v>0.27282767546813402</v>
      </c>
      <c r="G4261">
        <v>0.17468068776683399</v>
      </c>
      <c r="H4261">
        <v>0.138211178178236</v>
      </c>
      <c r="I4261">
        <v>0.134558888869374</v>
      </c>
      <c r="J4261">
        <v>0.15467793734378699</v>
      </c>
      <c r="K4261">
        <v>0.14090177832661099</v>
      </c>
      <c r="L4261">
        <v>675.56193131061002</v>
      </c>
      <c r="M4261">
        <v>14.197574971321</v>
      </c>
      <c r="N4261">
        <v>48.513467982468597</v>
      </c>
      <c r="O4261">
        <v>46.6687608197999</v>
      </c>
      <c r="P4261">
        <v>-6.6997763139583694E-2</v>
      </c>
      <c r="Q4261">
        <v>0.119198718983782</v>
      </c>
      <c r="R4261">
        <v>0.99131616355006702</v>
      </c>
      <c r="S4261" t="s">
        <v>11067</v>
      </c>
      <c r="T4261" t="s">
        <v>13610</v>
      </c>
      <c r="U4261" t="s">
        <v>13610</v>
      </c>
      <c r="V4261" t="s">
        <v>13610</v>
      </c>
      <c r="W4261" t="s">
        <v>17811</v>
      </c>
      <c r="X4261">
        <v>4</v>
      </c>
      <c r="Y4261" t="s">
        <v>24397</v>
      </c>
      <c r="Z4261" t="s">
        <v>31116</v>
      </c>
      <c r="AA4261">
        <v>0.36765476146181869</v>
      </c>
      <c r="AB4261" t="str">
        <f>HYPERLINK("Melting_Curves/meltCurve_Q86TV2_LGMN.pdf", "Melting_Curves/meltCurve_Q86TV2_LGMN.pdf")</f>
        <v>Melting_Curves/meltCurve_Q86TV2_LGMN.pdf</v>
      </c>
    </row>
    <row r="4262" spans="1:28" x14ac:dyDescent="0.25">
      <c r="A4262" t="s">
        <v>4266</v>
      </c>
      <c r="B4262">
        <v>0.995954080203443</v>
      </c>
      <c r="C4262">
        <v>0.71217618812414896</v>
      </c>
      <c r="D4262">
        <v>0.53197059668957003</v>
      </c>
      <c r="E4262">
        <v>0.60356963054386503</v>
      </c>
      <c r="F4262">
        <v>0.50445220834042903</v>
      </c>
      <c r="G4262">
        <v>0.16511925467279701</v>
      </c>
      <c r="H4262">
        <v>7.3134792350242603E-2</v>
      </c>
      <c r="I4262">
        <v>5.8648616122100497E-2</v>
      </c>
      <c r="J4262">
        <v>3.0755771648200599E-2</v>
      </c>
      <c r="K4262">
        <v>0</v>
      </c>
      <c r="L4262">
        <v>472.04151706030098</v>
      </c>
      <c r="M4262">
        <v>9.5368892198161195</v>
      </c>
      <c r="N4262">
        <v>49.4963652961845</v>
      </c>
      <c r="O4262">
        <v>47.4667713010898</v>
      </c>
      <c r="P4262">
        <v>-5.0258566955242903E-2</v>
      </c>
      <c r="Q4262">
        <v>0</v>
      </c>
      <c r="R4262">
        <v>0.91298446498928798</v>
      </c>
      <c r="S4262" t="s">
        <v>11068</v>
      </c>
      <c r="T4262" t="s">
        <v>13610</v>
      </c>
      <c r="U4262" t="s">
        <v>13610</v>
      </c>
      <c r="V4262" t="s">
        <v>13610</v>
      </c>
      <c r="W4262" t="s">
        <v>17812</v>
      </c>
      <c r="X4262">
        <v>2</v>
      </c>
      <c r="Y4262" t="s">
        <v>24398</v>
      </c>
      <c r="Z4262" t="s">
        <v>31117</v>
      </c>
      <c r="AA4262">
        <v>0.36682673801877802</v>
      </c>
      <c r="AB4262" t="str">
        <f>HYPERLINK("Melting_Curves/meltCurve_Q86TV6_TTC7B.pdf", "Melting_Curves/meltCurve_Q86TV6_TTC7B.pdf")</f>
        <v>Melting_Curves/meltCurve_Q86TV6_TTC7B.pdf</v>
      </c>
    </row>
    <row r="4263" spans="1:28" x14ac:dyDescent="0.25">
      <c r="A4263" t="s">
        <v>4267</v>
      </c>
      <c r="B4263">
        <v>0.995954080203443</v>
      </c>
      <c r="C4263">
        <v>0.89983840220420497</v>
      </c>
      <c r="D4263">
        <v>0.85076626577678505</v>
      </c>
      <c r="E4263">
        <v>0.76668126857022001</v>
      </c>
      <c r="F4263">
        <v>0.75443498593546099</v>
      </c>
      <c r="G4263">
        <v>0.55301009511988597</v>
      </c>
      <c r="H4263">
        <v>0.492673780363859</v>
      </c>
      <c r="I4263">
        <v>0.64546933123098105</v>
      </c>
      <c r="J4263">
        <v>0.72514937936450496</v>
      </c>
      <c r="K4263">
        <v>0.69524229696958695</v>
      </c>
      <c r="L4263">
        <v>718.30133112764497</v>
      </c>
      <c r="M4263">
        <v>15.174049449373999</v>
      </c>
      <c r="O4263">
        <v>46.538183144235497</v>
      </c>
      <c r="P4263">
        <v>-3.04115888870281E-2</v>
      </c>
      <c r="Q4263">
        <v>0.62695179633406195</v>
      </c>
      <c r="R4263">
        <v>0.75738805643585405</v>
      </c>
      <c r="S4263" t="s">
        <v>11069</v>
      </c>
      <c r="T4263" t="s">
        <v>13610</v>
      </c>
      <c r="U4263" t="s">
        <v>13610</v>
      </c>
      <c r="V4263" t="s">
        <v>13610</v>
      </c>
      <c r="W4263" t="s">
        <v>17813</v>
      </c>
      <c r="X4263">
        <v>8</v>
      </c>
      <c r="Y4263" t="s">
        <v>24399</v>
      </c>
      <c r="Z4263" t="s">
        <v>31118</v>
      </c>
      <c r="AA4263">
        <v>0.72789627108416488</v>
      </c>
      <c r="AB4263" t="str">
        <f>HYPERLINK("Melting_Curves/meltCurve_Q86U28_ISCA2.pdf", "Melting_Curves/meltCurve_Q86U28_ISCA2.pdf")</f>
        <v>Melting_Curves/meltCurve_Q86U28_ISCA2.pdf</v>
      </c>
    </row>
    <row r="4264" spans="1:28" x14ac:dyDescent="0.25">
      <c r="A4264" t="s">
        <v>4268</v>
      </c>
      <c r="B4264">
        <v>0.995954080203443</v>
      </c>
      <c r="C4264">
        <v>0.95355995118886205</v>
      </c>
      <c r="D4264">
        <v>0.87528168957595898</v>
      </c>
      <c r="E4264">
        <v>0.78308984813865401</v>
      </c>
      <c r="F4264">
        <v>0.40406216929607403</v>
      </c>
      <c r="G4264">
        <v>0.17710388632041399</v>
      </c>
      <c r="H4264">
        <v>0.14412792143575301</v>
      </c>
      <c r="I4264">
        <v>0.145698724081611</v>
      </c>
      <c r="J4264">
        <v>0.188956616318457</v>
      </c>
      <c r="K4264">
        <v>0.169016616433705</v>
      </c>
      <c r="L4264">
        <v>1526.2652339496301</v>
      </c>
      <c r="M4264">
        <v>29.6247471087508</v>
      </c>
      <c r="N4264">
        <v>52.166094120309502</v>
      </c>
      <c r="O4264">
        <v>51.286894478797301</v>
      </c>
      <c r="P4264">
        <v>-0.122229965812403</v>
      </c>
      <c r="Q4264">
        <v>0.15357894518204801</v>
      </c>
      <c r="R4264">
        <v>0.98760483376890196</v>
      </c>
      <c r="S4264" t="s">
        <v>11070</v>
      </c>
      <c r="T4264" t="s">
        <v>13610</v>
      </c>
      <c r="U4264" t="s">
        <v>13610</v>
      </c>
      <c r="V4264" t="s">
        <v>13610</v>
      </c>
      <c r="W4264" t="s">
        <v>17814</v>
      </c>
      <c r="X4264">
        <v>22</v>
      </c>
      <c r="Y4264" t="s">
        <v>24400</v>
      </c>
      <c r="Z4264" t="s">
        <v>31119</v>
      </c>
      <c r="AA4264">
        <v>0.48410625296992571</v>
      </c>
      <c r="AB4264" t="str">
        <f>HYPERLINK("Melting_Curves/meltCurve_Q86U44_METTL3.pdf", "Melting_Curves/meltCurve_Q86U44_METTL3.pdf")</f>
        <v>Melting_Curves/meltCurve_Q86U44_METTL3.pdf</v>
      </c>
    </row>
    <row r="4265" spans="1:28" x14ac:dyDescent="0.25">
      <c r="A4265" t="s">
        <v>4269</v>
      </c>
      <c r="B4265">
        <v>0.995954080203443</v>
      </c>
      <c r="C4265">
        <v>0.88880213592786705</v>
      </c>
      <c r="D4265">
        <v>0.94314336502446205</v>
      </c>
      <c r="E4265">
        <v>0.79726819512026903</v>
      </c>
      <c r="F4265">
        <v>0.62390011562437797</v>
      </c>
      <c r="G4265">
        <v>0.27692177258586897</v>
      </c>
      <c r="H4265">
        <v>0.135607819367947</v>
      </c>
      <c r="I4265">
        <v>0.111972031441318</v>
      </c>
      <c r="J4265">
        <v>0.125056879232645</v>
      </c>
      <c r="K4265">
        <v>0.107543614293934</v>
      </c>
      <c r="L4265">
        <v>1036.55700682713</v>
      </c>
      <c r="M4265">
        <v>19.372218281308299</v>
      </c>
      <c r="N4265">
        <v>54.021847112453898</v>
      </c>
      <c r="O4265">
        <v>52.947033756353697</v>
      </c>
      <c r="P4265">
        <v>-8.3768242711084004E-2</v>
      </c>
      <c r="Q4265">
        <v>8.4232006650432206E-2</v>
      </c>
      <c r="R4265">
        <v>0.98877895135716098</v>
      </c>
      <c r="S4265" t="s">
        <v>11071</v>
      </c>
      <c r="T4265" t="s">
        <v>13610</v>
      </c>
      <c r="U4265" t="s">
        <v>13610</v>
      </c>
      <c r="V4265" t="s">
        <v>13610</v>
      </c>
      <c r="W4265" t="s">
        <v>17815</v>
      </c>
      <c r="X4265">
        <v>9</v>
      </c>
      <c r="Y4265" t="s">
        <v>24401</v>
      </c>
      <c r="Z4265" t="s">
        <v>31120</v>
      </c>
      <c r="AA4265">
        <v>0.50975823131554443</v>
      </c>
      <c r="AB4265" t="str">
        <f>HYPERLINK("Melting_Curves/meltCurve_Q86U70_3_LDB1.pdf", "Melting_Curves/meltCurve_Q86U70_3_LDB1.pdf")</f>
        <v>Melting_Curves/meltCurve_Q86U70_3_LDB1.pdf</v>
      </c>
    </row>
    <row r="4266" spans="1:28" x14ac:dyDescent="0.25">
      <c r="A4266" t="s">
        <v>4270</v>
      </c>
      <c r="B4266">
        <v>0.995954080203443</v>
      </c>
      <c r="C4266">
        <v>0.90626599926527895</v>
      </c>
      <c r="D4266">
        <v>0.88873612570803795</v>
      </c>
      <c r="E4266">
        <v>0.55801000310641102</v>
      </c>
      <c r="F4266">
        <v>0.22989555689192101</v>
      </c>
      <c r="G4266">
        <v>0.13120701122533299</v>
      </c>
      <c r="H4266">
        <v>8.9346593519482403E-2</v>
      </c>
      <c r="I4266">
        <v>8.5809039174738894E-2</v>
      </c>
      <c r="J4266">
        <v>0.102392588189685</v>
      </c>
      <c r="K4266">
        <v>8.9067509715120605E-2</v>
      </c>
      <c r="L4266">
        <v>1199.3778400678</v>
      </c>
      <c r="M4266">
        <v>24.043103045196201</v>
      </c>
      <c r="N4266">
        <v>50.2702821655459</v>
      </c>
      <c r="O4266">
        <v>49.543236175706497</v>
      </c>
      <c r="P4266">
        <v>-0.111104483752428</v>
      </c>
      <c r="Q4266">
        <v>8.4246454775676105E-2</v>
      </c>
      <c r="R4266">
        <v>0.99405856562207096</v>
      </c>
      <c r="S4266" t="s">
        <v>11072</v>
      </c>
      <c r="T4266" t="s">
        <v>13610</v>
      </c>
      <c r="U4266" t="s">
        <v>13610</v>
      </c>
      <c r="V4266" t="s">
        <v>13610</v>
      </c>
      <c r="W4266" t="s">
        <v>17816</v>
      </c>
      <c r="X4266">
        <v>47</v>
      </c>
      <c r="Y4266" t="s">
        <v>24402</v>
      </c>
      <c r="Z4266" t="s">
        <v>31121</v>
      </c>
      <c r="AA4266">
        <v>0.39481520946792897</v>
      </c>
      <c r="AB4266" t="str">
        <f>HYPERLINK("Melting_Curves/meltCurve_Q86U86_8_PBRM1.pdf", "Melting_Curves/meltCurve_Q86U86_8_PBRM1.pdf")</f>
        <v>Melting_Curves/meltCurve_Q86U86_8_PBRM1.pdf</v>
      </c>
    </row>
    <row r="4267" spans="1:28" x14ac:dyDescent="0.25">
      <c r="A4267" t="s">
        <v>4271</v>
      </c>
      <c r="B4267">
        <v>0.995954080203443</v>
      </c>
      <c r="C4267">
        <v>1.03540614279097</v>
      </c>
      <c r="D4267">
        <v>1.08452795447273</v>
      </c>
      <c r="E4267">
        <v>0.70992789038582005</v>
      </c>
      <c r="F4267">
        <v>0.42894497234699103</v>
      </c>
      <c r="G4267">
        <v>0.1279647020452</v>
      </c>
      <c r="H4267">
        <v>7.1972157687545599E-2</v>
      </c>
      <c r="I4267">
        <v>5.9921537320391197E-2</v>
      </c>
      <c r="J4267">
        <v>6.4890195840440201E-2</v>
      </c>
      <c r="K4267">
        <v>6.0668673369743402E-2</v>
      </c>
      <c r="L4267">
        <v>1423.2696398938399</v>
      </c>
      <c r="M4267">
        <v>27.411725444790299</v>
      </c>
      <c r="N4267">
        <v>52.1613029296294</v>
      </c>
      <c r="O4267">
        <v>51.647955754987599</v>
      </c>
      <c r="P4267">
        <v>-0.124844633579417</v>
      </c>
      <c r="Q4267">
        <v>5.9101919564494003E-2</v>
      </c>
      <c r="R4267">
        <v>0.99065172703281801</v>
      </c>
      <c r="S4267" t="s">
        <v>11073</v>
      </c>
      <c r="T4267" t="s">
        <v>13610</v>
      </c>
      <c r="U4267" t="s">
        <v>13610</v>
      </c>
      <c r="V4267" t="s">
        <v>13610</v>
      </c>
      <c r="W4267" t="s">
        <v>17817</v>
      </c>
      <c r="X4267">
        <v>13</v>
      </c>
      <c r="Y4267" t="s">
        <v>24403</v>
      </c>
      <c r="Z4267" t="s">
        <v>31122</v>
      </c>
      <c r="AA4267">
        <v>0.4401873242073755</v>
      </c>
      <c r="AB4267" t="str">
        <f>HYPERLINK("Melting_Curves/meltCurve_Q86U90_YRDC.pdf", "Melting_Curves/meltCurve_Q86U90_YRDC.pdf")</f>
        <v>Melting_Curves/meltCurve_Q86U90_YRDC.pdf</v>
      </c>
    </row>
    <row r="4268" spans="1:28" x14ac:dyDescent="0.25">
      <c r="A4268" t="s">
        <v>4272</v>
      </c>
      <c r="B4268">
        <v>0.995954080203443</v>
      </c>
      <c r="C4268">
        <v>0.92878753517521595</v>
      </c>
      <c r="D4268">
        <v>0.79366456268685004</v>
      </c>
      <c r="E4268">
        <v>0.30271828419860197</v>
      </c>
      <c r="F4268">
        <v>0.12400861317775901</v>
      </c>
      <c r="G4268">
        <v>7.4601635615661993E-2</v>
      </c>
      <c r="H4268">
        <v>4.6933137686376102E-2</v>
      </c>
      <c r="I4268">
        <v>3.8554543008698101E-2</v>
      </c>
      <c r="J4268">
        <v>3.9158750189400203E-2</v>
      </c>
      <c r="K4268">
        <v>3.8370932550250203E-2</v>
      </c>
      <c r="L4268">
        <v>1234.0277744328901</v>
      </c>
      <c r="M4268">
        <v>25.622996333964</v>
      </c>
      <c r="N4268">
        <v>48.324488491344198</v>
      </c>
      <c r="O4268">
        <v>47.870469046149601</v>
      </c>
      <c r="P4268">
        <v>-0.12825841742734101</v>
      </c>
      <c r="Q4268">
        <v>4.1530413527397503E-2</v>
      </c>
      <c r="R4268">
        <v>0.99893190346404503</v>
      </c>
      <c r="S4268" t="s">
        <v>11074</v>
      </c>
      <c r="T4268" t="s">
        <v>13610</v>
      </c>
      <c r="U4268" t="s">
        <v>13610</v>
      </c>
      <c r="V4268" t="s">
        <v>13610</v>
      </c>
      <c r="W4268" t="s">
        <v>17818</v>
      </c>
      <c r="X4268">
        <v>20</v>
      </c>
      <c r="Y4268" t="s">
        <v>24404</v>
      </c>
      <c r="Z4268" t="s">
        <v>31123</v>
      </c>
      <c r="AA4268">
        <v>0.31030523836676688</v>
      </c>
      <c r="AB4268" t="str">
        <f>HYPERLINK("Melting_Curves/meltCurve_Q86UA1_PRPF39.pdf", "Melting_Curves/meltCurve_Q86UA1_PRPF39.pdf")</f>
        <v>Melting_Curves/meltCurve_Q86UA1_PRPF39.pdf</v>
      </c>
    </row>
    <row r="4269" spans="1:28" x14ac:dyDescent="0.25">
      <c r="A4269" t="s">
        <v>4273</v>
      </c>
      <c r="B4269">
        <v>0.995954080203443</v>
      </c>
      <c r="C4269">
        <v>1.0190209579762499</v>
      </c>
      <c r="D4269">
        <v>0.98023741011250398</v>
      </c>
      <c r="E4269">
        <v>0.96461976536551997</v>
      </c>
      <c r="F4269">
        <v>0.95581216474020303</v>
      </c>
      <c r="G4269">
        <v>0.76616100052573999</v>
      </c>
      <c r="H4269">
        <v>0.78738089978685</v>
      </c>
      <c r="I4269">
        <v>0.93978125402356905</v>
      </c>
      <c r="J4269">
        <v>1.1306047535503201</v>
      </c>
      <c r="K4269">
        <v>1.1651442647794401</v>
      </c>
      <c r="L4269">
        <v>15000</v>
      </c>
      <c r="M4269">
        <v>225.20850595872301</v>
      </c>
      <c r="O4269">
        <v>66.5997140550067</v>
      </c>
      <c r="P4269">
        <v>0.139632442531296</v>
      </c>
      <c r="Q4269">
        <v>1.16517098480007</v>
      </c>
      <c r="R4269">
        <v>0.24884303632302801</v>
      </c>
      <c r="S4269" t="s">
        <v>11075</v>
      </c>
      <c r="T4269" t="s">
        <v>13610</v>
      </c>
      <c r="U4269" t="s">
        <v>13610</v>
      </c>
      <c r="V4269" t="s">
        <v>13610</v>
      </c>
      <c r="W4269" t="s">
        <v>17819</v>
      </c>
      <c r="X4269">
        <v>30</v>
      </c>
      <c r="Y4269" t="s">
        <v>24405</v>
      </c>
      <c r="Z4269" t="s">
        <v>31124</v>
      </c>
      <c r="AA4269">
        <v>1.018668396249472</v>
      </c>
      <c r="AB4269" t="str">
        <f>HYPERLINK("Melting_Curves/meltCurve_Q86UE4_MTDH.pdf", "Melting_Curves/meltCurve_Q86UE4_MTDH.pdf")</f>
        <v>Melting_Curves/meltCurve_Q86UE4_MTDH.pdf</v>
      </c>
    </row>
    <row r="4270" spans="1:28" x14ac:dyDescent="0.25">
      <c r="A4270" t="s">
        <v>4274</v>
      </c>
      <c r="B4270">
        <v>0.995954080203443</v>
      </c>
      <c r="C4270">
        <v>0.88349753069710502</v>
      </c>
      <c r="D4270">
        <v>0.84803353785289204</v>
      </c>
      <c r="E4270">
        <v>0.63523142502017504</v>
      </c>
      <c r="F4270">
        <v>0.53843458196487903</v>
      </c>
      <c r="G4270">
        <v>0.36322347056015197</v>
      </c>
      <c r="H4270">
        <v>0.34292310667954701</v>
      </c>
      <c r="I4270">
        <v>0.387869601838847</v>
      </c>
      <c r="J4270">
        <v>0.46587415225475598</v>
      </c>
      <c r="K4270">
        <v>0.45251907537715103</v>
      </c>
      <c r="L4270">
        <v>845.53290543656396</v>
      </c>
      <c r="M4270">
        <v>17.4234605633713</v>
      </c>
      <c r="N4270">
        <v>53.305991525163002</v>
      </c>
      <c r="O4270">
        <v>47.902688546244804</v>
      </c>
      <c r="P4270">
        <v>-5.5007704223464002E-2</v>
      </c>
      <c r="Q4270">
        <v>0.39509855571376201</v>
      </c>
      <c r="R4270">
        <v>0.95500293633252797</v>
      </c>
      <c r="S4270" t="s">
        <v>11076</v>
      </c>
      <c r="T4270" t="s">
        <v>13610</v>
      </c>
      <c r="U4270" t="s">
        <v>13610</v>
      </c>
      <c r="V4270" t="s">
        <v>13610</v>
      </c>
      <c r="W4270" t="s">
        <v>17820</v>
      </c>
      <c r="X4270">
        <v>20</v>
      </c>
      <c r="Y4270" t="s">
        <v>24406</v>
      </c>
      <c r="Z4270" t="s">
        <v>31125</v>
      </c>
      <c r="AA4270">
        <v>0.57836557667775801</v>
      </c>
      <c r="AB4270" t="str">
        <f>HYPERLINK("Melting_Curves/meltCurve_Q86UE8_2_TLK2.pdf", "Melting_Curves/meltCurve_Q86UE8_2_TLK2.pdf")</f>
        <v>Melting_Curves/meltCurve_Q86UE8_2_TLK2.pdf</v>
      </c>
    </row>
    <row r="4271" spans="1:28" x14ac:dyDescent="0.25">
      <c r="A4271" t="s">
        <v>4275</v>
      </c>
      <c r="B4271">
        <v>0.995954080203443</v>
      </c>
      <c r="C4271">
        <v>0.93818827129330096</v>
      </c>
      <c r="D4271">
        <v>0.88205153976407302</v>
      </c>
      <c r="E4271">
        <v>0.65896035099153805</v>
      </c>
      <c r="F4271">
        <v>0.458588575720278</v>
      </c>
      <c r="G4271">
        <v>0.30654661446706399</v>
      </c>
      <c r="H4271">
        <v>0.25374332326520099</v>
      </c>
      <c r="I4271">
        <v>0.27745511231298797</v>
      </c>
      <c r="J4271">
        <v>0.322114463848721</v>
      </c>
      <c r="K4271">
        <v>0.29151791382049402</v>
      </c>
      <c r="L4271">
        <v>994.589136994672</v>
      </c>
      <c r="M4271">
        <v>19.869664734693401</v>
      </c>
      <c r="N4271">
        <v>52.133655755395701</v>
      </c>
      <c r="O4271">
        <v>49.556907038324503</v>
      </c>
      <c r="P4271">
        <v>-7.2821537915207499E-2</v>
      </c>
      <c r="Q4271">
        <v>0.27352773291517801</v>
      </c>
      <c r="R4271">
        <v>0.99237459190439203</v>
      </c>
      <c r="S4271" t="s">
        <v>11077</v>
      </c>
      <c r="T4271" t="s">
        <v>13610</v>
      </c>
      <c r="U4271" t="s">
        <v>13610</v>
      </c>
      <c r="V4271" t="s">
        <v>13610</v>
      </c>
      <c r="W4271" t="s">
        <v>17821</v>
      </c>
      <c r="X4271">
        <v>34</v>
      </c>
      <c r="Y4271" t="s">
        <v>24407</v>
      </c>
      <c r="Z4271" t="s">
        <v>31126</v>
      </c>
      <c r="AA4271">
        <v>0.52727367895372845</v>
      </c>
      <c r="AB4271" t="str">
        <f>HYPERLINK("Melting_Curves/meltCurve_Q86UK7_3_ZNF598.pdf", "Melting_Curves/meltCurve_Q86UK7_3_ZNF598.pdf")</f>
        <v>Melting_Curves/meltCurve_Q86UK7_3_ZNF598.pdf</v>
      </c>
    </row>
    <row r="4272" spans="1:28" x14ac:dyDescent="0.25">
      <c r="A4272" t="s">
        <v>4276</v>
      </c>
      <c r="B4272">
        <v>0.995954080203443</v>
      </c>
      <c r="C4272">
        <v>0.96344505235521105</v>
      </c>
      <c r="D4272">
        <v>0.96144485584370198</v>
      </c>
      <c r="E4272">
        <v>0.86385952191652404</v>
      </c>
      <c r="F4272">
        <v>0.73512016862096397</v>
      </c>
      <c r="G4272">
        <v>0.58597953312295903</v>
      </c>
      <c r="H4272">
        <v>0.49415505449150898</v>
      </c>
      <c r="I4272">
        <v>0.57247979143738104</v>
      </c>
      <c r="J4272">
        <v>0.77941518613965999</v>
      </c>
      <c r="K4272">
        <v>0.71487831968416604</v>
      </c>
      <c r="L4272">
        <v>1645.4937792176499</v>
      </c>
      <c r="M4272">
        <v>32.324183181416402</v>
      </c>
      <c r="O4272">
        <v>50.712322020175797</v>
      </c>
      <c r="P4272">
        <v>-5.8895328345121303E-2</v>
      </c>
      <c r="Q4272">
        <v>0.63040623353400405</v>
      </c>
      <c r="R4272">
        <v>0.79985201197126499</v>
      </c>
      <c r="S4272" t="s">
        <v>11078</v>
      </c>
      <c r="T4272" t="s">
        <v>13610</v>
      </c>
      <c r="U4272" t="s">
        <v>13610</v>
      </c>
      <c r="V4272" t="s">
        <v>13610</v>
      </c>
      <c r="W4272" t="s">
        <v>17822</v>
      </c>
      <c r="X4272">
        <v>101</v>
      </c>
      <c r="Y4272" t="s">
        <v>24408</v>
      </c>
      <c r="Z4272" t="s">
        <v>31127</v>
      </c>
      <c r="AA4272">
        <v>0.76676281773164046</v>
      </c>
      <c r="AB4272" t="str">
        <f>HYPERLINK("Melting_Curves/meltCurve_Q86UP2_KTN1.pdf", "Melting_Curves/meltCurve_Q86UP2_KTN1.pdf")</f>
        <v>Melting_Curves/meltCurve_Q86UP2_KTN1.pdf</v>
      </c>
    </row>
    <row r="4273" spans="1:28" x14ac:dyDescent="0.25">
      <c r="A4273" t="s">
        <v>4277</v>
      </c>
      <c r="B4273">
        <v>0.995954080203443</v>
      </c>
      <c r="C4273">
        <v>0.92028453245058295</v>
      </c>
      <c r="D4273">
        <v>0.74026715116463004</v>
      </c>
      <c r="E4273">
        <v>0.45855392081121599</v>
      </c>
      <c r="F4273">
        <v>0.30420332825013302</v>
      </c>
      <c r="G4273">
        <v>0.21485121836095999</v>
      </c>
      <c r="H4273">
        <v>0.17446975626175501</v>
      </c>
      <c r="I4273">
        <v>0.190354963681718</v>
      </c>
      <c r="J4273">
        <v>0.23272016606423501</v>
      </c>
      <c r="K4273">
        <v>0.23545128214302999</v>
      </c>
      <c r="L4273">
        <v>934.18985124778999</v>
      </c>
      <c r="M4273">
        <v>19.519972327204101</v>
      </c>
      <c r="N4273">
        <v>49.146328116465902</v>
      </c>
      <c r="O4273">
        <v>47.364353496583902</v>
      </c>
      <c r="P4273">
        <v>-8.2402581374184894E-2</v>
      </c>
      <c r="Q4273">
        <v>0.20024356398311199</v>
      </c>
      <c r="R4273">
        <v>0.99503254808585395</v>
      </c>
      <c r="S4273" t="s">
        <v>11079</v>
      </c>
      <c r="T4273" t="s">
        <v>13610</v>
      </c>
      <c r="U4273" t="s">
        <v>13610</v>
      </c>
      <c r="V4273" t="s">
        <v>13610</v>
      </c>
      <c r="W4273" t="s">
        <v>17823</v>
      </c>
      <c r="X4273">
        <v>19</v>
      </c>
      <c r="Y4273" t="s">
        <v>24409</v>
      </c>
      <c r="Z4273" t="s">
        <v>31128</v>
      </c>
      <c r="AA4273">
        <v>0.42173702662836471</v>
      </c>
      <c r="AB4273" t="str">
        <f>HYPERLINK("Melting_Curves/meltCurve_Q86US8_SMG6.pdf", "Melting_Curves/meltCurve_Q86US8_SMG6.pdf")</f>
        <v>Melting_Curves/meltCurve_Q86US8_SMG6.pdf</v>
      </c>
    </row>
    <row r="4274" spans="1:28" x14ac:dyDescent="0.25">
      <c r="A4274" t="s">
        <v>4278</v>
      </c>
      <c r="B4274">
        <v>0.995954080203443</v>
      </c>
      <c r="C4274">
        <v>0.93165909846617501</v>
      </c>
      <c r="D4274">
        <v>0.95288787789157303</v>
      </c>
      <c r="E4274">
        <v>0.71927948811554598</v>
      </c>
      <c r="F4274">
        <v>0.81450046434286205</v>
      </c>
      <c r="G4274">
        <v>0.641051693614061</v>
      </c>
      <c r="H4274">
        <v>0.64763391113717095</v>
      </c>
      <c r="I4274">
        <v>0.79825470821284805</v>
      </c>
      <c r="J4274">
        <v>0.94903320104663202</v>
      </c>
      <c r="K4274">
        <v>0.92368432368172904</v>
      </c>
      <c r="L4274">
        <v>11558.516339396399</v>
      </c>
      <c r="M4274">
        <v>250</v>
      </c>
      <c r="O4274">
        <v>46.231095795981602</v>
      </c>
      <c r="P4274">
        <v>-0.290960984297849</v>
      </c>
      <c r="Q4274">
        <v>0.784776827169817</v>
      </c>
      <c r="R4274">
        <v>0.393173675733269</v>
      </c>
      <c r="S4274" t="s">
        <v>11080</v>
      </c>
      <c r="T4274" t="s">
        <v>13610</v>
      </c>
      <c r="U4274" t="s">
        <v>13610</v>
      </c>
      <c r="V4274" t="s">
        <v>13610</v>
      </c>
      <c r="W4274" t="s">
        <v>17824</v>
      </c>
      <c r="X4274">
        <v>17</v>
      </c>
      <c r="Y4274" t="s">
        <v>24410</v>
      </c>
      <c r="Z4274" t="s">
        <v>31129</v>
      </c>
      <c r="AA4274">
        <v>0.82951813458842383</v>
      </c>
      <c r="AB4274" t="str">
        <f>HYPERLINK("Melting_Curves/meltCurve_Q86UU0_3_BCL9L.pdf", "Melting_Curves/meltCurve_Q86UU0_3_BCL9L.pdf")</f>
        <v>Melting_Curves/meltCurve_Q86UU0_3_BCL9L.pdf</v>
      </c>
    </row>
    <row r="4275" spans="1:28" x14ac:dyDescent="0.25">
      <c r="A4275" t="s">
        <v>4279</v>
      </c>
      <c r="B4275">
        <v>0.995954080203443</v>
      </c>
      <c r="C4275">
        <v>0.95910818952771404</v>
      </c>
      <c r="D4275">
        <v>0.95799840191392205</v>
      </c>
      <c r="E4275">
        <v>0.85861200704085705</v>
      </c>
      <c r="F4275">
        <v>0.81586910667469104</v>
      </c>
      <c r="G4275">
        <v>0.66211345453090698</v>
      </c>
      <c r="H4275">
        <v>0.66316618254854298</v>
      </c>
      <c r="I4275">
        <v>0.81752639582667797</v>
      </c>
      <c r="J4275">
        <v>0.96118951818768195</v>
      </c>
      <c r="K4275">
        <v>0.95168056537724099</v>
      </c>
      <c r="L4275">
        <v>1522.92245453128</v>
      </c>
      <c r="M4275">
        <v>31.917877359884901</v>
      </c>
      <c r="O4275">
        <v>47.527650721505402</v>
      </c>
      <c r="P4275">
        <v>-3.1553970988178498E-2</v>
      </c>
      <c r="Q4275">
        <v>0.81205786863652496</v>
      </c>
      <c r="R4275">
        <v>0.36092238959628198</v>
      </c>
      <c r="S4275" t="s">
        <v>11081</v>
      </c>
      <c r="T4275" t="s">
        <v>13610</v>
      </c>
      <c r="U4275" t="s">
        <v>13610</v>
      </c>
      <c r="V4275" t="s">
        <v>13610</v>
      </c>
      <c r="W4275" t="s">
        <v>17825</v>
      </c>
      <c r="X4275">
        <v>19</v>
      </c>
      <c r="Y4275" t="s">
        <v>24411</v>
      </c>
      <c r="Z4275" t="s">
        <v>31130</v>
      </c>
      <c r="AA4275">
        <v>0.86137387105775598</v>
      </c>
      <c r="AB4275" t="str">
        <f>HYPERLINK("Melting_Curves/meltCurve_Q86UU1_2_PHLDB1.pdf", "Melting_Curves/meltCurve_Q86UU1_2_PHLDB1.pdf")</f>
        <v>Melting_Curves/meltCurve_Q86UU1_2_PHLDB1.pdf</v>
      </c>
    </row>
    <row r="4276" spans="1:28" x14ac:dyDescent="0.25">
      <c r="A4276" t="s">
        <v>4280</v>
      </c>
      <c r="B4276">
        <v>0.995954080203443</v>
      </c>
      <c r="C4276">
        <v>0.89134794096691194</v>
      </c>
      <c r="D4276">
        <v>0.46628411188225</v>
      </c>
      <c r="E4276">
        <v>0.29174767589203798</v>
      </c>
      <c r="F4276">
        <v>0.13313825073692501</v>
      </c>
      <c r="G4276">
        <v>7.9159951963410399E-2</v>
      </c>
      <c r="H4276">
        <v>5.5928346051756998E-2</v>
      </c>
      <c r="I4276">
        <v>5.0183663687943199E-2</v>
      </c>
      <c r="J4276">
        <v>6.09176500265073E-2</v>
      </c>
      <c r="K4276">
        <v>5.1667449720249302E-2</v>
      </c>
      <c r="L4276">
        <v>937.64676715895405</v>
      </c>
      <c r="M4276">
        <v>20.316809456932699</v>
      </c>
      <c r="N4276">
        <v>46.447824615224199</v>
      </c>
      <c r="O4276">
        <v>45.711138059178502</v>
      </c>
      <c r="P4276">
        <v>-0.104359770764774</v>
      </c>
      <c r="Q4276">
        <v>6.08253400638075E-2</v>
      </c>
      <c r="R4276">
        <v>0.98635448694009897</v>
      </c>
      <c r="S4276" t="s">
        <v>11082</v>
      </c>
      <c r="T4276" t="s">
        <v>13610</v>
      </c>
      <c r="U4276" t="s">
        <v>13610</v>
      </c>
      <c r="V4276" t="s">
        <v>13610</v>
      </c>
      <c r="W4276" t="s">
        <v>17826</v>
      </c>
      <c r="X4276">
        <v>38</v>
      </c>
      <c r="Y4276" t="s">
        <v>24412</v>
      </c>
      <c r="Z4276" t="s">
        <v>31131</v>
      </c>
      <c r="AA4276">
        <v>0.26726014511922191</v>
      </c>
      <c r="AB4276" t="str">
        <f>HYPERLINK("Melting_Curves/meltCurve_Q86UV5_USP48.pdf", "Melting_Curves/meltCurve_Q86UV5_USP48.pdf")</f>
        <v>Melting_Curves/meltCurve_Q86UV5_USP48.pdf</v>
      </c>
    </row>
    <row r="4277" spans="1:28" x14ac:dyDescent="0.25">
      <c r="A4277" t="s">
        <v>4281</v>
      </c>
      <c r="B4277">
        <v>0.995954080203443</v>
      </c>
      <c r="C4277">
        <v>0.94312502798751296</v>
      </c>
      <c r="D4277">
        <v>0.89546540622186099</v>
      </c>
      <c r="E4277">
        <v>0.83821720397052302</v>
      </c>
      <c r="F4277">
        <v>0.73540051266638196</v>
      </c>
      <c r="G4277">
        <v>0.518670884801406</v>
      </c>
      <c r="H4277">
        <v>0.43499764304454003</v>
      </c>
      <c r="I4277">
        <v>0.48501842862147299</v>
      </c>
      <c r="J4277">
        <v>0.60793340570662602</v>
      </c>
      <c r="K4277">
        <v>0.56070403873709496</v>
      </c>
      <c r="L4277">
        <v>1039.34133032863</v>
      </c>
      <c r="M4277">
        <v>20.200122842274599</v>
      </c>
      <c r="O4277">
        <v>50.9559371928747</v>
      </c>
      <c r="P4277">
        <v>-4.8521044426934702E-2</v>
      </c>
      <c r="Q4277">
        <v>0.51042713682521601</v>
      </c>
      <c r="R4277">
        <v>0.91364821075005098</v>
      </c>
      <c r="S4277" t="s">
        <v>11083</v>
      </c>
      <c r="T4277" t="s">
        <v>13610</v>
      </c>
      <c r="U4277" t="s">
        <v>13610</v>
      </c>
      <c r="V4277" t="s">
        <v>13610</v>
      </c>
      <c r="W4277" t="s">
        <v>17827</v>
      </c>
      <c r="X4277">
        <v>31</v>
      </c>
      <c r="Y4277" t="s">
        <v>24413</v>
      </c>
      <c r="Z4277" t="s">
        <v>31132</v>
      </c>
      <c r="AA4277">
        <v>0.70398192209289379</v>
      </c>
      <c r="AB4277" t="str">
        <f>HYPERLINK("Melting_Curves/meltCurve_Q86UW6_2_N4BP2.pdf", "Melting_Curves/meltCurve_Q86UW6_2_N4BP2.pdf")</f>
        <v>Melting_Curves/meltCurve_Q86UW6_2_N4BP2.pdf</v>
      </c>
    </row>
    <row r="4278" spans="1:28" x14ac:dyDescent="0.25">
      <c r="A4278" t="s">
        <v>4282</v>
      </c>
      <c r="B4278">
        <v>0.995954080203443</v>
      </c>
      <c r="C4278">
        <v>1.1589537058030299</v>
      </c>
      <c r="D4278">
        <v>1.3918114508969199</v>
      </c>
      <c r="E4278">
        <v>1.28792554548842</v>
      </c>
      <c r="F4278">
        <v>1.31271343366019</v>
      </c>
      <c r="G4278">
        <v>1.3248640337920199</v>
      </c>
      <c r="H4278">
        <v>1.3568032163036901</v>
      </c>
      <c r="I4278">
        <v>1.31454849007381</v>
      </c>
      <c r="J4278">
        <v>1.83767926110684</v>
      </c>
      <c r="K4278">
        <v>1.97066594287218</v>
      </c>
      <c r="L4278">
        <v>505.59948338375699</v>
      </c>
      <c r="M4278">
        <v>10.920516233139701</v>
      </c>
      <c r="O4278">
        <v>44.826851756932001</v>
      </c>
      <c r="P4278">
        <v>3.0462518152635499E-2</v>
      </c>
      <c r="Q4278">
        <v>1.5</v>
      </c>
      <c r="R4278">
        <v>0.41694333559518398</v>
      </c>
      <c r="S4278" t="s">
        <v>11084</v>
      </c>
      <c r="T4278" t="s">
        <v>13610</v>
      </c>
      <c r="U4278" t="s">
        <v>13610</v>
      </c>
      <c r="V4278" t="s">
        <v>13610</v>
      </c>
      <c r="W4278" t="s">
        <v>17828</v>
      </c>
      <c r="X4278">
        <v>1</v>
      </c>
      <c r="Y4278" t="s">
        <v>24414</v>
      </c>
      <c r="Z4278" t="s">
        <v>31133</v>
      </c>
      <c r="AA4278">
        <v>1.368749154370869</v>
      </c>
      <c r="AB4278" t="str">
        <f>HYPERLINK("Melting_Curves/meltCurve_Q86UX3_ABCC5.pdf", "Melting_Curves/meltCurve_Q86UX3_ABCC5.pdf")</f>
        <v>Melting_Curves/meltCurve_Q86UX3_ABCC5.pdf</v>
      </c>
    </row>
    <row r="4279" spans="1:28" x14ac:dyDescent="0.25">
      <c r="A4279" t="s">
        <v>4283</v>
      </c>
      <c r="B4279">
        <v>0.995954080203443</v>
      </c>
      <c r="C4279">
        <v>0.71273492578127096</v>
      </c>
      <c r="D4279">
        <v>0.59324253151682504</v>
      </c>
      <c r="E4279">
        <v>0.83219177631987495</v>
      </c>
      <c r="F4279">
        <v>0.83969966636325899</v>
      </c>
      <c r="G4279">
        <v>0.371955890421583</v>
      </c>
      <c r="H4279">
        <v>0.27917972801966201</v>
      </c>
      <c r="I4279">
        <v>0.34181750182147802</v>
      </c>
      <c r="J4279">
        <v>0.40041301395330398</v>
      </c>
      <c r="K4279">
        <v>0.37828828472957698</v>
      </c>
      <c r="L4279">
        <v>292.50624024614802</v>
      </c>
      <c r="M4279">
        <v>5.2873866829272904</v>
      </c>
      <c r="N4279">
        <v>57.400969176689102</v>
      </c>
      <c r="O4279">
        <v>48.891987336446597</v>
      </c>
      <c r="P4279">
        <v>-2.48043574013211E-2</v>
      </c>
      <c r="Q4279">
        <v>8.71588463622473E-2</v>
      </c>
      <c r="R4279">
        <v>0.66886433661108902</v>
      </c>
      <c r="S4279" t="s">
        <v>11085</v>
      </c>
      <c r="T4279" t="s">
        <v>13610</v>
      </c>
      <c r="U4279" t="s">
        <v>13610</v>
      </c>
      <c r="V4279" t="s">
        <v>13610</v>
      </c>
      <c r="W4279" t="s">
        <v>17829</v>
      </c>
      <c r="X4279">
        <v>5</v>
      </c>
      <c r="Y4279" t="s">
        <v>24415</v>
      </c>
      <c r="Z4279" t="s">
        <v>31134</v>
      </c>
      <c r="AA4279">
        <v>0.57237254829444384</v>
      </c>
      <c r="AB4279" t="str">
        <f>HYPERLINK("Melting_Curves/meltCurve_Q86UX6_STK32C.pdf", "Melting_Curves/meltCurve_Q86UX6_STK32C.pdf")</f>
        <v>Melting_Curves/meltCurve_Q86UX6_STK32C.pdf</v>
      </c>
    </row>
    <row r="4280" spans="1:28" x14ac:dyDescent="0.25">
      <c r="A4280" t="s">
        <v>4284</v>
      </c>
      <c r="B4280">
        <v>0.995954080203443</v>
      </c>
      <c r="C4280">
        <v>0.92837674061836295</v>
      </c>
      <c r="D4280">
        <v>0.86150451604482503</v>
      </c>
      <c r="E4280">
        <v>0.84924603887718897</v>
      </c>
      <c r="F4280">
        <v>0.78851095784812097</v>
      </c>
      <c r="G4280">
        <v>0.50759473788127096</v>
      </c>
      <c r="H4280">
        <v>0.29962101236635003</v>
      </c>
      <c r="I4280">
        <v>0.17713436866484999</v>
      </c>
      <c r="J4280">
        <v>0.16101540745106599</v>
      </c>
      <c r="K4280">
        <v>0.14223698584519601</v>
      </c>
      <c r="L4280">
        <v>720.68213941705903</v>
      </c>
      <c r="M4280">
        <v>12.6724176671304</v>
      </c>
      <c r="N4280">
        <v>57.139005157194703</v>
      </c>
      <c r="O4280">
        <v>55.509729103827603</v>
      </c>
      <c r="P4280">
        <v>-5.5431867535396202E-2</v>
      </c>
      <c r="Q4280">
        <v>2.8943536479072E-2</v>
      </c>
      <c r="R4280">
        <v>0.98282412451025603</v>
      </c>
      <c r="S4280" t="s">
        <v>11086</v>
      </c>
      <c r="T4280" t="s">
        <v>13610</v>
      </c>
      <c r="U4280" t="s">
        <v>13610</v>
      </c>
      <c r="V4280" t="s">
        <v>13610</v>
      </c>
      <c r="W4280" t="s">
        <v>17830</v>
      </c>
      <c r="X4280">
        <v>15</v>
      </c>
      <c r="Y4280" t="s">
        <v>24416</v>
      </c>
      <c r="Z4280" t="s">
        <v>31135</v>
      </c>
      <c r="AA4280">
        <v>0.59172989188662461</v>
      </c>
      <c r="AB4280" t="str">
        <f>HYPERLINK("Melting_Curves/meltCurve_Q86UY0_TXNDC5.pdf", "Melting_Curves/meltCurve_Q86UY0_TXNDC5.pdf")</f>
        <v>Melting_Curves/meltCurve_Q86UY0_TXNDC5.pdf</v>
      </c>
    </row>
    <row r="4281" spans="1:28" x14ac:dyDescent="0.25">
      <c r="A4281" t="s">
        <v>4285</v>
      </c>
      <c r="B4281">
        <v>0.995954080203443</v>
      </c>
      <c r="C4281">
        <v>0.95602639062832395</v>
      </c>
      <c r="D4281">
        <v>0.80913535492148503</v>
      </c>
      <c r="E4281">
        <v>0.78654815281949797</v>
      </c>
      <c r="F4281">
        <v>0.31440061707792399</v>
      </c>
      <c r="G4281">
        <v>0.163380493332418</v>
      </c>
      <c r="H4281">
        <v>0.12298940883755601</v>
      </c>
      <c r="I4281">
        <v>0.120520677663756</v>
      </c>
      <c r="J4281">
        <v>0.140684477636521</v>
      </c>
      <c r="K4281">
        <v>0.13896404018988101</v>
      </c>
      <c r="L4281">
        <v>1759.91293885303</v>
      </c>
      <c r="M4281">
        <v>34.316266689786801</v>
      </c>
      <c r="N4281">
        <v>51.731451634125499</v>
      </c>
      <c r="O4281">
        <v>51.111893238610399</v>
      </c>
      <c r="P4281">
        <v>-0.146340579779769</v>
      </c>
      <c r="Q4281">
        <v>0.12814380352173199</v>
      </c>
      <c r="R4281">
        <v>0.97290510532674601</v>
      </c>
      <c r="S4281" t="s">
        <v>11087</v>
      </c>
      <c r="T4281" t="s">
        <v>13610</v>
      </c>
      <c r="U4281" t="s">
        <v>13610</v>
      </c>
      <c r="V4281" t="s">
        <v>13610</v>
      </c>
      <c r="W4281" t="s">
        <v>17831</v>
      </c>
      <c r="X4281">
        <v>11</v>
      </c>
      <c r="Y4281" t="s">
        <v>24417</v>
      </c>
      <c r="Z4281" t="s">
        <v>31136</v>
      </c>
      <c r="AA4281">
        <v>0.46031623654178511</v>
      </c>
      <c r="AB4281" t="str">
        <f>HYPERLINK("Melting_Curves/meltCurve_Q86UY5_FAM83A.pdf", "Melting_Curves/meltCurve_Q86UY5_FAM83A.pdf")</f>
        <v>Melting_Curves/meltCurve_Q86UY5_FAM83A.pdf</v>
      </c>
    </row>
    <row r="4282" spans="1:28" x14ac:dyDescent="0.25">
      <c r="A4282" t="s">
        <v>4286</v>
      </c>
      <c r="B4282">
        <v>0.995954080203443</v>
      </c>
      <c r="C4282">
        <v>0.87016234007948401</v>
      </c>
      <c r="D4282">
        <v>0.66608305640741206</v>
      </c>
      <c r="E4282">
        <v>0.62034345263839397</v>
      </c>
      <c r="F4282">
        <v>0.469243206482933</v>
      </c>
      <c r="G4282">
        <v>0.25445094099808602</v>
      </c>
      <c r="H4282">
        <v>0.14990909753481699</v>
      </c>
      <c r="I4282">
        <v>0.114926526542128</v>
      </c>
      <c r="J4282">
        <v>0.10042226876034201</v>
      </c>
      <c r="K4282">
        <v>0.106598616232168</v>
      </c>
      <c r="L4282">
        <v>496.61487522711201</v>
      </c>
      <c r="M4282">
        <v>9.6683032052034008</v>
      </c>
      <c r="N4282">
        <v>51.404909691470799</v>
      </c>
      <c r="O4282">
        <v>49.312171361132002</v>
      </c>
      <c r="P4282">
        <v>-4.8860655245403298E-2</v>
      </c>
      <c r="Q4282">
        <v>3.7165396053000501E-3</v>
      </c>
      <c r="R4282">
        <v>0.98171969452411401</v>
      </c>
      <c r="S4282" t="s">
        <v>11088</v>
      </c>
      <c r="T4282" t="s">
        <v>13610</v>
      </c>
      <c r="U4282" t="s">
        <v>13610</v>
      </c>
      <c r="V4282" t="s">
        <v>13610</v>
      </c>
      <c r="W4282" t="s">
        <v>17832</v>
      </c>
      <c r="X4282">
        <v>5</v>
      </c>
      <c r="Y4282" t="s">
        <v>24418</v>
      </c>
      <c r="Z4282" t="s">
        <v>31137</v>
      </c>
      <c r="AA4282">
        <v>0.42288425666717278</v>
      </c>
      <c r="AB4282" t="str">
        <f>HYPERLINK("Melting_Curves/meltCurve_Q86UY8_2_NT5DC3.pdf", "Melting_Curves/meltCurve_Q86UY8_2_NT5DC3.pdf")</f>
        <v>Melting_Curves/meltCurve_Q86UY8_2_NT5DC3.pdf</v>
      </c>
    </row>
    <row r="4283" spans="1:28" x14ac:dyDescent="0.25">
      <c r="A4283" t="s">
        <v>4287</v>
      </c>
      <c r="B4283">
        <v>0.995954080203443</v>
      </c>
      <c r="C4283">
        <v>0.77781168979258597</v>
      </c>
      <c r="D4283">
        <v>0.21459402297373001</v>
      </c>
      <c r="E4283">
        <v>0.187859628396361</v>
      </c>
      <c r="F4283">
        <v>0.101422874269567</v>
      </c>
      <c r="G4283">
        <v>5.9340970436794302E-2</v>
      </c>
      <c r="H4283">
        <v>4.7696767063617203E-2</v>
      </c>
      <c r="I4283">
        <v>4.6565400799443601E-2</v>
      </c>
      <c r="J4283">
        <v>5.8578450447471599E-2</v>
      </c>
      <c r="K4283">
        <v>5.1159353538060497E-2</v>
      </c>
      <c r="L4283">
        <v>1749.89576960981</v>
      </c>
      <c r="M4283">
        <v>39.662998238434497</v>
      </c>
      <c r="N4283">
        <v>44.3029901179749</v>
      </c>
      <c r="O4283">
        <v>44.007392831581797</v>
      </c>
      <c r="P4283">
        <v>-0.20821754346110299</v>
      </c>
      <c r="Q4283">
        <v>7.5905304985744604E-2</v>
      </c>
      <c r="R4283">
        <v>0.98632920170740901</v>
      </c>
      <c r="S4283" t="s">
        <v>11089</v>
      </c>
      <c r="T4283" t="s">
        <v>13610</v>
      </c>
      <c r="U4283" t="s">
        <v>13610</v>
      </c>
      <c r="V4283" t="s">
        <v>13610</v>
      </c>
      <c r="W4283" t="s">
        <v>17833</v>
      </c>
      <c r="X4283">
        <v>9</v>
      </c>
      <c r="Y4283" t="s">
        <v>24419</v>
      </c>
      <c r="Z4283" t="s">
        <v>31138</v>
      </c>
      <c r="AA4283">
        <v>0.2061039786284164</v>
      </c>
      <c r="AB4283" t="str">
        <f>HYPERLINK("Melting_Curves/meltCurve_Q86V21_AACS.pdf", "Melting_Curves/meltCurve_Q86V21_AACS.pdf")</f>
        <v>Melting_Curves/meltCurve_Q86V21_AACS.pdf</v>
      </c>
    </row>
    <row r="4284" spans="1:28" x14ac:dyDescent="0.25">
      <c r="A4284" t="s">
        <v>4288</v>
      </c>
      <c r="B4284">
        <v>0.995954080203443</v>
      </c>
      <c r="C4284">
        <v>0.96541901605203995</v>
      </c>
      <c r="D4284">
        <v>0.94723097173995496</v>
      </c>
      <c r="E4284">
        <v>0.80569303131220005</v>
      </c>
      <c r="F4284">
        <v>0.81315730093341798</v>
      </c>
      <c r="G4284">
        <v>0.585153187263589</v>
      </c>
      <c r="H4284">
        <v>0.47278073554487798</v>
      </c>
      <c r="I4284">
        <v>0.50761080440587003</v>
      </c>
      <c r="J4284">
        <v>0.59030825980691404</v>
      </c>
      <c r="K4284">
        <v>0.57270974619185999</v>
      </c>
      <c r="L4284">
        <v>930.37373191986296</v>
      </c>
      <c r="M4284">
        <v>17.817775201624599</v>
      </c>
      <c r="O4284">
        <v>51.571636148107402</v>
      </c>
      <c r="P4284">
        <v>-4.1168082315288602E-2</v>
      </c>
      <c r="Q4284">
        <v>0.52339809755586497</v>
      </c>
      <c r="R4284">
        <v>0.93480811521064899</v>
      </c>
      <c r="S4284" t="s">
        <v>11090</v>
      </c>
      <c r="T4284" t="s">
        <v>13610</v>
      </c>
      <c r="U4284" t="s">
        <v>13610</v>
      </c>
      <c r="V4284" t="s">
        <v>13610</v>
      </c>
      <c r="W4284" t="s">
        <v>17834</v>
      </c>
      <c r="X4284">
        <v>48</v>
      </c>
      <c r="Y4284" t="s">
        <v>24420</v>
      </c>
      <c r="Z4284" t="s">
        <v>31139</v>
      </c>
      <c r="AA4284">
        <v>0.72551410278699213</v>
      </c>
      <c r="AB4284" t="str">
        <f>HYPERLINK("Melting_Curves/meltCurve_Q86V48_LUZP1.pdf", "Melting_Curves/meltCurve_Q86V48_LUZP1.pdf")</f>
        <v>Melting_Curves/meltCurve_Q86V48_LUZP1.pdf</v>
      </c>
    </row>
    <row r="4285" spans="1:28" x14ac:dyDescent="0.25">
      <c r="A4285" t="s">
        <v>4289</v>
      </c>
      <c r="B4285">
        <v>0.995954080203443</v>
      </c>
      <c r="C4285">
        <v>1.02569470589176</v>
      </c>
      <c r="D4285">
        <v>0.93221198222413004</v>
      </c>
      <c r="E4285">
        <v>0.83251641913195795</v>
      </c>
      <c r="F4285">
        <v>0.64847084593381799</v>
      </c>
      <c r="G4285">
        <v>0.35406656809179998</v>
      </c>
      <c r="H4285">
        <v>0.152527500109501</v>
      </c>
      <c r="I4285">
        <v>0.124085968917249</v>
      </c>
      <c r="J4285">
        <v>0.12632109506326999</v>
      </c>
      <c r="K4285">
        <v>0.10152219639899</v>
      </c>
      <c r="L4285">
        <v>1008.50372980123</v>
      </c>
      <c r="M4285">
        <v>18.607700757283901</v>
      </c>
      <c r="N4285">
        <v>54.720653423309898</v>
      </c>
      <c r="O4285">
        <v>53.5838583004385</v>
      </c>
      <c r="P4285">
        <v>-7.97537929676852E-2</v>
      </c>
      <c r="Q4285">
        <v>8.1384332604111403E-2</v>
      </c>
      <c r="R4285">
        <v>0.99709085085470595</v>
      </c>
      <c r="S4285" t="s">
        <v>11091</v>
      </c>
      <c r="T4285" t="s">
        <v>13610</v>
      </c>
      <c r="U4285" t="s">
        <v>13610</v>
      </c>
      <c r="V4285" t="s">
        <v>13610</v>
      </c>
      <c r="W4285" t="s">
        <v>17835</v>
      </c>
      <c r="X4285">
        <v>8</v>
      </c>
      <c r="Y4285" t="s">
        <v>24421</v>
      </c>
      <c r="Z4285" t="s">
        <v>31140</v>
      </c>
      <c r="AA4285">
        <v>0.53005346590566116</v>
      </c>
      <c r="AB4285" t="str">
        <f>HYPERLINK("Melting_Curves/meltCurve_Q86V59_PNMAL1.pdf", "Melting_Curves/meltCurve_Q86V59_PNMAL1.pdf")</f>
        <v>Melting_Curves/meltCurve_Q86V59_PNMAL1.pdf</v>
      </c>
    </row>
    <row r="4286" spans="1:28" x14ac:dyDescent="0.25">
      <c r="A4286" t="s">
        <v>4290</v>
      </c>
      <c r="B4286">
        <v>0.995954080203443</v>
      </c>
      <c r="C4286">
        <v>1.0057103850259901</v>
      </c>
      <c r="D4286">
        <v>0.92799640097757496</v>
      </c>
      <c r="E4286">
        <v>0.90131827350787896</v>
      </c>
      <c r="F4286">
        <v>0.764508301372679</v>
      </c>
      <c r="G4286">
        <v>0.497827895475563</v>
      </c>
      <c r="H4286">
        <v>0.13351543439206501</v>
      </c>
      <c r="I4286">
        <v>9.4454653351582193E-2</v>
      </c>
      <c r="J4286">
        <v>8.0969674434966193E-2</v>
      </c>
      <c r="K4286">
        <v>7.6659310558143207E-2</v>
      </c>
      <c r="L4286">
        <v>1121.81992287865</v>
      </c>
      <c r="M4286">
        <v>19.974941881131901</v>
      </c>
      <c r="N4286">
        <v>56.342945130040398</v>
      </c>
      <c r="O4286">
        <v>55.607567008398199</v>
      </c>
      <c r="P4286">
        <v>-8.70065041360914E-2</v>
      </c>
      <c r="Q4286">
        <v>3.11737974562851E-2</v>
      </c>
      <c r="R4286">
        <v>0.99215471465734995</v>
      </c>
      <c r="S4286" t="s">
        <v>11092</v>
      </c>
      <c r="T4286" t="s">
        <v>13610</v>
      </c>
      <c r="U4286" t="s">
        <v>13610</v>
      </c>
      <c r="V4286" t="s">
        <v>13610</v>
      </c>
      <c r="W4286" t="s">
        <v>17836</v>
      </c>
      <c r="X4286">
        <v>2</v>
      </c>
      <c r="Y4286" t="s">
        <v>24422</v>
      </c>
      <c r="Z4286" t="s">
        <v>31141</v>
      </c>
      <c r="AA4286">
        <v>0.56550770357884472</v>
      </c>
      <c r="AB4286" t="str">
        <f>HYPERLINK("Melting_Curves/meltCurve_Q86V87_FAM160B2.pdf", "Melting_Curves/meltCurve_Q86V87_FAM160B2.pdf")</f>
        <v>Melting_Curves/meltCurve_Q86V87_FAM160B2.pdf</v>
      </c>
    </row>
    <row r="4287" spans="1:28" x14ac:dyDescent="0.25">
      <c r="A4287" t="s">
        <v>4291</v>
      </c>
      <c r="B4287">
        <v>0.995954080203443</v>
      </c>
      <c r="C4287">
        <v>0.90468967366847697</v>
      </c>
      <c r="D4287">
        <v>0.86269256297928898</v>
      </c>
      <c r="E4287">
        <v>0.82573695051704399</v>
      </c>
      <c r="F4287">
        <v>0.73613748785113198</v>
      </c>
      <c r="G4287">
        <v>0.58075655405300997</v>
      </c>
      <c r="H4287">
        <v>0.56318603660382305</v>
      </c>
      <c r="I4287">
        <v>0.67627886546925498</v>
      </c>
      <c r="J4287">
        <v>0.83033213671998995</v>
      </c>
      <c r="K4287">
        <v>0.774881829990691</v>
      </c>
      <c r="L4287">
        <v>786.811049221198</v>
      </c>
      <c r="M4287">
        <v>16.868141429410599</v>
      </c>
      <c r="O4287">
        <v>46.004023306541399</v>
      </c>
      <c r="P4287">
        <v>-2.8353481932192798E-2</v>
      </c>
      <c r="Q4287">
        <v>0.69070898862589303</v>
      </c>
      <c r="R4287">
        <v>0.62672630949852504</v>
      </c>
      <c r="S4287" t="s">
        <v>11093</v>
      </c>
      <c r="T4287" t="s">
        <v>13610</v>
      </c>
      <c r="U4287" t="s">
        <v>13610</v>
      </c>
      <c r="V4287" t="s">
        <v>13610</v>
      </c>
      <c r="W4287" t="s">
        <v>17837</v>
      </c>
      <c r="X4287">
        <v>4</v>
      </c>
      <c r="Y4287" t="s">
        <v>24423</v>
      </c>
      <c r="Z4287" t="s">
        <v>31142</v>
      </c>
      <c r="AA4287">
        <v>0.76591756467485084</v>
      </c>
      <c r="AB4287" t="str">
        <f>HYPERLINK("Melting_Curves/meltCurve_Q86VG3_C11orf74.pdf", "Melting_Curves/meltCurve_Q86VG3_C11orf74.pdf")</f>
        <v>Melting_Curves/meltCurve_Q86VG3_C11orf74.pdf</v>
      </c>
    </row>
    <row r="4288" spans="1:28" x14ac:dyDescent="0.25">
      <c r="A4288" t="s">
        <v>4292</v>
      </c>
      <c r="B4288">
        <v>0.995954080203443</v>
      </c>
      <c r="C4288">
        <v>1.1562917652621301</v>
      </c>
      <c r="D4288">
        <v>1.0858533949934499</v>
      </c>
      <c r="E4288">
        <v>0.96286652384159599</v>
      </c>
      <c r="F4288">
        <v>1.00722252292806</v>
      </c>
      <c r="G4288">
        <v>0.70330990754913603</v>
      </c>
      <c r="H4288">
        <v>0.65099077773773595</v>
      </c>
      <c r="I4288">
        <v>0.69111954952356303</v>
      </c>
      <c r="J4288">
        <v>1.0585614690159599</v>
      </c>
      <c r="K4288">
        <v>0.83461890150643103</v>
      </c>
      <c r="L4288">
        <v>8192.0480602398293</v>
      </c>
      <c r="M4288">
        <v>150.20396923879201</v>
      </c>
      <c r="O4288">
        <v>54.529825887196701</v>
      </c>
      <c r="P4288">
        <v>-0.14619252759837001</v>
      </c>
      <c r="Q4288">
        <v>0.78770593543648804</v>
      </c>
      <c r="R4288">
        <v>0.514106595797582</v>
      </c>
      <c r="S4288" t="s">
        <v>11094</v>
      </c>
      <c r="T4288" t="s">
        <v>13610</v>
      </c>
      <c r="U4288" t="s">
        <v>13610</v>
      </c>
      <c r="V4288" t="s">
        <v>13610</v>
      </c>
      <c r="W4288" t="s">
        <v>17838</v>
      </c>
      <c r="X4288">
        <v>1</v>
      </c>
      <c r="Y4288" t="s">
        <v>24424</v>
      </c>
      <c r="Z4288" t="s">
        <v>31143</v>
      </c>
      <c r="AA4288">
        <v>0.89065050475982432</v>
      </c>
      <c r="AB4288" t="str">
        <f>HYPERLINK("Melting_Curves/meltCurve_Q86VH3_hCG_1980662.pdf", "Melting_Curves/meltCurve_Q86VH3_hCG_1980662.pdf")</f>
        <v>Melting_Curves/meltCurve_Q86VH3_hCG_1980662.pdf</v>
      </c>
    </row>
    <row r="4289" spans="1:28" x14ac:dyDescent="0.25">
      <c r="A4289" t="s">
        <v>4293</v>
      </c>
      <c r="B4289">
        <v>0.995954080203443</v>
      </c>
      <c r="C4289">
        <v>0.92663963535818805</v>
      </c>
      <c r="D4289">
        <v>0.98856674308732395</v>
      </c>
      <c r="E4289">
        <v>0.872104703396264</v>
      </c>
      <c r="F4289">
        <v>0.843641043652825</v>
      </c>
      <c r="G4289">
        <v>0.64946429891935198</v>
      </c>
      <c r="H4289">
        <v>0.59642276415255102</v>
      </c>
      <c r="I4289">
        <v>0.69949967110548095</v>
      </c>
      <c r="J4289">
        <v>0.809078253692326</v>
      </c>
      <c r="K4289">
        <v>0.82512529275165203</v>
      </c>
      <c r="L4289">
        <v>1437.65220999332</v>
      </c>
      <c r="M4289">
        <v>28.256970905842</v>
      </c>
      <c r="O4289">
        <v>50.625017267363702</v>
      </c>
      <c r="P4289">
        <v>-3.9045010250591997E-2</v>
      </c>
      <c r="Q4289">
        <v>0.72019110618899795</v>
      </c>
      <c r="R4289">
        <v>0.69624817334286804</v>
      </c>
      <c r="S4289" t="s">
        <v>11095</v>
      </c>
      <c r="T4289" t="s">
        <v>13610</v>
      </c>
      <c r="U4289" t="s">
        <v>13610</v>
      </c>
      <c r="V4289" t="s">
        <v>13610</v>
      </c>
      <c r="W4289" t="s">
        <v>17839</v>
      </c>
      <c r="X4289">
        <v>37</v>
      </c>
      <c r="Y4289" t="s">
        <v>24425</v>
      </c>
      <c r="Z4289" t="s">
        <v>31144</v>
      </c>
      <c r="AA4289">
        <v>0.82362710996700461</v>
      </c>
      <c r="AB4289" t="str">
        <f>HYPERLINK("Melting_Curves/meltCurve_Q86VM9_ZC3H18.pdf", "Melting_Curves/meltCurve_Q86VM9_ZC3H18.pdf")</f>
        <v>Melting_Curves/meltCurve_Q86VM9_ZC3H18.pdf</v>
      </c>
    </row>
    <row r="4290" spans="1:28" x14ac:dyDescent="0.25">
      <c r="A4290" t="s">
        <v>4294</v>
      </c>
      <c r="B4290">
        <v>0.995954080203443</v>
      </c>
      <c r="C4290">
        <v>0.96356548836300204</v>
      </c>
      <c r="D4290">
        <v>1.00064453893337</v>
      </c>
      <c r="E4290">
        <v>0.74285732541484195</v>
      </c>
      <c r="F4290">
        <v>0.44549644725505899</v>
      </c>
      <c r="G4290">
        <v>0.15025921287402899</v>
      </c>
      <c r="H4290">
        <v>0.107094011325926</v>
      </c>
      <c r="I4290">
        <v>0.104189164894259</v>
      </c>
      <c r="J4290">
        <v>0.116172189710958</v>
      </c>
      <c r="K4290">
        <v>0.10965965840827099</v>
      </c>
      <c r="L4290">
        <v>1410.3396374026399</v>
      </c>
      <c r="M4290">
        <v>27.184434989155498</v>
      </c>
      <c r="N4290">
        <v>52.312856629688703</v>
      </c>
      <c r="O4290">
        <v>51.602101838469203</v>
      </c>
      <c r="P4290">
        <v>-0.11845004506605999</v>
      </c>
      <c r="Q4290">
        <v>0.10063060002760101</v>
      </c>
      <c r="R4290">
        <v>0.99764558014531202</v>
      </c>
      <c r="S4290" t="s">
        <v>11096</v>
      </c>
      <c r="T4290" t="s">
        <v>13610</v>
      </c>
      <c r="U4290" t="s">
        <v>13610</v>
      </c>
      <c r="V4290" t="s">
        <v>13610</v>
      </c>
      <c r="W4290" t="s">
        <v>17840</v>
      </c>
      <c r="X4290">
        <v>21</v>
      </c>
      <c r="Y4290" t="s">
        <v>24426</v>
      </c>
      <c r="Z4290" t="s">
        <v>31145</v>
      </c>
      <c r="AA4290">
        <v>0.46376032833883069</v>
      </c>
      <c r="AB4290" t="str">
        <f>HYPERLINK("Melting_Curves/meltCurve_Q86VN1_VPS36.pdf", "Melting_Curves/meltCurve_Q86VN1_VPS36.pdf")</f>
        <v>Melting_Curves/meltCurve_Q86VN1_VPS36.pdf</v>
      </c>
    </row>
    <row r="4291" spans="1:28" x14ac:dyDescent="0.25">
      <c r="A4291" t="s">
        <v>4295</v>
      </c>
      <c r="B4291">
        <v>0.995954080203443</v>
      </c>
      <c r="C4291">
        <v>0.96982720362405594</v>
      </c>
      <c r="D4291">
        <v>1.06414093485633</v>
      </c>
      <c r="E4291">
        <v>0.72399919667159396</v>
      </c>
      <c r="F4291">
        <v>0.64569225287009302</v>
      </c>
      <c r="G4291">
        <v>0.37515363143017999</v>
      </c>
      <c r="H4291">
        <v>0.31957536345995802</v>
      </c>
      <c r="I4291">
        <v>0.36999900377730499</v>
      </c>
      <c r="J4291">
        <v>0.41589846958390903</v>
      </c>
      <c r="K4291">
        <v>0.42421747207313298</v>
      </c>
      <c r="L4291">
        <v>1322.00807522738</v>
      </c>
      <c r="M4291">
        <v>25.7230907342792</v>
      </c>
      <c r="N4291">
        <v>54.331634577721601</v>
      </c>
      <c r="O4291">
        <v>51.086237298425502</v>
      </c>
      <c r="P4291">
        <v>-7.8604181435384807E-2</v>
      </c>
      <c r="Q4291">
        <v>0.37557374002293098</v>
      </c>
      <c r="R4291">
        <v>0.96018003045428602</v>
      </c>
      <c r="S4291" t="s">
        <v>11097</v>
      </c>
      <c r="T4291" t="s">
        <v>13610</v>
      </c>
      <c r="U4291" t="s">
        <v>13610</v>
      </c>
      <c r="V4291" t="s">
        <v>13610</v>
      </c>
      <c r="W4291" t="s">
        <v>17841</v>
      </c>
      <c r="X4291">
        <v>14</v>
      </c>
      <c r="Y4291" t="s">
        <v>24427</v>
      </c>
      <c r="Z4291" t="s">
        <v>31146</v>
      </c>
      <c r="AA4291">
        <v>0.6180850640044786</v>
      </c>
      <c r="AB4291" t="str">
        <f>HYPERLINK("Melting_Curves/meltCurve_Q86VP1_2_TAX1BP1.pdf", "Melting_Curves/meltCurve_Q86VP1_2_TAX1BP1.pdf")</f>
        <v>Melting_Curves/meltCurve_Q86VP1_2_TAX1BP1.pdf</v>
      </c>
    </row>
    <row r="4292" spans="1:28" x14ac:dyDescent="0.25">
      <c r="A4292" t="s">
        <v>4296</v>
      </c>
      <c r="B4292">
        <v>0.995954080203443</v>
      </c>
      <c r="C4292">
        <v>0.92916370508605095</v>
      </c>
      <c r="D4292">
        <v>0.86693732929202505</v>
      </c>
      <c r="E4292">
        <v>0.930245432232502</v>
      </c>
      <c r="F4292">
        <v>0.74690881361250105</v>
      </c>
      <c r="G4292">
        <v>0.60949893834307101</v>
      </c>
      <c r="H4292">
        <v>0.159372963872286</v>
      </c>
      <c r="I4292">
        <v>8.26983036015915E-2</v>
      </c>
      <c r="J4292">
        <v>7.8886317015179494E-2</v>
      </c>
      <c r="K4292">
        <v>7.3350790170576496E-2</v>
      </c>
      <c r="L4292">
        <v>1030.88615573738</v>
      </c>
      <c r="M4292">
        <v>18.067826268957798</v>
      </c>
      <c r="N4292">
        <v>57.056457651154503</v>
      </c>
      <c r="O4292">
        <v>56.3712845981877</v>
      </c>
      <c r="P4292">
        <v>-8.0132573944337301E-2</v>
      </c>
      <c r="Q4292">
        <v>0</v>
      </c>
      <c r="R4292">
        <v>0.97076098416117795</v>
      </c>
      <c r="S4292" t="s">
        <v>11098</v>
      </c>
      <c r="T4292" t="s">
        <v>13610</v>
      </c>
      <c r="U4292" t="s">
        <v>13610</v>
      </c>
      <c r="V4292" t="s">
        <v>13610</v>
      </c>
      <c r="W4292" t="s">
        <v>17842</v>
      </c>
      <c r="X4292">
        <v>65</v>
      </c>
      <c r="Y4292" t="s">
        <v>24428</v>
      </c>
      <c r="Z4292" t="s">
        <v>31147</v>
      </c>
      <c r="AA4292">
        <v>0.58215449435194133</v>
      </c>
      <c r="AB4292" t="str">
        <f>HYPERLINK("Melting_Curves/meltCurve_Q86VP6_CAND1.pdf", "Melting_Curves/meltCurve_Q86VP6_CAND1.pdf")</f>
        <v>Melting_Curves/meltCurve_Q86VP6_CAND1.pdf</v>
      </c>
    </row>
    <row r="4293" spans="1:28" x14ac:dyDescent="0.25">
      <c r="A4293" t="s">
        <v>4297</v>
      </c>
      <c r="B4293">
        <v>0.995954080203443</v>
      </c>
      <c r="C4293">
        <v>0.99575257597862599</v>
      </c>
      <c r="D4293">
        <v>0.97777478789286398</v>
      </c>
      <c r="E4293">
        <v>0.91098464227906595</v>
      </c>
      <c r="F4293">
        <v>0.822483405025764</v>
      </c>
      <c r="G4293">
        <v>0.60855673120763198</v>
      </c>
      <c r="H4293">
        <v>0.547874910939261</v>
      </c>
      <c r="I4293">
        <v>0.62455023826050104</v>
      </c>
      <c r="J4293">
        <v>0.77065928385314197</v>
      </c>
      <c r="K4293">
        <v>0.76283309661700005</v>
      </c>
      <c r="L4293">
        <v>1889.2947296017801</v>
      </c>
      <c r="M4293">
        <v>36.196887546379202</v>
      </c>
      <c r="O4293">
        <v>52.036408780244301</v>
      </c>
      <c r="P4293">
        <v>-5.8505977343330198E-2</v>
      </c>
      <c r="Q4293">
        <v>0.66356980042738001</v>
      </c>
      <c r="R4293">
        <v>0.82581115053000598</v>
      </c>
      <c r="S4293" t="s">
        <v>11099</v>
      </c>
      <c r="T4293" t="s">
        <v>13610</v>
      </c>
      <c r="U4293" t="s">
        <v>13610</v>
      </c>
      <c r="V4293" t="s">
        <v>13610</v>
      </c>
      <c r="W4293" t="s">
        <v>17843</v>
      </c>
      <c r="X4293">
        <v>7</v>
      </c>
      <c r="Y4293" t="s">
        <v>24429</v>
      </c>
      <c r="Z4293" t="s">
        <v>31148</v>
      </c>
      <c r="AA4293">
        <v>0.80181071656094149</v>
      </c>
      <c r="AB4293" t="str">
        <f>HYPERLINK("Melting_Curves/meltCurve_Q86VQ1_GLCCI1.pdf", "Melting_Curves/meltCurve_Q86VQ1_GLCCI1.pdf")</f>
        <v>Melting_Curves/meltCurve_Q86VQ1_GLCCI1.pdf</v>
      </c>
    </row>
    <row r="4294" spans="1:28" x14ac:dyDescent="0.25">
      <c r="A4294" t="s">
        <v>4298</v>
      </c>
      <c r="B4294">
        <v>0.995954080203443</v>
      </c>
      <c r="C4294">
        <v>0.93944220934393396</v>
      </c>
      <c r="D4294">
        <v>0.82851803983040795</v>
      </c>
      <c r="E4294">
        <v>0.80836807903233898</v>
      </c>
      <c r="F4294">
        <v>0.60353310805815696</v>
      </c>
      <c r="G4294">
        <v>0.46216517105398902</v>
      </c>
      <c r="H4294">
        <v>0.368517457389682</v>
      </c>
      <c r="I4294">
        <v>0.32686858506542898</v>
      </c>
      <c r="J4294">
        <v>0.32188136543340001</v>
      </c>
      <c r="K4294">
        <v>0.23528282134357001</v>
      </c>
      <c r="L4294">
        <v>554.69146975053604</v>
      </c>
      <c r="M4294">
        <v>10.3318533238835</v>
      </c>
      <c r="N4294">
        <v>56.367560652946402</v>
      </c>
      <c r="O4294">
        <v>51.792991243750599</v>
      </c>
      <c r="P4294">
        <v>-4.0209925961777297E-2</v>
      </c>
      <c r="Q4294">
        <v>0.19406568109539599</v>
      </c>
      <c r="R4294">
        <v>0.98647874714463502</v>
      </c>
      <c r="S4294" t="s">
        <v>11100</v>
      </c>
      <c r="T4294" t="s">
        <v>13610</v>
      </c>
      <c r="U4294" t="s">
        <v>13610</v>
      </c>
      <c r="V4294" t="s">
        <v>13610</v>
      </c>
      <c r="W4294" t="s">
        <v>17844</v>
      </c>
      <c r="X4294">
        <v>4</v>
      </c>
      <c r="Y4294" t="s">
        <v>24430</v>
      </c>
      <c r="Z4294" t="s">
        <v>31149</v>
      </c>
      <c r="AA4294">
        <v>0.58652218833249037</v>
      </c>
      <c r="AB4294" t="str">
        <f>HYPERLINK("Melting_Curves/meltCurve_Q86VQ6_TXNRD3.pdf", "Melting_Curves/meltCurve_Q86VQ6_TXNRD3.pdf")</f>
        <v>Melting_Curves/meltCurve_Q86VQ6_TXNRD3.pdf</v>
      </c>
    </row>
    <row r="4295" spans="1:28" x14ac:dyDescent="0.25">
      <c r="A4295" t="s">
        <v>4299</v>
      </c>
      <c r="B4295">
        <v>0.995954080203443</v>
      </c>
      <c r="C4295">
        <v>0.87248161797448098</v>
      </c>
      <c r="D4295">
        <v>0.77490199686918004</v>
      </c>
      <c r="E4295">
        <v>0.77626358072010104</v>
      </c>
      <c r="F4295">
        <v>0.53475340301097296</v>
      </c>
      <c r="G4295">
        <v>0.43888044878923799</v>
      </c>
      <c r="H4295">
        <v>0.42363273972468601</v>
      </c>
      <c r="I4295">
        <v>0.46002650931434302</v>
      </c>
      <c r="J4295">
        <v>0.49074537990554101</v>
      </c>
      <c r="K4295">
        <v>0.49336441126980801</v>
      </c>
      <c r="L4295">
        <v>649.49597314075697</v>
      </c>
      <c r="M4295">
        <v>13.417910656636399</v>
      </c>
      <c r="N4295">
        <v>57.448289138967198</v>
      </c>
      <c r="O4295">
        <v>47.367907139259202</v>
      </c>
      <c r="P4295">
        <v>-3.96985688300176E-2</v>
      </c>
      <c r="Q4295">
        <v>0.43951187560532001</v>
      </c>
      <c r="R4295">
        <v>0.92523621517292198</v>
      </c>
      <c r="S4295" t="s">
        <v>11101</v>
      </c>
      <c r="T4295" t="s">
        <v>13610</v>
      </c>
      <c r="U4295" t="s">
        <v>13610</v>
      </c>
      <c r="V4295" t="s">
        <v>13610</v>
      </c>
      <c r="W4295" t="s">
        <v>17845</v>
      </c>
      <c r="X4295">
        <v>2</v>
      </c>
      <c r="Y4295" t="s">
        <v>24431</v>
      </c>
      <c r="Z4295" t="s">
        <v>31150</v>
      </c>
      <c r="AA4295">
        <v>0.61403945150768557</v>
      </c>
      <c r="AB4295" t="str">
        <f>HYPERLINK("Melting_Curves/meltCurve_Q86VR2_FAM134C.pdf", "Melting_Curves/meltCurve_Q86VR2_FAM134C.pdf")</f>
        <v>Melting_Curves/meltCurve_Q86VR2_FAM134C.pdf</v>
      </c>
    </row>
    <row r="4296" spans="1:28" x14ac:dyDescent="0.25">
      <c r="A4296" t="s">
        <v>4300</v>
      </c>
      <c r="B4296">
        <v>0.995954080203443</v>
      </c>
      <c r="C4296">
        <v>0.94890444523680095</v>
      </c>
      <c r="D4296">
        <v>0.94860873338422902</v>
      </c>
      <c r="E4296">
        <v>0.81288302028589998</v>
      </c>
      <c r="F4296">
        <v>0.70218853496105804</v>
      </c>
      <c r="G4296">
        <v>0.48426550280269198</v>
      </c>
      <c r="H4296">
        <v>0.26694114850235101</v>
      </c>
      <c r="I4296">
        <v>0.21564687703737401</v>
      </c>
      <c r="J4296">
        <v>0.22109851221846799</v>
      </c>
      <c r="K4296">
        <v>0.19940786490177201</v>
      </c>
      <c r="L4296">
        <v>802.94826967035203</v>
      </c>
      <c r="M4296">
        <v>14.632097121966799</v>
      </c>
      <c r="N4296">
        <v>56.203248809988601</v>
      </c>
      <c r="O4296">
        <v>53.8814104473933</v>
      </c>
      <c r="P4296">
        <v>-5.7978079525448097E-2</v>
      </c>
      <c r="Q4296">
        <v>0.146098659169518</v>
      </c>
      <c r="R4296">
        <v>0.99442539163978805</v>
      </c>
      <c r="S4296" t="s">
        <v>11102</v>
      </c>
      <c r="T4296" t="s">
        <v>13610</v>
      </c>
      <c r="U4296" t="s">
        <v>13610</v>
      </c>
      <c r="V4296" t="s">
        <v>13610</v>
      </c>
      <c r="W4296" t="s">
        <v>17846</v>
      </c>
      <c r="X4296">
        <v>31</v>
      </c>
      <c r="Y4296" t="s">
        <v>21109</v>
      </c>
      <c r="Z4296" t="s">
        <v>31151</v>
      </c>
      <c r="AA4296">
        <v>0.58656973623887887</v>
      </c>
      <c r="AB4296" t="str">
        <f>HYPERLINK("Melting_Curves/meltCurve_Q86VS8_HOOK3.pdf", "Melting_Curves/meltCurve_Q86VS8_HOOK3.pdf")</f>
        <v>Melting_Curves/meltCurve_Q86VS8_HOOK3.pdf</v>
      </c>
    </row>
    <row r="4297" spans="1:28" x14ac:dyDescent="0.25">
      <c r="A4297" t="s">
        <v>4301</v>
      </c>
      <c r="B4297">
        <v>0.995954080203443</v>
      </c>
      <c r="C4297">
        <v>0.913067048260227</v>
      </c>
      <c r="D4297">
        <v>0.70620904075986202</v>
      </c>
      <c r="E4297">
        <v>0.46859419232306998</v>
      </c>
      <c r="F4297">
        <v>0.23366534511946599</v>
      </c>
      <c r="G4297">
        <v>0.15314210980733101</v>
      </c>
      <c r="H4297">
        <v>8.8999502761189703E-2</v>
      </c>
      <c r="I4297">
        <v>9.4165421474522198E-2</v>
      </c>
      <c r="J4297">
        <v>0.12914693150548401</v>
      </c>
      <c r="K4297">
        <v>0.120471922494009</v>
      </c>
      <c r="L4297">
        <v>832.01396636354798</v>
      </c>
      <c r="M4297">
        <v>17.197332622454599</v>
      </c>
      <c r="N4297">
        <v>48.977283463881697</v>
      </c>
      <c r="O4297">
        <v>47.740422890200698</v>
      </c>
      <c r="P4297">
        <v>-8.1547511479409904E-2</v>
      </c>
      <c r="Q4297">
        <v>9.4537688546021598E-2</v>
      </c>
      <c r="R4297">
        <v>0.99449833431761203</v>
      </c>
      <c r="S4297" t="s">
        <v>11103</v>
      </c>
      <c r="T4297" t="s">
        <v>13610</v>
      </c>
      <c r="U4297" t="s">
        <v>13610</v>
      </c>
      <c r="V4297" t="s">
        <v>13610</v>
      </c>
      <c r="W4297" t="s">
        <v>14213</v>
      </c>
      <c r="X4297">
        <v>2</v>
      </c>
      <c r="Y4297" t="s">
        <v>24432</v>
      </c>
      <c r="Z4297" t="s">
        <v>31152</v>
      </c>
      <c r="AA4297">
        <v>0.36492505481172238</v>
      </c>
      <c r="AB4297" t="str">
        <f>HYPERLINK("Melting_Curves/meltCurve_Q86VU3_MAP4K2.pdf", "Melting_Curves/meltCurve_Q86VU3_MAP4K2.pdf")</f>
        <v>Melting_Curves/meltCurve_Q86VU3_MAP4K2.pdf</v>
      </c>
    </row>
    <row r="4298" spans="1:28" x14ac:dyDescent="0.25">
      <c r="A4298" t="s">
        <v>4302</v>
      </c>
      <c r="B4298">
        <v>0.995954080203443</v>
      </c>
      <c r="C4298">
        <v>0.70799768614255398</v>
      </c>
      <c r="D4298">
        <v>0.480496192149728</v>
      </c>
      <c r="E4298">
        <v>0.45197697352086902</v>
      </c>
      <c r="F4298">
        <v>0.236029351304931</v>
      </c>
      <c r="G4298">
        <v>0.13749705370944099</v>
      </c>
      <c r="H4298">
        <v>7.7641195187593701E-2</v>
      </c>
      <c r="I4298">
        <v>7.1002493433509298E-2</v>
      </c>
      <c r="J4298">
        <v>7.0214011158708706E-2</v>
      </c>
      <c r="K4298">
        <v>6.1781302628352103E-2</v>
      </c>
      <c r="L4298">
        <v>538.65008273442299</v>
      </c>
      <c r="M4298">
        <v>11.486205835921799</v>
      </c>
      <c r="N4298">
        <v>47.199680192776299</v>
      </c>
      <c r="O4298">
        <v>45.541497548208497</v>
      </c>
      <c r="P4298">
        <v>-6.0820770218035398E-2</v>
      </c>
      <c r="Q4298">
        <v>3.56855959841356E-2</v>
      </c>
      <c r="R4298">
        <v>0.96424675811534399</v>
      </c>
      <c r="S4298" t="s">
        <v>11104</v>
      </c>
      <c r="T4298" t="s">
        <v>13610</v>
      </c>
      <c r="U4298" t="s">
        <v>13610</v>
      </c>
      <c r="V4298" t="s">
        <v>13610</v>
      </c>
      <c r="W4298" t="s">
        <v>17847</v>
      </c>
      <c r="X4298">
        <v>5</v>
      </c>
      <c r="Y4298" t="s">
        <v>24433</v>
      </c>
      <c r="Z4298" t="s">
        <v>31153</v>
      </c>
      <c r="AA4298">
        <v>0.3014966902891949</v>
      </c>
      <c r="AB4298" t="str">
        <f>HYPERLINK("Melting_Curves/meltCurve_Q86VV8_3_RTTN.pdf", "Melting_Curves/meltCurve_Q86VV8_3_RTTN.pdf")</f>
        <v>Melting_Curves/meltCurve_Q86VV8_3_RTTN.pdf</v>
      </c>
    </row>
    <row r="4299" spans="1:28" x14ac:dyDescent="0.25">
      <c r="A4299" t="s">
        <v>4303</v>
      </c>
      <c r="B4299">
        <v>0.995954080203443</v>
      </c>
      <c r="C4299">
        <v>0.80225043069927404</v>
      </c>
      <c r="D4299">
        <v>0.76792412511709296</v>
      </c>
      <c r="E4299">
        <v>0.80366089022521903</v>
      </c>
      <c r="F4299">
        <v>0.86869097099595105</v>
      </c>
      <c r="G4299">
        <v>0.37108778486021898</v>
      </c>
      <c r="H4299">
        <v>8.00720406205985E-2</v>
      </c>
      <c r="I4299">
        <v>6.0293623848164599E-2</v>
      </c>
      <c r="J4299">
        <v>5.8250304087918203E-2</v>
      </c>
      <c r="K4299">
        <v>5.6696821664116701E-2</v>
      </c>
      <c r="L4299">
        <v>1331.6246481471701</v>
      </c>
      <c r="M4299">
        <v>23.911796691747899</v>
      </c>
      <c r="N4299">
        <v>55.798245034758096</v>
      </c>
      <c r="O4299">
        <v>55.303927130660298</v>
      </c>
      <c r="P4299">
        <v>-0.105622743032199</v>
      </c>
      <c r="Q4299">
        <v>2.2865898334505998E-2</v>
      </c>
      <c r="R4299">
        <v>0.91466416293493902</v>
      </c>
      <c r="S4299" t="s">
        <v>11105</v>
      </c>
      <c r="T4299" t="s">
        <v>13610</v>
      </c>
      <c r="U4299" t="s">
        <v>13610</v>
      </c>
      <c r="V4299" t="s">
        <v>13610</v>
      </c>
      <c r="W4299" t="s">
        <v>17848</v>
      </c>
      <c r="X4299">
        <v>4</v>
      </c>
      <c r="Y4299" t="s">
        <v>24434</v>
      </c>
      <c r="Z4299" t="s">
        <v>31154</v>
      </c>
      <c r="AA4299">
        <v>0.54356913220640124</v>
      </c>
      <c r="AB4299" t="str">
        <f>HYPERLINK("Melting_Curves/meltCurve_Q86VX2_2_COMMD7.pdf", "Melting_Curves/meltCurve_Q86VX2_2_COMMD7.pdf")</f>
        <v>Melting_Curves/meltCurve_Q86VX2_2_COMMD7.pdf</v>
      </c>
    </row>
    <row r="4300" spans="1:28" x14ac:dyDescent="0.25">
      <c r="A4300" t="s">
        <v>4304</v>
      </c>
      <c r="B4300">
        <v>0.995954080203443</v>
      </c>
      <c r="C4300">
        <v>0.94291036177030296</v>
      </c>
      <c r="D4300">
        <v>0.75815960112593594</v>
      </c>
      <c r="E4300">
        <v>0.663993866456834</v>
      </c>
      <c r="F4300">
        <v>0.25197259063734401</v>
      </c>
      <c r="G4300">
        <v>0.12343144466776</v>
      </c>
      <c r="H4300">
        <v>7.7306475818834305E-2</v>
      </c>
      <c r="I4300">
        <v>7.7042494210558296E-2</v>
      </c>
      <c r="J4300">
        <v>0.10700230461240499</v>
      </c>
      <c r="K4300">
        <v>6.7422911702837707E-2</v>
      </c>
      <c r="L4300">
        <v>896.54124948965898</v>
      </c>
      <c r="M4300">
        <v>17.852560119258499</v>
      </c>
      <c r="N4300">
        <v>50.545403661606102</v>
      </c>
      <c r="O4300">
        <v>49.6018045168911</v>
      </c>
      <c r="P4300">
        <v>-8.5087695595031307E-2</v>
      </c>
      <c r="Q4300">
        <v>5.4412894736360497E-2</v>
      </c>
      <c r="R4300">
        <v>0.97797271859452894</v>
      </c>
      <c r="S4300" t="s">
        <v>11106</v>
      </c>
      <c r="T4300" t="s">
        <v>13610</v>
      </c>
      <c r="U4300" t="s">
        <v>13610</v>
      </c>
      <c r="V4300" t="s">
        <v>13610</v>
      </c>
      <c r="W4300" t="s">
        <v>17849</v>
      </c>
      <c r="X4300">
        <v>9</v>
      </c>
      <c r="Y4300" t="s">
        <v>24435</v>
      </c>
      <c r="Z4300" t="s">
        <v>31155</v>
      </c>
      <c r="AA4300">
        <v>0.39284828101352809</v>
      </c>
      <c r="AB4300" t="str">
        <f>HYPERLINK("Melting_Curves/meltCurve_Q86VX9_MON1A.pdf", "Melting_Curves/meltCurve_Q86VX9_MON1A.pdf")</f>
        <v>Melting_Curves/meltCurve_Q86VX9_MON1A.pdf</v>
      </c>
    </row>
    <row r="4301" spans="1:28" x14ac:dyDescent="0.25">
      <c r="A4301" t="s">
        <v>4305</v>
      </c>
      <c r="B4301">
        <v>0.995954080203443</v>
      </c>
      <c r="C4301">
        <v>0.97692722962173995</v>
      </c>
      <c r="D4301">
        <v>1.05632159612795</v>
      </c>
      <c r="E4301">
        <v>0.91693075325524898</v>
      </c>
      <c r="F4301">
        <v>0.94303121891860597</v>
      </c>
      <c r="G4301">
        <v>0.73369172504234803</v>
      </c>
      <c r="H4301">
        <v>0.62431444240837997</v>
      </c>
      <c r="I4301">
        <v>0.51951567493262796</v>
      </c>
      <c r="J4301">
        <v>0.43963463428409999</v>
      </c>
      <c r="K4301">
        <v>0.39224131127615097</v>
      </c>
      <c r="L4301">
        <v>837.25846611882798</v>
      </c>
      <c r="M4301">
        <v>14.0242241502003</v>
      </c>
      <c r="N4301">
        <v>64.414144498977706</v>
      </c>
      <c r="O4301">
        <v>58.526285742127101</v>
      </c>
      <c r="P4301">
        <v>-4.0692555439053202E-2</v>
      </c>
      <c r="Q4301">
        <v>0.32081174113049898</v>
      </c>
      <c r="R4301">
        <v>0.982523864850122</v>
      </c>
      <c r="S4301" t="s">
        <v>11107</v>
      </c>
      <c r="T4301" t="s">
        <v>13610</v>
      </c>
      <c r="U4301" t="s">
        <v>13610</v>
      </c>
      <c r="V4301" t="s">
        <v>13610</v>
      </c>
      <c r="W4301" t="s">
        <v>17850</v>
      </c>
      <c r="X4301">
        <v>13</v>
      </c>
      <c r="Y4301" t="s">
        <v>24436</v>
      </c>
      <c r="Z4301" t="s">
        <v>31156</v>
      </c>
      <c r="AA4301">
        <v>0.77171796470485132</v>
      </c>
      <c r="AB4301" t="str">
        <f>HYPERLINK("Melting_Curves/meltCurve_Q86VY4_TSPYL5.pdf", "Melting_Curves/meltCurve_Q86VY4_TSPYL5.pdf")</f>
        <v>Melting_Curves/meltCurve_Q86VY4_TSPYL5.pdf</v>
      </c>
    </row>
    <row r="4302" spans="1:28" x14ac:dyDescent="0.25">
      <c r="A4302" t="s">
        <v>4306</v>
      </c>
      <c r="B4302">
        <v>0.995954080203443</v>
      </c>
      <c r="C4302">
        <v>0.87608417883232403</v>
      </c>
      <c r="D4302">
        <v>0.65256342886668794</v>
      </c>
      <c r="E4302">
        <v>0.462763598457201</v>
      </c>
      <c r="F4302">
        <v>0.28681502177388601</v>
      </c>
      <c r="G4302">
        <v>0.236954336908998</v>
      </c>
      <c r="H4302">
        <v>0.116670029144753</v>
      </c>
      <c r="I4302">
        <v>6.3509138629304795E-2</v>
      </c>
      <c r="J4302">
        <v>4.69841476566751E-2</v>
      </c>
      <c r="K4302">
        <v>6.1654844163273298E-2</v>
      </c>
      <c r="L4302">
        <v>600.59849350963304</v>
      </c>
      <c r="M4302">
        <v>12.267368935628101</v>
      </c>
      <c r="N4302">
        <v>49.237769666285203</v>
      </c>
      <c r="O4302">
        <v>47.712552376667098</v>
      </c>
      <c r="P4302">
        <v>-6.2135033541199799E-2</v>
      </c>
      <c r="Q4302">
        <v>3.3544989027000101E-2</v>
      </c>
      <c r="R4302">
        <v>0.99090507059880795</v>
      </c>
      <c r="S4302" t="s">
        <v>11108</v>
      </c>
      <c r="T4302" t="s">
        <v>13610</v>
      </c>
      <c r="U4302" t="s">
        <v>13610</v>
      </c>
      <c r="V4302" t="s">
        <v>13610</v>
      </c>
      <c r="W4302" t="s">
        <v>17851</v>
      </c>
      <c r="X4302">
        <v>2</v>
      </c>
      <c r="Y4302" t="s">
        <v>24437</v>
      </c>
      <c r="Z4302" t="s">
        <v>31157</v>
      </c>
      <c r="AA4302">
        <v>0.35645479757867549</v>
      </c>
      <c r="AB4302" t="str">
        <f>HYPERLINK("Melting_Curves/meltCurve_Q86W34_AMZ2.pdf", "Melting_Curves/meltCurve_Q86W34_AMZ2.pdf")</f>
        <v>Melting_Curves/meltCurve_Q86W34_AMZ2.pdf</v>
      </c>
    </row>
    <row r="4303" spans="1:28" x14ac:dyDescent="0.25">
      <c r="A4303" t="s">
        <v>4307</v>
      </c>
      <c r="B4303">
        <v>0.995954080203443</v>
      </c>
      <c r="C4303">
        <v>0.73847053050753697</v>
      </c>
      <c r="D4303">
        <v>0.62204462631205004</v>
      </c>
      <c r="E4303">
        <v>0.87583141796556796</v>
      </c>
      <c r="F4303">
        <v>0.34841811955671098</v>
      </c>
      <c r="G4303">
        <v>0.16519230331352799</v>
      </c>
      <c r="H4303">
        <v>0.105101292474528</v>
      </c>
      <c r="I4303">
        <v>7.6386403228670796E-2</v>
      </c>
      <c r="J4303">
        <v>8.4282803901402706E-2</v>
      </c>
      <c r="K4303">
        <v>7.81019868470825E-2</v>
      </c>
      <c r="L4303">
        <v>540.83872328192501</v>
      </c>
      <c r="M4303">
        <v>10.5706238657485</v>
      </c>
      <c r="N4303">
        <v>51.164292133385601</v>
      </c>
      <c r="O4303">
        <v>49.4350193046876</v>
      </c>
      <c r="P4303">
        <v>-5.3478190116064001E-2</v>
      </c>
      <c r="Q4303">
        <v>0</v>
      </c>
      <c r="R4303">
        <v>0.86758445517205895</v>
      </c>
      <c r="S4303" t="s">
        <v>11109</v>
      </c>
      <c r="T4303" t="s">
        <v>13610</v>
      </c>
      <c r="U4303" t="s">
        <v>13610</v>
      </c>
      <c r="V4303" t="s">
        <v>13610</v>
      </c>
      <c r="W4303" t="s">
        <v>17852</v>
      </c>
      <c r="X4303">
        <v>7</v>
      </c>
      <c r="Y4303" t="s">
        <v>24438</v>
      </c>
      <c r="Z4303" t="s">
        <v>31158</v>
      </c>
      <c r="AA4303">
        <v>0.41041290859812612</v>
      </c>
      <c r="AB4303" t="str">
        <f>HYPERLINK("Melting_Curves/meltCurve_Q86W42_THOC6.pdf", "Melting_Curves/meltCurve_Q86W42_THOC6.pdf")</f>
        <v>Melting_Curves/meltCurve_Q86W42_THOC6.pdf</v>
      </c>
    </row>
    <row r="4304" spans="1:28" x14ac:dyDescent="0.25">
      <c r="A4304" t="s">
        <v>4308</v>
      </c>
      <c r="B4304">
        <v>0.995954080203443</v>
      </c>
      <c r="C4304">
        <v>0.991477860084924</v>
      </c>
      <c r="D4304">
        <v>0.90700144974751495</v>
      </c>
      <c r="E4304">
        <v>0.71372700147217005</v>
      </c>
      <c r="F4304">
        <v>0.293951092040175</v>
      </c>
      <c r="G4304">
        <v>0.120646789001825</v>
      </c>
      <c r="H4304">
        <v>7.86985687172371E-2</v>
      </c>
      <c r="I4304">
        <v>8.0276276346991998E-2</v>
      </c>
      <c r="J4304">
        <v>8.1786706318810395E-2</v>
      </c>
      <c r="K4304">
        <v>7.7816798298823001E-2</v>
      </c>
      <c r="L4304">
        <v>1547.2840970745499</v>
      </c>
      <c r="M4304">
        <v>30.263951049730998</v>
      </c>
      <c r="N4304">
        <v>51.408200151777898</v>
      </c>
      <c r="O4304">
        <v>50.904639374188498</v>
      </c>
      <c r="P4304">
        <v>-0.13726786112247299</v>
      </c>
      <c r="Q4304">
        <v>7.6455434644078696E-2</v>
      </c>
      <c r="R4304">
        <v>0.99682215797845997</v>
      </c>
      <c r="S4304" t="s">
        <v>11110</v>
      </c>
      <c r="T4304" t="s">
        <v>13610</v>
      </c>
      <c r="U4304" t="s">
        <v>13610</v>
      </c>
      <c r="V4304" t="s">
        <v>13610</v>
      </c>
      <c r="W4304" t="s">
        <v>17853</v>
      </c>
      <c r="X4304">
        <v>16</v>
      </c>
      <c r="Y4304" t="s">
        <v>24439</v>
      </c>
      <c r="Z4304" t="s">
        <v>31159</v>
      </c>
      <c r="AA4304">
        <v>0.42469447935771598</v>
      </c>
      <c r="AB4304" t="str">
        <f>HYPERLINK("Melting_Curves/meltCurve_Q86W50_METTL16.pdf", "Melting_Curves/meltCurve_Q86W50_METTL16.pdf")</f>
        <v>Melting_Curves/meltCurve_Q86W50_METTL16.pdf</v>
      </c>
    </row>
    <row r="4305" spans="1:28" x14ac:dyDescent="0.25">
      <c r="A4305" t="s">
        <v>4309</v>
      </c>
      <c r="B4305">
        <v>0.995954080203443</v>
      </c>
      <c r="C4305">
        <v>0.91543711550943496</v>
      </c>
      <c r="D4305">
        <v>1.03082153660137</v>
      </c>
      <c r="E4305">
        <v>0.63919632479462296</v>
      </c>
      <c r="F4305">
        <v>0.68046632404789598</v>
      </c>
      <c r="G4305">
        <v>0.56153435026643395</v>
      </c>
      <c r="H4305">
        <v>0.55591555511190804</v>
      </c>
      <c r="I4305">
        <v>0.69614582596472396</v>
      </c>
      <c r="J4305">
        <v>0.79982544927412302</v>
      </c>
      <c r="K4305">
        <v>0.81461681685777698</v>
      </c>
      <c r="L4305">
        <v>11975.4905335975</v>
      </c>
      <c r="M4305">
        <v>250</v>
      </c>
      <c r="O4305">
        <v>47.898896588096697</v>
      </c>
      <c r="P4305">
        <v>-0.41984008654731703</v>
      </c>
      <c r="Q4305">
        <v>0.67824196922203195</v>
      </c>
      <c r="R4305">
        <v>0.72646244382218395</v>
      </c>
      <c r="S4305" t="s">
        <v>11111</v>
      </c>
      <c r="T4305" t="s">
        <v>13610</v>
      </c>
      <c r="U4305" t="s">
        <v>13610</v>
      </c>
      <c r="V4305" t="s">
        <v>13610</v>
      </c>
      <c r="W4305" t="s">
        <v>17854</v>
      </c>
      <c r="X4305">
        <v>26</v>
      </c>
      <c r="Y4305" t="s">
        <v>24440</v>
      </c>
      <c r="Z4305" t="s">
        <v>31160</v>
      </c>
      <c r="AA4305">
        <v>0.76301967770623658</v>
      </c>
      <c r="AB4305" t="str">
        <f>HYPERLINK("Melting_Curves/meltCurve_Q86W56_2_PARG.pdf", "Melting_Curves/meltCurve_Q86W56_2_PARG.pdf")</f>
        <v>Melting_Curves/meltCurve_Q86W56_2_PARG.pdf</v>
      </c>
    </row>
    <row r="4306" spans="1:28" x14ac:dyDescent="0.25">
      <c r="A4306" t="s">
        <v>4310</v>
      </c>
      <c r="B4306">
        <v>0.995954080203443</v>
      </c>
      <c r="C4306">
        <v>0.97612182999696095</v>
      </c>
      <c r="D4306">
        <v>0.88694546240828098</v>
      </c>
      <c r="E4306">
        <v>0.74510849657829403</v>
      </c>
      <c r="F4306">
        <v>0.56971245200959697</v>
      </c>
      <c r="G4306">
        <v>0.35263652827832198</v>
      </c>
      <c r="H4306">
        <v>0.31612089935517601</v>
      </c>
      <c r="I4306">
        <v>0.37629108035659298</v>
      </c>
      <c r="J4306">
        <v>0.45190513581007802</v>
      </c>
      <c r="K4306">
        <v>0.47310718059238399</v>
      </c>
      <c r="L4306">
        <v>1166.82672882102</v>
      </c>
      <c r="M4306">
        <v>23.140013261175099</v>
      </c>
      <c r="N4306">
        <v>53.9349490466319</v>
      </c>
      <c r="O4306">
        <v>50.052579478077803</v>
      </c>
      <c r="P4306">
        <v>-7.06073154697371E-2</v>
      </c>
      <c r="Q4306">
        <v>0.38910778942497798</v>
      </c>
      <c r="R4306">
        <v>0.95535793867716801</v>
      </c>
      <c r="S4306" t="s">
        <v>11112</v>
      </c>
      <c r="T4306" t="s">
        <v>13610</v>
      </c>
      <c r="U4306" t="s">
        <v>13610</v>
      </c>
      <c r="V4306" t="s">
        <v>13610</v>
      </c>
      <c r="W4306" t="s">
        <v>17855</v>
      </c>
      <c r="X4306">
        <v>32</v>
      </c>
      <c r="Y4306" t="s">
        <v>20900</v>
      </c>
      <c r="Z4306" t="s">
        <v>31161</v>
      </c>
      <c r="AA4306">
        <v>0.60777845786404228</v>
      </c>
      <c r="AB4306" t="str">
        <f>HYPERLINK("Melting_Curves/meltCurve_Q86W92_4_PPFIBP1.pdf", "Melting_Curves/meltCurve_Q86W92_4_PPFIBP1.pdf")</f>
        <v>Melting_Curves/meltCurve_Q86W92_4_PPFIBP1.pdf</v>
      </c>
    </row>
    <row r="4307" spans="1:28" x14ac:dyDescent="0.25">
      <c r="A4307" t="s">
        <v>4311</v>
      </c>
      <c r="B4307">
        <v>0.995954080203443</v>
      </c>
      <c r="C4307">
        <v>1.0210264941623699</v>
      </c>
      <c r="D4307">
        <v>1.1709332710084099</v>
      </c>
      <c r="E4307">
        <v>0.83727805718828197</v>
      </c>
      <c r="F4307">
        <v>0.30984565064703001</v>
      </c>
      <c r="G4307">
        <v>9.2941020794594903E-2</v>
      </c>
      <c r="H4307">
        <v>7.5780192226283002E-2</v>
      </c>
      <c r="I4307">
        <v>6.8110844262895001E-2</v>
      </c>
      <c r="J4307">
        <v>0.10605895909148599</v>
      </c>
      <c r="K4307">
        <v>6.7760044018163199E-2</v>
      </c>
      <c r="L4307">
        <v>2415.3554281276802</v>
      </c>
      <c r="M4307">
        <v>46.697004915841802</v>
      </c>
      <c r="N4307">
        <v>51.917760472739999</v>
      </c>
      <c r="O4307">
        <v>51.629401660515803</v>
      </c>
      <c r="P4307">
        <v>-0.20803385429617099</v>
      </c>
      <c r="Q4307">
        <v>7.9970889342534393E-2</v>
      </c>
      <c r="R4307">
        <v>0.98401638467355401</v>
      </c>
      <c r="S4307" t="s">
        <v>11113</v>
      </c>
      <c r="T4307" t="s">
        <v>13610</v>
      </c>
      <c r="U4307" t="s">
        <v>13610</v>
      </c>
      <c r="V4307" t="s">
        <v>13610</v>
      </c>
      <c r="W4307" t="s">
        <v>17856</v>
      </c>
      <c r="X4307">
        <v>6</v>
      </c>
      <c r="Y4307" t="s">
        <v>24441</v>
      </c>
      <c r="Z4307" t="s">
        <v>31162</v>
      </c>
      <c r="AA4307">
        <v>0.44192620733254101</v>
      </c>
      <c r="AB4307" t="str">
        <f>HYPERLINK("Melting_Curves/meltCurve_Q86WA6_2_BPHL.pdf", "Melting_Curves/meltCurve_Q86WA6_2_BPHL.pdf")</f>
        <v>Melting_Curves/meltCurve_Q86WA6_2_BPHL.pdf</v>
      </c>
    </row>
    <row r="4308" spans="1:28" x14ac:dyDescent="0.25">
      <c r="A4308" t="s">
        <v>4312</v>
      </c>
      <c r="B4308">
        <v>0.995954080203443</v>
      </c>
      <c r="C4308">
        <v>1.0158003564128499</v>
      </c>
      <c r="D4308">
        <v>0.70271263421338304</v>
      </c>
      <c r="E4308">
        <v>0.525846429194197</v>
      </c>
      <c r="F4308">
        <v>0.307820254931083</v>
      </c>
      <c r="G4308">
        <v>0.192170442190015</v>
      </c>
      <c r="H4308">
        <v>9.1244027605889996E-2</v>
      </c>
      <c r="I4308">
        <v>6.6103223429469601E-2</v>
      </c>
      <c r="J4308">
        <v>5.4015619835652701E-2</v>
      </c>
      <c r="K4308">
        <v>4.4995473745828601E-2</v>
      </c>
      <c r="L4308">
        <v>739.58636191612402</v>
      </c>
      <c r="M4308">
        <v>14.848740797219101</v>
      </c>
      <c r="N4308">
        <v>50.067241706950597</v>
      </c>
      <c r="O4308">
        <v>48.930815309724501</v>
      </c>
      <c r="P4308">
        <v>-7.3066700418624994E-2</v>
      </c>
      <c r="Q4308">
        <v>3.6999168893393802E-2</v>
      </c>
      <c r="R4308">
        <v>0.98708626632134999</v>
      </c>
      <c r="S4308" t="s">
        <v>11114</v>
      </c>
      <c r="T4308" t="s">
        <v>13610</v>
      </c>
      <c r="U4308" t="s">
        <v>13610</v>
      </c>
      <c r="V4308" t="s">
        <v>13610</v>
      </c>
      <c r="W4308" t="s">
        <v>17857</v>
      </c>
      <c r="X4308">
        <v>2</v>
      </c>
      <c r="Y4308" t="s">
        <v>24442</v>
      </c>
      <c r="Z4308" t="s">
        <v>31163</v>
      </c>
      <c r="AA4308">
        <v>0.37536758167907769</v>
      </c>
      <c r="AB4308" t="str">
        <f>HYPERLINK("Melting_Curves/meltCurve_Q86WH2_RASSF3.pdf", "Melting_Curves/meltCurve_Q86WH2_RASSF3.pdf")</f>
        <v>Melting_Curves/meltCurve_Q86WH2_RASSF3.pdf</v>
      </c>
    </row>
    <row r="4309" spans="1:28" x14ac:dyDescent="0.25">
      <c r="A4309" t="s">
        <v>4313</v>
      </c>
      <c r="B4309">
        <v>0.995954080203443</v>
      </c>
      <c r="C4309">
        <v>0.81401562101923297</v>
      </c>
      <c r="D4309">
        <v>0.55575614100950799</v>
      </c>
      <c r="E4309">
        <v>0.33689630205450699</v>
      </c>
      <c r="F4309">
        <v>0.22683757243323699</v>
      </c>
      <c r="G4309">
        <v>0.14059109729910799</v>
      </c>
      <c r="H4309">
        <v>0.105518140690419</v>
      </c>
      <c r="I4309">
        <v>8.1999105461133703E-2</v>
      </c>
      <c r="J4309">
        <v>0.102575838822532</v>
      </c>
      <c r="K4309">
        <v>8.8970517620842599E-2</v>
      </c>
      <c r="L4309">
        <v>741.962041623922</v>
      </c>
      <c r="M4309">
        <v>15.923630914466701</v>
      </c>
      <c r="N4309">
        <v>47.179598861429703</v>
      </c>
      <c r="O4309">
        <v>45.8787545062373</v>
      </c>
      <c r="P4309">
        <v>-7.9008213473678507E-2</v>
      </c>
      <c r="Q4309">
        <v>8.9527343497001297E-2</v>
      </c>
      <c r="R4309">
        <v>0.99416463623037099</v>
      </c>
      <c r="S4309" t="s">
        <v>11115</v>
      </c>
      <c r="T4309" t="s">
        <v>13610</v>
      </c>
      <c r="U4309" t="s">
        <v>13610</v>
      </c>
      <c r="V4309" t="s">
        <v>13610</v>
      </c>
      <c r="W4309" t="s">
        <v>17858</v>
      </c>
      <c r="X4309">
        <v>15</v>
      </c>
      <c r="Y4309" t="s">
        <v>24443</v>
      </c>
      <c r="Z4309" t="s">
        <v>31164</v>
      </c>
      <c r="AA4309">
        <v>0.31208473941956372</v>
      </c>
      <c r="AB4309" t="str">
        <f>HYPERLINK("Melting_Curves/meltCurve_Q86WJ1_2_CHD1L.pdf", "Melting_Curves/meltCurve_Q86WJ1_2_CHD1L.pdf")</f>
        <v>Melting_Curves/meltCurve_Q86WJ1_2_CHD1L.pdf</v>
      </c>
    </row>
    <row r="4310" spans="1:28" x14ac:dyDescent="0.25">
      <c r="A4310" t="s">
        <v>4314</v>
      </c>
      <c r="B4310">
        <v>0.995954080203443</v>
      </c>
      <c r="C4310">
        <v>0.83971624023519598</v>
      </c>
      <c r="D4310">
        <v>0.77908611324282795</v>
      </c>
      <c r="E4310">
        <v>0.63390877249012101</v>
      </c>
      <c r="F4310">
        <v>0.470096785089618</v>
      </c>
      <c r="G4310">
        <v>0.20213994135372701</v>
      </c>
      <c r="H4310">
        <v>0.155064359740827</v>
      </c>
      <c r="I4310">
        <v>0.17068007386995401</v>
      </c>
      <c r="J4310">
        <v>0.17230833959925199</v>
      </c>
      <c r="K4310">
        <v>0.15303930129597099</v>
      </c>
      <c r="L4310">
        <v>623.21514506112999</v>
      </c>
      <c r="M4310">
        <v>12.3159926417128</v>
      </c>
      <c r="N4310">
        <v>51.531936137377997</v>
      </c>
      <c r="O4310">
        <v>49.323530320328302</v>
      </c>
      <c r="P4310">
        <v>-5.62172260203751E-2</v>
      </c>
      <c r="Q4310">
        <v>9.9633272819629706E-2</v>
      </c>
      <c r="R4310">
        <v>0.97948598063875203</v>
      </c>
      <c r="S4310" t="s">
        <v>11116</v>
      </c>
      <c r="T4310" t="s">
        <v>13610</v>
      </c>
      <c r="U4310" t="s">
        <v>13610</v>
      </c>
      <c r="V4310" t="s">
        <v>13610</v>
      </c>
      <c r="W4310" t="s">
        <v>17859</v>
      </c>
      <c r="X4310">
        <v>11</v>
      </c>
      <c r="Y4310" t="s">
        <v>24444</v>
      </c>
      <c r="Z4310" t="s">
        <v>31165</v>
      </c>
      <c r="AA4310">
        <v>0.44675437705762688</v>
      </c>
      <c r="AB4310" t="str">
        <f>HYPERLINK("Melting_Curves/meltCurve_Q86WN1_FCHSD1.pdf", "Melting_Curves/meltCurve_Q86WN1_FCHSD1.pdf")</f>
        <v>Melting_Curves/meltCurve_Q86WN1_FCHSD1.pdf</v>
      </c>
    </row>
    <row r="4311" spans="1:28" x14ac:dyDescent="0.25">
      <c r="A4311" t="s">
        <v>4315</v>
      </c>
      <c r="B4311">
        <v>0.995954080203443</v>
      </c>
      <c r="C4311">
        <v>0.91307943949318204</v>
      </c>
      <c r="D4311">
        <v>0.98863986454632902</v>
      </c>
      <c r="E4311">
        <v>0.84105481628510104</v>
      </c>
      <c r="F4311">
        <v>0.87633238052919504</v>
      </c>
      <c r="G4311">
        <v>0.75572135082170899</v>
      </c>
      <c r="H4311">
        <v>0.74277100921329398</v>
      </c>
      <c r="I4311">
        <v>0.94607409217442295</v>
      </c>
      <c r="J4311">
        <v>1.1897035043339499</v>
      </c>
      <c r="K4311">
        <v>1.0428880136629399</v>
      </c>
      <c r="L4311">
        <v>10116.3323940717</v>
      </c>
      <c r="M4311">
        <v>250</v>
      </c>
      <c r="O4311">
        <v>40.462740157614</v>
      </c>
      <c r="P4311">
        <v>-0.12077908152741799</v>
      </c>
      <c r="Q4311">
        <v>0.92180715879622899</v>
      </c>
      <c r="R4311">
        <v>3.0035859192816001E-2</v>
      </c>
      <c r="S4311" t="s">
        <v>11117</v>
      </c>
      <c r="T4311" t="s">
        <v>13610</v>
      </c>
      <c r="U4311" t="s">
        <v>13610</v>
      </c>
      <c r="V4311" t="s">
        <v>13610</v>
      </c>
      <c r="W4311" t="s">
        <v>17860</v>
      </c>
      <c r="X4311">
        <v>6</v>
      </c>
      <c r="Y4311" t="s">
        <v>24445</v>
      </c>
      <c r="Z4311" t="s">
        <v>31166</v>
      </c>
      <c r="AA4311">
        <v>0.92304728872382047</v>
      </c>
      <c r="AB4311" t="str">
        <f>HYPERLINK("Melting_Curves/meltCurve_Q86WP2_3_GPBP1.pdf", "Melting_Curves/meltCurve_Q86WP2_3_GPBP1.pdf")</f>
        <v>Melting_Curves/meltCurve_Q86WP2_3_GPBP1.pdf</v>
      </c>
    </row>
    <row r="4312" spans="1:28" x14ac:dyDescent="0.25">
      <c r="A4312" t="s">
        <v>4316</v>
      </c>
      <c r="B4312">
        <v>0.995954080203443</v>
      </c>
      <c r="C4312">
        <v>0.91814564227854101</v>
      </c>
      <c r="D4312">
        <v>0.92177261738180005</v>
      </c>
      <c r="E4312">
        <v>0.64990415331150297</v>
      </c>
      <c r="F4312">
        <v>0.32947373893989701</v>
      </c>
      <c r="G4312">
        <v>0.13977210482737801</v>
      </c>
      <c r="H4312">
        <v>0.106066201294893</v>
      </c>
      <c r="I4312">
        <v>9.6930925926250106E-2</v>
      </c>
      <c r="J4312">
        <v>0.110524010902777</v>
      </c>
      <c r="K4312">
        <v>0.106821906290989</v>
      </c>
      <c r="L4312">
        <v>1232.9473640209301</v>
      </c>
      <c r="M4312">
        <v>24.274811022022401</v>
      </c>
      <c r="N4312">
        <v>51.237082624297202</v>
      </c>
      <c r="O4312">
        <v>50.4502989102916</v>
      </c>
      <c r="P4312">
        <v>-0.108839666337124</v>
      </c>
      <c r="Q4312">
        <v>9.5208499045022293E-2</v>
      </c>
      <c r="R4312">
        <v>0.99551008087809401</v>
      </c>
      <c r="S4312" t="s">
        <v>11118</v>
      </c>
      <c r="T4312" t="s">
        <v>13610</v>
      </c>
      <c r="U4312" t="s">
        <v>13610</v>
      </c>
      <c r="V4312" t="s">
        <v>13610</v>
      </c>
      <c r="W4312" t="s">
        <v>17861</v>
      </c>
      <c r="X4312">
        <v>5</v>
      </c>
      <c r="Y4312" t="s">
        <v>24446</v>
      </c>
      <c r="Z4312" t="s">
        <v>31167</v>
      </c>
      <c r="AA4312">
        <v>0.42931150042307192</v>
      </c>
      <c r="AB4312" t="str">
        <f>HYPERLINK("Melting_Curves/meltCurve_Q86WQ0_NR2C2AP.pdf", "Melting_Curves/meltCurve_Q86WQ0_NR2C2AP.pdf")</f>
        <v>Melting_Curves/meltCurve_Q86WQ0_NR2C2AP.pdf</v>
      </c>
    </row>
    <row r="4313" spans="1:28" x14ac:dyDescent="0.25">
      <c r="A4313" t="s">
        <v>4317</v>
      </c>
      <c r="B4313">
        <v>0.995954080203443</v>
      </c>
      <c r="C4313">
        <v>0.96342884361510905</v>
      </c>
      <c r="D4313">
        <v>1.07016946629395</v>
      </c>
      <c r="E4313">
        <v>0.73570385617467504</v>
      </c>
      <c r="F4313">
        <v>0.223923155452077</v>
      </c>
      <c r="G4313">
        <v>0.131551411215936</v>
      </c>
      <c r="H4313">
        <v>8.8021219431203598E-2</v>
      </c>
      <c r="I4313">
        <v>8.2341578869966001E-2</v>
      </c>
      <c r="J4313">
        <v>9.2167461975673007E-2</v>
      </c>
      <c r="K4313">
        <v>8.1440052371123201E-2</v>
      </c>
      <c r="L4313">
        <v>2399.3816854878801</v>
      </c>
      <c r="M4313">
        <v>47.076444994998802</v>
      </c>
      <c r="N4313">
        <v>51.194018573973402</v>
      </c>
      <c r="O4313">
        <v>50.876059858582998</v>
      </c>
      <c r="P4313">
        <v>-0.20960307015055701</v>
      </c>
      <c r="Q4313">
        <v>9.3919110274025802E-2</v>
      </c>
      <c r="R4313">
        <v>0.99507137801641499</v>
      </c>
      <c r="S4313" t="s">
        <v>11119</v>
      </c>
      <c r="T4313" t="s">
        <v>13610</v>
      </c>
      <c r="U4313" t="s">
        <v>13610</v>
      </c>
      <c r="V4313" t="s">
        <v>13610</v>
      </c>
      <c r="W4313" t="s">
        <v>17862</v>
      </c>
      <c r="X4313">
        <v>14</v>
      </c>
      <c r="Y4313" t="s">
        <v>24447</v>
      </c>
      <c r="Z4313" t="s">
        <v>31168</v>
      </c>
      <c r="AA4313">
        <v>0.42747496579057259</v>
      </c>
      <c r="AB4313" t="str">
        <f>HYPERLINK("Melting_Curves/meltCurve_Q86WR0_CCDC25.pdf", "Melting_Curves/meltCurve_Q86WR0_CCDC25.pdf")</f>
        <v>Melting_Curves/meltCurve_Q86WR0_CCDC25.pdf</v>
      </c>
    </row>
    <row r="4314" spans="1:28" x14ac:dyDescent="0.25">
      <c r="A4314" t="s">
        <v>4318</v>
      </c>
      <c r="B4314">
        <v>0.995954080203443</v>
      </c>
      <c r="C4314">
        <v>0.99260436357807502</v>
      </c>
      <c r="D4314">
        <v>0.96913279433190402</v>
      </c>
      <c r="E4314">
        <v>0.85960629284079404</v>
      </c>
      <c r="F4314">
        <v>0.91328962694736104</v>
      </c>
      <c r="G4314">
        <v>0.70263328181217599</v>
      </c>
      <c r="H4314">
        <v>0.74725417327824795</v>
      </c>
      <c r="I4314">
        <v>0.90117307805854396</v>
      </c>
      <c r="J4314">
        <v>1.1069959977884201</v>
      </c>
      <c r="K4314">
        <v>1.02206663940555</v>
      </c>
      <c r="L4314">
        <v>11541.353489212001</v>
      </c>
      <c r="M4314">
        <v>250</v>
      </c>
      <c r="O4314">
        <v>46.162459691607701</v>
      </c>
      <c r="P4314">
        <v>-0.144478272253343</v>
      </c>
      <c r="Q4314">
        <v>0.89328844145252995</v>
      </c>
      <c r="R4314">
        <v>0.13122241552866501</v>
      </c>
      <c r="S4314" t="s">
        <v>11120</v>
      </c>
      <c r="T4314" t="s">
        <v>13610</v>
      </c>
      <c r="U4314" t="s">
        <v>13610</v>
      </c>
      <c r="V4314" t="s">
        <v>13610</v>
      </c>
      <c r="W4314" t="s">
        <v>17863</v>
      </c>
      <c r="X4314">
        <v>7</v>
      </c>
      <c r="Y4314" t="s">
        <v>24448</v>
      </c>
      <c r="Z4314" t="s">
        <v>31169</v>
      </c>
      <c r="AA4314">
        <v>0.91522778492602386</v>
      </c>
      <c r="AB4314" t="str">
        <f>HYPERLINK("Melting_Curves/meltCurve_Q86WR7_PROSER2.pdf", "Melting_Curves/meltCurve_Q86WR7_PROSER2.pdf")</f>
        <v>Melting_Curves/meltCurve_Q86WR7_PROSER2.pdf</v>
      </c>
    </row>
    <row r="4315" spans="1:28" x14ac:dyDescent="0.25">
      <c r="A4315" t="s">
        <v>4319</v>
      </c>
      <c r="B4315">
        <v>0.995954080203443</v>
      </c>
      <c r="C4315">
        <v>0.94876737415060997</v>
      </c>
      <c r="D4315">
        <v>1.0110069135912201</v>
      </c>
      <c r="E4315">
        <v>0.81321195853734696</v>
      </c>
      <c r="F4315">
        <v>0.63558597096936598</v>
      </c>
      <c r="G4315">
        <v>0.44828903176548901</v>
      </c>
      <c r="H4315">
        <v>0.32445674742106201</v>
      </c>
      <c r="I4315">
        <v>0.30281361810426699</v>
      </c>
      <c r="J4315">
        <v>0.27936713657864598</v>
      </c>
      <c r="K4315">
        <v>0.224182419201299</v>
      </c>
      <c r="L4315">
        <v>907.62847438326901</v>
      </c>
      <c r="M4315">
        <v>16.9703442455214</v>
      </c>
      <c r="N4315">
        <v>55.6473650853547</v>
      </c>
      <c r="O4315">
        <v>52.7571174861055</v>
      </c>
      <c r="P4315">
        <v>-6.0994651350991198E-2</v>
      </c>
      <c r="Q4315">
        <v>0.24157065032611899</v>
      </c>
      <c r="R4315">
        <v>0.99289526908338799</v>
      </c>
      <c r="S4315" t="s">
        <v>11121</v>
      </c>
      <c r="T4315" t="s">
        <v>13610</v>
      </c>
      <c r="U4315" t="s">
        <v>13610</v>
      </c>
      <c r="V4315" t="s">
        <v>13610</v>
      </c>
      <c r="W4315" t="s">
        <v>17864</v>
      </c>
      <c r="X4315">
        <v>2</v>
      </c>
      <c r="Y4315" t="s">
        <v>24449</v>
      </c>
      <c r="Z4315" t="s">
        <v>31170</v>
      </c>
      <c r="AA4315">
        <v>0.59587812636917969</v>
      </c>
      <c r="AB4315" t="str">
        <f>HYPERLINK("Melting_Curves/meltCurve_Q86WU2_2_LDHD.pdf", "Melting_Curves/meltCurve_Q86WU2_2_LDHD.pdf")</f>
        <v>Melting_Curves/meltCurve_Q86WU2_2_LDHD.pdf</v>
      </c>
    </row>
    <row r="4316" spans="1:28" x14ac:dyDescent="0.25">
      <c r="A4316" t="s">
        <v>4320</v>
      </c>
      <c r="B4316">
        <v>0.995954080203443</v>
      </c>
      <c r="C4316">
        <v>0.93855447144959703</v>
      </c>
      <c r="D4316">
        <v>1.0431681988156201</v>
      </c>
      <c r="E4316">
        <v>0.84078046792446004</v>
      </c>
      <c r="F4316">
        <v>0.94189166175686601</v>
      </c>
      <c r="G4316">
        <v>0.75198296915087204</v>
      </c>
      <c r="H4316">
        <v>0.75848757023227198</v>
      </c>
      <c r="I4316">
        <v>1.0444889144749301</v>
      </c>
      <c r="J4316">
        <v>1.16066921644701</v>
      </c>
      <c r="K4316">
        <v>1.25086720648828</v>
      </c>
      <c r="L4316">
        <v>4277.1743460778698</v>
      </c>
      <c r="M4316">
        <v>64.410051985722703</v>
      </c>
      <c r="O4316">
        <v>66.341462526139296</v>
      </c>
      <c r="P4316">
        <v>6.2678048912416906E-2</v>
      </c>
      <c r="Q4316">
        <v>1.2582300132178099</v>
      </c>
      <c r="R4316">
        <v>0.346454318537748</v>
      </c>
      <c r="S4316" t="s">
        <v>11122</v>
      </c>
      <c r="T4316" t="s">
        <v>13610</v>
      </c>
      <c r="U4316" t="s">
        <v>13610</v>
      </c>
      <c r="V4316" t="s">
        <v>13610</v>
      </c>
      <c r="W4316" t="s">
        <v>17865</v>
      </c>
      <c r="X4316">
        <v>4</v>
      </c>
      <c r="Y4316" t="s">
        <v>24450</v>
      </c>
      <c r="Z4316" t="s">
        <v>31171</v>
      </c>
      <c r="AA4316">
        <v>1.0308532948810409</v>
      </c>
      <c r="AB4316" t="str">
        <f>HYPERLINK("Melting_Curves/meltCurve_Q86WX3_RPS19BP1.pdf", "Melting_Curves/meltCurve_Q86WX3_RPS19BP1.pdf")</f>
        <v>Melting_Curves/meltCurve_Q86WX3_RPS19BP1.pdf</v>
      </c>
    </row>
    <row r="4317" spans="1:28" x14ac:dyDescent="0.25">
      <c r="A4317" t="s">
        <v>4321</v>
      </c>
      <c r="B4317">
        <v>0.995954080203443</v>
      </c>
      <c r="C4317">
        <v>0.77952949554609097</v>
      </c>
      <c r="D4317">
        <v>0.62107076386476701</v>
      </c>
      <c r="E4317">
        <v>0.53984145103577796</v>
      </c>
      <c r="F4317">
        <v>0.30191567797649899</v>
      </c>
      <c r="G4317">
        <v>0.197104006398271</v>
      </c>
      <c r="H4317">
        <v>0.158383556335988</v>
      </c>
      <c r="I4317">
        <v>0.134539391717827</v>
      </c>
      <c r="J4317">
        <v>0.12660434634581999</v>
      </c>
      <c r="K4317">
        <v>0.146285588616236</v>
      </c>
      <c r="L4317">
        <v>560.35877364619398</v>
      </c>
      <c r="M4317">
        <v>11.6352580044575</v>
      </c>
      <c r="N4317">
        <v>49.0525379248867</v>
      </c>
      <c r="O4317">
        <v>46.803739588915398</v>
      </c>
      <c r="P4317">
        <v>-5.6237908817698301E-2</v>
      </c>
      <c r="Q4317">
        <v>9.5359815772283904E-2</v>
      </c>
      <c r="R4317">
        <v>0.97795008660447902</v>
      </c>
      <c r="S4317" t="s">
        <v>11123</v>
      </c>
      <c r="T4317" t="s">
        <v>13610</v>
      </c>
      <c r="U4317" t="s">
        <v>13610</v>
      </c>
      <c r="V4317" t="s">
        <v>13610</v>
      </c>
      <c r="W4317" t="s">
        <v>17866</v>
      </c>
      <c r="X4317">
        <v>3</v>
      </c>
      <c r="Y4317" t="s">
        <v>24451</v>
      </c>
      <c r="Z4317" t="s">
        <v>31172</v>
      </c>
      <c r="AA4317">
        <v>0.37839222971208319</v>
      </c>
      <c r="AB4317" t="str">
        <f>HYPERLINK("Melting_Curves/meltCurve_Q86X02_CDR2L.pdf", "Melting_Curves/meltCurve_Q86X02_CDR2L.pdf")</f>
        <v>Melting_Curves/meltCurve_Q86X02_CDR2L.pdf</v>
      </c>
    </row>
    <row r="4318" spans="1:28" x14ac:dyDescent="0.25">
      <c r="A4318" t="s">
        <v>4322</v>
      </c>
      <c r="B4318">
        <v>0.995954080203443</v>
      </c>
      <c r="C4318">
        <v>0.70704025280093297</v>
      </c>
      <c r="D4318">
        <v>0.49004459793316402</v>
      </c>
      <c r="E4318">
        <v>0.30560750650684898</v>
      </c>
      <c r="F4318">
        <v>0.15055515842679501</v>
      </c>
      <c r="G4318">
        <v>9.4759942056606997E-2</v>
      </c>
      <c r="H4318">
        <v>6.1321544506471697E-2</v>
      </c>
      <c r="I4318">
        <v>5.8446056400807703E-2</v>
      </c>
      <c r="J4318">
        <v>6.7864684529044303E-2</v>
      </c>
      <c r="K4318">
        <v>6.1607054039916002E-2</v>
      </c>
      <c r="L4318">
        <v>710.22420925851895</v>
      </c>
      <c r="M4318">
        <v>15.508313350662799</v>
      </c>
      <c r="N4318">
        <v>46.144952104472402</v>
      </c>
      <c r="O4318">
        <v>45.055154604198698</v>
      </c>
      <c r="P4318">
        <v>-8.1302356091994696E-2</v>
      </c>
      <c r="Q4318">
        <v>5.5276911585663099E-2</v>
      </c>
      <c r="R4318">
        <v>0.98683259926489597</v>
      </c>
      <c r="S4318" t="s">
        <v>11124</v>
      </c>
      <c r="T4318" t="s">
        <v>13610</v>
      </c>
      <c r="U4318" t="s">
        <v>13610</v>
      </c>
      <c r="V4318" t="s">
        <v>13610</v>
      </c>
      <c r="W4318" t="s">
        <v>17867</v>
      </c>
      <c r="X4318">
        <v>12</v>
      </c>
      <c r="Y4318" t="s">
        <v>24452</v>
      </c>
      <c r="Z4318" t="s">
        <v>31173</v>
      </c>
      <c r="AA4318">
        <v>0.26396572426568149</v>
      </c>
      <c r="AB4318" t="str">
        <f>HYPERLINK("Melting_Curves/meltCurve_Q86X10_3_RALGAPB.pdf", "Melting_Curves/meltCurve_Q86X10_3_RALGAPB.pdf")</f>
        <v>Melting_Curves/meltCurve_Q86X10_3_RALGAPB.pdf</v>
      </c>
    </row>
    <row r="4319" spans="1:28" x14ac:dyDescent="0.25">
      <c r="A4319" t="s">
        <v>4323</v>
      </c>
      <c r="B4319">
        <v>0.995954080203443</v>
      </c>
      <c r="C4319">
        <v>0.98153429881417498</v>
      </c>
      <c r="D4319">
        <v>1.16217184455638</v>
      </c>
      <c r="E4319">
        <v>0.78922557992672704</v>
      </c>
      <c r="F4319">
        <v>0.48715267710753102</v>
      </c>
      <c r="G4319">
        <v>0.232271516677029</v>
      </c>
      <c r="H4319">
        <v>0.187228163193562</v>
      </c>
      <c r="I4319">
        <v>0.19226121286221601</v>
      </c>
      <c r="J4319">
        <v>0.23538711284396499</v>
      </c>
      <c r="K4319">
        <v>0.20419389199038701</v>
      </c>
      <c r="L4319">
        <v>1751.2917506210499</v>
      </c>
      <c r="M4319">
        <v>33.749410649772301</v>
      </c>
      <c r="N4319">
        <v>52.705502743085702</v>
      </c>
      <c r="O4319">
        <v>51.709861537800997</v>
      </c>
      <c r="P4319">
        <v>-0.13001307488751701</v>
      </c>
      <c r="Q4319">
        <v>0.20319430043363401</v>
      </c>
      <c r="R4319">
        <v>0.97601006718882899</v>
      </c>
      <c r="S4319" t="s">
        <v>11125</v>
      </c>
      <c r="T4319" t="s">
        <v>13610</v>
      </c>
      <c r="U4319" t="s">
        <v>13610</v>
      </c>
      <c r="V4319" t="s">
        <v>13610</v>
      </c>
      <c r="W4319" t="s">
        <v>17868</v>
      </c>
      <c r="X4319">
        <v>11</v>
      </c>
      <c r="Y4319" t="s">
        <v>24453</v>
      </c>
      <c r="Z4319" t="s">
        <v>31174</v>
      </c>
      <c r="AA4319">
        <v>0.52304077199685495</v>
      </c>
      <c r="AB4319" t="str">
        <f>HYPERLINK("Melting_Curves/meltCurve_Q86X27_RALGPS2.pdf", "Melting_Curves/meltCurve_Q86X27_RALGPS2.pdf")</f>
        <v>Melting_Curves/meltCurve_Q86X27_RALGPS2.pdf</v>
      </c>
    </row>
    <row r="4320" spans="1:28" x14ac:dyDescent="0.25">
      <c r="A4320" t="s">
        <v>4324</v>
      </c>
      <c r="B4320">
        <v>0.995954080203443</v>
      </c>
      <c r="C4320">
        <v>0.98178783983453299</v>
      </c>
      <c r="D4320">
        <v>0.87123801424811897</v>
      </c>
      <c r="E4320">
        <v>0.73150946516000304</v>
      </c>
      <c r="F4320">
        <v>0.52458792064666004</v>
      </c>
      <c r="G4320">
        <v>0.33847390149984802</v>
      </c>
      <c r="H4320">
        <v>0.26323095180198502</v>
      </c>
      <c r="I4320">
        <v>0.27454443223472103</v>
      </c>
      <c r="J4320">
        <v>0.34670635392288102</v>
      </c>
      <c r="K4320">
        <v>0.31869593411608299</v>
      </c>
      <c r="L4320">
        <v>993.80734521622401</v>
      </c>
      <c r="M4320">
        <v>19.5244708226701</v>
      </c>
      <c r="N4320">
        <v>53.218681676880699</v>
      </c>
      <c r="O4320">
        <v>50.375661735208702</v>
      </c>
      <c r="P4320">
        <v>-6.9147704483191005E-2</v>
      </c>
      <c r="Q4320">
        <v>0.286385497065895</v>
      </c>
      <c r="R4320">
        <v>0.98669976063206499</v>
      </c>
      <c r="S4320" t="s">
        <v>11126</v>
      </c>
      <c r="T4320" t="s">
        <v>13610</v>
      </c>
      <c r="U4320" t="s">
        <v>13610</v>
      </c>
      <c r="V4320" t="s">
        <v>13610</v>
      </c>
      <c r="W4320" t="s">
        <v>17869</v>
      </c>
      <c r="X4320">
        <v>8</v>
      </c>
      <c r="Y4320" t="s">
        <v>24454</v>
      </c>
      <c r="Z4320" t="s">
        <v>31175</v>
      </c>
      <c r="AA4320">
        <v>0.55604502151140489</v>
      </c>
      <c r="AB4320" t="str">
        <f>HYPERLINK("Melting_Curves/meltCurve_Q86X53_ERICH1.pdf", "Melting_Curves/meltCurve_Q86X53_ERICH1.pdf")</f>
        <v>Melting_Curves/meltCurve_Q86X53_ERICH1.pdf</v>
      </c>
    </row>
    <row r="4321" spans="1:28" x14ac:dyDescent="0.25">
      <c r="A4321" t="s">
        <v>4325</v>
      </c>
      <c r="B4321">
        <v>0.995954080203443</v>
      </c>
      <c r="C4321">
        <v>0.91213057179744195</v>
      </c>
      <c r="D4321">
        <v>0.77664096795022097</v>
      </c>
      <c r="E4321">
        <v>0.85001080873572998</v>
      </c>
      <c r="F4321">
        <v>0.492507741834664</v>
      </c>
      <c r="G4321">
        <v>0.17421878740955199</v>
      </c>
      <c r="H4321">
        <v>6.6496609119627598E-2</v>
      </c>
      <c r="I4321">
        <v>5.67960530163409E-2</v>
      </c>
      <c r="J4321">
        <v>6.4051220767434594E-2</v>
      </c>
      <c r="K4321">
        <v>5.5976012083161102E-2</v>
      </c>
      <c r="L4321">
        <v>1068.2633350229401</v>
      </c>
      <c r="M4321">
        <v>20.231089895151001</v>
      </c>
      <c r="N4321">
        <v>52.963562170039502</v>
      </c>
      <c r="O4321">
        <v>52.295272372600401</v>
      </c>
      <c r="P4321">
        <v>-9.3842480814089593E-2</v>
      </c>
      <c r="Q4321">
        <v>2.97378772541378E-2</v>
      </c>
      <c r="R4321">
        <v>0.96748960203870504</v>
      </c>
      <c r="S4321" t="s">
        <v>11127</v>
      </c>
      <c r="T4321" t="s">
        <v>13610</v>
      </c>
      <c r="U4321" t="s">
        <v>13610</v>
      </c>
      <c r="V4321" t="s">
        <v>13610</v>
      </c>
      <c r="W4321" t="s">
        <v>17870</v>
      </c>
      <c r="X4321">
        <v>20</v>
      </c>
      <c r="Y4321" t="s">
        <v>24455</v>
      </c>
      <c r="Z4321" t="s">
        <v>31176</v>
      </c>
      <c r="AA4321">
        <v>0.456918164335197</v>
      </c>
      <c r="AB4321" t="str">
        <f>HYPERLINK("Melting_Curves/meltCurve_Q86X55_1_CARM1.pdf", "Melting_Curves/meltCurve_Q86X55_1_CARM1.pdf")</f>
        <v>Melting_Curves/meltCurve_Q86X55_1_CARM1.pdf</v>
      </c>
    </row>
    <row r="4322" spans="1:28" x14ac:dyDescent="0.25">
      <c r="A4322" t="s">
        <v>4326</v>
      </c>
      <c r="B4322">
        <v>0.995954080203443</v>
      </c>
      <c r="C4322">
        <v>0.95406971980521704</v>
      </c>
      <c r="D4322">
        <v>1.0078886675869101</v>
      </c>
      <c r="E4322">
        <v>0.87094116202243399</v>
      </c>
      <c r="F4322">
        <v>0.78750918179153895</v>
      </c>
      <c r="G4322">
        <v>0.62563745615788802</v>
      </c>
      <c r="H4322">
        <v>0.46350696161381899</v>
      </c>
      <c r="I4322">
        <v>0.45633872384027802</v>
      </c>
      <c r="J4322">
        <v>0.26776337398629602</v>
      </c>
      <c r="K4322">
        <v>0.131555565373148</v>
      </c>
      <c r="L4322">
        <v>602.76329799698897</v>
      </c>
      <c r="M4322">
        <v>9.9816544861521308</v>
      </c>
      <c r="N4322">
        <v>60.387090006110903</v>
      </c>
      <c r="O4322">
        <v>58.113407109869897</v>
      </c>
      <c r="P4322">
        <v>-4.2961445113197702E-2</v>
      </c>
      <c r="Q4322">
        <v>0</v>
      </c>
      <c r="R4322">
        <v>0.97976005111025899</v>
      </c>
      <c r="S4322" t="s">
        <v>11128</v>
      </c>
      <c r="T4322" t="s">
        <v>13610</v>
      </c>
      <c r="U4322" t="s">
        <v>13610</v>
      </c>
      <c r="V4322" t="s">
        <v>13610</v>
      </c>
      <c r="W4322" t="s">
        <v>17871</v>
      </c>
      <c r="X4322">
        <v>12</v>
      </c>
      <c r="Y4322" t="s">
        <v>24456</v>
      </c>
      <c r="Z4322" t="s">
        <v>31177</v>
      </c>
      <c r="AA4322">
        <v>0.67243828955449414</v>
      </c>
      <c r="AB4322" t="str">
        <f>HYPERLINK("Melting_Curves/meltCurve_Q86X76_2_NIT1.pdf", "Melting_Curves/meltCurve_Q86X76_2_NIT1.pdf")</f>
        <v>Melting_Curves/meltCurve_Q86X76_2_NIT1.pdf</v>
      </c>
    </row>
    <row r="4323" spans="1:28" x14ac:dyDescent="0.25">
      <c r="A4323" t="s">
        <v>4327</v>
      </c>
      <c r="B4323">
        <v>0.995954080203443</v>
      </c>
      <c r="C4323">
        <v>0.84940874362528695</v>
      </c>
      <c r="D4323">
        <v>0.62851697753491198</v>
      </c>
      <c r="E4323">
        <v>0.52691807565528903</v>
      </c>
      <c r="F4323">
        <v>0.17759635849212199</v>
      </c>
      <c r="G4323">
        <v>5.9852967550189998E-2</v>
      </c>
      <c r="H4323">
        <v>4.4799020078337401E-2</v>
      </c>
      <c r="I4323">
        <v>4.1355254042054999E-2</v>
      </c>
      <c r="J4323">
        <v>3.0848014520243699E-2</v>
      </c>
      <c r="K4323">
        <v>4.31593649102536E-2</v>
      </c>
      <c r="L4323">
        <v>688.73110269198503</v>
      </c>
      <c r="M4323">
        <v>14.163747776450601</v>
      </c>
      <c r="N4323">
        <v>48.630076454009199</v>
      </c>
      <c r="O4323">
        <v>47.6878025827545</v>
      </c>
      <c r="P4323">
        <v>-7.4221378105605598E-2</v>
      </c>
      <c r="Q4323">
        <v>5.4498891025225296E-4</v>
      </c>
      <c r="R4323">
        <v>0.97759384986424003</v>
      </c>
      <c r="S4323" t="s">
        <v>11129</v>
      </c>
      <c r="T4323" t="s">
        <v>13610</v>
      </c>
      <c r="U4323" t="s">
        <v>13610</v>
      </c>
      <c r="V4323" t="s">
        <v>13610</v>
      </c>
      <c r="W4323" t="s">
        <v>17872</v>
      </c>
      <c r="X4323">
        <v>2</v>
      </c>
      <c r="Y4323" t="s">
        <v>24457</v>
      </c>
      <c r="Z4323" t="s">
        <v>31178</v>
      </c>
      <c r="AA4323">
        <v>0.31583559282679669</v>
      </c>
      <c r="AB4323" t="str">
        <f>HYPERLINK("Melting_Curves/meltCurve_Q86X83_COMMD2.pdf", "Melting_Curves/meltCurve_Q86X83_COMMD2.pdf")</f>
        <v>Melting_Curves/meltCurve_Q86X83_COMMD2.pdf</v>
      </c>
    </row>
    <row r="4324" spans="1:28" x14ac:dyDescent="0.25">
      <c r="A4324" t="s">
        <v>4328</v>
      </c>
      <c r="B4324">
        <v>0.995954080203443</v>
      </c>
      <c r="C4324">
        <v>1.0140990756375701</v>
      </c>
      <c r="D4324">
        <v>1.08641243431963</v>
      </c>
      <c r="E4324">
        <v>0.93124663573382105</v>
      </c>
      <c r="F4324">
        <v>0.97447403090821705</v>
      </c>
      <c r="G4324">
        <v>0.70162148872877905</v>
      </c>
      <c r="H4324">
        <v>0.66106814182471796</v>
      </c>
      <c r="I4324">
        <v>0.65320188472202401</v>
      </c>
      <c r="J4324">
        <v>0.74193504422371104</v>
      </c>
      <c r="K4324">
        <v>0.68019360005773799</v>
      </c>
      <c r="L4324">
        <v>3890.2286265943499</v>
      </c>
      <c r="M4324">
        <v>71.036879409267797</v>
      </c>
      <c r="O4324">
        <v>54.720154672934903</v>
      </c>
      <c r="P4324">
        <v>-0.102584820368429</v>
      </c>
      <c r="Q4324">
        <v>0.68391313864893399</v>
      </c>
      <c r="R4324">
        <v>0.93448215415246905</v>
      </c>
      <c r="S4324" t="s">
        <v>11130</v>
      </c>
      <c r="T4324" t="s">
        <v>13610</v>
      </c>
      <c r="U4324" t="s">
        <v>13610</v>
      </c>
      <c r="V4324" t="s">
        <v>13610</v>
      </c>
      <c r="W4324" t="s">
        <v>17873</v>
      </c>
      <c r="X4324">
        <v>7</v>
      </c>
      <c r="Y4324" t="s">
        <v>24458</v>
      </c>
      <c r="Z4324" t="s">
        <v>31179</v>
      </c>
      <c r="AA4324">
        <v>0.83984202901909411</v>
      </c>
      <c r="AB4324" t="str">
        <f>HYPERLINK("Melting_Curves/meltCurve_Q86X95_2_CIR1.pdf", "Melting_Curves/meltCurve_Q86X95_2_CIR1.pdf")</f>
        <v>Melting_Curves/meltCurve_Q86X95_2_CIR1.pdf</v>
      </c>
    </row>
    <row r="4325" spans="1:28" x14ac:dyDescent="0.25">
      <c r="A4325" t="s">
        <v>4329</v>
      </c>
      <c r="B4325">
        <v>0.995954080203443</v>
      </c>
      <c r="C4325">
        <v>0.82181926368862801</v>
      </c>
      <c r="D4325">
        <v>0.61800620505026305</v>
      </c>
      <c r="E4325">
        <v>0.68320032943929498</v>
      </c>
      <c r="F4325">
        <v>0.46815258505430402</v>
      </c>
      <c r="G4325">
        <v>0.27074792492541</v>
      </c>
      <c r="H4325">
        <v>0.10963855517101399</v>
      </c>
      <c r="I4325">
        <v>0.109775621408502</v>
      </c>
      <c r="J4325">
        <v>0.115489986267821</v>
      </c>
      <c r="K4325">
        <v>6.4071549772329206E-2</v>
      </c>
      <c r="L4325">
        <v>484.12065223588201</v>
      </c>
      <c r="M4325">
        <v>9.4360306105066307</v>
      </c>
      <c r="N4325">
        <v>51.305527713901199</v>
      </c>
      <c r="O4325">
        <v>49.159620898507697</v>
      </c>
      <c r="P4325">
        <v>-4.8015819995656801E-2</v>
      </c>
      <c r="Q4325">
        <v>0</v>
      </c>
      <c r="R4325">
        <v>0.95620409238500503</v>
      </c>
      <c r="S4325" t="s">
        <v>11131</v>
      </c>
      <c r="T4325" t="s">
        <v>13610</v>
      </c>
      <c r="U4325" t="s">
        <v>13610</v>
      </c>
      <c r="V4325" t="s">
        <v>13610</v>
      </c>
      <c r="W4325" t="s">
        <v>17874</v>
      </c>
      <c r="X4325">
        <v>3</v>
      </c>
      <c r="Y4325" t="s">
        <v>24459</v>
      </c>
      <c r="Z4325" t="s">
        <v>31180</v>
      </c>
      <c r="AA4325">
        <v>0.42016498914308248</v>
      </c>
      <c r="AB4325" t="str">
        <f>HYPERLINK("Melting_Curves/meltCurve_Q86XK2_6_FBXO11.pdf", "Melting_Curves/meltCurve_Q86XK2_6_FBXO11.pdf")</f>
        <v>Melting_Curves/meltCurve_Q86XK2_6_FBXO11.pdf</v>
      </c>
    </row>
    <row r="4326" spans="1:28" x14ac:dyDescent="0.25">
      <c r="A4326" t="s">
        <v>4330</v>
      </c>
      <c r="B4326">
        <v>0.995954080203443</v>
      </c>
      <c r="C4326">
        <v>0.94186170621051302</v>
      </c>
      <c r="D4326">
        <v>0.79180965258153102</v>
      </c>
      <c r="E4326">
        <v>0.62003691533545502</v>
      </c>
      <c r="F4326">
        <v>0.30932706095996698</v>
      </c>
      <c r="G4326">
        <v>0.147746147040519</v>
      </c>
      <c r="H4326">
        <v>7.9833726427229496E-2</v>
      </c>
      <c r="I4326">
        <v>6.6795621253879806E-2</v>
      </c>
      <c r="J4326">
        <v>6.5699791285366196E-2</v>
      </c>
      <c r="K4326">
        <v>4.8660478327172199E-2</v>
      </c>
      <c r="L4326">
        <v>825.15353470059904</v>
      </c>
      <c r="M4326">
        <v>16.333036281514602</v>
      </c>
      <c r="N4326">
        <v>50.735542253118197</v>
      </c>
      <c r="O4326">
        <v>49.781412628566102</v>
      </c>
      <c r="P4326">
        <v>-7.9286731870201202E-2</v>
      </c>
      <c r="Q4326">
        <v>3.3438883541947899E-2</v>
      </c>
      <c r="R4326">
        <v>0.99433018556200403</v>
      </c>
      <c r="S4326" t="s">
        <v>11132</v>
      </c>
      <c r="T4326" t="s">
        <v>13610</v>
      </c>
      <c r="U4326" t="s">
        <v>13610</v>
      </c>
      <c r="V4326" t="s">
        <v>13610</v>
      </c>
      <c r="W4326" t="s">
        <v>17875</v>
      </c>
      <c r="X4326">
        <v>4</v>
      </c>
      <c r="Y4326" t="s">
        <v>24460</v>
      </c>
      <c r="Z4326" t="s">
        <v>31181</v>
      </c>
      <c r="AA4326">
        <v>0.39193521307304402</v>
      </c>
      <c r="AB4326" t="str">
        <f>HYPERLINK("Melting_Curves/meltCurve_Q86XK3_3_SFR1.pdf", "Melting_Curves/meltCurve_Q86XK3_3_SFR1.pdf")</f>
        <v>Melting_Curves/meltCurve_Q86XK3_3_SFR1.pdf</v>
      </c>
    </row>
    <row r="4327" spans="1:28" x14ac:dyDescent="0.25">
      <c r="A4327" t="s">
        <v>4331</v>
      </c>
      <c r="B4327">
        <v>0.995954080203443</v>
      </c>
      <c r="C4327">
        <v>0.57944946629348104</v>
      </c>
      <c r="D4327">
        <v>1.1439720809427301</v>
      </c>
      <c r="E4327">
        <v>0.75565229251935395</v>
      </c>
      <c r="F4327">
        <v>1.1546277943132901</v>
      </c>
      <c r="G4327">
        <v>1.28381940906209</v>
      </c>
      <c r="H4327">
        <v>1.36215354299277</v>
      </c>
      <c r="I4327">
        <v>1.9718540526031101</v>
      </c>
      <c r="J4327">
        <v>1.7134528961164801</v>
      </c>
      <c r="K4327">
        <v>1.8751706953342799</v>
      </c>
      <c r="L4327">
        <v>2058.1193982509399</v>
      </c>
      <c r="M4327">
        <v>36.645136903157301</v>
      </c>
      <c r="O4327">
        <v>55.997038494892301</v>
      </c>
      <c r="P4327">
        <v>8.1801747163195701E-2</v>
      </c>
      <c r="Q4327">
        <v>1.5</v>
      </c>
      <c r="R4327">
        <v>0.63343538751110495</v>
      </c>
      <c r="S4327" t="s">
        <v>11133</v>
      </c>
      <c r="T4327" t="s">
        <v>13610</v>
      </c>
      <c r="U4327" t="s">
        <v>13610</v>
      </c>
      <c r="V4327" t="s">
        <v>13610</v>
      </c>
      <c r="W4327" t="s">
        <v>17876</v>
      </c>
      <c r="X4327">
        <v>2</v>
      </c>
      <c r="Y4327" t="s">
        <v>24461</v>
      </c>
      <c r="Z4327" t="s">
        <v>31182</v>
      </c>
      <c r="AA4327">
        <v>1.2283213224815479</v>
      </c>
      <c r="AB4327" t="str">
        <f>HYPERLINK("Melting_Curves/meltCurve_Q86XN8_MEX3D.pdf", "Melting_Curves/meltCurve_Q86XN8_MEX3D.pdf")</f>
        <v>Melting_Curves/meltCurve_Q86XN8_MEX3D.pdf</v>
      </c>
    </row>
    <row r="4328" spans="1:28" x14ac:dyDescent="0.25">
      <c r="A4328" t="s">
        <v>4332</v>
      </c>
      <c r="B4328">
        <v>0.995954080203443</v>
      </c>
      <c r="C4328">
        <v>1.0103387248893301</v>
      </c>
      <c r="D4328">
        <v>0.71965858187690601</v>
      </c>
      <c r="E4328">
        <v>0.50592629060844596</v>
      </c>
      <c r="F4328">
        <v>0.18907200585144901</v>
      </c>
      <c r="G4328">
        <v>0.120605771415744</v>
      </c>
      <c r="H4328">
        <v>2.8922699185425099E-2</v>
      </c>
      <c r="I4328">
        <v>5.6242795989015298E-2</v>
      </c>
      <c r="J4328">
        <v>0.12606927734870399</v>
      </c>
      <c r="K4328">
        <v>7.5888378304850193E-2</v>
      </c>
      <c r="L4328">
        <v>961.818500736087</v>
      </c>
      <c r="M4328">
        <v>19.6408564319226</v>
      </c>
      <c r="N4328">
        <v>49.301893525235499</v>
      </c>
      <c r="O4328">
        <v>48.4711221251412</v>
      </c>
      <c r="P4328">
        <v>-9.5037173509786493E-2</v>
      </c>
      <c r="Q4328">
        <v>6.1874442735436699E-2</v>
      </c>
      <c r="R4328">
        <v>0.98341879678963595</v>
      </c>
      <c r="S4328" t="s">
        <v>11134</v>
      </c>
      <c r="T4328" t="s">
        <v>13610</v>
      </c>
      <c r="U4328" t="s">
        <v>13610</v>
      </c>
      <c r="V4328" t="s">
        <v>13610</v>
      </c>
      <c r="W4328" t="s">
        <v>17877</v>
      </c>
      <c r="X4328">
        <v>2</v>
      </c>
      <c r="Y4328" t="s">
        <v>24462</v>
      </c>
      <c r="Z4328" t="s">
        <v>31183</v>
      </c>
      <c r="AA4328">
        <v>0.35602105819350172</v>
      </c>
      <c r="AB4328" t="str">
        <f>HYPERLINK("Melting_Curves/meltCurve_Q86XP1_2_DGKH.pdf", "Melting_Curves/meltCurve_Q86XP1_2_DGKH.pdf")</f>
        <v>Melting_Curves/meltCurve_Q86XP1_2_DGKH.pdf</v>
      </c>
    </row>
    <row r="4329" spans="1:28" x14ac:dyDescent="0.25">
      <c r="A4329" t="s">
        <v>4333</v>
      </c>
      <c r="B4329">
        <v>0.995954080203443</v>
      </c>
      <c r="C4329">
        <v>1.0186824831210901</v>
      </c>
      <c r="D4329">
        <v>0.96154119320132003</v>
      </c>
      <c r="E4329">
        <v>0.44664410798000498</v>
      </c>
      <c r="F4329">
        <v>0.22026242914404301</v>
      </c>
      <c r="G4329">
        <v>0.148751894730173</v>
      </c>
      <c r="H4329">
        <v>0.121342949333178</v>
      </c>
      <c r="I4329">
        <v>0.13360021631292501</v>
      </c>
      <c r="J4329">
        <v>0.16012357289743101</v>
      </c>
      <c r="K4329">
        <v>0.15135924582953</v>
      </c>
      <c r="L4329">
        <v>1913.0448744575499</v>
      </c>
      <c r="M4329">
        <v>38.8240273467013</v>
      </c>
      <c r="N4329">
        <v>49.7144374611266</v>
      </c>
      <c r="O4329">
        <v>49.144579326598297</v>
      </c>
      <c r="P4329">
        <v>-0.16880132342944501</v>
      </c>
      <c r="Q4329">
        <v>0.14530756136683601</v>
      </c>
      <c r="R4329">
        <v>0.99843482994649202</v>
      </c>
      <c r="S4329" t="s">
        <v>11135</v>
      </c>
      <c r="T4329" t="s">
        <v>13610</v>
      </c>
      <c r="U4329" t="s">
        <v>13610</v>
      </c>
      <c r="V4329" t="s">
        <v>13610</v>
      </c>
      <c r="W4329" t="s">
        <v>17878</v>
      </c>
      <c r="X4329">
        <v>38</v>
      </c>
      <c r="Y4329" t="s">
        <v>24463</v>
      </c>
      <c r="Z4329" t="s">
        <v>31184</v>
      </c>
      <c r="AA4329">
        <v>0.41263803495187568</v>
      </c>
      <c r="AB4329" t="str">
        <f>HYPERLINK("Melting_Curves/meltCurve_Q86XP3_DDX42.pdf", "Melting_Curves/meltCurve_Q86XP3_DDX42.pdf")</f>
        <v>Melting_Curves/meltCurve_Q86XP3_DDX42.pdf</v>
      </c>
    </row>
    <row r="4330" spans="1:28" x14ac:dyDescent="0.25">
      <c r="A4330" t="s">
        <v>4334</v>
      </c>
      <c r="B4330">
        <v>0.995954080203443</v>
      </c>
      <c r="C4330">
        <v>1.01996712124316</v>
      </c>
      <c r="D4330">
        <v>0.83245174706379998</v>
      </c>
      <c r="E4330">
        <v>0.550901626755953</v>
      </c>
      <c r="F4330">
        <v>0.21222709178582899</v>
      </c>
      <c r="G4330">
        <v>0.12306679126785</v>
      </c>
      <c r="H4330">
        <v>8.5402230079482E-2</v>
      </c>
      <c r="I4330">
        <v>8.4889744847737106E-2</v>
      </c>
      <c r="J4330">
        <v>9.16881891606732E-2</v>
      </c>
      <c r="K4330">
        <v>8.8050988366676103E-2</v>
      </c>
      <c r="L4330">
        <v>1179.4718688303301</v>
      </c>
      <c r="M4330">
        <v>23.725322211211001</v>
      </c>
      <c r="N4330">
        <v>50.078931297266401</v>
      </c>
      <c r="O4330">
        <v>49.364483872389599</v>
      </c>
      <c r="P4330">
        <v>-0.110608459792936</v>
      </c>
      <c r="Q4330">
        <v>7.9457965082362206E-2</v>
      </c>
      <c r="R4330">
        <v>0.99474660627301204</v>
      </c>
      <c r="S4330" t="s">
        <v>11136</v>
      </c>
      <c r="T4330" t="s">
        <v>13610</v>
      </c>
      <c r="U4330" t="s">
        <v>13610</v>
      </c>
      <c r="V4330" t="s">
        <v>13610</v>
      </c>
      <c r="W4330" t="s">
        <v>17879</v>
      </c>
      <c r="X4330">
        <v>6</v>
      </c>
      <c r="Y4330" t="s">
        <v>24464</v>
      </c>
      <c r="Z4330" t="s">
        <v>31185</v>
      </c>
      <c r="AA4330">
        <v>0.38663794951526348</v>
      </c>
      <c r="AB4330" t="str">
        <f>HYPERLINK("Melting_Curves/meltCurve_Q86Y07_5_VRK2.pdf", "Melting_Curves/meltCurve_Q86Y07_5_VRK2.pdf")</f>
        <v>Melting_Curves/meltCurve_Q86Y07_5_VRK2.pdf</v>
      </c>
    </row>
    <row r="4331" spans="1:28" x14ac:dyDescent="0.25">
      <c r="A4331" t="s">
        <v>4335</v>
      </c>
      <c r="B4331">
        <v>0.995954080203443</v>
      </c>
      <c r="C4331">
        <v>0.95618817199191297</v>
      </c>
      <c r="D4331">
        <v>1.0626887837460099</v>
      </c>
      <c r="E4331">
        <v>0.91924753758404498</v>
      </c>
      <c r="F4331">
        <v>0.83602930577713896</v>
      </c>
      <c r="G4331">
        <v>0.70658551165774597</v>
      </c>
      <c r="H4331">
        <v>0.49598124088505302</v>
      </c>
      <c r="I4331">
        <v>0.45686576904292397</v>
      </c>
      <c r="J4331">
        <v>0.51637418894201403</v>
      </c>
      <c r="K4331">
        <v>0.47739009183971798</v>
      </c>
      <c r="L4331">
        <v>1120.5692086506999</v>
      </c>
      <c r="M4331">
        <v>20.173766346841099</v>
      </c>
      <c r="N4331">
        <v>63.470741460008597</v>
      </c>
      <c r="O4331">
        <v>55.0087084944021</v>
      </c>
      <c r="P4331">
        <v>-4.9536388050065001E-2</v>
      </c>
      <c r="Q4331">
        <v>0.45972469716016101</v>
      </c>
      <c r="R4331">
        <v>0.97173472096468705</v>
      </c>
      <c r="S4331" t="s">
        <v>11137</v>
      </c>
      <c r="T4331" t="s">
        <v>13610</v>
      </c>
      <c r="U4331" t="s">
        <v>13610</v>
      </c>
      <c r="V4331" t="s">
        <v>13610</v>
      </c>
      <c r="W4331" t="s">
        <v>17880</v>
      </c>
      <c r="X4331">
        <v>1</v>
      </c>
      <c r="Y4331" t="s">
        <v>24465</v>
      </c>
      <c r="Z4331" t="s">
        <v>31186</v>
      </c>
      <c r="AA4331">
        <v>0.74668365435121942</v>
      </c>
      <c r="AB4331" t="str">
        <f>HYPERLINK("Melting_Curves/meltCurve_Q86Y13_DZIP3.pdf", "Melting_Curves/meltCurve_Q86Y13_DZIP3.pdf")</f>
        <v>Melting_Curves/meltCurve_Q86Y13_DZIP3.pdf</v>
      </c>
    </row>
    <row r="4332" spans="1:28" x14ac:dyDescent="0.25">
      <c r="A4332" t="s">
        <v>4336</v>
      </c>
      <c r="B4332">
        <v>0.995954080203443</v>
      </c>
      <c r="C4332">
        <v>1.0531605406300999</v>
      </c>
      <c r="D4332">
        <v>1.01622218742933</v>
      </c>
      <c r="E4332">
        <v>1.0472831039295101</v>
      </c>
      <c r="F4332">
        <v>0.97306811369745405</v>
      </c>
      <c r="G4332">
        <v>0.94880874241889801</v>
      </c>
      <c r="H4332">
        <v>0.85145953690607101</v>
      </c>
      <c r="I4332">
        <v>0.97268199792765397</v>
      </c>
      <c r="J4332">
        <v>0.93128083387620997</v>
      </c>
      <c r="K4332">
        <v>1.17157973576742</v>
      </c>
      <c r="L4332">
        <v>15000</v>
      </c>
      <c r="M4332">
        <v>213.63637206821301</v>
      </c>
      <c r="Q4332">
        <v>1.5</v>
      </c>
      <c r="R4332">
        <v>0.44708157266045201</v>
      </c>
      <c r="S4332" t="s">
        <v>11138</v>
      </c>
      <c r="T4332" t="s">
        <v>13610</v>
      </c>
      <c r="U4332" t="s">
        <v>13610</v>
      </c>
      <c r="V4332" t="s">
        <v>13610</v>
      </c>
      <c r="W4332" t="s">
        <v>17881</v>
      </c>
      <c r="X4332">
        <v>1</v>
      </c>
      <c r="Y4332" t="s">
        <v>24466</v>
      </c>
      <c r="Z4332" t="s">
        <v>31187</v>
      </c>
      <c r="AA4332">
        <v>1.002264835390708</v>
      </c>
      <c r="AB4332" t="str">
        <f>HYPERLINK("Melting_Curves/meltCurve_Q86Y22_COL23A1.pdf", "Melting_Curves/meltCurve_Q86Y22_COL23A1.pdf")</f>
        <v>Melting_Curves/meltCurve_Q86Y22_COL23A1.pdf</v>
      </c>
    </row>
    <row r="4333" spans="1:28" x14ac:dyDescent="0.25">
      <c r="A4333" t="s">
        <v>4337</v>
      </c>
      <c r="B4333">
        <v>0.995954080203443</v>
      </c>
      <c r="C4333">
        <v>0.94323551189068</v>
      </c>
      <c r="D4333">
        <v>0.813922566448537</v>
      </c>
      <c r="E4333">
        <v>0.44818876472951202</v>
      </c>
      <c r="F4333">
        <v>0.25975573416787301</v>
      </c>
      <c r="G4333">
        <v>0.18080687926398001</v>
      </c>
      <c r="H4333">
        <v>0.14476736401729001</v>
      </c>
      <c r="I4333">
        <v>0.16816751676966901</v>
      </c>
      <c r="J4333">
        <v>0.15419440184139499</v>
      </c>
      <c r="K4333">
        <v>0.184470617819634</v>
      </c>
      <c r="L4333">
        <v>1101.9955562989001</v>
      </c>
      <c r="M4333">
        <v>22.712350880821301</v>
      </c>
      <c r="N4333">
        <v>49.344269810961698</v>
      </c>
      <c r="O4333">
        <v>48.148208121885503</v>
      </c>
      <c r="P4333">
        <v>-9.9308269500766294E-2</v>
      </c>
      <c r="Q4333">
        <v>0.157916764924144</v>
      </c>
      <c r="R4333">
        <v>0.99861142904256694</v>
      </c>
      <c r="S4333" t="s">
        <v>11139</v>
      </c>
      <c r="T4333" t="s">
        <v>13610</v>
      </c>
      <c r="U4333" t="s">
        <v>13610</v>
      </c>
      <c r="V4333" t="s">
        <v>13610</v>
      </c>
      <c r="W4333" t="s">
        <v>17882</v>
      </c>
      <c r="X4333">
        <v>6</v>
      </c>
      <c r="Y4333" t="s">
        <v>24467</v>
      </c>
      <c r="Z4333" t="s">
        <v>31188</v>
      </c>
      <c r="AA4333">
        <v>0.40615771520292288</v>
      </c>
      <c r="AB4333" t="str">
        <f>HYPERLINK("Melting_Curves/meltCurve_Q86Y37_CACUL1.pdf", "Melting_Curves/meltCurve_Q86Y37_CACUL1.pdf")</f>
        <v>Melting_Curves/meltCurve_Q86Y37_CACUL1.pdf</v>
      </c>
    </row>
    <row r="4334" spans="1:28" x14ac:dyDescent="0.25">
      <c r="A4334" t="s">
        <v>4338</v>
      </c>
      <c r="B4334">
        <v>0.995954080203443</v>
      </c>
      <c r="C4334">
        <v>0.64482410576245397</v>
      </c>
      <c r="D4334">
        <v>0.224999092417978</v>
      </c>
      <c r="E4334">
        <v>0.19886154949353399</v>
      </c>
      <c r="F4334">
        <v>0.115274902755648</v>
      </c>
      <c r="G4334">
        <v>7.1028352072236206E-2</v>
      </c>
      <c r="H4334">
        <v>5.2747349962861997E-2</v>
      </c>
      <c r="I4334">
        <v>4.6335695394601202E-2</v>
      </c>
      <c r="J4334">
        <v>5.0110451499546897E-2</v>
      </c>
      <c r="K4334">
        <v>4.5294459683549997E-2</v>
      </c>
      <c r="L4334">
        <v>1333.0933842750501</v>
      </c>
      <c r="M4334">
        <v>30.543416542782801</v>
      </c>
      <c r="N4334">
        <v>43.887342215370701</v>
      </c>
      <c r="O4334">
        <v>43.460041574401103</v>
      </c>
      <c r="P4334">
        <v>-0.162108459682937</v>
      </c>
      <c r="Q4334">
        <v>7.7353146600358705E-2</v>
      </c>
      <c r="R4334">
        <v>0.98068744491300697</v>
      </c>
      <c r="S4334" t="s">
        <v>11140</v>
      </c>
      <c r="T4334" t="s">
        <v>13610</v>
      </c>
      <c r="U4334" t="s">
        <v>13610</v>
      </c>
      <c r="V4334" t="s">
        <v>13610</v>
      </c>
      <c r="W4334" t="s">
        <v>17883</v>
      </c>
      <c r="X4334">
        <v>28</v>
      </c>
      <c r="Y4334" t="s">
        <v>24468</v>
      </c>
      <c r="Z4334" t="s">
        <v>31189</v>
      </c>
      <c r="AA4334">
        <v>0.1963753651705431</v>
      </c>
      <c r="AB4334" t="str">
        <f>HYPERLINK("Melting_Curves/meltCurve_Q86Y56_HEATR2.pdf", "Melting_Curves/meltCurve_Q86Y56_HEATR2.pdf")</f>
        <v>Melting_Curves/meltCurve_Q86Y56_HEATR2.pdf</v>
      </c>
    </row>
    <row r="4335" spans="1:28" x14ac:dyDescent="0.25">
      <c r="A4335" t="s">
        <v>4339</v>
      </c>
      <c r="B4335">
        <v>0.995954080203443</v>
      </c>
      <c r="C4335">
        <v>0.81898053962371797</v>
      </c>
      <c r="D4335">
        <v>0.67803892784265096</v>
      </c>
      <c r="E4335">
        <v>0.38300575256622199</v>
      </c>
      <c r="F4335">
        <v>0.17578241623115401</v>
      </c>
      <c r="G4335">
        <v>8.5784633660272697E-2</v>
      </c>
      <c r="H4335">
        <v>4.94857319078294E-2</v>
      </c>
      <c r="I4335">
        <v>3.7811517636747997E-2</v>
      </c>
      <c r="J4335">
        <v>8.1116021894110393E-2</v>
      </c>
      <c r="K4335">
        <v>2.79374227458155E-2</v>
      </c>
      <c r="L4335">
        <v>758.97568667248697</v>
      </c>
      <c r="M4335">
        <v>15.8551650562697</v>
      </c>
      <c r="N4335">
        <v>48.0482086800018</v>
      </c>
      <c r="O4335">
        <v>47.127201898092601</v>
      </c>
      <c r="P4335">
        <v>-8.1704160551631697E-2</v>
      </c>
      <c r="Q4335">
        <v>2.86630543846128E-2</v>
      </c>
      <c r="R4335">
        <v>0.99393741787056</v>
      </c>
      <c r="S4335" t="s">
        <v>11141</v>
      </c>
      <c r="T4335" t="s">
        <v>13610</v>
      </c>
      <c r="U4335" t="s">
        <v>13610</v>
      </c>
      <c r="V4335" t="s">
        <v>13610</v>
      </c>
      <c r="W4335" t="s">
        <v>17884</v>
      </c>
      <c r="X4335">
        <v>4</v>
      </c>
      <c r="Y4335" t="s">
        <v>24469</v>
      </c>
      <c r="Z4335" t="s">
        <v>31190</v>
      </c>
      <c r="AA4335">
        <v>0.30595305802684258</v>
      </c>
      <c r="AB4335" t="str">
        <f>HYPERLINK("Melting_Curves/meltCurve_Q86Y79_PTRH1.pdf", "Melting_Curves/meltCurve_Q86Y79_PTRH1.pdf")</f>
        <v>Melting_Curves/meltCurve_Q86Y79_PTRH1.pdf</v>
      </c>
    </row>
    <row r="4336" spans="1:28" x14ac:dyDescent="0.25">
      <c r="A4336" t="s">
        <v>4340</v>
      </c>
      <c r="B4336">
        <v>0.995954080203443</v>
      </c>
      <c r="C4336">
        <v>1.2067040484456599</v>
      </c>
      <c r="D4336">
        <v>1.1960675284343301</v>
      </c>
      <c r="E4336">
        <v>1.1082053608131699</v>
      </c>
      <c r="F4336">
        <v>1.0585041520954599</v>
      </c>
      <c r="G4336">
        <v>0.812693309545786</v>
      </c>
      <c r="H4336">
        <v>0.71270124084368303</v>
      </c>
      <c r="I4336">
        <v>0.81643770477601296</v>
      </c>
      <c r="J4336">
        <v>0.96932991443246497</v>
      </c>
      <c r="K4336">
        <v>0.96290915352422202</v>
      </c>
      <c r="L4336">
        <v>4135.4059327221503</v>
      </c>
      <c r="M4336">
        <v>75.138620137334399</v>
      </c>
      <c r="O4336">
        <v>54.998075402792097</v>
      </c>
      <c r="P4336">
        <v>-4.9792370292282298E-2</v>
      </c>
      <c r="Q4336">
        <v>0.85421696204832298</v>
      </c>
      <c r="R4336">
        <v>0.407734585499613</v>
      </c>
      <c r="S4336" t="s">
        <v>11142</v>
      </c>
      <c r="T4336" t="s">
        <v>13610</v>
      </c>
      <c r="U4336" t="s">
        <v>13610</v>
      </c>
      <c r="V4336" t="s">
        <v>13610</v>
      </c>
      <c r="W4336" t="s">
        <v>17885</v>
      </c>
      <c r="X4336">
        <v>8</v>
      </c>
      <c r="Y4336" t="s">
        <v>24470</v>
      </c>
      <c r="Z4336" t="s">
        <v>31191</v>
      </c>
      <c r="AA4336">
        <v>0.92744461766482966</v>
      </c>
      <c r="AB4336" t="str">
        <f>HYPERLINK("Melting_Curves/meltCurve_Q86Y82_STX12.pdf", "Melting_Curves/meltCurve_Q86Y82_STX12.pdf")</f>
        <v>Melting_Curves/meltCurve_Q86Y82_STX12.pdf</v>
      </c>
    </row>
    <row r="4337" spans="1:28" x14ac:dyDescent="0.25">
      <c r="A4337" t="s">
        <v>4341</v>
      </c>
      <c r="B4337">
        <v>0.995954080203443</v>
      </c>
      <c r="C4337">
        <v>0.87019855022850101</v>
      </c>
      <c r="D4337">
        <v>0.934123712354891</v>
      </c>
      <c r="E4337">
        <v>0.65356647084867303</v>
      </c>
      <c r="F4337">
        <v>0.68213601807717805</v>
      </c>
      <c r="G4337">
        <v>0.48368088484612998</v>
      </c>
      <c r="H4337">
        <v>0.461238638508771</v>
      </c>
      <c r="I4337">
        <v>0.51942778771600895</v>
      </c>
      <c r="J4337">
        <v>0.624028605736483</v>
      </c>
      <c r="K4337">
        <v>0.58096716118256897</v>
      </c>
      <c r="L4337">
        <v>927.80140745834296</v>
      </c>
      <c r="M4337">
        <v>19.178431649956998</v>
      </c>
      <c r="O4337">
        <v>47.860567542102203</v>
      </c>
      <c r="P4337">
        <v>-4.6563953951128702E-2</v>
      </c>
      <c r="Q4337">
        <v>0.53520879032507596</v>
      </c>
      <c r="R4337">
        <v>0.87133936488769204</v>
      </c>
      <c r="S4337" t="s">
        <v>11143</v>
      </c>
      <c r="T4337" t="s">
        <v>13610</v>
      </c>
      <c r="U4337" t="s">
        <v>13610</v>
      </c>
      <c r="V4337" t="s">
        <v>13610</v>
      </c>
      <c r="W4337" t="s">
        <v>17886</v>
      </c>
      <c r="X4337">
        <v>6</v>
      </c>
      <c r="Y4337" t="s">
        <v>24471</v>
      </c>
      <c r="Z4337" t="s">
        <v>31192</v>
      </c>
      <c r="AA4337">
        <v>0.67215827431743258</v>
      </c>
      <c r="AB4337" t="str">
        <f>HYPERLINK("Melting_Curves/meltCurve_Q86Y91_2_KIF18B.pdf", "Melting_Curves/meltCurve_Q86Y91_2_KIF18B.pdf")</f>
        <v>Melting_Curves/meltCurve_Q86Y91_2_KIF18B.pdf</v>
      </c>
    </row>
    <row r="4338" spans="1:28" x14ac:dyDescent="0.25">
      <c r="A4338" t="s">
        <v>4342</v>
      </c>
      <c r="B4338">
        <v>0.995954080203443</v>
      </c>
      <c r="C4338">
        <v>1.06403856615944</v>
      </c>
      <c r="D4338">
        <v>0.98023889358205096</v>
      </c>
      <c r="E4338">
        <v>0.86405709410659703</v>
      </c>
      <c r="F4338">
        <v>0.428272606867794</v>
      </c>
      <c r="G4338">
        <v>0.22897045767746901</v>
      </c>
      <c r="H4338">
        <v>9.8189504693532298E-2</v>
      </c>
      <c r="I4338">
        <v>0.108425608635193</v>
      </c>
      <c r="J4338">
        <v>0.11875153085463901</v>
      </c>
      <c r="K4338">
        <v>8.5893283630485498E-2</v>
      </c>
      <c r="L4338">
        <v>1717.53237631813</v>
      </c>
      <c r="M4338">
        <v>32.849579779162397</v>
      </c>
      <c r="N4338">
        <v>52.688650876055398</v>
      </c>
      <c r="O4338">
        <v>52.092143698136297</v>
      </c>
      <c r="P4338">
        <v>-0.140104618396971</v>
      </c>
      <c r="Q4338">
        <v>0.111304786910531</v>
      </c>
      <c r="R4338">
        <v>0.99327942701943595</v>
      </c>
      <c r="S4338" t="s">
        <v>11144</v>
      </c>
      <c r="T4338" t="s">
        <v>13610</v>
      </c>
      <c r="U4338" t="s">
        <v>13610</v>
      </c>
      <c r="V4338" t="s">
        <v>13610</v>
      </c>
      <c r="W4338" t="s">
        <v>17887</v>
      </c>
      <c r="X4338">
        <v>5</v>
      </c>
      <c r="Y4338" t="s">
        <v>24472</v>
      </c>
      <c r="Z4338" t="s">
        <v>31193</v>
      </c>
      <c r="AA4338">
        <v>0.47998109640685188</v>
      </c>
      <c r="AB4338" t="str">
        <f>HYPERLINK("Melting_Curves/meltCurve_Q86YB8_ERO1LB.pdf", "Melting_Curves/meltCurve_Q86YB8_ERO1LB.pdf")</f>
        <v>Melting_Curves/meltCurve_Q86YB8_ERO1LB.pdf</v>
      </c>
    </row>
    <row r="4339" spans="1:28" x14ac:dyDescent="0.25">
      <c r="A4339" t="s">
        <v>4343</v>
      </c>
      <c r="B4339">
        <v>0.995954080203443</v>
      </c>
      <c r="C4339">
        <v>0.82826535762523201</v>
      </c>
      <c r="D4339">
        <v>0.63138315570644898</v>
      </c>
      <c r="E4339">
        <v>0.56943013704853696</v>
      </c>
      <c r="F4339">
        <v>0.39634158167040401</v>
      </c>
      <c r="G4339">
        <v>0.23799451523842599</v>
      </c>
      <c r="H4339">
        <v>0.21235197233323599</v>
      </c>
      <c r="I4339">
        <v>0.22541970713189899</v>
      </c>
      <c r="J4339">
        <v>0.29042827777378599</v>
      </c>
      <c r="K4339">
        <v>0.244223214701008</v>
      </c>
      <c r="L4339">
        <v>614.15882623844902</v>
      </c>
      <c r="M4339">
        <v>12.901139626043401</v>
      </c>
      <c r="N4339">
        <v>49.767790545166299</v>
      </c>
      <c r="O4339">
        <v>46.504736412717001</v>
      </c>
      <c r="P4339">
        <v>-5.4481660453159497E-2</v>
      </c>
      <c r="Q4339">
        <v>0.21458280889772599</v>
      </c>
      <c r="R4339">
        <v>0.96630950035549101</v>
      </c>
      <c r="S4339" t="s">
        <v>11145</v>
      </c>
      <c r="T4339" t="s">
        <v>13610</v>
      </c>
      <c r="U4339" t="s">
        <v>13610</v>
      </c>
      <c r="V4339" t="s">
        <v>13610</v>
      </c>
      <c r="W4339" t="s">
        <v>17888</v>
      </c>
      <c r="X4339">
        <v>3</v>
      </c>
      <c r="Y4339" t="s">
        <v>24473</v>
      </c>
      <c r="Z4339" t="s">
        <v>31194</v>
      </c>
      <c r="AA4339">
        <v>0.44132697752060351</v>
      </c>
      <c r="AB4339" t="str">
        <f>HYPERLINK("Melting_Curves/meltCurve_Q86YH2_ZNF280B.pdf", "Melting_Curves/meltCurve_Q86YH2_ZNF280B.pdf")</f>
        <v>Melting_Curves/meltCurve_Q86YH2_ZNF280B.pdf</v>
      </c>
    </row>
    <row r="4340" spans="1:28" x14ac:dyDescent="0.25">
      <c r="A4340" t="s">
        <v>4344</v>
      </c>
      <c r="B4340">
        <v>0.995954080203443</v>
      </c>
      <c r="C4340">
        <v>0.94822624125444299</v>
      </c>
      <c r="D4340">
        <v>0.76840172889577596</v>
      </c>
      <c r="E4340">
        <v>0.77159309691297195</v>
      </c>
      <c r="F4340">
        <v>0.42290673035952497</v>
      </c>
      <c r="G4340">
        <v>0.26252862086388501</v>
      </c>
      <c r="H4340">
        <v>0.14415087452852399</v>
      </c>
      <c r="I4340">
        <v>0.111902893820657</v>
      </c>
      <c r="J4340">
        <v>9.4829881458350002E-2</v>
      </c>
      <c r="K4340">
        <v>0.108489938252582</v>
      </c>
      <c r="L4340">
        <v>722.60731140870701</v>
      </c>
      <c r="M4340">
        <v>13.884381449368099</v>
      </c>
      <c r="N4340">
        <v>52.473176014623697</v>
      </c>
      <c r="O4340">
        <v>51.000637111016601</v>
      </c>
      <c r="P4340">
        <v>-6.4420522074755293E-2</v>
      </c>
      <c r="Q4340">
        <v>5.3601729093053198E-2</v>
      </c>
      <c r="R4340">
        <v>0.97857889902887896</v>
      </c>
      <c r="S4340" t="s">
        <v>11146</v>
      </c>
      <c r="T4340" t="s">
        <v>13610</v>
      </c>
      <c r="U4340" t="s">
        <v>13610</v>
      </c>
      <c r="V4340" t="s">
        <v>13610</v>
      </c>
      <c r="W4340" t="s">
        <v>17889</v>
      </c>
      <c r="X4340">
        <v>4</v>
      </c>
      <c r="Y4340" t="s">
        <v>24474</v>
      </c>
      <c r="Z4340" t="s">
        <v>31195</v>
      </c>
      <c r="AA4340">
        <v>0.45725540019999261</v>
      </c>
      <c r="AB4340" t="str">
        <f>HYPERLINK("Melting_Curves/meltCurve_Q86YH6_PDSS2.pdf", "Melting_Curves/meltCurve_Q86YH6_PDSS2.pdf")</f>
        <v>Melting_Curves/meltCurve_Q86YH6_PDSS2.pdf</v>
      </c>
    </row>
    <row r="4341" spans="1:28" x14ac:dyDescent="0.25">
      <c r="A4341" t="s">
        <v>4345</v>
      </c>
      <c r="B4341">
        <v>0.995954080203443</v>
      </c>
      <c r="C4341">
        <v>1.0042240404109</v>
      </c>
      <c r="D4341">
        <v>0.96846603653143504</v>
      </c>
      <c r="E4341">
        <v>0.84320152553462502</v>
      </c>
      <c r="F4341">
        <v>0.69127294885675905</v>
      </c>
      <c r="G4341">
        <v>0.43562287254341697</v>
      </c>
      <c r="H4341">
        <v>0.27106112527634102</v>
      </c>
      <c r="I4341">
        <v>0.23310638167907899</v>
      </c>
      <c r="J4341">
        <v>0.26960425768313401</v>
      </c>
      <c r="K4341">
        <v>0.25252216242313202</v>
      </c>
      <c r="L4341">
        <v>1063.56162441678</v>
      </c>
      <c r="M4341">
        <v>19.739866977716201</v>
      </c>
      <c r="N4341">
        <v>55.598533896397903</v>
      </c>
      <c r="O4341">
        <v>53.3350658962433</v>
      </c>
      <c r="P4341">
        <v>-7.1389762003500001E-2</v>
      </c>
      <c r="Q4341">
        <v>0.228475676967824</v>
      </c>
      <c r="R4341">
        <v>0.99678361538117</v>
      </c>
      <c r="S4341" t="s">
        <v>11147</v>
      </c>
      <c r="T4341" t="s">
        <v>13610</v>
      </c>
      <c r="U4341" t="s">
        <v>13610</v>
      </c>
      <c r="V4341" t="s">
        <v>13610</v>
      </c>
      <c r="W4341" t="s">
        <v>17890</v>
      </c>
      <c r="X4341">
        <v>15</v>
      </c>
      <c r="Y4341" t="s">
        <v>24475</v>
      </c>
      <c r="Z4341" t="s">
        <v>31196</v>
      </c>
      <c r="AA4341">
        <v>0.59613498780118823</v>
      </c>
      <c r="AB4341" t="str">
        <f>HYPERLINK("Melting_Curves/meltCurve_Q86YM7_HOMER1.pdf", "Melting_Curves/meltCurve_Q86YM7_HOMER1.pdf")</f>
        <v>Melting_Curves/meltCurve_Q86YM7_HOMER1.pdf</v>
      </c>
    </row>
    <row r="4342" spans="1:28" x14ac:dyDescent="0.25">
      <c r="A4342" t="s">
        <v>4346</v>
      </c>
      <c r="B4342">
        <v>0.995954080203443</v>
      </c>
      <c r="C4342">
        <v>0.91793235459743805</v>
      </c>
      <c r="D4342">
        <v>0.88950600165340898</v>
      </c>
      <c r="E4342">
        <v>0.77464459861983603</v>
      </c>
      <c r="F4342">
        <v>0.70805344084600197</v>
      </c>
      <c r="G4342">
        <v>0.54700819655772603</v>
      </c>
      <c r="H4342">
        <v>0.53128369341265202</v>
      </c>
      <c r="I4342">
        <v>0.63892550516034297</v>
      </c>
      <c r="J4342">
        <v>0.81327176526371903</v>
      </c>
      <c r="K4342">
        <v>0.79764988398330305</v>
      </c>
      <c r="L4342">
        <v>992.90307161698797</v>
      </c>
      <c r="M4342">
        <v>21.0625095211707</v>
      </c>
      <c r="O4342">
        <v>46.722009590604401</v>
      </c>
      <c r="P4342">
        <v>-3.7218492252292699E-2</v>
      </c>
      <c r="Q4342">
        <v>0.66976838564157604</v>
      </c>
      <c r="R4342">
        <v>0.64035148558969102</v>
      </c>
      <c r="S4342" t="s">
        <v>11148</v>
      </c>
      <c r="T4342" t="s">
        <v>13610</v>
      </c>
      <c r="U4342" t="s">
        <v>13610</v>
      </c>
      <c r="V4342" t="s">
        <v>13610</v>
      </c>
      <c r="W4342" t="s">
        <v>17891</v>
      </c>
      <c r="X4342">
        <v>29</v>
      </c>
      <c r="Y4342" t="s">
        <v>24476</v>
      </c>
      <c r="Z4342" t="s">
        <v>31197</v>
      </c>
      <c r="AA4342">
        <v>0.75266228379367306</v>
      </c>
      <c r="AB4342" t="str">
        <f>HYPERLINK("Melting_Curves/meltCurve_Q86YP4_GATAD2A.pdf", "Melting_Curves/meltCurve_Q86YP4_GATAD2A.pdf")</f>
        <v>Melting_Curves/meltCurve_Q86YP4_GATAD2A.pdf</v>
      </c>
    </row>
    <row r="4343" spans="1:28" x14ac:dyDescent="0.25">
      <c r="A4343" t="s">
        <v>4347</v>
      </c>
      <c r="B4343">
        <v>0.995954080203443</v>
      </c>
      <c r="C4343">
        <v>0.83643489788449299</v>
      </c>
      <c r="D4343">
        <v>0.49795286012706502</v>
      </c>
      <c r="E4343">
        <v>0.46415065910763098</v>
      </c>
      <c r="F4343">
        <v>0.38602500586420202</v>
      </c>
      <c r="G4343">
        <v>0.26715022783125902</v>
      </c>
      <c r="H4343">
        <v>0.25565025297371802</v>
      </c>
      <c r="I4343">
        <v>0.30156123599767998</v>
      </c>
      <c r="J4343">
        <v>0.32069282267203097</v>
      </c>
      <c r="K4343">
        <v>0.33603413757643003</v>
      </c>
      <c r="L4343">
        <v>998.35006873867496</v>
      </c>
      <c r="M4343">
        <v>22.273021159455801</v>
      </c>
      <c r="N4343">
        <v>46.9040732399124</v>
      </c>
      <c r="O4343">
        <v>44.466664310093698</v>
      </c>
      <c r="P4343">
        <v>-8.5922937328005794E-2</v>
      </c>
      <c r="Q4343">
        <v>0.31385606092499502</v>
      </c>
      <c r="R4343">
        <v>0.959073780094994</v>
      </c>
      <c r="S4343" t="s">
        <v>11149</v>
      </c>
      <c r="T4343" t="s">
        <v>13610</v>
      </c>
      <c r="U4343" t="s">
        <v>13610</v>
      </c>
      <c r="V4343" t="s">
        <v>13610</v>
      </c>
      <c r="W4343" t="s">
        <v>17892</v>
      </c>
      <c r="X4343">
        <v>12</v>
      </c>
      <c r="Y4343" t="s">
        <v>24477</v>
      </c>
      <c r="Z4343" t="s">
        <v>31198</v>
      </c>
      <c r="AA4343">
        <v>0.43337028557825807</v>
      </c>
      <c r="AB4343" t="str">
        <f>HYPERLINK("Melting_Curves/meltCurve_Q86YR5_4_GPSM1.pdf", "Melting_Curves/meltCurve_Q86YR5_4_GPSM1.pdf")</f>
        <v>Melting_Curves/meltCurve_Q86YR5_4_GPSM1.pdf</v>
      </c>
    </row>
    <row r="4344" spans="1:28" x14ac:dyDescent="0.25">
      <c r="A4344" t="s">
        <v>4348</v>
      </c>
      <c r="B4344">
        <v>0.995954080203443</v>
      </c>
      <c r="C4344">
        <v>0.89490636794643297</v>
      </c>
      <c r="D4344">
        <v>0.68820831161534701</v>
      </c>
      <c r="E4344">
        <v>0.51895455659244905</v>
      </c>
      <c r="F4344">
        <v>0.29797278102154201</v>
      </c>
      <c r="G4344">
        <v>0.15514047514366699</v>
      </c>
      <c r="H4344">
        <v>8.69325196997488E-2</v>
      </c>
      <c r="I4344">
        <v>6.67119196597111E-2</v>
      </c>
      <c r="J4344">
        <v>8.3174588943537006E-2</v>
      </c>
      <c r="K4344">
        <v>7.0113636270715499E-2</v>
      </c>
      <c r="L4344">
        <v>675.20486894767498</v>
      </c>
      <c r="M4344">
        <v>13.705594322134999</v>
      </c>
      <c r="N4344">
        <v>49.567902615743002</v>
      </c>
      <c r="O4344">
        <v>48.251619356548098</v>
      </c>
      <c r="P4344">
        <v>-6.8167473710971899E-2</v>
      </c>
      <c r="Q4344">
        <v>4.0182261640815002E-2</v>
      </c>
      <c r="R4344">
        <v>0.99406993372493302</v>
      </c>
      <c r="S4344" t="s">
        <v>11150</v>
      </c>
      <c r="T4344" t="s">
        <v>13610</v>
      </c>
      <c r="U4344" t="s">
        <v>13610</v>
      </c>
      <c r="V4344" t="s">
        <v>13610</v>
      </c>
      <c r="W4344" t="s">
        <v>17893</v>
      </c>
      <c r="X4344">
        <v>13</v>
      </c>
      <c r="Y4344" t="s">
        <v>24478</v>
      </c>
      <c r="Z4344" t="s">
        <v>31199</v>
      </c>
      <c r="AA4344">
        <v>0.36424174250421543</v>
      </c>
      <c r="AB4344" t="str">
        <f>HYPERLINK("Melting_Curves/meltCurve_Q86YS7_C2CD5.pdf", "Melting_Curves/meltCurve_Q86YS7_C2CD5.pdf")</f>
        <v>Melting_Curves/meltCurve_Q86YS7_C2CD5.pdf</v>
      </c>
    </row>
    <row r="4345" spans="1:28" x14ac:dyDescent="0.25">
      <c r="A4345" t="s">
        <v>4349</v>
      </c>
      <c r="B4345">
        <v>0.995954080203443</v>
      </c>
      <c r="C4345">
        <v>0.93442516793437702</v>
      </c>
      <c r="D4345">
        <v>0.95670245491799899</v>
      </c>
      <c r="E4345">
        <v>0.87077127304714497</v>
      </c>
      <c r="F4345">
        <v>0.81292264581734797</v>
      </c>
      <c r="G4345">
        <v>0.59195963136184504</v>
      </c>
      <c r="H4345">
        <v>0.576539262231484</v>
      </c>
      <c r="I4345">
        <v>0.73287740715800898</v>
      </c>
      <c r="J4345">
        <v>0.90041140535146702</v>
      </c>
      <c r="K4345">
        <v>0.76940477225541004</v>
      </c>
      <c r="L4345">
        <v>1519.2579278660801</v>
      </c>
      <c r="M4345">
        <v>30.2131140201456</v>
      </c>
      <c r="O4345">
        <v>50.065989219987998</v>
      </c>
      <c r="P4345">
        <v>-4.2257697327849203E-2</v>
      </c>
      <c r="Q4345">
        <v>0.71990187712055698</v>
      </c>
      <c r="R4345">
        <v>0.57862278265385603</v>
      </c>
      <c r="S4345" t="s">
        <v>11151</v>
      </c>
      <c r="T4345" t="s">
        <v>13610</v>
      </c>
      <c r="U4345" t="s">
        <v>13610</v>
      </c>
      <c r="V4345" t="s">
        <v>13610</v>
      </c>
      <c r="W4345" t="s">
        <v>17894</v>
      </c>
      <c r="X4345">
        <v>3</v>
      </c>
      <c r="Y4345" t="s">
        <v>24479</v>
      </c>
      <c r="Z4345" t="s">
        <v>31200</v>
      </c>
      <c r="AA4345">
        <v>0.81764204634357729</v>
      </c>
      <c r="AB4345" t="str">
        <f>HYPERLINK("Melting_Curves/meltCurve_Q86YV5_SGK223.pdf", "Melting_Curves/meltCurve_Q86YV5_SGK223.pdf")</f>
        <v>Melting_Curves/meltCurve_Q86YV5_SGK223.pdf</v>
      </c>
    </row>
    <row r="4346" spans="1:28" x14ac:dyDescent="0.25">
      <c r="A4346" t="s">
        <v>4350</v>
      </c>
      <c r="B4346">
        <v>0.995954080203443</v>
      </c>
      <c r="C4346">
        <v>0.77973295398660603</v>
      </c>
      <c r="D4346">
        <v>0.33966088145777501</v>
      </c>
      <c r="E4346">
        <v>0.226134543112433</v>
      </c>
      <c r="F4346">
        <v>0.151952262362616</v>
      </c>
      <c r="G4346">
        <v>6.8515027612944604E-2</v>
      </c>
      <c r="H4346">
        <v>4.6632792832021201E-2</v>
      </c>
      <c r="I4346">
        <v>4.6543315576792602E-2</v>
      </c>
      <c r="J4346">
        <v>6.8191456552532906E-2</v>
      </c>
      <c r="K4346">
        <v>5.7380647136209897E-2</v>
      </c>
      <c r="L4346">
        <v>1085.20763452094</v>
      </c>
      <c r="M4346">
        <v>24.237111725033699</v>
      </c>
      <c r="N4346">
        <v>45.081876763327401</v>
      </c>
      <c r="O4346">
        <v>44.4731613828259</v>
      </c>
      <c r="P4346">
        <v>-0.12587545139091599</v>
      </c>
      <c r="Q4346">
        <v>7.6128508857821797E-2</v>
      </c>
      <c r="R4346">
        <v>0.98313800207433799</v>
      </c>
      <c r="S4346" t="s">
        <v>11152</v>
      </c>
      <c r="T4346" t="s">
        <v>13610</v>
      </c>
      <c r="U4346" t="s">
        <v>13610</v>
      </c>
      <c r="V4346" t="s">
        <v>13610</v>
      </c>
      <c r="W4346" t="s">
        <v>17895</v>
      </c>
      <c r="X4346">
        <v>3</v>
      </c>
      <c r="Y4346" t="s">
        <v>24480</v>
      </c>
      <c r="Z4346" t="s">
        <v>31201</v>
      </c>
      <c r="AA4346">
        <v>0.23333837874712129</v>
      </c>
      <c r="AB4346" t="str">
        <f>HYPERLINK("Melting_Curves/meltCurve_Q86YV9_HPS6.pdf", "Melting_Curves/meltCurve_Q86YV9_HPS6.pdf")</f>
        <v>Melting_Curves/meltCurve_Q86YV9_HPS6.pdf</v>
      </c>
    </row>
    <row r="4347" spans="1:28" x14ac:dyDescent="0.25">
      <c r="A4347" t="s">
        <v>4351</v>
      </c>
      <c r="B4347">
        <v>0.995954080203443</v>
      </c>
      <c r="C4347">
        <v>1.63430163654251</v>
      </c>
      <c r="D4347">
        <v>0.170724520636414</v>
      </c>
      <c r="E4347">
        <v>0.85718209111500299</v>
      </c>
      <c r="F4347">
        <v>3.5956373938690702</v>
      </c>
      <c r="G4347">
        <v>0.14158300515375299</v>
      </c>
      <c r="H4347">
        <v>0.64158781625370298</v>
      </c>
      <c r="I4347">
        <v>0.20405884926282</v>
      </c>
      <c r="J4347">
        <v>0.802824330019829</v>
      </c>
      <c r="K4347">
        <v>0.17839184906757699</v>
      </c>
      <c r="L4347">
        <v>13796.3378508079</v>
      </c>
      <c r="M4347">
        <v>250</v>
      </c>
      <c r="N4347">
        <v>55.529234005503803</v>
      </c>
      <c r="O4347">
        <v>55.181819914242297</v>
      </c>
      <c r="P4347">
        <v>-0.68672782435943602</v>
      </c>
      <c r="Q4347">
        <v>0.393681742650271</v>
      </c>
      <c r="R4347">
        <v>0.17773491830174601</v>
      </c>
      <c r="S4347" t="s">
        <v>11153</v>
      </c>
      <c r="T4347" t="s">
        <v>13610</v>
      </c>
      <c r="U4347" t="s">
        <v>13610</v>
      </c>
      <c r="V4347" t="s">
        <v>13610</v>
      </c>
      <c r="W4347" t="s">
        <v>17896</v>
      </c>
      <c r="X4347">
        <v>6</v>
      </c>
      <c r="Y4347" t="s">
        <v>24481</v>
      </c>
      <c r="Z4347" t="s">
        <v>31202</v>
      </c>
      <c r="AA4347">
        <v>0.70064565756463637</v>
      </c>
      <c r="AB4347" t="str">
        <f>HYPERLINK("Melting_Curves/meltCurve_Q86YZ3_HRNR.pdf", "Melting_Curves/meltCurve_Q86YZ3_HRNR.pdf")</f>
        <v>Melting_Curves/meltCurve_Q86YZ3_HRNR.pdf</v>
      </c>
    </row>
    <row r="4348" spans="1:28" x14ac:dyDescent="0.25">
      <c r="A4348" t="s">
        <v>4352</v>
      </c>
      <c r="B4348">
        <v>0.995954080203443</v>
      </c>
      <c r="C4348">
        <v>1.0595623615193599</v>
      </c>
      <c r="D4348">
        <v>1.0361689056891601</v>
      </c>
      <c r="E4348">
        <v>0.68844610307574905</v>
      </c>
      <c r="F4348">
        <v>0.27169676499017997</v>
      </c>
      <c r="G4348">
        <v>0.109469589258467</v>
      </c>
      <c r="H4348">
        <v>6.17436534832939E-2</v>
      </c>
      <c r="I4348">
        <v>5.1556172772320899E-2</v>
      </c>
      <c r="J4348">
        <v>5.1917530585015297E-2</v>
      </c>
      <c r="K4348">
        <v>5.9403984778255203E-2</v>
      </c>
      <c r="L4348">
        <v>1785.8353010040801</v>
      </c>
      <c r="M4348">
        <v>34.961360694609297</v>
      </c>
      <c r="N4348">
        <v>51.271559393961397</v>
      </c>
      <c r="O4348">
        <v>50.914004268296097</v>
      </c>
      <c r="P4348">
        <v>-0.16117203735299401</v>
      </c>
      <c r="Q4348">
        <v>6.1148173328789801E-2</v>
      </c>
      <c r="R4348">
        <v>0.995794715949327</v>
      </c>
      <c r="S4348" t="s">
        <v>11154</v>
      </c>
      <c r="T4348" t="s">
        <v>13610</v>
      </c>
      <c r="U4348" t="s">
        <v>13610</v>
      </c>
      <c r="V4348" t="s">
        <v>13610</v>
      </c>
      <c r="W4348" t="s">
        <v>17897</v>
      </c>
      <c r="X4348">
        <v>7</v>
      </c>
      <c r="Y4348" t="s">
        <v>24482</v>
      </c>
      <c r="Z4348" t="s">
        <v>31203</v>
      </c>
      <c r="AA4348">
        <v>0.41225234858424542</v>
      </c>
      <c r="AB4348" t="str">
        <f>HYPERLINK("Melting_Curves/meltCurve_Q8IU60_2_DCP2.pdf", "Melting_Curves/meltCurve_Q8IU60_2_DCP2.pdf")</f>
        <v>Melting_Curves/meltCurve_Q8IU60_2_DCP2.pdf</v>
      </c>
    </row>
    <row r="4349" spans="1:28" x14ac:dyDescent="0.25">
      <c r="A4349" t="s">
        <v>4353</v>
      </c>
      <c r="B4349">
        <v>0.995954080203443</v>
      </c>
      <c r="C4349">
        <v>0.95734503439318197</v>
      </c>
      <c r="D4349">
        <v>0.85755602648847595</v>
      </c>
      <c r="E4349">
        <v>0.60252160297619295</v>
      </c>
      <c r="F4349">
        <v>0.410085774045859</v>
      </c>
      <c r="G4349">
        <v>0.26660880382959701</v>
      </c>
      <c r="H4349">
        <v>0.222383356428311</v>
      </c>
      <c r="I4349">
        <v>0.24023693915074401</v>
      </c>
      <c r="J4349">
        <v>0.27678451818161498</v>
      </c>
      <c r="K4349">
        <v>0.27592233643088199</v>
      </c>
      <c r="L4349">
        <v>1008.52477719917</v>
      </c>
      <c r="M4349">
        <v>20.344270212865499</v>
      </c>
      <c r="N4349">
        <v>51.2492445395727</v>
      </c>
      <c r="O4349">
        <v>49.101383602835099</v>
      </c>
      <c r="P4349">
        <v>-7.8416917340602701E-2</v>
      </c>
      <c r="Q4349">
        <v>0.24297837569122299</v>
      </c>
      <c r="R4349">
        <v>0.99490331301825397</v>
      </c>
      <c r="S4349" t="s">
        <v>11155</v>
      </c>
      <c r="T4349" t="s">
        <v>13610</v>
      </c>
      <c r="U4349" t="s">
        <v>13610</v>
      </c>
      <c r="V4349" t="s">
        <v>13610</v>
      </c>
      <c r="W4349" t="s">
        <v>17898</v>
      </c>
      <c r="X4349">
        <v>32</v>
      </c>
      <c r="Y4349" t="s">
        <v>24483</v>
      </c>
      <c r="Z4349" t="s">
        <v>31204</v>
      </c>
      <c r="AA4349">
        <v>0.49474924458132291</v>
      </c>
      <c r="AB4349" t="str">
        <f>HYPERLINK("Melting_Curves/meltCurve_Q8IU81_IRF2BP1.pdf", "Melting_Curves/meltCurve_Q8IU81_IRF2BP1.pdf")</f>
        <v>Melting_Curves/meltCurve_Q8IU81_IRF2BP1.pdf</v>
      </c>
    </row>
    <row r="4350" spans="1:28" x14ac:dyDescent="0.25">
      <c r="A4350" t="s">
        <v>4354</v>
      </c>
      <c r="B4350">
        <v>0.995954080203443</v>
      </c>
      <c r="C4350">
        <v>0.92045895660463495</v>
      </c>
      <c r="D4350">
        <v>0.73664357692472004</v>
      </c>
      <c r="E4350">
        <v>0.66554358434802896</v>
      </c>
      <c r="F4350">
        <v>0.24933173564483899</v>
      </c>
      <c r="G4350">
        <v>0.19513401866096899</v>
      </c>
      <c r="H4350">
        <v>0.100240317522945</v>
      </c>
      <c r="I4350">
        <v>0.103438751250403</v>
      </c>
      <c r="J4350">
        <v>0.120122758956099</v>
      </c>
      <c r="K4350">
        <v>9.0859282697369398E-2</v>
      </c>
      <c r="L4350">
        <v>780.07998937189802</v>
      </c>
      <c r="M4350">
        <v>15.602892799386799</v>
      </c>
      <c r="N4350">
        <v>50.504485336519501</v>
      </c>
      <c r="O4350">
        <v>49.196211705326299</v>
      </c>
      <c r="P4350">
        <v>-7.3530661985672693E-2</v>
      </c>
      <c r="Q4350">
        <v>7.2706117775055507E-2</v>
      </c>
      <c r="R4350">
        <v>0.97297812570633802</v>
      </c>
      <c r="S4350" t="s">
        <v>11156</v>
      </c>
      <c r="T4350" t="s">
        <v>13610</v>
      </c>
      <c r="U4350" t="s">
        <v>13610</v>
      </c>
      <c r="V4350" t="s">
        <v>13610</v>
      </c>
      <c r="W4350" t="s">
        <v>17899</v>
      </c>
      <c r="X4350">
        <v>4</v>
      </c>
      <c r="Y4350" t="s">
        <v>24484</v>
      </c>
      <c r="Z4350" t="s">
        <v>31205</v>
      </c>
      <c r="AA4350">
        <v>0.40228722089105262</v>
      </c>
      <c r="AB4350" t="str">
        <f>HYPERLINK("Melting_Curves/meltCurve_Q8IUC4_RHPN2.pdf", "Melting_Curves/meltCurve_Q8IUC4_RHPN2.pdf")</f>
        <v>Melting_Curves/meltCurve_Q8IUC4_RHPN2.pdf</v>
      </c>
    </row>
    <row r="4351" spans="1:28" x14ac:dyDescent="0.25">
      <c r="A4351" t="s">
        <v>4355</v>
      </c>
      <c r="B4351">
        <v>0.995954080203443</v>
      </c>
      <c r="C4351">
        <v>1.0052112920209</v>
      </c>
      <c r="D4351">
        <v>0.97404286481876301</v>
      </c>
      <c r="E4351">
        <v>0.80792695704643203</v>
      </c>
      <c r="F4351">
        <v>0.52948936357094301</v>
      </c>
      <c r="G4351">
        <v>0.31568047251075898</v>
      </c>
      <c r="H4351">
        <v>0.193080198778986</v>
      </c>
      <c r="I4351">
        <v>0.19118875123630899</v>
      </c>
      <c r="J4351">
        <v>0.22024155337047399</v>
      </c>
      <c r="K4351">
        <v>0.21544260584010499</v>
      </c>
      <c r="L4351">
        <v>1284.67366667651</v>
      </c>
      <c r="M4351">
        <v>24.556418275799899</v>
      </c>
      <c r="N4351">
        <v>53.424664552718902</v>
      </c>
      <c r="O4351">
        <v>51.971955008156698</v>
      </c>
      <c r="P4351">
        <v>-9.4530582703009805E-2</v>
      </c>
      <c r="Q4351">
        <v>0.19974188499060999</v>
      </c>
      <c r="R4351">
        <v>0.998024473989922</v>
      </c>
      <c r="S4351" t="s">
        <v>11157</v>
      </c>
      <c r="T4351" t="s">
        <v>13610</v>
      </c>
      <c r="U4351" t="s">
        <v>13610</v>
      </c>
      <c r="V4351" t="s">
        <v>13610</v>
      </c>
      <c r="W4351" t="s">
        <v>17900</v>
      </c>
      <c r="X4351">
        <v>28</v>
      </c>
      <c r="Y4351" t="s">
        <v>24485</v>
      </c>
      <c r="Z4351" t="s">
        <v>31206</v>
      </c>
      <c r="AA4351">
        <v>0.53583453870728071</v>
      </c>
      <c r="AB4351" t="str">
        <f>HYPERLINK("Melting_Curves/meltCurve_Q8IUD2_ERC1.pdf", "Melting_Curves/meltCurve_Q8IUD2_ERC1.pdf")</f>
        <v>Melting_Curves/meltCurve_Q8IUD2_ERC1.pdf</v>
      </c>
    </row>
    <row r="4352" spans="1:28" x14ac:dyDescent="0.25">
      <c r="A4352" t="s">
        <v>4356</v>
      </c>
      <c r="B4352">
        <v>0.995954080203443</v>
      </c>
      <c r="C4352">
        <v>0.97810859382859305</v>
      </c>
      <c r="D4352">
        <v>1.07422618397443</v>
      </c>
      <c r="E4352">
        <v>0.89759519417093603</v>
      </c>
      <c r="F4352">
        <v>1.0271378883690101</v>
      </c>
      <c r="G4352">
        <v>0.84072214333691597</v>
      </c>
      <c r="H4352">
        <v>0.81169042946592995</v>
      </c>
      <c r="I4352">
        <v>1.0130764373693</v>
      </c>
      <c r="J4352">
        <v>1.22490302101118</v>
      </c>
      <c r="K4352">
        <v>1.1748626992017801</v>
      </c>
      <c r="L4352">
        <v>15000</v>
      </c>
      <c r="M4352">
        <v>231.72829313190101</v>
      </c>
      <c r="O4352">
        <v>64.726154287059302</v>
      </c>
      <c r="P4352">
        <v>0.17892770056797699</v>
      </c>
      <c r="Q4352">
        <v>1.19991176656399</v>
      </c>
      <c r="R4352">
        <v>0.501923309850838</v>
      </c>
      <c r="S4352" t="s">
        <v>11158</v>
      </c>
      <c r="T4352" t="s">
        <v>13610</v>
      </c>
      <c r="U4352" t="s">
        <v>13610</v>
      </c>
      <c r="V4352" t="s">
        <v>13610</v>
      </c>
      <c r="W4352" t="s">
        <v>17901</v>
      </c>
      <c r="X4352">
        <v>6</v>
      </c>
      <c r="Y4352" t="s">
        <v>24486</v>
      </c>
      <c r="Z4352" t="s">
        <v>31207</v>
      </c>
      <c r="AA4352">
        <v>1.035084855209742</v>
      </c>
      <c r="AB4352" t="str">
        <f>HYPERLINK("Melting_Curves/meltCurve_Q8IUE1_TGIF2LX.pdf", "Melting_Curves/meltCurve_Q8IUE1_TGIF2LX.pdf")</f>
        <v>Melting_Curves/meltCurve_Q8IUE1_TGIF2LX.pdf</v>
      </c>
    </row>
    <row r="4353" spans="1:28" x14ac:dyDescent="0.25">
      <c r="A4353" t="s">
        <v>4357</v>
      </c>
      <c r="B4353">
        <v>0.995954080203443</v>
      </c>
      <c r="C4353">
        <v>0.86327224674195802</v>
      </c>
      <c r="D4353">
        <v>0.65640654801738796</v>
      </c>
      <c r="E4353">
        <v>0.27156903447550301</v>
      </c>
      <c r="F4353">
        <v>0.14418987159655799</v>
      </c>
      <c r="G4353">
        <v>9.7223236156878806E-2</v>
      </c>
      <c r="H4353">
        <v>6.8146665278426499E-2</v>
      </c>
      <c r="I4353">
        <v>6.3116984949128305E-2</v>
      </c>
      <c r="J4353">
        <v>7.4179245843401798E-2</v>
      </c>
      <c r="K4353">
        <v>6.37172353712053E-2</v>
      </c>
      <c r="L4353">
        <v>970.06614097383101</v>
      </c>
      <c r="M4353">
        <v>20.612631042389399</v>
      </c>
      <c r="N4353">
        <v>47.376125951725001</v>
      </c>
      <c r="O4353">
        <v>46.625503209774102</v>
      </c>
      <c r="P4353">
        <v>-0.10346045326524</v>
      </c>
      <c r="Q4353">
        <v>6.3922246199006494E-2</v>
      </c>
      <c r="R4353">
        <v>0.99874907778529098</v>
      </c>
      <c r="S4353" t="s">
        <v>11159</v>
      </c>
      <c r="T4353" t="s">
        <v>13610</v>
      </c>
      <c r="U4353" t="s">
        <v>13610</v>
      </c>
      <c r="V4353" t="s">
        <v>13610</v>
      </c>
      <c r="W4353" t="s">
        <v>17902</v>
      </c>
      <c r="X4353">
        <v>15</v>
      </c>
      <c r="Y4353" t="s">
        <v>24487</v>
      </c>
      <c r="Z4353" t="s">
        <v>31208</v>
      </c>
      <c r="AA4353">
        <v>0.29705592970460909</v>
      </c>
      <c r="AB4353" t="str">
        <f>HYPERLINK("Melting_Curves/meltCurve_Q8IUF8_MINA.pdf", "Melting_Curves/meltCurve_Q8IUF8_MINA.pdf")</f>
        <v>Melting_Curves/meltCurve_Q8IUF8_MINA.pdf</v>
      </c>
    </row>
    <row r="4354" spans="1:28" x14ac:dyDescent="0.25">
      <c r="A4354" t="s">
        <v>4358</v>
      </c>
      <c r="B4354">
        <v>0.995954080203443</v>
      </c>
      <c r="C4354">
        <v>0.97082277970561504</v>
      </c>
      <c r="D4354">
        <v>0.96784976779029497</v>
      </c>
      <c r="E4354">
        <v>0.87229645210101003</v>
      </c>
      <c r="F4354">
        <v>0.77569789743166595</v>
      </c>
      <c r="G4354">
        <v>0.53320795648970598</v>
      </c>
      <c r="H4354">
        <v>0.49633017862899098</v>
      </c>
      <c r="I4354">
        <v>0.54804773252345895</v>
      </c>
      <c r="J4354">
        <v>0.63536491032273501</v>
      </c>
      <c r="K4354">
        <v>0.71111380805334801</v>
      </c>
      <c r="L4354">
        <v>1616.6134121002999</v>
      </c>
      <c r="M4354">
        <v>31.151315376909299</v>
      </c>
      <c r="O4354">
        <v>51.683056246663398</v>
      </c>
      <c r="P4354">
        <v>-6.2566050847832996E-2</v>
      </c>
      <c r="Q4354">
        <v>0.584789726007098</v>
      </c>
      <c r="R4354">
        <v>0.88549815492674799</v>
      </c>
      <c r="S4354" t="s">
        <v>11160</v>
      </c>
      <c r="T4354" t="s">
        <v>13610</v>
      </c>
      <c r="U4354" t="s">
        <v>13610</v>
      </c>
      <c r="V4354" t="s">
        <v>13610</v>
      </c>
      <c r="W4354" t="s">
        <v>17903</v>
      </c>
      <c r="X4354">
        <v>7</v>
      </c>
      <c r="Y4354" t="s">
        <v>24488</v>
      </c>
      <c r="Z4354" t="s">
        <v>31209</v>
      </c>
      <c r="AA4354">
        <v>0.75188515319512317</v>
      </c>
      <c r="AB4354" t="str">
        <f>HYPERLINK("Melting_Curves/meltCurve_Q8IUG5_MYO18B.pdf", "Melting_Curves/meltCurve_Q8IUG5_MYO18B.pdf")</f>
        <v>Melting_Curves/meltCurve_Q8IUG5_MYO18B.pdf</v>
      </c>
    </row>
    <row r="4355" spans="1:28" x14ac:dyDescent="0.25">
      <c r="A4355" t="s">
        <v>4359</v>
      </c>
      <c r="B4355">
        <v>0.995954080203443</v>
      </c>
      <c r="C4355">
        <v>0.78468207598795303</v>
      </c>
      <c r="D4355">
        <v>0.47041875338478401</v>
      </c>
      <c r="E4355">
        <v>0.38502660453050402</v>
      </c>
      <c r="F4355">
        <v>0.21930072294404099</v>
      </c>
      <c r="G4355">
        <v>0.165895524016</v>
      </c>
      <c r="H4355">
        <v>9.7982443064252897E-2</v>
      </c>
      <c r="I4355">
        <v>0.117527747256803</v>
      </c>
      <c r="J4355">
        <v>0.132700115817661</v>
      </c>
      <c r="K4355">
        <v>0.142053846243407</v>
      </c>
      <c r="L4355">
        <v>735.25888673893598</v>
      </c>
      <c r="M4355">
        <v>16.044989726905001</v>
      </c>
      <c r="N4355">
        <v>46.6558575514483</v>
      </c>
      <c r="O4355">
        <v>45.130713273315102</v>
      </c>
      <c r="P4355">
        <v>-7.7839628434111505E-2</v>
      </c>
      <c r="Q4355">
        <v>0.12429069457040499</v>
      </c>
      <c r="R4355">
        <v>0.97723531032602395</v>
      </c>
      <c r="S4355" t="s">
        <v>11161</v>
      </c>
      <c r="T4355" t="s">
        <v>13610</v>
      </c>
      <c r="U4355" t="s">
        <v>13610</v>
      </c>
      <c r="V4355" t="s">
        <v>13610</v>
      </c>
      <c r="W4355" t="s">
        <v>17904</v>
      </c>
      <c r="X4355">
        <v>3</v>
      </c>
      <c r="Y4355" t="s">
        <v>24489</v>
      </c>
      <c r="Z4355" t="s">
        <v>31210</v>
      </c>
      <c r="AA4355">
        <v>0.31679775057435899</v>
      </c>
      <c r="AB4355" t="str">
        <f>HYPERLINK("Melting_Curves/meltCurve_Q8IUH3_2_RBM45.pdf", "Melting_Curves/meltCurve_Q8IUH3_2_RBM45.pdf")</f>
        <v>Melting_Curves/meltCurve_Q8IUH3_2_RBM45.pdf</v>
      </c>
    </row>
    <row r="4356" spans="1:28" x14ac:dyDescent="0.25">
      <c r="A4356" t="s">
        <v>4360</v>
      </c>
      <c r="B4356">
        <v>0.995954080203443</v>
      </c>
      <c r="C4356">
        <v>0.97377175537103999</v>
      </c>
      <c r="D4356">
        <v>0.99979936907239497</v>
      </c>
      <c r="E4356">
        <v>0.59159601325266398</v>
      </c>
      <c r="F4356">
        <v>0.179380535337437</v>
      </c>
      <c r="G4356">
        <v>0.109950509898553</v>
      </c>
      <c r="H4356">
        <v>7.2989054480145199E-2</v>
      </c>
      <c r="I4356">
        <v>7.2915371796966805E-2</v>
      </c>
      <c r="J4356">
        <v>7.1676429240569994E-2</v>
      </c>
      <c r="K4356">
        <v>7.3180131267158902E-2</v>
      </c>
      <c r="L4356">
        <v>2080.0270362657502</v>
      </c>
      <c r="M4356">
        <v>41.360357432643298</v>
      </c>
      <c r="N4356">
        <v>50.499287303528703</v>
      </c>
      <c r="O4356">
        <v>50.173220691197002</v>
      </c>
      <c r="P4356">
        <v>-0.18988173187110099</v>
      </c>
      <c r="Q4356">
        <v>7.86384771826871E-2</v>
      </c>
      <c r="R4356">
        <v>0.99891849033073699</v>
      </c>
      <c r="S4356" t="s">
        <v>11162</v>
      </c>
      <c r="T4356" t="s">
        <v>13610</v>
      </c>
      <c r="U4356" t="s">
        <v>13610</v>
      </c>
      <c r="V4356" t="s">
        <v>13610</v>
      </c>
      <c r="W4356" t="s">
        <v>17905</v>
      </c>
      <c r="X4356">
        <v>16</v>
      </c>
      <c r="Y4356" t="s">
        <v>24490</v>
      </c>
      <c r="Z4356" t="s">
        <v>31211</v>
      </c>
      <c r="AA4356">
        <v>0.39767099589403893</v>
      </c>
      <c r="AB4356" t="str">
        <f>HYPERLINK("Melting_Curves/meltCurve_Q8IUI8_CRLF3.pdf", "Melting_Curves/meltCurve_Q8IUI8_CRLF3.pdf")</f>
        <v>Melting_Curves/meltCurve_Q8IUI8_CRLF3.pdf</v>
      </c>
    </row>
    <row r="4357" spans="1:28" x14ac:dyDescent="0.25">
      <c r="A4357" t="s">
        <v>4361</v>
      </c>
      <c r="B4357">
        <v>0.995954080203443</v>
      </c>
      <c r="C4357">
        <v>0.80172658774959904</v>
      </c>
      <c r="D4357">
        <v>0.73509410214166804</v>
      </c>
      <c r="E4357">
        <v>0.54117166810047002</v>
      </c>
      <c r="F4357">
        <v>0.31893959791429699</v>
      </c>
      <c r="G4357">
        <v>0.17934656171177199</v>
      </c>
      <c r="H4357">
        <v>0.13703555631467401</v>
      </c>
      <c r="I4357">
        <v>0.145169706048594</v>
      </c>
      <c r="J4357">
        <v>0.16830393106366401</v>
      </c>
      <c r="K4357">
        <v>0.14314233960462</v>
      </c>
      <c r="L4357">
        <v>651.83322451902404</v>
      </c>
      <c r="M4357">
        <v>13.3619903510406</v>
      </c>
      <c r="N4357">
        <v>49.704690703642903</v>
      </c>
      <c r="O4357">
        <v>47.7288676648555</v>
      </c>
      <c r="P4357">
        <v>-6.2316243528768897E-2</v>
      </c>
      <c r="Q4357">
        <v>0.109769845767919</v>
      </c>
      <c r="R4357">
        <v>0.98365975170144704</v>
      </c>
      <c r="S4357" t="s">
        <v>11163</v>
      </c>
      <c r="T4357" t="s">
        <v>13610</v>
      </c>
      <c r="U4357" t="s">
        <v>13610</v>
      </c>
      <c r="V4357" t="s">
        <v>13610</v>
      </c>
      <c r="W4357" t="s">
        <v>17906</v>
      </c>
      <c r="X4357">
        <v>5</v>
      </c>
      <c r="Y4357" t="s">
        <v>24491</v>
      </c>
      <c r="Z4357" t="s">
        <v>31212</v>
      </c>
      <c r="AA4357">
        <v>0.39784470413350009</v>
      </c>
      <c r="AB4357" t="str">
        <f>HYPERLINK("Melting_Curves/meltCurve_Q8IUQ4_SIAH1.pdf", "Melting_Curves/meltCurve_Q8IUQ4_SIAH1.pdf")</f>
        <v>Melting_Curves/meltCurve_Q8IUQ4_SIAH1.pdf</v>
      </c>
    </row>
    <row r="4358" spans="1:28" x14ac:dyDescent="0.25">
      <c r="A4358" t="s">
        <v>4362</v>
      </c>
      <c r="B4358">
        <v>0.995954080203443</v>
      </c>
      <c r="C4358">
        <v>0.76095913686473504</v>
      </c>
      <c r="D4358">
        <v>0.70154537656299798</v>
      </c>
      <c r="E4358">
        <v>0.44290793364212799</v>
      </c>
      <c r="F4358">
        <v>0.15748293404120001</v>
      </c>
      <c r="G4358">
        <v>5.97124392317308E-2</v>
      </c>
      <c r="H4358">
        <v>3.2799304463008598E-2</v>
      </c>
      <c r="I4358">
        <v>2.2336559600647999E-2</v>
      </c>
      <c r="J4358">
        <v>1.81810637471315E-2</v>
      </c>
      <c r="K4358">
        <v>2.10175783894677E-2</v>
      </c>
      <c r="L4358">
        <v>708.13736594138402</v>
      </c>
      <c r="M4358">
        <v>14.6772946068431</v>
      </c>
      <c r="N4358">
        <v>48.247132650915503</v>
      </c>
      <c r="O4358">
        <v>47.378062573235503</v>
      </c>
      <c r="P4358">
        <v>-7.7456284153343102E-2</v>
      </c>
      <c r="Q4358">
        <v>0</v>
      </c>
      <c r="R4358">
        <v>0.98253784864034099</v>
      </c>
      <c r="S4358" t="s">
        <v>11164</v>
      </c>
      <c r="T4358" t="s">
        <v>13610</v>
      </c>
      <c r="U4358" t="s">
        <v>13610</v>
      </c>
      <c r="V4358" t="s">
        <v>13610</v>
      </c>
      <c r="W4358" t="s">
        <v>17907</v>
      </c>
      <c r="X4358">
        <v>6</v>
      </c>
      <c r="Y4358" t="s">
        <v>24492</v>
      </c>
      <c r="Z4358" t="s">
        <v>31213</v>
      </c>
      <c r="AA4358">
        <v>0.30145009384866922</v>
      </c>
      <c r="AB4358" t="str">
        <f>HYPERLINK("Melting_Curves/meltCurve_Q8IUR0_TRAPPC5.pdf", "Melting_Curves/meltCurve_Q8IUR0_TRAPPC5.pdf")</f>
        <v>Melting_Curves/meltCurve_Q8IUR0_TRAPPC5.pdf</v>
      </c>
    </row>
    <row r="4359" spans="1:28" x14ac:dyDescent="0.25">
      <c r="A4359" t="s">
        <v>4363</v>
      </c>
      <c r="B4359">
        <v>0.995954080203443</v>
      </c>
      <c r="C4359">
        <v>0.91450083417016303</v>
      </c>
      <c r="D4359">
        <v>0.65835890050007895</v>
      </c>
      <c r="E4359">
        <v>0.46964592701027802</v>
      </c>
      <c r="F4359">
        <v>0.22419716036946999</v>
      </c>
      <c r="G4359">
        <v>0.17340219902840001</v>
      </c>
      <c r="H4359">
        <v>8.9304108838887897E-2</v>
      </c>
      <c r="I4359">
        <v>4.9000936930821998E-2</v>
      </c>
      <c r="J4359">
        <v>3.0484730082125801E-2</v>
      </c>
      <c r="K4359">
        <v>1.9046491846114899E-2</v>
      </c>
      <c r="L4359">
        <v>688.411314587682</v>
      </c>
      <c r="M4359">
        <v>14.088144553292199</v>
      </c>
      <c r="N4359">
        <v>49.003278155618901</v>
      </c>
      <c r="O4359">
        <v>47.9116506008694</v>
      </c>
      <c r="P4359">
        <v>-7.2083635292837997E-2</v>
      </c>
      <c r="Q4359">
        <v>1.9544697570288701E-2</v>
      </c>
      <c r="R4359">
        <v>0.99163045848523201</v>
      </c>
      <c r="S4359" t="s">
        <v>11165</v>
      </c>
      <c r="T4359" t="s">
        <v>13610</v>
      </c>
      <c r="U4359" t="s">
        <v>13610</v>
      </c>
      <c r="V4359" t="s">
        <v>13610</v>
      </c>
      <c r="W4359" t="s">
        <v>17908</v>
      </c>
      <c r="X4359">
        <v>2</v>
      </c>
      <c r="Y4359" t="s">
        <v>24493</v>
      </c>
      <c r="Z4359" t="s">
        <v>31214</v>
      </c>
      <c r="AA4359">
        <v>0.33660402949412571</v>
      </c>
      <c r="AB4359" t="str">
        <f>HYPERLINK("Melting_Curves/meltCurve_Q8IUX4_APOBEC3F.pdf", "Melting_Curves/meltCurve_Q8IUX4_APOBEC3F.pdf")</f>
        <v>Melting_Curves/meltCurve_Q8IUX4_APOBEC3F.pdf</v>
      </c>
    </row>
    <row r="4360" spans="1:28" x14ac:dyDescent="0.25">
      <c r="A4360" t="s">
        <v>4364</v>
      </c>
      <c r="B4360">
        <v>0.995954080203443</v>
      </c>
      <c r="C4360">
        <v>0.94961321165692503</v>
      </c>
      <c r="D4360">
        <v>0.83174865627914896</v>
      </c>
      <c r="E4360">
        <v>0.78156126704996598</v>
      </c>
      <c r="F4360">
        <v>0.63612281395998305</v>
      </c>
      <c r="G4360">
        <v>0.44067690894635497</v>
      </c>
      <c r="H4360">
        <v>0.24986579505117601</v>
      </c>
      <c r="I4360">
        <v>0.160778954681532</v>
      </c>
      <c r="J4360">
        <v>0.16087391993816</v>
      </c>
      <c r="K4360">
        <v>0.15331679461204201</v>
      </c>
      <c r="L4360">
        <v>600.115334844058</v>
      </c>
      <c r="M4360">
        <v>10.9196599906385</v>
      </c>
      <c r="N4360">
        <v>55.3156250618296</v>
      </c>
      <c r="O4360">
        <v>53.210588815915202</v>
      </c>
      <c r="P4360">
        <v>-4.95694861863646E-2</v>
      </c>
      <c r="Q4360">
        <v>3.41433706704318E-2</v>
      </c>
      <c r="R4360">
        <v>0.99061170923827602</v>
      </c>
      <c r="S4360" t="s">
        <v>11166</v>
      </c>
      <c r="T4360" t="s">
        <v>13610</v>
      </c>
      <c r="U4360" t="s">
        <v>13610</v>
      </c>
      <c r="V4360" t="s">
        <v>13610</v>
      </c>
      <c r="W4360" t="s">
        <v>17909</v>
      </c>
      <c r="X4360">
        <v>11</v>
      </c>
      <c r="Y4360" t="s">
        <v>24494</v>
      </c>
      <c r="Z4360" t="s">
        <v>31215</v>
      </c>
      <c r="AA4360">
        <v>0.53984371647170293</v>
      </c>
      <c r="AB4360" t="str">
        <f>HYPERLINK("Melting_Curves/meltCurve_Q8IUZ5_AGXT2L2.pdf", "Melting_Curves/meltCurve_Q8IUZ5_AGXT2L2.pdf")</f>
        <v>Melting_Curves/meltCurve_Q8IUZ5_AGXT2L2.pdf</v>
      </c>
    </row>
    <row r="4361" spans="1:28" x14ac:dyDescent="0.25">
      <c r="A4361" t="s">
        <v>4365</v>
      </c>
      <c r="B4361">
        <v>0.995954080203443</v>
      </c>
      <c r="C4361">
        <v>0.95116343395331004</v>
      </c>
      <c r="D4361">
        <v>1.02727826642361</v>
      </c>
      <c r="E4361">
        <v>0.68033768279052598</v>
      </c>
      <c r="F4361">
        <v>0.418508018514409</v>
      </c>
      <c r="G4361">
        <v>0.24235798465994199</v>
      </c>
      <c r="H4361">
        <v>0.13776191742173399</v>
      </c>
      <c r="I4361">
        <v>0.108662531295229</v>
      </c>
      <c r="J4361">
        <v>0.102002418273779</v>
      </c>
      <c r="K4361">
        <v>9.79186562278931E-2</v>
      </c>
      <c r="L4361">
        <v>1155.7245138393901</v>
      </c>
      <c r="M4361">
        <v>22.389315075851499</v>
      </c>
      <c r="N4361">
        <v>52.176488324795002</v>
      </c>
      <c r="O4361">
        <v>51.212964011647898</v>
      </c>
      <c r="P4361">
        <v>-9.7678987291926395E-2</v>
      </c>
      <c r="Q4361">
        <v>0.106301177065909</v>
      </c>
      <c r="R4361">
        <v>0.99232796905499998</v>
      </c>
      <c r="S4361" t="s">
        <v>11167</v>
      </c>
      <c r="T4361" t="s">
        <v>13610</v>
      </c>
      <c r="U4361" t="s">
        <v>13610</v>
      </c>
      <c r="V4361" t="s">
        <v>13610</v>
      </c>
      <c r="W4361" t="s">
        <v>17910</v>
      </c>
      <c r="X4361">
        <v>7</v>
      </c>
      <c r="Y4361" t="s">
        <v>24495</v>
      </c>
      <c r="Z4361" t="s">
        <v>31216</v>
      </c>
      <c r="AA4361">
        <v>0.4624862652836883</v>
      </c>
      <c r="AB4361" t="str">
        <f>HYPERLINK("Melting_Curves/meltCurve_Q8IV08_PLD3.pdf", "Melting_Curves/meltCurve_Q8IV08_PLD3.pdf")</f>
        <v>Melting_Curves/meltCurve_Q8IV08_PLD3.pdf</v>
      </c>
    </row>
    <row r="4362" spans="1:28" x14ac:dyDescent="0.25">
      <c r="A4362" t="s">
        <v>4366</v>
      </c>
      <c r="B4362">
        <v>0.995954080203443</v>
      </c>
      <c r="C4362">
        <v>0.99835647376843395</v>
      </c>
      <c r="D4362">
        <v>0.98274889476142102</v>
      </c>
      <c r="E4362">
        <v>0.67443486376655903</v>
      </c>
      <c r="F4362">
        <v>0.198222701691634</v>
      </c>
      <c r="G4362">
        <v>0.11232899753799699</v>
      </c>
      <c r="H4362">
        <v>6.8765120320040798E-2</v>
      </c>
      <c r="I4362">
        <v>6.5967359035649598E-2</v>
      </c>
      <c r="J4362">
        <v>7.39458242744125E-2</v>
      </c>
      <c r="K4362">
        <v>6.1970106157005399E-2</v>
      </c>
      <c r="L4362">
        <v>2131.05703171298</v>
      </c>
      <c r="M4362">
        <v>42.018576518646398</v>
      </c>
      <c r="N4362">
        <v>50.910243109338097</v>
      </c>
      <c r="O4362">
        <v>50.602547291693398</v>
      </c>
      <c r="P4362">
        <v>-0.19229099087941501</v>
      </c>
      <c r="Q4362">
        <v>7.3705131318414593E-2</v>
      </c>
      <c r="R4362">
        <v>0.99929247853906999</v>
      </c>
      <c r="S4362" t="s">
        <v>11168</v>
      </c>
      <c r="T4362" t="s">
        <v>13610</v>
      </c>
      <c r="U4362" t="s">
        <v>13610</v>
      </c>
      <c r="V4362" t="s">
        <v>13610</v>
      </c>
      <c r="W4362" t="s">
        <v>17911</v>
      </c>
      <c r="X4362">
        <v>10</v>
      </c>
      <c r="Y4362" t="s">
        <v>24496</v>
      </c>
      <c r="Z4362" t="s">
        <v>31217</v>
      </c>
      <c r="AA4362">
        <v>0.40754996037381841</v>
      </c>
      <c r="AB4362" t="str">
        <f>HYPERLINK("Melting_Curves/meltCurve_Q8IV38_ANKMY2.pdf", "Melting_Curves/meltCurve_Q8IV38_ANKMY2.pdf")</f>
        <v>Melting_Curves/meltCurve_Q8IV38_ANKMY2.pdf</v>
      </c>
    </row>
    <row r="4363" spans="1:28" x14ac:dyDescent="0.25">
      <c r="A4363" t="s">
        <v>4367</v>
      </c>
      <c r="B4363">
        <v>0.995954080203443</v>
      </c>
      <c r="C4363">
        <v>0.78508424288863998</v>
      </c>
      <c r="D4363">
        <v>0.33702752596191499</v>
      </c>
      <c r="E4363">
        <v>0.23784146823049601</v>
      </c>
      <c r="F4363">
        <v>0.12651912848174901</v>
      </c>
      <c r="G4363">
        <v>8.1159806806124904E-2</v>
      </c>
      <c r="H4363">
        <v>6.3133313643141106E-2</v>
      </c>
      <c r="I4363">
        <v>6.3807344667905899E-2</v>
      </c>
      <c r="J4363">
        <v>7.3431502493320505E-2</v>
      </c>
      <c r="K4363">
        <v>7.10509077780863E-2</v>
      </c>
      <c r="L4363">
        <v>1148.5027462796199</v>
      </c>
      <c r="M4363">
        <v>25.689608783205799</v>
      </c>
      <c r="N4363">
        <v>45.040493804370001</v>
      </c>
      <c r="O4363">
        <v>44.438635765440402</v>
      </c>
      <c r="P4363">
        <v>-0.13200412695883201</v>
      </c>
      <c r="Q4363">
        <v>8.6632641492141102E-2</v>
      </c>
      <c r="R4363">
        <v>0.98499566446197695</v>
      </c>
      <c r="S4363" t="s">
        <v>11169</v>
      </c>
      <c r="T4363" t="s">
        <v>13610</v>
      </c>
      <c r="U4363" t="s">
        <v>13610</v>
      </c>
      <c r="V4363" t="s">
        <v>13610</v>
      </c>
      <c r="W4363" t="s">
        <v>17912</v>
      </c>
      <c r="X4363">
        <v>9</v>
      </c>
      <c r="Y4363" t="s">
        <v>24497</v>
      </c>
      <c r="Z4363" t="s">
        <v>31218</v>
      </c>
      <c r="AA4363">
        <v>0.23874385281530461</v>
      </c>
      <c r="AB4363" t="str">
        <f>HYPERLINK("Melting_Curves/meltCurve_Q8IV48_ERI1.pdf", "Melting_Curves/meltCurve_Q8IV48_ERI1.pdf")</f>
        <v>Melting_Curves/meltCurve_Q8IV48_ERI1.pdf</v>
      </c>
    </row>
    <row r="4364" spans="1:28" x14ac:dyDescent="0.25">
      <c r="A4364" t="s">
        <v>4368</v>
      </c>
      <c r="B4364">
        <v>0.995954080203443</v>
      </c>
      <c r="C4364">
        <v>1.06817847906714</v>
      </c>
      <c r="D4364">
        <v>0.99833222332446203</v>
      </c>
      <c r="E4364">
        <v>0.89174360940513597</v>
      </c>
      <c r="F4364">
        <v>0.74223139770138202</v>
      </c>
      <c r="G4364">
        <v>0.52720077493250195</v>
      </c>
      <c r="H4364">
        <v>0.42836665159021797</v>
      </c>
      <c r="I4364">
        <v>0.46799005935989302</v>
      </c>
      <c r="J4364">
        <v>0.56863256266292805</v>
      </c>
      <c r="K4364">
        <v>0.49475277188047301</v>
      </c>
      <c r="L4364">
        <v>1591.45769970074</v>
      </c>
      <c r="M4364">
        <v>30.193768432854799</v>
      </c>
      <c r="N4364">
        <v>59.984648232895701</v>
      </c>
      <c r="O4364">
        <v>52.4785687973324</v>
      </c>
      <c r="P4364">
        <v>-7.3765454545957607E-2</v>
      </c>
      <c r="Q4364">
        <v>0.48716825686975501</v>
      </c>
      <c r="R4364">
        <v>0.96924511209860198</v>
      </c>
      <c r="S4364" t="s">
        <v>11170</v>
      </c>
      <c r="T4364" t="s">
        <v>13610</v>
      </c>
      <c r="U4364" t="s">
        <v>13610</v>
      </c>
      <c r="V4364" t="s">
        <v>13610</v>
      </c>
      <c r="W4364" t="s">
        <v>17913</v>
      </c>
      <c r="X4364">
        <v>4</v>
      </c>
      <c r="Y4364" t="s">
        <v>24498</v>
      </c>
      <c r="Z4364" t="s">
        <v>31219</v>
      </c>
      <c r="AA4364">
        <v>0.70767656773611065</v>
      </c>
      <c r="AB4364" t="str">
        <f>HYPERLINK("Melting_Curves/meltCurve_Q8IV50_LYSMD2.pdf", "Melting_Curves/meltCurve_Q8IV50_LYSMD2.pdf")</f>
        <v>Melting_Curves/meltCurve_Q8IV50_LYSMD2.pdf</v>
      </c>
    </row>
    <row r="4365" spans="1:28" x14ac:dyDescent="0.25">
      <c r="A4365" t="s">
        <v>4369</v>
      </c>
      <c r="B4365">
        <v>0.995954080203443</v>
      </c>
      <c r="C4365">
        <v>0.99122410678682005</v>
      </c>
      <c r="D4365">
        <v>1.0304778455335</v>
      </c>
      <c r="E4365">
        <v>0.68990870561296902</v>
      </c>
      <c r="F4365">
        <v>0.56594194786434204</v>
      </c>
      <c r="G4365">
        <v>0.42248719460574502</v>
      </c>
      <c r="H4365">
        <v>0.383151790383853</v>
      </c>
      <c r="I4365">
        <v>0.45264320583661</v>
      </c>
      <c r="J4365">
        <v>0.54311602825021998</v>
      </c>
      <c r="K4365">
        <v>0.51983724665699305</v>
      </c>
      <c r="L4365">
        <v>1943.50132375767</v>
      </c>
      <c r="M4365">
        <v>39.049837702190899</v>
      </c>
      <c r="N4365">
        <v>53.670813159339403</v>
      </c>
      <c r="O4365">
        <v>49.6397848964166</v>
      </c>
      <c r="P4365">
        <v>-0.104088133772389</v>
      </c>
      <c r="Q4365">
        <v>0.47073782858886198</v>
      </c>
      <c r="R4365">
        <v>0.95832849221681804</v>
      </c>
      <c r="S4365" t="s">
        <v>11171</v>
      </c>
      <c r="T4365" t="s">
        <v>13610</v>
      </c>
      <c r="U4365" t="s">
        <v>13610</v>
      </c>
      <c r="V4365" t="s">
        <v>13610</v>
      </c>
      <c r="W4365" t="s">
        <v>17914</v>
      </c>
      <c r="X4365">
        <v>9</v>
      </c>
      <c r="Y4365" t="s">
        <v>24499</v>
      </c>
      <c r="Z4365" t="s">
        <v>31220</v>
      </c>
      <c r="AA4365">
        <v>0.64500902625586776</v>
      </c>
      <c r="AB4365" t="str">
        <f>HYPERLINK("Melting_Curves/meltCurve_Q8IV63_3_VRK3.pdf", "Melting_Curves/meltCurve_Q8IV63_3_VRK3.pdf")</f>
        <v>Melting_Curves/meltCurve_Q8IV63_3_VRK3.pdf</v>
      </c>
    </row>
    <row r="4366" spans="1:28" x14ac:dyDescent="0.25">
      <c r="A4366" t="s">
        <v>4370</v>
      </c>
      <c r="B4366">
        <v>0.995954080203443</v>
      </c>
      <c r="C4366">
        <v>1.02107183376113</v>
      </c>
      <c r="D4366">
        <v>1.09678561148007</v>
      </c>
      <c r="E4366">
        <v>0.891629172328949</v>
      </c>
      <c r="F4366">
        <v>0.71149629661282998</v>
      </c>
      <c r="G4366">
        <v>0.30797325666699299</v>
      </c>
      <c r="H4366">
        <v>0.15564133073163</v>
      </c>
      <c r="I4366">
        <v>0.124993479953997</v>
      </c>
      <c r="J4366">
        <v>0.13417442491589299</v>
      </c>
      <c r="K4366">
        <v>0.130296316971767</v>
      </c>
      <c r="L4366">
        <v>1497.4842942151599</v>
      </c>
      <c r="M4366">
        <v>27.588374214149599</v>
      </c>
      <c r="N4366">
        <v>54.8347117696837</v>
      </c>
      <c r="O4366">
        <v>53.996752938111101</v>
      </c>
      <c r="P4366">
        <v>-0.112168567084915</v>
      </c>
      <c r="Q4366">
        <v>0.12184990953620101</v>
      </c>
      <c r="R4366">
        <v>0.99223509372247198</v>
      </c>
      <c r="S4366" t="s">
        <v>11172</v>
      </c>
      <c r="T4366" t="s">
        <v>13610</v>
      </c>
      <c r="U4366" t="s">
        <v>13610</v>
      </c>
      <c r="V4366" t="s">
        <v>13610</v>
      </c>
      <c r="W4366" t="s">
        <v>17915</v>
      </c>
      <c r="X4366">
        <v>19</v>
      </c>
      <c r="Y4366" t="s">
        <v>24500</v>
      </c>
      <c r="Z4366" t="s">
        <v>31221</v>
      </c>
      <c r="AA4366">
        <v>0.54661894577105818</v>
      </c>
      <c r="AB4366" t="str">
        <f>HYPERLINK("Melting_Curves/meltCurve_Q8IVD9_NUDCD3.pdf", "Melting_Curves/meltCurve_Q8IVD9_NUDCD3.pdf")</f>
        <v>Melting_Curves/meltCurve_Q8IVD9_NUDCD3.pdf</v>
      </c>
    </row>
    <row r="4367" spans="1:28" x14ac:dyDescent="0.25">
      <c r="A4367" t="s">
        <v>4371</v>
      </c>
      <c r="B4367">
        <v>0.995954080203443</v>
      </c>
      <c r="C4367">
        <v>0.98105983764841398</v>
      </c>
      <c r="D4367">
        <v>1.02383643949206</v>
      </c>
      <c r="E4367">
        <v>0.897295751893463</v>
      </c>
      <c r="F4367">
        <v>0.95470361898271305</v>
      </c>
      <c r="G4367">
        <v>0.75271154185455103</v>
      </c>
      <c r="H4367">
        <v>0.74306079453129004</v>
      </c>
      <c r="I4367">
        <v>0.92107830324962203</v>
      </c>
      <c r="J4367">
        <v>1.09671119279802</v>
      </c>
      <c r="K4367">
        <v>1.1079161359193701</v>
      </c>
      <c r="L4367">
        <v>15000</v>
      </c>
      <c r="M4367">
        <v>226.00367923114499</v>
      </c>
      <c r="O4367">
        <v>66.365411788217401</v>
      </c>
      <c r="P4367">
        <v>9.2006281160278799E-2</v>
      </c>
      <c r="Q4367">
        <v>1.1080696389831</v>
      </c>
      <c r="R4367">
        <v>-4.7311950946722602E-2</v>
      </c>
      <c r="S4367" t="s">
        <v>11173</v>
      </c>
      <c r="T4367" t="s">
        <v>13610</v>
      </c>
      <c r="U4367" t="s">
        <v>13610</v>
      </c>
      <c r="V4367" t="s">
        <v>13610</v>
      </c>
      <c r="W4367" t="s">
        <v>17916</v>
      </c>
      <c r="X4367">
        <v>26</v>
      </c>
      <c r="Y4367" t="s">
        <v>24501</v>
      </c>
      <c r="Z4367" t="s">
        <v>31222</v>
      </c>
      <c r="AA4367">
        <v>1.0130588676633721</v>
      </c>
      <c r="AB4367" t="str">
        <f>HYPERLINK("Melting_Curves/meltCurve_Q8IVL1_10_NAV2.pdf", "Melting_Curves/meltCurve_Q8IVL1_10_NAV2.pdf")</f>
        <v>Melting_Curves/meltCurve_Q8IVL1_10_NAV2.pdf</v>
      </c>
    </row>
    <row r="4368" spans="1:28" x14ac:dyDescent="0.25">
      <c r="A4368" t="s">
        <v>4372</v>
      </c>
      <c r="B4368">
        <v>0.995954080203443</v>
      </c>
      <c r="C4368">
        <v>0.96801544359917102</v>
      </c>
      <c r="D4368">
        <v>0.99998856846233497</v>
      </c>
      <c r="E4368">
        <v>0.83239786430750695</v>
      </c>
      <c r="F4368">
        <v>0.82320802346947897</v>
      </c>
      <c r="G4368">
        <v>0.65479458612976604</v>
      </c>
      <c r="H4368">
        <v>0.652839279335102</v>
      </c>
      <c r="I4368">
        <v>0.76489597194505898</v>
      </c>
      <c r="J4368">
        <v>1.00432188554143</v>
      </c>
      <c r="K4368">
        <v>0.91527052456619296</v>
      </c>
      <c r="L4368">
        <v>3335.0792093038699</v>
      </c>
      <c r="M4368">
        <v>68.381679615595104</v>
      </c>
      <c r="O4368">
        <v>48.729876311176</v>
      </c>
      <c r="P4368">
        <v>-6.9365439320265801E-2</v>
      </c>
      <c r="Q4368">
        <v>0.80227639633625902</v>
      </c>
      <c r="R4368">
        <v>0.40798677532048899</v>
      </c>
      <c r="S4368" t="s">
        <v>11174</v>
      </c>
      <c r="T4368" t="s">
        <v>13610</v>
      </c>
      <c r="U4368" t="s">
        <v>13610</v>
      </c>
      <c r="V4368" t="s">
        <v>13610</v>
      </c>
      <c r="W4368" t="s">
        <v>17917</v>
      </c>
      <c r="X4368">
        <v>20</v>
      </c>
      <c r="Y4368" t="s">
        <v>24502</v>
      </c>
      <c r="Z4368" t="s">
        <v>31223</v>
      </c>
      <c r="AA4368">
        <v>0.86031451403147019</v>
      </c>
      <c r="AB4368" t="str">
        <f>HYPERLINK("Melting_Curves/meltCurve_Q8IVM0_CCDC50.pdf", "Melting_Curves/meltCurve_Q8IVM0_CCDC50.pdf")</f>
        <v>Melting_Curves/meltCurve_Q8IVM0_CCDC50.pdf</v>
      </c>
    </row>
    <row r="4369" spans="1:28" x14ac:dyDescent="0.25">
      <c r="A4369" t="s">
        <v>4373</v>
      </c>
      <c r="B4369">
        <v>0.995954080203443</v>
      </c>
      <c r="C4369">
        <v>0.81715942687158605</v>
      </c>
      <c r="D4369">
        <v>0.84208669413664405</v>
      </c>
      <c r="E4369">
        <v>0.78424225533942604</v>
      </c>
      <c r="F4369">
        <v>0.86315533934286404</v>
      </c>
      <c r="G4369">
        <v>0.69108823437013001</v>
      </c>
      <c r="H4369">
        <v>0.82620790582167403</v>
      </c>
      <c r="I4369">
        <v>0.90697562892674799</v>
      </c>
      <c r="J4369">
        <v>1.36757851637029</v>
      </c>
      <c r="K4369">
        <v>1.0703113427837001</v>
      </c>
      <c r="L4369">
        <v>10123.3084699222</v>
      </c>
      <c r="M4369">
        <v>250</v>
      </c>
      <c r="O4369">
        <v>40.490648113896903</v>
      </c>
      <c r="P4369">
        <v>-0.142556014452737</v>
      </c>
      <c r="Q4369">
        <v>0.90764504601704299</v>
      </c>
      <c r="R4369">
        <v>2.13825873552458E-2</v>
      </c>
      <c r="S4369" t="s">
        <v>11175</v>
      </c>
      <c r="T4369" t="s">
        <v>13610</v>
      </c>
      <c r="U4369" t="s">
        <v>13610</v>
      </c>
      <c r="V4369" t="s">
        <v>13610</v>
      </c>
      <c r="W4369" t="s">
        <v>17918</v>
      </c>
      <c r="X4369">
        <v>20</v>
      </c>
      <c r="Y4369" t="s">
        <v>24502</v>
      </c>
      <c r="Z4369" t="s">
        <v>31224</v>
      </c>
      <c r="AA4369">
        <v>0.90919166214027392</v>
      </c>
      <c r="AB4369" t="str">
        <f>HYPERLINK("Melting_Curves/meltCurve_Q8IVM0_2_CCDC50.pdf", "Melting_Curves/meltCurve_Q8IVM0_2_CCDC50.pdf")</f>
        <v>Melting_Curves/meltCurve_Q8IVM0_2_CCDC50.pdf</v>
      </c>
    </row>
    <row r="4370" spans="1:28" x14ac:dyDescent="0.25">
      <c r="A4370" t="s">
        <v>4374</v>
      </c>
      <c r="B4370">
        <v>0.995954080203443</v>
      </c>
      <c r="C4370">
        <v>0.81054889992444401</v>
      </c>
      <c r="D4370">
        <v>0.67495823086960804</v>
      </c>
      <c r="E4370">
        <v>0.68165192341687397</v>
      </c>
      <c r="F4370">
        <v>0.46178580958575799</v>
      </c>
      <c r="G4370">
        <v>0.26961472019400301</v>
      </c>
      <c r="H4370">
        <v>9.9090707970728595E-2</v>
      </c>
      <c r="I4370">
        <v>9.4366176128193993E-2</v>
      </c>
      <c r="J4370">
        <v>0.126412852032846</v>
      </c>
      <c r="K4370">
        <v>4.7317922254970501E-2</v>
      </c>
      <c r="L4370">
        <v>512.38414591982598</v>
      </c>
      <c r="M4370">
        <v>9.9542735045874409</v>
      </c>
      <c r="N4370">
        <v>51.473772517818702</v>
      </c>
      <c r="O4370">
        <v>49.525670655850298</v>
      </c>
      <c r="P4370">
        <v>-5.0272923225645597E-2</v>
      </c>
      <c r="Q4370">
        <v>0</v>
      </c>
      <c r="R4370">
        <v>0.96579565276270696</v>
      </c>
      <c r="S4370" t="s">
        <v>11176</v>
      </c>
      <c r="T4370" t="s">
        <v>13610</v>
      </c>
      <c r="U4370" t="s">
        <v>13610</v>
      </c>
      <c r="V4370" t="s">
        <v>13610</v>
      </c>
      <c r="W4370" t="s">
        <v>17919</v>
      </c>
      <c r="X4370">
        <v>3</v>
      </c>
      <c r="Y4370" t="s">
        <v>24503</v>
      </c>
      <c r="Z4370" t="s">
        <v>31225</v>
      </c>
      <c r="AA4370">
        <v>0.42255598795530952</v>
      </c>
      <c r="AB4370" t="str">
        <f>HYPERLINK("Melting_Curves/meltCurve_Q8IVS2_MCAT.pdf", "Melting_Curves/meltCurve_Q8IVS2_MCAT.pdf")</f>
        <v>Melting_Curves/meltCurve_Q8IVS2_MCAT.pdf</v>
      </c>
    </row>
    <row r="4371" spans="1:28" x14ac:dyDescent="0.25">
      <c r="A4371" t="s">
        <v>4375</v>
      </c>
      <c r="B4371">
        <v>0.995954080203443</v>
      </c>
      <c r="C4371">
        <v>0.955584248107056</v>
      </c>
      <c r="D4371">
        <v>0.880635786123797</v>
      </c>
      <c r="E4371">
        <v>0.90944594110514698</v>
      </c>
      <c r="F4371">
        <v>0.73939265254335196</v>
      </c>
      <c r="G4371">
        <v>0.49356631547806901</v>
      </c>
      <c r="H4371">
        <v>0.108713557487574</v>
      </c>
      <c r="I4371">
        <v>7.6276974521847299E-2</v>
      </c>
      <c r="J4371">
        <v>7.0272080282445998E-2</v>
      </c>
      <c r="K4371">
        <v>6.0166313494809998E-2</v>
      </c>
      <c r="L4371">
        <v>1068.8336749285399</v>
      </c>
      <c r="M4371">
        <v>19.055552172431899</v>
      </c>
      <c r="N4371">
        <v>56.140566324114502</v>
      </c>
      <c r="O4371">
        <v>55.483634363007297</v>
      </c>
      <c r="P4371">
        <v>-8.5139770339946297E-2</v>
      </c>
      <c r="Q4371">
        <v>8.4406455423770808E-3</v>
      </c>
      <c r="R4371">
        <v>0.98407297815165795</v>
      </c>
      <c r="S4371" t="s">
        <v>11177</v>
      </c>
      <c r="T4371" t="s">
        <v>13610</v>
      </c>
      <c r="U4371" t="s">
        <v>13610</v>
      </c>
      <c r="V4371" t="s">
        <v>13610</v>
      </c>
      <c r="W4371" t="s">
        <v>17920</v>
      </c>
      <c r="X4371">
        <v>1</v>
      </c>
      <c r="Y4371" t="s">
        <v>24504</v>
      </c>
      <c r="Z4371" t="s">
        <v>31226</v>
      </c>
      <c r="AA4371">
        <v>0.55381483747168714</v>
      </c>
      <c r="AB4371" t="str">
        <f>HYPERLINK("Melting_Curves/meltCurve_Q8IVV2_LOXHD1.pdf", "Melting_Curves/meltCurve_Q8IVV2_LOXHD1.pdf")</f>
        <v>Melting_Curves/meltCurve_Q8IVV2_LOXHD1.pdf</v>
      </c>
    </row>
    <row r="4372" spans="1:28" x14ac:dyDescent="0.25">
      <c r="A4372" t="s">
        <v>4376</v>
      </c>
      <c r="B4372">
        <v>0.995954080203443</v>
      </c>
      <c r="C4372">
        <v>0.98370295210568504</v>
      </c>
      <c r="D4372">
        <v>0.87433555367656501</v>
      </c>
      <c r="E4372">
        <v>0.72277226506968595</v>
      </c>
      <c r="F4372">
        <v>0.68635238446131397</v>
      </c>
      <c r="G4372">
        <v>0.54727953109690097</v>
      </c>
      <c r="H4372">
        <v>0.51057403261601997</v>
      </c>
      <c r="I4372">
        <v>0.59084029229315005</v>
      </c>
      <c r="J4372">
        <v>0.77431287805447202</v>
      </c>
      <c r="K4372">
        <v>0.71312825643764999</v>
      </c>
      <c r="L4372">
        <v>1189.6876907440301</v>
      </c>
      <c r="M4372">
        <v>25.0739321933013</v>
      </c>
      <c r="O4372">
        <v>47.148481623375801</v>
      </c>
      <c r="P4372">
        <v>-4.8861112240438397E-2</v>
      </c>
      <c r="Q4372">
        <v>0.63249535902325504</v>
      </c>
      <c r="R4372">
        <v>0.79672868918768402</v>
      </c>
      <c r="S4372" t="s">
        <v>11178</v>
      </c>
      <c r="T4372" t="s">
        <v>13610</v>
      </c>
      <c r="U4372" t="s">
        <v>13610</v>
      </c>
      <c r="V4372" t="s">
        <v>13610</v>
      </c>
      <c r="W4372" t="s">
        <v>17921</v>
      </c>
      <c r="X4372">
        <v>20</v>
      </c>
      <c r="Y4372" t="s">
        <v>24505</v>
      </c>
      <c r="Z4372" t="s">
        <v>31227</v>
      </c>
      <c r="AA4372">
        <v>0.72696320427943084</v>
      </c>
      <c r="AB4372" t="str">
        <f>HYPERLINK("Melting_Curves/meltCurve_Q8IVW6_4_ARID3B.pdf", "Melting_Curves/meltCurve_Q8IVW6_4_ARID3B.pdf")</f>
        <v>Melting_Curves/meltCurve_Q8IVW6_4_ARID3B.pdf</v>
      </c>
    </row>
    <row r="4373" spans="1:28" x14ac:dyDescent="0.25">
      <c r="A4373" t="s">
        <v>4377</v>
      </c>
      <c r="B4373">
        <v>0.995954080203443</v>
      </c>
      <c r="C4373">
        <v>0.94051583507811998</v>
      </c>
      <c r="D4373">
        <v>0.71481394155446998</v>
      </c>
      <c r="E4373">
        <v>0.45739959457389601</v>
      </c>
      <c r="F4373">
        <v>0.187008532335909</v>
      </c>
      <c r="G4373">
        <v>0.103742148189298</v>
      </c>
      <c r="H4373">
        <v>6.1363397059992601E-2</v>
      </c>
      <c r="I4373">
        <v>5.2708329162679798E-2</v>
      </c>
      <c r="J4373">
        <v>6.31663854578325E-2</v>
      </c>
      <c r="K4373">
        <v>5.3416575272946597E-2</v>
      </c>
      <c r="L4373">
        <v>877.91080737893401</v>
      </c>
      <c r="M4373">
        <v>18.033256496557598</v>
      </c>
      <c r="N4373">
        <v>48.9272595353765</v>
      </c>
      <c r="O4373">
        <v>48.0960604129207</v>
      </c>
      <c r="P4373">
        <v>-8.9703040513396295E-2</v>
      </c>
      <c r="Q4373">
        <v>4.3067648821271301E-2</v>
      </c>
      <c r="R4373">
        <v>0.99574386233900103</v>
      </c>
      <c r="S4373" t="s">
        <v>11179</v>
      </c>
      <c r="T4373" t="s">
        <v>13610</v>
      </c>
      <c r="U4373" t="s">
        <v>13610</v>
      </c>
      <c r="V4373" t="s">
        <v>13610</v>
      </c>
      <c r="W4373" t="s">
        <v>17922</v>
      </c>
      <c r="X4373">
        <v>6</v>
      </c>
      <c r="Y4373" t="s">
        <v>24506</v>
      </c>
      <c r="Z4373" t="s">
        <v>31228</v>
      </c>
      <c r="AA4373">
        <v>0.33665140053619902</v>
      </c>
      <c r="AB4373" t="str">
        <f>HYPERLINK("Melting_Curves/meltCurve_Q8IW41_2_MAPKAPK5.pdf", "Melting_Curves/meltCurve_Q8IW41_2_MAPKAPK5.pdf")</f>
        <v>Melting_Curves/meltCurve_Q8IW41_2_MAPKAPK5.pdf</v>
      </c>
    </row>
    <row r="4374" spans="1:28" x14ac:dyDescent="0.25">
      <c r="A4374" t="s">
        <v>4378</v>
      </c>
      <c r="B4374">
        <v>0.995954080203443</v>
      </c>
      <c r="C4374">
        <v>0.95675669738995806</v>
      </c>
      <c r="D4374">
        <v>0.83955862847014695</v>
      </c>
      <c r="E4374">
        <v>0.81844616415145699</v>
      </c>
      <c r="F4374">
        <v>0.63340894456159202</v>
      </c>
      <c r="G4374">
        <v>0.47000847961457998</v>
      </c>
      <c r="H4374">
        <v>0.37501617811989102</v>
      </c>
      <c r="I4374">
        <v>0.42934416887724502</v>
      </c>
      <c r="J4374">
        <v>0.47894737484372801</v>
      </c>
      <c r="K4374">
        <v>0.51337967387769701</v>
      </c>
      <c r="L4374">
        <v>869.61630408372298</v>
      </c>
      <c r="M4374">
        <v>17.121706733361499</v>
      </c>
      <c r="N4374">
        <v>57.537120964072102</v>
      </c>
      <c r="O4374">
        <v>50.112619854208702</v>
      </c>
      <c r="P4374">
        <v>-4.8446548941703797E-2</v>
      </c>
      <c r="Q4374">
        <v>0.43285150124578098</v>
      </c>
      <c r="R4374">
        <v>0.94270641077311701</v>
      </c>
      <c r="S4374" t="s">
        <v>11180</v>
      </c>
      <c r="T4374" t="s">
        <v>13610</v>
      </c>
      <c r="U4374" t="s">
        <v>13610</v>
      </c>
      <c r="V4374" t="s">
        <v>13610</v>
      </c>
      <c r="W4374" t="s">
        <v>17923</v>
      </c>
      <c r="X4374">
        <v>13</v>
      </c>
      <c r="Y4374" t="s">
        <v>24507</v>
      </c>
      <c r="Z4374" t="s">
        <v>31229</v>
      </c>
      <c r="AA4374">
        <v>0.64732646776954539</v>
      </c>
      <c r="AB4374" t="str">
        <f>HYPERLINK("Melting_Curves/meltCurve_Q8IW45_CARKD.pdf", "Melting_Curves/meltCurve_Q8IW45_CARKD.pdf")</f>
        <v>Melting_Curves/meltCurve_Q8IW45_CARKD.pdf</v>
      </c>
    </row>
    <row r="4375" spans="1:28" x14ac:dyDescent="0.25">
      <c r="A4375" t="s">
        <v>4379</v>
      </c>
      <c r="B4375">
        <v>0.995954080203443</v>
      </c>
      <c r="C4375">
        <v>1.1155557955069699</v>
      </c>
      <c r="D4375">
        <v>1.1137399409178199</v>
      </c>
      <c r="E4375">
        <v>0.97400715201375299</v>
      </c>
      <c r="F4375">
        <v>0.83024708119157498</v>
      </c>
      <c r="G4375">
        <v>0.41866449326566202</v>
      </c>
      <c r="H4375">
        <v>0.214547242059169</v>
      </c>
      <c r="I4375">
        <v>0.140474360426323</v>
      </c>
      <c r="J4375">
        <v>0.15009222186790899</v>
      </c>
      <c r="K4375">
        <v>0.13860954150359001</v>
      </c>
      <c r="L4375">
        <v>1631.81002548321</v>
      </c>
      <c r="M4375">
        <v>29.3493175704204</v>
      </c>
      <c r="N4375">
        <v>56.223262581370399</v>
      </c>
      <c r="O4375">
        <v>55.343386156656798</v>
      </c>
      <c r="P4375">
        <v>-0.11415856656984499</v>
      </c>
      <c r="Q4375">
        <v>0.13894061227660601</v>
      </c>
      <c r="R4375">
        <v>0.98376471127085796</v>
      </c>
      <c r="S4375" t="s">
        <v>11181</v>
      </c>
      <c r="T4375" t="s">
        <v>13610</v>
      </c>
      <c r="U4375" t="s">
        <v>13610</v>
      </c>
      <c r="V4375" t="s">
        <v>13610</v>
      </c>
      <c r="W4375" t="s">
        <v>17924</v>
      </c>
      <c r="X4375">
        <v>12</v>
      </c>
      <c r="Y4375" t="s">
        <v>24508</v>
      </c>
      <c r="Z4375" t="s">
        <v>31230</v>
      </c>
      <c r="AA4375">
        <v>0.59265058870656162</v>
      </c>
      <c r="AB4375" t="str">
        <f>HYPERLINK("Melting_Curves/meltCurve_Q8IWB7_WDFY1.pdf", "Melting_Curves/meltCurve_Q8IWB7_WDFY1.pdf")</f>
        <v>Melting_Curves/meltCurve_Q8IWB7_WDFY1.pdf</v>
      </c>
    </row>
    <row r="4376" spans="1:28" x14ac:dyDescent="0.25">
      <c r="A4376" t="s">
        <v>4380</v>
      </c>
      <c r="B4376">
        <v>0.995954080203443</v>
      </c>
      <c r="C4376">
        <v>0.89659789104578203</v>
      </c>
      <c r="D4376">
        <v>1.25220510790621</v>
      </c>
      <c r="E4376">
        <v>0.81164542430824604</v>
      </c>
      <c r="F4376">
        <v>1.21973867073475</v>
      </c>
      <c r="G4376">
        <v>1.01972216660165</v>
      </c>
      <c r="H4376">
        <v>0.89721448775144397</v>
      </c>
      <c r="I4376">
        <v>1.18363085773786</v>
      </c>
      <c r="J4376">
        <v>1.3007644812525001</v>
      </c>
      <c r="K4376">
        <v>1.4724760389210001</v>
      </c>
      <c r="L4376">
        <v>2611.9736444152099</v>
      </c>
      <c r="M4376">
        <v>39.6903052382388</v>
      </c>
      <c r="O4376">
        <v>65.642449987194098</v>
      </c>
      <c r="P4376">
        <v>7.55806321966144E-2</v>
      </c>
      <c r="Q4376">
        <v>1.5</v>
      </c>
      <c r="R4376">
        <v>0.55983432426305002</v>
      </c>
      <c r="S4376" t="s">
        <v>11182</v>
      </c>
      <c r="T4376" t="s">
        <v>13610</v>
      </c>
      <c r="U4376" t="s">
        <v>13610</v>
      </c>
      <c r="V4376" t="s">
        <v>13610</v>
      </c>
      <c r="W4376" t="s">
        <v>17925</v>
      </c>
      <c r="X4376">
        <v>4</v>
      </c>
      <c r="Y4376" t="s">
        <v>24509</v>
      </c>
      <c r="Z4376" t="s">
        <v>31231</v>
      </c>
      <c r="AA4376">
        <v>1.0704845076531779</v>
      </c>
      <c r="AB4376" t="str">
        <f>HYPERLINK("Melting_Curves/meltCurve_Q8IWB9_TEX2.pdf", "Melting_Curves/meltCurve_Q8IWB9_TEX2.pdf")</f>
        <v>Melting_Curves/meltCurve_Q8IWB9_TEX2.pdf</v>
      </c>
    </row>
    <row r="4377" spans="1:28" x14ac:dyDescent="0.25">
      <c r="A4377" t="s">
        <v>4381</v>
      </c>
      <c r="B4377">
        <v>0.995954080203443</v>
      </c>
      <c r="C4377">
        <v>0.97821360714938999</v>
      </c>
      <c r="D4377">
        <v>1.0102388483565501</v>
      </c>
      <c r="E4377">
        <v>0.88557179334378799</v>
      </c>
      <c r="F4377">
        <v>0.90216094908050504</v>
      </c>
      <c r="G4377">
        <v>0.66828535074487805</v>
      </c>
      <c r="H4377">
        <v>0.66228859434105602</v>
      </c>
      <c r="I4377">
        <v>0.81057054997593903</v>
      </c>
      <c r="J4377">
        <v>0.91113717506218606</v>
      </c>
      <c r="K4377">
        <v>0.90623516300802198</v>
      </c>
      <c r="L4377">
        <v>1599.6184107399299</v>
      </c>
      <c r="M4377">
        <v>31.740681455194199</v>
      </c>
      <c r="O4377">
        <v>50.197709280593799</v>
      </c>
      <c r="P4377">
        <v>-3.1588164667744001E-2</v>
      </c>
      <c r="Q4377">
        <v>0.80017507174520597</v>
      </c>
      <c r="R4377">
        <v>0.51234251041369805</v>
      </c>
      <c r="S4377" t="s">
        <v>11183</v>
      </c>
      <c r="T4377" t="s">
        <v>13610</v>
      </c>
      <c r="U4377" t="s">
        <v>13610</v>
      </c>
      <c r="V4377" t="s">
        <v>13610</v>
      </c>
      <c r="W4377" t="s">
        <v>17926</v>
      </c>
      <c r="X4377">
        <v>10</v>
      </c>
      <c r="Y4377" t="s">
        <v>24510</v>
      </c>
      <c r="Z4377" t="s">
        <v>31232</v>
      </c>
      <c r="AA4377">
        <v>0.870534474294137</v>
      </c>
      <c r="AB4377" t="str">
        <f>HYPERLINK("Melting_Curves/meltCurve_Q8IWC1_2_MAP7D3.pdf", "Melting_Curves/meltCurve_Q8IWC1_2_MAP7D3.pdf")</f>
        <v>Melting_Curves/meltCurve_Q8IWC1_2_MAP7D3.pdf</v>
      </c>
    </row>
    <row r="4378" spans="1:28" x14ac:dyDescent="0.25">
      <c r="A4378" t="s">
        <v>4382</v>
      </c>
      <c r="B4378">
        <v>0.995954080203443</v>
      </c>
      <c r="C4378">
        <v>0.86688653892274303</v>
      </c>
      <c r="D4378">
        <v>0.93633037484922899</v>
      </c>
      <c r="E4378">
        <v>0.76605789708083305</v>
      </c>
      <c r="F4378">
        <v>0.48192944786756298</v>
      </c>
      <c r="G4378">
        <v>0.44665788522725303</v>
      </c>
      <c r="H4378">
        <v>0.45480588258145099</v>
      </c>
      <c r="I4378">
        <v>0.764632970280267</v>
      </c>
      <c r="J4378">
        <v>1.09394818912894</v>
      </c>
      <c r="K4378">
        <v>1.2348675390450901</v>
      </c>
      <c r="L4378">
        <v>1.0000000000000001E-5</v>
      </c>
      <c r="M4378">
        <v>1.0000000000000001E-5</v>
      </c>
      <c r="Q4378">
        <v>0.60841608084924104</v>
      </c>
      <c r="R4378">
        <v>4.03515110214414E-10</v>
      </c>
      <c r="S4378" t="s">
        <v>11184</v>
      </c>
      <c r="T4378" t="s">
        <v>13610</v>
      </c>
      <c r="U4378" t="s">
        <v>13610</v>
      </c>
      <c r="V4378" t="s">
        <v>13610</v>
      </c>
      <c r="W4378" t="s">
        <v>17927</v>
      </c>
      <c r="X4378">
        <v>10</v>
      </c>
      <c r="Y4378" t="s">
        <v>24511</v>
      </c>
      <c r="Z4378" t="s">
        <v>31233</v>
      </c>
      <c r="AA4378">
        <v>0.80420707972620109</v>
      </c>
      <c r="AB4378" t="str">
        <f>HYPERLINK("Melting_Curves/meltCurve_Q8IWD4_CCDC117.pdf", "Melting_Curves/meltCurve_Q8IWD4_CCDC117.pdf")</f>
        <v>Melting_Curves/meltCurve_Q8IWD4_CCDC117.pdf</v>
      </c>
    </row>
    <row r="4379" spans="1:28" x14ac:dyDescent="0.25">
      <c r="A4379" t="s">
        <v>4383</v>
      </c>
      <c r="B4379">
        <v>0.995954080203443</v>
      </c>
      <c r="C4379">
        <v>1.02428422015666</v>
      </c>
      <c r="D4379">
        <v>0.75759636527772301</v>
      </c>
      <c r="E4379">
        <v>0.57436559682449095</v>
      </c>
      <c r="F4379">
        <v>0.272095476084245</v>
      </c>
      <c r="G4379">
        <v>0.13089883546424499</v>
      </c>
      <c r="H4379">
        <v>7.8704140182498702E-2</v>
      </c>
      <c r="I4379">
        <v>5.8876101802437797E-2</v>
      </c>
      <c r="J4379">
        <v>6.0845747592279197E-2</v>
      </c>
      <c r="K4379">
        <v>6.8500771704912797E-2</v>
      </c>
      <c r="L4379">
        <v>900.94099060172198</v>
      </c>
      <c r="M4379">
        <v>18.031736877085901</v>
      </c>
      <c r="N4379">
        <v>50.241103428032503</v>
      </c>
      <c r="O4379">
        <v>49.361817325869602</v>
      </c>
      <c r="P4379">
        <v>-8.7008532610775194E-2</v>
      </c>
      <c r="Q4379">
        <v>4.7304347011042303E-2</v>
      </c>
      <c r="R4379">
        <v>0.98970198016645605</v>
      </c>
      <c r="S4379" t="s">
        <v>11185</v>
      </c>
      <c r="T4379" t="s">
        <v>13610</v>
      </c>
      <c r="U4379" t="s">
        <v>13610</v>
      </c>
      <c r="V4379" t="s">
        <v>13610</v>
      </c>
      <c r="W4379" t="s">
        <v>17928</v>
      </c>
      <c r="X4379">
        <v>8</v>
      </c>
      <c r="Y4379" t="s">
        <v>24512</v>
      </c>
      <c r="Z4379" t="s">
        <v>31234</v>
      </c>
      <c r="AA4379">
        <v>0.37993221708554142</v>
      </c>
      <c r="AB4379" t="str">
        <f>HYPERLINK("Melting_Curves/meltCurve_Q8IWF6_DENND6A.pdf", "Melting_Curves/meltCurve_Q8IWF6_DENND6A.pdf")</f>
        <v>Melting_Curves/meltCurve_Q8IWF6_DENND6A.pdf</v>
      </c>
    </row>
    <row r="4380" spans="1:28" x14ac:dyDescent="0.25">
      <c r="A4380" t="s">
        <v>4384</v>
      </c>
      <c r="B4380">
        <v>0.995954080203443</v>
      </c>
      <c r="C4380">
        <v>1.07157416109473</v>
      </c>
      <c r="D4380">
        <v>1.25086327216883</v>
      </c>
      <c r="E4380">
        <v>0.76655571484485496</v>
      </c>
      <c r="F4380">
        <v>0.14912232787334401</v>
      </c>
      <c r="G4380">
        <v>0.102873767669177</v>
      </c>
      <c r="H4380">
        <v>7.3343803561417703E-2</v>
      </c>
      <c r="I4380">
        <v>8.2498644173548297E-2</v>
      </c>
      <c r="J4380">
        <v>9.7439602119591795E-2</v>
      </c>
      <c r="K4380">
        <v>9.3290025680590596E-2</v>
      </c>
      <c r="L4380">
        <v>3423.4680287860301</v>
      </c>
      <c r="M4380">
        <v>67.389501811680503</v>
      </c>
      <c r="N4380">
        <v>50.952718448423497</v>
      </c>
      <c r="O4380">
        <v>50.756527043492</v>
      </c>
      <c r="P4380">
        <v>-0.30178891478563902</v>
      </c>
      <c r="Q4380">
        <v>9.0792907266729006E-2</v>
      </c>
      <c r="R4380">
        <v>0.96805229960456496</v>
      </c>
      <c r="S4380" t="s">
        <v>11186</v>
      </c>
      <c r="T4380" t="s">
        <v>13610</v>
      </c>
      <c r="U4380" t="s">
        <v>13610</v>
      </c>
      <c r="V4380" t="s">
        <v>13610</v>
      </c>
      <c r="W4380" t="s">
        <v>17929</v>
      </c>
      <c r="X4380">
        <v>2</v>
      </c>
      <c r="Y4380" t="s">
        <v>24513</v>
      </c>
      <c r="Z4380" t="s">
        <v>31235</v>
      </c>
      <c r="AA4380">
        <v>0.4192628028654159</v>
      </c>
      <c r="AB4380" t="str">
        <f>HYPERLINK("Melting_Curves/meltCurve_Q8IWG1_2_WDR63.pdf", "Melting_Curves/meltCurve_Q8IWG1_2_WDR63.pdf")</f>
        <v>Melting_Curves/meltCurve_Q8IWG1_2_WDR63.pdf</v>
      </c>
    </row>
    <row r="4381" spans="1:28" x14ac:dyDescent="0.25">
      <c r="A4381" t="s">
        <v>4385</v>
      </c>
      <c r="B4381">
        <v>0.995954080203443</v>
      </c>
      <c r="C4381">
        <v>0.97178061584631603</v>
      </c>
      <c r="D4381">
        <v>0.96955605685469703</v>
      </c>
      <c r="E4381">
        <v>0.828060151893936</v>
      </c>
      <c r="F4381">
        <v>0.79858994760153801</v>
      </c>
      <c r="G4381">
        <v>0.59291026317616902</v>
      </c>
      <c r="H4381">
        <v>0.57688810985102301</v>
      </c>
      <c r="I4381">
        <v>0.67358111091795903</v>
      </c>
      <c r="J4381">
        <v>0.81553275368845701</v>
      </c>
      <c r="K4381">
        <v>0.791511869400365</v>
      </c>
      <c r="L4381">
        <v>1401.5821312493299</v>
      </c>
      <c r="M4381">
        <v>28.139554402233799</v>
      </c>
      <c r="O4381">
        <v>49.558752750531198</v>
      </c>
      <c r="P4381">
        <v>-4.3079419830787197E-2</v>
      </c>
      <c r="Q4381">
        <v>0.69652056383823202</v>
      </c>
      <c r="R4381">
        <v>0.73457679332347303</v>
      </c>
      <c r="S4381" t="s">
        <v>11187</v>
      </c>
      <c r="T4381" t="s">
        <v>13610</v>
      </c>
      <c r="U4381" t="s">
        <v>13610</v>
      </c>
      <c r="V4381" t="s">
        <v>13610</v>
      </c>
      <c r="W4381" t="s">
        <v>17930</v>
      </c>
      <c r="X4381">
        <v>52</v>
      </c>
      <c r="Y4381" t="s">
        <v>24514</v>
      </c>
      <c r="Z4381" t="s">
        <v>31236</v>
      </c>
      <c r="AA4381">
        <v>0.79787140181095628</v>
      </c>
      <c r="AB4381" t="str">
        <f>HYPERLINK("Melting_Curves/meltCurve_Q8IWI9_MGA.pdf", "Melting_Curves/meltCurve_Q8IWI9_MGA.pdf")</f>
        <v>Melting_Curves/meltCurve_Q8IWI9_MGA.pdf</v>
      </c>
    </row>
    <row r="4382" spans="1:28" x14ac:dyDescent="0.25">
      <c r="A4382" t="s">
        <v>4386</v>
      </c>
      <c r="B4382">
        <v>0.995954080203443</v>
      </c>
      <c r="C4382">
        <v>1.00297510013753</v>
      </c>
      <c r="D4382">
        <v>0.86602286843696097</v>
      </c>
      <c r="E4382">
        <v>0.68345872050373502</v>
      </c>
      <c r="F4382">
        <v>0.47915098393095801</v>
      </c>
      <c r="G4382">
        <v>0.34053707219094997</v>
      </c>
      <c r="H4382">
        <v>0.25389598037113598</v>
      </c>
      <c r="I4382">
        <v>0.27525618618027697</v>
      </c>
      <c r="J4382">
        <v>0.35423159037351098</v>
      </c>
      <c r="K4382">
        <v>0.34429536202501199</v>
      </c>
      <c r="L4382">
        <v>1036.8862953087901</v>
      </c>
      <c r="M4382">
        <v>20.6668851864201</v>
      </c>
      <c r="N4382">
        <v>52.485337587625402</v>
      </c>
      <c r="O4382">
        <v>49.7087338353642</v>
      </c>
      <c r="P4382">
        <v>-7.2867147327721801E-2</v>
      </c>
      <c r="Q4382">
        <v>0.29896933132368902</v>
      </c>
      <c r="R4382">
        <v>0.98488765725244698</v>
      </c>
      <c r="S4382" t="s">
        <v>11188</v>
      </c>
      <c r="T4382" t="s">
        <v>13610</v>
      </c>
      <c r="U4382" t="s">
        <v>13610</v>
      </c>
      <c r="V4382" t="s">
        <v>13610</v>
      </c>
      <c r="W4382" t="s">
        <v>17931</v>
      </c>
      <c r="X4382">
        <v>95</v>
      </c>
      <c r="Y4382" t="s">
        <v>24515</v>
      </c>
      <c r="Z4382" t="s">
        <v>31237</v>
      </c>
      <c r="AA4382">
        <v>0.54580190767336301</v>
      </c>
      <c r="AB4382" t="str">
        <f>HYPERLINK("Melting_Curves/meltCurve_Q8IWJ2_GCC2.pdf", "Melting_Curves/meltCurve_Q8IWJ2_GCC2.pdf")</f>
        <v>Melting_Curves/meltCurve_Q8IWJ2_GCC2.pdf</v>
      </c>
    </row>
    <row r="4383" spans="1:28" x14ac:dyDescent="0.25">
      <c r="A4383" t="s">
        <v>4387</v>
      </c>
      <c r="B4383">
        <v>0.995954080203443</v>
      </c>
      <c r="C4383">
        <v>1.1584092643227499</v>
      </c>
      <c r="D4383">
        <v>1.1853604345376101</v>
      </c>
      <c r="E4383">
        <v>1.0319699291884901</v>
      </c>
      <c r="F4383">
        <v>0.93177297352669897</v>
      </c>
      <c r="G4383">
        <v>0.37006705766338499</v>
      </c>
      <c r="H4383">
        <v>0.105440444336177</v>
      </c>
      <c r="I4383">
        <v>7.2886492367935804E-2</v>
      </c>
      <c r="J4383">
        <v>7.2887193845129997E-2</v>
      </c>
      <c r="K4383">
        <v>5.6538778680448903E-2</v>
      </c>
      <c r="L4383">
        <v>2484.4907813490499</v>
      </c>
      <c r="M4383">
        <v>44.317950100747602</v>
      </c>
      <c r="N4383">
        <v>56.249592876370201</v>
      </c>
      <c r="O4383">
        <v>55.946812471480897</v>
      </c>
      <c r="P4383">
        <v>-0.18433593234340301</v>
      </c>
      <c r="Q4383">
        <v>6.9181350805627595E-2</v>
      </c>
      <c r="R4383">
        <v>0.97291720797048398</v>
      </c>
      <c r="S4383" t="s">
        <v>11189</v>
      </c>
      <c r="T4383" t="s">
        <v>13610</v>
      </c>
      <c r="U4383" t="s">
        <v>13610</v>
      </c>
      <c r="V4383" t="s">
        <v>13610</v>
      </c>
      <c r="W4383" t="s">
        <v>17932</v>
      </c>
      <c r="X4383">
        <v>6</v>
      </c>
      <c r="Y4383" t="s">
        <v>24516</v>
      </c>
      <c r="Z4383" t="s">
        <v>31238</v>
      </c>
      <c r="AA4383">
        <v>0.57042297535521647</v>
      </c>
      <c r="AB4383" t="str">
        <f>HYPERLINK("Melting_Curves/meltCurve_Q8IWL3_HSCB.pdf", "Melting_Curves/meltCurve_Q8IWL3_HSCB.pdf")</f>
        <v>Melting_Curves/meltCurve_Q8IWL3_HSCB.pdf</v>
      </c>
    </row>
    <row r="4384" spans="1:28" x14ac:dyDescent="0.25">
      <c r="A4384" t="s">
        <v>4388</v>
      </c>
      <c r="B4384">
        <v>0.995954080203443</v>
      </c>
      <c r="C4384">
        <v>0.97655677569444499</v>
      </c>
      <c r="D4384">
        <v>0.91032837905197295</v>
      </c>
      <c r="E4384">
        <v>0.84261633505090505</v>
      </c>
      <c r="F4384">
        <v>0.71083162140667</v>
      </c>
      <c r="G4384">
        <v>0.47824078545278997</v>
      </c>
      <c r="H4384">
        <v>0.393031707415538</v>
      </c>
      <c r="I4384">
        <v>0.46519141321726398</v>
      </c>
      <c r="J4384">
        <v>0.490045798031083</v>
      </c>
      <c r="K4384">
        <v>0.52376587471514702</v>
      </c>
      <c r="L4384">
        <v>1229.90662102858</v>
      </c>
      <c r="M4384">
        <v>23.658030479923799</v>
      </c>
      <c r="N4384">
        <v>58.087811676962502</v>
      </c>
      <c r="O4384">
        <v>51.619671213672603</v>
      </c>
      <c r="P4384">
        <v>-6.20649139007379E-2</v>
      </c>
      <c r="Q4384">
        <v>0.45832888322819798</v>
      </c>
      <c r="R4384">
        <v>0.96041700842798305</v>
      </c>
      <c r="S4384" t="s">
        <v>11190</v>
      </c>
      <c r="T4384" t="s">
        <v>13610</v>
      </c>
      <c r="U4384" t="s">
        <v>13610</v>
      </c>
      <c r="V4384" t="s">
        <v>13610</v>
      </c>
      <c r="W4384" t="s">
        <v>17933</v>
      </c>
      <c r="X4384">
        <v>2</v>
      </c>
      <c r="Y4384" t="s">
        <v>24517</v>
      </c>
      <c r="Z4384" t="s">
        <v>31239</v>
      </c>
      <c r="AA4384">
        <v>0.68025457337727757</v>
      </c>
      <c r="AB4384" t="str">
        <f>HYPERLINK("Melting_Curves/meltCurve_Q8IWP9_CCDC28A.pdf", "Melting_Curves/meltCurve_Q8IWP9_CCDC28A.pdf")</f>
        <v>Melting_Curves/meltCurve_Q8IWP9_CCDC28A.pdf</v>
      </c>
    </row>
    <row r="4385" spans="1:28" x14ac:dyDescent="0.25">
      <c r="A4385" t="s">
        <v>4389</v>
      </c>
      <c r="B4385">
        <v>0.995954080203443</v>
      </c>
      <c r="C4385">
        <v>0.92467199558759605</v>
      </c>
      <c r="D4385">
        <v>0.66095492662220401</v>
      </c>
      <c r="E4385">
        <v>0.47833883898079199</v>
      </c>
      <c r="F4385">
        <v>0.29932210073402699</v>
      </c>
      <c r="G4385">
        <v>0.17947705962264399</v>
      </c>
      <c r="H4385">
        <v>0.12687249684355301</v>
      </c>
      <c r="I4385">
        <v>0.12580306694283699</v>
      </c>
      <c r="J4385">
        <v>0.15887525155219001</v>
      </c>
      <c r="K4385">
        <v>0.13422960567004399</v>
      </c>
      <c r="L4385">
        <v>754.21495375261804</v>
      </c>
      <c r="M4385">
        <v>15.6383631649873</v>
      </c>
      <c r="N4385">
        <v>49.093003181963603</v>
      </c>
      <c r="O4385">
        <v>47.460532772710799</v>
      </c>
      <c r="P4385">
        <v>-7.2467233677941195E-2</v>
      </c>
      <c r="Q4385">
        <v>0.120358439844892</v>
      </c>
      <c r="R4385">
        <v>0.99161208744274398</v>
      </c>
      <c r="S4385" t="s">
        <v>11191</v>
      </c>
      <c r="T4385" t="s">
        <v>13610</v>
      </c>
      <c r="U4385" t="s">
        <v>13610</v>
      </c>
      <c r="V4385" t="s">
        <v>13610</v>
      </c>
      <c r="W4385" t="s">
        <v>17934</v>
      </c>
      <c r="X4385">
        <v>9</v>
      </c>
      <c r="Y4385" t="s">
        <v>24518</v>
      </c>
      <c r="Z4385" t="s">
        <v>31240</v>
      </c>
      <c r="AA4385">
        <v>0.38226163066722119</v>
      </c>
      <c r="AB4385" t="str">
        <f>HYPERLINK("Melting_Curves/meltCurve_Q8IWR0_ZC3H7A.pdf", "Melting_Curves/meltCurve_Q8IWR0_ZC3H7A.pdf")</f>
        <v>Melting_Curves/meltCurve_Q8IWR0_ZC3H7A.pdf</v>
      </c>
    </row>
    <row r="4386" spans="1:28" x14ac:dyDescent="0.25">
      <c r="A4386" t="s">
        <v>4390</v>
      </c>
      <c r="B4386">
        <v>0.995954080203443</v>
      </c>
      <c r="C4386">
        <v>1.0527934709904301</v>
      </c>
      <c r="D4386">
        <v>1.0714304049866801</v>
      </c>
      <c r="E4386">
        <v>0.79858614055315003</v>
      </c>
      <c r="F4386">
        <v>0.27064839197996798</v>
      </c>
      <c r="G4386">
        <v>0.10228453119108701</v>
      </c>
      <c r="H4386">
        <v>6.2429944430416703E-2</v>
      </c>
      <c r="I4386">
        <v>5.8417534294898203E-2</v>
      </c>
      <c r="J4386">
        <v>5.47563930177625E-2</v>
      </c>
      <c r="K4386">
        <v>5.9126659108404402E-2</v>
      </c>
      <c r="L4386">
        <v>2275.6547351853501</v>
      </c>
      <c r="M4386">
        <v>44.195854982405699</v>
      </c>
      <c r="N4386">
        <v>51.651245714208201</v>
      </c>
      <c r="O4386">
        <v>51.3851445461952</v>
      </c>
      <c r="P4386">
        <v>-0.20118557064301801</v>
      </c>
      <c r="Q4386">
        <v>6.4352507156539104E-2</v>
      </c>
      <c r="R4386">
        <v>0.99512517626964003</v>
      </c>
      <c r="S4386" t="s">
        <v>11192</v>
      </c>
      <c r="T4386" t="s">
        <v>13610</v>
      </c>
      <c r="U4386" t="s">
        <v>13610</v>
      </c>
      <c r="V4386" t="s">
        <v>13610</v>
      </c>
      <c r="W4386" t="s">
        <v>17935</v>
      </c>
      <c r="X4386">
        <v>4</v>
      </c>
      <c r="Y4386" t="s">
        <v>24519</v>
      </c>
      <c r="Z4386" t="s">
        <v>31241</v>
      </c>
      <c r="AA4386">
        <v>0.42543635450353462</v>
      </c>
      <c r="AB4386" t="str">
        <f>HYPERLINK("Melting_Curves/meltCurve_Q8IWT0_ZBTB8OS.pdf", "Melting_Curves/meltCurve_Q8IWT0_ZBTB8OS.pdf")</f>
        <v>Melting_Curves/meltCurve_Q8IWT0_ZBTB8OS.pdf</v>
      </c>
    </row>
    <row r="4387" spans="1:28" x14ac:dyDescent="0.25">
      <c r="A4387" t="s">
        <v>4391</v>
      </c>
      <c r="B4387">
        <v>0.995954080203443</v>
      </c>
      <c r="C4387">
        <v>1.04648251143451</v>
      </c>
      <c r="D4387">
        <v>1.08157336001241</v>
      </c>
      <c r="E4387">
        <v>1.03192795643462</v>
      </c>
      <c r="F4387">
        <v>0.97949306356342802</v>
      </c>
      <c r="G4387">
        <v>0.74690304976241695</v>
      </c>
      <c r="H4387">
        <v>0.71046853041998304</v>
      </c>
      <c r="I4387">
        <v>0.82489032048425504</v>
      </c>
      <c r="J4387">
        <v>1.1596637223147901</v>
      </c>
      <c r="K4387">
        <v>1.0501516826174</v>
      </c>
      <c r="L4387">
        <v>13322.855910239499</v>
      </c>
      <c r="M4387">
        <v>250</v>
      </c>
      <c r="O4387">
        <v>53.288013346467999</v>
      </c>
      <c r="P4387">
        <v>-0.119145621357913</v>
      </c>
      <c r="Q4387">
        <v>0.89841546474757406</v>
      </c>
      <c r="R4387">
        <v>0.18793746716175799</v>
      </c>
      <c r="S4387" t="s">
        <v>11193</v>
      </c>
      <c r="T4387" t="s">
        <v>13610</v>
      </c>
      <c r="U4387" t="s">
        <v>13610</v>
      </c>
      <c r="V4387" t="s">
        <v>13610</v>
      </c>
      <c r="W4387" t="s">
        <v>17936</v>
      </c>
      <c r="X4387">
        <v>12</v>
      </c>
      <c r="Y4387" t="s">
        <v>24520</v>
      </c>
      <c r="Z4387" t="s">
        <v>31242</v>
      </c>
      <c r="AA4387">
        <v>0.94343173528445123</v>
      </c>
      <c r="AB4387" t="str">
        <f>HYPERLINK("Melting_Curves/meltCurve_Q8IWU2_LMTK2.pdf", "Melting_Curves/meltCurve_Q8IWU2_LMTK2.pdf")</f>
        <v>Melting_Curves/meltCurve_Q8IWU2_LMTK2.pdf</v>
      </c>
    </row>
    <row r="4388" spans="1:28" x14ac:dyDescent="0.25">
      <c r="A4388" t="s">
        <v>4392</v>
      </c>
      <c r="B4388">
        <v>0.995954080203443</v>
      </c>
      <c r="C4388">
        <v>0.87809843416460398</v>
      </c>
      <c r="D4388">
        <v>0.72711407355423197</v>
      </c>
      <c r="E4388">
        <v>0.45656853090038202</v>
      </c>
      <c r="F4388">
        <v>0.29388671744280298</v>
      </c>
      <c r="G4388">
        <v>0.13888734733080901</v>
      </c>
      <c r="H4388">
        <v>0.119171395328644</v>
      </c>
      <c r="I4388">
        <v>0.122357788707201</v>
      </c>
      <c r="J4388">
        <v>0.13914224054079699</v>
      </c>
      <c r="K4388">
        <v>0.119735333828869</v>
      </c>
      <c r="L4388">
        <v>780.40225231744296</v>
      </c>
      <c r="M4388">
        <v>16.114292766712602</v>
      </c>
      <c r="N4388">
        <v>49.140565606152897</v>
      </c>
      <c r="O4388">
        <v>47.701790046953498</v>
      </c>
      <c r="P4388">
        <v>-7.5673247403270805E-2</v>
      </c>
      <c r="Q4388">
        <v>0.104031652971421</v>
      </c>
      <c r="R4388">
        <v>0.99634806568206702</v>
      </c>
      <c r="S4388" t="s">
        <v>11194</v>
      </c>
      <c r="T4388" t="s">
        <v>13610</v>
      </c>
      <c r="U4388" t="s">
        <v>13610</v>
      </c>
      <c r="V4388" t="s">
        <v>13610</v>
      </c>
      <c r="W4388" t="s">
        <v>17937</v>
      </c>
      <c r="X4388">
        <v>21</v>
      </c>
      <c r="Y4388" t="s">
        <v>24521</v>
      </c>
      <c r="Z4388" t="s">
        <v>31243</v>
      </c>
      <c r="AA4388">
        <v>0.37542309843637861</v>
      </c>
      <c r="AB4388" t="str">
        <f>HYPERLINK("Melting_Curves/meltCurve_Q8IWV7_UBR1.pdf", "Melting_Curves/meltCurve_Q8IWV7_UBR1.pdf")</f>
        <v>Melting_Curves/meltCurve_Q8IWV7_UBR1.pdf</v>
      </c>
    </row>
    <row r="4389" spans="1:28" x14ac:dyDescent="0.25">
      <c r="A4389" t="s">
        <v>4393</v>
      </c>
      <c r="B4389">
        <v>0.995954080203443</v>
      </c>
      <c r="C4389">
        <v>0.89422296028688597</v>
      </c>
      <c r="D4389">
        <v>0.75576954753543402</v>
      </c>
      <c r="E4389">
        <v>0.55996816232290803</v>
      </c>
      <c r="F4389">
        <v>0.30825492419452</v>
      </c>
      <c r="G4389">
        <v>0.192042759477486</v>
      </c>
      <c r="H4389">
        <v>8.2072484040087504E-2</v>
      </c>
      <c r="I4389">
        <v>7.0579556511477806E-2</v>
      </c>
      <c r="J4389">
        <v>7.4339919156703502E-2</v>
      </c>
      <c r="K4389">
        <v>6.5533186330608006E-2</v>
      </c>
      <c r="L4389">
        <v>695.92549215022802</v>
      </c>
      <c r="M4389">
        <v>13.920495042806101</v>
      </c>
      <c r="N4389">
        <v>50.2505039932473</v>
      </c>
      <c r="O4389">
        <v>48.995071873346802</v>
      </c>
      <c r="P4389">
        <v>-6.8592972717967493E-2</v>
      </c>
      <c r="Q4389">
        <v>3.4441533845737803E-2</v>
      </c>
      <c r="R4389">
        <v>0.99579948447302902</v>
      </c>
      <c r="S4389" t="s">
        <v>11195</v>
      </c>
      <c r="T4389" t="s">
        <v>13610</v>
      </c>
      <c r="U4389" t="s">
        <v>13610</v>
      </c>
      <c r="V4389" t="s">
        <v>13610</v>
      </c>
      <c r="W4389" t="s">
        <v>17938</v>
      </c>
      <c r="X4389">
        <v>28</v>
      </c>
      <c r="Y4389" t="s">
        <v>24522</v>
      </c>
      <c r="Z4389" t="s">
        <v>31244</v>
      </c>
      <c r="AA4389">
        <v>0.38229168538365671</v>
      </c>
      <c r="AB4389" t="str">
        <f>HYPERLINK("Melting_Curves/meltCurve_Q8IWV8_UBR2.pdf", "Melting_Curves/meltCurve_Q8IWV8_UBR2.pdf")</f>
        <v>Melting_Curves/meltCurve_Q8IWV8_UBR2.pdf</v>
      </c>
    </row>
    <row r="4390" spans="1:28" x14ac:dyDescent="0.25">
      <c r="A4390" t="s">
        <v>4394</v>
      </c>
      <c r="B4390">
        <v>0.995954080203443</v>
      </c>
      <c r="C4390">
        <v>1.01691098227081</v>
      </c>
      <c r="D4390">
        <v>0.97368634181937996</v>
      </c>
      <c r="E4390">
        <v>0.83269292199377398</v>
      </c>
      <c r="F4390">
        <v>0.73752054568460501</v>
      </c>
      <c r="G4390">
        <v>0.48615963902689802</v>
      </c>
      <c r="H4390">
        <v>0.325596183404463</v>
      </c>
      <c r="I4390">
        <v>0.33543978234140298</v>
      </c>
      <c r="J4390">
        <v>0.364484725521319</v>
      </c>
      <c r="K4390">
        <v>0.35490143433676402</v>
      </c>
      <c r="L4390">
        <v>1093.04000485806</v>
      </c>
      <c r="M4390">
        <v>20.3926549357192</v>
      </c>
      <c r="N4390">
        <v>56.526888899110901</v>
      </c>
      <c r="O4390">
        <v>53.092259203311997</v>
      </c>
      <c r="P4390">
        <v>-6.4714814417045102E-2</v>
      </c>
      <c r="Q4390">
        <v>0.326080560478056</v>
      </c>
      <c r="R4390">
        <v>0.99029876526206295</v>
      </c>
      <c r="S4390" t="s">
        <v>11196</v>
      </c>
      <c r="T4390" t="s">
        <v>13610</v>
      </c>
      <c r="U4390" t="s">
        <v>13610</v>
      </c>
      <c r="V4390" t="s">
        <v>13610</v>
      </c>
      <c r="W4390" t="s">
        <v>17939</v>
      </c>
      <c r="X4390">
        <v>10</v>
      </c>
      <c r="Y4390" t="s">
        <v>24523</v>
      </c>
      <c r="Z4390" t="s">
        <v>31245</v>
      </c>
      <c r="AA4390">
        <v>0.64050224318827587</v>
      </c>
      <c r="AB4390" t="str">
        <f>HYPERLINK("Melting_Curves/meltCurve_Q8IWW6_2_ARHGAP12.pdf", "Melting_Curves/meltCurve_Q8IWW6_2_ARHGAP12.pdf")</f>
        <v>Melting_Curves/meltCurve_Q8IWW6_2_ARHGAP12.pdf</v>
      </c>
    </row>
    <row r="4391" spans="1:28" x14ac:dyDescent="0.25">
      <c r="A4391" t="s">
        <v>4395</v>
      </c>
      <c r="B4391">
        <v>0.995954080203443</v>
      </c>
      <c r="C4391">
        <v>1.0135037886126199</v>
      </c>
      <c r="D4391">
        <v>0.96263573388267498</v>
      </c>
      <c r="E4391">
        <v>0.79913255950609197</v>
      </c>
      <c r="F4391">
        <v>0.49495239036625799</v>
      </c>
      <c r="G4391">
        <v>0.298873682064146</v>
      </c>
      <c r="H4391">
        <v>0.24909277704962099</v>
      </c>
      <c r="I4391">
        <v>0.27245853460390301</v>
      </c>
      <c r="J4391">
        <v>0.30373224940856602</v>
      </c>
      <c r="K4391">
        <v>0.31355755819340497</v>
      </c>
      <c r="L4391">
        <v>1639.5594952337899</v>
      </c>
      <c r="M4391">
        <v>31.838742255531098</v>
      </c>
      <c r="N4391">
        <v>52.864907637416103</v>
      </c>
      <c r="O4391">
        <v>51.293885277879397</v>
      </c>
      <c r="P4391">
        <v>-0.111605304102634</v>
      </c>
      <c r="Q4391">
        <v>0.28079596278069202</v>
      </c>
      <c r="R4391">
        <v>0.99602040055807795</v>
      </c>
      <c r="S4391" t="s">
        <v>11197</v>
      </c>
      <c r="T4391" t="s">
        <v>13610</v>
      </c>
      <c r="U4391" t="s">
        <v>13610</v>
      </c>
      <c r="V4391" t="s">
        <v>13610</v>
      </c>
      <c r="W4391" t="s">
        <v>17940</v>
      </c>
      <c r="X4391">
        <v>19</v>
      </c>
      <c r="Y4391" t="s">
        <v>24524</v>
      </c>
      <c r="Z4391" t="s">
        <v>31246</v>
      </c>
      <c r="AA4391">
        <v>0.56043653416293282</v>
      </c>
      <c r="AB4391" t="str">
        <f>HYPERLINK("Melting_Curves/meltCurve_Q8IWX8_CHERP.pdf", "Melting_Curves/meltCurve_Q8IWX8_CHERP.pdf")</f>
        <v>Melting_Curves/meltCurve_Q8IWX8_CHERP.pdf</v>
      </c>
    </row>
    <row r="4392" spans="1:28" x14ac:dyDescent="0.25">
      <c r="A4392" t="s">
        <v>4396</v>
      </c>
      <c r="B4392">
        <v>0.995954080203443</v>
      </c>
      <c r="C4392">
        <v>0.71951612859479697</v>
      </c>
      <c r="D4392">
        <v>1.3213678875210999</v>
      </c>
      <c r="E4392">
        <v>0.75171140187751695</v>
      </c>
      <c r="F4392">
        <v>1.5732686741136701</v>
      </c>
      <c r="G4392">
        <v>1.2434562682360699</v>
      </c>
      <c r="H4392">
        <v>0.987850537337014</v>
      </c>
      <c r="I4392">
        <v>1.41841415887848</v>
      </c>
      <c r="J4392">
        <v>1.4485606805357001</v>
      </c>
      <c r="K4392">
        <v>1.6105263171541</v>
      </c>
      <c r="L4392">
        <v>566.33644904140897</v>
      </c>
      <c r="M4392">
        <v>9.9569046939160994</v>
      </c>
      <c r="O4392">
        <v>54.7271734139131</v>
      </c>
      <c r="P4392">
        <v>2.27533940937488E-2</v>
      </c>
      <c r="Q4392">
        <v>1.5</v>
      </c>
      <c r="R4392">
        <v>0.35868914132339202</v>
      </c>
      <c r="S4392" t="s">
        <v>11198</v>
      </c>
      <c r="T4392" t="s">
        <v>13610</v>
      </c>
      <c r="U4392" t="s">
        <v>13610</v>
      </c>
      <c r="V4392" t="s">
        <v>13610</v>
      </c>
      <c r="W4392" t="s">
        <v>17941</v>
      </c>
      <c r="X4392">
        <v>2</v>
      </c>
      <c r="Y4392" t="s">
        <v>24525</v>
      </c>
      <c r="Z4392" t="s">
        <v>31247</v>
      </c>
      <c r="AA4392">
        <v>1.210468593478407</v>
      </c>
      <c r="AB4392" t="str">
        <f>HYPERLINK("Melting_Curves/meltCurve_Q8IWY8_4_ZSCAN29.pdf", "Melting_Curves/meltCurve_Q8IWY8_4_ZSCAN29.pdf")</f>
        <v>Melting_Curves/meltCurve_Q8IWY8_4_ZSCAN29.pdf</v>
      </c>
    </row>
    <row r="4393" spans="1:28" x14ac:dyDescent="0.25">
      <c r="A4393" t="s">
        <v>4397</v>
      </c>
      <c r="B4393">
        <v>0.995954080203443</v>
      </c>
      <c r="C4393">
        <v>0.84360117308438298</v>
      </c>
      <c r="D4393">
        <v>0.62619110915834397</v>
      </c>
      <c r="E4393">
        <v>0.41393066867818201</v>
      </c>
      <c r="F4393">
        <v>0.190349877756749</v>
      </c>
      <c r="G4393">
        <v>0.10889127097308</v>
      </c>
      <c r="H4393">
        <v>7.8211395347366902E-2</v>
      </c>
      <c r="I4393">
        <v>7.7625514053376296E-2</v>
      </c>
      <c r="J4393">
        <v>0.10238129875976</v>
      </c>
      <c r="K4393">
        <v>9.3733486604676994E-2</v>
      </c>
      <c r="L4393">
        <v>759.25677936798195</v>
      </c>
      <c r="M4393">
        <v>15.9846635945208</v>
      </c>
      <c r="N4393">
        <v>47.952333890374298</v>
      </c>
      <c r="O4393">
        <v>46.774334938480003</v>
      </c>
      <c r="P4393">
        <v>-7.9451012362090401E-2</v>
      </c>
      <c r="Q4393">
        <v>7.0115119923501501E-2</v>
      </c>
      <c r="R4393">
        <v>0.99255300556611303</v>
      </c>
      <c r="S4393" t="s">
        <v>11199</v>
      </c>
      <c r="T4393" t="s">
        <v>13610</v>
      </c>
      <c r="U4393" t="s">
        <v>13610</v>
      </c>
      <c r="V4393" t="s">
        <v>13610</v>
      </c>
      <c r="W4393" t="s">
        <v>17942</v>
      </c>
      <c r="X4393">
        <v>9</v>
      </c>
      <c r="Y4393" t="s">
        <v>24526</v>
      </c>
      <c r="Z4393" t="s">
        <v>31248</v>
      </c>
      <c r="AA4393">
        <v>0.32410651552514408</v>
      </c>
      <c r="AB4393" t="str">
        <f>HYPERLINK("Melting_Curves/meltCurve_Q8IWY9_1_CDAN1.pdf", "Melting_Curves/meltCurve_Q8IWY9_1_CDAN1.pdf")</f>
        <v>Melting_Curves/meltCurve_Q8IWY9_1_CDAN1.pdf</v>
      </c>
    </row>
    <row r="4394" spans="1:28" x14ac:dyDescent="0.25">
      <c r="A4394" t="s">
        <v>4398</v>
      </c>
      <c r="B4394">
        <v>0.995954080203443</v>
      </c>
      <c r="C4394">
        <v>0.88062887402383105</v>
      </c>
      <c r="D4394">
        <v>0.68994648838847605</v>
      </c>
      <c r="E4394">
        <v>0.56849476082026895</v>
      </c>
      <c r="F4394">
        <v>0.42258808783780899</v>
      </c>
      <c r="G4394">
        <v>0.29451931945987803</v>
      </c>
      <c r="H4394">
        <v>0.24352268285961601</v>
      </c>
      <c r="I4394">
        <v>0.27317044942348601</v>
      </c>
      <c r="J4394">
        <v>0.28744136082800598</v>
      </c>
      <c r="K4394">
        <v>0.295778024358751</v>
      </c>
      <c r="L4394">
        <v>677.57094146083602</v>
      </c>
      <c r="M4394">
        <v>14.131095087831101</v>
      </c>
      <c r="N4394">
        <v>50.502420720849699</v>
      </c>
      <c r="O4394">
        <v>47.019313674593</v>
      </c>
      <c r="P4394">
        <v>-5.5961323742224602E-2</v>
      </c>
      <c r="Q4394">
        <v>0.25527961254564902</v>
      </c>
      <c r="R4394">
        <v>0.98473952251680197</v>
      </c>
      <c r="S4394" t="s">
        <v>11200</v>
      </c>
      <c r="T4394" t="s">
        <v>13610</v>
      </c>
      <c r="U4394" t="s">
        <v>13610</v>
      </c>
      <c r="V4394" t="s">
        <v>13610</v>
      </c>
      <c r="W4394" t="s">
        <v>17943</v>
      </c>
      <c r="X4394">
        <v>48</v>
      </c>
      <c r="Y4394" t="s">
        <v>20698</v>
      </c>
      <c r="Z4394" t="s">
        <v>31249</v>
      </c>
      <c r="AA4394">
        <v>0.47419743665179431</v>
      </c>
      <c r="AB4394" t="str">
        <f>HYPERLINK("Melting_Curves/meltCurve_Q8IWZ3_6_ANKHD1.pdf", "Melting_Curves/meltCurve_Q8IWZ3_6_ANKHD1.pdf")</f>
        <v>Melting_Curves/meltCurve_Q8IWZ3_6_ANKHD1.pdf</v>
      </c>
    </row>
    <row r="4395" spans="1:28" x14ac:dyDescent="0.25">
      <c r="A4395" t="s">
        <v>4399</v>
      </c>
      <c r="B4395">
        <v>0.995954080203443</v>
      </c>
      <c r="C4395">
        <v>1.0047197638335399</v>
      </c>
      <c r="D4395">
        <v>0.98232675155228799</v>
      </c>
      <c r="E4395">
        <v>0.89015205588419499</v>
      </c>
      <c r="F4395">
        <v>0.79291483906403903</v>
      </c>
      <c r="G4395">
        <v>0.57882938702949904</v>
      </c>
      <c r="H4395">
        <v>0.53475574350426702</v>
      </c>
      <c r="I4395">
        <v>0.62402357549589205</v>
      </c>
      <c r="J4395">
        <v>0.723658392651789</v>
      </c>
      <c r="K4395">
        <v>0.73105243097630901</v>
      </c>
      <c r="L4395">
        <v>1740.94785948805</v>
      </c>
      <c r="M4395">
        <v>33.629006779805103</v>
      </c>
      <c r="O4395">
        <v>51.587198858044097</v>
      </c>
      <c r="P4395">
        <v>-5.8709836874689197E-2</v>
      </c>
      <c r="Q4395">
        <v>0.63975582545228404</v>
      </c>
      <c r="R4395">
        <v>0.87369003815425506</v>
      </c>
      <c r="S4395" t="s">
        <v>11201</v>
      </c>
      <c r="T4395" t="s">
        <v>13610</v>
      </c>
      <c r="U4395" t="s">
        <v>13610</v>
      </c>
      <c r="V4395" t="s">
        <v>13610</v>
      </c>
      <c r="W4395" t="s">
        <v>17944</v>
      </c>
      <c r="X4395">
        <v>32</v>
      </c>
      <c r="Y4395" t="s">
        <v>24527</v>
      </c>
      <c r="Z4395" t="s">
        <v>31250</v>
      </c>
      <c r="AA4395">
        <v>0.78290828815253155</v>
      </c>
      <c r="AB4395" t="str">
        <f>HYPERLINK("Melting_Curves/meltCurve_Q8IWZ8_SUGP1.pdf", "Melting_Curves/meltCurve_Q8IWZ8_SUGP1.pdf")</f>
        <v>Melting_Curves/meltCurve_Q8IWZ8_SUGP1.pdf</v>
      </c>
    </row>
    <row r="4396" spans="1:28" x14ac:dyDescent="0.25">
      <c r="A4396" t="s">
        <v>4400</v>
      </c>
      <c r="B4396">
        <v>0.995954080203443</v>
      </c>
      <c r="C4396">
        <v>0.92928927209376799</v>
      </c>
      <c r="D4396">
        <v>0.93163875059379297</v>
      </c>
      <c r="E4396">
        <v>0.882804192855142</v>
      </c>
      <c r="F4396">
        <v>0.89458976419568204</v>
      </c>
      <c r="G4396">
        <v>0.69999527214512203</v>
      </c>
      <c r="H4396">
        <v>0.65383682047381697</v>
      </c>
      <c r="I4396">
        <v>0.793573868689188</v>
      </c>
      <c r="J4396">
        <v>0.88056382068937</v>
      </c>
      <c r="K4396">
        <v>0.93252217908792501</v>
      </c>
      <c r="L4396">
        <v>782.65759751718099</v>
      </c>
      <c r="M4396">
        <v>16.516981983331998</v>
      </c>
      <c r="O4396">
        <v>46.706748420348703</v>
      </c>
      <c r="P4396">
        <v>-1.7446067986145501E-2</v>
      </c>
      <c r="Q4396">
        <v>0.80267748679978101</v>
      </c>
      <c r="R4396">
        <v>0.39669165455817501</v>
      </c>
      <c r="S4396" t="s">
        <v>11202</v>
      </c>
      <c r="T4396" t="s">
        <v>13610</v>
      </c>
      <c r="U4396" t="s">
        <v>13610</v>
      </c>
      <c r="V4396" t="s">
        <v>13610</v>
      </c>
      <c r="W4396" t="s">
        <v>17945</v>
      </c>
      <c r="X4396">
        <v>20</v>
      </c>
      <c r="Y4396" t="s">
        <v>24528</v>
      </c>
      <c r="Z4396" t="s">
        <v>31251</v>
      </c>
      <c r="AA4396">
        <v>0.85554647446199894</v>
      </c>
      <c r="AB4396" t="str">
        <f>HYPERLINK("Melting_Curves/meltCurve_Q8IX01_4_SUGP2.pdf", "Melting_Curves/meltCurve_Q8IX01_4_SUGP2.pdf")</f>
        <v>Melting_Curves/meltCurve_Q8IX01_4_SUGP2.pdf</v>
      </c>
    </row>
    <row r="4397" spans="1:28" x14ac:dyDescent="0.25">
      <c r="A4397" t="s">
        <v>4401</v>
      </c>
      <c r="B4397">
        <v>0.995954080203443</v>
      </c>
      <c r="C4397">
        <v>0.89787112773301403</v>
      </c>
      <c r="D4397">
        <v>0.87096808905670697</v>
      </c>
      <c r="E4397">
        <v>0.65359357983964295</v>
      </c>
      <c r="F4397">
        <v>0.34608110067120001</v>
      </c>
      <c r="G4397">
        <v>0.176653553961125</v>
      </c>
      <c r="H4397">
        <v>0.12251369771413401</v>
      </c>
      <c r="I4397">
        <v>0.105454364534203</v>
      </c>
      <c r="J4397">
        <v>0.11441305058927501</v>
      </c>
      <c r="K4397">
        <v>9.8946026402329607E-2</v>
      </c>
      <c r="L4397">
        <v>948.60576279355496</v>
      </c>
      <c r="M4397">
        <v>18.687978103425198</v>
      </c>
      <c r="N4397">
        <v>51.292378442976499</v>
      </c>
      <c r="O4397">
        <v>50.189691842794197</v>
      </c>
      <c r="P4397">
        <v>-8.4887008950727594E-2</v>
      </c>
      <c r="Q4397">
        <v>8.8125689256943196E-2</v>
      </c>
      <c r="R4397">
        <v>0.99295115940193002</v>
      </c>
      <c r="S4397" t="s">
        <v>11203</v>
      </c>
      <c r="T4397" t="s">
        <v>13610</v>
      </c>
      <c r="U4397" t="s">
        <v>13610</v>
      </c>
      <c r="V4397" t="s">
        <v>13610</v>
      </c>
      <c r="W4397" t="s">
        <v>17946</v>
      </c>
      <c r="X4397">
        <v>5</v>
      </c>
      <c r="Y4397" t="s">
        <v>24529</v>
      </c>
      <c r="Z4397" t="s">
        <v>31252</v>
      </c>
      <c r="AA4397">
        <v>0.42957161285363471</v>
      </c>
      <c r="AB4397" t="str">
        <f>HYPERLINK("Melting_Curves/meltCurve_Q8IX04_6_UEVLD.pdf", "Melting_Curves/meltCurve_Q8IX04_6_UEVLD.pdf")</f>
        <v>Melting_Curves/meltCurve_Q8IX04_6_UEVLD.pdf</v>
      </c>
    </row>
    <row r="4398" spans="1:28" x14ac:dyDescent="0.25">
      <c r="A4398" t="s">
        <v>4402</v>
      </c>
      <c r="B4398">
        <v>0.995954080203443</v>
      </c>
      <c r="C4398">
        <v>1.09823617094183</v>
      </c>
      <c r="D4398">
        <v>1.0322924965112601</v>
      </c>
      <c r="E4398">
        <v>0.76898036557332805</v>
      </c>
      <c r="F4398">
        <v>0.53668362551581905</v>
      </c>
      <c r="G4398">
        <v>0.37269258005078898</v>
      </c>
      <c r="H4398">
        <v>0.293131386611586</v>
      </c>
      <c r="I4398">
        <v>0.299336370693224</v>
      </c>
      <c r="J4398">
        <v>0.34370306221915697</v>
      </c>
      <c r="K4398">
        <v>0.30783236239440498</v>
      </c>
      <c r="L4398">
        <v>1462.1830480426199</v>
      </c>
      <c r="M4398">
        <v>28.3957578746504</v>
      </c>
      <c r="N4398">
        <v>53.340602761547402</v>
      </c>
      <c r="O4398">
        <v>51.239654930859103</v>
      </c>
      <c r="P4398">
        <v>-9.5178780279978503E-2</v>
      </c>
      <c r="Q4398">
        <v>0.31301170456209698</v>
      </c>
      <c r="R4398">
        <v>0.98400879751932302</v>
      </c>
      <c r="S4398" t="s">
        <v>11204</v>
      </c>
      <c r="T4398" t="s">
        <v>13610</v>
      </c>
      <c r="U4398" t="s">
        <v>13610</v>
      </c>
      <c r="V4398" t="s">
        <v>13610</v>
      </c>
      <c r="W4398" t="s">
        <v>17947</v>
      </c>
      <c r="X4398">
        <v>8</v>
      </c>
      <c r="Y4398" t="s">
        <v>24530</v>
      </c>
      <c r="Z4398" t="s">
        <v>31253</v>
      </c>
      <c r="AA4398">
        <v>0.58105411184400091</v>
      </c>
      <c r="AB4398" t="str">
        <f>HYPERLINK("Melting_Curves/meltCurve_Q8IX07_ZFPM1.pdf", "Melting_Curves/meltCurve_Q8IX07_ZFPM1.pdf")</f>
        <v>Melting_Curves/meltCurve_Q8IX07_ZFPM1.pdf</v>
      </c>
    </row>
    <row r="4399" spans="1:28" x14ac:dyDescent="0.25">
      <c r="A4399" t="s">
        <v>4403</v>
      </c>
      <c r="B4399">
        <v>0.995954080203443</v>
      </c>
      <c r="C4399">
        <v>0.93043665428839895</v>
      </c>
      <c r="D4399">
        <v>0.83993377950555403</v>
      </c>
      <c r="E4399">
        <v>0.63209354777262705</v>
      </c>
      <c r="F4399">
        <v>0.427028579051204</v>
      </c>
      <c r="G4399">
        <v>0.30264112465612802</v>
      </c>
      <c r="H4399">
        <v>0.25826082120342803</v>
      </c>
      <c r="I4399">
        <v>0.27840506363557399</v>
      </c>
      <c r="J4399">
        <v>0.33378100389716198</v>
      </c>
      <c r="K4399">
        <v>0.324599410719137</v>
      </c>
      <c r="L4399">
        <v>941.06637332377704</v>
      </c>
      <c r="M4399">
        <v>19.0767795351146</v>
      </c>
      <c r="N4399">
        <v>51.611101653741599</v>
      </c>
      <c r="O4399">
        <v>48.797964090087603</v>
      </c>
      <c r="P4399">
        <v>-6.9902977762327595E-2</v>
      </c>
      <c r="Q4399">
        <v>0.28478691868337702</v>
      </c>
      <c r="R4399">
        <v>0.98792685561885596</v>
      </c>
      <c r="S4399" t="s">
        <v>11205</v>
      </c>
      <c r="T4399" t="s">
        <v>13610</v>
      </c>
      <c r="U4399" t="s">
        <v>13610</v>
      </c>
      <c r="V4399" t="s">
        <v>13610</v>
      </c>
      <c r="W4399" t="s">
        <v>17948</v>
      </c>
      <c r="X4399">
        <v>32</v>
      </c>
      <c r="Y4399" t="s">
        <v>24531</v>
      </c>
      <c r="Z4399" t="s">
        <v>31254</v>
      </c>
      <c r="AA4399">
        <v>0.51820985598304448</v>
      </c>
      <c r="AB4399" t="str">
        <f>HYPERLINK("Melting_Curves/meltCurve_Q8IX12_2_CCAR1.pdf", "Melting_Curves/meltCurve_Q8IX12_2_CCAR1.pdf")</f>
        <v>Melting_Curves/meltCurve_Q8IX12_2_CCAR1.pdf</v>
      </c>
    </row>
    <row r="4400" spans="1:28" x14ac:dyDescent="0.25">
      <c r="A4400" t="s">
        <v>4404</v>
      </c>
      <c r="B4400">
        <v>0.995954080203443</v>
      </c>
      <c r="C4400">
        <v>1.0167198270461899</v>
      </c>
      <c r="D4400">
        <v>0.97533838207544499</v>
      </c>
      <c r="E4400">
        <v>0.75204630656945604</v>
      </c>
      <c r="F4400">
        <v>0.59039877836916299</v>
      </c>
      <c r="G4400">
        <v>0.462383702111961</v>
      </c>
      <c r="H4400">
        <v>0.35583095053178498</v>
      </c>
      <c r="I4400">
        <v>0.30636772988287703</v>
      </c>
      <c r="J4400">
        <v>0.382290930680728</v>
      </c>
      <c r="K4400">
        <v>0.31904402279781202</v>
      </c>
      <c r="L4400">
        <v>994.39491870241795</v>
      </c>
      <c r="M4400">
        <v>19.200641951820799</v>
      </c>
      <c r="N4400">
        <v>54.880537733512902</v>
      </c>
      <c r="O4400">
        <v>51.237708294910199</v>
      </c>
      <c r="P4400">
        <v>-6.2729888797221398E-2</v>
      </c>
      <c r="Q4400">
        <v>0.33043638024844402</v>
      </c>
      <c r="R4400">
        <v>0.99063819113757601</v>
      </c>
      <c r="S4400" t="s">
        <v>11206</v>
      </c>
      <c r="T4400" t="s">
        <v>13610</v>
      </c>
      <c r="U4400" t="s">
        <v>13610</v>
      </c>
      <c r="V4400" t="s">
        <v>13610</v>
      </c>
      <c r="W4400" t="s">
        <v>17949</v>
      </c>
      <c r="X4400">
        <v>6</v>
      </c>
      <c r="Y4400" t="s">
        <v>24532</v>
      </c>
      <c r="Z4400" t="s">
        <v>31255</v>
      </c>
      <c r="AA4400">
        <v>0.60354512874437105</v>
      </c>
      <c r="AB4400" t="str">
        <f>HYPERLINK("Melting_Curves/meltCurve_Q8IX15_HOMEZ.pdf", "Melting_Curves/meltCurve_Q8IX15_HOMEZ.pdf")</f>
        <v>Melting_Curves/meltCurve_Q8IX15_HOMEZ.pdf</v>
      </c>
    </row>
    <row r="4401" spans="1:28" x14ac:dyDescent="0.25">
      <c r="A4401" t="s">
        <v>4405</v>
      </c>
      <c r="B4401">
        <v>0.995954080203443</v>
      </c>
      <c r="C4401">
        <v>0.83459646152806699</v>
      </c>
      <c r="D4401">
        <v>0.63404275517558595</v>
      </c>
      <c r="E4401">
        <v>0.46195888997051299</v>
      </c>
      <c r="F4401">
        <v>0.16442648561586701</v>
      </c>
      <c r="G4401">
        <v>8.5207295251102502E-2</v>
      </c>
      <c r="H4401">
        <v>5.2405039015678702E-2</v>
      </c>
      <c r="I4401">
        <v>3.7054891117026402E-2</v>
      </c>
      <c r="J4401">
        <v>4.6920998804037703E-2</v>
      </c>
      <c r="K4401">
        <v>3.79684833896545E-2</v>
      </c>
      <c r="L4401">
        <v>703.57675073187704</v>
      </c>
      <c r="M4401">
        <v>14.609790962446199</v>
      </c>
      <c r="N4401">
        <v>48.251511530473799</v>
      </c>
      <c r="O4401">
        <v>47.282620565676702</v>
      </c>
      <c r="P4401">
        <v>-7.6176225722259794E-2</v>
      </c>
      <c r="Q4401">
        <v>1.3974080060759401E-2</v>
      </c>
      <c r="R4401">
        <v>0.98781342215391099</v>
      </c>
      <c r="S4401" t="s">
        <v>11207</v>
      </c>
      <c r="T4401" t="s">
        <v>13610</v>
      </c>
      <c r="U4401" t="s">
        <v>13610</v>
      </c>
      <c r="V4401" t="s">
        <v>13610</v>
      </c>
      <c r="W4401" t="s">
        <v>17950</v>
      </c>
      <c r="X4401">
        <v>12</v>
      </c>
      <c r="Y4401" t="s">
        <v>24533</v>
      </c>
      <c r="Z4401" t="s">
        <v>31256</v>
      </c>
      <c r="AA4401">
        <v>0.30862487919445392</v>
      </c>
      <c r="AB4401" t="str">
        <f>HYPERLINK("Melting_Curves/meltCurve_Q8IX18_3_DHX40.pdf", "Melting_Curves/meltCurve_Q8IX18_3_DHX40.pdf")</f>
        <v>Melting_Curves/meltCurve_Q8IX18_3_DHX40.pdf</v>
      </c>
    </row>
    <row r="4402" spans="1:28" x14ac:dyDescent="0.25">
      <c r="A4402" t="s">
        <v>4406</v>
      </c>
      <c r="B4402">
        <v>0.995954080203443</v>
      </c>
      <c r="C4402">
        <v>0.86186940907445098</v>
      </c>
      <c r="D4402">
        <v>0.80294265694099698</v>
      </c>
      <c r="E4402">
        <v>0.66308437301511602</v>
      </c>
      <c r="F4402">
        <v>0.70931160251258096</v>
      </c>
      <c r="G4402">
        <v>0.59436616956282196</v>
      </c>
      <c r="H4402">
        <v>0.56646906273725794</v>
      </c>
      <c r="I4402">
        <v>0.68237104345767396</v>
      </c>
      <c r="J4402">
        <v>0.81656745837433498</v>
      </c>
      <c r="K4402">
        <v>0.81542803991076396</v>
      </c>
      <c r="L4402">
        <v>1095.45214302107</v>
      </c>
      <c r="M4402">
        <v>24.972578493922502</v>
      </c>
      <c r="O4402">
        <v>43.587804516346203</v>
      </c>
      <c r="P4402">
        <v>-4.3983477128040203E-2</v>
      </c>
      <c r="Q4402">
        <v>0.69292436224376297</v>
      </c>
      <c r="R4402">
        <v>0.61010023729394103</v>
      </c>
      <c r="S4402" t="s">
        <v>11208</v>
      </c>
      <c r="T4402" t="s">
        <v>13610</v>
      </c>
      <c r="U4402" t="s">
        <v>13610</v>
      </c>
      <c r="V4402" t="s">
        <v>13610</v>
      </c>
      <c r="W4402" t="s">
        <v>17951</v>
      </c>
      <c r="X4402">
        <v>12</v>
      </c>
      <c r="Y4402" t="s">
        <v>24534</v>
      </c>
      <c r="Z4402" t="s">
        <v>31257</v>
      </c>
      <c r="AA4402">
        <v>0.73611248985533095</v>
      </c>
      <c r="AB4402" t="str">
        <f>HYPERLINK("Melting_Curves/meltCurve_Q8IX90_SKA3.pdf", "Melting_Curves/meltCurve_Q8IX90_SKA3.pdf")</f>
        <v>Melting_Curves/meltCurve_Q8IX90_SKA3.pdf</v>
      </c>
    </row>
    <row r="4403" spans="1:28" x14ac:dyDescent="0.25">
      <c r="A4403" t="s">
        <v>4407</v>
      </c>
      <c r="B4403">
        <v>0.995954080203443</v>
      </c>
      <c r="C4403">
        <v>0.87271695936175797</v>
      </c>
      <c r="D4403">
        <v>0.707667091141298</v>
      </c>
      <c r="E4403">
        <v>0.57427587850291795</v>
      </c>
      <c r="F4403">
        <v>0.26343285937695399</v>
      </c>
      <c r="G4403">
        <v>0.13578119067076999</v>
      </c>
      <c r="H4403">
        <v>0.118364261795155</v>
      </c>
      <c r="I4403">
        <v>0.13692100084973799</v>
      </c>
      <c r="J4403">
        <v>0.194024043482346</v>
      </c>
      <c r="K4403">
        <v>0.159898158963765</v>
      </c>
      <c r="L4403">
        <v>773.13586478492596</v>
      </c>
      <c r="M4403">
        <v>15.886359614369001</v>
      </c>
      <c r="N4403">
        <v>49.543853210855502</v>
      </c>
      <c r="O4403">
        <v>47.915082676169597</v>
      </c>
      <c r="P4403">
        <v>-7.2732634763306103E-2</v>
      </c>
      <c r="Q4403">
        <v>0.122590799517988</v>
      </c>
      <c r="R4403">
        <v>0.97402130135070897</v>
      </c>
      <c r="S4403" t="s">
        <v>11209</v>
      </c>
      <c r="T4403" t="s">
        <v>13610</v>
      </c>
      <c r="U4403" t="s">
        <v>13610</v>
      </c>
      <c r="V4403" t="s">
        <v>13610</v>
      </c>
      <c r="W4403" t="s">
        <v>17952</v>
      </c>
      <c r="X4403">
        <v>7</v>
      </c>
      <c r="Y4403" t="s">
        <v>24535</v>
      </c>
      <c r="Z4403" t="s">
        <v>31258</v>
      </c>
      <c r="AA4403">
        <v>0.39569138123753511</v>
      </c>
      <c r="AB4403" t="str">
        <f>HYPERLINK("Melting_Curves/meltCurve_Q8IXB1_2_DNAJC10.pdf", "Melting_Curves/meltCurve_Q8IXB1_2_DNAJC10.pdf")</f>
        <v>Melting_Curves/meltCurve_Q8IXB1_2_DNAJC10.pdf</v>
      </c>
    </row>
    <row r="4404" spans="1:28" x14ac:dyDescent="0.25">
      <c r="A4404" t="s">
        <v>4408</v>
      </c>
      <c r="B4404">
        <v>0.995954080203443</v>
      </c>
      <c r="C4404">
        <v>0.96742283468516099</v>
      </c>
      <c r="D4404">
        <v>0.75620909217459498</v>
      </c>
      <c r="E4404">
        <v>0.34744175873781902</v>
      </c>
      <c r="F4404">
        <v>0.16819289544622801</v>
      </c>
      <c r="G4404">
        <v>9.4252522878381595E-2</v>
      </c>
      <c r="H4404">
        <v>6.1362663827050003E-2</v>
      </c>
      <c r="I4404">
        <v>5.3521450418724303E-2</v>
      </c>
      <c r="J4404">
        <v>6.1765962398952302E-2</v>
      </c>
      <c r="K4404">
        <v>5.5127555786373399E-2</v>
      </c>
      <c r="L4404">
        <v>1099.1900285250699</v>
      </c>
      <c r="M4404">
        <v>22.793490299838599</v>
      </c>
      <c r="N4404">
        <v>48.483108329578101</v>
      </c>
      <c r="O4404">
        <v>47.857277354540699</v>
      </c>
      <c r="P4404">
        <v>-0.112240829260215</v>
      </c>
      <c r="Q4404">
        <v>5.7373700381320301E-2</v>
      </c>
      <c r="R4404">
        <v>0.99951051326256402</v>
      </c>
      <c r="S4404" t="s">
        <v>11210</v>
      </c>
      <c r="T4404" t="s">
        <v>13610</v>
      </c>
      <c r="U4404" t="s">
        <v>13610</v>
      </c>
      <c r="V4404" t="s">
        <v>13610</v>
      </c>
      <c r="W4404" t="s">
        <v>17953</v>
      </c>
      <c r="X4404">
        <v>18</v>
      </c>
      <c r="Y4404" t="s">
        <v>24536</v>
      </c>
      <c r="Z4404" t="s">
        <v>31259</v>
      </c>
      <c r="AA4404">
        <v>0.32589863622964521</v>
      </c>
      <c r="AB4404" t="str">
        <f>HYPERLINK("Melting_Curves/meltCurve_Q8IXH7_4_NELFCD.pdf", "Melting_Curves/meltCurve_Q8IXH7_4_NELFCD.pdf")</f>
        <v>Melting_Curves/meltCurve_Q8IXH7_4_NELFCD.pdf</v>
      </c>
    </row>
    <row r="4405" spans="1:28" x14ac:dyDescent="0.25">
      <c r="A4405" t="s">
        <v>4409</v>
      </c>
      <c r="B4405">
        <v>0.995954080203443</v>
      </c>
      <c r="C4405">
        <v>1.02069171511826</v>
      </c>
      <c r="D4405">
        <v>0.95677734667443604</v>
      </c>
      <c r="E4405">
        <v>0.76358064241424595</v>
      </c>
      <c r="F4405">
        <v>0.30496474086987402</v>
      </c>
      <c r="G4405">
        <v>0.13432689789463101</v>
      </c>
      <c r="H4405">
        <v>9.7651842413593301E-2</v>
      </c>
      <c r="I4405">
        <v>8.9645956758895001E-2</v>
      </c>
      <c r="J4405">
        <v>9.6178711553794705E-2</v>
      </c>
      <c r="K4405">
        <v>9.8978399293497402E-2</v>
      </c>
      <c r="L4405">
        <v>1908.4244561317801</v>
      </c>
      <c r="M4405">
        <v>37.171892529359098</v>
      </c>
      <c r="N4405">
        <v>51.6416328643272</v>
      </c>
      <c r="O4405">
        <v>51.192625033637</v>
      </c>
      <c r="P4405">
        <v>-0.16384423760348699</v>
      </c>
      <c r="Q4405">
        <v>9.7426492389336206E-2</v>
      </c>
      <c r="R4405">
        <v>0.998842929966405</v>
      </c>
      <c r="S4405" t="s">
        <v>11211</v>
      </c>
      <c r="T4405" t="s">
        <v>13610</v>
      </c>
      <c r="U4405" t="s">
        <v>13610</v>
      </c>
      <c r="V4405" t="s">
        <v>13610</v>
      </c>
      <c r="W4405" t="s">
        <v>17954</v>
      </c>
      <c r="X4405">
        <v>10</v>
      </c>
      <c r="Y4405" t="s">
        <v>24537</v>
      </c>
      <c r="Z4405" t="s">
        <v>31260</v>
      </c>
      <c r="AA4405">
        <v>0.44232683394534472</v>
      </c>
      <c r="AB4405" t="str">
        <f>HYPERLINK("Melting_Curves/meltCurve_Q8IXJ6_2_SIRT2.pdf", "Melting_Curves/meltCurve_Q8IXJ6_2_SIRT2.pdf")</f>
        <v>Melting_Curves/meltCurve_Q8IXJ6_2_SIRT2.pdf</v>
      </c>
    </row>
    <row r="4406" spans="1:28" x14ac:dyDescent="0.25">
      <c r="A4406" t="s">
        <v>4410</v>
      </c>
      <c r="B4406">
        <v>0.995954080203443</v>
      </c>
      <c r="C4406">
        <v>0.99707299415802297</v>
      </c>
      <c r="D4406">
        <v>0.95498172979895102</v>
      </c>
      <c r="E4406">
        <v>0.82243035606509896</v>
      </c>
      <c r="F4406">
        <v>0.73115664882479903</v>
      </c>
      <c r="G4406">
        <v>0.51427780852949201</v>
      </c>
      <c r="H4406">
        <v>0.47872273813583599</v>
      </c>
      <c r="I4406">
        <v>0.59982080770421697</v>
      </c>
      <c r="J4406">
        <v>0.67016424991977996</v>
      </c>
      <c r="K4406">
        <v>0.68891397261075904</v>
      </c>
      <c r="L4406">
        <v>1450.3296580204999</v>
      </c>
      <c r="M4406">
        <v>28.638182409176601</v>
      </c>
      <c r="O4406">
        <v>50.398207644481502</v>
      </c>
      <c r="P4406">
        <v>-5.7735834409708399E-2</v>
      </c>
      <c r="Q4406">
        <v>0.59358316849368398</v>
      </c>
      <c r="R4406">
        <v>0.87611870573519302</v>
      </c>
      <c r="S4406" t="s">
        <v>11212</v>
      </c>
      <c r="T4406" t="s">
        <v>13610</v>
      </c>
      <c r="U4406" t="s">
        <v>13610</v>
      </c>
      <c r="V4406" t="s">
        <v>13610</v>
      </c>
      <c r="W4406" t="s">
        <v>17955</v>
      </c>
      <c r="X4406">
        <v>13</v>
      </c>
      <c r="Y4406" t="s">
        <v>24538</v>
      </c>
      <c r="Z4406" t="s">
        <v>31261</v>
      </c>
      <c r="AA4406">
        <v>0.74055798848938215</v>
      </c>
      <c r="AB4406" t="str">
        <f>HYPERLINK("Melting_Curves/meltCurve_Q8IXJ9_ASXL1.pdf", "Melting_Curves/meltCurve_Q8IXJ9_ASXL1.pdf")</f>
        <v>Melting_Curves/meltCurve_Q8IXJ9_ASXL1.pdf</v>
      </c>
    </row>
    <row r="4407" spans="1:28" x14ac:dyDescent="0.25">
      <c r="A4407" t="s">
        <v>4411</v>
      </c>
      <c r="B4407">
        <v>0.995954080203443</v>
      </c>
      <c r="C4407">
        <v>0.97146825268368997</v>
      </c>
      <c r="D4407">
        <v>1.2200468658082599</v>
      </c>
      <c r="E4407">
        <v>0.88173206931547199</v>
      </c>
      <c r="F4407">
        <v>0.90456337982161805</v>
      </c>
      <c r="G4407">
        <v>0.66734270461227996</v>
      </c>
      <c r="H4407">
        <v>0.51114561549863702</v>
      </c>
      <c r="I4407">
        <v>0.54275446235527802</v>
      </c>
      <c r="J4407">
        <v>0.56320913813594997</v>
      </c>
      <c r="K4407">
        <v>0.58040210864810904</v>
      </c>
      <c r="L4407">
        <v>1637.48085771824</v>
      </c>
      <c r="M4407">
        <v>29.851873217674299</v>
      </c>
      <c r="O4407">
        <v>54.609153080471501</v>
      </c>
      <c r="P4407">
        <v>-6.2195487020423601E-2</v>
      </c>
      <c r="Q4407">
        <v>0.54489692647407395</v>
      </c>
      <c r="R4407">
        <v>0.87931743497958403</v>
      </c>
      <c r="S4407" t="s">
        <v>11213</v>
      </c>
      <c r="T4407" t="s">
        <v>13610</v>
      </c>
      <c r="U4407" t="s">
        <v>13610</v>
      </c>
      <c r="V4407" t="s">
        <v>13610</v>
      </c>
      <c r="W4407" t="s">
        <v>17956</v>
      </c>
      <c r="X4407">
        <v>10</v>
      </c>
      <c r="Y4407" t="s">
        <v>24539</v>
      </c>
      <c r="Z4407" t="s">
        <v>31262</v>
      </c>
      <c r="AA4407">
        <v>0.7732702512889349</v>
      </c>
      <c r="AB4407" t="str">
        <f>HYPERLINK("Melting_Curves/meltCurve_Q8IXK0_2_PHC2.pdf", "Melting_Curves/meltCurve_Q8IXK0_2_PHC2.pdf")</f>
        <v>Melting_Curves/meltCurve_Q8IXK0_2_PHC2.pdf</v>
      </c>
    </row>
    <row r="4408" spans="1:28" x14ac:dyDescent="0.25">
      <c r="A4408" t="s">
        <v>4412</v>
      </c>
      <c r="B4408">
        <v>0.995954080203443</v>
      </c>
      <c r="C4408">
        <v>0.93034357559484004</v>
      </c>
      <c r="D4408">
        <v>0.71158402400648202</v>
      </c>
      <c r="E4408">
        <v>0.62375638668790401</v>
      </c>
      <c r="F4408">
        <v>0.27980733015197201</v>
      </c>
      <c r="G4408">
        <v>0.159786562699093</v>
      </c>
      <c r="H4408">
        <v>0.18522506889212501</v>
      </c>
      <c r="I4408">
        <v>0.14745757262922499</v>
      </c>
      <c r="J4408">
        <v>0.30884988290050902</v>
      </c>
      <c r="K4408">
        <v>0.29337453528428598</v>
      </c>
      <c r="L4408">
        <v>890.35767042343002</v>
      </c>
      <c r="M4408">
        <v>18.360437234058701</v>
      </c>
      <c r="N4408">
        <v>49.931825344687098</v>
      </c>
      <c r="O4408">
        <v>47.928990598176298</v>
      </c>
      <c r="P4408">
        <v>-7.6102013683351705E-2</v>
      </c>
      <c r="Q4408">
        <v>0.20539446439956299</v>
      </c>
      <c r="R4408">
        <v>0.93881969915035901</v>
      </c>
      <c r="S4408" t="s">
        <v>11214</v>
      </c>
      <c r="T4408" t="s">
        <v>13610</v>
      </c>
      <c r="U4408" t="s">
        <v>13610</v>
      </c>
      <c r="V4408" t="s">
        <v>13610</v>
      </c>
      <c r="W4408" t="s">
        <v>17957</v>
      </c>
      <c r="X4408">
        <v>2</v>
      </c>
      <c r="Y4408" t="s">
        <v>24540</v>
      </c>
      <c r="Z4408" t="s">
        <v>31263</v>
      </c>
      <c r="AA4408">
        <v>0.44371344246707989</v>
      </c>
      <c r="AB4408" t="str">
        <f>HYPERLINK("Melting_Curves/meltCurve_Q8IXK2_GALNT12.pdf", "Melting_Curves/meltCurve_Q8IXK2_GALNT12.pdf")</f>
        <v>Melting_Curves/meltCurve_Q8IXK2_GALNT12.pdf</v>
      </c>
    </row>
    <row r="4409" spans="1:28" x14ac:dyDescent="0.25">
      <c r="A4409" t="s">
        <v>4413</v>
      </c>
      <c r="B4409">
        <v>0.995954080203443</v>
      </c>
      <c r="C4409">
        <v>0.837582234815896</v>
      </c>
      <c r="D4409">
        <v>0.64559153656240897</v>
      </c>
      <c r="E4409">
        <v>0.67114764786991399</v>
      </c>
      <c r="F4409">
        <v>0.40600379663358199</v>
      </c>
      <c r="G4409">
        <v>0.215979959382296</v>
      </c>
      <c r="H4409">
        <v>0.16559873052148899</v>
      </c>
      <c r="I4409">
        <v>0.161352242459634</v>
      </c>
      <c r="J4409">
        <v>0.16716252668894799</v>
      </c>
      <c r="K4409">
        <v>0.19679761663256701</v>
      </c>
      <c r="L4409">
        <v>549.35256623773</v>
      </c>
      <c r="M4409">
        <v>11.052094862565101</v>
      </c>
      <c r="N4409">
        <v>50.807352976101598</v>
      </c>
      <c r="O4409">
        <v>48.161634571623701</v>
      </c>
      <c r="P4409">
        <v>-5.1274515656907597E-2</v>
      </c>
      <c r="Q4409">
        <v>0.106541673506533</v>
      </c>
      <c r="R4409">
        <v>0.95583967381322399</v>
      </c>
      <c r="S4409" t="s">
        <v>11215</v>
      </c>
      <c r="T4409" t="s">
        <v>13610</v>
      </c>
      <c r="U4409" t="s">
        <v>13610</v>
      </c>
      <c r="V4409" t="s">
        <v>13610</v>
      </c>
      <c r="W4409" t="s">
        <v>17958</v>
      </c>
      <c r="X4409">
        <v>1</v>
      </c>
      <c r="Y4409" t="s">
        <v>24541</v>
      </c>
      <c r="Z4409" t="s">
        <v>31264</v>
      </c>
      <c r="AA4409">
        <v>0.43135598903768801</v>
      </c>
      <c r="AB4409" t="str">
        <f>HYPERLINK("Melting_Curves/meltCurve_Q8IXM3_MRPL41.pdf", "Melting_Curves/meltCurve_Q8IXM3_MRPL41.pdf")</f>
        <v>Melting_Curves/meltCurve_Q8IXM3_MRPL41.pdf</v>
      </c>
    </row>
    <row r="4410" spans="1:28" x14ac:dyDescent="0.25">
      <c r="A4410" t="s">
        <v>4414</v>
      </c>
      <c r="B4410">
        <v>0.995954080203443</v>
      </c>
      <c r="C4410">
        <v>0.93343021904411805</v>
      </c>
      <c r="D4410">
        <v>0.97802278798483699</v>
      </c>
      <c r="E4410">
        <v>0.80094636858651702</v>
      </c>
      <c r="F4410">
        <v>0.84334519517478501</v>
      </c>
      <c r="G4410">
        <v>0.64380217348894597</v>
      </c>
      <c r="H4410">
        <v>0.56276882502792203</v>
      </c>
      <c r="I4410">
        <v>0.70088874487444797</v>
      </c>
      <c r="J4410">
        <v>0.80375995009166001</v>
      </c>
      <c r="K4410">
        <v>0.85019342826238298</v>
      </c>
      <c r="L4410">
        <v>1180.28532099924</v>
      </c>
      <c r="M4410">
        <v>24.0169463932613</v>
      </c>
      <c r="O4410">
        <v>48.806928448370201</v>
      </c>
      <c r="P4410">
        <v>-3.43467671211381E-2</v>
      </c>
      <c r="Q4410">
        <v>0.72080807234767197</v>
      </c>
      <c r="R4410">
        <v>0.621097779197612</v>
      </c>
      <c r="S4410" t="s">
        <v>11216</v>
      </c>
      <c r="T4410" t="s">
        <v>13610</v>
      </c>
      <c r="U4410" t="s">
        <v>13610</v>
      </c>
      <c r="V4410" t="s">
        <v>13610</v>
      </c>
      <c r="W4410" t="s">
        <v>17959</v>
      </c>
      <c r="X4410">
        <v>5</v>
      </c>
      <c r="Y4410" t="s">
        <v>24542</v>
      </c>
      <c r="Z4410" t="s">
        <v>31265</v>
      </c>
      <c r="AA4410">
        <v>0.80859338092294453</v>
      </c>
      <c r="AB4410" t="str">
        <f>HYPERLINK("Melting_Curves/meltCurve_Q8IXQ3_C9orf40.pdf", "Melting_Curves/meltCurve_Q8IXQ3_C9orf40.pdf")</f>
        <v>Melting_Curves/meltCurve_Q8IXQ3_C9orf40.pdf</v>
      </c>
    </row>
    <row r="4411" spans="1:28" x14ac:dyDescent="0.25">
      <c r="A4411" t="s">
        <v>4415</v>
      </c>
      <c r="B4411">
        <v>0.995954080203443</v>
      </c>
      <c r="C4411">
        <v>0.90688187008378296</v>
      </c>
      <c r="D4411">
        <v>0.99772556419093805</v>
      </c>
      <c r="E4411">
        <v>0.756558100694114</v>
      </c>
      <c r="F4411">
        <v>0.85085734523777501</v>
      </c>
      <c r="G4411">
        <v>0.68432856984409896</v>
      </c>
      <c r="H4411">
        <v>0.72960441720483205</v>
      </c>
      <c r="I4411">
        <v>0.93142083845965495</v>
      </c>
      <c r="J4411">
        <v>1.1038428278650501</v>
      </c>
      <c r="K4411">
        <v>1.09464404112864</v>
      </c>
      <c r="L4411">
        <v>1058.53841141664</v>
      </c>
      <c r="M4411">
        <v>24.674679201364</v>
      </c>
      <c r="O4411">
        <v>42.620992372297799</v>
      </c>
      <c r="P4411">
        <v>-1.6287863091585201E-2</v>
      </c>
      <c r="Q4411">
        <v>0.88746440146878702</v>
      </c>
      <c r="R4411">
        <v>5.1032976899099199E-2</v>
      </c>
      <c r="S4411" t="s">
        <v>11217</v>
      </c>
      <c r="T4411" t="s">
        <v>13610</v>
      </c>
      <c r="U4411" t="s">
        <v>13610</v>
      </c>
      <c r="V4411" t="s">
        <v>13610</v>
      </c>
      <c r="W4411" t="s">
        <v>17960</v>
      </c>
      <c r="X4411">
        <v>16</v>
      </c>
      <c r="Y4411" t="s">
        <v>24543</v>
      </c>
      <c r="Z4411" t="s">
        <v>31266</v>
      </c>
      <c r="AA4411">
        <v>0.90004554765180189</v>
      </c>
      <c r="AB4411" t="str">
        <f>HYPERLINK("Melting_Curves/meltCurve_Q8IXQ4_KIAA1704.pdf", "Melting_Curves/meltCurve_Q8IXQ4_KIAA1704.pdf")</f>
        <v>Melting_Curves/meltCurve_Q8IXQ4_KIAA1704.pdf</v>
      </c>
    </row>
    <row r="4412" spans="1:28" x14ac:dyDescent="0.25">
      <c r="A4412" t="s">
        <v>4416</v>
      </c>
      <c r="B4412">
        <v>0.995954080203443</v>
      </c>
      <c r="C4412">
        <v>0.85941736552456705</v>
      </c>
      <c r="D4412">
        <v>0.71923275628521399</v>
      </c>
      <c r="E4412">
        <v>0.53835914848574495</v>
      </c>
      <c r="F4412">
        <v>0.35988394652442801</v>
      </c>
      <c r="G4412">
        <v>0.25854936408933299</v>
      </c>
      <c r="H4412">
        <v>0.16066451646146099</v>
      </c>
      <c r="I4412">
        <v>0.158118274380565</v>
      </c>
      <c r="J4412">
        <v>0.18297948890967999</v>
      </c>
      <c r="K4412">
        <v>0.116310540742776</v>
      </c>
      <c r="L4412">
        <v>615.02878337000095</v>
      </c>
      <c r="M4412">
        <v>12.500949577290999</v>
      </c>
      <c r="N4412">
        <v>50.239582759131601</v>
      </c>
      <c r="O4412">
        <v>47.990488857390602</v>
      </c>
      <c r="P4412">
        <v>-5.7703388125975301E-2</v>
      </c>
      <c r="Q4412">
        <v>0.11410117540342</v>
      </c>
      <c r="R4412">
        <v>0.993711385741881</v>
      </c>
      <c r="S4412" t="s">
        <v>11218</v>
      </c>
      <c r="T4412" t="s">
        <v>13610</v>
      </c>
      <c r="U4412" t="s">
        <v>13610</v>
      </c>
      <c r="V4412" t="s">
        <v>13610</v>
      </c>
      <c r="W4412" t="s">
        <v>17961</v>
      </c>
      <c r="X4412">
        <v>3</v>
      </c>
      <c r="Y4412" t="s">
        <v>24544</v>
      </c>
      <c r="Z4412" t="s">
        <v>31267</v>
      </c>
      <c r="AA4412">
        <v>0.41576440829524791</v>
      </c>
      <c r="AB4412" t="str">
        <f>HYPERLINK("Melting_Curves/meltCurve_Q8IXQ5_2_KLHL7.pdf", "Melting_Curves/meltCurve_Q8IXQ5_2_KLHL7.pdf")</f>
        <v>Melting_Curves/meltCurve_Q8IXQ5_2_KLHL7.pdf</v>
      </c>
    </row>
    <row r="4413" spans="1:28" x14ac:dyDescent="0.25">
      <c r="A4413" t="s">
        <v>4417</v>
      </c>
      <c r="B4413">
        <v>0.995954080203443</v>
      </c>
      <c r="C4413">
        <v>0.93670417566507203</v>
      </c>
      <c r="D4413">
        <v>0.87552370468764595</v>
      </c>
      <c r="E4413">
        <v>0.845411042923639</v>
      </c>
      <c r="F4413">
        <v>0.79166395737362605</v>
      </c>
      <c r="G4413">
        <v>0.57533516410503305</v>
      </c>
      <c r="H4413">
        <v>0.55727414743639303</v>
      </c>
      <c r="I4413">
        <v>0.58257741970843702</v>
      </c>
      <c r="J4413">
        <v>0.66672578864475796</v>
      </c>
      <c r="K4413">
        <v>0.69933333667104902</v>
      </c>
      <c r="L4413">
        <v>764.31084678383195</v>
      </c>
      <c r="M4413">
        <v>15.2630551162895</v>
      </c>
      <c r="O4413">
        <v>49.2398842553023</v>
      </c>
      <c r="P4413">
        <v>-3.02837497466742E-2</v>
      </c>
      <c r="Q4413">
        <v>0.60924532806764098</v>
      </c>
      <c r="R4413">
        <v>0.85261684820416805</v>
      </c>
      <c r="S4413" t="s">
        <v>11219</v>
      </c>
      <c r="T4413" t="s">
        <v>13610</v>
      </c>
      <c r="U4413" t="s">
        <v>13610</v>
      </c>
      <c r="V4413" t="s">
        <v>13610</v>
      </c>
      <c r="W4413" t="s">
        <v>17962</v>
      </c>
      <c r="X4413">
        <v>3</v>
      </c>
      <c r="Y4413" t="s">
        <v>24545</v>
      </c>
      <c r="Z4413" t="s">
        <v>31268</v>
      </c>
      <c r="AA4413">
        <v>0.74949887792437686</v>
      </c>
      <c r="AB4413" t="str">
        <f>HYPERLINK("Melting_Curves/meltCurve_Q8IXS8_FAM126B.pdf", "Melting_Curves/meltCurve_Q8IXS8_FAM126B.pdf")</f>
        <v>Melting_Curves/meltCurve_Q8IXS8_FAM126B.pdf</v>
      </c>
    </row>
    <row r="4414" spans="1:28" x14ac:dyDescent="0.25">
      <c r="A4414" t="s">
        <v>4418</v>
      </c>
      <c r="B4414">
        <v>0.995954080203443</v>
      </c>
      <c r="C4414">
        <v>0.970508462107329</v>
      </c>
      <c r="D4414">
        <v>0.88361537312048999</v>
      </c>
      <c r="E4414">
        <v>0.62399168377789604</v>
      </c>
      <c r="F4414">
        <v>0.387447536932371</v>
      </c>
      <c r="G4414">
        <v>0.27880497098281198</v>
      </c>
      <c r="H4414">
        <v>0.25969115526939901</v>
      </c>
      <c r="I4414">
        <v>0.29023581059298498</v>
      </c>
      <c r="J4414">
        <v>0.36399609220334</v>
      </c>
      <c r="K4414">
        <v>0.32786787756400498</v>
      </c>
      <c r="L4414">
        <v>1272.96861348939</v>
      </c>
      <c r="M4414">
        <v>25.760631960194502</v>
      </c>
      <c r="N4414">
        <v>51.2188325217803</v>
      </c>
      <c r="O4414">
        <v>49.120373169970001</v>
      </c>
      <c r="P4414">
        <v>-9.2019751395104904E-2</v>
      </c>
      <c r="Q4414">
        <v>0.29815534520345199</v>
      </c>
      <c r="R4414">
        <v>0.98702340095017105</v>
      </c>
      <c r="S4414" t="s">
        <v>11220</v>
      </c>
      <c r="T4414" t="s">
        <v>13610</v>
      </c>
      <c r="U4414" t="s">
        <v>13610</v>
      </c>
      <c r="V4414" t="s">
        <v>13610</v>
      </c>
      <c r="W4414" t="s">
        <v>17963</v>
      </c>
      <c r="X4414">
        <v>11</v>
      </c>
      <c r="Y4414" t="s">
        <v>24546</v>
      </c>
      <c r="Z4414" t="s">
        <v>31269</v>
      </c>
      <c r="AA4414">
        <v>0.52429267957211478</v>
      </c>
      <c r="AB4414" t="str">
        <f>HYPERLINK("Melting_Curves/meltCurve_Q8IXW5_RPAP2.pdf", "Melting_Curves/meltCurve_Q8IXW5_RPAP2.pdf")</f>
        <v>Melting_Curves/meltCurve_Q8IXW5_RPAP2.pdf</v>
      </c>
    </row>
    <row r="4415" spans="1:28" x14ac:dyDescent="0.25">
      <c r="A4415" t="s">
        <v>4419</v>
      </c>
      <c r="B4415">
        <v>0.995954080203443</v>
      </c>
      <c r="C4415">
        <v>0.93993456610111503</v>
      </c>
      <c r="D4415">
        <v>0.91208732442751494</v>
      </c>
      <c r="E4415">
        <v>0.71744775860267995</v>
      </c>
      <c r="F4415">
        <v>0.53427824312025696</v>
      </c>
      <c r="G4415">
        <v>0.39299913177398799</v>
      </c>
      <c r="H4415">
        <v>0.29694735801508998</v>
      </c>
      <c r="I4415">
        <v>0.30943733292514602</v>
      </c>
      <c r="J4415">
        <v>0.33021144944665598</v>
      </c>
      <c r="K4415">
        <v>0.35515050550237498</v>
      </c>
      <c r="L4415">
        <v>950.428984006988</v>
      </c>
      <c r="M4415">
        <v>18.697757258402302</v>
      </c>
      <c r="N4415">
        <v>53.6240957059252</v>
      </c>
      <c r="O4415">
        <v>50.260468159768898</v>
      </c>
      <c r="P4415">
        <v>-6.4065631157883801E-2</v>
      </c>
      <c r="Q4415">
        <v>0.31118360536412698</v>
      </c>
      <c r="R4415">
        <v>0.99251563698950496</v>
      </c>
      <c r="S4415" t="s">
        <v>11221</v>
      </c>
      <c r="T4415" t="s">
        <v>13610</v>
      </c>
      <c r="U4415" t="s">
        <v>13610</v>
      </c>
      <c r="V4415" t="s">
        <v>13610</v>
      </c>
      <c r="W4415" t="s">
        <v>17964</v>
      </c>
      <c r="X4415">
        <v>6</v>
      </c>
      <c r="Y4415" t="s">
        <v>24547</v>
      </c>
      <c r="Z4415" t="s">
        <v>31270</v>
      </c>
      <c r="AA4415">
        <v>0.57071937046109633</v>
      </c>
      <c r="AB4415" t="str">
        <f>HYPERLINK("Melting_Curves/meltCurve_Q8IXZ2_ZC3H3.pdf", "Melting_Curves/meltCurve_Q8IXZ2_ZC3H3.pdf")</f>
        <v>Melting_Curves/meltCurve_Q8IXZ2_ZC3H3.pdf</v>
      </c>
    </row>
    <row r="4416" spans="1:28" x14ac:dyDescent="0.25">
      <c r="A4416" t="s">
        <v>4420</v>
      </c>
      <c r="B4416">
        <v>0.995954080203443</v>
      </c>
      <c r="C4416">
        <v>0.77030173035402305</v>
      </c>
      <c r="D4416">
        <v>0.64335921280389896</v>
      </c>
      <c r="E4416">
        <v>0.52629623221652899</v>
      </c>
      <c r="F4416">
        <v>0.23616058297509501</v>
      </c>
      <c r="G4416">
        <v>0.15482119061379501</v>
      </c>
      <c r="H4416">
        <v>0.124352846231209</v>
      </c>
      <c r="I4416">
        <v>0.121597293774938</v>
      </c>
      <c r="J4416">
        <v>0.17519728609147101</v>
      </c>
      <c r="K4416">
        <v>0.14372446931650801</v>
      </c>
      <c r="L4416">
        <v>636.91263912710099</v>
      </c>
      <c r="M4416">
        <v>13.3534164092846</v>
      </c>
      <c r="N4416">
        <v>48.575936345094902</v>
      </c>
      <c r="O4416">
        <v>46.665014074661698</v>
      </c>
      <c r="P4416">
        <v>-6.3868100418953702E-2</v>
      </c>
      <c r="Q4416">
        <v>0.107365062181904</v>
      </c>
      <c r="R4416">
        <v>0.96907162193972296</v>
      </c>
      <c r="S4416" t="s">
        <v>11222</v>
      </c>
      <c r="T4416" t="s">
        <v>13610</v>
      </c>
      <c r="U4416" t="s">
        <v>13610</v>
      </c>
      <c r="V4416" t="s">
        <v>13610</v>
      </c>
      <c r="W4416" t="s">
        <v>17965</v>
      </c>
      <c r="X4416">
        <v>13</v>
      </c>
      <c r="Y4416" t="s">
        <v>24548</v>
      </c>
      <c r="Z4416" t="s">
        <v>31271</v>
      </c>
      <c r="AA4416">
        <v>0.3656417462082614</v>
      </c>
      <c r="AB4416" t="str">
        <f>HYPERLINK("Melting_Curves/meltCurve_Q8IY18_SMC5.pdf", "Melting_Curves/meltCurve_Q8IY18_SMC5.pdf")</f>
        <v>Melting_Curves/meltCurve_Q8IY18_SMC5.pdf</v>
      </c>
    </row>
    <row r="4417" spans="1:28" x14ac:dyDescent="0.25">
      <c r="A4417" t="s">
        <v>4421</v>
      </c>
      <c r="B4417">
        <v>0.995954080203443</v>
      </c>
      <c r="C4417">
        <v>0.86447413606632595</v>
      </c>
      <c r="D4417">
        <v>0.46864456631415402</v>
      </c>
      <c r="E4417">
        <v>0.236113689257758</v>
      </c>
      <c r="F4417">
        <v>0.12994670987158599</v>
      </c>
      <c r="G4417">
        <v>8.1229639490325994E-2</v>
      </c>
      <c r="H4417">
        <v>5.1125518130562098E-2</v>
      </c>
      <c r="I4417">
        <v>4.52455579083441E-2</v>
      </c>
      <c r="J4417">
        <v>5.3047353255521103E-2</v>
      </c>
      <c r="K4417">
        <v>4.5642341180216303E-2</v>
      </c>
      <c r="L4417">
        <v>993.86260566329395</v>
      </c>
      <c r="M4417">
        <v>21.651015334975</v>
      </c>
      <c r="N4417">
        <v>46.1691530825561</v>
      </c>
      <c r="O4417">
        <v>45.517521630157198</v>
      </c>
      <c r="P4417">
        <v>-0.111960356313416</v>
      </c>
      <c r="Q4417">
        <v>5.8513067008532302E-2</v>
      </c>
      <c r="R4417">
        <v>0.993479077424269</v>
      </c>
      <c r="S4417" t="s">
        <v>11223</v>
      </c>
      <c r="T4417" t="s">
        <v>13610</v>
      </c>
      <c r="U4417" t="s">
        <v>13610</v>
      </c>
      <c r="V4417" t="s">
        <v>13610</v>
      </c>
      <c r="W4417" t="s">
        <v>17966</v>
      </c>
      <c r="X4417">
        <v>15</v>
      </c>
      <c r="Y4417" t="s">
        <v>24549</v>
      </c>
      <c r="Z4417" t="s">
        <v>31272</v>
      </c>
      <c r="AA4417">
        <v>0.25599439873033009</v>
      </c>
      <c r="AB4417" t="str">
        <f>HYPERLINK("Melting_Curves/meltCurve_Q8IY22_CMIP.pdf", "Melting_Curves/meltCurve_Q8IY22_CMIP.pdf")</f>
        <v>Melting_Curves/meltCurve_Q8IY22_CMIP.pdf</v>
      </c>
    </row>
    <row r="4418" spans="1:28" x14ac:dyDescent="0.25">
      <c r="A4418" t="s">
        <v>4422</v>
      </c>
      <c r="B4418">
        <v>0.995954080203443</v>
      </c>
      <c r="C4418">
        <v>0.83992264768942104</v>
      </c>
      <c r="D4418">
        <v>0.68047987280895095</v>
      </c>
      <c r="E4418">
        <v>0.583509461800365</v>
      </c>
      <c r="F4418">
        <v>0.39424235394385099</v>
      </c>
      <c r="G4418">
        <v>0.25131266742785102</v>
      </c>
      <c r="H4418">
        <v>0.17643101633608299</v>
      </c>
      <c r="I4418">
        <v>0.16974251886241301</v>
      </c>
      <c r="J4418">
        <v>0.19053372385692699</v>
      </c>
      <c r="K4418">
        <v>0.190713464555679</v>
      </c>
      <c r="L4418">
        <v>578.22243938075303</v>
      </c>
      <c r="M4418">
        <v>11.7842962064153</v>
      </c>
      <c r="N4418">
        <v>50.4175645931197</v>
      </c>
      <c r="O4418">
        <v>47.718176152696699</v>
      </c>
      <c r="P4418">
        <v>-5.3397463419584901E-2</v>
      </c>
      <c r="Q4418">
        <v>0.13533374722217201</v>
      </c>
      <c r="R4418">
        <v>0.98428092482237906</v>
      </c>
      <c r="S4418" t="s">
        <v>11224</v>
      </c>
      <c r="T4418" t="s">
        <v>13610</v>
      </c>
      <c r="U4418" t="s">
        <v>13610</v>
      </c>
      <c r="V4418" t="s">
        <v>13610</v>
      </c>
      <c r="W4418" t="s">
        <v>17967</v>
      </c>
      <c r="X4418">
        <v>3</v>
      </c>
      <c r="Y4418" t="s">
        <v>24550</v>
      </c>
      <c r="Z4418" t="s">
        <v>31273</v>
      </c>
      <c r="AA4418">
        <v>0.42927306399235471</v>
      </c>
      <c r="AB4418" t="str">
        <f>HYPERLINK("Melting_Curves/meltCurve_Q8IY31_IFT20.pdf", "Melting_Curves/meltCurve_Q8IY31_IFT20.pdf")</f>
        <v>Melting_Curves/meltCurve_Q8IY31_IFT20.pdf</v>
      </c>
    </row>
    <row r="4419" spans="1:28" x14ac:dyDescent="0.25">
      <c r="A4419" t="s">
        <v>4423</v>
      </c>
      <c r="B4419">
        <v>0.995954080203443</v>
      </c>
      <c r="C4419">
        <v>1.0002629311005999</v>
      </c>
      <c r="D4419">
        <v>1.13024782994176</v>
      </c>
      <c r="E4419">
        <v>0.91110887612647595</v>
      </c>
      <c r="F4419">
        <v>1.0408172244340801</v>
      </c>
      <c r="G4419">
        <v>0.74209315368504103</v>
      </c>
      <c r="H4419">
        <v>0.64614762037233797</v>
      </c>
      <c r="I4419">
        <v>0.81645449509137502</v>
      </c>
      <c r="J4419">
        <v>0.83727951988352001</v>
      </c>
      <c r="K4419">
        <v>0.981920836221298</v>
      </c>
      <c r="L4419">
        <v>4976.1810458126902</v>
      </c>
      <c r="M4419">
        <v>90.734016686384706</v>
      </c>
      <c r="O4419">
        <v>54.816984769715397</v>
      </c>
      <c r="P4419">
        <v>-8.0990811209091004E-2</v>
      </c>
      <c r="Q4419">
        <v>0.80427751830994099</v>
      </c>
      <c r="R4419">
        <v>0.54722099772887201</v>
      </c>
      <c r="S4419" t="s">
        <v>11225</v>
      </c>
      <c r="T4419" t="s">
        <v>13610</v>
      </c>
      <c r="U4419" t="s">
        <v>13610</v>
      </c>
      <c r="V4419" t="s">
        <v>13610</v>
      </c>
      <c r="W4419" t="s">
        <v>17968</v>
      </c>
      <c r="X4419">
        <v>6</v>
      </c>
      <c r="Y4419" t="s">
        <v>24551</v>
      </c>
      <c r="Z4419" t="s">
        <v>31274</v>
      </c>
      <c r="AA4419">
        <v>0.90126168300944576</v>
      </c>
      <c r="AB4419" t="str">
        <f>HYPERLINK("Melting_Curves/meltCurve_Q8IY33_MICALL2.pdf", "Melting_Curves/meltCurve_Q8IY33_MICALL2.pdf")</f>
        <v>Melting_Curves/meltCurve_Q8IY33_MICALL2.pdf</v>
      </c>
    </row>
    <row r="4420" spans="1:28" x14ac:dyDescent="0.25">
      <c r="A4420" t="s">
        <v>4424</v>
      </c>
      <c r="B4420">
        <v>0.995954080203443</v>
      </c>
      <c r="C4420">
        <v>0.66807267060209896</v>
      </c>
      <c r="D4420">
        <v>0.412770760706902</v>
      </c>
      <c r="E4420">
        <v>0.362187273119635</v>
      </c>
      <c r="F4420">
        <v>0.31866024531709197</v>
      </c>
      <c r="G4420">
        <v>0.245145203900446</v>
      </c>
      <c r="H4420">
        <v>0.19830626155676501</v>
      </c>
      <c r="I4420">
        <v>0.24039173356617999</v>
      </c>
      <c r="J4420">
        <v>0.25874815788556399</v>
      </c>
      <c r="K4420">
        <v>0.26438469479681997</v>
      </c>
      <c r="L4420">
        <v>1103.7431077195899</v>
      </c>
      <c r="M4420">
        <v>25.3375012608949</v>
      </c>
      <c r="N4420">
        <v>44.880014837303001</v>
      </c>
      <c r="O4420">
        <v>43.293011862445297</v>
      </c>
      <c r="P4420">
        <v>-0.107912798939533</v>
      </c>
      <c r="Q4420">
        <v>0.26246710709144</v>
      </c>
      <c r="R4420">
        <v>0.96775207810030905</v>
      </c>
      <c r="S4420" t="s">
        <v>11226</v>
      </c>
      <c r="T4420" t="s">
        <v>13610</v>
      </c>
      <c r="U4420" t="s">
        <v>13610</v>
      </c>
      <c r="V4420" t="s">
        <v>13610</v>
      </c>
      <c r="W4420" t="s">
        <v>17969</v>
      </c>
      <c r="X4420">
        <v>16</v>
      </c>
      <c r="Y4420" t="s">
        <v>24552</v>
      </c>
      <c r="Z4420" t="s">
        <v>31275</v>
      </c>
      <c r="AA4420">
        <v>0.35894380655861569</v>
      </c>
      <c r="AB4420" t="str">
        <f>HYPERLINK("Melting_Curves/meltCurve_Q8IY37_DHX37.pdf", "Melting_Curves/meltCurve_Q8IY37_DHX37.pdf")</f>
        <v>Melting_Curves/meltCurve_Q8IY37_DHX37.pdf</v>
      </c>
    </row>
    <row r="4421" spans="1:28" x14ac:dyDescent="0.25">
      <c r="A4421" t="s">
        <v>4425</v>
      </c>
      <c r="B4421">
        <v>0.995954080203443</v>
      </c>
      <c r="C4421">
        <v>0.874731497950898</v>
      </c>
      <c r="D4421">
        <v>0.79314204346210704</v>
      </c>
      <c r="E4421">
        <v>0.69604736974572801</v>
      </c>
      <c r="F4421">
        <v>0.49297537197588598</v>
      </c>
      <c r="G4421">
        <v>0.18218156053229001</v>
      </c>
      <c r="H4421">
        <v>8.7918412782159602E-2</v>
      </c>
      <c r="I4421">
        <v>7.9116643311035698E-2</v>
      </c>
      <c r="J4421">
        <v>8.5684252742396105E-2</v>
      </c>
      <c r="K4421">
        <v>7.0800428184448205E-2</v>
      </c>
      <c r="L4421">
        <v>683.13786989376695</v>
      </c>
      <c r="M4421">
        <v>13.1197213546182</v>
      </c>
      <c r="N4421">
        <v>52.116948029059799</v>
      </c>
      <c r="O4421">
        <v>50.904385116975398</v>
      </c>
      <c r="P4421">
        <v>-6.4061847791396398E-2</v>
      </c>
      <c r="Q4421">
        <v>5.9321958026377396E-3</v>
      </c>
      <c r="R4421">
        <v>0.98243769540979398</v>
      </c>
      <c r="S4421" t="s">
        <v>11227</v>
      </c>
      <c r="T4421" t="s">
        <v>13610</v>
      </c>
      <c r="U4421" t="s">
        <v>13610</v>
      </c>
      <c r="V4421" t="s">
        <v>13610</v>
      </c>
      <c r="W4421" t="s">
        <v>17970</v>
      </c>
      <c r="X4421">
        <v>12</v>
      </c>
      <c r="Y4421" t="s">
        <v>24553</v>
      </c>
      <c r="Z4421" t="s">
        <v>31276</v>
      </c>
      <c r="AA4421">
        <v>0.43277278835450722</v>
      </c>
      <c r="AB4421" t="str">
        <f>HYPERLINK("Melting_Curves/meltCurve_Q8IY47_KBTBD2.pdf", "Melting_Curves/meltCurve_Q8IY47_KBTBD2.pdf")</f>
        <v>Melting_Curves/meltCurve_Q8IY47_KBTBD2.pdf</v>
      </c>
    </row>
    <row r="4422" spans="1:28" x14ac:dyDescent="0.25">
      <c r="A4422" t="s">
        <v>4426</v>
      </c>
      <c r="B4422">
        <v>0.995954080203443</v>
      </c>
      <c r="C4422">
        <v>0.96519033329930803</v>
      </c>
      <c r="D4422">
        <v>0.94644055861228105</v>
      </c>
      <c r="E4422">
        <v>0.70967965359209495</v>
      </c>
      <c r="F4422">
        <v>0.51598822340612105</v>
      </c>
      <c r="G4422">
        <v>0.33556604315265998</v>
      </c>
      <c r="H4422">
        <v>0.28820293299635202</v>
      </c>
      <c r="I4422">
        <v>0.32094926346381603</v>
      </c>
      <c r="J4422">
        <v>0.42061613093463901</v>
      </c>
      <c r="K4422">
        <v>0.38683337047097499</v>
      </c>
      <c r="L4422">
        <v>1333.63464576604</v>
      </c>
      <c r="M4422">
        <v>26.4192271505955</v>
      </c>
      <c r="N4422">
        <v>52.835902676455397</v>
      </c>
      <c r="O4422">
        <v>50.193162466290801</v>
      </c>
      <c r="P4422">
        <v>-8.6049184064167797E-2</v>
      </c>
      <c r="Q4422">
        <v>0.34607744323582501</v>
      </c>
      <c r="R4422">
        <v>0.97976441211444398</v>
      </c>
      <c r="S4422" t="s">
        <v>11228</v>
      </c>
      <c r="T4422" t="s">
        <v>13610</v>
      </c>
      <c r="U4422" t="s">
        <v>13610</v>
      </c>
      <c r="V4422" t="s">
        <v>13610</v>
      </c>
      <c r="W4422" t="s">
        <v>17971</v>
      </c>
      <c r="X4422">
        <v>28</v>
      </c>
      <c r="Y4422" t="s">
        <v>24554</v>
      </c>
      <c r="Z4422" t="s">
        <v>31277</v>
      </c>
      <c r="AA4422">
        <v>0.57976926427048647</v>
      </c>
      <c r="AB4422" t="str">
        <f>HYPERLINK("Melting_Curves/meltCurve_Q8IY63_2_AMOTL1.pdf", "Melting_Curves/meltCurve_Q8IY63_2_AMOTL1.pdf")</f>
        <v>Melting_Curves/meltCurve_Q8IY63_2_AMOTL1.pdf</v>
      </c>
    </row>
    <row r="4423" spans="1:28" x14ac:dyDescent="0.25">
      <c r="A4423" t="s">
        <v>4427</v>
      </c>
      <c r="B4423">
        <v>0.995954080203443</v>
      </c>
      <c r="C4423">
        <v>1.05021244102523</v>
      </c>
      <c r="D4423">
        <v>1.10524061686467</v>
      </c>
      <c r="E4423">
        <v>0.61210578615397404</v>
      </c>
      <c r="F4423">
        <v>0.37258544107423403</v>
      </c>
      <c r="G4423">
        <v>0.233506196711323</v>
      </c>
      <c r="H4423">
        <v>0.19518754336010699</v>
      </c>
      <c r="I4423">
        <v>0.249760257206357</v>
      </c>
      <c r="J4423">
        <v>0.33360204259237802</v>
      </c>
      <c r="K4423">
        <v>0.30484926693381198</v>
      </c>
      <c r="L4423">
        <v>2368.1294253445299</v>
      </c>
      <c r="M4423">
        <v>47.382545238744498</v>
      </c>
      <c r="N4423">
        <v>50.819464966891502</v>
      </c>
      <c r="O4423">
        <v>49.890165949962402</v>
      </c>
      <c r="P4423">
        <v>-0.172938264795064</v>
      </c>
      <c r="Q4423">
        <v>0.27163824323138203</v>
      </c>
      <c r="R4423">
        <v>0.97315299202383099</v>
      </c>
      <c r="S4423" t="s">
        <v>11229</v>
      </c>
      <c r="T4423" t="s">
        <v>13610</v>
      </c>
      <c r="U4423" t="s">
        <v>13610</v>
      </c>
      <c r="V4423" t="s">
        <v>13610</v>
      </c>
      <c r="W4423" t="s">
        <v>17972</v>
      </c>
      <c r="X4423">
        <v>20</v>
      </c>
      <c r="Y4423" t="s">
        <v>20778</v>
      </c>
      <c r="Z4423" t="s">
        <v>31278</v>
      </c>
      <c r="AA4423">
        <v>0.51570344613028107</v>
      </c>
      <c r="AB4423" t="str">
        <f>HYPERLINK("Melting_Curves/meltCurve_Q8IY67_2_RAVER1.pdf", "Melting_Curves/meltCurve_Q8IY67_2_RAVER1.pdf")</f>
        <v>Melting_Curves/meltCurve_Q8IY67_2_RAVER1.pdf</v>
      </c>
    </row>
    <row r="4424" spans="1:28" x14ac:dyDescent="0.25">
      <c r="A4424" t="s">
        <v>4428</v>
      </c>
      <c r="B4424">
        <v>0.995954080203443</v>
      </c>
      <c r="C4424">
        <v>1.02237651896696</v>
      </c>
      <c r="D4424">
        <v>1.00872583993043</v>
      </c>
      <c r="E4424">
        <v>0.85675587545217702</v>
      </c>
      <c r="F4424">
        <v>0.65025910601181403</v>
      </c>
      <c r="G4424">
        <v>0.49221964476866498</v>
      </c>
      <c r="H4424">
        <v>0.41728425129839097</v>
      </c>
      <c r="I4424">
        <v>0.46265167293262999</v>
      </c>
      <c r="J4424">
        <v>0.50930974928528505</v>
      </c>
      <c r="K4424">
        <v>0.47436440383133599</v>
      </c>
      <c r="L4424">
        <v>1618.0939278797</v>
      </c>
      <c r="M4424">
        <v>31.248012454023399</v>
      </c>
      <c r="N4424">
        <v>56.599070197455298</v>
      </c>
      <c r="O4424">
        <v>51.5716127073309</v>
      </c>
      <c r="P4424">
        <v>-8.1041307379142294E-2</v>
      </c>
      <c r="Q4424">
        <v>0.465001819222426</v>
      </c>
      <c r="R4424">
        <v>0.989796803727788</v>
      </c>
      <c r="S4424" t="s">
        <v>11230</v>
      </c>
      <c r="T4424" t="s">
        <v>13610</v>
      </c>
      <c r="U4424" t="s">
        <v>13610</v>
      </c>
      <c r="V4424" t="s">
        <v>13610</v>
      </c>
      <c r="W4424" t="s">
        <v>17973</v>
      </c>
      <c r="X4424">
        <v>21</v>
      </c>
      <c r="Y4424" t="s">
        <v>24555</v>
      </c>
      <c r="Z4424" t="s">
        <v>31279</v>
      </c>
      <c r="AA4424">
        <v>0.67825986190521259</v>
      </c>
      <c r="AB4424" t="str">
        <f>HYPERLINK("Melting_Curves/meltCurve_Q8IY81_FTSJ3.pdf", "Melting_Curves/meltCurve_Q8IY81_FTSJ3.pdf")</f>
        <v>Melting_Curves/meltCurve_Q8IY81_FTSJ3.pdf</v>
      </c>
    </row>
    <row r="4425" spans="1:28" x14ac:dyDescent="0.25">
      <c r="A4425" t="s">
        <v>4429</v>
      </c>
      <c r="B4425">
        <v>0.995954080203443</v>
      </c>
      <c r="C4425">
        <v>0.888691388356877</v>
      </c>
      <c r="D4425">
        <v>0.83321352961456996</v>
      </c>
      <c r="E4425">
        <v>0.708754610054256</v>
      </c>
      <c r="F4425">
        <v>0.45846455112194301</v>
      </c>
      <c r="G4425">
        <v>0.24896628874374499</v>
      </c>
      <c r="H4425">
        <v>0.1819221759561</v>
      </c>
      <c r="I4425">
        <v>0.161709762000845</v>
      </c>
      <c r="J4425">
        <v>0.16969711605004101</v>
      </c>
      <c r="K4425">
        <v>0.17100007512506701</v>
      </c>
      <c r="L4425">
        <v>760.65952280531803</v>
      </c>
      <c r="M4425">
        <v>14.827790706374801</v>
      </c>
      <c r="N4425">
        <v>52.330870266041998</v>
      </c>
      <c r="O4425">
        <v>50.393633457339497</v>
      </c>
      <c r="P4425">
        <v>-6.42471176816619E-2</v>
      </c>
      <c r="Q4425">
        <v>0.126692967905394</v>
      </c>
      <c r="R4425">
        <v>0.98806487737721904</v>
      </c>
      <c r="S4425" t="s">
        <v>11231</v>
      </c>
      <c r="T4425" t="s">
        <v>13610</v>
      </c>
      <c r="U4425" t="s">
        <v>13610</v>
      </c>
      <c r="V4425" t="s">
        <v>13610</v>
      </c>
      <c r="W4425" t="s">
        <v>17974</v>
      </c>
      <c r="X4425">
        <v>3</v>
      </c>
      <c r="Y4425" t="s">
        <v>24556</v>
      </c>
      <c r="Z4425" t="s">
        <v>31280</v>
      </c>
      <c r="AA4425">
        <v>0.47598789552180121</v>
      </c>
      <c r="AB4425" t="str">
        <f>HYPERLINK("Melting_Curves/meltCurve_Q8IY92_SLX4.pdf", "Melting_Curves/meltCurve_Q8IY92_SLX4.pdf")</f>
        <v>Melting_Curves/meltCurve_Q8IY92_SLX4.pdf</v>
      </c>
    </row>
    <row r="4426" spans="1:28" x14ac:dyDescent="0.25">
      <c r="A4426" t="s">
        <v>4430</v>
      </c>
      <c r="B4426">
        <v>0.995954080203443</v>
      </c>
      <c r="C4426">
        <v>1.0669629971956001</v>
      </c>
      <c r="D4426">
        <v>1.0386246870019</v>
      </c>
      <c r="E4426">
        <v>1.0437410326704599</v>
      </c>
      <c r="F4426">
        <v>0.97433745609688904</v>
      </c>
      <c r="G4426">
        <v>0.85620251609991604</v>
      </c>
      <c r="H4426">
        <v>0.83191323882752899</v>
      </c>
      <c r="I4426">
        <v>1.1028953720887</v>
      </c>
      <c r="J4426">
        <v>1.3263635309542601</v>
      </c>
      <c r="K4426">
        <v>1.26823396322874</v>
      </c>
      <c r="L4426">
        <v>15000</v>
      </c>
      <c r="M4426">
        <v>233.73878834887799</v>
      </c>
      <c r="O4426">
        <v>64.169503159736706</v>
      </c>
      <c r="P4426">
        <v>0.27073480516495901</v>
      </c>
      <c r="Q4426">
        <v>1.2973048336931201</v>
      </c>
      <c r="R4426">
        <v>0.73221384598092998</v>
      </c>
      <c r="S4426" t="s">
        <v>11232</v>
      </c>
      <c r="T4426" t="s">
        <v>13610</v>
      </c>
      <c r="U4426" t="s">
        <v>13610</v>
      </c>
      <c r="V4426" t="s">
        <v>13610</v>
      </c>
      <c r="W4426" t="s">
        <v>17975</v>
      </c>
      <c r="X4426">
        <v>4</v>
      </c>
      <c r="Y4426" t="s">
        <v>24557</v>
      </c>
      <c r="Z4426" t="s">
        <v>31281</v>
      </c>
      <c r="AA4426">
        <v>1.0576963000321129</v>
      </c>
      <c r="AB4426" t="str">
        <f>HYPERLINK("Melting_Curves/meltCurve_Q8IYA6_CKAP2L.pdf", "Melting_Curves/meltCurve_Q8IYA6_CKAP2L.pdf")</f>
        <v>Melting_Curves/meltCurve_Q8IYA6_CKAP2L.pdf</v>
      </c>
    </row>
    <row r="4427" spans="1:28" x14ac:dyDescent="0.25">
      <c r="A4427" t="s">
        <v>4431</v>
      </c>
      <c r="B4427">
        <v>0.995954080203443</v>
      </c>
      <c r="C4427">
        <v>1.1967684315625899</v>
      </c>
      <c r="D4427">
        <v>1.2278597353693299</v>
      </c>
      <c r="E4427">
        <v>1.00398590576696</v>
      </c>
      <c r="F4427">
        <v>0.618095417462594</v>
      </c>
      <c r="G4427">
        <v>0.197045083377963</v>
      </c>
      <c r="H4427">
        <v>0.13817225042675599</v>
      </c>
      <c r="I4427">
        <v>0.12416161038088699</v>
      </c>
      <c r="J4427">
        <v>0.15154015641204899</v>
      </c>
      <c r="K4427">
        <v>0.12954354643674701</v>
      </c>
      <c r="L4427">
        <v>2865.4834785047801</v>
      </c>
      <c r="M4427">
        <v>53.813435472370102</v>
      </c>
      <c r="N4427">
        <v>53.582406508118297</v>
      </c>
      <c r="O4427">
        <v>53.175096484339498</v>
      </c>
      <c r="P4427">
        <v>-0.21695797452094501</v>
      </c>
      <c r="Q4427">
        <v>0.14246295120734501</v>
      </c>
      <c r="R4427">
        <v>0.95542653845667902</v>
      </c>
      <c r="S4427" t="s">
        <v>11233</v>
      </c>
      <c r="T4427" t="s">
        <v>13610</v>
      </c>
      <c r="U4427" t="s">
        <v>13610</v>
      </c>
      <c r="V4427" t="s">
        <v>13610</v>
      </c>
      <c r="W4427" t="s">
        <v>17976</v>
      </c>
      <c r="X4427">
        <v>9</v>
      </c>
      <c r="Y4427" t="s">
        <v>24558</v>
      </c>
      <c r="Z4427" t="s">
        <v>31282</v>
      </c>
      <c r="AA4427">
        <v>0.52290231837853041</v>
      </c>
      <c r="AB4427" t="str">
        <f>HYPERLINK("Melting_Curves/meltCurve_Q8IYB5_3_SMAP1.pdf", "Melting_Curves/meltCurve_Q8IYB5_3_SMAP1.pdf")</f>
        <v>Melting_Curves/meltCurve_Q8IYB5_3_SMAP1.pdf</v>
      </c>
    </row>
    <row r="4428" spans="1:28" x14ac:dyDescent="0.25">
      <c r="A4428" t="s">
        <v>4432</v>
      </c>
      <c r="B4428">
        <v>0.995954080203443</v>
      </c>
      <c r="C4428">
        <v>0.92041986866447001</v>
      </c>
      <c r="D4428">
        <v>0.85278759018371897</v>
      </c>
      <c r="E4428">
        <v>0.53729753001005498</v>
      </c>
      <c r="F4428">
        <v>0.29128732745385</v>
      </c>
      <c r="G4428">
        <v>0.17305186008846099</v>
      </c>
      <c r="H4428">
        <v>0.111834184049708</v>
      </c>
      <c r="I4428">
        <v>9.26709714707694E-2</v>
      </c>
      <c r="J4428">
        <v>9.2496367045328903E-2</v>
      </c>
      <c r="K4428">
        <v>9.2118828732456401E-2</v>
      </c>
      <c r="L4428">
        <v>932.953638670229</v>
      </c>
      <c r="M4428">
        <v>18.722992329624802</v>
      </c>
      <c r="N4428">
        <v>50.322860229367102</v>
      </c>
      <c r="O4428">
        <v>49.271291896684801</v>
      </c>
      <c r="P4428">
        <v>-8.7034714697420995E-2</v>
      </c>
      <c r="Q4428">
        <v>8.3878830222063994E-2</v>
      </c>
      <c r="R4428">
        <v>0.99834360261055299</v>
      </c>
      <c r="S4428" t="s">
        <v>11234</v>
      </c>
      <c r="T4428" t="s">
        <v>13610</v>
      </c>
      <c r="U4428" t="s">
        <v>13610</v>
      </c>
      <c r="V4428" t="s">
        <v>13610</v>
      </c>
      <c r="W4428" t="s">
        <v>17977</v>
      </c>
      <c r="X4428">
        <v>28</v>
      </c>
      <c r="Y4428" t="s">
        <v>24559</v>
      </c>
      <c r="Z4428" t="s">
        <v>31283</v>
      </c>
      <c r="AA4428">
        <v>0.39855530554481983</v>
      </c>
      <c r="AB4428" t="str">
        <f>HYPERLINK("Melting_Curves/meltCurve_Q8IYB7_DIS3L2.pdf", "Melting_Curves/meltCurve_Q8IYB7_DIS3L2.pdf")</f>
        <v>Melting_Curves/meltCurve_Q8IYB7_DIS3L2.pdf</v>
      </c>
    </row>
    <row r="4429" spans="1:28" x14ac:dyDescent="0.25">
      <c r="A4429" t="s">
        <v>4433</v>
      </c>
      <c r="B4429">
        <v>0.995954080203443</v>
      </c>
      <c r="C4429">
        <v>0.97959937366346295</v>
      </c>
      <c r="D4429">
        <v>0.95228211399841001</v>
      </c>
      <c r="E4429">
        <v>0.80611333400572605</v>
      </c>
      <c r="F4429">
        <v>0.53997791257269001</v>
      </c>
      <c r="G4429">
        <v>0.196997720571046</v>
      </c>
      <c r="H4429">
        <v>0.13328873506151301</v>
      </c>
      <c r="I4429">
        <v>0.12893339369638801</v>
      </c>
      <c r="J4429">
        <v>0.14740878928954901</v>
      </c>
      <c r="K4429">
        <v>0.14092699572689299</v>
      </c>
      <c r="L4429">
        <v>1381.3748471337999</v>
      </c>
      <c r="M4429">
        <v>26.280356884203801</v>
      </c>
      <c r="N4429">
        <v>53.146358991565499</v>
      </c>
      <c r="O4429">
        <v>52.261492097692901</v>
      </c>
      <c r="P4429">
        <v>-0.109965905175925</v>
      </c>
      <c r="Q4429">
        <v>0.12529045023562699</v>
      </c>
      <c r="R4429">
        <v>0.99749295573429198</v>
      </c>
      <c r="S4429" t="s">
        <v>11235</v>
      </c>
      <c r="T4429" t="s">
        <v>13610</v>
      </c>
      <c r="U4429" t="s">
        <v>13610</v>
      </c>
      <c r="V4429" t="s">
        <v>13610</v>
      </c>
      <c r="W4429" t="s">
        <v>17978</v>
      </c>
      <c r="X4429">
        <v>25</v>
      </c>
      <c r="Y4429" t="s">
        <v>24560</v>
      </c>
      <c r="Z4429" t="s">
        <v>31284</v>
      </c>
      <c r="AA4429">
        <v>0.49888572279507232</v>
      </c>
      <c r="AB4429" t="str">
        <f>HYPERLINK("Melting_Curves/meltCurve_Q8IYB8_SUPV3L1.pdf", "Melting_Curves/meltCurve_Q8IYB8_SUPV3L1.pdf")</f>
        <v>Melting_Curves/meltCurve_Q8IYB8_SUPV3L1.pdf</v>
      </c>
    </row>
    <row r="4430" spans="1:28" x14ac:dyDescent="0.25">
      <c r="A4430" t="s">
        <v>4434</v>
      </c>
      <c r="B4430">
        <v>0.995954080203443</v>
      </c>
      <c r="C4430">
        <v>1.54823551392795</v>
      </c>
      <c r="D4430">
        <v>1.4562490234060199</v>
      </c>
      <c r="E4430">
        <v>1.24861079193726</v>
      </c>
      <c r="F4430">
        <v>0.93532104186378995</v>
      </c>
      <c r="G4430">
        <v>0.552889321372241</v>
      </c>
      <c r="H4430">
        <v>0.462389478738221</v>
      </c>
      <c r="I4430">
        <v>0.51660473925022699</v>
      </c>
      <c r="J4430">
        <v>0.58438773882062001</v>
      </c>
      <c r="K4430">
        <v>0.57436258506253002</v>
      </c>
      <c r="L4430">
        <v>13346.1945566509</v>
      </c>
      <c r="M4430">
        <v>250</v>
      </c>
      <c r="O4430">
        <v>53.381348272445898</v>
      </c>
      <c r="P4430">
        <v>-0.54077071949349897</v>
      </c>
      <c r="Q4430">
        <v>0.53812675987625602</v>
      </c>
      <c r="R4430">
        <v>0.61931612674409497</v>
      </c>
      <c r="S4430" t="s">
        <v>11236</v>
      </c>
      <c r="T4430" t="s">
        <v>13610</v>
      </c>
      <c r="U4430" t="s">
        <v>13610</v>
      </c>
      <c r="V4430" t="s">
        <v>13610</v>
      </c>
      <c r="W4430" t="s">
        <v>17979</v>
      </c>
      <c r="X4430">
        <v>4</v>
      </c>
      <c r="Y4430" t="s">
        <v>24561</v>
      </c>
      <c r="Z4430" t="s">
        <v>31285</v>
      </c>
      <c r="AA4430">
        <v>0.7442390621236783</v>
      </c>
      <c r="AB4430" t="str">
        <f>HYPERLINK("Melting_Curves/meltCurve_Q8IYB9_ZNF595.pdf", "Melting_Curves/meltCurve_Q8IYB9_ZNF595.pdf")</f>
        <v>Melting_Curves/meltCurve_Q8IYB9_ZNF595.pdf</v>
      </c>
    </row>
    <row r="4431" spans="1:28" x14ac:dyDescent="0.25">
      <c r="A4431" t="s">
        <v>4435</v>
      </c>
      <c r="B4431">
        <v>0.995954080203443</v>
      </c>
      <c r="C4431">
        <v>1.0080832999725</v>
      </c>
      <c r="D4431">
        <v>0.92962733558764199</v>
      </c>
      <c r="E4431">
        <v>0.52631525078063701</v>
      </c>
      <c r="F4431">
        <v>0.25987277322385499</v>
      </c>
      <c r="G4431">
        <v>0.16796114044253899</v>
      </c>
      <c r="H4431">
        <v>0.12257480066162101</v>
      </c>
      <c r="I4431">
        <v>0.114710711066277</v>
      </c>
      <c r="J4431">
        <v>0.13872533968341599</v>
      </c>
      <c r="K4431">
        <v>0.120365727302926</v>
      </c>
      <c r="L4431">
        <v>1425.10260557724</v>
      </c>
      <c r="M4431">
        <v>28.643576031115298</v>
      </c>
      <c r="N4431">
        <v>50.267885609573497</v>
      </c>
      <c r="O4431">
        <v>49.512346804380201</v>
      </c>
      <c r="P4431">
        <v>-0.126240795511538</v>
      </c>
      <c r="Q4431">
        <v>0.12714402918757101</v>
      </c>
      <c r="R4431">
        <v>0.99914249464815796</v>
      </c>
      <c r="S4431" t="s">
        <v>11237</v>
      </c>
      <c r="T4431" t="s">
        <v>13610</v>
      </c>
      <c r="U4431" t="s">
        <v>13610</v>
      </c>
      <c r="V4431" t="s">
        <v>13610</v>
      </c>
      <c r="W4431" t="s">
        <v>17980</v>
      </c>
      <c r="X4431">
        <v>22</v>
      </c>
      <c r="Y4431" t="s">
        <v>24562</v>
      </c>
      <c r="Z4431" t="s">
        <v>31286</v>
      </c>
      <c r="AA4431">
        <v>0.4168150182048051</v>
      </c>
      <c r="AB4431" t="str">
        <f>HYPERLINK("Melting_Curves/meltCurve_Q8IYD1_GSPT2.pdf", "Melting_Curves/meltCurve_Q8IYD1_GSPT2.pdf")</f>
        <v>Melting_Curves/meltCurve_Q8IYD1_GSPT2.pdf</v>
      </c>
    </row>
    <row r="4432" spans="1:28" x14ac:dyDescent="0.25">
      <c r="A4432" t="s">
        <v>4436</v>
      </c>
      <c r="B4432">
        <v>0.995954080203443</v>
      </c>
      <c r="C4432">
        <v>1.0528389682285899</v>
      </c>
      <c r="D4432">
        <v>1.12302354511938</v>
      </c>
      <c r="E4432">
        <v>1.07578702410759</v>
      </c>
      <c r="F4432">
        <v>1.0929111851406099</v>
      </c>
      <c r="G4432">
        <v>0.95264614922176905</v>
      </c>
      <c r="H4432">
        <v>0.84314913934906499</v>
      </c>
      <c r="I4432">
        <v>1.14748176837834</v>
      </c>
      <c r="J4432">
        <v>1.38460483621487</v>
      </c>
      <c r="K4432">
        <v>0.24198243306206099</v>
      </c>
      <c r="L4432">
        <v>15000</v>
      </c>
      <c r="M4432">
        <v>215.42512814901701</v>
      </c>
      <c r="N4432">
        <v>69.629741151277898</v>
      </c>
      <c r="O4432">
        <v>69.623776298122095</v>
      </c>
      <c r="P4432">
        <v>-0.77353309486041399</v>
      </c>
      <c r="Q4432">
        <v>0</v>
      </c>
      <c r="R4432">
        <v>0.71468616761639403</v>
      </c>
      <c r="S4432" t="s">
        <v>11238</v>
      </c>
      <c r="T4432" t="s">
        <v>13610</v>
      </c>
      <c r="U4432" t="s">
        <v>13610</v>
      </c>
      <c r="V4432" t="s">
        <v>13610</v>
      </c>
      <c r="W4432" t="s">
        <v>17981</v>
      </c>
      <c r="X4432">
        <v>2</v>
      </c>
      <c r="Y4432" t="s">
        <v>24563</v>
      </c>
      <c r="Z4432" t="s">
        <v>31287</v>
      </c>
      <c r="AA4432">
        <v>0.98476941846254129</v>
      </c>
      <c r="AB4432" t="str">
        <f>HYPERLINK("Melting_Curves/meltCurve_Q8IYE0_CCDC146.pdf", "Melting_Curves/meltCurve_Q8IYE0_CCDC146.pdf")</f>
        <v>Melting_Curves/meltCurve_Q8IYE0_CCDC146.pdf</v>
      </c>
    </row>
    <row r="4433" spans="1:28" x14ac:dyDescent="0.25">
      <c r="A4433" t="s">
        <v>4437</v>
      </c>
      <c r="B4433">
        <v>0.995954080203443</v>
      </c>
      <c r="C4433">
        <v>0.95811300361209795</v>
      </c>
      <c r="D4433">
        <v>0.97758984456941</v>
      </c>
      <c r="E4433">
        <v>0.89052017494736302</v>
      </c>
      <c r="F4433">
        <v>0.95396106864693597</v>
      </c>
      <c r="G4433">
        <v>0.69866640059260898</v>
      </c>
      <c r="H4433">
        <v>0.66777924231570795</v>
      </c>
      <c r="I4433">
        <v>0.79840406734480696</v>
      </c>
      <c r="J4433">
        <v>1.23256709302761</v>
      </c>
      <c r="K4433">
        <v>0.93125258649786202</v>
      </c>
      <c r="L4433">
        <v>1339.96297037105</v>
      </c>
      <c r="M4433">
        <v>28.130024367444499</v>
      </c>
      <c r="O4433">
        <v>47.395855278427497</v>
      </c>
      <c r="P4433">
        <v>-1.82004884399046E-2</v>
      </c>
      <c r="Q4433">
        <v>0.87733816664642805</v>
      </c>
      <c r="R4433">
        <v>7.8840620264134104E-2</v>
      </c>
      <c r="S4433" t="s">
        <v>11239</v>
      </c>
      <c r="T4433" t="s">
        <v>13610</v>
      </c>
      <c r="U4433" t="s">
        <v>13610</v>
      </c>
      <c r="V4433" t="s">
        <v>13610</v>
      </c>
      <c r="W4433" t="s">
        <v>17982</v>
      </c>
      <c r="X4433">
        <v>4</v>
      </c>
      <c r="Y4433" t="s">
        <v>24564</v>
      </c>
      <c r="Z4433" t="s">
        <v>31288</v>
      </c>
      <c r="AA4433">
        <v>0.90939787281714535</v>
      </c>
      <c r="AB4433" t="str">
        <f>HYPERLINK("Melting_Curves/meltCurve_Q8IYH5_4_ZZZ3.pdf", "Melting_Curves/meltCurve_Q8IYH5_4_ZZZ3.pdf")</f>
        <v>Melting_Curves/meltCurve_Q8IYH5_4_ZZZ3.pdf</v>
      </c>
    </row>
    <row r="4434" spans="1:28" x14ac:dyDescent="0.25">
      <c r="A4434" t="s">
        <v>4438</v>
      </c>
      <c r="B4434">
        <v>0.995954080203443</v>
      </c>
      <c r="C4434">
        <v>0.82207035766259995</v>
      </c>
      <c r="D4434">
        <v>0.59862095622982903</v>
      </c>
      <c r="E4434">
        <v>0.37047086503163601</v>
      </c>
      <c r="F4434">
        <v>0.17246571813439701</v>
      </c>
      <c r="G4434">
        <v>9.8356890396782803E-2</v>
      </c>
      <c r="H4434">
        <v>6.8051581845797293E-2</v>
      </c>
      <c r="I4434">
        <v>5.2811663766430803E-2</v>
      </c>
      <c r="J4434">
        <v>5.4610095887113602E-2</v>
      </c>
      <c r="K4434">
        <v>5.0655976158921E-2</v>
      </c>
      <c r="L4434">
        <v>731.81800698387497</v>
      </c>
      <c r="M4434">
        <v>15.472022835672201</v>
      </c>
      <c r="N4434">
        <v>47.555906560703598</v>
      </c>
      <c r="O4434">
        <v>46.5304315415368</v>
      </c>
      <c r="P4434">
        <v>-7.9808313430962993E-2</v>
      </c>
      <c r="Q4434">
        <v>4.0026863640342199E-2</v>
      </c>
      <c r="R4434">
        <v>0.99523210912100002</v>
      </c>
      <c r="S4434" t="s">
        <v>11240</v>
      </c>
      <c r="T4434" t="s">
        <v>13610</v>
      </c>
      <c r="U4434" t="s">
        <v>13610</v>
      </c>
      <c r="V4434" t="s">
        <v>13610</v>
      </c>
      <c r="W4434" t="s">
        <v>17983</v>
      </c>
      <c r="X4434">
        <v>24</v>
      </c>
      <c r="Y4434" t="s">
        <v>24565</v>
      </c>
      <c r="Z4434" t="s">
        <v>31289</v>
      </c>
      <c r="AA4434">
        <v>0.29764568054502472</v>
      </c>
      <c r="AB4434" t="str">
        <f>HYPERLINK("Melting_Curves/meltCurve_Q8IYI6_EXOC8.pdf", "Melting_Curves/meltCurve_Q8IYI6_EXOC8.pdf")</f>
        <v>Melting_Curves/meltCurve_Q8IYI6_EXOC8.pdf</v>
      </c>
    </row>
    <row r="4435" spans="1:28" x14ac:dyDescent="0.25">
      <c r="A4435" t="s">
        <v>4439</v>
      </c>
      <c r="B4435">
        <v>0.995954080203443</v>
      </c>
      <c r="C4435">
        <v>0.77499494456885598</v>
      </c>
      <c r="D4435">
        <v>0.37371050411359602</v>
      </c>
      <c r="E4435">
        <v>0.25035405741186201</v>
      </c>
      <c r="F4435">
        <v>0.10887743895223199</v>
      </c>
      <c r="G4435">
        <v>5.6570208416331001E-2</v>
      </c>
      <c r="H4435">
        <v>3.9638540653024697E-2</v>
      </c>
      <c r="I4435">
        <v>3.4189804043311497E-2</v>
      </c>
      <c r="J4435">
        <v>4.0955248539110201E-2</v>
      </c>
      <c r="K4435">
        <v>3.8477426417715302E-2</v>
      </c>
      <c r="L4435">
        <v>917.93243766620003</v>
      </c>
      <c r="M4435">
        <v>20.311677594523001</v>
      </c>
      <c r="N4435">
        <v>45.420792162577499</v>
      </c>
      <c r="O4435">
        <v>44.761140250727202</v>
      </c>
      <c r="P4435">
        <v>-0.107939568921724</v>
      </c>
      <c r="Q4435">
        <v>4.85571237898373E-2</v>
      </c>
      <c r="R4435">
        <v>0.98505738973131296</v>
      </c>
      <c r="S4435" t="s">
        <v>11241</v>
      </c>
      <c r="T4435" t="s">
        <v>13610</v>
      </c>
      <c r="U4435" t="s">
        <v>13610</v>
      </c>
      <c r="V4435" t="s">
        <v>13610</v>
      </c>
      <c r="W4435" t="s">
        <v>17984</v>
      </c>
      <c r="X4435">
        <v>9</v>
      </c>
      <c r="Y4435" t="s">
        <v>24566</v>
      </c>
      <c r="Z4435" t="s">
        <v>31290</v>
      </c>
      <c r="AA4435">
        <v>0.2284469516698252</v>
      </c>
      <c r="AB4435" t="str">
        <f>HYPERLINK("Melting_Curves/meltCurve_Q8IYK4_COLGALT2.pdf", "Melting_Curves/meltCurve_Q8IYK4_COLGALT2.pdf")</f>
        <v>Melting_Curves/meltCurve_Q8IYK4_COLGALT2.pdf</v>
      </c>
    </row>
    <row r="4436" spans="1:28" x14ac:dyDescent="0.25">
      <c r="A4436" t="s">
        <v>4440</v>
      </c>
      <c r="B4436">
        <v>0.995954080203443</v>
      </c>
      <c r="C4436">
        <v>0.83109137581202097</v>
      </c>
      <c r="D4436">
        <v>0.98753825970667597</v>
      </c>
      <c r="E4436">
        <v>0.76753749268010996</v>
      </c>
      <c r="F4436">
        <v>1.0226244544960501</v>
      </c>
      <c r="G4436">
        <v>0.60130916963007497</v>
      </c>
      <c r="H4436">
        <v>0.57749645549926798</v>
      </c>
      <c r="I4436">
        <v>0.89688452987634704</v>
      </c>
      <c r="J4436">
        <v>0.79845037970538102</v>
      </c>
      <c r="K4436">
        <v>0.77226436960834599</v>
      </c>
      <c r="L4436">
        <v>512.71077094613702</v>
      </c>
      <c r="M4436">
        <v>10.6952885500008</v>
      </c>
      <c r="O4436">
        <v>46.353266219067699</v>
      </c>
      <c r="P4436">
        <v>-1.49758405538735E-2</v>
      </c>
      <c r="Q4436">
        <v>0.74047702483881594</v>
      </c>
      <c r="R4436">
        <v>0.26061139982887399</v>
      </c>
      <c r="S4436" t="s">
        <v>11242</v>
      </c>
      <c r="T4436" t="s">
        <v>13610</v>
      </c>
      <c r="U4436" t="s">
        <v>13610</v>
      </c>
      <c r="V4436" t="s">
        <v>13610</v>
      </c>
      <c r="W4436" t="s">
        <v>17985</v>
      </c>
      <c r="X4436">
        <v>2</v>
      </c>
      <c r="Y4436" t="s">
        <v>24567</v>
      </c>
      <c r="Z4436" t="s">
        <v>31291</v>
      </c>
      <c r="AA4436">
        <v>0.82155543468723014</v>
      </c>
      <c r="AB4436" t="str">
        <f>HYPERLINK("Melting_Curves/meltCurve_Q8IYL3_C1orf174.pdf", "Melting_Curves/meltCurve_Q8IYL3_C1orf174.pdf")</f>
        <v>Melting_Curves/meltCurve_Q8IYL3_C1orf174.pdf</v>
      </c>
    </row>
    <row r="4437" spans="1:28" x14ac:dyDescent="0.25">
      <c r="A4437" t="s">
        <v>4441</v>
      </c>
      <c r="B4437">
        <v>0.995954080203443</v>
      </c>
      <c r="C4437">
        <v>0.95292808773351501</v>
      </c>
      <c r="D4437">
        <v>0.90174412766965395</v>
      </c>
      <c r="E4437">
        <v>0.77864203814955102</v>
      </c>
      <c r="F4437">
        <v>0.73787927585619195</v>
      </c>
      <c r="G4437">
        <v>0.464315493709199</v>
      </c>
      <c r="H4437">
        <v>0.38250702807182002</v>
      </c>
      <c r="I4437">
        <v>0.44281431393773901</v>
      </c>
      <c r="J4437">
        <v>0.56188689987526796</v>
      </c>
      <c r="K4437">
        <v>0.51776616666428799</v>
      </c>
      <c r="L4437">
        <v>956.64294089297402</v>
      </c>
      <c r="M4437">
        <v>18.667551677298199</v>
      </c>
      <c r="N4437">
        <v>59.437626672485003</v>
      </c>
      <c r="O4437">
        <v>50.669079471133202</v>
      </c>
      <c r="P4437">
        <v>-4.9570087566566702E-2</v>
      </c>
      <c r="Q4437">
        <v>0.46183336503657901</v>
      </c>
      <c r="R4437">
        <v>0.91686721308557295</v>
      </c>
      <c r="S4437" t="s">
        <v>11243</v>
      </c>
      <c r="T4437" t="s">
        <v>13610</v>
      </c>
      <c r="U4437" t="s">
        <v>13610</v>
      </c>
      <c r="V4437" t="s">
        <v>13610</v>
      </c>
      <c r="W4437" t="s">
        <v>17986</v>
      </c>
      <c r="X4437">
        <v>4</v>
      </c>
      <c r="Y4437" t="s">
        <v>24568</v>
      </c>
      <c r="Z4437" t="s">
        <v>31292</v>
      </c>
      <c r="AA4437">
        <v>0.6720494176591707</v>
      </c>
      <c r="AB4437" t="str">
        <f>HYPERLINK("Melting_Curves/meltCurve_Q8IYN2_TCEAL8.pdf", "Melting_Curves/meltCurve_Q8IYN2_TCEAL8.pdf")</f>
        <v>Melting_Curves/meltCurve_Q8IYN2_TCEAL8.pdf</v>
      </c>
    </row>
    <row r="4438" spans="1:28" x14ac:dyDescent="0.25">
      <c r="A4438" t="s">
        <v>4442</v>
      </c>
      <c r="B4438">
        <v>0.995954080203443</v>
      </c>
      <c r="C4438">
        <v>0.96769328928915099</v>
      </c>
      <c r="D4438">
        <v>0.87086584214176199</v>
      </c>
      <c r="E4438">
        <v>0.83280351756181603</v>
      </c>
      <c r="F4438">
        <v>0.67088834711138001</v>
      </c>
      <c r="G4438">
        <v>0.431984404602544</v>
      </c>
      <c r="H4438">
        <v>0.31585362338877299</v>
      </c>
      <c r="I4438">
        <v>0.28267187766555202</v>
      </c>
      <c r="J4438">
        <v>0.31544109032234802</v>
      </c>
      <c r="K4438">
        <v>0.25638476879981897</v>
      </c>
      <c r="L4438">
        <v>810.97002673363102</v>
      </c>
      <c r="M4438">
        <v>15.164125136747399</v>
      </c>
      <c r="N4438">
        <v>55.877326810083098</v>
      </c>
      <c r="O4438">
        <v>52.5753376491813</v>
      </c>
      <c r="P4438">
        <v>-5.4866489103375202E-2</v>
      </c>
      <c r="Q4438">
        <v>0.23916617216270999</v>
      </c>
      <c r="R4438">
        <v>0.98843228409158601</v>
      </c>
      <c r="S4438" t="s">
        <v>11244</v>
      </c>
      <c r="T4438" t="s">
        <v>13610</v>
      </c>
      <c r="U4438" t="s">
        <v>13610</v>
      </c>
      <c r="V4438" t="s">
        <v>13610</v>
      </c>
      <c r="W4438" t="s">
        <v>17987</v>
      </c>
      <c r="X4438">
        <v>1</v>
      </c>
      <c r="Y4438" t="s">
        <v>24569</v>
      </c>
      <c r="Z4438" t="s">
        <v>31293</v>
      </c>
      <c r="AA4438">
        <v>0.59681756697564425</v>
      </c>
      <c r="AB4438" t="str">
        <f>HYPERLINK("Melting_Curves/meltCurve_Q8IYN6_UBALD2.pdf", "Melting_Curves/meltCurve_Q8IYN6_UBALD2.pdf")</f>
        <v>Melting_Curves/meltCurve_Q8IYN6_UBALD2.pdf</v>
      </c>
    </row>
    <row r="4439" spans="1:28" x14ac:dyDescent="0.25">
      <c r="A4439" t="s">
        <v>4443</v>
      </c>
      <c r="B4439">
        <v>0.995954080203443</v>
      </c>
      <c r="C4439">
        <v>0.96864625113303304</v>
      </c>
      <c r="D4439">
        <v>0.95301367930319203</v>
      </c>
      <c r="E4439">
        <v>0.82133955762210298</v>
      </c>
      <c r="F4439">
        <v>0.61379731432593199</v>
      </c>
      <c r="G4439">
        <v>0.32197475363425798</v>
      </c>
      <c r="H4439">
        <v>0.220985551819294</v>
      </c>
      <c r="I4439">
        <v>0.18033135840039999</v>
      </c>
      <c r="J4439">
        <v>0.16359341966344701</v>
      </c>
      <c r="K4439">
        <v>0.13980413779029599</v>
      </c>
      <c r="L4439">
        <v>1028.99581757888</v>
      </c>
      <c r="M4439">
        <v>19.257587851054499</v>
      </c>
      <c r="N4439">
        <v>54.365806419629401</v>
      </c>
      <c r="O4439">
        <v>52.8670868243942</v>
      </c>
      <c r="P4439">
        <v>-7.8260094146430204E-2</v>
      </c>
      <c r="Q4439">
        <v>0.14065517125882199</v>
      </c>
      <c r="R4439">
        <v>0.99894954417566795</v>
      </c>
      <c r="S4439" t="s">
        <v>11245</v>
      </c>
      <c r="T4439" t="s">
        <v>13610</v>
      </c>
      <c r="U4439" t="s">
        <v>13610</v>
      </c>
      <c r="V4439" t="s">
        <v>13610</v>
      </c>
      <c r="W4439" t="s">
        <v>17988</v>
      </c>
      <c r="X4439">
        <v>40</v>
      </c>
      <c r="Y4439" t="s">
        <v>24570</v>
      </c>
      <c r="Z4439" t="s">
        <v>31294</v>
      </c>
      <c r="AA4439">
        <v>0.53797407885553439</v>
      </c>
      <c r="AB4439" t="str">
        <f>HYPERLINK("Melting_Curves/meltCurve_Q8IYN9_PTK2.pdf", "Melting_Curves/meltCurve_Q8IYN9_PTK2.pdf")</f>
        <v>Melting_Curves/meltCurve_Q8IYN9_PTK2.pdf</v>
      </c>
    </row>
    <row r="4440" spans="1:28" x14ac:dyDescent="0.25">
      <c r="A4440" t="s">
        <v>4444</v>
      </c>
      <c r="B4440">
        <v>0.995954080203443</v>
      </c>
      <c r="C4440">
        <v>0.93679482198803099</v>
      </c>
      <c r="D4440">
        <v>0.79081912388762998</v>
      </c>
      <c r="E4440">
        <v>0.58743586300690398</v>
      </c>
      <c r="F4440">
        <v>0.29118768349671398</v>
      </c>
      <c r="G4440">
        <v>0.14780314732077601</v>
      </c>
      <c r="H4440">
        <v>9.2514989645047105E-2</v>
      </c>
      <c r="I4440">
        <v>9.0902937267989897E-2</v>
      </c>
      <c r="J4440">
        <v>8.5291678725432404E-2</v>
      </c>
      <c r="K4440">
        <v>6.8547113694427605E-2</v>
      </c>
      <c r="L4440">
        <v>847.18024241706905</v>
      </c>
      <c r="M4440">
        <v>16.928623917681001</v>
      </c>
      <c r="N4440">
        <v>50.414955159269802</v>
      </c>
      <c r="O4440">
        <v>49.361566459590797</v>
      </c>
      <c r="P4440">
        <v>-8.0725457443797097E-2</v>
      </c>
      <c r="Q4440">
        <v>5.8521310847096303E-2</v>
      </c>
      <c r="R4440">
        <v>0.99535182930077204</v>
      </c>
      <c r="S4440" t="s">
        <v>11246</v>
      </c>
      <c r="T4440" t="s">
        <v>13610</v>
      </c>
      <c r="U4440" t="s">
        <v>13610</v>
      </c>
      <c r="V4440" t="s">
        <v>13610</v>
      </c>
      <c r="W4440" t="s">
        <v>17989</v>
      </c>
      <c r="X4440">
        <v>4</v>
      </c>
      <c r="Y4440" t="s">
        <v>24571</v>
      </c>
      <c r="Z4440" t="s">
        <v>31295</v>
      </c>
      <c r="AA4440">
        <v>0.39174034438131089</v>
      </c>
      <c r="AB4440" t="str">
        <f>HYPERLINK("Melting_Curves/meltCurve_Q8IYQ7_THNSL1.pdf", "Melting_Curves/meltCurve_Q8IYQ7_THNSL1.pdf")</f>
        <v>Melting_Curves/meltCurve_Q8IYQ7_THNSL1.pdf</v>
      </c>
    </row>
    <row r="4441" spans="1:28" x14ac:dyDescent="0.25">
      <c r="A4441" t="s">
        <v>4445</v>
      </c>
      <c r="B4441">
        <v>0.995954080203443</v>
      </c>
      <c r="C4441">
        <v>0.63062144219893101</v>
      </c>
      <c r="D4441">
        <v>0.40337748086887099</v>
      </c>
      <c r="E4441">
        <v>0.29855354480179802</v>
      </c>
      <c r="F4441">
        <v>0.21058277262205599</v>
      </c>
      <c r="G4441">
        <v>0.107690160877309</v>
      </c>
      <c r="H4441">
        <v>0.11112740185818901</v>
      </c>
      <c r="I4441">
        <v>0.11812118059644799</v>
      </c>
      <c r="J4441">
        <v>0.11298235829018501</v>
      </c>
      <c r="K4441">
        <v>0.14253255068801499</v>
      </c>
      <c r="L4441">
        <v>805.18314131495401</v>
      </c>
      <c r="M4441">
        <v>18.161794261987598</v>
      </c>
      <c r="N4441">
        <v>45.071285959460297</v>
      </c>
      <c r="O4441">
        <v>43.806894481189403</v>
      </c>
      <c r="P4441">
        <v>-9.0329838162479997E-2</v>
      </c>
      <c r="Q4441">
        <v>0.128526376940336</v>
      </c>
      <c r="R4441">
        <v>0.96898299739427796</v>
      </c>
      <c r="S4441" t="s">
        <v>11247</v>
      </c>
      <c r="T4441" t="s">
        <v>13610</v>
      </c>
      <c r="U4441" t="s">
        <v>13610</v>
      </c>
      <c r="V4441" t="s">
        <v>13610</v>
      </c>
      <c r="W4441" t="s">
        <v>17990</v>
      </c>
      <c r="X4441">
        <v>1</v>
      </c>
      <c r="Y4441" t="s">
        <v>24572</v>
      </c>
      <c r="Z4441" t="s">
        <v>31296</v>
      </c>
      <c r="AA4441">
        <v>0.27446068488405112</v>
      </c>
      <c r="AB4441" t="str">
        <f>HYPERLINK("Melting_Curves/meltCurve_Q8IYT2_FTSJD1.pdf", "Melting_Curves/meltCurve_Q8IYT2_FTSJD1.pdf")</f>
        <v>Melting_Curves/meltCurve_Q8IYT2_FTSJD1.pdf</v>
      </c>
    </row>
    <row r="4442" spans="1:28" x14ac:dyDescent="0.25">
      <c r="A4442" t="s">
        <v>4446</v>
      </c>
      <c r="B4442">
        <v>0.995954080203443</v>
      </c>
      <c r="C4442">
        <v>0.97493914469823495</v>
      </c>
      <c r="D4442">
        <v>0.76089920743321304</v>
      </c>
      <c r="E4442">
        <v>0.36466118894451499</v>
      </c>
      <c r="F4442">
        <v>0.185516310092669</v>
      </c>
      <c r="G4442">
        <v>9.55189957281561E-2</v>
      </c>
      <c r="H4442">
        <v>9.0985051622122601E-2</v>
      </c>
      <c r="I4442">
        <v>7.1099123834081707E-2</v>
      </c>
      <c r="J4442">
        <v>9.9148604914952004E-2</v>
      </c>
      <c r="K4442">
        <v>6.9566706283226004E-2</v>
      </c>
      <c r="L4442">
        <v>1116.5632894677001</v>
      </c>
      <c r="M4442">
        <v>23.150937214304601</v>
      </c>
      <c r="N4442">
        <v>48.589698736422299</v>
      </c>
      <c r="O4442">
        <v>47.874192841231597</v>
      </c>
      <c r="P4442">
        <v>-0.11136954143397999</v>
      </c>
      <c r="Q4442">
        <v>7.8805425945098401E-2</v>
      </c>
      <c r="R4442">
        <v>0.99890993605398704</v>
      </c>
      <c r="S4442" t="s">
        <v>11248</v>
      </c>
      <c r="T4442" t="s">
        <v>13610</v>
      </c>
      <c r="U4442" t="s">
        <v>13610</v>
      </c>
      <c r="V4442" t="s">
        <v>13610</v>
      </c>
      <c r="W4442" t="s">
        <v>17991</v>
      </c>
      <c r="X4442">
        <v>4</v>
      </c>
      <c r="Y4442" t="s">
        <v>24573</v>
      </c>
      <c r="Z4442" t="s">
        <v>31297</v>
      </c>
      <c r="AA4442">
        <v>0.34108488185019348</v>
      </c>
      <c r="AB4442" t="str">
        <f>HYPERLINK("Melting_Curves/meltCurve_Q8IYU2_HACE1.pdf", "Melting_Curves/meltCurve_Q8IYU2_HACE1.pdf")</f>
        <v>Melting_Curves/meltCurve_Q8IYU2_HACE1.pdf</v>
      </c>
    </row>
    <row r="4443" spans="1:28" x14ac:dyDescent="0.25">
      <c r="A4443" t="s">
        <v>4447</v>
      </c>
      <c r="B4443">
        <v>0.995954080203443</v>
      </c>
      <c r="C4443">
        <v>0.91139192625193499</v>
      </c>
      <c r="D4443">
        <v>0.674269843302987</v>
      </c>
      <c r="E4443">
        <v>0.27759214959857798</v>
      </c>
      <c r="F4443">
        <v>0.104076646431902</v>
      </c>
      <c r="G4443">
        <v>8.3015252774353301E-2</v>
      </c>
      <c r="H4443">
        <v>4.7890101054246202E-2</v>
      </c>
      <c r="I4443">
        <v>4.6592796730315501E-2</v>
      </c>
      <c r="J4443">
        <v>8.3018768718241695E-2</v>
      </c>
      <c r="K4443">
        <v>5.3100272640873997E-2</v>
      </c>
      <c r="L4443">
        <v>1092.0911400366299</v>
      </c>
      <c r="M4443">
        <v>23.093448732249499</v>
      </c>
      <c r="N4443">
        <v>47.528807820564701</v>
      </c>
      <c r="O4443">
        <v>46.9397626410722</v>
      </c>
      <c r="P4443">
        <v>-0.116262047113114</v>
      </c>
      <c r="Q4443">
        <v>5.4760088405884901E-2</v>
      </c>
      <c r="R4443">
        <v>0.99851479740645999</v>
      </c>
      <c r="S4443" t="s">
        <v>11249</v>
      </c>
      <c r="T4443" t="s">
        <v>13610</v>
      </c>
      <c r="U4443" t="s">
        <v>13610</v>
      </c>
      <c r="V4443" t="s">
        <v>13610</v>
      </c>
      <c r="W4443" t="s">
        <v>17992</v>
      </c>
      <c r="X4443">
        <v>2</v>
      </c>
      <c r="Y4443" t="s">
        <v>24574</v>
      </c>
      <c r="Z4443" t="s">
        <v>31298</v>
      </c>
      <c r="AA4443">
        <v>0.29444580499935641</v>
      </c>
      <c r="AB4443" t="str">
        <f>HYPERLINK("Melting_Curves/meltCurve_Q8IYU8_MICU2.pdf", "Melting_Curves/meltCurve_Q8IYU8_MICU2.pdf")</f>
        <v>Melting_Curves/meltCurve_Q8IYU8_MICU2.pdf</v>
      </c>
    </row>
    <row r="4444" spans="1:28" x14ac:dyDescent="0.25">
      <c r="A4444" t="s">
        <v>4448</v>
      </c>
      <c r="B4444">
        <v>0.995954080203443</v>
      </c>
      <c r="C4444">
        <v>0.93661769878541901</v>
      </c>
      <c r="D4444">
        <v>1.06258257475832</v>
      </c>
      <c r="E4444">
        <v>0.89486265522598796</v>
      </c>
      <c r="F4444">
        <v>0.93518762118271603</v>
      </c>
      <c r="G4444">
        <v>0.76243037947526904</v>
      </c>
      <c r="H4444">
        <v>0.74944189575709996</v>
      </c>
      <c r="I4444">
        <v>0.878916420762069</v>
      </c>
      <c r="J4444">
        <v>1.23920702352482</v>
      </c>
      <c r="K4444">
        <v>1.0611746020233099</v>
      </c>
      <c r="L4444">
        <v>3896.5884471140498</v>
      </c>
      <c r="M4444">
        <v>59.261231871417401</v>
      </c>
      <c r="O4444">
        <v>65.677993802575401</v>
      </c>
      <c r="P4444">
        <v>3.1739637132354899E-2</v>
      </c>
      <c r="Q4444">
        <v>1.1407054600408399</v>
      </c>
      <c r="R4444">
        <v>3.6689102024240201E-2</v>
      </c>
      <c r="S4444" t="s">
        <v>11250</v>
      </c>
      <c r="T4444" t="s">
        <v>13610</v>
      </c>
      <c r="U4444" t="s">
        <v>13610</v>
      </c>
      <c r="V4444" t="s">
        <v>13610</v>
      </c>
      <c r="W4444" t="s">
        <v>17993</v>
      </c>
      <c r="X4444">
        <v>6</v>
      </c>
      <c r="Y4444" t="s">
        <v>24575</v>
      </c>
      <c r="Z4444" t="s">
        <v>31299</v>
      </c>
      <c r="AA4444">
        <v>1.0197961571605949</v>
      </c>
      <c r="AB4444" t="str">
        <f>HYPERLINK("Melting_Curves/meltCurve_Q8IYW5_RNF168.pdf", "Melting_Curves/meltCurve_Q8IYW5_RNF168.pdf")</f>
        <v>Melting_Curves/meltCurve_Q8IYW5_RNF168.pdf</v>
      </c>
    </row>
    <row r="4445" spans="1:28" x14ac:dyDescent="0.25">
      <c r="A4445" t="s">
        <v>4449</v>
      </c>
      <c r="B4445">
        <v>0.995954080203443</v>
      </c>
      <c r="C4445">
        <v>0.98930643749956504</v>
      </c>
      <c r="D4445">
        <v>1.0177215341661501</v>
      </c>
      <c r="E4445">
        <v>0.81232056205842396</v>
      </c>
      <c r="F4445">
        <v>0.38624015482652502</v>
      </c>
      <c r="G4445">
        <v>0.17522103534717601</v>
      </c>
      <c r="H4445">
        <v>0.104052628967213</v>
      </c>
      <c r="I4445">
        <v>8.5860222897751595E-2</v>
      </c>
      <c r="J4445">
        <v>9.7409100598595894E-2</v>
      </c>
      <c r="K4445">
        <v>7.7809882873569394E-2</v>
      </c>
      <c r="L4445">
        <v>1752.0071484820801</v>
      </c>
      <c r="M4445">
        <v>33.7393678235278</v>
      </c>
      <c r="N4445">
        <v>52.258314695564401</v>
      </c>
      <c r="O4445">
        <v>51.746268063254099</v>
      </c>
      <c r="P4445">
        <v>-0.14733814110770499</v>
      </c>
      <c r="Q4445">
        <v>9.6110040148465206E-2</v>
      </c>
      <c r="R4445">
        <v>0.99816933588338996</v>
      </c>
      <c r="S4445" t="s">
        <v>11251</v>
      </c>
      <c r="T4445" t="s">
        <v>13610</v>
      </c>
      <c r="U4445" t="s">
        <v>13610</v>
      </c>
      <c r="V4445" t="s">
        <v>13610</v>
      </c>
      <c r="W4445" t="s">
        <v>17994</v>
      </c>
      <c r="X4445">
        <v>14</v>
      </c>
      <c r="Y4445" t="s">
        <v>24576</v>
      </c>
      <c r="Z4445" t="s">
        <v>31300</v>
      </c>
      <c r="AA4445">
        <v>0.46005119320877003</v>
      </c>
      <c r="AB4445" t="str">
        <f>HYPERLINK("Melting_Curves/meltCurve_Q8IZ07_ANKRD13A.pdf", "Melting_Curves/meltCurve_Q8IZ07_ANKRD13A.pdf")</f>
        <v>Melting_Curves/meltCurve_Q8IZ07_ANKRD13A.pdf</v>
      </c>
    </row>
    <row r="4446" spans="1:28" x14ac:dyDescent="0.25">
      <c r="A4446" t="s">
        <v>4450</v>
      </c>
      <c r="B4446">
        <v>0.995954080203443</v>
      </c>
      <c r="C4446">
        <v>0.86164057942406602</v>
      </c>
      <c r="D4446">
        <v>0.75502631190369296</v>
      </c>
      <c r="E4446">
        <v>0.63592011113785696</v>
      </c>
      <c r="F4446">
        <v>0.25442203397928798</v>
      </c>
      <c r="G4446">
        <v>0.12583672343187899</v>
      </c>
      <c r="H4446">
        <v>0.10111292515098599</v>
      </c>
      <c r="I4446">
        <v>8.4479807474263993E-2</v>
      </c>
      <c r="J4446">
        <v>0.13690047746634501</v>
      </c>
      <c r="K4446">
        <v>8.3500543241666295E-2</v>
      </c>
      <c r="L4446">
        <v>782.07529629497606</v>
      </c>
      <c r="M4446">
        <v>15.718893170230601</v>
      </c>
      <c r="N4446">
        <v>50.196178275957003</v>
      </c>
      <c r="O4446">
        <v>48.969437234384102</v>
      </c>
      <c r="P4446">
        <v>-7.5064601588627003E-2</v>
      </c>
      <c r="Q4446">
        <v>6.4676123849804396E-2</v>
      </c>
      <c r="R4446">
        <v>0.97329006683307795</v>
      </c>
      <c r="S4446" t="s">
        <v>11252</v>
      </c>
      <c r="T4446" t="s">
        <v>13610</v>
      </c>
      <c r="U4446" t="s">
        <v>13610</v>
      </c>
      <c r="V4446" t="s">
        <v>13610</v>
      </c>
      <c r="W4446" t="s">
        <v>17995</v>
      </c>
      <c r="X4446">
        <v>4</v>
      </c>
      <c r="Y4446" t="s">
        <v>24577</v>
      </c>
      <c r="Z4446" t="s">
        <v>31301</v>
      </c>
      <c r="AA4446">
        <v>0.38942628357648268</v>
      </c>
      <c r="AB4446" t="str">
        <f>HYPERLINK("Melting_Curves/meltCurve_Q8IZ13_C5orf54.pdf", "Melting_Curves/meltCurve_Q8IZ13_C5orf54.pdf")</f>
        <v>Melting_Curves/meltCurve_Q8IZ13_C5orf54.pdf</v>
      </c>
    </row>
    <row r="4447" spans="1:28" x14ac:dyDescent="0.25">
      <c r="A4447" t="s">
        <v>4451</v>
      </c>
      <c r="B4447">
        <v>0.995954080203443</v>
      </c>
      <c r="C4447">
        <v>0.98589126752200396</v>
      </c>
      <c r="D4447">
        <v>0.97693546579639701</v>
      </c>
      <c r="E4447">
        <v>0.88498401132045201</v>
      </c>
      <c r="F4447">
        <v>0.780025481582442</v>
      </c>
      <c r="G4447">
        <v>0.488655900134078</v>
      </c>
      <c r="H4447">
        <v>0.43126519304442201</v>
      </c>
      <c r="I4447">
        <v>0.47544029295431001</v>
      </c>
      <c r="J4447">
        <v>0.60482233536389896</v>
      </c>
      <c r="K4447">
        <v>0.56737927154314405</v>
      </c>
      <c r="L4447">
        <v>1815.0110443388801</v>
      </c>
      <c r="M4447">
        <v>34.384632990169003</v>
      </c>
      <c r="O4447">
        <v>52.607929054462303</v>
      </c>
      <c r="P4447">
        <v>-8.0190179343301804E-2</v>
      </c>
      <c r="Q4447">
        <v>0.50924303789206105</v>
      </c>
      <c r="R4447">
        <v>0.93960614355009098</v>
      </c>
      <c r="S4447" t="s">
        <v>11253</v>
      </c>
      <c r="T4447" t="s">
        <v>13610</v>
      </c>
      <c r="U4447" t="s">
        <v>13610</v>
      </c>
      <c r="V4447" t="s">
        <v>13610</v>
      </c>
      <c r="W4447" t="s">
        <v>17996</v>
      </c>
      <c r="X4447">
        <v>22</v>
      </c>
      <c r="Y4447" t="s">
        <v>24578</v>
      </c>
      <c r="Z4447" t="s">
        <v>31302</v>
      </c>
      <c r="AA4447">
        <v>0.7208175877077434</v>
      </c>
      <c r="AB4447" t="str">
        <f>HYPERLINK("Melting_Curves/meltCurve_Q8IZ21_3_PHACTR4.pdf", "Melting_Curves/meltCurve_Q8IZ21_3_PHACTR4.pdf")</f>
        <v>Melting_Curves/meltCurve_Q8IZ21_3_PHACTR4.pdf</v>
      </c>
    </row>
    <row r="4448" spans="1:28" x14ac:dyDescent="0.25">
      <c r="A4448" t="s">
        <v>4452</v>
      </c>
      <c r="B4448">
        <v>0.995954080203443</v>
      </c>
      <c r="C4448">
        <v>0.82023949037348698</v>
      </c>
      <c r="D4448">
        <v>0.62100809570890403</v>
      </c>
      <c r="E4448">
        <v>0.45083360410893802</v>
      </c>
      <c r="F4448">
        <v>0.30991970904816801</v>
      </c>
      <c r="G4448">
        <v>0.21869831676217599</v>
      </c>
      <c r="H4448">
        <v>0.120887136009511</v>
      </c>
      <c r="I4448">
        <v>8.2764964102472097E-2</v>
      </c>
      <c r="J4448">
        <v>8.1168624803302697E-2</v>
      </c>
      <c r="K4448">
        <v>7.5474613959171405E-2</v>
      </c>
      <c r="L4448">
        <v>564.755445334603</v>
      </c>
      <c r="M4448">
        <v>11.658535856659199</v>
      </c>
      <c r="N4448">
        <v>48.867512750090803</v>
      </c>
      <c r="O4448">
        <v>47.081995517539198</v>
      </c>
      <c r="P4448">
        <v>-5.8929205639537699E-2</v>
      </c>
      <c r="Q4448">
        <v>4.8334404732084599E-2</v>
      </c>
      <c r="R4448">
        <v>0.99141713590666902</v>
      </c>
      <c r="S4448" t="s">
        <v>11254</v>
      </c>
      <c r="T4448" t="s">
        <v>13610</v>
      </c>
      <c r="U4448" t="s">
        <v>13610</v>
      </c>
      <c r="V4448" t="s">
        <v>13610</v>
      </c>
      <c r="W4448" t="s">
        <v>17997</v>
      </c>
      <c r="X4448">
        <v>30</v>
      </c>
      <c r="Y4448" t="s">
        <v>24579</v>
      </c>
      <c r="Z4448" t="s">
        <v>31303</v>
      </c>
      <c r="AA4448">
        <v>0.3541400133753913</v>
      </c>
      <c r="AB4448" t="str">
        <f>HYPERLINK("Melting_Curves/meltCurve_Q8IZ69_TRMT2A.pdf", "Melting_Curves/meltCurve_Q8IZ69_TRMT2A.pdf")</f>
        <v>Melting_Curves/meltCurve_Q8IZ69_TRMT2A.pdf</v>
      </c>
    </row>
    <row r="4449" spans="1:28" x14ac:dyDescent="0.25">
      <c r="A4449" t="s">
        <v>4453</v>
      </c>
      <c r="B4449">
        <v>0.995954080203443</v>
      </c>
      <c r="C4449">
        <v>1.00401135236478</v>
      </c>
      <c r="D4449">
        <v>1.00696854886668</v>
      </c>
      <c r="E4449">
        <v>0.92290596342003395</v>
      </c>
      <c r="F4449">
        <v>0.85461338127279596</v>
      </c>
      <c r="G4449">
        <v>0.49499701190425699</v>
      </c>
      <c r="H4449">
        <v>0.167995988363902</v>
      </c>
      <c r="I4449">
        <v>0.14113942420711401</v>
      </c>
      <c r="J4449">
        <v>0.15437762496583801</v>
      </c>
      <c r="K4449">
        <v>0.146689844631257</v>
      </c>
      <c r="L4449">
        <v>1560.7460800127701</v>
      </c>
      <c r="M4449">
        <v>27.807929104433398</v>
      </c>
      <c r="N4449">
        <v>56.7137883334767</v>
      </c>
      <c r="O4449">
        <v>55.838069018027603</v>
      </c>
      <c r="P4449">
        <v>-0.10891483537398799</v>
      </c>
      <c r="Q4449">
        <v>0.12520738983888</v>
      </c>
      <c r="R4449">
        <v>0.99604775023529402</v>
      </c>
      <c r="S4449" t="s">
        <v>11255</v>
      </c>
      <c r="T4449" t="s">
        <v>13610</v>
      </c>
      <c r="U4449" t="s">
        <v>13610</v>
      </c>
      <c r="V4449" t="s">
        <v>13610</v>
      </c>
      <c r="W4449" t="s">
        <v>17998</v>
      </c>
      <c r="X4449">
        <v>16</v>
      </c>
      <c r="Y4449" t="s">
        <v>24580</v>
      </c>
      <c r="Z4449" t="s">
        <v>31304</v>
      </c>
      <c r="AA4449">
        <v>0.60212111838593885</v>
      </c>
      <c r="AB4449" t="str">
        <f>HYPERLINK("Melting_Curves/meltCurve_Q8IZ73_RPUSD2.pdf", "Melting_Curves/meltCurve_Q8IZ73_RPUSD2.pdf")</f>
        <v>Melting_Curves/meltCurve_Q8IZ73_RPUSD2.pdf</v>
      </c>
    </row>
    <row r="4450" spans="1:28" x14ac:dyDescent="0.25">
      <c r="A4450" t="s">
        <v>4454</v>
      </c>
      <c r="B4450">
        <v>0.995954080203443</v>
      </c>
      <c r="C4450">
        <v>0.788158869481147</v>
      </c>
      <c r="D4450">
        <v>0.75437581033608103</v>
      </c>
      <c r="E4450">
        <v>0.85578318909803297</v>
      </c>
      <c r="F4450">
        <v>0.74549606431625204</v>
      </c>
      <c r="G4450">
        <v>0.60280946112447997</v>
      </c>
      <c r="H4450">
        <v>0.39746715951827999</v>
      </c>
      <c r="I4450">
        <v>0.38256204263002902</v>
      </c>
      <c r="J4450">
        <v>0.32596290348982698</v>
      </c>
      <c r="K4450">
        <v>0.42571252175670599</v>
      </c>
      <c r="L4450">
        <v>327.19703182064001</v>
      </c>
      <c r="M4450">
        <v>5.51248184636703</v>
      </c>
      <c r="N4450">
        <v>60.352920760983302</v>
      </c>
      <c r="O4450">
        <v>52.914898497433803</v>
      </c>
      <c r="P4450">
        <v>-2.50192601915376E-2</v>
      </c>
      <c r="Q4450">
        <v>4.3529734411293E-2</v>
      </c>
      <c r="R4450">
        <v>0.87552564494434504</v>
      </c>
      <c r="S4450" t="s">
        <v>11256</v>
      </c>
      <c r="T4450" t="s">
        <v>13610</v>
      </c>
      <c r="U4450" t="s">
        <v>13610</v>
      </c>
      <c r="V4450" t="s">
        <v>13610</v>
      </c>
      <c r="W4450" t="s">
        <v>17999</v>
      </c>
      <c r="X4450">
        <v>17</v>
      </c>
      <c r="Y4450" t="s">
        <v>24581</v>
      </c>
      <c r="Z4450" t="s">
        <v>31305</v>
      </c>
      <c r="AA4450">
        <v>0.63090134557489608</v>
      </c>
      <c r="AB4450" t="str">
        <f>HYPERLINK("Melting_Curves/meltCurve_Q8IZ83_ALDH16A1.pdf", "Melting_Curves/meltCurve_Q8IZ83_ALDH16A1.pdf")</f>
        <v>Melting_Curves/meltCurve_Q8IZ83_ALDH16A1.pdf</v>
      </c>
    </row>
    <row r="4451" spans="1:28" x14ac:dyDescent="0.25">
      <c r="A4451" t="s">
        <v>4455</v>
      </c>
      <c r="B4451">
        <v>0.995954080203443</v>
      </c>
      <c r="C4451">
        <v>0.93676755736600004</v>
      </c>
      <c r="D4451">
        <v>0.91132782477041696</v>
      </c>
      <c r="E4451">
        <v>0.752443145922289</v>
      </c>
      <c r="F4451">
        <v>0.62181036295713399</v>
      </c>
      <c r="G4451">
        <v>0.46257175147923102</v>
      </c>
      <c r="H4451">
        <v>0.42259553971921099</v>
      </c>
      <c r="I4451">
        <v>0.47945282952479401</v>
      </c>
      <c r="J4451">
        <v>0.57143705421952795</v>
      </c>
      <c r="K4451">
        <v>0.52617293147673005</v>
      </c>
      <c r="L4451">
        <v>1063.81302314448</v>
      </c>
      <c r="M4451">
        <v>21.340329961141698</v>
      </c>
      <c r="N4451">
        <v>60.3061178007219</v>
      </c>
      <c r="O4451">
        <v>49.418342067499502</v>
      </c>
      <c r="P4451">
        <v>-5.5314555949311499E-2</v>
      </c>
      <c r="Q4451">
        <v>0.487639624044929</v>
      </c>
      <c r="R4451">
        <v>0.95068654860860002</v>
      </c>
      <c r="S4451" t="s">
        <v>11257</v>
      </c>
      <c r="T4451" t="s">
        <v>13610</v>
      </c>
      <c r="U4451" t="s">
        <v>13610</v>
      </c>
      <c r="V4451" t="s">
        <v>13610</v>
      </c>
      <c r="W4451" t="s">
        <v>18000</v>
      </c>
      <c r="X4451">
        <v>11</v>
      </c>
      <c r="Y4451" t="s">
        <v>24582</v>
      </c>
      <c r="Z4451" t="s">
        <v>31306</v>
      </c>
      <c r="AA4451">
        <v>0.66214180357815389</v>
      </c>
      <c r="AB4451" t="str">
        <f>HYPERLINK("Melting_Curves/meltCurve_Q8IZD2_6_MLL5.pdf", "Melting_Curves/meltCurve_Q8IZD2_6_MLL5.pdf")</f>
        <v>Melting_Curves/meltCurve_Q8IZD2_6_MLL5.pdf</v>
      </c>
    </row>
    <row r="4452" spans="1:28" x14ac:dyDescent="0.25">
      <c r="A4452" t="s">
        <v>4456</v>
      </c>
      <c r="B4452">
        <v>0.995954080203443</v>
      </c>
      <c r="C4452">
        <v>0.97346224944547799</v>
      </c>
      <c r="D4452">
        <v>0.82192183884289505</v>
      </c>
      <c r="E4452">
        <v>0.80049980322772496</v>
      </c>
      <c r="F4452">
        <v>0.75392227166168502</v>
      </c>
      <c r="G4452">
        <v>0.52053281296808995</v>
      </c>
      <c r="H4452">
        <v>0.46717553198712403</v>
      </c>
      <c r="I4452">
        <v>0.51149543416532794</v>
      </c>
      <c r="J4452">
        <v>0.63004221704890095</v>
      </c>
      <c r="K4452">
        <v>0.60076930956269503</v>
      </c>
      <c r="L4452">
        <v>729.95313056174598</v>
      </c>
      <c r="M4452">
        <v>14.6261696749051</v>
      </c>
      <c r="O4452">
        <v>49.002234173412397</v>
      </c>
      <c r="P4452">
        <v>-3.4706818423387499E-2</v>
      </c>
      <c r="Q4452">
        <v>0.53493716127779201</v>
      </c>
      <c r="R4452">
        <v>0.87254832149142802</v>
      </c>
      <c r="S4452" t="s">
        <v>11258</v>
      </c>
      <c r="T4452" t="s">
        <v>13610</v>
      </c>
      <c r="U4452" t="s">
        <v>13610</v>
      </c>
      <c r="V4452" t="s">
        <v>13610</v>
      </c>
      <c r="W4452" t="s">
        <v>18001</v>
      </c>
      <c r="X4452">
        <v>5</v>
      </c>
      <c r="Y4452" t="s">
        <v>24583</v>
      </c>
      <c r="Z4452" t="s">
        <v>31307</v>
      </c>
      <c r="AA4452">
        <v>0.70015349419571782</v>
      </c>
      <c r="AB4452" t="str">
        <f>HYPERLINK("Melting_Curves/meltCurve_Q8IZE3_2_SCYL3.pdf", "Melting_Curves/meltCurve_Q8IZE3_2_SCYL3.pdf")</f>
        <v>Melting_Curves/meltCurve_Q8IZE3_2_SCYL3.pdf</v>
      </c>
    </row>
    <row r="4453" spans="1:28" x14ac:dyDescent="0.25">
      <c r="A4453" t="s">
        <v>4457</v>
      </c>
      <c r="B4453">
        <v>0.995954080203443</v>
      </c>
      <c r="C4453">
        <v>0.87111579550857499</v>
      </c>
      <c r="D4453">
        <v>0.74718194642047797</v>
      </c>
      <c r="E4453">
        <v>0.47722990648060298</v>
      </c>
      <c r="F4453">
        <v>0.34275721317836899</v>
      </c>
      <c r="G4453">
        <v>0.213099255097778</v>
      </c>
      <c r="H4453">
        <v>0.177991618479136</v>
      </c>
      <c r="I4453">
        <v>0.18810123784367</v>
      </c>
      <c r="J4453">
        <v>0.22358102128207599</v>
      </c>
      <c r="K4453">
        <v>0.19866128551649401</v>
      </c>
      <c r="L4453">
        <v>787.18692009985295</v>
      </c>
      <c r="M4453">
        <v>16.348301693907199</v>
      </c>
      <c r="N4453">
        <v>49.512290344761503</v>
      </c>
      <c r="O4453">
        <v>47.447822356797801</v>
      </c>
      <c r="P4453">
        <v>-7.0550680777202904E-2</v>
      </c>
      <c r="Q4453">
        <v>0.18101953352273201</v>
      </c>
      <c r="R4453">
        <v>0.99461308769511503</v>
      </c>
      <c r="S4453" t="s">
        <v>11259</v>
      </c>
      <c r="T4453" t="s">
        <v>13610</v>
      </c>
      <c r="U4453" t="s">
        <v>13610</v>
      </c>
      <c r="V4453" t="s">
        <v>13610</v>
      </c>
      <c r="W4453" t="s">
        <v>18002</v>
      </c>
      <c r="X4453">
        <v>21</v>
      </c>
      <c r="Y4453" t="s">
        <v>24584</v>
      </c>
      <c r="Z4453" t="s">
        <v>31308</v>
      </c>
      <c r="AA4453">
        <v>0.42116065288743237</v>
      </c>
      <c r="AB4453" t="str">
        <f>HYPERLINK("Melting_Curves/meltCurve_Q8IZH2_2_XRN1.pdf", "Melting_Curves/meltCurve_Q8IZH2_2_XRN1.pdf")</f>
        <v>Melting_Curves/meltCurve_Q8IZH2_2_XRN1.pdf</v>
      </c>
    </row>
    <row r="4454" spans="1:28" x14ac:dyDescent="0.25">
      <c r="A4454" t="s">
        <v>4458</v>
      </c>
      <c r="B4454">
        <v>0.995954080203443</v>
      </c>
      <c r="C4454">
        <v>0.99578836933336201</v>
      </c>
      <c r="D4454">
        <v>1.0572037495578099</v>
      </c>
      <c r="E4454">
        <v>0.79574982881204204</v>
      </c>
      <c r="F4454">
        <v>0.67243547493496203</v>
      </c>
      <c r="G4454">
        <v>0.15178857969239901</v>
      </c>
      <c r="H4454">
        <v>9.6055554054831793E-2</v>
      </c>
      <c r="I4454">
        <v>8.0918584589138504E-2</v>
      </c>
      <c r="J4454">
        <v>9.8816590411734698E-2</v>
      </c>
      <c r="K4454">
        <v>0.10576187055048</v>
      </c>
      <c r="L4454">
        <v>1564.69900958364</v>
      </c>
      <c r="M4454">
        <v>29.2409841853333</v>
      </c>
      <c r="N4454">
        <v>53.825326904372901</v>
      </c>
      <c r="O4454">
        <v>53.262056778816799</v>
      </c>
      <c r="P4454">
        <v>-0.126462395201488</v>
      </c>
      <c r="Q4454">
        <v>7.8608078292385405E-2</v>
      </c>
      <c r="R4454">
        <v>0.98621942222301195</v>
      </c>
      <c r="S4454" t="s">
        <v>11260</v>
      </c>
      <c r="T4454" t="s">
        <v>13610</v>
      </c>
      <c r="U4454" t="s">
        <v>13610</v>
      </c>
      <c r="V4454" t="s">
        <v>13610</v>
      </c>
      <c r="W4454" t="s">
        <v>18003</v>
      </c>
      <c r="X4454">
        <v>3</v>
      </c>
      <c r="Y4454" t="s">
        <v>24585</v>
      </c>
      <c r="Z4454" t="s">
        <v>31309</v>
      </c>
      <c r="AA4454">
        <v>0.49987917606810861</v>
      </c>
      <c r="AB4454" t="str">
        <f>HYPERLINK("Melting_Curves/meltCurve_Q8IZJ1_2_UNC5B.pdf", "Melting_Curves/meltCurve_Q8IZJ1_2_UNC5B.pdf")</f>
        <v>Melting_Curves/meltCurve_Q8IZJ1_2_UNC5B.pdf</v>
      </c>
    </row>
    <row r="4455" spans="1:28" x14ac:dyDescent="0.25">
      <c r="A4455" t="s">
        <v>4459</v>
      </c>
      <c r="B4455">
        <v>0.995954080203443</v>
      </c>
      <c r="C4455">
        <v>0.72880289111974095</v>
      </c>
      <c r="D4455">
        <v>1.08262389867286</v>
      </c>
      <c r="E4455">
        <v>0.99553959427710204</v>
      </c>
      <c r="F4455">
        <v>0.96010479328222997</v>
      </c>
      <c r="G4455">
        <v>0.76913002303627498</v>
      </c>
      <c r="H4455">
        <v>0.75015839037120502</v>
      </c>
      <c r="I4455">
        <v>0.93393500498029502</v>
      </c>
      <c r="J4455">
        <v>0.95757169304920897</v>
      </c>
      <c r="K4455">
        <v>1.0827449426164999</v>
      </c>
      <c r="L4455">
        <v>10118.387259441401</v>
      </c>
      <c r="M4455">
        <v>250</v>
      </c>
      <c r="O4455">
        <v>40.470958887453598</v>
      </c>
      <c r="P4455">
        <v>-0.12687227811181601</v>
      </c>
      <c r="Q4455">
        <v>0.91784571584694996</v>
      </c>
      <c r="R4455">
        <v>3.5318323647656497E-2</v>
      </c>
      <c r="S4455" t="s">
        <v>11261</v>
      </c>
      <c r="T4455" t="s">
        <v>13610</v>
      </c>
      <c r="U4455" t="s">
        <v>13610</v>
      </c>
      <c r="V4455" t="s">
        <v>13610</v>
      </c>
      <c r="W4455" t="s">
        <v>18004</v>
      </c>
      <c r="X4455">
        <v>8</v>
      </c>
      <c r="Y4455" t="s">
        <v>24586</v>
      </c>
      <c r="Z4455" t="s">
        <v>31310</v>
      </c>
      <c r="AA4455">
        <v>0.91917006475438756</v>
      </c>
      <c r="AB4455" t="str">
        <f>HYPERLINK("Melting_Curves/meltCurve_Q8IZL2_MAML2.pdf", "Melting_Curves/meltCurve_Q8IZL2_MAML2.pdf")</f>
        <v>Melting_Curves/meltCurve_Q8IZL2_MAML2.pdf</v>
      </c>
    </row>
    <row r="4456" spans="1:28" x14ac:dyDescent="0.25">
      <c r="A4456" t="s">
        <v>4460</v>
      </c>
      <c r="B4456">
        <v>0.995954080203443</v>
      </c>
      <c r="C4456">
        <v>0.93733910011372901</v>
      </c>
      <c r="D4456">
        <v>0.98155146684921002</v>
      </c>
      <c r="E4456">
        <v>1.1839115674654701</v>
      </c>
      <c r="F4456">
        <v>0.677450744750281</v>
      </c>
      <c r="G4456">
        <v>0.58164582985271296</v>
      </c>
      <c r="H4456">
        <v>0.48563370330676803</v>
      </c>
      <c r="I4456">
        <v>0.56269875964838201</v>
      </c>
      <c r="J4456">
        <v>0.38406718773274401</v>
      </c>
      <c r="K4456">
        <v>0.64081633403629201</v>
      </c>
      <c r="L4456">
        <v>13208.163327571699</v>
      </c>
      <c r="M4456">
        <v>250</v>
      </c>
      <c r="O4456">
        <v>52.8292780592379</v>
      </c>
      <c r="P4456">
        <v>-0.55488614542080505</v>
      </c>
      <c r="Q4456">
        <v>0.53097229948464697</v>
      </c>
      <c r="R4456">
        <v>0.87547218902906099</v>
      </c>
      <c r="S4456" t="s">
        <v>11262</v>
      </c>
      <c r="T4456" t="s">
        <v>13610</v>
      </c>
      <c r="U4456" t="s">
        <v>13610</v>
      </c>
      <c r="V4456" t="s">
        <v>13610</v>
      </c>
      <c r="W4456" t="s">
        <v>18005</v>
      </c>
      <c r="X4456">
        <v>4</v>
      </c>
      <c r="Y4456" t="s">
        <v>24587</v>
      </c>
      <c r="Z4456" t="s">
        <v>31311</v>
      </c>
      <c r="AA4456">
        <v>0.73164478374800501</v>
      </c>
      <c r="AB4456" t="str">
        <f>HYPERLINK("Melting_Curves/meltCurve_Q8IZL8_PELP1.pdf", "Melting_Curves/meltCurve_Q8IZL8_PELP1.pdf")</f>
        <v>Melting_Curves/meltCurve_Q8IZL8_PELP1.pdf</v>
      </c>
    </row>
    <row r="4457" spans="1:28" x14ac:dyDescent="0.25">
      <c r="A4457" t="s">
        <v>4461</v>
      </c>
      <c r="B4457">
        <v>0.995954080203443</v>
      </c>
      <c r="C4457">
        <v>0.91939990378232905</v>
      </c>
      <c r="D4457">
        <v>0.76636955093799997</v>
      </c>
      <c r="E4457">
        <v>0.80621727432581103</v>
      </c>
      <c r="F4457">
        <v>0.49256687633878499</v>
      </c>
      <c r="G4457">
        <v>0.31234629138509301</v>
      </c>
      <c r="H4457">
        <v>0.24190612142203799</v>
      </c>
      <c r="I4457">
        <v>0.247505853861169</v>
      </c>
      <c r="J4457">
        <v>0.30205966050282901</v>
      </c>
      <c r="K4457">
        <v>0.282158753497673</v>
      </c>
      <c r="L4457">
        <v>755.10984634598401</v>
      </c>
      <c r="M4457">
        <v>14.7849534214189</v>
      </c>
      <c r="N4457">
        <v>53.287092429179303</v>
      </c>
      <c r="O4457">
        <v>50.165849050845502</v>
      </c>
      <c r="P4457">
        <v>-5.6776385239115497E-2</v>
      </c>
      <c r="Q4457">
        <v>0.22950585378584401</v>
      </c>
      <c r="R4457">
        <v>0.95099186566743599</v>
      </c>
      <c r="S4457" t="s">
        <v>11263</v>
      </c>
      <c r="T4457" t="s">
        <v>13610</v>
      </c>
      <c r="U4457" t="s">
        <v>13610</v>
      </c>
      <c r="V4457" t="s">
        <v>13610</v>
      </c>
      <c r="W4457" t="s">
        <v>18006</v>
      </c>
      <c r="X4457">
        <v>11</v>
      </c>
      <c r="Y4457" t="s">
        <v>24588</v>
      </c>
      <c r="Z4457" t="s">
        <v>31312</v>
      </c>
      <c r="AA4457">
        <v>0.53207789659175786</v>
      </c>
      <c r="AB4457" t="str">
        <f>HYPERLINK("Melting_Curves/meltCurve_Q8IZP0_10_ABI1.pdf", "Melting_Curves/meltCurve_Q8IZP0_10_ABI1.pdf")</f>
        <v>Melting_Curves/meltCurve_Q8IZP0_10_ABI1.pdf</v>
      </c>
    </row>
    <row r="4458" spans="1:28" x14ac:dyDescent="0.25">
      <c r="A4458" t="s">
        <v>4462</v>
      </c>
      <c r="B4458">
        <v>0.995954080203443</v>
      </c>
      <c r="C4458">
        <v>0.816696414586081</v>
      </c>
      <c r="D4458">
        <v>0.50918211409814396</v>
      </c>
      <c r="E4458">
        <v>0.378768989471437</v>
      </c>
      <c r="F4458">
        <v>0.190063943352867</v>
      </c>
      <c r="G4458">
        <v>0.110845436032112</v>
      </c>
      <c r="H4458">
        <v>7.4601426455123701E-2</v>
      </c>
      <c r="I4458">
        <v>6.9193699814763795E-2</v>
      </c>
      <c r="J4458">
        <v>9.7505065627822796E-2</v>
      </c>
      <c r="K4458">
        <v>7.2321437869266203E-2</v>
      </c>
      <c r="L4458">
        <v>719.25767912557205</v>
      </c>
      <c r="M4458">
        <v>15.434190361581001</v>
      </c>
      <c r="N4458">
        <v>47.052392592271502</v>
      </c>
      <c r="O4458">
        <v>45.840305294809603</v>
      </c>
      <c r="P4458">
        <v>-7.8395317043596702E-2</v>
      </c>
      <c r="Q4458">
        <v>6.8732776848121499E-2</v>
      </c>
      <c r="R4458">
        <v>0.98544538231734302</v>
      </c>
      <c r="S4458" t="s">
        <v>11264</v>
      </c>
      <c r="T4458" t="s">
        <v>13610</v>
      </c>
      <c r="U4458" t="s">
        <v>13610</v>
      </c>
      <c r="V4458" t="s">
        <v>13610</v>
      </c>
      <c r="W4458" t="s">
        <v>18007</v>
      </c>
      <c r="X4458">
        <v>2</v>
      </c>
      <c r="Y4458" t="s">
        <v>24589</v>
      </c>
      <c r="Z4458" t="s">
        <v>31313</v>
      </c>
      <c r="AA4458">
        <v>0.29813197146324799</v>
      </c>
      <c r="AB4458" t="str">
        <f>HYPERLINK("Melting_Curves/meltCurve_Q8IZQ1_2_WDFY3.pdf", "Melting_Curves/meltCurve_Q8IZQ1_2_WDFY3.pdf")</f>
        <v>Melting_Curves/meltCurve_Q8IZQ1_2_WDFY3.pdf</v>
      </c>
    </row>
    <row r="4459" spans="1:28" x14ac:dyDescent="0.25">
      <c r="A4459" t="s">
        <v>4463</v>
      </c>
      <c r="B4459">
        <v>0.995954080203443</v>
      </c>
      <c r="C4459">
        <v>0.95278482186460001</v>
      </c>
      <c r="D4459">
        <v>1.44327730976472</v>
      </c>
      <c r="E4459">
        <v>0.90991746303246501</v>
      </c>
      <c r="F4459">
        <v>1.17345858400136</v>
      </c>
      <c r="G4459">
        <v>1.11509680410672</v>
      </c>
      <c r="H4459">
        <v>1.07398830622465</v>
      </c>
      <c r="I4459">
        <v>1.3516421024712399</v>
      </c>
      <c r="J4459">
        <v>1.5039077534137999</v>
      </c>
      <c r="K4459">
        <v>1.3296706214555301</v>
      </c>
      <c r="L4459">
        <v>430.101634815713</v>
      </c>
      <c r="M4459">
        <v>7.0529420925866102</v>
      </c>
      <c r="O4459">
        <v>56.6482417732987</v>
      </c>
      <c r="P4459">
        <v>1.5591087269083599E-2</v>
      </c>
      <c r="Q4459">
        <v>1.5</v>
      </c>
      <c r="R4459">
        <v>0.32594194908148</v>
      </c>
      <c r="S4459" t="s">
        <v>11265</v>
      </c>
      <c r="T4459" t="s">
        <v>13610</v>
      </c>
      <c r="U4459" t="s">
        <v>13610</v>
      </c>
      <c r="V4459" t="s">
        <v>13610</v>
      </c>
      <c r="W4459" t="s">
        <v>18008</v>
      </c>
      <c r="X4459">
        <v>4</v>
      </c>
      <c r="Y4459" t="s">
        <v>24590</v>
      </c>
      <c r="Z4459" t="s">
        <v>31314</v>
      </c>
      <c r="AA4459">
        <v>1.1674901502121739</v>
      </c>
      <c r="AB4459" t="str">
        <f>HYPERLINK("Melting_Curves/meltCurve_Q8IZT6_2_ASPM.pdf", "Melting_Curves/meltCurve_Q8IZT6_2_ASPM.pdf")</f>
        <v>Melting_Curves/meltCurve_Q8IZT6_2_ASPM.pdf</v>
      </c>
    </row>
    <row r="4460" spans="1:28" x14ac:dyDescent="0.25">
      <c r="A4460" t="s">
        <v>4464</v>
      </c>
      <c r="B4460">
        <v>0.995954080203443</v>
      </c>
      <c r="C4460">
        <v>0.90337785754828204</v>
      </c>
      <c r="D4460">
        <v>0.749021986133801</v>
      </c>
      <c r="E4460">
        <v>0.70685178550843497</v>
      </c>
      <c r="F4460">
        <v>0.50742967525329796</v>
      </c>
      <c r="G4460">
        <v>0.26628580367961402</v>
      </c>
      <c r="H4460">
        <v>0.15101833780943</v>
      </c>
      <c r="I4460">
        <v>0.135672903676615</v>
      </c>
      <c r="J4460">
        <v>0.17643723840940101</v>
      </c>
      <c r="K4460">
        <v>0.14811796732511801</v>
      </c>
      <c r="L4460">
        <v>617.01274691206402</v>
      </c>
      <c r="M4460">
        <v>11.926175185233101</v>
      </c>
      <c r="N4460">
        <v>52.472301140701198</v>
      </c>
      <c r="O4460">
        <v>50.345784251570798</v>
      </c>
      <c r="P4460">
        <v>-5.4671998582925298E-2</v>
      </c>
      <c r="Q4460">
        <v>7.7047155634707598E-2</v>
      </c>
      <c r="R4460">
        <v>0.97839662325990695</v>
      </c>
      <c r="S4460" t="s">
        <v>11266</v>
      </c>
      <c r="T4460" t="s">
        <v>13610</v>
      </c>
      <c r="U4460" t="s">
        <v>13610</v>
      </c>
      <c r="V4460" t="s">
        <v>13610</v>
      </c>
      <c r="W4460" t="s">
        <v>18009</v>
      </c>
      <c r="X4460">
        <v>4</v>
      </c>
      <c r="Y4460" t="s">
        <v>24591</v>
      </c>
      <c r="Z4460" t="s">
        <v>31315</v>
      </c>
      <c r="AA4460">
        <v>0.4670843402772753</v>
      </c>
      <c r="AB4460" t="str">
        <f>HYPERLINK("Melting_Curves/meltCurve_Q8IZV5_RDH10.pdf", "Melting_Curves/meltCurve_Q8IZV5_RDH10.pdf")</f>
        <v>Melting_Curves/meltCurve_Q8IZV5_RDH10.pdf</v>
      </c>
    </row>
    <row r="4461" spans="1:28" x14ac:dyDescent="0.25">
      <c r="A4461" t="s">
        <v>4465</v>
      </c>
      <c r="B4461">
        <v>0.995954080203443</v>
      </c>
      <c r="C4461">
        <v>0.99350358816939799</v>
      </c>
      <c r="D4461">
        <v>0.98902291164025002</v>
      </c>
      <c r="E4461">
        <v>0.85119779638201798</v>
      </c>
      <c r="F4461">
        <v>0.77873918512614604</v>
      </c>
      <c r="G4461">
        <v>0.59651368645117597</v>
      </c>
      <c r="H4461">
        <v>0.52960308545019497</v>
      </c>
      <c r="I4461">
        <v>0.65826865060853201</v>
      </c>
      <c r="J4461">
        <v>0.69630622759794902</v>
      </c>
      <c r="K4461">
        <v>0.796871239099603</v>
      </c>
      <c r="L4461">
        <v>1554.1454114804901</v>
      </c>
      <c r="M4461">
        <v>30.590010684776502</v>
      </c>
      <c r="O4461">
        <v>50.590009594844901</v>
      </c>
      <c r="P4461">
        <v>-5.1582852676472002E-2</v>
      </c>
      <c r="Q4461">
        <v>0.65876948612583297</v>
      </c>
      <c r="R4461">
        <v>0.823744023612487</v>
      </c>
      <c r="S4461" t="s">
        <v>11267</v>
      </c>
      <c r="T4461" t="s">
        <v>13610</v>
      </c>
      <c r="U4461" t="s">
        <v>13610</v>
      </c>
      <c r="V4461" t="s">
        <v>13610</v>
      </c>
      <c r="W4461" t="s">
        <v>18010</v>
      </c>
      <c r="X4461">
        <v>19</v>
      </c>
      <c r="Y4461" t="s">
        <v>24592</v>
      </c>
      <c r="Z4461" t="s">
        <v>31316</v>
      </c>
      <c r="AA4461">
        <v>0.78373336380068648</v>
      </c>
      <c r="AB4461" t="str">
        <f>HYPERLINK("Melting_Curves/meltCurve_Q8N0S2_SYCE1.pdf", "Melting_Curves/meltCurve_Q8N0S2_SYCE1.pdf")</f>
        <v>Melting_Curves/meltCurve_Q8N0S2_SYCE1.pdf</v>
      </c>
    </row>
    <row r="4462" spans="1:28" x14ac:dyDescent="0.25">
      <c r="A4462" t="s">
        <v>4466</v>
      </c>
      <c r="B4462">
        <v>0.995954080203443</v>
      </c>
      <c r="C4462">
        <v>0.88212446359697905</v>
      </c>
      <c r="D4462">
        <v>0.79834848425257299</v>
      </c>
      <c r="E4462">
        <v>0.67740013365834495</v>
      </c>
      <c r="F4462">
        <v>0.68518529015710805</v>
      </c>
      <c r="G4462">
        <v>0.53513166548124702</v>
      </c>
      <c r="H4462">
        <v>0.54248617047562098</v>
      </c>
      <c r="I4462">
        <v>0.72466991225159805</v>
      </c>
      <c r="J4462">
        <v>0.77512070201185002</v>
      </c>
      <c r="K4462">
        <v>0.85648195497246604</v>
      </c>
      <c r="L4462">
        <v>1138.5860495010299</v>
      </c>
      <c r="M4462">
        <v>25.718498186984501</v>
      </c>
      <c r="O4462">
        <v>44.006033625807703</v>
      </c>
      <c r="P4462">
        <v>-4.6120142365759002E-2</v>
      </c>
      <c r="Q4462">
        <v>0.68434544513027895</v>
      </c>
      <c r="R4462">
        <v>0.56046249147398897</v>
      </c>
      <c r="S4462" t="s">
        <v>11268</v>
      </c>
      <c r="T4462" t="s">
        <v>13610</v>
      </c>
      <c r="U4462" t="s">
        <v>13610</v>
      </c>
      <c r="V4462" t="s">
        <v>13610</v>
      </c>
      <c r="W4462" t="s">
        <v>18011</v>
      </c>
      <c r="X4462">
        <v>4</v>
      </c>
      <c r="Y4462" t="s">
        <v>24593</v>
      </c>
      <c r="Z4462" t="s">
        <v>31317</v>
      </c>
      <c r="AA4462">
        <v>0.73250895205640421</v>
      </c>
      <c r="AB4462" t="str">
        <f>HYPERLINK("Melting_Curves/meltCurve_Q8N0T1_C8orf59.pdf", "Melting_Curves/meltCurve_Q8N0T1_C8orf59.pdf")</f>
        <v>Melting_Curves/meltCurve_Q8N0T1_C8orf59.pdf</v>
      </c>
    </row>
    <row r="4463" spans="1:28" x14ac:dyDescent="0.25">
      <c r="A4463" t="s">
        <v>4467</v>
      </c>
      <c r="B4463">
        <v>0.995954080203443</v>
      </c>
      <c r="C4463">
        <v>0.85068542794843505</v>
      </c>
      <c r="D4463">
        <v>0.69851634276466501</v>
      </c>
      <c r="E4463">
        <v>0.78928040334261795</v>
      </c>
      <c r="F4463">
        <v>0.53784618408892604</v>
      </c>
      <c r="G4463">
        <v>0.33538722733875498</v>
      </c>
      <c r="H4463">
        <v>0.129613952566836</v>
      </c>
      <c r="I4463">
        <v>8.1540836940931102E-2</v>
      </c>
      <c r="J4463">
        <v>8.5765199180226598E-2</v>
      </c>
      <c r="K4463">
        <v>7.8960982472531097E-2</v>
      </c>
      <c r="L4463">
        <v>577.46476185643803</v>
      </c>
      <c r="M4463">
        <v>10.879985431258101</v>
      </c>
      <c r="N4463">
        <v>53.075874553564198</v>
      </c>
      <c r="O4463">
        <v>51.377252595913802</v>
      </c>
      <c r="P4463">
        <v>-5.2960273525994202E-2</v>
      </c>
      <c r="Q4463">
        <v>0</v>
      </c>
      <c r="R4463">
        <v>0.95485807599402295</v>
      </c>
      <c r="S4463" t="s">
        <v>11269</v>
      </c>
      <c r="T4463" t="s">
        <v>13610</v>
      </c>
      <c r="U4463" t="s">
        <v>13610</v>
      </c>
      <c r="V4463" t="s">
        <v>13610</v>
      </c>
      <c r="W4463" t="s">
        <v>18012</v>
      </c>
      <c r="X4463">
        <v>20</v>
      </c>
      <c r="Y4463" t="s">
        <v>24594</v>
      </c>
      <c r="Z4463" t="s">
        <v>31318</v>
      </c>
      <c r="AA4463">
        <v>0.46720925057932527</v>
      </c>
      <c r="AB4463" t="str">
        <f>HYPERLINK("Melting_Curves/meltCurve_Q8N0W3_FUK.pdf", "Melting_Curves/meltCurve_Q8N0W3_FUK.pdf")</f>
        <v>Melting_Curves/meltCurve_Q8N0W3_FUK.pdf</v>
      </c>
    </row>
    <row r="4464" spans="1:28" x14ac:dyDescent="0.25">
      <c r="A4464" t="s">
        <v>4468</v>
      </c>
      <c r="B4464">
        <v>0.995954080203443</v>
      </c>
      <c r="C4464">
        <v>0.97723246154718202</v>
      </c>
      <c r="D4464">
        <v>0.96300179376454798</v>
      </c>
      <c r="E4464">
        <v>0.84473253519186497</v>
      </c>
      <c r="F4464">
        <v>0.76539036748060496</v>
      </c>
      <c r="G4464">
        <v>0.54754319212386204</v>
      </c>
      <c r="H4464">
        <v>0.49523475658438898</v>
      </c>
      <c r="I4464">
        <v>0.51849485021463604</v>
      </c>
      <c r="J4464">
        <v>0.69554059777339305</v>
      </c>
      <c r="K4464">
        <v>0.58242283756134305</v>
      </c>
      <c r="L4464">
        <v>1323.1298410105201</v>
      </c>
      <c r="M4464">
        <v>25.6100761087921</v>
      </c>
      <c r="O4464">
        <v>51.352504653451099</v>
      </c>
      <c r="P4464">
        <v>-5.4342821934967103E-2</v>
      </c>
      <c r="Q4464">
        <v>0.564139388795591</v>
      </c>
      <c r="R4464">
        <v>0.90874286634856305</v>
      </c>
      <c r="S4464" t="s">
        <v>11270</v>
      </c>
      <c r="T4464" t="s">
        <v>13610</v>
      </c>
      <c r="U4464" t="s">
        <v>13610</v>
      </c>
      <c r="V4464" t="s">
        <v>13610</v>
      </c>
      <c r="W4464" t="s">
        <v>18013</v>
      </c>
      <c r="X4464">
        <v>12</v>
      </c>
      <c r="Y4464" t="s">
        <v>24595</v>
      </c>
      <c r="Z4464" t="s">
        <v>31319</v>
      </c>
      <c r="AA4464">
        <v>0.73739216916678063</v>
      </c>
      <c r="AB4464" t="str">
        <f>HYPERLINK("Melting_Curves/meltCurve_Q8N0X7_SPG20.pdf", "Melting_Curves/meltCurve_Q8N0X7_SPG20.pdf")</f>
        <v>Melting_Curves/meltCurve_Q8N0X7_SPG20.pdf</v>
      </c>
    </row>
    <row r="4465" spans="1:28" x14ac:dyDescent="0.25">
      <c r="A4465" t="s">
        <v>4469</v>
      </c>
      <c r="B4465">
        <v>0.995954080203443</v>
      </c>
      <c r="C4465">
        <v>1.0067912039432301</v>
      </c>
      <c r="D4465">
        <v>1.0436568104241</v>
      </c>
      <c r="E4465">
        <v>0.80552410440929401</v>
      </c>
      <c r="F4465">
        <v>0.76040248969990398</v>
      </c>
      <c r="G4465">
        <v>0.55232297936930896</v>
      </c>
      <c r="H4465">
        <v>0.48342271187682101</v>
      </c>
      <c r="I4465">
        <v>0.51262441211490395</v>
      </c>
      <c r="J4465">
        <v>0.590007293872154</v>
      </c>
      <c r="K4465">
        <v>0.58685879981642797</v>
      </c>
      <c r="L4465">
        <v>1298.5224754759399</v>
      </c>
      <c r="M4465">
        <v>25.099213813840301</v>
      </c>
      <c r="O4465">
        <v>51.410505920241597</v>
      </c>
      <c r="P4465">
        <v>-5.6271524166475802E-2</v>
      </c>
      <c r="Q4465">
        <v>0.53896401581948405</v>
      </c>
      <c r="R4465">
        <v>0.95020448836855498</v>
      </c>
      <c r="S4465" t="s">
        <v>11271</v>
      </c>
      <c r="T4465" t="s">
        <v>13610</v>
      </c>
      <c r="U4465" t="s">
        <v>13610</v>
      </c>
      <c r="V4465" t="s">
        <v>13610</v>
      </c>
      <c r="W4465" t="s">
        <v>18014</v>
      </c>
      <c r="X4465">
        <v>4</v>
      </c>
      <c r="Y4465" t="s">
        <v>24596</v>
      </c>
      <c r="Z4465" t="s">
        <v>31320</v>
      </c>
      <c r="AA4465">
        <v>0.72348050794193564</v>
      </c>
      <c r="AB4465" t="str">
        <f>HYPERLINK("Melting_Curves/meltCurve_Q8N0Y2_2_ZNF444.pdf", "Melting_Curves/meltCurve_Q8N0Y2_2_ZNF444.pdf")</f>
        <v>Melting_Curves/meltCurve_Q8N0Y2_2_ZNF444.pdf</v>
      </c>
    </row>
    <row r="4466" spans="1:28" x14ac:dyDescent="0.25">
      <c r="A4466" t="s">
        <v>4470</v>
      </c>
      <c r="B4466">
        <v>0.995954080203443</v>
      </c>
      <c r="C4466">
        <v>0.92748855514664696</v>
      </c>
      <c r="D4466">
        <v>0.72109409609854802</v>
      </c>
      <c r="E4466">
        <v>0.67212691419391402</v>
      </c>
      <c r="F4466">
        <v>0.48719551561924901</v>
      </c>
      <c r="G4466">
        <v>0.36560004529350398</v>
      </c>
      <c r="H4466">
        <v>0.35201047435870603</v>
      </c>
      <c r="I4466">
        <v>0.32844881782218599</v>
      </c>
      <c r="J4466">
        <v>0.35293900228442898</v>
      </c>
      <c r="K4466">
        <v>0.32703644584209901</v>
      </c>
      <c r="L4466">
        <v>646.12080318103597</v>
      </c>
      <c r="M4466">
        <v>13.206710000123801</v>
      </c>
      <c r="N4466">
        <v>52.777590605663598</v>
      </c>
      <c r="O4466">
        <v>47.842755321036897</v>
      </c>
      <c r="P4466">
        <v>-4.76676232893158E-2</v>
      </c>
      <c r="Q4466">
        <v>0.30938981530021997</v>
      </c>
      <c r="R4466">
        <v>0.97866936258543702</v>
      </c>
      <c r="S4466" t="s">
        <v>11272</v>
      </c>
      <c r="T4466" t="s">
        <v>13610</v>
      </c>
      <c r="U4466" t="s">
        <v>13610</v>
      </c>
      <c r="V4466" t="s">
        <v>13610</v>
      </c>
      <c r="W4466" t="s">
        <v>18015</v>
      </c>
      <c r="X4466">
        <v>2</v>
      </c>
      <c r="Y4466" t="s">
        <v>24597</v>
      </c>
      <c r="Z4466" t="s">
        <v>31321</v>
      </c>
      <c r="AA4466">
        <v>0.53640996691112286</v>
      </c>
      <c r="AB4466" t="str">
        <f>HYPERLINK("Melting_Curves/meltCurve_Q8N0Z3_SPICE1.pdf", "Melting_Curves/meltCurve_Q8N0Z3_SPICE1.pdf")</f>
        <v>Melting_Curves/meltCurve_Q8N0Z3_SPICE1.pdf</v>
      </c>
    </row>
    <row r="4467" spans="1:28" x14ac:dyDescent="0.25">
      <c r="A4467" t="s">
        <v>4471</v>
      </c>
      <c r="B4467">
        <v>0.995954080203443</v>
      </c>
      <c r="C4467">
        <v>0.99530331215028101</v>
      </c>
      <c r="D4467">
        <v>0.91083826660691103</v>
      </c>
      <c r="E4467">
        <v>0.367389865445019</v>
      </c>
      <c r="F4467">
        <v>0.195177418197337</v>
      </c>
      <c r="G4467">
        <v>0.101744751773308</v>
      </c>
      <c r="H4467">
        <v>6.7991309531531999E-2</v>
      </c>
      <c r="I4467">
        <v>6.1281406379714298E-2</v>
      </c>
      <c r="J4467">
        <v>8.9435261155281706E-2</v>
      </c>
      <c r="K4467">
        <v>6.7708458127922297E-2</v>
      </c>
      <c r="L4467">
        <v>1548.1168332371001</v>
      </c>
      <c r="M4467">
        <v>31.637189822630901</v>
      </c>
      <c r="N4467">
        <v>49.204305103915701</v>
      </c>
      <c r="O4467">
        <v>48.739186706155401</v>
      </c>
      <c r="P4467">
        <v>-0.14931006403970001</v>
      </c>
      <c r="Q4467">
        <v>7.9916673448297601E-2</v>
      </c>
      <c r="R4467">
        <v>0.99771276412490295</v>
      </c>
      <c r="S4467" t="s">
        <v>11273</v>
      </c>
      <c r="T4467" t="s">
        <v>13610</v>
      </c>
      <c r="U4467" t="s">
        <v>13610</v>
      </c>
      <c r="V4467" t="s">
        <v>13610</v>
      </c>
      <c r="W4467" t="s">
        <v>18016</v>
      </c>
      <c r="X4467">
        <v>6</v>
      </c>
      <c r="Y4467" t="s">
        <v>24598</v>
      </c>
      <c r="Z4467" t="s">
        <v>31322</v>
      </c>
      <c r="AA4467">
        <v>0.35892166067685599</v>
      </c>
      <c r="AB4467" t="str">
        <f>HYPERLINK("Melting_Curves/meltCurve_Q8N0Z6_TTC5.pdf", "Melting_Curves/meltCurve_Q8N0Z6_TTC5.pdf")</f>
        <v>Melting_Curves/meltCurve_Q8N0Z6_TTC5.pdf</v>
      </c>
    </row>
    <row r="4468" spans="1:28" x14ac:dyDescent="0.25">
      <c r="A4468" t="s">
        <v>4472</v>
      </c>
      <c r="B4468">
        <v>0.995954080203443</v>
      </c>
      <c r="C4468">
        <v>0.99188415908362604</v>
      </c>
      <c r="D4468">
        <v>0.98723116186750004</v>
      </c>
      <c r="E4468">
        <v>0.849810426125157</v>
      </c>
      <c r="F4468">
        <v>0.57314488234716998</v>
      </c>
      <c r="G4468">
        <v>0.367625025965644</v>
      </c>
      <c r="H4468">
        <v>0.28966081821241202</v>
      </c>
      <c r="I4468">
        <v>0.296151325758991</v>
      </c>
      <c r="J4468">
        <v>0.41130163506193701</v>
      </c>
      <c r="K4468">
        <v>0.34933285472125097</v>
      </c>
      <c r="L4468">
        <v>1690.2086071111501</v>
      </c>
      <c r="M4468">
        <v>32.521695138471699</v>
      </c>
      <c r="N4468">
        <v>53.805782927140903</v>
      </c>
      <c r="O4468">
        <v>51.776401790243803</v>
      </c>
      <c r="P4468">
        <v>-0.104427617988155</v>
      </c>
      <c r="Q4468">
        <v>0.33498414006147997</v>
      </c>
      <c r="R4468">
        <v>0.98803790117135404</v>
      </c>
      <c r="S4468" t="s">
        <v>11274</v>
      </c>
      <c r="T4468" t="s">
        <v>13610</v>
      </c>
      <c r="U4468" t="s">
        <v>13610</v>
      </c>
      <c r="V4468" t="s">
        <v>13610</v>
      </c>
      <c r="W4468" t="s">
        <v>18017</v>
      </c>
      <c r="X4468">
        <v>15</v>
      </c>
      <c r="Y4468" t="s">
        <v>24599</v>
      </c>
      <c r="Z4468" t="s">
        <v>31323</v>
      </c>
      <c r="AA4468">
        <v>0.60398048984195829</v>
      </c>
      <c r="AB4468" t="str">
        <f>HYPERLINK("Melting_Curves/meltCurve_Q8N108_17_MIER1.pdf", "Melting_Curves/meltCurve_Q8N108_17_MIER1.pdf")</f>
        <v>Melting_Curves/meltCurve_Q8N108_17_MIER1.pdf</v>
      </c>
    </row>
    <row r="4469" spans="1:28" x14ac:dyDescent="0.25">
      <c r="A4469" t="s">
        <v>4473</v>
      </c>
      <c r="B4469">
        <v>0.995954080203443</v>
      </c>
      <c r="C4469">
        <v>0.77619268022833898</v>
      </c>
      <c r="D4469">
        <v>0.63796801587641405</v>
      </c>
      <c r="E4469">
        <v>0.58273661993083503</v>
      </c>
      <c r="F4469">
        <v>0.15337272780677</v>
      </c>
      <c r="G4469">
        <v>0.10129453943962601</v>
      </c>
      <c r="H4469">
        <v>6.7420252547523596E-2</v>
      </c>
      <c r="I4469">
        <v>6.3354015375922099E-2</v>
      </c>
      <c r="J4469">
        <v>6.9464475152040406E-2</v>
      </c>
      <c r="K4469">
        <v>6.4847707228784204E-2</v>
      </c>
      <c r="L4469">
        <v>630.22292860786501</v>
      </c>
      <c r="M4469">
        <v>12.9877392706407</v>
      </c>
      <c r="N4469">
        <v>48.665599448607999</v>
      </c>
      <c r="O4469">
        <v>47.417277340941801</v>
      </c>
      <c r="P4469">
        <v>-6.7221972179350206E-2</v>
      </c>
      <c r="Q4469">
        <v>1.8484205912749501E-2</v>
      </c>
      <c r="R4469">
        <v>0.95419899192058499</v>
      </c>
      <c r="S4469" t="s">
        <v>11275</v>
      </c>
      <c r="T4469" t="s">
        <v>13610</v>
      </c>
      <c r="U4469" t="s">
        <v>13610</v>
      </c>
      <c r="V4469" t="s">
        <v>13610</v>
      </c>
      <c r="W4469" t="s">
        <v>18018</v>
      </c>
      <c r="X4469">
        <v>21</v>
      </c>
      <c r="Y4469" t="s">
        <v>24600</v>
      </c>
      <c r="Z4469" t="s">
        <v>31324</v>
      </c>
      <c r="AA4469">
        <v>0.32968256083847919</v>
      </c>
      <c r="AB4469" t="str">
        <f>HYPERLINK("Melting_Curves/meltCurve_Q8N122_RPTOR.pdf", "Melting_Curves/meltCurve_Q8N122_RPTOR.pdf")</f>
        <v>Melting_Curves/meltCurve_Q8N122_RPTOR.pdf</v>
      </c>
    </row>
    <row r="4470" spans="1:28" x14ac:dyDescent="0.25">
      <c r="A4470" t="s">
        <v>4474</v>
      </c>
      <c r="B4470">
        <v>0.995954080203443</v>
      </c>
      <c r="C4470">
        <v>0.89381364140407804</v>
      </c>
      <c r="D4470">
        <v>0.74808021059207697</v>
      </c>
      <c r="E4470">
        <v>0.76795298890769403</v>
      </c>
      <c r="F4470">
        <v>0.59044614410996998</v>
      </c>
      <c r="G4470">
        <v>0.39320688413662902</v>
      </c>
      <c r="H4470">
        <v>0.28512006206441898</v>
      </c>
      <c r="I4470">
        <v>0.32165043845506802</v>
      </c>
      <c r="J4470">
        <v>0.29806944020625298</v>
      </c>
      <c r="K4470">
        <v>0.344479501223381</v>
      </c>
      <c r="L4470">
        <v>560.83820909704502</v>
      </c>
      <c r="M4470">
        <v>10.930255995954001</v>
      </c>
      <c r="N4470">
        <v>54.683320836512699</v>
      </c>
      <c r="O4470">
        <v>49.6827837333378</v>
      </c>
      <c r="P4470">
        <v>-4.1528298883905301E-2</v>
      </c>
      <c r="Q4470">
        <v>0.245204027777223</v>
      </c>
      <c r="R4470">
        <v>0.95565277998574405</v>
      </c>
      <c r="S4470" t="s">
        <v>11276</v>
      </c>
      <c r="T4470" t="s">
        <v>13610</v>
      </c>
      <c r="U4470" t="s">
        <v>13610</v>
      </c>
      <c r="V4470" t="s">
        <v>13610</v>
      </c>
      <c r="W4470" t="s">
        <v>18019</v>
      </c>
      <c r="X4470">
        <v>2</v>
      </c>
      <c r="Y4470" t="s">
        <v>24601</v>
      </c>
      <c r="Z4470" t="s">
        <v>31325</v>
      </c>
      <c r="AA4470">
        <v>0.5571392329916568</v>
      </c>
      <c r="AB4470" t="str">
        <f>HYPERLINK("Melting_Curves/meltCurve_Q8N129_CNPY4.pdf", "Melting_Curves/meltCurve_Q8N129_CNPY4.pdf")</f>
        <v>Melting_Curves/meltCurve_Q8N129_CNPY4.pdf</v>
      </c>
    </row>
    <row r="4471" spans="1:28" x14ac:dyDescent="0.25">
      <c r="A4471" t="s">
        <v>4475</v>
      </c>
      <c r="B4471">
        <v>0.995954080203443</v>
      </c>
      <c r="C4471">
        <v>1.01231100226376</v>
      </c>
      <c r="D4471">
        <v>0.92969387200959397</v>
      </c>
      <c r="E4471">
        <v>0.83687503833541699</v>
      </c>
      <c r="F4471">
        <v>0.43704075146149401</v>
      </c>
      <c r="G4471">
        <v>0.15175932188472299</v>
      </c>
      <c r="H4471">
        <v>9.7380534312671199E-2</v>
      </c>
      <c r="I4471">
        <v>9.7889082552493095E-2</v>
      </c>
      <c r="J4471">
        <v>0.10259775908027401</v>
      </c>
      <c r="K4471">
        <v>0.111738073001977</v>
      </c>
      <c r="L4471">
        <v>1710.7062694173201</v>
      </c>
      <c r="M4471">
        <v>32.7754757397418</v>
      </c>
      <c r="N4471">
        <v>52.549773010721204</v>
      </c>
      <c r="O4471">
        <v>52.001558461225002</v>
      </c>
      <c r="P4471">
        <v>-0.141919742528438</v>
      </c>
      <c r="Q4471">
        <v>9.9325009695353406E-2</v>
      </c>
      <c r="R4471">
        <v>0.99737323369157904</v>
      </c>
      <c r="S4471" t="s">
        <v>11277</v>
      </c>
      <c r="T4471" t="s">
        <v>13610</v>
      </c>
      <c r="U4471" t="s">
        <v>13610</v>
      </c>
      <c r="V4471" t="s">
        <v>13610</v>
      </c>
      <c r="W4471" t="s">
        <v>18020</v>
      </c>
      <c r="X4471">
        <v>14</v>
      </c>
      <c r="Y4471" t="s">
        <v>24602</v>
      </c>
      <c r="Z4471" t="s">
        <v>31326</v>
      </c>
      <c r="AA4471">
        <v>0.47028187611546329</v>
      </c>
      <c r="AB4471" t="str">
        <f>HYPERLINK("Melting_Curves/meltCurve_Q8N142_ADSSL1.pdf", "Melting_Curves/meltCurve_Q8N142_ADSSL1.pdf")</f>
        <v>Melting_Curves/meltCurve_Q8N142_ADSSL1.pdf</v>
      </c>
    </row>
    <row r="4472" spans="1:28" x14ac:dyDescent="0.25">
      <c r="A4472" t="s">
        <v>4476</v>
      </c>
      <c r="B4472">
        <v>0.995954080203443</v>
      </c>
      <c r="C4472">
        <v>0.94277156758665304</v>
      </c>
      <c r="D4472">
        <v>0.90416514514119195</v>
      </c>
      <c r="E4472">
        <v>0.820748012435633</v>
      </c>
      <c r="F4472">
        <v>0.52074849155367797</v>
      </c>
      <c r="G4472">
        <v>0.25788226999384201</v>
      </c>
      <c r="H4472">
        <v>0.13120581270380299</v>
      </c>
      <c r="I4472">
        <v>9.4251853585049894E-2</v>
      </c>
      <c r="J4472">
        <v>8.9891839968612899E-2</v>
      </c>
      <c r="K4472">
        <v>8.0575122203999497E-2</v>
      </c>
      <c r="L4472">
        <v>1034.3688273318</v>
      </c>
      <c r="M4472">
        <v>19.5057177670814</v>
      </c>
      <c r="N4472">
        <v>53.428190079942297</v>
      </c>
      <c r="O4472">
        <v>52.481074912345299</v>
      </c>
      <c r="P4472">
        <v>-8.6620574533817205E-2</v>
      </c>
      <c r="Q4472">
        <v>6.7806141363577793E-2</v>
      </c>
      <c r="R4472">
        <v>0.995167859178966</v>
      </c>
      <c r="S4472" t="s">
        <v>11278</v>
      </c>
      <c r="T4472" t="s">
        <v>13610</v>
      </c>
      <c r="U4472" t="s">
        <v>13610</v>
      </c>
      <c r="V4472" t="s">
        <v>13610</v>
      </c>
      <c r="W4472" t="s">
        <v>18021</v>
      </c>
      <c r="X4472">
        <v>40</v>
      </c>
      <c r="Y4472" t="s">
        <v>24603</v>
      </c>
      <c r="Z4472" t="s">
        <v>31327</v>
      </c>
      <c r="AA4472">
        <v>0.48603058757364459</v>
      </c>
      <c r="AB4472" t="str">
        <f>HYPERLINK("Melting_Curves/meltCurve_Q8N163_KIAA1967.pdf", "Melting_Curves/meltCurve_Q8N163_KIAA1967.pdf")</f>
        <v>Melting_Curves/meltCurve_Q8N163_KIAA1967.pdf</v>
      </c>
    </row>
    <row r="4473" spans="1:28" x14ac:dyDescent="0.25">
      <c r="A4473" t="s">
        <v>4477</v>
      </c>
      <c r="B4473">
        <v>0.995954080203443</v>
      </c>
      <c r="C4473">
        <v>0.85459199262001895</v>
      </c>
      <c r="D4473">
        <v>0.98436982398458905</v>
      </c>
      <c r="E4473">
        <v>0.76646687082859899</v>
      </c>
      <c r="F4473">
        <v>0.78397948795653505</v>
      </c>
      <c r="G4473">
        <v>0.64598340057588</v>
      </c>
      <c r="H4473">
        <v>0.68529567412287395</v>
      </c>
      <c r="I4473">
        <v>0.83976497162770203</v>
      </c>
      <c r="J4473">
        <v>1.10266325906315</v>
      </c>
      <c r="K4473">
        <v>1.05961107125271</v>
      </c>
      <c r="L4473">
        <v>996.23432231463903</v>
      </c>
      <c r="M4473">
        <v>23.566078998096799</v>
      </c>
      <c r="O4473">
        <v>41.973205216485098</v>
      </c>
      <c r="P4473">
        <v>-2.0993948981675399E-2</v>
      </c>
      <c r="Q4473">
        <v>0.85043445664300399</v>
      </c>
      <c r="R4473">
        <v>7.3401143810526398E-2</v>
      </c>
      <c r="S4473" t="s">
        <v>11279</v>
      </c>
      <c r="T4473" t="s">
        <v>13610</v>
      </c>
      <c r="U4473" t="s">
        <v>13610</v>
      </c>
      <c r="V4473" t="s">
        <v>13610</v>
      </c>
      <c r="W4473" t="s">
        <v>18022</v>
      </c>
      <c r="X4473">
        <v>6</v>
      </c>
      <c r="Y4473" t="s">
        <v>24604</v>
      </c>
      <c r="Z4473" t="s">
        <v>31328</v>
      </c>
      <c r="AA4473">
        <v>0.86477197330393996</v>
      </c>
      <c r="AB4473" t="str">
        <f>HYPERLINK("Melting_Curves/meltCurve_Q8N183_NDUFAF2.pdf", "Melting_Curves/meltCurve_Q8N183_NDUFAF2.pdf")</f>
        <v>Melting_Curves/meltCurve_Q8N183_NDUFAF2.pdf</v>
      </c>
    </row>
    <row r="4474" spans="1:28" x14ac:dyDescent="0.25">
      <c r="A4474" t="s">
        <v>4478</v>
      </c>
      <c r="B4474">
        <v>0.995954080203443</v>
      </c>
      <c r="C4474">
        <v>1.0664752218032501</v>
      </c>
      <c r="D4474">
        <v>1.2612566643985099</v>
      </c>
      <c r="E4474">
        <v>1.04976183790827</v>
      </c>
      <c r="F4474">
        <v>1.1006976400839601</v>
      </c>
      <c r="G4474">
        <v>0.83837203522257897</v>
      </c>
      <c r="H4474">
        <v>0.80938857727535196</v>
      </c>
      <c r="I4474">
        <v>0.931784299169782</v>
      </c>
      <c r="J4474">
        <v>0.84358950860124504</v>
      </c>
      <c r="K4474">
        <v>1.09150413049331</v>
      </c>
      <c r="L4474">
        <v>3729.10336979678</v>
      </c>
      <c r="M4474">
        <v>67.624808271660797</v>
      </c>
      <c r="O4474">
        <v>55.095848921823702</v>
      </c>
      <c r="P4474">
        <v>-2.95297361240437E-2</v>
      </c>
      <c r="Q4474">
        <v>0.90376516745979696</v>
      </c>
      <c r="R4474">
        <v>0.24024343679170501</v>
      </c>
      <c r="S4474" t="s">
        <v>11280</v>
      </c>
      <c r="T4474" t="s">
        <v>13610</v>
      </c>
      <c r="U4474" t="s">
        <v>13610</v>
      </c>
      <c r="V4474" t="s">
        <v>13610</v>
      </c>
      <c r="W4474" t="s">
        <v>18023</v>
      </c>
      <c r="X4474">
        <v>5</v>
      </c>
      <c r="Y4474" t="s">
        <v>24605</v>
      </c>
      <c r="Z4474" t="s">
        <v>31329</v>
      </c>
      <c r="AA4474">
        <v>0.95247219550339113</v>
      </c>
      <c r="AB4474" t="str">
        <f>HYPERLINK("Melting_Curves/meltCurve_Q8N196_SIX5.pdf", "Melting_Curves/meltCurve_Q8N196_SIX5.pdf")</f>
        <v>Melting_Curves/meltCurve_Q8N196_SIX5.pdf</v>
      </c>
    </row>
    <row r="4475" spans="1:28" x14ac:dyDescent="0.25">
      <c r="A4475" t="s">
        <v>4479</v>
      </c>
      <c r="B4475">
        <v>0.995954080203443</v>
      </c>
      <c r="C4475">
        <v>1.0498999086892</v>
      </c>
      <c r="D4475">
        <v>1.0107495340919499</v>
      </c>
      <c r="E4475">
        <v>0.79033273700724604</v>
      </c>
      <c r="F4475">
        <v>0.43649976017598302</v>
      </c>
      <c r="G4475">
        <v>0.13536122252667199</v>
      </c>
      <c r="H4475">
        <v>9.2451859467959502E-2</v>
      </c>
      <c r="I4475">
        <v>9.4656445517585203E-2</v>
      </c>
      <c r="J4475">
        <v>9.5469135713357994E-2</v>
      </c>
      <c r="K4475">
        <v>8.4460830159829095E-2</v>
      </c>
      <c r="L4475">
        <v>1605.5813512679199</v>
      </c>
      <c r="M4475">
        <v>30.818786613140599</v>
      </c>
      <c r="N4475">
        <v>52.4208547226661</v>
      </c>
      <c r="O4475">
        <v>51.879610654533799</v>
      </c>
      <c r="P4475">
        <v>-0.135655167314186</v>
      </c>
      <c r="Q4475">
        <v>8.6570648590981902E-2</v>
      </c>
      <c r="R4475">
        <v>0.99774441124309499</v>
      </c>
      <c r="S4475" t="s">
        <v>11281</v>
      </c>
      <c r="T4475" t="s">
        <v>13610</v>
      </c>
      <c r="U4475" t="s">
        <v>13610</v>
      </c>
      <c r="V4475" t="s">
        <v>13610</v>
      </c>
      <c r="W4475" t="s">
        <v>18024</v>
      </c>
      <c r="X4475">
        <v>6</v>
      </c>
      <c r="Y4475" t="s">
        <v>24606</v>
      </c>
      <c r="Z4475" t="s">
        <v>31330</v>
      </c>
      <c r="AA4475">
        <v>0.46045172618196739</v>
      </c>
      <c r="AB4475" t="str">
        <f>HYPERLINK("Melting_Curves/meltCurve_Q8N1A6_C4orf33.pdf", "Melting_Curves/meltCurve_Q8N1A6_C4orf33.pdf")</f>
        <v>Melting_Curves/meltCurve_Q8N1A6_C4orf33.pdf</v>
      </c>
    </row>
    <row r="4476" spans="1:28" x14ac:dyDescent="0.25">
      <c r="A4476" t="s">
        <v>4480</v>
      </c>
      <c r="B4476">
        <v>0.995954080203443</v>
      </c>
      <c r="C4476">
        <v>0.80935704451273005</v>
      </c>
      <c r="D4476">
        <v>0.62380453431582505</v>
      </c>
      <c r="E4476">
        <v>0.41473024510449802</v>
      </c>
      <c r="F4476">
        <v>0.155552382293518</v>
      </c>
      <c r="G4476">
        <v>9.5004440665062903E-2</v>
      </c>
      <c r="H4476">
        <v>6.5270950557811805E-2</v>
      </c>
      <c r="I4476">
        <v>5.6685026268521399E-2</v>
      </c>
      <c r="J4476">
        <v>6.5467857761514897E-2</v>
      </c>
      <c r="K4476">
        <v>6.1147329025800799E-2</v>
      </c>
      <c r="L4476">
        <v>722.22605879320497</v>
      </c>
      <c r="M4476">
        <v>15.1890159456735</v>
      </c>
      <c r="N4476">
        <v>47.807108732044703</v>
      </c>
      <c r="O4476">
        <v>46.747890850929998</v>
      </c>
      <c r="P4476">
        <v>-7.8040726678768504E-2</v>
      </c>
      <c r="Q4476">
        <v>3.9335397160612198E-2</v>
      </c>
      <c r="R4476">
        <v>0.98999408445908799</v>
      </c>
      <c r="S4476" t="s">
        <v>11282</v>
      </c>
      <c r="T4476" t="s">
        <v>13610</v>
      </c>
      <c r="U4476" t="s">
        <v>13610</v>
      </c>
      <c r="V4476" t="s">
        <v>13610</v>
      </c>
      <c r="W4476" t="s">
        <v>18025</v>
      </c>
      <c r="X4476">
        <v>19</v>
      </c>
      <c r="Y4476" t="s">
        <v>24607</v>
      </c>
      <c r="Z4476" t="s">
        <v>31331</v>
      </c>
      <c r="AA4476">
        <v>0.30573206243232232</v>
      </c>
      <c r="AB4476" t="str">
        <f>HYPERLINK("Melting_Curves/meltCurve_Q8N1B4_VPS52.pdf", "Melting_Curves/meltCurve_Q8N1B4_VPS52.pdf")</f>
        <v>Melting_Curves/meltCurve_Q8N1B4_VPS52.pdf</v>
      </c>
    </row>
    <row r="4477" spans="1:28" x14ac:dyDescent="0.25">
      <c r="A4477" t="s">
        <v>4481</v>
      </c>
      <c r="B4477">
        <v>0.995954080203443</v>
      </c>
      <c r="C4477">
        <v>0.835184377687475</v>
      </c>
      <c r="D4477">
        <v>0.59221684019311305</v>
      </c>
      <c r="E4477">
        <v>0.34680212564295698</v>
      </c>
      <c r="F4477">
        <v>0.141423627850429</v>
      </c>
      <c r="G4477">
        <v>8.2964479800952604E-2</v>
      </c>
      <c r="H4477">
        <v>5.40680773454758E-2</v>
      </c>
      <c r="I4477">
        <v>5.1342618904676798E-2</v>
      </c>
      <c r="J4477">
        <v>5.37712725536129E-2</v>
      </c>
      <c r="K4477">
        <v>5.2578117236663398E-2</v>
      </c>
      <c r="L4477">
        <v>791.36035243739104</v>
      </c>
      <c r="M4477">
        <v>16.800259967677899</v>
      </c>
      <c r="N4477">
        <v>47.342059294268402</v>
      </c>
      <c r="O4477">
        <v>46.4518351255293</v>
      </c>
      <c r="P4477">
        <v>-8.6761651110488794E-2</v>
      </c>
      <c r="Q4477">
        <v>4.0496189526857802E-2</v>
      </c>
      <c r="R4477">
        <v>0.99552515448135903</v>
      </c>
      <c r="S4477" t="s">
        <v>11283</v>
      </c>
      <c r="T4477" t="s">
        <v>13610</v>
      </c>
      <c r="U4477" t="s">
        <v>13610</v>
      </c>
      <c r="V4477" t="s">
        <v>13610</v>
      </c>
      <c r="W4477" t="s">
        <v>18026</v>
      </c>
      <c r="X4477">
        <v>31</v>
      </c>
      <c r="Y4477" t="s">
        <v>24608</v>
      </c>
      <c r="Z4477" t="s">
        <v>31332</v>
      </c>
      <c r="AA4477">
        <v>0.28813958896572772</v>
      </c>
      <c r="AB4477" t="str">
        <f>HYPERLINK("Melting_Curves/meltCurve_Q8N1F7_NUP93.pdf", "Melting_Curves/meltCurve_Q8N1F7_NUP93.pdf")</f>
        <v>Melting_Curves/meltCurve_Q8N1F7_NUP93.pdf</v>
      </c>
    </row>
    <row r="4478" spans="1:28" x14ac:dyDescent="0.25">
      <c r="A4478" t="s">
        <v>4482</v>
      </c>
      <c r="B4478">
        <v>0.995954080203443</v>
      </c>
      <c r="C4478">
        <v>0.95902012587249097</v>
      </c>
      <c r="D4478">
        <v>1.0263338442532499</v>
      </c>
      <c r="E4478">
        <v>0.86397687432987902</v>
      </c>
      <c r="F4478">
        <v>0.91665371854605004</v>
      </c>
      <c r="G4478">
        <v>0.70981737764962805</v>
      </c>
      <c r="H4478">
        <v>0.71571437414666805</v>
      </c>
      <c r="I4478">
        <v>0.82800211409095104</v>
      </c>
      <c r="J4478">
        <v>1.03108769088913</v>
      </c>
      <c r="K4478">
        <v>1.00742475883091</v>
      </c>
      <c r="L4478">
        <v>12029.313523795099</v>
      </c>
      <c r="M4478">
        <v>250</v>
      </c>
      <c r="O4478">
        <v>48.114164328936099</v>
      </c>
      <c r="P4478">
        <v>-0.17208571127241101</v>
      </c>
      <c r="Q4478">
        <v>0.86752380786801997</v>
      </c>
      <c r="R4478">
        <v>0.24894823663280699</v>
      </c>
      <c r="S4478" t="s">
        <v>11284</v>
      </c>
      <c r="T4478" t="s">
        <v>13610</v>
      </c>
      <c r="U4478" t="s">
        <v>13610</v>
      </c>
      <c r="V4478" t="s">
        <v>13610</v>
      </c>
      <c r="W4478" t="s">
        <v>18027</v>
      </c>
      <c r="X4478">
        <v>9</v>
      </c>
      <c r="Y4478" t="s">
        <v>24609</v>
      </c>
      <c r="Z4478" t="s">
        <v>31333</v>
      </c>
      <c r="AA4478">
        <v>0.90337975859422059</v>
      </c>
      <c r="AB4478" t="str">
        <f>HYPERLINK("Melting_Curves/meltCurve_Q8N1G0_ZNF687.pdf", "Melting_Curves/meltCurve_Q8N1G0_ZNF687.pdf")</f>
        <v>Melting_Curves/meltCurve_Q8N1G0_ZNF687.pdf</v>
      </c>
    </row>
    <row r="4479" spans="1:28" x14ac:dyDescent="0.25">
      <c r="A4479" t="s">
        <v>4483</v>
      </c>
      <c r="B4479">
        <v>0.995954080203443</v>
      </c>
      <c r="C4479">
        <v>0.92639736080394197</v>
      </c>
      <c r="D4479">
        <v>1.0802529647763599</v>
      </c>
      <c r="E4479">
        <v>0.76913240095093904</v>
      </c>
      <c r="F4479">
        <v>0.790203757699803</v>
      </c>
      <c r="G4479">
        <v>0.56972279256951497</v>
      </c>
      <c r="H4479">
        <v>0.476137655367455</v>
      </c>
      <c r="I4479">
        <v>0.59850432318452396</v>
      </c>
      <c r="J4479">
        <v>0.69572268170834095</v>
      </c>
      <c r="K4479">
        <v>0.71054497758152202</v>
      </c>
      <c r="L4479">
        <v>1430.16901902276</v>
      </c>
      <c r="M4479">
        <v>28.279767627228399</v>
      </c>
      <c r="O4479">
        <v>50.321310168224301</v>
      </c>
      <c r="P4479">
        <v>-5.3891168468708103E-2</v>
      </c>
      <c r="Q4479">
        <v>0.61642515683978505</v>
      </c>
      <c r="R4479">
        <v>0.796354610310685</v>
      </c>
      <c r="S4479" t="s">
        <v>11285</v>
      </c>
      <c r="T4479" t="s">
        <v>13610</v>
      </c>
      <c r="U4479" t="s">
        <v>13610</v>
      </c>
      <c r="V4479" t="s">
        <v>13610</v>
      </c>
      <c r="W4479" t="s">
        <v>18028</v>
      </c>
      <c r="X4479">
        <v>15</v>
      </c>
      <c r="Y4479" t="s">
        <v>24610</v>
      </c>
      <c r="Z4479" t="s">
        <v>31334</v>
      </c>
      <c r="AA4479">
        <v>0.75429544108076263</v>
      </c>
      <c r="AB4479" t="str">
        <f>HYPERLINK("Melting_Curves/meltCurve_Q8N1G1_REXO1.pdf", "Melting_Curves/meltCurve_Q8N1G1_REXO1.pdf")</f>
        <v>Melting_Curves/meltCurve_Q8N1G1_REXO1.pdf</v>
      </c>
    </row>
    <row r="4480" spans="1:28" x14ac:dyDescent="0.25">
      <c r="A4480" t="s">
        <v>4484</v>
      </c>
      <c r="B4480">
        <v>0.995954080203443</v>
      </c>
      <c r="C4480">
        <v>0.91156035841418304</v>
      </c>
      <c r="D4480">
        <v>0.86360844450197505</v>
      </c>
      <c r="E4480">
        <v>0.39591381943420001</v>
      </c>
      <c r="F4480">
        <v>0.26861827557337697</v>
      </c>
      <c r="G4480">
        <v>0.16003472390943299</v>
      </c>
      <c r="H4480">
        <v>0.13100526803836199</v>
      </c>
      <c r="I4480">
        <v>0.14824065035322301</v>
      </c>
      <c r="J4480">
        <v>0.14910173504261401</v>
      </c>
      <c r="K4480">
        <v>0.16076167346169601</v>
      </c>
      <c r="L4480">
        <v>1227.38812406635</v>
      </c>
      <c r="M4480">
        <v>25.2860928819984</v>
      </c>
      <c r="N4480">
        <v>49.218370164572796</v>
      </c>
      <c r="O4480">
        <v>48.239497065919899</v>
      </c>
      <c r="P4480">
        <v>-0.111766179987589</v>
      </c>
      <c r="Q4480">
        <v>0.14712385954391799</v>
      </c>
      <c r="R4480">
        <v>0.99407243275720503</v>
      </c>
      <c r="S4480" t="s">
        <v>11286</v>
      </c>
      <c r="T4480" t="s">
        <v>13610</v>
      </c>
      <c r="U4480" t="s">
        <v>13610</v>
      </c>
      <c r="V4480" t="s">
        <v>13610</v>
      </c>
      <c r="W4480" t="s">
        <v>18029</v>
      </c>
      <c r="X4480">
        <v>34</v>
      </c>
      <c r="Y4480" t="s">
        <v>24611</v>
      </c>
      <c r="Z4480" t="s">
        <v>31335</v>
      </c>
      <c r="AA4480">
        <v>0.39727432026452048</v>
      </c>
      <c r="AB4480" t="str">
        <f>HYPERLINK("Melting_Curves/meltCurve_Q8N1G2_FTSJD2.pdf", "Melting_Curves/meltCurve_Q8N1G2_FTSJD2.pdf")</f>
        <v>Melting_Curves/meltCurve_Q8N1G2_FTSJD2.pdf</v>
      </c>
    </row>
    <row r="4481" spans="1:28" x14ac:dyDescent="0.25">
      <c r="A4481" t="s">
        <v>4485</v>
      </c>
      <c r="B4481">
        <v>0.995954080203443</v>
      </c>
      <c r="C4481">
        <v>0.99786989492059996</v>
      </c>
      <c r="D4481">
        <v>0.95636838658733503</v>
      </c>
      <c r="E4481">
        <v>0.800130742642163</v>
      </c>
      <c r="F4481">
        <v>0.52517284269403297</v>
      </c>
      <c r="G4481">
        <v>0.15153384381691801</v>
      </c>
      <c r="H4481">
        <v>7.9423936733410597E-2</v>
      </c>
      <c r="I4481">
        <v>6.9903460566637196E-2</v>
      </c>
      <c r="J4481">
        <v>7.1382445078838994E-2</v>
      </c>
      <c r="K4481">
        <v>6.65190159125221E-2</v>
      </c>
      <c r="L4481">
        <v>1353.5660201652399</v>
      </c>
      <c r="M4481">
        <v>25.657052676811201</v>
      </c>
      <c r="N4481">
        <v>53.0067820928668</v>
      </c>
      <c r="O4481">
        <v>52.4387414025583</v>
      </c>
      <c r="P4481">
        <v>-0.11533209365897901</v>
      </c>
      <c r="Q4481">
        <v>5.7133097150468402E-2</v>
      </c>
      <c r="R4481">
        <v>0.99859894751896405</v>
      </c>
      <c r="S4481" t="s">
        <v>11287</v>
      </c>
      <c r="T4481" t="s">
        <v>13610</v>
      </c>
      <c r="U4481" t="s">
        <v>13610</v>
      </c>
      <c r="V4481" t="s">
        <v>13610</v>
      </c>
      <c r="W4481" t="s">
        <v>18030</v>
      </c>
      <c r="X4481">
        <v>29</v>
      </c>
      <c r="Y4481" t="s">
        <v>24612</v>
      </c>
      <c r="Z4481" t="s">
        <v>31336</v>
      </c>
      <c r="AA4481">
        <v>0.46629256463646152</v>
      </c>
      <c r="AB4481" t="str">
        <f>HYPERLINK("Melting_Curves/meltCurve_Q8N1G4_LRRC47.pdf", "Melting_Curves/meltCurve_Q8N1G4_LRRC47.pdf")</f>
        <v>Melting_Curves/meltCurve_Q8N1G4_LRRC47.pdf</v>
      </c>
    </row>
    <row r="4482" spans="1:28" x14ac:dyDescent="0.25">
      <c r="A4482" t="s">
        <v>4486</v>
      </c>
      <c r="B4482">
        <v>0.995954080203443</v>
      </c>
      <c r="C4482">
        <v>0.91765455516128502</v>
      </c>
      <c r="D4482">
        <v>0.47844862315632097</v>
      </c>
      <c r="E4482">
        <v>0.28388806915107501</v>
      </c>
      <c r="F4482">
        <v>0.110527481116451</v>
      </c>
      <c r="G4482">
        <v>5.6725679376229701E-2</v>
      </c>
      <c r="H4482">
        <v>3.59092276404702E-2</v>
      </c>
      <c r="I4482">
        <v>4.4802379671266997E-2</v>
      </c>
      <c r="J4482">
        <v>4.5056181770914E-2</v>
      </c>
      <c r="K4482">
        <v>4.9145278540411702E-2</v>
      </c>
      <c r="L4482">
        <v>983.41454310718302</v>
      </c>
      <c r="M4482">
        <v>21.2363031042144</v>
      </c>
      <c r="N4482">
        <v>46.528786247026602</v>
      </c>
      <c r="O4482">
        <v>45.9034153157763</v>
      </c>
      <c r="P4482">
        <v>-0.110121288267544</v>
      </c>
      <c r="Q4482">
        <v>4.7891984837589302E-2</v>
      </c>
      <c r="R4482">
        <v>0.98640217307530997</v>
      </c>
      <c r="S4482" t="s">
        <v>11288</v>
      </c>
      <c r="T4482" t="s">
        <v>13610</v>
      </c>
      <c r="U4482" t="s">
        <v>13610</v>
      </c>
      <c r="V4482" t="s">
        <v>13610</v>
      </c>
      <c r="W4482" t="s">
        <v>18031</v>
      </c>
      <c r="X4482">
        <v>3</v>
      </c>
      <c r="Y4482" t="s">
        <v>24613</v>
      </c>
      <c r="Z4482" t="s">
        <v>31337</v>
      </c>
      <c r="AA4482">
        <v>0.26067994415226359</v>
      </c>
      <c r="AB4482" t="str">
        <f>HYPERLINK("Melting_Curves/meltCurve_Q8N1I1_FAM115C.pdf", "Melting_Curves/meltCurve_Q8N1I1_FAM115C.pdf")</f>
        <v>Melting_Curves/meltCurve_Q8N1I1_FAM115C.pdf</v>
      </c>
    </row>
    <row r="4483" spans="1:28" x14ac:dyDescent="0.25">
      <c r="A4483" t="s">
        <v>4487</v>
      </c>
      <c r="B4483">
        <v>0.995954080203443</v>
      </c>
      <c r="C4483">
        <v>1.0364675410079101</v>
      </c>
      <c r="D4483">
        <v>1.10077922980148</v>
      </c>
      <c r="E4483">
        <v>0.76823192244809302</v>
      </c>
      <c r="F4483">
        <v>1.1818850473869</v>
      </c>
      <c r="G4483">
        <v>0.60917921213484905</v>
      </c>
      <c r="H4483">
        <v>1.6241841537964199</v>
      </c>
      <c r="I4483">
        <v>1.30254777756903</v>
      </c>
      <c r="J4483">
        <v>1.3981803697947099</v>
      </c>
      <c r="K4483">
        <v>1.1098322565387699</v>
      </c>
      <c r="L4483">
        <v>2779.6248550998598</v>
      </c>
      <c r="M4483">
        <v>46.942850160005896</v>
      </c>
      <c r="O4483">
        <v>59.105791471862702</v>
      </c>
      <c r="P4483">
        <v>6.6708469424022296E-2</v>
      </c>
      <c r="Q4483">
        <v>1.3359704720287899</v>
      </c>
      <c r="R4483">
        <v>0.391954438937688</v>
      </c>
      <c r="S4483" t="s">
        <v>11289</v>
      </c>
      <c r="T4483" t="s">
        <v>13610</v>
      </c>
      <c r="U4483" t="s">
        <v>13610</v>
      </c>
      <c r="V4483" t="s">
        <v>13610</v>
      </c>
      <c r="W4483" t="s">
        <v>18032</v>
      </c>
      <c r="X4483">
        <v>4</v>
      </c>
      <c r="Y4483" t="s">
        <v>24614</v>
      </c>
      <c r="Z4483" t="s">
        <v>31338</v>
      </c>
      <c r="AA4483">
        <v>1.119823011311752</v>
      </c>
      <c r="AB4483" t="str">
        <f>HYPERLINK("Melting_Curves/meltCurve_Q8N1N4_KRT78.pdf", "Melting_Curves/meltCurve_Q8N1N4_KRT78.pdf")</f>
        <v>Melting_Curves/meltCurve_Q8N1N4_KRT78.pdf</v>
      </c>
    </row>
    <row r="4484" spans="1:28" x14ac:dyDescent="0.25">
      <c r="A4484" t="s">
        <v>4488</v>
      </c>
      <c r="B4484">
        <v>0.995954080203443</v>
      </c>
      <c r="C4484">
        <v>1.02911058298278</v>
      </c>
      <c r="D4484">
        <v>1.10544782034447</v>
      </c>
      <c r="E4484">
        <v>0.91954962741969604</v>
      </c>
      <c r="F4484">
        <v>0.72761744879406398</v>
      </c>
      <c r="G4484">
        <v>0.22234801701787299</v>
      </c>
      <c r="H4484">
        <v>6.7500924068968099E-2</v>
      </c>
      <c r="I4484">
        <v>5.5884907454930098E-2</v>
      </c>
      <c r="J4484">
        <v>5.9141434114080099E-2</v>
      </c>
      <c r="K4484">
        <v>4.8735269409170702E-2</v>
      </c>
      <c r="L4484">
        <v>1777.7202601866099</v>
      </c>
      <c r="M4484">
        <v>32.671300283192998</v>
      </c>
      <c r="N4484">
        <v>54.582756972852401</v>
      </c>
      <c r="O4484">
        <v>54.209652527637303</v>
      </c>
      <c r="P4484">
        <v>-0.14336397463751899</v>
      </c>
      <c r="Q4484">
        <v>4.8501295295345602E-2</v>
      </c>
      <c r="R4484">
        <v>0.99309969481379101</v>
      </c>
      <c r="S4484" t="s">
        <v>11290</v>
      </c>
      <c r="T4484" t="s">
        <v>13610</v>
      </c>
      <c r="U4484" t="s">
        <v>13610</v>
      </c>
      <c r="V4484" t="s">
        <v>13610</v>
      </c>
      <c r="W4484" t="s">
        <v>18033</v>
      </c>
      <c r="X4484">
        <v>8</v>
      </c>
      <c r="Y4484" t="s">
        <v>24615</v>
      </c>
      <c r="Z4484" t="s">
        <v>31339</v>
      </c>
      <c r="AA4484">
        <v>0.51093470175042921</v>
      </c>
      <c r="AB4484" t="str">
        <f>HYPERLINK("Melting_Curves/meltCurve_Q8N1Q1_CA13.pdf", "Melting_Curves/meltCurve_Q8N1Q1_CA13.pdf")</f>
        <v>Melting_Curves/meltCurve_Q8N1Q1_CA13.pdf</v>
      </c>
    </row>
    <row r="4485" spans="1:28" x14ac:dyDescent="0.25">
      <c r="A4485" t="s">
        <v>4489</v>
      </c>
      <c r="B4485">
        <v>0.995954080203443</v>
      </c>
      <c r="C4485">
        <v>0.70177245636571295</v>
      </c>
      <c r="D4485">
        <v>0.52840267781587502</v>
      </c>
      <c r="E4485">
        <v>0.50345080345964999</v>
      </c>
      <c r="F4485">
        <v>0.35111640575191699</v>
      </c>
      <c r="G4485">
        <v>0.22080224269474699</v>
      </c>
      <c r="H4485">
        <v>0.19497862581633599</v>
      </c>
      <c r="I4485">
        <v>0.201784874550135</v>
      </c>
      <c r="J4485">
        <v>0.26937974542716397</v>
      </c>
      <c r="K4485">
        <v>0.244613991370315</v>
      </c>
      <c r="L4485">
        <v>593.07828289564202</v>
      </c>
      <c r="M4485">
        <v>12.9807294506488</v>
      </c>
      <c r="N4485">
        <v>47.741916925218902</v>
      </c>
      <c r="O4485">
        <v>44.645576397569698</v>
      </c>
      <c r="P4485">
        <v>-5.7152586241923799E-2</v>
      </c>
      <c r="Q4485">
        <v>0.21386347639375999</v>
      </c>
      <c r="R4485">
        <v>0.94244784394952696</v>
      </c>
      <c r="S4485" t="s">
        <v>11291</v>
      </c>
      <c r="T4485" t="s">
        <v>13610</v>
      </c>
      <c r="U4485" t="s">
        <v>13610</v>
      </c>
      <c r="V4485" t="s">
        <v>13610</v>
      </c>
      <c r="W4485" t="s">
        <v>18034</v>
      </c>
      <c r="X4485">
        <v>20</v>
      </c>
      <c r="Y4485" t="s">
        <v>24616</v>
      </c>
      <c r="Z4485" t="s">
        <v>31340</v>
      </c>
      <c r="AA4485">
        <v>0.39459410463351391</v>
      </c>
      <c r="AB4485" t="str">
        <f>HYPERLINK("Melting_Curves/meltCurve_Q8N201_INTS1.pdf", "Melting_Curves/meltCurve_Q8N201_INTS1.pdf")</f>
        <v>Melting_Curves/meltCurve_Q8N201_INTS1.pdf</v>
      </c>
    </row>
    <row r="4486" spans="1:28" x14ac:dyDescent="0.25">
      <c r="A4486" t="s">
        <v>4490</v>
      </c>
      <c r="B4486">
        <v>0.995954080203443</v>
      </c>
      <c r="C4486">
        <v>1.0176589005414201</v>
      </c>
      <c r="D4486">
        <v>0.83769969555332002</v>
      </c>
      <c r="E4486">
        <v>0.68254777040152403</v>
      </c>
      <c r="F4486">
        <v>0.25410270467669399</v>
      </c>
      <c r="G4486">
        <v>0.117923708594279</v>
      </c>
      <c r="H4486">
        <v>6.0333007646085103E-2</v>
      </c>
      <c r="I4486">
        <v>4.0766838412702899E-2</v>
      </c>
      <c r="J4486">
        <v>4.8328934342678299E-2</v>
      </c>
      <c r="K4486">
        <v>4.3892244520599401E-2</v>
      </c>
      <c r="L4486">
        <v>1213.0583410914701</v>
      </c>
      <c r="M4486">
        <v>23.845284656165099</v>
      </c>
      <c r="N4486">
        <v>51.0451477739675</v>
      </c>
      <c r="O4486">
        <v>50.5183005548583</v>
      </c>
      <c r="P4486">
        <v>-0.113421727256637</v>
      </c>
      <c r="Q4486">
        <v>3.8840489208813701E-2</v>
      </c>
      <c r="R4486">
        <v>0.98991993085492802</v>
      </c>
      <c r="S4486" t="s">
        <v>11292</v>
      </c>
      <c r="T4486" t="s">
        <v>13610</v>
      </c>
      <c r="U4486" t="s">
        <v>13610</v>
      </c>
      <c r="V4486" t="s">
        <v>13610</v>
      </c>
      <c r="W4486" t="s">
        <v>18035</v>
      </c>
      <c r="X4486">
        <v>4</v>
      </c>
      <c r="Y4486" t="s">
        <v>24617</v>
      </c>
      <c r="Z4486" t="s">
        <v>31341</v>
      </c>
      <c r="AA4486">
        <v>0.39668188414548389</v>
      </c>
      <c r="AB4486" t="str">
        <f>HYPERLINK("Melting_Curves/meltCurve_Q8N2F6_3_ARMC10.pdf", "Melting_Curves/meltCurve_Q8N2F6_3_ARMC10.pdf")</f>
        <v>Melting_Curves/meltCurve_Q8N2F6_3_ARMC10.pdf</v>
      </c>
    </row>
    <row r="4487" spans="1:28" x14ac:dyDescent="0.25">
      <c r="A4487" t="s">
        <v>4491</v>
      </c>
      <c r="B4487">
        <v>0.995954080203443</v>
      </c>
      <c r="C4487">
        <v>0.88521678452222796</v>
      </c>
      <c r="D4487">
        <v>1.0420037378762801</v>
      </c>
      <c r="E4487">
        <v>0.83397246864146202</v>
      </c>
      <c r="F4487">
        <v>0.80978430143512603</v>
      </c>
      <c r="G4487">
        <v>0.56964806659343104</v>
      </c>
      <c r="H4487">
        <v>0.58959862914111605</v>
      </c>
      <c r="I4487">
        <v>0.75605864249537702</v>
      </c>
      <c r="J4487">
        <v>0.80434907314755599</v>
      </c>
      <c r="K4487">
        <v>0.76986537103252095</v>
      </c>
      <c r="L4487">
        <v>1748.56367487386</v>
      </c>
      <c r="M4487">
        <v>34.850532412893898</v>
      </c>
      <c r="O4487">
        <v>50.0088891261707</v>
      </c>
      <c r="P4487">
        <v>-5.1196783702491797E-2</v>
      </c>
      <c r="Q4487">
        <v>0.70614106397531196</v>
      </c>
      <c r="R4487">
        <v>0.65638975517203701</v>
      </c>
      <c r="S4487" t="s">
        <v>11293</v>
      </c>
      <c r="T4487" t="s">
        <v>13610</v>
      </c>
      <c r="U4487" t="s">
        <v>13610</v>
      </c>
      <c r="V4487" t="s">
        <v>13610</v>
      </c>
      <c r="W4487" t="s">
        <v>18036</v>
      </c>
      <c r="X4487">
        <v>3</v>
      </c>
      <c r="Y4487" t="s">
        <v>24618</v>
      </c>
      <c r="Z4487" t="s">
        <v>31342</v>
      </c>
      <c r="AA4487">
        <v>0.80713729086506802</v>
      </c>
      <c r="AB4487" t="str">
        <f>HYPERLINK("Melting_Curves/meltCurve_Q8N2K0_ABHD12.pdf", "Melting_Curves/meltCurve_Q8N2K0_ABHD12.pdf")</f>
        <v>Melting_Curves/meltCurve_Q8N2K0_ABHD12.pdf</v>
      </c>
    </row>
    <row r="4488" spans="1:28" x14ac:dyDescent="0.25">
      <c r="A4488" t="s">
        <v>4492</v>
      </c>
      <c r="B4488">
        <v>0.995954080203443</v>
      </c>
      <c r="C4488">
        <v>0.90854361687287299</v>
      </c>
      <c r="D4488">
        <v>0.998065353997034</v>
      </c>
      <c r="E4488">
        <v>0.73861981832427603</v>
      </c>
      <c r="F4488">
        <v>0.52127271875090198</v>
      </c>
      <c r="G4488">
        <v>0.62428798860786705</v>
      </c>
      <c r="H4488">
        <v>1.03410247852597</v>
      </c>
      <c r="I4488">
        <v>1.05090721991667</v>
      </c>
      <c r="J4488">
        <v>0.30331828699163399</v>
      </c>
      <c r="K4488">
        <v>0.34651522814275398</v>
      </c>
      <c r="L4488">
        <v>264.30186396862399</v>
      </c>
      <c r="M4488">
        <v>3.6331526954550601</v>
      </c>
      <c r="O4488">
        <v>57.816097369687803</v>
      </c>
      <c r="P4488">
        <v>-1.5983535660623799E-2</v>
      </c>
      <c r="Q4488">
        <v>0</v>
      </c>
      <c r="R4488">
        <v>0.28032682960779098</v>
      </c>
      <c r="S4488" t="s">
        <v>11294</v>
      </c>
      <c r="T4488" t="s">
        <v>13610</v>
      </c>
      <c r="U4488" t="s">
        <v>13610</v>
      </c>
      <c r="V4488" t="s">
        <v>13610</v>
      </c>
      <c r="W4488" t="s">
        <v>18037</v>
      </c>
      <c r="X4488">
        <v>2</v>
      </c>
      <c r="Y4488" t="s">
        <v>24619</v>
      </c>
      <c r="Z4488" t="s">
        <v>31343</v>
      </c>
      <c r="AA4488">
        <v>0.75718020253280571</v>
      </c>
      <c r="AB4488" t="str">
        <f>HYPERLINK("Melting_Curves/meltCurve_Q8N2W9_PIAS4.pdf", "Melting_Curves/meltCurve_Q8N2W9_PIAS4.pdf")</f>
        <v>Melting_Curves/meltCurve_Q8N2W9_PIAS4.pdf</v>
      </c>
    </row>
    <row r="4489" spans="1:28" x14ac:dyDescent="0.25">
      <c r="A4489" t="s">
        <v>4493</v>
      </c>
      <c r="B4489">
        <v>0.995954080203443</v>
      </c>
      <c r="C4489">
        <v>0.99158913821607997</v>
      </c>
      <c r="D4489">
        <v>0.95623382003523705</v>
      </c>
      <c r="E4489">
        <v>0.87994174632177602</v>
      </c>
      <c r="F4489">
        <v>0.83457366267734201</v>
      </c>
      <c r="G4489">
        <v>0.58915461707438499</v>
      </c>
      <c r="H4489">
        <v>0.58196161823978998</v>
      </c>
      <c r="I4489">
        <v>0.74704893010746498</v>
      </c>
      <c r="J4489">
        <v>0.66415122425272899</v>
      </c>
      <c r="K4489">
        <v>0.73372224876543202</v>
      </c>
      <c r="L4489">
        <v>1490.5440009864601</v>
      </c>
      <c r="M4489">
        <v>28.8384554250222</v>
      </c>
      <c r="O4489">
        <v>51.4393464909258</v>
      </c>
      <c r="P4489">
        <v>-4.6903499285249103E-2</v>
      </c>
      <c r="Q4489">
        <v>0.66535406842080902</v>
      </c>
      <c r="R4489">
        <v>0.84935769790540305</v>
      </c>
      <c r="S4489" t="s">
        <v>11295</v>
      </c>
      <c r="T4489" t="s">
        <v>13610</v>
      </c>
      <c r="U4489" t="s">
        <v>13610</v>
      </c>
      <c r="V4489" t="s">
        <v>13610</v>
      </c>
      <c r="W4489" t="s">
        <v>18038</v>
      </c>
      <c r="X4489">
        <v>3</v>
      </c>
      <c r="Y4489" t="s">
        <v>24620</v>
      </c>
      <c r="Z4489" t="s">
        <v>31344</v>
      </c>
      <c r="AA4489">
        <v>0.79801076719891628</v>
      </c>
      <c r="AB4489" t="str">
        <f>HYPERLINK("Melting_Curves/meltCurve_Q8N300_CCDC23.pdf", "Melting_Curves/meltCurve_Q8N300_CCDC23.pdf")</f>
        <v>Melting_Curves/meltCurve_Q8N300_CCDC23.pdf</v>
      </c>
    </row>
    <row r="4490" spans="1:28" x14ac:dyDescent="0.25">
      <c r="A4490" t="s">
        <v>4494</v>
      </c>
      <c r="B4490">
        <v>0.995954080203443</v>
      </c>
      <c r="C4490">
        <v>0.87026247641318399</v>
      </c>
      <c r="D4490">
        <v>0.90764744221681304</v>
      </c>
      <c r="E4490">
        <v>0.77177782879296097</v>
      </c>
      <c r="F4490">
        <v>0.76057930325377998</v>
      </c>
      <c r="G4490">
        <v>0.57057546479575305</v>
      </c>
      <c r="H4490">
        <v>0.55115661700162299</v>
      </c>
      <c r="I4490">
        <v>0.63350116066683004</v>
      </c>
      <c r="J4490">
        <v>0.67313585061930004</v>
      </c>
      <c r="K4490">
        <v>0.71087421104644499</v>
      </c>
      <c r="L4490">
        <v>700.89686512526896</v>
      </c>
      <c r="M4490">
        <v>14.5615397301346</v>
      </c>
      <c r="O4490">
        <v>47.252982483136499</v>
      </c>
      <c r="P4490">
        <v>-2.8813658172138702E-2</v>
      </c>
      <c r="Q4490">
        <v>0.62603502341515704</v>
      </c>
      <c r="R4490">
        <v>0.81762944446161501</v>
      </c>
      <c r="S4490" t="s">
        <v>11296</v>
      </c>
      <c r="T4490" t="s">
        <v>13610</v>
      </c>
      <c r="U4490" t="s">
        <v>13610</v>
      </c>
      <c r="V4490" t="s">
        <v>13610</v>
      </c>
      <c r="W4490" t="s">
        <v>18039</v>
      </c>
      <c r="X4490">
        <v>7</v>
      </c>
      <c r="Y4490" t="s">
        <v>24621</v>
      </c>
      <c r="Z4490" t="s">
        <v>31345</v>
      </c>
      <c r="AA4490">
        <v>0.73755754341810731</v>
      </c>
      <c r="AB4490" t="str">
        <f>HYPERLINK("Melting_Curves/meltCurve_Q8N302_AGGF1.pdf", "Melting_Curves/meltCurve_Q8N302_AGGF1.pdf")</f>
        <v>Melting_Curves/meltCurve_Q8N302_AGGF1.pdf</v>
      </c>
    </row>
    <row r="4491" spans="1:28" x14ac:dyDescent="0.25">
      <c r="A4491" t="s">
        <v>4495</v>
      </c>
      <c r="B4491">
        <v>0.995954080203443</v>
      </c>
      <c r="C4491">
        <v>1.0284915019049601</v>
      </c>
      <c r="D4491">
        <v>1.01569035104877</v>
      </c>
      <c r="E4491">
        <v>0.72871967524291203</v>
      </c>
      <c r="F4491">
        <v>0.25647886772741202</v>
      </c>
      <c r="G4491">
        <v>0.127311264412586</v>
      </c>
      <c r="H4491">
        <v>8.3229516702518699E-2</v>
      </c>
      <c r="I4491">
        <v>7.6703030088637894E-2</v>
      </c>
      <c r="J4491">
        <v>9.8316565323830901E-2</v>
      </c>
      <c r="K4491">
        <v>7.4284592700493396E-2</v>
      </c>
      <c r="L4491">
        <v>2070.2919393216798</v>
      </c>
      <c r="M4491">
        <v>40.537469392710598</v>
      </c>
      <c r="N4491">
        <v>51.317974245303603</v>
      </c>
      <c r="O4491">
        <v>50.947257635231502</v>
      </c>
      <c r="P4491">
        <v>-0.18129523290709601</v>
      </c>
      <c r="Q4491">
        <v>8.8598580003985794E-2</v>
      </c>
      <c r="R4491">
        <v>0.99843740664906799</v>
      </c>
      <c r="S4491" t="s">
        <v>11297</v>
      </c>
      <c r="T4491" t="s">
        <v>13610</v>
      </c>
      <c r="U4491" t="s">
        <v>13610</v>
      </c>
      <c r="V4491" t="s">
        <v>13610</v>
      </c>
      <c r="W4491" t="s">
        <v>18040</v>
      </c>
      <c r="X4491">
        <v>12</v>
      </c>
      <c r="Y4491" t="s">
        <v>24622</v>
      </c>
      <c r="Z4491" t="s">
        <v>31346</v>
      </c>
      <c r="AA4491">
        <v>0.4280700005987868</v>
      </c>
      <c r="AB4491" t="str">
        <f>HYPERLINK("Melting_Curves/meltCurve_Q8N335_GPD1L.pdf", "Melting_Curves/meltCurve_Q8N335_GPD1L.pdf")</f>
        <v>Melting_Curves/meltCurve_Q8N335_GPD1L.pdf</v>
      </c>
    </row>
    <row r="4492" spans="1:28" x14ac:dyDescent="0.25">
      <c r="A4492" t="s">
        <v>4496</v>
      </c>
      <c r="B4492">
        <v>0.995954080203443</v>
      </c>
      <c r="C4492">
        <v>0.94979909792589301</v>
      </c>
      <c r="D4492">
        <v>0.814111788170226</v>
      </c>
      <c r="E4492">
        <v>0.74724026392067</v>
      </c>
      <c r="F4492">
        <v>0.54379981796076904</v>
      </c>
      <c r="G4492">
        <v>0.36508660737311199</v>
      </c>
      <c r="H4492">
        <v>0.220322344634302</v>
      </c>
      <c r="I4492">
        <v>0.17998181909404501</v>
      </c>
      <c r="J4492">
        <v>0.20577230471026201</v>
      </c>
      <c r="K4492">
        <v>0.18797150314188099</v>
      </c>
      <c r="L4492">
        <v>667.58713144853095</v>
      </c>
      <c r="M4492">
        <v>12.7098801455979</v>
      </c>
      <c r="N4492">
        <v>53.784681834751197</v>
      </c>
      <c r="O4492">
        <v>51.275724385005297</v>
      </c>
      <c r="P4492">
        <v>-5.4001930592175403E-2</v>
      </c>
      <c r="Q4492">
        <v>0.128724179101009</v>
      </c>
      <c r="R4492">
        <v>0.99018414805615496</v>
      </c>
      <c r="S4492" t="s">
        <v>11298</v>
      </c>
      <c r="T4492" t="s">
        <v>13610</v>
      </c>
      <c r="U4492" t="s">
        <v>13610</v>
      </c>
      <c r="V4492" t="s">
        <v>13610</v>
      </c>
      <c r="W4492" t="s">
        <v>18041</v>
      </c>
      <c r="X4492">
        <v>9</v>
      </c>
      <c r="Y4492" t="s">
        <v>24623</v>
      </c>
      <c r="Z4492" t="s">
        <v>31347</v>
      </c>
      <c r="AA4492">
        <v>0.51643285557186946</v>
      </c>
      <c r="AB4492" t="str">
        <f>HYPERLINK("Melting_Curves/meltCurve_Q8N344_MIER2.pdf", "Melting_Curves/meltCurve_Q8N344_MIER2.pdf")</f>
        <v>Melting_Curves/meltCurve_Q8N344_MIER2.pdf</v>
      </c>
    </row>
    <row r="4493" spans="1:28" x14ac:dyDescent="0.25">
      <c r="A4493" t="s">
        <v>4497</v>
      </c>
      <c r="B4493">
        <v>0.995954080203443</v>
      </c>
      <c r="C4493">
        <v>1.0128712142418499</v>
      </c>
      <c r="D4493">
        <v>0.84873508143936804</v>
      </c>
      <c r="E4493">
        <v>0.74469642296201</v>
      </c>
      <c r="F4493">
        <v>0.54250910089398197</v>
      </c>
      <c r="G4493">
        <v>0.37277393685253002</v>
      </c>
      <c r="H4493">
        <v>0.27948821562325998</v>
      </c>
      <c r="I4493">
        <v>0.32947291083215302</v>
      </c>
      <c r="J4493">
        <v>0.31393823553834999</v>
      </c>
      <c r="K4493">
        <v>0.39101132239833097</v>
      </c>
      <c r="L4493">
        <v>960.41576994919706</v>
      </c>
      <c r="M4493">
        <v>18.8927002292886</v>
      </c>
      <c r="N4493">
        <v>53.656667362410801</v>
      </c>
      <c r="O4493">
        <v>50.276031789641301</v>
      </c>
      <c r="P4493">
        <v>-6.4369260699033301E-2</v>
      </c>
      <c r="Q4493">
        <v>0.31484694996991502</v>
      </c>
      <c r="R4493">
        <v>0.97798387498603101</v>
      </c>
      <c r="S4493" t="s">
        <v>11299</v>
      </c>
      <c r="T4493" t="s">
        <v>13610</v>
      </c>
      <c r="U4493" t="s">
        <v>13610</v>
      </c>
      <c r="V4493" t="s">
        <v>13610</v>
      </c>
      <c r="W4493" t="s">
        <v>18042</v>
      </c>
      <c r="X4493">
        <v>3</v>
      </c>
      <c r="Y4493" t="s">
        <v>24624</v>
      </c>
      <c r="Z4493" t="s">
        <v>31348</v>
      </c>
      <c r="AA4493">
        <v>0.57289106576490367</v>
      </c>
      <c r="AB4493" t="str">
        <f>HYPERLINK("Melting_Curves/meltCurve_Q8N350_DOS.pdf", "Melting_Curves/meltCurve_Q8N350_DOS.pdf")</f>
        <v>Melting_Curves/meltCurve_Q8N350_DOS.pdf</v>
      </c>
    </row>
    <row r="4494" spans="1:28" x14ac:dyDescent="0.25">
      <c r="A4494" t="s">
        <v>4498</v>
      </c>
      <c r="B4494">
        <v>0.995954080203443</v>
      </c>
      <c r="C4494">
        <v>1.00379146062248</v>
      </c>
      <c r="D4494">
        <v>0.94463327964936195</v>
      </c>
      <c r="E4494">
        <v>0.82926442181499405</v>
      </c>
      <c r="F4494">
        <v>0.58338126090926501</v>
      </c>
      <c r="G4494">
        <v>0.211538384129483</v>
      </c>
      <c r="H4494">
        <v>0.119394231685802</v>
      </c>
      <c r="I4494">
        <v>0.11420528971890501</v>
      </c>
      <c r="J4494">
        <v>0.114261645994803</v>
      </c>
      <c r="K4494">
        <v>0.111515183003613</v>
      </c>
      <c r="L4494">
        <v>1345.0863735901301</v>
      </c>
      <c r="M4494">
        <v>25.337197565712302</v>
      </c>
      <c r="N4494">
        <v>53.556694227321003</v>
      </c>
      <c r="O4494">
        <v>52.7600432896038</v>
      </c>
      <c r="P4494">
        <v>-0.108108603554929</v>
      </c>
      <c r="Q4494">
        <v>9.9546667370765896E-2</v>
      </c>
      <c r="R4494">
        <v>0.99788649572966703</v>
      </c>
      <c r="S4494" t="s">
        <v>11300</v>
      </c>
      <c r="T4494" t="s">
        <v>13610</v>
      </c>
      <c r="U4494" t="s">
        <v>13610</v>
      </c>
      <c r="V4494" t="s">
        <v>13610</v>
      </c>
      <c r="W4494" t="s">
        <v>18043</v>
      </c>
      <c r="X4494">
        <v>9</v>
      </c>
      <c r="Y4494" t="s">
        <v>24625</v>
      </c>
      <c r="Z4494" t="s">
        <v>31349</v>
      </c>
      <c r="AA4494">
        <v>0.50045658331352938</v>
      </c>
      <c r="AB4494" t="str">
        <f>HYPERLINK("Melting_Curves/meltCurve_Q8N371_KDM8.pdf", "Melting_Curves/meltCurve_Q8N371_KDM8.pdf")</f>
        <v>Melting_Curves/meltCurve_Q8N371_KDM8.pdf</v>
      </c>
    </row>
    <row r="4495" spans="1:28" x14ac:dyDescent="0.25">
      <c r="A4495" t="s">
        <v>4499</v>
      </c>
      <c r="B4495">
        <v>0.995954080203443</v>
      </c>
      <c r="C4495">
        <v>0.97695461900273906</v>
      </c>
      <c r="D4495">
        <v>0.77072081354733801</v>
      </c>
      <c r="E4495">
        <v>0.56612107494478903</v>
      </c>
      <c r="F4495">
        <v>0.30677913468419998</v>
      </c>
      <c r="G4495">
        <v>0.20361916524117199</v>
      </c>
      <c r="H4495">
        <v>0.180622389207828</v>
      </c>
      <c r="I4495">
        <v>0.19995760252615899</v>
      </c>
      <c r="J4495">
        <v>0.26044110971037399</v>
      </c>
      <c r="K4495">
        <v>0.23556255325564801</v>
      </c>
      <c r="L4495">
        <v>990.12338190864705</v>
      </c>
      <c r="M4495">
        <v>20.289298279237499</v>
      </c>
      <c r="N4495">
        <v>50.0930043076836</v>
      </c>
      <c r="O4495">
        <v>48.333636334282801</v>
      </c>
      <c r="P4495">
        <v>-8.35582441640286E-2</v>
      </c>
      <c r="Q4495">
        <v>0.20380704040231801</v>
      </c>
      <c r="R4495">
        <v>0.98546194397437403</v>
      </c>
      <c r="S4495" t="s">
        <v>11301</v>
      </c>
      <c r="T4495" t="s">
        <v>13610</v>
      </c>
      <c r="U4495" t="s">
        <v>13610</v>
      </c>
      <c r="V4495" t="s">
        <v>13610</v>
      </c>
      <c r="W4495" t="s">
        <v>18044</v>
      </c>
      <c r="X4495">
        <v>36</v>
      </c>
      <c r="Y4495" t="s">
        <v>24626</v>
      </c>
      <c r="Z4495" t="s">
        <v>31350</v>
      </c>
      <c r="AA4495">
        <v>0.44821539901965068</v>
      </c>
      <c r="AB4495" t="str">
        <f>HYPERLINK("Melting_Curves/meltCurve_Q8N392_ARHGAP18.pdf", "Melting_Curves/meltCurve_Q8N392_ARHGAP18.pdf")</f>
        <v>Melting_Curves/meltCurve_Q8N392_ARHGAP18.pdf</v>
      </c>
    </row>
    <row r="4496" spans="1:28" x14ac:dyDescent="0.25">
      <c r="A4496" t="s">
        <v>4500</v>
      </c>
      <c r="B4496">
        <v>0.995954080203443</v>
      </c>
      <c r="C4496">
        <v>0.941577671193363</v>
      </c>
      <c r="D4496">
        <v>0.805429730515553</v>
      </c>
      <c r="E4496">
        <v>0.35551112310372501</v>
      </c>
      <c r="F4496">
        <v>0.18585810464234201</v>
      </c>
      <c r="G4496">
        <v>9.55830228763795E-2</v>
      </c>
      <c r="H4496">
        <v>6.8167785947451195E-2</v>
      </c>
      <c r="I4496">
        <v>6.2466171710041402E-2</v>
      </c>
      <c r="J4496">
        <v>7.9074704677001798E-2</v>
      </c>
      <c r="K4496">
        <v>6.7178755065815193E-2</v>
      </c>
      <c r="L4496">
        <v>1152.8670059721601</v>
      </c>
      <c r="M4496">
        <v>23.806215785635299</v>
      </c>
      <c r="N4496">
        <v>48.726499046424898</v>
      </c>
      <c r="O4496">
        <v>48.089312657698201</v>
      </c>
      <c r="P4496">
        <v>-0.115342674727196</v>
      </c>
      <c r="Q4496">
        <v>6.8031739656233006E-2</v>
      </c>
      <c r="R4496">
        <v>0.99932263425680201</v>
      </c>
      <c r="S4496" t="s">
        <v>11302</v>
      </c>
      <c r="T4496" t="s">
        <v>13610</v>
      </c>
      <c r="U4496" t="s">
        <v>13610</v>
      </c>
      <c r="V4496" t="s">
        <v>13610</v>
      </c>
      <c r="W4496" t="s">
        <v>18045</v>
      </c>
      <c r="X4496">
        <v>9</v>
      </c>
      <c r="Y4496" t="s">
        <v>24627</v>
      </c>
      <c r="Z4496" t="s">
        <v>31351</v>
      </c>
      <c r="AA4496">
        <v>0.33895329343396807</v>
      </c>
      <c r="AB4496" t="str">
        <f>HYPERLINK("Melting_Curves/meltCurve_Q8N3C0_ASCC3.pdf", "Melting_Curves/meltCurve_Q8N3C0_ASCC3.pdf")</f>
        <v>Melting_Curves/meltCurve_Q8N3C0_ASCC3.pdf</v>
      </c>
    </row>
    <row r="4497" spans="1:28" x14ac:dyDescent="0.25">
      <c r="A4497" t="s">
        <v>4501</v>
      </c>
      <c r="B4497">
        <v>0.995954080203443</v>
      </c>
      <c r="C4497">
        <v>0.95987809198391605</v>
      </c>
      <c r="D4497">
        <v>0.88661960691003805</v>
      </c>
      <c r="E4497">
        <v>0.68338887498475698</v>
      </c>
      <c r="F4497">
        <v>0.59533517797666802</v>
      </c>
      <c r="G4497">
        <v>0.416314052808402</v>
      </c>
      <c r="H4497">
        <v>0.37704649864995698</v>
      </c>
      <c r="I4497">
        <v>0.42204254059025498</v>
      </c>
      <c r="J4497">
        <v>0.54887994949524799</v>
      </c>
      <c r="K4497">
        <v>0.49005281674572998</v>
      </c>
      <c r="L4497">
        <v>1018.95689289999</v>
      </c>
      <c r="M4497">
        <v>20.685292756850199</v>
      </c>
      <c r="N4497">
        <v>55.340355372782298</v>
      </c>
      <c r="O4497">
        <v>48.806534544189802</v>
      </c>
      <c r="P4497">
        <v>-5.8437705487847803E-2</v>
      </c>
      <c r="Q4497">
        <v>0.44848552259591901</v>
      </c>
      <c r="R4497">
        <v>0.94892107149621896</v>
      </c>
      <c r="S4497" t="s">
        <v>11303</v>
      </c>
      <c r="T4497" t="s">
        <v>13610</v>
      </c>
      <c r="U4497" t="s">
        <v>13610</v>
      </c>
      <c r="V4497" t="s">
        <v>13610</v>
      </c>
      <c r="W4497" t="s">
        <v>18046</v>
      </c>
      <c r="X4497">
        <v>40</v>
      </c>
      <c r="Y4497" t="s">
        <v>24628</v>
      </c>
      <c r="Z4497" t="s">
        <v>31352</v>
      </c>
      <c r="AA4497">
        <v>0.62592160699278787</v>
      </c>
      <c r="AB4497" t="str">
        <f>HYPERLINK("Melting_Curves/meltCurve_Q8N3D4_EHBP1L1.pdf", "Melting_Curves/meltCurve_Q8N3D4_EHBP1L1.pdf")</f>
        <v>Melting_Curves/meltCurve_Q8N3D4_EHBP1L1.pdf</v>
      </c>
    </row>
    <row r="4498" spans="1:28" x14ac:dyDescent="0.25">
      <c r="A4498" t="s">
        <v>4502</v>
      </c>
      <c r="B4498">
        <v>0.995954080203443</v>
      </c>
      <c r="C4498">
        <v>1.0304298014570199</v>
      </c>
      <c r="D4498">
        <v>1.0362797171540901</v>
      </c>
      <c r="E4498">
        <v>0.66876956775895602</v>
      </c>
      <c r="F4498">
        <v>0.56401004717399295</v>
      </c>
      <c r="G4498">
        <v>0.404570569079582</v>
      </c>
      <c r="H4498">
        <v>0.37626100961542402</v>
      </c>
      <c r="I4498">
        <v>0.44629704691605998</v>
      </c>
      <c r="J4498">
        <v>0.57048901630819104</v>
      </c>
      <c r="K4498">
        <v>0.53393157638533795</v>
      </c>
      <c r="L4498">
        <v>2211.8303980639098</v>
      </c>
      <c r="M4498">
        <v>44.630232750587901</v>
      </c>
      <c r="N4498">
        <v>53.162198518244502</v>
      </c>
      <c r="O4498">
        <v>49.459824302486602</v>
      </c>
      <c r="P4498">
        <v>-0.118271860387683</v>
      </c>
      <c r="Q4498">
        <v>0.47571883631688999</v>
      </c>
      <c r="R4498">
        <v>0.94127338773597502</v>
      </c>
      <c r="S4498" t="s">
        <v>11304</v>
      </c>
      <c r="T4498" t="s">
        <v>13610</v>
      </c>
      <c r="U4498" t="s">
        <v>13610</v>
      </c>
      <c r="V4498" t="s">
        <v>13610</v>
      </c>
      <c r="W4498" t="s">
        <v>18047</v>
      </c>
      <c r="X4498">
        <v>21</v>
      </c>
      <c r="Y4498" t="s">
        <v>24629</v>
      </c>
      <c r="Z4498" t="s">
        <v>31353</v>
      </c>
      <c r="AA4498">
        <v>0.64421333361510336</v>
      </c>
      <c r="AB4498" t="str">
        <f>HYPERLINK("Melting_Curves/meltCurve_Q8N3F8_MICALL1.pdf", "Melting_Curves/meltCurve_Q8N3F8_MICALL1.pdf")</f>
        <v>Melting_Curves/meltCurve_Q8N3F8_MICALL1.pdf</v>
      </c>
    </row>
    <row r="4499" spans="1:28" x14ac:dyDescent="0.25">
      <c r="A4499" t="s">
        <v>4503</v>
      </c>
      <c r="B4499">
        <v>0.995954080203443</v>
      </c>
      <c r="C4499">
        <v>0.85980354999647601</v>
      </c>
      <c r="D4499">
        <v>0.88797102943740402</v>
      </c>
      <c r="E4499">
        <v>0.70826585903918304</v>
      </c>
      <c r="F4499">
        <v>0.68945918365222003</v>
      </c>
      <c r="G4499">
        <v>0.58188912518500802</v>
      </c>
      <c r="H4499">
        <v>0.53431862619773796</v>
      </c>
      <c r="I4499">
        <v>0.63719003861803303</v>
      </c>
      <c r="J4499">
        <v>0.77605670523903902</v>
      </c>
      <c r="K4499">
        <v>0.77514859155251703</v>
      </c>
      <c r="L4499">
        <v>865.14672422942101</v>
      </c>
      <c r="M4499">
        <v>18.840931137127001</v>
      </c>
      <c r="O4499">
        <v>45.410562322577903</v>
      </c>
      <c r="P4499">
        <v>-3.5203077263662501E-2</v>
      </c>
      <c r="Q4499">
        <v>0.66062703742987094</v>
      </c>
      <c r="R4499">
        <v>0.676873597486079</v>
      </c>
      <c r="S4499" t="s">
        <v>11305</v>
      </c>
      <c r="T4499" t="s">
        <v>13610</v>
      </c>
      <c r="U4499" t="s">
        <v>13610</v>
      </c>
      <c r="V4499" t="s">
        <v>13610</v>
      </c>
      <c r="W4499" t="s">
        <v>18048</v>
      </c>
      <c r="X4499">
        <v>4</v>
      </c>
      <c r="Y4499" t="s">
        <v>24630</v>
      </c>
      <c r="Z4499" t="s">
        <v>31354</v>
      </c>
      <c r="AA4499">
        <v>0.73362739007653233</v>
      </c>
      <c r="AB4499" t="str">
        <f>HYPERLINK("Melting_Curves/meltCurve_Q8N3J3_3_C17orf53.pdf", "Melting_Curves/meltCurve_Q8N3J3_3_C17orf53.pdf")</f>
        <v>Melting_Curves/meltCurve_Q8N3J3_3_C17orf53.pdf</v>
      </c>
    </row>
    <row r="4500" spans="1:28" x14ac:dyDescent="0.25">
      <c r="A4500" t="s">
        <v>4504</v>
      </c>
      <c r="B4500">
        <v>0.995954080203443</v>
      </c>
      <c r="C4500">
        <v>0.75743370339396798</v>
      </c>
      <c r="D4500">
        <v>0.51142191483458299</v>
      </c>
      <c r="E4500">
        <v>0.45101049585946301</v>
      </c>
      <c r="F4500">
        <v>0.15554058506833701</v>
      </c>
      <c r="G4500">
        <v>0.101413979795332</v>
      </c>
      <c r="H4500">
        <v>6.8112670944401696E-2</v>
      </c>
      <c r="I4500">
        <v>6.1319550749954002E-2</v>
      </c>
      <c r="J4500">
        <v>6.8886448892025998E-2</v>
      </c>
      <c r="K4500">
        <v>6.6996504636718995E-2</v>
      </c>
      <c r="L4500">
        <v>629.32749627035798</v>
      </c>
      <c r="M4500">
        <v>13.419891292607399</v>
      </c>
      <c r="N4500">
        <v>47.191147781354303</v>
      </c>
      <c r="O4500">
        <v>45.890550656305699</v>
      </c>
      <c r="P4500">
        <v>-7.0167928561511494E-2</v>
      </c>
      <c r="Q4500">
        <v>4.0367367718246901E-2</v>
      </c>
      <c r="R4500">
        <v>0.97013068944634095</v>
      </c>
      <c r="S4500" t="s">
        <v>11306</v>
      </c>
      <c r="T4500" t="s">
        <v>13610</v>
      </c>
      <c r="U4500" t="s">
        <v>13610</v>
      </c>
      <c r="V4500" t="s">
        <v>13610</v>
      </c>
      <c r="W4500" t="s">
        <v>18049</v>
      </c>
      <c r="X4500">
        <v>17</v>
      </c>
      <c r="Y4500" t="s">
        <v>24631</v>
      </c>
      <c r="Z4500" t="s">
        <v>31355</v>
      </c>
      <c r="AA4500">
        <v>0.29376704964543843</v>
      </c>
      <c r="AB4500" t="str">
        <f>HYPERLINK("Melting_Curves/meltCurve_Q8N3P4_3_VPS8.pdf", "Melting_Curves/meltCurve_Q8N3P4_3_VPS8.pdf")</f>
        <v>Melting_Curves/meltCurve_Q8N3P4_3_VPS8.pdf</v>
      </c>
    </row>
    <row r="4501" spans="1:28" x14ac:dyDescent="0.25">
      <c r="A4501" t="s">
        <v>4505</v>
      </c>
      <c r="B4501">
        <v>0.995954080203443</v>
      </c>
      <c r="C4501">
        <v>1.02522594453507</v>
      </c>
      <c r="D4501">
        <v>1.0228678861950999</v>
      </c>
      <c r="E4501">
        <v>0.92381865768126903</v>
      </c>
      <c r="F4501">
        <v>0.79754705889759303</v>
      </c>
      <c r="G4501">
        <v>0.64221168483727997</v>
      </c>
      <c r="H4501">
        <v>0.57140105379307204</v>
      </c>
      <c r="I4501">
        <v>0.76848837722492902</v>
      </c>
      <c r="J4501">
        <v>0.86980653493598203</v>
      </c>
      <c r="K4501">
        <v>0.93642594454231898</v>
      </c>
      <c r="L4501">
        <v>2634.1735235649799</v>
      </c>
      <c r="M4501">
        <v>51.8378233440719</v>
      </c>
      <c r="O4501">
        <v>50.740211539427897</v>
      </c>
      <c r="P4501">
        <v>-6.1399139459567799E-2</v>
      </c>
      <c r="Q4501">
        <v>0.75960387213420499</v>
      </c>
      <c r="R4501">
        <v>0.58103581364082202</v>
      </c>
      <c r="S4501" t="s">
        <v>11307</v>
      </c>
      <c r="T4501" t="s">
        <v>13610</v>
      </c>
      <c r="U4501" t="s">
        <v>13610</v>
      </c>
      <c r="V4501" t="s">
        <v>13610</v>
      </c>
      <c r="W4501" t="s">
        <v>18050</v>
      </c>
      <c r="X4501">
        <v>1</v>
      </c>
      <c r="Y4501" t="s">
        <v>24632</v>
      </c>
      <c r="Z4501" t="s">
        <v>31356</v>
      </c>
      <c r="AA4501">
        <v>0.84677312822555273</v>
      </c>
      <c r="AB4501" t="str">
        <f>HYPERLINK("Melting_Curves/meltCurve_Q8N3R9_MPP5.pdf", "Melting_Curves/meltCurve_Q8N3R9_MPP5.pdf")</f>
        <v>Melting_Curves/meltCurve_Q8N3R9_MPP5.pdf</v>
      </c>
    </row>
    <row r="4502" spans="1:28" x14ac:dyDescent="0.25">
      <c r="A4502" t="s">
        <v>4506</v>
      </c>
      <c r="B4502">
        <v>0.995954080203443</v>
      </c>
      <c r="C4502">
        <v>1.05128856403397</v>
      </c>
      <c r="D4502">
        <v>1.119662332888</v>
      </c>
      <c r="E4502">
        <v>1.01990873350042</v>
      </c>
      <c r="F4502">
        <v>1.02026851790132</v>
      </c>
      <c r="G4502">
        <v>0.84111992850613704</v>
      </c>
      <c r="H4502">
        <v>0.79956899203966103</v>
      </c>
      <c r="I4502">
        <v>0.93357715055347301</v>
      </c>
      <c r="J4502">
        <v>1.0878338015126801</v>
      </c>
      <c r="K4502">
        <v>1.1107461321634799</v>
      </c>
      <c r="L4502">
        <v>15000</v>
      </c>
      <c r="M4502">
        <v>225.22076408672299</v>
      </c>
      <c r="O4502">
        <v>66.596075119840805</v>
      </c>
      <c r="P4502">
        <v>9.3657245977623593E-2</v>
      </c>
      <c r="Q4502">
        <v>1.1107749425087501</v>
      </c>
      <c r="R4502">
        <v>0.185397762515012</v>
      </c>
      <c r="S4502" t="s">
        <v>11308</v>
      </c>
      <c r="T4502" t="s">
        <v>13610</v>
      </c>
      <c r="U4502" t="s">
        <v>13610</v>
      </c>
      <c r="V4502" t="s">
        <v>13610</v>
      </c>
      <c r="W4502" t="s">
        <v>18051</v>
      </c>
      <c r="X4502">
        <v>18</v>
      </c>
      <c r="Y4502" t="s">
        <v>24633</v>
      </c>
      <c r="Z4502" t="s">
        <v>31357</v>
      </c>
      <c r="AA4502">
        <v>1.0125336895355781</v>
      </c>
      <c r="AB4502" t="str">
        <f>HYPERLINK("Melting_Curves/meltCurve_Q8N3X1_FNBP4.pdf", "Melting_Curves/meltCurve_Q8N3X1_FNBP4.pdf")</f>
        <v>Melting_Curves/meltCurve_Q8N3X1_FNBP4.pdf</v>
      </c>
    </row>
    <row r="4503" spans="1:28" x14ac:dyDescent="0.25">
      <c r="A4503" t="s">
        <v>4507</v>
      </c>
      <c r="B4503">
        <v>0.995954080203443</v>
      </c>
      <c r="C4503">
        <v>0.99991816080009099</v>
      </c>
      <c r="D4503">
        <v>0.85981610838056799</v>
      </c>
      <c r="E4503">
        <v>0.89083325398740099</v>
      </c>
      <c r="F4503">
        <v>0.74096400518552197</v>
      </c>
      <c r="G4503">
        <v>0.53810575122122495</v>
      </c>
      <c r="H4503">
        <v>0.49215948346521299</v>
      </c>
      <c r="I4503">
        <v>0.51550192945901796</v>
      </c>
      <c r="J4503">
        <v>0.76141397923883303</v>
      </c>
      <c r="K4503">
        <v>0.65472923630957103</v>
      </c>
      <c r="L4503">
        <v>1464.9065691727501</v>
      </c>
      <c r="M4503">
        <v>28.502518753849198</v>
      </c>
      <c r="O4503">
        <v>51.144663589146298</v>
      </c>
      <c r="P4503">
        <v>-5.6895156137733501E-2</v>
      </c>
      <c r="Q4503">
        <v>0.59163444299635803</v>
      </c>
      <c r="R4503">
        <v>0.78070995582899305</v>
      </c>
      <c r="S4503" t="s">
        <v>11309</v>
      </c>
      <c r="T4503" t="s">
        <v>13610</v>
      </c>
      <c r="U4503" t="s">
        <v>13610</v>
      </c>
      <c r="V4503" t="s">
        <v>13610</v>
      </c>
      <c r="W4503" t="s">
        <v>18052</v>
      </c>
      <c r="X4503">
        <v>1</v>
      </c>
      <c r="Y4503" t="s">
        <v>24634</v>
      </c>
      <c r="Z4503" t="s">
        <v>31358</v>
      </c>
      <c r="AA4503">
        <v>0.74961619177239713</v>
      </c>
      <c r="AB4503" t="str">
        <f>HYPERLINK("Melting_Curves/meltCurve_Q8N3X6_3_LCORL.pdf", "Melting_Curves/meltCurve_Q8N3X6_3_LCORL.pdf")</f>
        <v>Melting_Curves/meltCurve_Q8N3X6_3_LCORL.pdf</v>
      </c>
    </row>
    <row r="4504" spans="1:28" x14ac:dyDescent="0.25">
      <c r="A4504" t="s">
        <v>4508</v>
      </c>
      <c r="B4504">
        <v>0.995954080203443</v>
      </c>
      <c r="C4504">
        <v>0.730147105147675</v>
      </c>
      <c r="D4504">
        <v>0.57864254002207005</v>
      </c>
      <c r="E4504">
        <v>0.53549838084550305</v>
      </c>
      <c r="F4504">
        <v>0.31882194533221803</v>
      </c>
      <c r="G4504">
        <v>0.134323588533244</v>
      </c>
      <c r="H4504">
        <v>9.8698436704033707E-2</v>
      </c>
      <c r="I4504">
        <v>9.2203800224511995E-2</v>
      </c>
      <c r="J4504">
        <v>6.7134450996939807E-2</v>
      </c>
      <c r="K4504">
        <v>8.9116796897975498E-2</v>
      </c>
      <c r="L4504">
        <v>497.29248488296997</v>
      </c>
      <c r="M4504">
        <v>10.241381537836601</v>
      </c>
      <c r="N4504">
        <v>48.695423084836598</v>
      </c>
      <c r="O4504">
        <v>46.815067363815203</v>
      </c>
      <c r="P4504">
        <v>-5.3930887336587602E-2</v>
      </c>
      <c r="Q4504">
        <v>1.4329178060337599E-2</v>
      </c>
      <c r="R4504">
        <v>0.96598632543770602</v>
      </c>
      <c r="S4504" t="s">
        <v>11310</v>
      </c>
      <c r="T4504" t="s">
        <v>13610</v>
      </c>
      <c r="U4504" t="s">
        <v>13610</v>
      </c>
      <c r="V4504" t="s">
        <v>13610</v>
      </c>
      <c r="W4504" t="s">
        <v>18053</v>
      </c>
      <c r="X4504">
        <v>1</v>
      </c>
      <c r="Y4504" t="s">
        <v>24635</v>
      </c>
      <c r="Z4504" t="s">
        <v>31359</v>
      </c>
      <c r="AA4504">
        <v>0.34365485720703931</v>
      </c>
      <c r="AB4504" t="str">
        <f>HYPERLINK("Melting_Curves/meltCurve_Q8N3Y1_2_FBXW8.pdf", "Melting_Curves/meltCurve_Q8N3Y1_2_FBXW8.pdf")</f>
        <v>Melting_Curves/meltCurve_Q8N3Y1_2_FBXW8.pdf</v>
      </c>
    </row>
    <row r="4505" spans="1:28" x14ac:dyDescent="0.25">
      <c r="A4505" t="s">
        <v>4509</v>
      </c>
      <c r="B4505">
        <v>0.995954080203443</v>
      </c>
      <c r="C4505">
        <v>1.07635709313244</v>
      </c>
      <c r="D4505">
        <v>0.94921992904115304</v>
      </c>
      <c r="E4505">
        <v>0.86497914876301696</v>
      </c>
      <c r="F4505">
        <v>0.53126446975277497</v>
      </c>
      <c r="G4505">
        <v>0.19938133900541299</v>
      </c>
      <c r="H4505">
        <v>8.4897527344424406E-2</v>
      </c>
      <c r="I4505">
        <v>7.8962624380355506E-2</v>
      </c>
      <c r="J4505">
        <v>5.92275017506795E-2</v>
      </c>
      <c r="K4505">
        <v>4.7693818112752202E-2</v>
      </c>
      <c r="L4505">
        <v>1407.0591745045399</v>
      </c>
      <c r="M4505">
        <v>26.488261233643801</v>
      </c>
      <c r="N4505">
        <v>53.3653594269962</v>
      </c>
      <c r="O4505">
        <v>52.820104938105899</v>
      </c>
      <c r="P4505">
        <v>-0.11818666124143</v>
      </c>
      <c r="Q4505">
        <v>5.7308330999773997E-2</v>
      </c>
      <c r="R4505">
        <v>0.99537227374180803</v>
      </c>
      <c r="S4505" t="s">
        <v>11311</v>
      </c>
      <c r="T4505" t="s">
        <v>13610</v>
      </c>
      <c r="U4505" t="s">
        <v>13610</v>
      </c>
      <c r="V4505" t="s">
        <v>13610</v>
      </c>
      <c r="W4505" t="s">
        <v>18054</v>
      </c>
      <c r="X4505">
        <v>6</v>
      </c>
      <c r="Y4505" t="s">
        <v>24636</v>
      </c>
      <c r="Z4505" t="s">
        <v>31360</v>
      </c>
      <c r="AA4505">
        <v>0.47737035434762642</v>
      </c>
      <c r="AB4505" t="str">
        <f>HYPERLINK("Melting_Curves/meltCurve_Q8N465_2_D2HGDH.pdf", "Melting_Curves/meltCurve_Q8N465_2_D2HGDH.pdf")</f>
        <v>Melting_Curves/meltCurve_Q8N465_2_D2HGDH.pdf</v>
      </c>
    </row>
    <row r="4506" spans="1:28" x14ac:dyDescent="0.25">
      <c r="A4506" t="s">
        <v>4510</v>
      </c>
      <c r="B4506">
        <v>0.995954080203443</v>
      </c>
      <c r="C4506">
        <v>1.01764243791521</v>
      </c>
      <c r="D4506">
        <v>1.0333141802474299</v>
      </c>
      <c r="E4506">
        <v>0.92577322735492895</v>
      </c>
      <c r="F4506">
        <v>0.89313832870149201</v>
      </c>
      <c r="G4506">
        <v>0.68792447836709103</v>
      </c>
      <c r="H4506">
        <v>0.64200609205873305</v>
      </c>
      <c r="I4506">
        <v>0.74211085260438303</v>
      </c>
      <c r="J4506">
        <v>0.897427871326274</v>
      </c>
      <c r="K4506">
        <v>0.85419734460374197</v>
      </c>
      <c r="L4506">
        <v>2113.2247763455898</v>
      </c>
      <c r="M4506">
        <v>40.316148914569197</v>
      </c>
      <c r="O4506">
        <v>52.2878716364485</v>
      </c>
      <c r="P4506">
        <v>-4.49680003171214E-2</v>
      </c>
      <c r="Q4506">
        <v>0.76671619551692205</v>
      </c>
      <c r="R4506">
        <v>0.68593205519567602</v>
      </c>
      <c r="S4506" t="s">
        <v>11312</v>
      </c>
      <c r="T4506" t="s">
        <v>13610</v>
      </c>
      <c r="U4506" t="s">
        <v>13610</v>
      </c>
      <c r="V4506" t="s">
        <v>13610</v>
      </c>
      <c r="W4506" t="s">
        <v>18055</v>
      </c>
      <c r="X4506">
        <v>6</v>
      </c>
      <c r="Y4506" t="s">
        <v>24637</v>
      </c>
      <c r="Z4506" t="s">
        <v>31361</v>
      </c>
      <c r="AA4506">
        <v>0.86409858579599763</v>
      </c>
      <c r="AB4506" t="str">
        <f>HYPERLINK("Melting_Curves/meltCurve_Q8N488_RYBP.pdf", "Melting_Curves/meltCurve_Q8N488_RYBP.pdf")</f>
        <v>Melting_Curves/meltCurve_Q8N488_RYBP.pdf</v>
      </c>
    </row>
    <row r="4507" spans="1:28" x14ac:dyDescent="0.25">
      <c r="A4507" t="s">
        <v>4511</v>
      </c>
      <c r="B4507">
        <v>0.995954080203443</v>
      </c>
      <c r="C4507">
        <v>0.95142717596197501</v>
      </c>
      <c r="D4507">
        <v>0.99147373244804404</v>
      </c>
      <c r="E4507">
        <v>0.85630436974461999</v>
      </c>
      <c r="F4507">
        <v>0.88731008021123303</v>
      </c>
      <c r="G4507">
        <v>0.67537498529382201</v>
      </c>
      <c r="H4507">
        <v>0.63767632415384901</v>
      </c>
      <c r="I4507">
        <v>0.80019872785400503</v>
      </c>
      <c r="J4507">
        <v>0.938198078850074</v>
      </c>
      <c r="K4507">
        <v>0.88675510514539502</v>
      </c>
      <c r="L4507">
        <v>1445.82435966085</v>
      </c>
      <c r="M4507">
        <v>29.357763533370601</v>
      </c>
      <c r="O4507">
        <v>49.0216289212456</v>
      </c>
      <c r="P4507">
        <v>-3.03898827058929E-2</v>
      </c>
      <c r="Q4507">
        <v>0.79702114715962202</v>
      </c>
      <c r="R4507">
        <v>0.44796060320776099</v>
      </c>
      <c r="S4507" t="s">
        <v>11313</v>
      </c>
      <c r="T4507" t="s">
        <v>13610</v>
      </c>
      <c r="U4507" t="s">
        <v>13610</v>
      </c>
      <c r="V4507" t="s">
        <v>13610</v>
      </c>
      <c r="W4507" t="s">
        <v>18056</v>
      </c>
      <c r="X4507">
        <v>19</v>
      </c>
      <c r="Y4507" t="s">
        <v>24638</v>
      </c>
      <c r="Z4507" t="s">
        <v>31362</v>
      </c>
      <c r="AA4507">
        <v>0.8608926583485651</v>
      </c>
      <c r="AB4507" t="str">
        <f>HYPERLINK("Melting_Curves/meltCurve_Q8N4C8_4_MINK1.pdf", "Melting_Curves/meltCurve_Q8N4C8_4_MINK1.pdf")</f>
        <v>Melting_Curves/meltCurve_Q8N4C8_4_MINK1.pdf</v>
      </c>
    </row>
    <row r="4508" spans="1:28" x14ac:dyDescent="0.25">
      <c r="A4508" t="s">
        <v>4512</v>
      </c>
      <c r="B4508">
        <v>0.995954080203443</v>
      </c>
      <c r="C4508">
        <v>0.75589241740053903</v>
      </c>
      <c r="D4508">
        <v>1.0375372631312101</v>
      </c>
      <c r="E4508">
        <v>0.85436071971607597</v>
      </c>
      <c r="F4508">
        <v>0.35285620827188202</v>
      </c>
      <c r="G4508">
        <v>7.11188986190988E-2</v>
      </c>
      <c r="H4508">
        <v>3.8706246206650301E-2</v>
      </c>
      <c r="I4508">
        <v>2.6295902605944999E-2</v>
      </c>
      <c r="J4508">
        <v>4.4293612159338198E-2</v>
      </c>
      <c r="K4508">
        <v>3.4712785160869002E-2</v>
      </c>
      <c r="L4508">
        <v>2156.5483491158898</v>
      </c>
      <c r="M4508">
        <v>41.401231228571298</v>
      </c>
      <c r="N4508">
        <v>52.185846238542403</v>
      </c>
      <c r="O4508">
        <v>51.967905943484503</v>
      </c>
      <c r="P4508">
        <v>-0.191802273898424</v>
      </c>
      <c r="Q4508">
        <v>3.6980884609535497E-2</v>
      </c>
      <c r="R4508">
        <v>0.96446325106673603</v>
      </c>
      <c r="S4508" t="s">
        <v>11314</v>
      </c>
      <c r="T4508" t="s">
        <v>13610</v>
      </c>
      <c r="U4508" t="s">
        <v>13610</v>
      </c>
      <c r="V4508" t="s">
        <v>13610</v>
      </c>
      <c r="W4508" t="s">
        <v>18057</v>
      </c>
      <c r="X4508">
        <v>2</v>
      </c>
      <c r="Y4508" t="s">
        <v>24639</v>
      </c>
      <c r="Z4508" t="s">
        <v>31363</v>
      </c>
      <c r="AA4508">
        <v>0.42827898051763502</v>
      </c>
      <c r="AB4508" t="str">
        <f>HYPERLINK("Melting_Curves/meltCurve_Q8N4H5_TOMM5.pdf", "Melting_Curves/meltCurve_Q8N4H5_TOMM5.pdf")</f>
        <v>Melting_Curves/meltCurve_Q8N4H5_TOMM5.pdf</v>
      </c>
    </row>
    <row r="4509" spans="1:28" x14ac:dyDescent="0.25">
      <c r="A4509" t="s">
        <v>4513</v>
      </c>
      <c r="B4509">
        <v>0.995954080203443</v>
      </c>
      <c r="C4509">
        <v>0.99565678046828399</v>
      </c>
      <c r="D4509">
        <v>0.986149764070954</v>
      </c>
      <c r="E4509">
        <v>0.88906934620988798</v>
      </c>
      <c r="F4509">
        <v>0.46917950070959902</v>
      </c>
      <c r="G4509">
        <v>0.173201289493982</v>
      </c>
      <c r="H4509">
        <v>0.118670897846578</v>
      </c>
      <c r="I4509">
        <v>0.120993859981973</v>
      </c>
      <c r="J4509">
        <v>0.14012254439529701</v>
      </c>
      <c r="K4509">
        <v>0.119081180801952</v>
      </c>
      <c r="L4509">
        <v>2034.1482920153501</v>
      </c>
      <c r="M4509">
        <v>38.798592304287403</v>
      </c>
      <c r="N4509">
        <v>52.822313203411603</v>
      </c>
      <c r="O4509">
        <v>52.2897038240284</v>
      </c>
      <c r="P4509">
        <v>-0.16219673881795599</v>
      </c>
      <c r="Q4509">
        <v>0.12561779313218199</v>
      </c>
      <c r="R4509">
        <v>0.99957228524021602</v>
      </c>
      <c r="S4509" t="s">
        <v>11315</v>
      </c>
      <c r="T4509" t="s">
        <v>13610</v>
      </c>
      <c r="U4509" t="s">
        <v>13610</v>
      </c>
      <c r="V4509" t="s">
        <v>13610</v>
      </c>
      <c r="W4509" t="s">
        <v>18058</v>
      </c>
      <c r="X4509">
        <v>7</v>
      </c>
      <c r="Y4509" t="s">
        <v>24640</v>
      </c>
      <c r="Z4509" t="s">
        <v>31364</v>
      </c>
      <c r="AA4509">
        <v>0.49122356431177611</v>
      </c>
      <c r="AB4509" t="str">
        <f>HYPERLINK("Melting_Curves/meltCurve_Q8N4J0_C9orf41.pdf", "Melting_Curves/meltCurve_Q8N4J0_C9orf41.pdf")</f>
        <v>Melting_Curves/meltCurve_Q8N4J0_C9orf41.pdf</v>
      </c>
    </row>
    <row r="4510" spans="1:28" x14ac:dyDescent="0.25">
      <c r="A4510" t="s">
        <v>4514</v>
      </c>
      <c r="B4510">
        <v>0.995954080203443</v>
      </c>
      <c r="C4510">
        <v>0.96627399403251901</v>
      </c>
      <c r="D4510">
        <v>0.80907246551578504</v>
      </c>
      <c r="E4510">
        <v>0.52804488866113897</v>
      </c>
      <c r="F4510">
        <v>0.25103620203920202</v>
      </c>
      <c r="G4510">
        <v>0.16921843462223601</v>
      </c>
      <c r="H4510">
        <v>0.120491695659198</v>
      </c>
      <c r="I4510">
        <v>0.12587325259477999</v>
      </c>
      <c r="J4510">
        <v>0.14411644966575801</v>
      </c>
      <c r="K4510">
        <v>0.13949434049877499</v>
      </c>
      <c r="L4510">
        <v>1032.27026083736</v>
      </c>
      <c r="M4510">
        <v>20.9710885877073</v>
      </c>
      <c r="N4510">
        <v>49.8955280257574</v>
      </c>
      <c r="O4510">
        <v>48.7824611602788</v>
      </c>
      <c r="P4510">
        <v>-9.4252213722347905E-2</v>
      </c>
      <c r="Q4510">
        <v>0.12303438721694</v>
      </c>
      <c r="R4510">
        <v>0.99664821681357796</v>
      </c>
      <c r="S4510" t="s">
        <v>11316</v>
      </c>
      <c r="T4510" t="s">
        <v>13610</v>
      </c>
      <c r="U4510" t="s">
        <v>13610</v>
      </c>
      <c r="V4510" t="s">
        <v>13610</v>
      </c>
      <c r="W4510" t="s">
        <v>18059</v>
      </c>
      <c r="X4510">
        <v>12</v>
      </c>
      <c r="Y4510" t="s">
        <v>24641</v>
      </c>
      <c r="Z4510" t="s">
        <v>31365</v>
      </c>
      <c r="AA4510">
        <v>0.40379810391907939</v>
      </c>
      <c r="AB4510" t="str">
        <f>HYPERLINK("Melting_Curves/meltCurve_Q8N4N3_2_KLHL36.pdf", "Melting_Curves/meltCurve_Q8N4N3_2_KLHL36.pdf")</f>
        <v>Melting_Curves/meltCurve_Q8N4N3_2_KLHL36.pdf</v>
      </c>
    </row>
    <row r="4511" spans="1:28" x14ac:dyDescent="0.25">
      <c r="A4511" t="s">
        <v>4515</v>
      </c>
      <c r="B4511">
        <v>0.995954080203443</v>
      </c>
      <c r="C4511">
        <v>0.86313728607882401</v>
      </c>
      <c r="D4511">
        <v>0.82257971794142304</v>
      </c>
      <c r="E4511">
        <v>0.57033189388361205</v>
      </c>
      <c r="F4511">
        <v>0.332335092324057</v>
      </c>
      <c r="G4511">
        <v>0.180997038672361</v>
      </c>
      <c r="H4511">
        <v>0.12887246065504701</v>
      </c>
      <c r="I4511">
        <v>0.135326111704621</v>
      </c>
      <c r="J4511">
        <v>0.165145505238699</v>
      </c>
      <c r="K4511">
        <v>0.16173911796246199</v>
      </c>
      <c r="L4511">
        <v>829.54327602919204</v>
      </c>
      <c r="M4511">
        <v>16.728887674954098</v>
      </c>
      <c r="N4511">
        <v>50.446389594493702</v>
      </c>
      <c r="O4511">
        <v>48.895158679235202</v>
      </c>
      <c r="P4511">
        <v>-7.4939212187810994E-2</v>
      </c>
      <c r="Q4511">
        <v>0.123929134786809</v>
      </c>
      <c r="R4511">
        <v>0.98900471801824896</v>
      </c>
      <c r="S4511" t="s">
        <v>11317</v>
      </c>
      <c r="T4511" t="s">
        <v>13610</v>
      </c>
      <c r="U4511" t="s">
        <v>13610</v>
      </c>
      <c r="V4511" t="s">
        <v>13610</v>
      </c>
      <c r="W4511" t="s">
        <v>18060</v>
      </c>
      <c r="X4511">
        <v>7</v>
      </c>
      <c r="Y4511" t="s">
        <v>24642</v>
      </c>
      <c r="Z4511" t="s">
        <v>31366</v>
      </c>
      <c r="AA4511">
        <v>0.42119757582010298</v>
      </c>
      <c r="AB4511" t="str">
        <f>HYPERLINK("Melting_Curves/meltCurve_Q8N4P3_HDDC3.pdf", "Melting_Curves/meltCurve_Q8N4P3_HDDC3.pdf")</f>
        <v>Melting_Curves/meltCurve_Q8N4P3_HDDC3.pdf</v>
      </c>
    </row>
    <row r="4512" spans="1:28" x14ac:dyDescent="0.25">
      <c r="A4512" t="s">
        <v>4516</v>
      </c>
      <c r="B4512">
        <v>0.995954080203443</v>
      </c>
      <c r="C4512">
        <v>1.0168103407936899</v>
      </c>
      <c r="D4512">
        <v>0.86560868079426501</v>
      </c>
      <c r="E4512">
        <v>0.49007904011227899</v>
      </c>
      <c r="F4512">
        <v>0.32994254754574398</v>
      </c>
      <c r="G4512">
        <v>0.198808148475487</v>
      </c>
      <c r="H4512">
        <v>0.13409520911098699</v>
      </c>
      <c r="I4512">
        <v>0.127798037148426</v>
      </c>
      <c r="J4512">
        <v>0.13139950299946901</v>
      </c>
      <c r="K4512">
        <v>0.14056378679050099</v>
      </c>
      <c r="L4512">
        <v>1076.0604759036901</v>
      </c>
      <c r="M4512">
        <v>21.7397387215149</v>
      </c>
      <c r="N4512">
        <v>50.218228873789599</v>
      </c>
      <c r="O4512">
        <v>49.084269369902998</v>
      </c>
      <c r="P4512">
        <v>-9.5888511113043404E-2</v>
      </c>
      <c r="Q4512">
        <v>0.13402652384350899</v>
      </c>
      <c r="R4512">
        <v>0.99632829286180202</v>
      </c>
      <c r="S4512" t="s">
        <v>11318</v>
      </c>
      <c r="T4512" t="s">
        <v>13610</v>
      </c>
      <c r="U4512" t="s">
        <v>13610</v>
      </c>
      <c r="V4512" t="s">
        <v>13610</v>
      </c>
      <c r="W4512" t="s">
        <v>18061</v>
      </c>
      <c r="X4512">
        <v>3</v>
      </c>
      <c r="Y4512" t="s">
        <v>24643</v>
      </c>
      <c r="Z4512" t="s">
        <v>31367</v>
      </c>
      <c r="AA4512">
        <v>0.41840089876068481</v>
      </c>
      <c r="AB4512" t="str">
        <f>HYPERLINK("Melting_Curves/meltCurve_Q8N4Q0_ZADH2.pdf", "Melting_Curves/meltCurve_Q8N4Q0_ZADH2.pdf")</f>
        <v>Melting_Curves/meltCurve_Q8N4Q0_ZADH2.pdf</v>
      </c>
    </row>
    <row r="4513" spans="1:28" x14ac:dyDescent="0.25">
      <c r="A4513" t="s">
        <v>4517</v>
      </c>
      <c r="B4513">
        <v>0.995954080203443</v>
      </c>
      <c r="C4513">
        <v>0.96642103975548599</v>
      </c>
      <c r="D4513">
        <v>1.0902904594538501</v>
      </c>
      <c r="E4513">
        <v>1.0062999025241499</v>
      </c>
      <c r="F4513">
        <v>1.0035799324182799</v>
      </c>
      <c r="G4513">
        <v>0.95774971192695002</v>
      </c>
      <c r="H4513">
        <v>1.0361453034761401</v>
      </c>
      <c r="I4513">
        <v>1.4699125078303199</v>
      </c>
      <c r="J4513">
        <v>1.1874667127774801</v>
      </c>
      <c r="K4513">
        <v>1.7815466114607199</v>
      </c>
      <c r="L4513">
        <v>7351.1061217299703</v>
      </c>
      <c r="M4513">
        <v>118.015116824692</v>
      </c>
      <c r="O4513">
        <v>62.271671672612598</v>
      </c>
      <c r="P4513">
        <v>0.23039049033216699</v>
      </c>
      <c r="Q4513">
        <v>1.4862697481368301</v>
      </c>
      <c r="R4513">
        <v>0.71393147066290397</v>
      </c>
      <c r="S4513" t="s">
        <v>11319</v>
      </c>
      <c r="T4513" t="s">
        <v>13610</v>
      </c>
      <c r="U4513" t="s">
        <v>13610</v>
      </c>
      <c r="V4513" t="s">
        <v>13610</v>
      </c>
      <c r="W4513" t="s">
        <v>18062</v>
      </c>
      <c r="X4513">
        <v>4</v>
      </c>
      <c r="Y4513" t="s">
        <v>24644</v>
      </c>
      <c r="Z4513" t="s">
        <v>31368</v>
      </c>
      <c r="AA4513">
        <v>1.1247402442755741</v>
      </c>
      <c r="AB4513" t="str">
        <f>HYPERLINK("Melting_Curves/meltCurve_Q8N4Q1_CHCHD4.pdf", "Melting_Curves/meltCurve_Q8N4Q1_CHCHD4.pdf")</f>
        <v>Melting_Curves/meltCurve_Q8N4Q1_CHCHD4.pdf</v>
      </c>
    </row>
    <row r="4514" spans="1:28" x14ac:dyDescent="0.25">
      <c r="A4514" t="s">
        <v>4518</v>
      </c>
      <c r="B4514">
        <v>0.995954080203443</v>
      </c>
      <c r="C4514">
        <v>0.94158362474855894</v>
      </c>
      <c r="D4514">
        <v>0.81293006666252898</v>
      </c>
      <c r="E4514">
        <v>0.66856328620392003</v>
      </c>
      <c r="F4514">
        <v>0.53067135312540303</v>
      </c>
      <c r="G4514">
        <v>0.35491906079560698</v>
      </c>
      <c r="H4514">
        <v>0.26527612901535202</v>
      </c>
      <c r="I4514">
        <v>0.23888096774390699</v>
      </c>
      <c r="J4514">
        <v>0.19935229551207401</v>
      </c>
      <c r="K4514">
        <v>0.12860601794571</v>
      </c>
      <c r="L4514">
        <v>564.44872752457502</v>
      </c>
      <c r="M4514">
        <v>10.769087681524899</v>
      </c>
      <c r="N4514">
        <v>53.567448531951698</v>
      </c>
      <c r="O4514">
        <v>50.703481498674499</v>
      </c>
      <c r="P4514">
        <v>-4.7620172053296397E-2</v>
      </c>
      <c r="Q4514">
        <v>0.103498588337802</v>
      </c>
      <c r="R4514">
        <v>0.996146570707659</v>
      </c>
      <c r="S4514" t="s">
        <v>11320</v>
      </c>
      <c r="T4514" t="s">
        <v>13610</v>
      </c>
      <c r="U4514" t="s">
        <v>13610</v>
      </c>
      <c r="V4514" t="s">
        <v>13610</v>
      </c>
      <c r="W4514" t="s">
        <v>18063</v>
      </c>
      <c r="X4514">
        <v>3</v>
      </c>
      <c r="Y4514" t="s">
        <v>24645</v>
      </c>
      <c r="Z4514" t="s">
        <v>31369</v>
      </c>
      <c r="AA4514">
        <v>0.50467855075399737</v>
      </c>
      <c r="AB4514" t="str">
        <f>HYPERLINK("Melting_Curves/meltCurve_Q8N4T8_CBR4.pdf", "Melting_Curves/meltCurve_Q8N4T8_CBR4.pdf")</f>
        <v>Melting_Curves/meltCurve_Q8N4T8_CBR4.pdf</v>
      </c>
    </row>
    <row r="4515" spans="1:28" x14ac:dyDescent="0.25">
      <c r="A4515" t="s">
        <v>4519</v>
      </c>
      <c r="B4515">
        <v>0.995954080203443</v>
      </c>
      <c r="C4515">
        <v>0.96332978062114405</v>
      </c>
      <c r="D4515">
        <v>0.99481134977064201</v>
      </c>
      <c r="E4515">
        <v>0.77669748582598896</v>
      </c>
      <c r="F4515">
        <v>0.70767553801514405</v>
      </c>
      <c r="G4515">
        <v>0.496539335293393</v>
      </c>
      <c r="H4515">
        <v>0.43393925428332503</v>
      </c>
      <c r="I4515">
        <v>0.48415531363792302</v>
      </c>
      <c r="J4515">
        <v>0.61978866968048896</v>
      </c>
      <c r="K4515">
        <v>0.57232508898319001</v>
      </c>
      <c r="L4515">
        <v>1299.0126532238601</v>
      </c>
      <c r="M4515">
        <v>25.5330354531112</v>
      </c>
      <c r="O4515">
        <v>50.566765713183997</v>
      </c>
      <c r="P4515">
        <v>-6.0519755250394602E-2</v>
      </c>
      <c r="Q4515">
        <v>0.52058180529595099</v>
      </c>
      <c r="R4515">
        <v>0.92580119782531001</v>
      </c>
      <c r="S4515" t="s">
        <v>11321</v>
      </c>
      <c r="T4515" t="s">
        <v>13610</v>
      </c>
      <c r="U4515" t="s">
        <v>13610</v>
      </c>
      <c r="V4515" t="s">
        <v>13610</v>
      </c>
      <c r="W4515" t="s">
        <v>18064</v>
      </c>
      <c r="X4515">
        <v>7</v>
      </c>
      <c r="Y4515" t="s">
        <v>24646</v>
      </c>
      <c r="Z4515" t="s">
        <v>31370</v>
      </c>
      <c r="AA4515">
        <v>0.69853170072295323</v>
      </c>
      <c r="AB4515" t="str">
        <f>HYPERLINK("Melting_Curves/meltCurve_Q8N556_AFAP1.pdf", "Melting_Curves/meltCurve_Q8N556_AFAP1.pdf")</f>
        <v>Melting_Curves/meltCurve_Q8N556_AFAP1.pdf</v>
      </c>
    </row>
    <row r="4516" spans="1:28" x14ac:dyDescent="0.25">
      <c r="A4516" t="s">
        <v>4520</v>
      </c>
      <c r="B4516">
        <v>0.995954080203443</v>
      </c>
      <c r="C4516">
        <v>0.96361729876895197</v>
      </c>
      <c r="D4516">
        <v>0.96619500365052202</v>
      </c>
      <c r="E4516">
        <v>0.83041268501249099</v>
      </c>
      <c r="F4516">
        <v>0.85951806289365296</v>
      </c>
      <c r="G4516">
        <v>0.66336130531184301</v>
      </c>
      <c r="H4516">
        <v>0.60757199974040599</v>
      </c>
      <c r="I4516">
        <v>0.85270101667724296</v>
      </c>
      <c r="J4516">
        <v>0.82569339897814698</v>
      </c>
      <c r="K4516">
        <v>0.91912892221682396</v>
      </c>
      <c r="L4516">
        <v>1359.3217201404</v>
      </c>
      <c r="M4516">
        <v>28.123292521966299</v>
      </c>
      <c r="O4516">
        <v>48.0919700234695</v>
      </c>
      <c r="P4516">
        <v>-3.1780879415868199E-2</v>
      </c>
      <c r="Q4516">
        <v>0.78261547508297802</v>
      </c>
      <c r="R4516">
        <v>0.48386736493096999</v>
      </c>
      <c r="S4516" t="s">
        <v>11322</v>
      </c>
      <c r="T4516" t="s">
        <v>13610</v>
      </c>
      <c r="U4516" t="s">
        <v>13610</v>
      </c>
      <c r="V4516" t="s">
        <v>13610</v>
      </c>
      <c r="W4516" t="s">
        <v>18065</v>
      </c>
      <c r="X4516">
        <v>6</v>
      </c>
      <c r="Y4516" t="s">
        <v>24647</v>
      </c>
      <c r="Z4516" t="s">
        <v>31371</v>
      </c>
      <c r="AA4516">
        <v>0.84450907770236983</v>
      </c>
      <c r="AB4516" t="str">
        <f>HYPERLINK("Melting_Curves/meltCurve_Q8N567_ZCCHC9.pdf", "Melting_Curves/meltCurve_Q8N567_ZCCHC9.pdf")</f>
        <v>Melting_Curves/meltCurve_Q8N567_ZCCHC9.pdf</v>
      </c>
    </row>
    <row r="4517" spans="1:28" x14ac:dyDescent="0.25">
      <c r="A4517" t="s">
        <v>4521</v>
      </c>
      <c r="B4517">
        <v>0.995954080203443</v>
      </c>
      <c r="C4517">
        <v>0.99673706614506397</v>
      </c>
      <c r="D4517">
        <v>1.00411861483289</v>
      </c>
      <c r="E4517">
        <v>0.90175787607477698</v>
      </c>
      <c r="F4517">
        <v>0.82899101482587301</v>
      </c>
      <c r="G4517">
        <v>0.60652675442339299</v>
      </c>
      <c r="H4517">
        <v>0.399646857384793</v>
      </c>
      <c r="I4517">
        <v>0.42252113107169498</v>
      </c>
      <c r="J4517">
        <v>0.53805395986053495</v>
      </c>
      <c r="K4517">
        <v>0.51430788071225397</v>
      </c>
      <c r="L4517">
        <v>1467.3862769581001</v>
      </c>
      <c r="M4517">
        <v>27.072162034011001</v>
      </c>
      <c r="N4517">
        <v>60.204749530933903</v>
      </c>
      <c r="O4517">
        <v>53.909611322581902</v>
      </c>
      <c r="P4517">
        <v>-6.6996050579121294E-2</v>
      </c>
      <c r="Q4517">
        <v>0.46636021908178599</v>
      </c>
      <c r="R4517">
        <v>0.96137621407472695</v>
      </c>
      <c r="S4517" t="s">
        <v>11323</v>
      </c>
      <c r="T4517" t="s">
        <v>13610</v>
      </c>
      <c r="U4517" t="s">
        <v>13610</v>
      </c>
      <c r="V4517" t="s">
        <v>13610</v>
      </c>
      <c r="W4517" t="s">
        <v>18066</v>
      </c>
      <c r="X4517">
        <v>29</v>
      </c>
      <c r="Y4517" t="s">
        <v>24648</v>
      </c>
      <c r="Z4517" t="s">
        <v>31372</v>
      </c>
      <c r="AA4517">
        <v>0.72326694226865029</v>
      </c>
      <c r="AB4517" t="str">
        <f>HYPERLINK("Melting_Curves/meltCurve_Q8N573_8_OXR1.pdf", "Melting_Curves/meltCurve_Q8N573_8_OXR1.pdf")</f>
        <v>Melting_Curves/meltCurve_Q8N573_8_OXR1.pdf</v>
      </c>
    </row>
    <row r="4518" spans="1:28" x14ac:dyDescent="0.25">
      <c r="A4518" t="s">
        <v>4522</v>
      </c>
      <c r="B4518">
        <v>0.995954080203443</v>
      </c>
      <c r="C4518">
        <v>0.99922027639779798</v>
      </c>
      <c r="D4518">
        <v>0.84929132054212597</v>
      </c>
      <c r="E4518">
        <v>0.65482902709885504</v>
      </c>
      <c r="F4518">
        <v>0.45917537449468498</v>
      </c>
      <c r="G4518">
        <v>0.346047884471122</v>
      </c>
      <c r="H4518">
        <v>0.30371365230581199</v>
      </c>
      <c r="I4518">
        <v>0.34256858590239803</v>
      </c>
      <c r="J4518">
        <v>0.42252130268308802</v>
      </c>
      <c r="K4518">
        <v>0.44582845924046899</v>
      </c>
      <c r="L4518">
        <v>1127.5310846366599</v>
      </c>
      <c r="M4518">
        <v>22.9599513932226</v>
      </c>
      <c r="N4518">
        <v>52.1142342268991</v>
      </c>
      <c r="O4518">
        <v>48.740627699260301</v>
      </c>
      <c r="P4518">
        <v>-7.4548349738101496E-2</v>
      </c>
      <c r="Q4518">
        <v>0.36699097597399899</v>
      </c>
      <c r="R4518">
        <v>0.96987964865896403</v>
      </c>
      <c r="S4518" t="s">
        <v>11324</v>
      </c>
      <c r="T4518" t="s">
        <v>13610</v>
      </c>
      <c r="U4518" t="s">
        <v>13610</v>
      </c>
      <c r="V4518" t="s">
        <v>13610</v>
      </c>
      <c r="W4518" t="s">
        <v>18067</v>
      </c>
      <c r="X4518">
        <v>7</v>
      </c>
      <c r="Y4518" t="s">
        <v>24649</v>
      </c>
      <c r="Z4518" t="s">
        <v>31373</v>
      </c>
      <c r="AA4518">
        <v>0.56587059303875553</v>
      </c>
      <c r="AB4518" t="str">
        <f>HYPERLINK("Melting_Curves/meltCurve_Q8N5A5_3_ZGPAT.pdf", "Melting_Curves/meltCurve_Q8N5A5_3_ZGPAT.pdf")</f>
        <v>Melting_Curves/meltCurve_Q8N5A5_3_ZGPAT.pdf</v>
      </c>
    </row>
    <row r="4519" spans="1:28" x14ac:dyDescent="0.25">
      <c r="A4519" t="s">
        <v>4523</v>
      </c>
      <c r="B4519">
        <v>0.995954080203443</v>
      </c>
      <c r="C4519">
        <v>0.91952858156175499</v>
      </c>
      <c r="D4519">
        <v>0.87428817457175001</v>
      </c>
      <c r="E4519">
        <v>0.82866064157722896</v>
      </c>
      <c r="F4519">
        <v>0.65740254774103901</v>
      </c>
      <c r="G4519">
        <v>0.46058200281938599</v>
      </c>
      <c r="H4519">
        <v>0.41361365690886498</v>
      </c>
      <c r="I4519">
        <v>0.39038396986532797</v>
      </c>
      <c r="J4519">
        <v>0.46429703183856702</v>
      </c>
      <c r="K4519">
        <v>0.40628405856752597</v>
      </c>
      <c r="L4519">
        <v>813.854903422642</v>
      </c>
      <c r="M4519">
        <v>15.715666536563299</v>
      </c>
      <c r="N4519">
        <v>57.240096060164802</v>
      </c>
      <c r="O4519">
        <v>50.969478162771601</v>
      </c>
      <c r="P4519">
        <v>-4.71680670707358E-2</v>
      </c>
      <c r="Q4519">
        <v>0.38814454609757298</v>
      </c>
      <c r="R4519">
        <v>0.96978588185947301</v>
      </c>
      <c r="S4519" t="s">
        <v>11325</v>
      </c>
      <c r="T4519" t="s">
        <v>13610</v>
      </c>
      <c r="U4519" t="s">
        <v>13610</v>
      </c>
      <c r="V4519" t="s">
        <v>13610</v>
      </c>
      <c r="W4519" t="s">
        <v>18068</v>
      </c>
      <c r="X4519">
        <v>2</v>
      </c>
      <c r="Y4519" t="s">
        <v>24650</v>
      </c>
      <c r="Z4519" t="s">
        <v>31374</v>
      </c>
      <c r="AA4519">
        <v>0.64132862692114001</v>
      </c>
      <c r="AB4519" t="str">
        <f>HYPERLINK("Melting_Curves/meltCurve_Q8N5C6_SRBD1.pdf", "Melting_Curves/meltCurve_Q8N5C6_SRBD1.pdf")</f>
        <v>Melting_Curves/meltCurve_Q8N5C6_SRBD1.pdf</v>
      </c>
    </row>
    <row r="4520" spans="1:28" x14ac:dyDescent="0.25">
      <c r="A4520" t="s">
        <v>4524</v>
      </c>
      <c r="B4520">
        <v>0.995954080203443</v>
      </c>
      <c r="C4520">
        <v>0.72175527109195203</v>
      </c>
      <c r="D4520">
        <v>0.470679618296729</v>
      </c>
      <c r="E4520">
        <v>0.31248990581109598</v>
      </c>
      <c r="F4520">
        <v>0.18609360219933499</v>
      </c>
      <c r="G4520">
        <v>0.10555018142718101</v>
      </c>
      <c r="H4520">
        <v>8.3407409198746396E-2</v>
      </c>
      <c r="I4520">
        <v>7.2190046203374894E-2</v>
      </c>
      <c r="J4520">
        <v>7.9204706536842501E-2</v>
      </c>
      <c r="K4520">
        <v>7.8951067579875606E-2</v>
      </c>
      <c r="L4520">
        <v>717.850647230302</v>
      </c>
      <c r="M4520">
        <v>15.7196299910887</v>
      </c>
      <c r="N4520">
        <v>46.1439447164013</v>
      </c>
      <c r="O4520">
        <v>44.945985083465501</v>
      </c>
      <c r="P4520">
        <v>-8.0872509340562407E-2</v>
      </c>
      <c r="Q4520">
        <v>7.5145930479151801E-2</v>
      </c>
      <c r="R4520">
        <v>0.98607416009837801</v>
      </c>
      <c r="S4520" t="s">
        <v>11326</v>
      </c>
      <c r="T4520" t="s">
        <v>13610</v>
      </c>
      <c r="U4520" t="s">
        <v>13610</v>
      </c>
      <c r="V4520" t="s">
        <v>13610</v>
      </c>
      <c r="W4520" t="s">
        <v>18069</v>
      </c>
      <c r="X4520">
        <v>4</v>
      </c>
      <c r="Y4520" t="s">
        <v>24651</v>
      </c>
      <c r="Z4520" t="s">
        <v>31375</v>
      </c>
      <c r="AA4520">
        <v>0.2749805524456389</v>
      </c>
      <c r="AB4520" t="str">
        <f>HYPERLINK("Melting_Curves/meltCurve_Q8N5C7_DTWD1.pdf", "Melting_Curves/meltCurve_Q8N5C7_DTWD1.pdf")</f>
        <v>Melting_Curves/meltCurve_Q8N5C7_DTWD1.pdf</v>
      </c>
    </row>
    <row r="4521" spans="1:28" x14ac:dyDescent="0.25">
      <c r="A4521" t="s">
        <v>4525</v>
      </c>
      <c r="B4521">
        <v>0.995954080203443</v>
      </c>
      <c r="C4521">
        <v>0.97375183101802099</v>
      </c>
      <c r="D4521">
        <v>1.1339648730891101</v>
      </c>
      <c r="E4521">
        <v>0.914305321033968</v>
      </c>
      <c r="F4521">
        <v>0.90517458948116103</v>
      </c>
      <c r="G4521">
        <v>0.663971392824385</v>
      </c>
      <c r="H4521">
        <v>0.56746190190079504</v>
      </c>
      <c r="I4521">
        <v>0.56736019028778195</v>
      </c>
      <c r="J4521">
        <v>0.66169214245208696</v>
      </c>
      <c r="K4521">
        <v>0.60483276854114898</v>
      </c>
      <c r="L4521">
        <v>1912.9482130296501</v>
      </c>
      <c r="M4521">
        <v>35.158689034940103</v>
      </c>
      <c r="O4521">
        <v>54.233848027258603</v>
      </c>
      <c r="P4521">
        <v>-6.5157959530010703E-2</v>
      </c>
      <c r="Q4521">
        <v>0.59796508102248602</v>
      </c>
      <c r="R4521">
        <v>0.92143623578338696</v>
      </c>
      <c r="S4521" t="s">
        <v>11327</v>
      </c>
      <c r="T4521" t="s">
        <v>13610</v>
      </c>
      <c r="U4521" t="s">
        <v>13610</v>
      </c>
      <c r="V4521" t="s">
        <v>13610</v>
      </c>
      <c r="W4521" t="s">
        <v>18070</v>
      </c>
      <c r="X4521">
        <v>7</v>
      </c>
      <c r="Y4521" t="s">
        <v>24652</v>
      </c>
      <c r="Z4521" t="s">
        <v>31376</v>
      </c>
      <c r="AA4521">
        <v>0.79301020439446013</v>
      </c>
      <c r="AB4521" t="str">
        <f>HYPERLINK("Melting_Curves/meltCurve_Q8N5C8_2_TAB3.pdf", "Melting_Curves/meltCurve_Q8N5C8_2_TAB3.pdf")</f>
        <v>Melting_Curves/meltCurve_Q8N5C8_2_TAB3.pdf</v>
      </c>
    </row>
    <row r="4522" spans="1:28" x14ac:dyDescent="0.25">
      <c r="A4522" t="s">
        <v>4526</v>
      </c>
      <c r="B4522">
        <v>0.995954080203443</v>
      </c>
      <c r="C4522">
        <v>0.73971627921680705</v>
      </c>
      <c r="D4522">
        <v>0.47893419985228097</v>
      </c>
      <c r="E4522">
        <v>0.363000388180099</v>
      </c>
      <c r="F4522">
        <v>0.16915848516757601</v>
      </c>
      <c r="G4522">
        <v>7.93369677319362E-2</v>
      </c>
      <c r="H4522">
        <v>5.58313485881482E-2</v>
      </c>
      <c r="I4522">
        <v>4.6565844747380597E-2</v>
      </c>
      <c r="J4522">
        <v>6.3010148344825906E-2</v>
      </c>
      <c r="K4522">
        <v>3.9706911638024901E-2</v>
      </c>
      <c r="L4522">
        <v>658.89529745506195</v>
      </c>
      <c r="M4522">
        <v>14.225852483389501</v>
      </c>
      <c r="N4522">
        <v>46.561789747667497</v>
      </c>
      <c r="O4522">
        <v>45.4303462846486</v>
      </c>
      <c r="P4522">
        <v>-7.5469884238850801E-2</v>
      </c>
      <c r="Q4522">
        <v>3.6065695116226301E-2</v>
      </c>
      <c r="R4522">
        <v>0.98145575848167299</v>
      </c>
      <c r="S4522" t="s">
        <v>11328</v>
      </c>
      <c r="T4522" t="s">
        <v>13610</v>
      </c>
      <c r="U4522" t="s">
        <v>13610</v>
      </c>
      <c r="V4522" t="s">
        <v>13610</v>
      </c>
      <c r="W4522" t="s">
        <v>18071</v>
      </c>
      <c r="X4522">
        <v>5</v>
      </c>
      <c r="Y4522" t="s">
        <v>24653</v>
      </c>
      <c r="Z4522" t="s">
        <v>31377</v>
      </c>
      <c r="AA4522">
        <v>0.26966352677865613</v>
      </c>
      <c r="AB4522" t="str">
        <f>HYPERLINK("Melting_Curves/meltCurve_Q8N5D0_4_WDTC1.pdf", "Melting_Curves/meltCurve_Q8N5D0_4_WDTC1.pdf")</f>
        <v>Melting_Curves/meltCurve_Q8N5D0_4_WDTC1.pdf</v>
      </c>
    </row>
    <row r="4523" spans="1:28" x14ac:dyDescent="0.25">
      <c r="A4523" t="s">
        <v>4527</v>
      </c>
      <c r="B4523">
        <v>0.995954080203443</v>
      </c>
      <c r="C4523">
        <v>0.959353799823218</v>
      </c>
      <c r="D4523">
        <v>1.09969351914072</v>
      </c>
      <c r="E4523">
        <v>0.98146711329612202</v>
      </c>
      <c r="F4523">
        <v>0.93841256824156505</v>
      </c>
      <c r="G4523">
        <v>0.66477038932322197</v>
      </c>
      <c r="H4523">
        <v>0.66082901943767203</v>
      </c>
      <c r="I4523">
        <v>0.83296862372540303</v>
      </c>
      <c r="J4523">
        <v>0.98435175184898704</v>
      </c>
      <c r="K4523">
        <v>1.0223453600433201</v>
      </c>
      <c r="L4523">
        <v>13278.4567484401</v>
      </c>
      <c r="M4523">
        <v>250</v>
      </c>
      <c r="O4523">
        <v>53.110432786600697</v>
      </c>
      <c r="P4523">
        <v>-0.196462087457135</v>
      </c>
      <c r="Q4523">
        <v>0.83305303117301899</v>
      </c>
      <c r="R4523">
        <v>0.349801224312207</v>
      </c>
      <c r="S4523" t="s">
        <v>11329</v>
      </c>
      <c r="T4523" t="s">
        <v>13610</v>
      </c>
      <c r="U4523" t="s">
        <v>13610</v>
      </c>
      <c r="V4523" t="s">
        <v>13610</v>
      </c>
      <c r="W4523" t="s">
        <v>18072</v>
      </c>
      <c r="X4523">
        <v>10</v>
      </c>
      <c r="Y4523" t="s">
        <v>24654</v>
      </c>
      <c r="Z4523" t="s">
        <v>31378</v>
      </c>
      <c r="AA4523">
        <v>0.90604571516870236</v>
      </c>
      <c r="AB4523" t="str">
        <f>HYPERLINK("Melting_Curves/meltCurve_Q8N5F7_NKAP.pdf", "Melting_Curves/meltCurve_Q8N5F7_NKAP.pdf")</f>
        <v>Melting_Curves/meltCurve_Q8N5F7_NKAP.pdf</v>
      </c>
    </row>
    <row r="4524" spans="1:28" x14ac:dyDescent="0.25">
      <c r="A4524" t="s">
        <v>4528</v>
      </c>
      <c r="B4524">
        <v>0.995954080203443</v>
      </c>
      <c r="C4524">
        <v>0.96973891329908501</v>
      </c>
      <c r="D4524">
        <v>1.15400829235297</v>
      </c>
      <c r="E4524">
        <v>0.87420487761306798</v>
      </c>
      <c r="F4524">
        <v>0.954763357245064</v>
      </c>
      <c r="G4524">
        <v>0.814119151198616</v>
      </c>
      <c r="H4524">
        <v>0.732444272755716</v>
      </c>
      <c r="I4524">
        <v>0.87701625172881703</v>
      </c>
      <c r="J4524">
        <v>0.95939785977543801</v>
      </c>
      <c r="K4524">
        <v>1.0580560849851399</v>
      </c>
      <c r="L4524">
        <v>12029.999688084399</v>
      </c>
      <c r="M4524">
        <v>250</v>
      </c>
      <c r="O4524">
        <v>48.116919184948799</v>
      </c>
      <c r="P4524">
        <v>-0.13545937975981701</v>
      </c>
      <c r="Q4524">
        <v>0.89571379121439798</v>
      </c>
      <c r="R4524">
        <v>0.29554694338992998</v>
      </c>
      <c r="S4524" t="s">
        <v>11330</v>
      </c>
      <c r="T4524" t="s">
        <v>13610</v>
      </c>
      <c r="U4524" t="s">
        <v>13610</v>
      </c>
      <c r="V4524" t="s">
        <v>13610</v>
      </c>
      <c r="W4524" t="s">
        <v>18073</v>
      </c>
      <c r="X4524">
        <v>13</v>
      </c>
      <c r="Y4524" t="s">
        <v>24655</v>
      </c>
      <c r="Z4524" t="s">
        <v>31379</v>
      </c>
      <c r="AA4524">
        <v>0.9239493943431436</v>
      </c>
      <c r="AB4524" t="str">
        <f>HYPERLINK("Melting_Curves/meltCurve_Q8N5G2_TMEM57.pdf", "Melting_Curves/meltCurve_Q8N5G2_TMEM57.pdf")</f>
        <v>Melting_Curves/meltCurve_Q8N5G2_TMEM57.pdf</v>
      </c>
    </row>
    <row r="4525" spans="1:28" x14ac:dyDescent="0.25">
      <c r="A4525" t="s">
        <v>4529</v>
      </c>
      <c r="B4525">
        <v>0.995954080203443</v>
      </c>
      <c r="C4525">
        <v>0.99032360342317105</v>
      </c>
      <c r="D4525">
        <v>0.97481633452315897</v>
      </c>
      <c r="E4525">
        <v>0.89591552890578097</v>
      </c>
      <c r="F4525">
        <v>0.78607270153355002</v>
      </c>
      <c r="G4525">
        <v>0.62074591207681995</v>
      </c>
      <c r="H4525">
        <v>0.57633524211712295</v>
      </c>
      <c r="I4525">
        <v>0.67678039277732205</v>
      </c>
      <c r="J4525">
        <v>0.83109468270392695</v>
      </c>
      <c r="K4525">
        <v>0.83100117804573803</v>
      </c>
      <c r="L4525">
        <v>1936.66633071712</v>
      </c>
      <c r="M4525">
        <v>38.056700501902597</v>
      </c>
      <c r="O4525">
        <v>50.749079574597097</v>
      </c>
      <c r="P4525">
        <v>-5.4390191971906497E-2</v>
      </c>
      <c r="Q4525">
        <v>0.70988083315901995</v>
      </c>
      <c r="R4525">
        <v>0.72281094066805596</v>
      </c>
      <c r="S4525" t="s">
        <v>11331</v>
      </c>
      <c r="T4525" t="s">
        <v>13610</v>
      </c>
      <c r="U4525" t="s">
        <v>13610</v>
      </c>
      <c r="V4525" t="s">
        <v>13610</v>
      </c>
      <c r="W4525" t="s">
        <v>18074</v>
      </c>
      <c r="X4525">
        <v>5</v>
      </c>
      <c r="Y4525" t="s">
        <v>24656</v>
      </c>
      <c r="Z4525" t="s">
        <v>31380</v>
      </c>
      <c r="AA4525">
        <v>0.81631235429186622</v>
      </c>
      <c r="AB4525" t="str">
        <f>HYPERLINK("Melting_Curves/meltCurve_Q8N5I9_C12orf45.pdf", "Melting_Curves/meltCurve_Q8N5I9_C12orf45.pdf")</f>
        <v>Melting_Curves/meltCurve_Q8N5I9_C12orf45.pdf</v>
      </c>
    </row>
    <row r="4526" spans="1:28" x14ac:dyDescent="0.25">
      <c r="A4526" t="s">
        <v>4530</v>
      </c>
      <c r="B4526">
        <v>0.995954080203443</v>
      </c>
      <c r="C4526">
        <v>0.84044185274127903</v>
      </c>
      <c r="D4526">
        <v>0.571430174947404</v>
      </c>
      <c r="E4526">
        <v>0.71257353353712605</v>
      </c>
      <c r="F4526">
        <v>0.24946960971356999</v>
      </c>
      <c r="G4526">
        <v>6.0325216441252903E-2</v>
      </c>
      <c r="H4526">
        <v>2.23776448473192E-2</v>
      </c>
      <c r="I4526">
        <v>2.0370486108176801E-2</v>
      </c>
      <c r="J4526">
        <v>1.9260401633692401E-2</v>
      </c>
      <c r="K4526">
        <v>2.5181160038621499E-2</v>
      </c>
      <c r="L4526">
        <v>649.14766599395796</v>
      </c>
      <c r="M4526">
        <v>13.114231958267499</v>
      </c>
      <c r="N4526">
        <v>49.499480174884802</v>
      </c>
      <c r="O4526">
        <v>48.390941156080601</v>
      </c>
      <c r="P4526">
        <v>-6.7763050907466496E-2</v>
      </c>
      <c r="Q4526">
        <v>0</v>
      </c>
      <c r="R4526">
        <v>0.92425597590277797</v>
      </c>
      <c r="S4526" t="s">
        <v>11332</v>
      </c>
      <c r="T4526" t="s">
        <v>13610</v>
      </c>
      <c r="U4526" t="s">
        <v>13610</v>
      </c>
      <c r="V4526" t="s">
        <v>13610</v>
      </c>
      <c r="W4526" t="s">
        <v>18075</v>
      </c>
      <c r="X4526">
        <v>3</v>
      </c>
      <c r="Y4526" t="s">
        <v>24657</v>
      </c>
      <c r="Z4526" t="s">
        <v>31381</v>
      </c>
      <c r="AA4526">
        <v>0.34740338369114032</v>
      </c>
      <c r="AB4526" t="str">
        <f>HYPERLINK("Melting_Curves/meltCurve_Q8N5K1_CISD2.pdf", "Melting_Curves/meltCurve_Q8N5K1_CISD2.pdf")</f>
        <v>Melting_Curves/meltCurve_Q8N5K1_CISD2.pdf</v>
      </c>
    </row>
    <row r="4527" spans="1:28" x14ac:dyDescent="0.25">
      <c r="A4527" t="s">
        <v>4531</v>
      </c>
      <c r="B4527">
        <v>0.995954080203443</v>
      </c>
      <c r="C4527">
        <v>0.91125333425889499</v>
      </c>
      <c r="D4527">
        <v>0.87672066824332595</v>
      </c>
      <c r="E4527">
        <v>0.79611013746213499</v>
      </c>
      <c r="F4527">
        <v>0.50916454766977903</v>
      </c>
      <c r="G4527">
        <v>0.29393833165144001</v>
      </c>
      <c r="H4527">
        <v>0.15067996216339999</v>
      </c>
      <c r="I4527">
        <v>0.108311107552417</v>
      </c>
      <c r="J4527">
        <v>0.107370644479664</v>
      </c>
      <c r="K4527">
        <v>0.10425050724806301</v>
      </c>
      <c r="L4527">
        <v>847.10017240862601</v>
      </c>
      <c r="M4527">
        <v>16.000707789945</v>
      </c>
      <c r="N4527">
        <v>53.421895442424102</v>
      </c>
      <c r="O4527">
        <v>52.135173800384003</v>
      </c>
      <c r="P4527">
        <v>-7.1590573163891696E-2</v>
      </c>
      <c r="Q4527">
        <v>6.7017326800017096E-2</v>
      </c>
      <c r="R4527">
        <v>0.99105079934817097</v>
      </c>
      <c r="S4527" t="s">
        <v>11333</v>
      </c>
      <c r="T4527" t="s">
        <v>13610</v>
      </c>
      <c r="U4527" t="s">
        <v>13610</v>
      </c>
      <c r="V4527" t="s">
        <v>13610</v>
      </c>
      <c r="W4527" t="s">
        <v>18076</v>
      </c>
      <c r="X4527">
        <v>5</v>
      </c>
      <c r="Y4527" t="s">
        <v>24658</v>
      </c>
      <c r="Z4527" t="s">
        <v>31382</v>
      </c>
      <c r="AA4527">
        <v>0.48782831916165981</v>
      </c>
      <c r="AB4527" t="str">
        <f>HYPERLINK("Melting_Curves/meltCurve_Q8N5L8_RPP25L.pdf", "Melting_Curves/meltCurve_Q8N5L8_RPP25L.pdf")</f>
        <v>Melting_Curves/meltCurve_Q8N5L8_RPP25L.pdf</v>
      </c>
    </row>
    <row r="4528" spans="1:28" x14ac:dyDescent="0.25">
      <c r="A4528" t="s">
        <v>4532</v>
      </c>
      <c r="B4528">
        <v>0.995954080203443</v>
      </c>
      <c r="C4528">
        <v>1.01298153846728</v>
      </c>
      <c r="D4528">
        <v>0.92640422162302904</v>
      </c>
      <c r="E4528">
        <v>0.884457833186992</v>
      </c>
      <c r="F4528">
        <v>0.72927254968086597</v>
      </c>
      <c r="G4528">
        <v>0.53462484515976705</v>
      </c>
      <c r="H4528">
        <v>0.312582209988016</v>
      </c>
      <c r="I4528">
        <v>0.16032504057379701</v>
      </c>
      <c r="J4528">
        <v>0.144362155511054</v>
      </c>
      <c r="K4528">
        <v>0.13813638110182</v>
      </c>
      <c r="L4528">
        <v>805.60747096428202</v>
      </c>
      <c r="M4528">
        <v>14.207209079568599</v>
      </c>
      <c r="N4528">
        <v>57.131041865734602</v>
      </c>
      <c r="O4528">
        <v>55.616173145295598</v>
      </c>
      <c r="P4528">
        <v>-6.0654147577193201E-2</v>
      </c>
      <c r="Q4528">
        <v>5.0360950621566702E-2</v>
      </c>
      <c r="R4528">
        <v>0.99501316694792397</v>
      </c>
      <c r="S4528" t="s">
        <v>11334</v>
      </c>
      <c r="T4528" t="s">
        <v>13610</v>
      </c>
      <c r="U4528" t="s">
        <v>13610</v>
      </c>
      <c r="V4528" t="s">
        <v>13610</v>
      </c>
      <c r="W4528" t="s">
        <v>18077</v>
      </c>
      <c r="X4528">
        <v>6</v>
      </c>
      <c r="Y4528" t="s">
        <v>24659</v>
      </c>
      <c r="Z4528" t="s">
        <v>31383</v>
      </c>
      <c r="AA4528">
        <v>0.59524535091014952</v>
      </c>
      <c r="AB4528" t="str">
        <f>HYPERLINK("Melting_Curves/meltCurve_Q8N5M1_ATPAF2.pdf", "Melting_Curves/meltCurve_Q8N5M1_ATPAF2.pdf")</f>
        <v>Melting_Curves/meltCurve_Q8N5M1_ATPAF2.pdf</v>
      </c>
    </row>
    <row r="4529" spans="1:28" x14ac:dyDescent="0.25">
      <c r="A4529" t="s">
        <v>4533</v>
      </c>
      <c r="B4529">
        <v>0.995954080203443</v>
      </c>
      <c r="C4529">
        <v>0.95516473319551398</v>
      </c>
      <c r="D4529">
        <v>0.85484158095076201</v>
      </c>
      <c r="E4529">
        <v>0.91397539529118399</v>
      </c>
      <c r="F4529">
        <v>0.83533023775299897</v>
      </c>
      <c r="G4529">
        <v>0.66606086642316198</v>
      </c>
      <c r="H4529">
        <v>0.61511133237964499</v>
      </c>
      <c r="I4529">
        <v>0.68575218804593496</v>
      </c>
      <c r="J4529">
        <v>0.71749679847088599</v>
      </c>
      <c r="K4529">
        <v>0.71869224079930505</v>
      </c>
      <c r="L4529">
        <v>645.36247778406698</v>
      </c>
      <c r="M4529">
        <v>12.7420995759046</v>
      </c>
      <c r="O4529">
        <v>49.449190352977197</v>
      </c>
      <c r="P4529">
        <v>-2.16362322227691E-2</v>
      </c>
      <c r="Q4529">
        <v>0.66420295850838496</v>
      </c>
      <c r="R4529">
        <v>0.82822005763340301</v>
      </c>
      <c r="S4529" t="s">
        <v>11335</v>
      </c>
      <c r="T4529" t="s">
        <v>13610</v>
      </c>
      <c r="U4529" t="s">
        <v>13610</v>
      </c>
      <c r="V4529" t="s">
        <v>13610</v>
      </c>
      <c r="W4529" t="s">
        <v>18078</v>
      </c>
      <c r="X4529">
        <v>5</v>
      </c>
      <c r="Y4529" t="s">
        <v>24660</v>
      </c>
      <c r="Z4529" t="s">
        <v>31384</v>
      </c>
      <c r="AA4529">
        <v>0.79360693726918963</v>
      </c>
      <c r="AB4529" t="str">
        <f>HYPERLINK("Melting_Curves/meltCurve_Q8N5N7_MRPL50.pdf", "Melting_Curves/meltCurve_Q8N5N7_MRPL50.pdf")</f>
        <v>Melting_Curves/meltCurve_Q8N5N7_MRPL50.pdf</v>
      </c>
    </row>
    <row r="4530" spans="1:28" x14ac:dyDescent="0.25">
      <c r="A4530" t="s">
        <v>4534</v>
      </c>
      <c r="B4530">
        <v>0.995954080203443</v>
      </c>
      <c r="C4530">
        <v>0.91674971356065904</v>
      </c>
      <c r="D4530">
        <v>1.2607189038523301</v>
      </c>
      <c r="E4530">
        <v>0.87885876508776895</v>
      </c>
      <c r="F4530">
        <v>1.1901723639305699</v>
      </c>
      <c r="G4530">
        <v>1.0612711862229101</v>
      </c>
      <c r="H4530">
        <v>1.17434878976946</v>
      </c>
      <c r="I4530">
        <v>1.64699082033957</v>
      </c>
      <c r="J4530">
        <v>1.9407240258373299</v>
      </c>
      <c r="K4530">
        <v>1.95661341083549</v>
      </c>
      <c r="L4530">
        <v>15000</v>
      </c>
      <c r="M4530">
        <v>245.276975321073</v>
      </c>
      <c r="O4530">
        <v>61.151289545490499</v>
      </c>
      <c r="P4530">
        <v>0.50137328777314905</v>
      </c>
      <c r="Q4530">
        <v>1.5</v>
      </c>
      <c r="R4530">
        <v>0.62196276562054698</v>
      </c>
      <c r="S4530" t="s">
        <v>11336</v>
      </c>
      <c r="T4530" t="s">
        <v>13610</v>
      </c>
      <c r="U4530" t="s">
        <v>13610</v>
      </c>
      <c r="V4530" t="s">
        <v>13610</v>
      </c>
      <c r="W4530" t="s">
        <v>18079</v>
      </c>
      <c r="X4530">
        <v>9</v>
      </c>
      <c r="Y4530" t="s">
        <v>24661</v>
      </c>
      <c r="Z4530" t="s">
        <v>31385</v>
      </c>
      <c r="AA4530">
        <v>1.147355033519182</v>
      </c>
      <c r="AB4530" t="str">
        <f>HYPERLINK("Melting_Curves/meltCurve_Q8N5P1_ZC3H8.pdf", "Melting_Curves/meltCurve_Q8N5P1_ZC3H8.pdf")</f>
        <v>Melting_Curves/meltCurve_Q8N5P1_ZC3H8.pdf</v>
      </c>
    </row>
    <row r="4531" spans="1:28" x14ac:dyDescent="0.25">
      <c r="A4531" t="s">
        <v>4535</v>
      </c>
      <c r="B4531">
        <v>0.995954080203443</v>
      </c>
      <c r="C4531">
        <v>0.96491688672025999</v>
      </c>
      <c r="D4531">
        <v>1.2148458689674599</v>
      </c>
      <c r="E4531">
        <v>0.87300192096164897</v>
      </c>
      <c r="F4531">
        <v>1.0214071743319699</v>
      </c>
      <c r="G4531">
        <v>0.81453871246695597</v>
      </c>
      <c r="H4531">
        <v>0.81560695926573501</v>
      </c>
      <c r="I4531">
        <v>0.96263069013032498</v>
      </c>
      <c r="J4531">
        <v>1.30627966292113</v>
      </c>
      <c r="K4531">
        <v>1.3059791136105701</v>
      </c>
      <c r="L4531">
        <v>15000</v>
      </c>
      <c r="M4531">
        <v>227.853280570397</v>
      </c>
      <c r="O4531">
        <v>65.826765642393894</v>
      </c>
      <c r="P4531">
        <v>0.267330818833446</v>
      </c>
      <c r="Q4531">
        <v>1.3089272716834499</v>
      </c>
      <c r="R4531">
        <v>0.57328169244203198</v>
      </c>
      <c r="S4531" t="s">
        <v>11337</v>
      </c>
      <c r="T4531" t="s">
        <v>13610</v>
      </c>
      <c r="U4531" t="s">
        <v>13610</v>
      </c>
      <c r="V4531" t="s">
        <v>13610</v>
      </c>
      <c r="W4531" t="s">
        <v>18080</v>
      </c>
      <c r="X4531">
        <v>2</v>
      </c>
      <c r="Y4531" t="s">
        <v>24662</v>
      </c>
      <c r="Z4531" t="s">
        <v>31386</v>
      </c>
      <c r="AA4531">
        <v>1.0428790107342401</v>
      </c>
      <c r="AB4531" t="str">
        <f>HYPERLINK("Melting_Curves/meltCurve_Q8N5S9_CAMKK1.pdf", "Melting_Curves/meltCurve_Q8N5S9_CAMKK1.pdf")</f>
        <v>Melting_Curves/meltCurve_Q8N5S9_CAMKK1.pdf</v>
      </c>
    </row>
    <row r="4532" spans="1:28" x14ac:dyDescent="0.25">
      <c r="A4532" t="s">
        <v>4536</v>
      </c>
      <c r="B4532">
        <v>0.995954080203443</v>
      </c>
      <c r="C4532">
        <v>0.858788438040202</v>
      </c>
      <c r="D4532">
        <v>0.91162330404506897</v>
      </c>
      <c r="E4532">
        <v>0.83432689481609001</v>
      </c>
      <c r="F4532">
        <v>0.80446547343045105</v>
      </c>
      <c r="G4532">
        <v>0.54077297644991895</v>
      </c>
      <c r="H4532">
        <v>0.57101868815236601</v>
      </c>
      <c r="I4532">
        <v>0.56506233245584903</v>
      </c>
      <c r="J4532">
        <v>1.3197625077830299</v>
      </c>
      <c r="K4532">
        <v>0.78270959734731305</v>
      </c>
      <c r="L4532">
        <v>783.53969159325197</v>
      </c>
      <c r="M4532">
        <v>17.539636718691298</v>
      </c>
      <c r="O4532">
        <v>44.103976472730402</v>
      </c>
      <c r="P4532">
        <v>-2.30051625057127E-2</v>
      </c>
      <c r="Q4532">
        <v>0.76862390510241596</v>
      </c>
      <c r="R4532">
        <v>9.7478633010641996E-2</v>
      </c>
      <c r="S4532" t="s">
        <v>11338</v>
      </c>
      <c r="T4532" t="s">
        <v>13610</v>
      </c>
      <c r="U4532" t="s">
        <v>13610</v>
      </c>
      <c r="V4532" t="s">
        <v>13610</v>
      </c>
      <c r="W4532" t="s">
        <v>18081</v>
      </c>
      <c r="X4532">
        <v>3</v>
      </c>
      <c r="Y4532" t="s">
        <v>24663</v>
      </c>
      <c r="Z4532" t="s">
        <v>31387</v>
      </c>
      <c r="AA4532">
        <v>0.81016009287590451</v>
      </c>
      <c r="AB4532" t="str">
        <f>HYPERLINK("Melting_Curves/meltCurve_Q8N5U6_RNF10.pdf", "Melting_Curves/meltCurve_Q8N5U6_RNF10.pdf")</f>
        <v>Melting_Curves/meltCurve_Q8N5U6_RNF10.pdf</v>
      </c>
    </row>
    <row r="4533" spans="1:28" x14ac:dyDescent="0.25">
      <c r="A4533" t="s">
        <v>4537</v>
      </c>
      <c r="B4533">
        <v>0.995954080203443</v>
      </c>
      <c r="C4533">
        <v>1.07333831207747</v>
      </c>
      <c r="D4533">
        <v>1.0951800724951799</v>
      </c>
      <c r="E4533">
        <v>0.93587826810638997</v>
      </c>
      <c r="F4533">
        <v>0.741027566191786</v>
      </c>
      <c r="G4533">
        <v>0.300526218308796</v>
      </c>
      <c r="H4533">
        <v>0.35684200187127402</v>
      </c>
      <c r="I4533">
        <v>0.44846188457432001</v>
      </c>
      <c r="J4533">
        <v>0.534102385995605</v>
      </c>
      <c r="K4533">
        <v>0.528831397649559</v>
      </c>
      <c r="L4533">
        <v>6426.7375582404502</v>
      </c>
      <c r="M4533">
        <v>121.09015356088899</v>
      </c>
      <c r="N4533">
        <v>53.974906077990902</v>
      </c>
      <c r="O4533">
        <v>53.059517743654403</v>
      </c>
      <c r="P4533">
        <v>-0.32306825032637099</v>
      </c>
      <c r="Q4533">
        <v>0.43374933054609799</v>
      </c>
      <c r="R4533">
        <v>0.92654008572555202</v>
      </c>
      <c r="S4533" t="s">
        <v>11339</v>
      </c>
      <c r="T4533" t="s">
        <v>13610</v>
      </c>
      <c r="U4533" t="s">
        <v>13610</v>
      </c>
      <c r="V4533" t="s">
        <v>13610</v>
      </c>
      <c r="W4533" t="s">
        <v>18082</v>
      </c>
      <c r="X4533">
        <v>1</v>
      </c>
      <c r="Y4533" t="s">
        <v>24664</v>
      </c>
      <c r="Z4533" t="s">
        <v>31388</v>
      </c>
      <c r="AA4533">
        <v>0.68074615512213321</v>
      </c>
      <c r="AB4533" t="str">
        <f>HYPERLINK("Melting_Curves/meltCurve_Q8N5X7_2_EIF4E3.pdf", "Melting_Curves/meltCurve_Q8N5X7_2_EIF4E3.pdf")</f>
        <v>Melting_Curves/meltCurve_Q8N5X7_2_EIF4E3.pdf</v>
      </c>
    </row>
    <row r="4534" spans="1:28" x14ac:dyDescent="0.25">
      <c r="A4534" t="s">
        <v>4538</v>
      </c>
      <c r="B4534">
        <v>0.995954080203443</v>
      </c>
      <c r="C4534">
        <v>1.0782298766193099</v>
      </c>
      <c r="D4534">
        <v>1.3302902516970101</v>
      </c>
      <c r="E4534">
        <v>1.07040687645176</v>
      </c>
      <c r="F4534">
        <v>1.1741765276590299</v>
      </c>
      <c r="G4534">
        <v>1.33515628689365</v>
      </c>
      <c r="H4534">
        <v>1.42578917264504</v>
      </c>
      <c r="I4534">
        <v>1.9233316930300299</v>
      </c>
      <c r="J4534">
        <v>1.9919694913735499</v>
      </c>
      <c r="K4534">
        <v>2.4960032421895901</v>
      </c>
      <c r="L4534">
        <v>1618.7152792264001</v>
      </c>
      <c r="M4534">
        <v>29.852567248275001</v>
      </c>
      <c r="O4534">
        <v>53.982088554197396</v>
      </c>
      <c r="P4534">
        <v>6.9126565231131101E-2</v>
      </c>
      <c r="Q4534">
        <v>1.5</v>
      </c>
      <c r="R4534">
        <v>0.29658969861519702</v>
      </c>
      <c r="S4534" t="s">
        <v>11340</v>
      </c>
      <c r="T4534" t="s">
        <v>13610</v>
      </c>
      <c r="U4534" t="s">
        <v>13610</v>
      </c>
      <c r="V4534" t="s">
        <v>13610</v>
      </c>
      <c r="W4534" t="s">
        <v>18083</v>
      </c>
      <c r="X4534">
        <v>3</v>
      </c>
      <c r="Y4534" t="s">
        <v>24665</v>
      </c>
      <c r="Z4534" t="s">
        <v>31389</v>
      </c>
      <c r="AA4534">
        <v>1.2596152382368939</v>
      </c>
      <c r="AB4534" t="str">
        <f>HYPERLINK("Melting_Curves/meltCurve_Q8N5Y2_4_MSL3.pdf", "Melting_Curves/meltCurve_Q8N5Y2_4_MSL3.pdf")</f>
        <v>Melting_Curves/meltCurve_Q8N5Y2_4_MSL3.pdf</v>
      </c>
    </row>
    <row r="4535" spans="1:28" x14ac:dyDescent="0.25">
      <c r="A4535" t="s">
        <v>4539</v>
      </c>
      <c r="B4535">
        <v>0.995954080203443</v>
      </c>
      <c r="C4535">
        <v>0.85206116161253498</v>
      </c>
      <c r="D4535">
        <v>0.81628101083279403</v>
      </c>
      <c r="E4535">
        <v>0.54067137530821596</v>
      </c>
      <c r="F4535">
        <v>0.307461098648319</v>
      </c>
      <c r="G4535">
        <v>0.21183240336367801</v>
      </c>
      <c r="H4535">
        <v>0.15657313914022999</v>
      </c>
      <c r="I4535">
        <v>0.17014336935440899</v>
      </c>
      <c r="J4535">
        <v>0.19581451773542299</v>
      </c>
      <c r="K4535">
        <v>0.109615100709486</v>
      </c>
      <c r="L4535">
        <v>792.90908017695199</v>
      </c>
      <c r="M4535">
        <v>16.114993295290098</v>
      </c>
      <c r="N4535">
        <v>50.180837217031403</v>
      </c>
      <c r="O4535">
        <v>48.464219723177997</v>
      </c>
      <c r="P4535">
        <v>-7.1934266892517404E-2</v>
      </c>
      <c r="Q4535">
        <v>0.134725703553393</v>
      </c>
      <c r="R4535">
        <v>0.98770196324712001</v>
      </c>
      <c r="S4535" t="s">
        <v>11341</v>
      </c>
      <c r="T4535" t="s">
        <v>13610</v>
      </c>
      <c r="U4535" t="s">
        <v>13610</v>
      </c>
      <c r="V4535" t="s">
        <v>13610</v>
      </c>
      <c r="W4535" t="s">
        <v>18084</v>
      </c>
      <c r="X4535">
        <v>7</v>
      </c>
      <c r="Y4535" t="s">
        <v>24666</v>
      </c>
      <c r="Z4535" t="s">
        <v>31390</v>
      </c>
      <c r="AA4535">
        <v>0.41868479841236228</v>
      </c>
      <c r="AB4535" t="str">
        <f>HYPERLINK("Melting_Curves/meltCurve_Q8N612_3_FAM160A2.pdf", "Melting_Curves/meltCurve_Q8N612_3_FAM160A2.pdf")</f>
        <v>Melting_Curves/meltCurve_Q8N612_3_FAM160A2.pdf</v>
      </c>
    </row>
    <row r="4536" spans="1:28" x14ac:dyDescent="0.25">
      <c r="A4536" t="s">
        <v>4540</v>
      </c>
      <c r="B4536">
        <v>0.995954080203443</v>
      </c>
      <c r="C4536">
        <v>0.679770536093943</v>
      </c>
      <c r="D4536">
        <v>0.37548839115219901</v>
      </c>
      <c r="E4536">
        <v>0.30969279478664902</v>
      </c>
      <c r="F4536">
        <v>0.25602496970312899</v>
      </c>
      <c r="G4536">
        <v>0.19310660237188601</v>
      </c>
      <c r="H4536">
        <v>0.14366849940145501</v>
      </c>
      <c r="I4536">
        <v>0.16345211011739</v>
      </c>
      <c r="J4536">
        <v>0.19417914734550801</v>
      </c>
      <c r="K4536">
        <v>0.18094591453391601</v>
      </c>
      <c r="L4536">
        <v>1059.62902246572</v>
      </c>
      <c r="M4536">
        <v>24.146876451982699</v>
      </c>
      <c r="N4536">
        <v>44.797063767036001</v>
      </c>
      <c r="O4536">
        <v>43.584997295367799</v>
      </c>
      <c r="P4536">
        <v>-0.111557702562826</v>
      </c>
      <c r="Q4536">
        <v>0.19456776592220901</v>
      </c>
      <c r="R4536">
        <v>0.97486407867585601</v>
      </c>
      <c r="S4536" t="s">
        <v>11342</v>
      </c>
      <c r="T4536" t="s">
        <v>13610</v>
      </c>
      <c r="U4536" t="s">
        <v>13610</v>
      </c>
      <c r="V4536" t="s">
        <v>13610</v>
      </c>
      <c r="W4536" t="s">
        <v>18085</v>
      </c>
      <c r="X4536">
        <v>9</v>
      </c>
      <c r="Y4536" t="s">
        <v>24667</v>
      </c>
      <c r="Z4536" t="s">
        <v>31391</v>
      </c>
      <c r="AA4536">
        <v>0.30906119914966002</v>
      </c>
      <c r="AB4536" t="str">
        <f>HYPERLINK("Melting_Curves/meltCurve_Q8N653_LZTR1.pdf", "Melting_Curves/meltCurve_Q8N653_LZTR1.pdf")</f>
        <v>Melting_Curves/meltCurve_Q8N653_LZTR1.pdf</v>
      </c>
    </row>
    <row r="4537" spans="1:28" x14ac:dyDescent="0.25">
      <c r="A4537" t="s">
        <v>4541</v>
      </c>
      <c r="B4537">
        <v>0.995954080203443</v>
      </c>
      <c r="C4537">
        <v>0.97787539597964301</v>
      </c>
      <c r="D4537">
        <v>1.13338981994953</v>
      </c>
      <c r="E4537">
        <v>0.942547509850302</v>
      </c>
      <c r="F4537">
        <v>1.0189503038985299</v>
      </c>
      <c r="G4537">
        <v>0.90384182235385901</v>
      </c>
      <c r="H4537">
        <v>0.83638125610624703</v>
      </c>
      <c r="I4537">
        <v>1.0540090273299201</v>
      </c>
      <c r="J4537">
        <v>1.11509856239139</v>
      </c>
      <c r="K4537">
        <v>1.2479043288451599</v>
      </c>
      <c r="L4537">
        <v>3278.4916717615902</v>
      </c>
      <c r="M4537">
        <v>48.598613167417803</v>
      </c>
      <c r="O4537">
        <v>67.346690354083705</v>
      </c>
      <c r="P4537">
        <v>5.2158689907484602E-2</v>
      </c>
      <c r="Q4537">
        <v>1.2891202498607299</v>
      </c>
      <c r="R4537">
        <v>0.54205826900503795</v>
      </c>
      <c r="S4537" t="s">
        <v>11343</v>
      </c>
      <c r="T4537" t="s">
        <v>13610</v>
      </c>
      <c r="U4537" t="s">
        <v>13610</v>
      </c>
      <c r="V4537" t="s">
        <v>13610</v>
      </c>
      <c r="W4537" t="s">
        <v>18086</v>
      </c>
      <c r="X4537">
        <v>12</v>
      </c>
      <c r="Y4537" t="s">
        <v>24668</v>
      </c>
      <c r="Z4537" t="s">
        <v>31392</v>
      </c>
      <c r="AA4537">
        <v>1.0259508751515241</v>
      </c>
      <c r="AB4537" t="str">
        <f>HYPERLINK("Melting_Curves/meltCurve_Q8N655_C10orf12.pdf", "Melting_Curves/meltCurve_Q8N655_C10orf12.pdf")</f>
        <v>Melting_Curves/meltCurve_Q8N655_C10orf12.pdf</v>
      </c>
    </row>
    <row r="4538" spans="1:28" x14ac:dyDescent="0.25">
      <c r="A4538" t="s">
        <v>4542</v>
      </c>
      <c r="B4538">
        <v>0.995954080203443</v>
      </c>
      <c r="C4538">
        <v>0.79038482859108405</v>
      </c>
      <c r="D4538">
        <v>0.54991010616063696</v>
      </c>
      <c r="E4538">
        <v>0.55732099602882601</v>
      </c>
      <c r="F4538">
        <v>0.36398662544633598</v>
      </c>
      <c r="G4538">
        <v>0.22765628199479901</v>
      </c>
      <c r="H4538">
        <v>9.7670170504815607E-2</v>
      </c>
      <c r="I4538">
        <v>7.6230219660724394E-2</v>
      </c>
      <c r="J4538">
        <v>9.0060185272665502E-2</v>
      </c>
      <c r="K4538">
        <v>7.3473572402826898E-2</v>
      </c>
      <c r="L4538">
        <v>467.44299894206802</v>
      </c>
      <c r="M4538">
        <v>9.4617616663181892</v>
      </c>
      <c r="N4538">
        <v>49.403379160964803</v>
      </c>
      <c r="O4538">
        <v>47.347477229420797</v>
      </c>
      <c r="P4538">
        <v>-4.9989172111362397E-2</v>
      </c>
      <c r="Q4538">
        <v>0</v>
      </c>
      <c r="R4538">
        <v>0.96547631955018498</v>
      </c>
      <c r="S4538" t="s">
        <v>11344</v>
      </c>
      <c r="T4538" t="s">
        <v>13610</v>
      </c>
      <c r="U4538" t="s">
        <v>13610</v>
      </c>
      <c r="V4538" t="s">
        <v>13610</v>
      </c>
      <c r="W4538" t="s">
        <v>18087</v>
      </c>
      <c r="X4538">
        <v>4</v>
      </c>
      <c r="Y4538" t="s">
        <v>24669</v>
      </c>
      <c r="Z4538" t="s">
        <v>31393</v>
      </c>
      <c r="AA4538">
        <v>0.36467462043100468</v>
      </c>
      <c r="AB4538" t="str">
        <f>HYPERLINK("Melting_Curves/meltCurve_Q8N668_COMMD1.pdf", "Melting_Curves/meltCurve_Q8N668_COMMD1.pdf")</f>
        <v>Melting_Curves/meltCurve_Q8N668_COMMD1.pdf</v>
      </c>
    </row>
    <row r="4539" spans="1:28" x14ac:dyDescent="0.25">
      <c r="A4539" t="s">
        <v>4543</v>
      </c>
      <c r="B4539">
        <v>0.995954080203443</v>
      </c>
      <c r="C4539">
        <v>0.93596494965318699</v>
      </c>
      <c r="D4539">
        <v>0.80138234770497296</v>
      </c>
      <c r="E4539">
        <v>0.86273644928659299</v>
      </c>
      <c r="F4539">
        <v>0.59621783762980396</v>
      </c>
      <c r="G4539">
        <v>0.45750112859295899</v>
      </c>
      <c r="H4539">
        <v>0.289508034084903</v>
      </c>
      <c r="I4539">
        <v>0.26409905442710402</v>
      </c>
      <c r="J4539">
        <v>0.27585304516124998</v>
      </c>
      <c r="K4539">
        <v>0.235494995526318</v>
      </c>
      <c r="L4539">
        <v>633.65033039126797</v>
      </c>
      <c r="M4539">
        <v>11.792825104936901</v>
      </c>
      <c r="N4539">
        <v>55.7286165627592</v>
      </c>
      <c r="O4539">
        <v>52.256618918338397</v>
      </c>
      <c r="P4539">
        <v>-4.6708568325098399E-2</v>
      </c>
      <c r="Q4539">
        <v>0.172309419795974</v>
      </c>
      <c r="R4539">
        <v>0.96955224899770398</v>
      </c>
      <c r="S4539" t="s">
        <v>11345</v>
      </c>
      <c r="T4539" t="s">
        <v>13610</v>
      </c>
      <c r="U4539" t="s">
        <v>13610</v>
      </c>
      <c r="V4539" t="s">
        <v>13610</v>
      </c>
      <c r="W4539" t="s">
        <v>18088</v>
      </c>
      <c r="X4539">
        <v>6</v>
      </c>
      <c r="Y4539" t="s">
        <v>24670</v>
      </c>
      <c r="Z4539" t="s">
        <v>31394</v>
      </c>
      <c r="AA4539">
        <v>0.57370507363918977</v>
      </c>
      <c r="AB4539" t="str">
        <f>HYPERLINK("Melting_Curves/meltCurve_Q8N680_ZBTB2.pdf", "Melting_Curves/meltCurve_Q8N680_ZBTB2.pdf")</f>
        <v>Melting_Curves/meltCurve_Q8N680_ZBTB2.pdf</v>
      </c>
    </row>
    <row r="4540" spans="1:28" x14ac:dyDescent="0.25">
      <c r="A4540" t="s">
        <v>4544</v>
      </c>
      <c r="B4540">
        <v>0.995954080203443</v>
      </c>
      <c r="C4540">
        <v>0.95815594910645197</v>
      </c>
      <c r="D4540">
        <v>0.977721786490789</v>
      </c>
      <c r="E4540">
        <v>0.84428421743870197</v>
      </c>
      <c r="F4540">
        <v>0.79094142977278403</v>
      </c>
      <c r="G4540">
        <v>0.56629992892894798</v>
      </c>
      <c r="H4540">
        <v>0.50666841336622304</v>
      </c>
      <c r="I4540">
        <v>0.57079369542976899</v>
      </c>
      <c r="J4540">
        <v>0.66524948568944198</v>
      </c>
      <c r="K4540">
        <v>0.551708354297751</v>
      </c>
      <c r="L4540">
        <v>1231.38952009527</v>
      </c>
      <c r="M4540">
        <v>23.679643868757601</v>
      </c>
      <c r="O4540">
        <v>51.635434993962399</v>
      </c>
      <c r="P4540">
        <v>-4.9931859537112502E-2</v>
      </c>
      <c r="Q4540">
        <v>0.56448510501631299</v>
      </c>
      <c r="R4540">
        <v>0.93185551140882805</v>
      </c>
      <c r="S4540" t="s">
        <v>11346</v>
      </c>
      <c r="T4540" t="s">
        <v>13610</v>
      </c>
      <c r="U4540" t="s">
        <v>13610</v>
      </c>
      <c r="V4540" t="s">
        <v>13610</v>
      </c>
      <c r="W4540" t="s">
        <v>18089</v>
      </c>
      <c r="X4540">
        <v>19</v>
      </c>
      <c r="Y4540" t="s">
        <v>24671</v>
      </c>
      <c r="Z4540" t="s">
        <v>31395</v>
      </c>
      <c r="AA4540">
        <v>0.74313108446639942</v>
      </c>
      <c r="AB4540" t="str">
        <f>HYPERLINK("Melting_Curves/meltCurve_Q8N684_CPSF7.pdf", "Melting_Curves/meltCurve_Q8N684_CPSF7.pdf")</f>
        <v>Melting_Curves/meltCurve_Q8N684_CPSF7.pdf</v>
      </c>
    </row>
    <row r="4541" spans="1:28" x14ac:dyDescent="0.25">
      <c r="A4541" t="s">
        <v>4545</v>
      </c>
      <c r="B4541">
        <v>0.995954080203443</v>
      </c>
      <c r="C4541">
        <v>0.97182576759167705</v>
      </c>
      <c r="D4541">
        <v>0.97354291241882196</v>
      </c>
      <c r="E4541">
        <v>0.86158720945048695</v>
      </c>
      <c r="F4541">
        <v>0.77741247440819605</v>
      </c>
      <c r="G4541">
        <v>0.54510311551831203</v>
      </c>
      <c r="H4541">
        <v>0.52187099021810801</v>
      </c>
      <c r="I4541">
        <v>0.61161114787765603</v>
      </c>
      <c r="J4541">
        <v>0.74900819111974004</v>
      </c>
      <c r="K4541">
        <v>0.70202180993560803</v>
      </c>
      <c r="L4541">
        <v>1594.17338313453</v>
      </c>
      <c r="M4541">
        <v>31.1058712811102</v>
      </c>
      <c r="O4541">
        <v>51.039498033206897</v>
      </c>
      <c r="P4541">
        <v>-5.6517846229935803E-2</v>
      </c>
      <c r="Q4541">
        <v>0.62905701106558198</v>
      </c>
      <c r="R4541">
        <v>0.83823208351582801</v>
      </c>
      <c r="S4541" t="s">
        <v>11347</v>
      </c>
      <c r="T4541" t="s">
        <v>13610</v>
      </c>
      <c r="U4541" t="s">
        <v>13610</v>
      </c>
      <c r="V4541" t="s">
        <v>13610</v>
      </c>
      <c r="W4541" t="s">
        <v>18090</v>
      </c>
      <c r="X4541">
        <v>21</v>
      </c>
      <c r="Y4541" t="s">
        <v>24672</v>
      </c>
      <c r="Z4541" t="s">
        <v>31396</v>
      </c>
      <c r="AA4541">
        <v>0.77033788445123008</v>
      </c>
      <c r="AB4541" t="str">
        <f>HYPERLINK("Melting_Curves/meltCurve_Q8N6H7_ARFGAP2.pdf", "Melting_Curves/meltCurve_Q8N6H7_ARFGAP2.pdf")</f>
        <v>Melting_Curves/meltCurve_Q8N6H7_ARFGAP2.pdf</v>
      </c>
    </row>
    <row r="4542" spans="1:28" x14ac:dyDescent="0.25">
      <c r="A4542" t="s">
        <v>4546</v>
      </c>
      <c r="B4542">
        <v>0.995954080203443</v>
      </c>
      <c r="C4542">
        <v>0.83296311545679402</v>
      </c>
      <c r="D4542">
        <v>0.97929551885442301</v>
      </c>
      <c r="E4542">
        <v>0.55838649474424296</v>
      </c>
      <c r="F4542">
        <v>0.33941422487733502</v>
      </c>
      <c r="G4542">
        <v>0.23755536407532299</v>
      </c>
      <c r="H4542">
        <v>0.194521477868454</v>
      </c>
      <c r="I4542">
        <v>0.23317497009270099</v>
      </c>
      <c r="J4542">
        <v>0.26287160437912699</v>
      </c>
      <c r="K4542">
        <v>0.26941262770753999</v>
      </c>
      <c r="L4542">
        <v>1593.84901952875</v>
      </c>
      <c r="M4542">
        <v>32.140212788170999</v>
      </c>
      <c r="N4542">
        <v>50.611474682706202</v>
      </c>
      <c r="O4542">
        <v>49.399698221293498</v>
      </c>
      <c r="P4542">
        <v>-0.123853563370402</v>
      </c>
      <c r="Q4542">
        <v>0.238549128453731</v>
      </c>
      <c r="R4542">
        <v>0.966808354215832</v>
      </c>
      <c r="S4542" t="s">
        <v>11348</v>
      </c>
      <c r="T4542" t="s">
        <v>13610</v>
      </c>
      <c r="U4542" t="s">
        <v>13610</v>
      </c>
      <c r="V4542" t="s">
        <v>13610</v>
      </c>
      <c r="W4542" t="s">
        <v>18091</v>
      </c>
      <c r="X4542">
        <v>15</v>
      </c>
      <c r="Y4542" t="s">
        <v>24673</v>
      </c>
      <c r="Z4542" t="s">
        <v>31397</v>
      </c>
      <c r="AA4542">
        <v>0.48603973429059039</v>
      </c>
      <c r="AB4542" t="str">
        <f>HYPERLINK("Melting_Curves/meltCurve_Q8N6M0_OTUD6B.pdf", "Melting_Curves/meltCurve_Q8N6M0_OTUD6B.pdf")</f>
        <v>Melting_Curves/meltCurve_Q8N6M0_OTUD6B.pdf</v>
      </c>
    </row>
    <row r="4543" spans="1:28" x14ac:dyDescent="0.25">
      <c r="A4543" t="s">
        <v>4547</v>
      </c>
      <c r="B4543">
        <v>0.995954080203443</v>
      </c>
      <c r="C4543">
        <v>0.98447198360662902</v>
      </c>
      <c r="D4543">
        <v>1.0318088085200301</v>
      </c>
      <c r="E4543">
        <v>0.99307537512664501</v>
      </c>
      <c r="F4543">
        <v>1.05328005900557</v>
      </c>
      <c r="G4543">
        <v>0.84344580734871999</v>
      </c>
      <c r="H4543">
        <v>0.84746086165410595</v>
      </c>
      <c r="I4543">
        <v>0.99955073943969097</v>
      </c>
      <c r="J4543">
        <v>1.3500242615065601</v>
      </c>
      <c r="K4543">
        <v>1.2159172203252999</v>
      </c>
      <c r="L4543">
        <v>15000</v>
      </c>
      <c r="M4543">
        <v>230.38781628340101</v>
      </c>
      <c r="O4543">
        <v>65.1027035636356</v>
      </c>
      <c r="P4543">
        <v>0.25044384822048499</v>
      </c>
      <c r="Q4543">
        <v>1.2830804489349701</v>
      </c>
      <c r="R4543">
        <v>0.71103878135802401</v>
      </c>
      <c r="S4543" t="s">
        <v>11349</v>
      </c>
      <c r="T4543" t="s">
        <v>13610</v>
      </c>
      <c r="U4543" t="s">
        <v>13610</v>
      </c>
      <c r="V4543" t="s">
        <v>13610</v>
      </c>
      <c r="W4543" t="s">
        <v>18092</v>
      </c>
      <c r="X4543">
        <v>9</v>
      </c>
      <c r="Y4543" t="s">
        <v>24674</v>
      </c>
      <c r="Z4543" t="s">
        <v>31398</v>
      </c>
      <c r="AA4543">
        <v>1.0461265808893669</v>
      </c>
      <c r="AB4543" t="str">
        <f>HYPERLINK("Melting_Curves/meltCurve_Q8N6N3_C1orf52.pdf", "Melting_Curves/meltCurve_Q8N6N3_C1orf52.pdf")</f>
        <v>Melting_Curves/meltCurve_Q8N6N3_C1orf52.pdf</v>
      </c>
    </row>
    <row r="4544" spans="1:28" x14ac:dyDescent="0.25">
      <c r="A4544" t="s">
        <v>4548</v>
      </c>
      <c r="B4544">
        <v>0.995954080203443</v>
      </c>
      <c r="C4544">
        <v>1.0221161454913601</v>
      </c>
      <c r="D4544">
        <v>0.93979188750119202</v>
      </c>
      <c r="E4544">
        <v>0.89135288747746799</v>
      </c>
      <c r="F4544">
        <v>0.64815856768874902</v>
      </c>
      <c r="G4544">
        <v>0.46881160708028302</v>
      </c>
      <c r="H4544">
        <v>0.37635384347427697</v>
      </c>
      <c r="I4544">
        <v>0.44932582507038699</v>
      </c>
      <c r="J4544">
        <v>0.317721424158592</v>
      </c>
      <c r="K4544">
        <v>0.49004719683709203</v>
      </c>
      <c r="L4544">
        <v>1513.82493546416</v>
      </c>
      <c r="M4544">
        <v>28.904095961716902</v>
      </c>
      <c r="N4544">
        <v>55.606515050573201</v>
      </c>
      <c r="O4544">
        <v>52.1252867513249</v>
      </c>
      <c r="P4544">
        <v>-8.2230126000337994E-2</v>
      </c>
      <c r="Q4544">
        <v>0.40683334841846103</v>
      </c>
      <c r="R4544">
        <v>0.96863930134521303</v>
      </c>
      <c r="S4544" t="s">
        <v>11350</v>
      </c>
      <c r="T4544" t="s">
        <v>13610</v>
      </c>
      <c r="U4544" t="s">
        <v>13610</v>
      </c>
      <c r="V4544" t="s">
        <v>13610</v>
      </c>
      <c r="W4544" t="s">
        <v>18093</v>
      </c>
      <c r="X4544">
        <v>3</v>
      </c>
      <c r="Y4544" t="s">
        <v>24675</v>
      </c>
      <c r="Z4544" t="s">
        <v>31399</v>
      </c>
      <c r="AA4544">
        <v>0.65559769711079752</v>
      </c>
      <c r="AB4544" t="str">
        <f>HYPERLINK("Melting_Curves/meltCurve_Q8N6N7_ACBD7.pdf", "Melting_Curves/meltCurve_Q8N6N7_ACBD7.pdf")</f>
        <v>Melting_Curves/meltCurve_Q8N6N7_ACBD7.pdf</v>
      </c>
    </row>
    <row r="4545" spans="1:28" x14ac:dyDescent="0.25">
      <c r="A4545" t="s">
        <v>4549</v>
      </c>
      <c r="B4545">
        <v>0.995954080203443</v>
      </c>
      <c r="C4545">
        <v>0.89720013610674398</v>
      </c>
      <c r="D4545">
        <v>0.59683682980030395</v>
      </c>
      <c r="E4545">
        <v>0.35707583692190298</v>
      </c>
      <c r="F4545">
        <v>0.180121665781214</v>
      </c>
      <c r="G4545">
        <v>0.10348472285520199</v>
      </c>
      <c r="H4545">
        <v>6.9243312989174605E-2</v>
      </c>
      <c r="I4545">
        <v>6.3158689174968904E-2</v>
      </c>
      <c r="J4545">
        <v>6.1406753820074302E-2</v>
      </c>
      <c r="K4545">
        <v>6.5759422780324997E-2</v>
      </c>
      <c r="L4545">
        <v>827.61033235470597</v>
      </c>
      <c r="M4545">
        <v>17.489439508250399</v>
      </c>
      <c r="N4545">
        <v>47.656132604155999</v>
      </c>
      <c r="O4545">
        <v>46.714911879060899</v>
      </c>
      <c r="P4545">
        <v>-8.8179043584230204E-2</v>
      </c>
      <c r="Q4545">
        <v>5.7934498306920303E-2</v>
      </c>
      <c r="R4545">
        <v>0.99532225061808499</v>
      </c>
      <c r="S4545" t="s">
        <v>11351</v>
      </c>
      <c r="T4545" t="s">
        <v>13610</v>
      </c>
      <c r="U4545" t="s">
        <v>13610</v>
      </c>
      <c r="V4545" t="s">
        <v>13610</v>
      </c>
      <c r="W4545" t="s">
        <v>18094</v>
      </c>
      <c r="X4545">
        <v>4</v>
      </c>
      <c r="Y4545" t="s">
        <v>24676</v>
      </c>
      <c r="Z4545" t="s">
        <v>31400</v>
      </c>
      <c r="AA4545">
        <v>0.30603431839901468</v>
      </c>
      <c r="AB4545" t="str">
        <f>HYPERLINK("Melting_Curves/meltCurve_Q8N6T7_2_SIRT6.pdf", "Melting_Curves/meltCurve_Q8N6T7_2_SIRT6.pdf")</f>
        <v>Melting_Curves/meltCurve_Q8N6T7_2_SIRT6.pdf</v>
      </c>
    </row>
    <row r="4546" spans="1:28" x14ac:dyDescent="0.25">
      <c r="A4546" t="s">
        <v>4550</v>
      </c>
      <c r="B4546">
        <v>0.995954080203443</v>
      </c>
      <c r="C4546">
        <v>0.74630069476426097</v>
      </c>
      <c r="D4546">
        <v>0.92326202016971903</v>
      </c>
      <c r="E4546">
        <v>0.64496648891104502</v>
      </c>
      <c r="F4546">
        <v>0.73774906968500897</v>
      </c>
      <c r="G4546">
        <v>0.47222005346171098</v>
      </c>
      <c r="H4546">
        <v>0.41234194734018398</v>
      </c>
      <c r="I4546">
        <v>0.55451970006911899</v>
      </c>
      <c r="J4546">
        <v>0.56657430605931902</v>
      </c>
      <c r="K4546">
        <v>0.56759906498108803</v>
      </c>
      <c r="L4546">
        <v>541.52695331081304</v>
      </c>
      <c r="M4546">
        <v>11.297009879637301</v>
      </c>
      <c r="O4546">
        <v>46.507054225246499</v>
      </c>
      <c r="P4546">
        <v>-3.0468495402636998E-2</v>
      </c>
      <c r="Q4546">
        <v>0.49842703425965101</v>
      </c>
      <c r="R4546">
        <v>0.73816466164734096</v>
      </c>
      <c r="S4546" t="s">
        <v>11352</v>
      </c>
      <c r="T4546" t="s">
        <v>13610</v>
      </c>
      <c r="U4546" t="s">
        <v>13610</v>
      </c>
      <c r="V4546" t="s">
        <v>13610</v>
      </c>
      <c r="W4546" t="s">
        <v>18095</v>
      </c>
      <c r="X4546">
        <v>4</v>
      </c>
      <c r="Y4546" t="s">
        <v>24677</v>
      </c>
      <c r="Z4546" t="s">
        <v>31401</v>
      </c>
      <c r="AA4546">
        <v>0.65299118148849755</v>
      </c>
      <c r="AB4546" t="str">
        <f>HYPERLINK("Melting_Curves/meltCurve_Q8N720_3_ZNF655.pdf", "Melting_Curves/meltCurve_Q8N720_3_ZNF655.pdf")</f>
        <v>Melting_Curves/meltCurve_Q8N720_3_ZNF655.pdf</v>
      </c>
    </row>
    <row r="4547" spans="1:28" x14ac:dyDescent="0.25">
      <c r="A4547" t="s">
        <v>4551</v>
      </c>
      <c r="B4547">
        <v>0.995954080203443</v>
      </c>
      <c r="C4547">
        <v>0.949241507073187</v>
      </c>
      <c r="D4547">
        <v>0.66311074313354901</v>
      </c>
      <c r="E4547">
        <v>0.46644238143058298</v>
      </c>
      <c r="F4547">
        <v>0.15808204290317401</v>
      </c>
      <c r="G4547">
        <v>7.2208414136932103E-2</v>
      </c>
      <c r="H4547">
        <v>4.0735067123503901E-2</v>
      </c>
      <c r="I4547">
        <v>2.33253099457893E-2</v>
      </c>
      <c r="J4547">
        <v>2.7300001080231201E-2</v>
      </c>
      <c r="K4547">
        <v>2.0214712861842898E-2</v>
      </c>
      <c r="L4547">
        <v>830.02988812420597</v>
      </c>
      <c r="M4547">
        <v>17.058552916884199</v>
      </c>
      <c r="N4547">
        <v>48.705238768204701</v>
      </c>
      <c r="O4547">
        <v>48.0037713288717</v>
      </c>
      <c r="P4547">
        <v>-8.8111479072138704E-2</v>
      </c>
      <c r="Q4547">
        <v>8.2567726292560907E-3</v>
      </c>
      <c r="R4547">
        <v>0.98976235528506795</v>
      </c>
      <c r="S4547" t="s">
        <v>11353</v>
      </c>
      <c r="T4547" t="s">
        <v>13610</v>
      </c>
      <c r="U4547" t="s">
        <v>13610</v>
      </c>
      <c r="V4547" t="s">
        <v>13610</v>
      </c>
      <c r="W4547" t="s">
        <v>18096</v>
      </c>
      <c r="X4547">
        <v>1</v>
      </c>
      <c r="Y4547" t="s">
        <v>24678</v>
      </c>
      <c r="Z4547" t="s">
        <v>31402</v>
      </c>
      <c r="AA4547">
        <v>0.31373841412838599</v>
      </c>
      <c r="AB4547" t="str">
        <f>HYPERLINK("Melting_Curves/meltCurve_Q8N7X4_MAGEB6.pdf", "Melting_Curves/meltCurve_Q8N7X4_MAGEB6.pdf")</f>
        <v>Melting_Curves/meltCurve_Q8N7X4_MAGEB6.pdf</v>
      </c>
    </row>
    <row r="4548" spans="1:28" x14ac:dyDescent="0.25">
      <c r="A4548" t="s">
        <v>4552</v>
      </c>
      <c r="B4548">
        <v>0.995954080203443</v>
      </c>
      <c r="C4548">
        <v>1.0572863521700799</v>
      </c>
      <c r="D4548">
        <v>1.14404998937608</v>
      </c>
      <c r="E4548">
        <v>0.93364664186836699</v>
      </c>
      <c r="F4548">
        <v>0.75504878711650802</v>
      </c>
      <c r="G4548">
        <v>0.44581649871193502</v>
      </c>
      <c r="H4548">
        <v>0.28363357889902002</v>
      </c>
      <c r="I4548">
        <v>0.25843197763223602</v>
      </c>
      <c r="J4548">
        <v>0.24097899803596101</v>
      </c>
      <c r="K4548">
        <v>0.23690597456374901</v>
      </c>
      <c r="L4548">
        <v>1428.36061895233</v>
      </c>
      <c r="M4548">
        <v>26.120252448560699</v>
      </c>
      <c r="N4548">
        <v>56.071934132536001</v>
      </c>
      <c r="O4548">
        <v>54.366524257368503</v>
      </c>
      <c r="P4548">
        <v>-9.1517719263943906E-2</v>
      </c>
      <c r="Q4548">
        <v>0.23807105536036699</v>
      </c>
      <c r="R4548">
        <v>0.97969163294559802</v>
      </c>
      <c r="S4548" t="s">
        <v>11354</v>
      </c>
      <c r="T4548" t="s">
        <v>13610</v>
      </c>
      <c r="U4548" t="s">
        <v>13610</v>
      </c>
      <c r="V4548" t="s">
        <v>13610</v>
      </c>
      <c r="W4548" t="s">
        <v>18097</v>
      </c>
      <c r="X4548">
        <v>17</v>
      </c>
      <c r="Y4548" t="s">
        <v>24679</v>
      </c>
      <c r="Z4548" t="s">
        <v>31403</v>
      </c>
      <c r="AA4548">
        <v>0.61753178679731735</v>
      </c>
      <c r="AB4548" t="str">
        <f>HYPERLINK("Melting_Curves/meltCurve_Q8N806_UBR7.pdf", "Melting_Curves/meltCurve_Q8N806_UBR7.pdf")</f>
        <v>Melting_Curves/meltCurve_Q8N806_UBR7.pdf</v>
      </c>
    </row>
    <row r="4549" spans="1:28" x14ac:dyDescent="0.25">
      <c r="A4549" t="s">
        <v>4553</v>
      </c>
      <c r="B4549">
        <v>0.995954080203443</v>
      </c>
      <c r="C4549">
        <v>1.0896616790890099</v>
      </c>
      <c r="D4549">
        <v>1.11827793035121</v>
      </c>
      <c r="E4549">
        <v>0.68262567294887999</v>
      </c>
      <c r="F4549">
        <v>0.17340353498590599</v>
      </c>
      <c r="G4549">
        <v>9.0277875400442006E-2</v>
      </c>
      <c r="H4549">
        <v>5.2020712960177101E-2</v>
      </c>
      <c r="I4549">
        <v>3.3634393046793103E-2</v>
      </c>
      <c r="J4549">
        <v>4.0369410613971E-2</v>
      </c>
      <c r="K4549">
        <v>4.0787995128301301E-2</v>
      </c>
      <c r="L4549">
        <v>2421.0235580410499</v>
      </c>
      <c r="M4549">
        <v>47.687912431676899</v>
      </c>
      <c r="N4549">
        <v>50.884164992745603</v>
      </c>
      <c r="O4549">
        <v>50.679054114405503</v>
      </c>
      <c r="P4549">
        <v>-0.22312028067713499</v>
      </c>
      <c r="Q4549">
        <v>5.1540776331049698E-2</v>
      </c>
      <c r="R4549">
        <v>0.98768658597667502</v>
      </c>
      <c r="S4549" t="s">
        <v>11355</v>
      </c>
      <c r="T4549" t="s">
        <v>13610</v>
      </c>
      <c r="U4549" t="s">
        <v>13610</v>
      </c>
      <c r="V4549" t="s">
        <v>13610</v>
      </c>
      <c r="W4549" t="s">
        <v>18098</v>
      </c>
      <c r="X4549">
        <v>1</v>
      </c>
      <c r="Y4549" t="s">
        <v>24680</v>
      </c>
      <c r="Z4549" t="s">
        <v>31404</v>
      </c>
      <c r="AA4549">
        <v>0.39431296277681538</v>
      </c>
      <c r="AB4549" t="str">
        <f>HYPERLINK("Melting_Curves/meltCurve_Q8N819_2_PPM1N.pdf", "Melting_Curves/meltCurve_Q8N819_2_PPM1N.pdf")</f>
        <v>Melting_Curves/meltCurve_Q8N819_2_PPM1N.pdf</v>
      </c>
    </row>
    <row r="4550" spans="1:28" x14ac:dyDescent="0.25">
      <c r="A4550" t="s">
        <v>4554</v>
      </c>
      <c r="B4550">
        <v>0.995954080203443</v>
      </c>
      <c r="C4550">
        <v>0.989873973295466</v>
      </c>
      <c r="D4550">
        <v>1.1313338523751699</v>
      </c>
      <c r="E4550">
        <v>0.99111064565986395</v>
      </c>
      <c r="F4550">
        <v>1.09649653449216</v>
      </c>
      <c r="G4550">
        <v>0.87389307277267902</v>
      </c>
      <c r="H4550">
        <v>0.75498976423971598</v>
      </c>
      <c r="I4550">
        <v>0.98881999881516003</v>
      </c>
      <c r="J4550">
        <v>1.2161115337046799</v>
      </c>
      <c r="K4550">
        <v>1.2096534198251301</v>
      </c>
      <c r="L4550">
        <v>15000</v>
      </c>
      <c r="M4550">
        <v>228.60435795515099</v>
      </c>
      <c r="O4550">
        <v>65.610525430244806</v>
      </c>
      <c r="P4550">
        <v>0.186222255908287</v>
      </c>
      <c r="Q4550">
        <v>1.2137866511612401</v>
      </c>
      <c r="R4550">
        <v>0.45083187641955502</v>
      </c>
      <c r="S4550" t="s">
        <v>11356</v>
      </c>
      <c r="T4550" t="s">
        <v>13610</v>
      </c>
      <c r="U4550" t="s">
        <v>13610</v>
      </c>
      <c r="V4550" t="s">
        <v>13610</v>
      </c>
      <c r="W4550" t="s">
        <v>18099</v>
      </c>
      <c r="X4550">
        <v>4</v>
      </c>
      <c r="Y4550" t="s">
        <v>24681</v>
      </c>
      <c r="Z4550" t="s">
        <v>31405</v>
      </c>
      <c r="AA4550">
        <v>1.031215141794253</v>
      </c>
      <c r="AB4550" t="str">
        <f>HYPERLINK("Melting_Curves/meltCurve_Q8N8A6_DDX51.pdf", "Melting_Curves/meltCurve_Q8N8A6_DDX51.pdf")</f>
        <v>Melting_Curves/meltCurve_Q8N8A6_DDX51.pdf</v>
      </c>
    </row>
    <row r="4551" spans="1:28" x14ac:dyDescent="0.25">
      <c r="A4551" t="s">
        <v>4555</v>
      </c>
      <c r="B4551">
        <v>0.995954080203443</v>
      </c>
      <c r="C4551">
        <v>1.0044894123241199</v>
      </c>
      <c r="D4551">
        <v>1.10885877546427</v>
      </c>
      <c r="E4551">
        <v>0.423538878428524</v>
      </c>
      <c r="F4551">
        <v>0.27856527986941099</v>
      </c>
      <c r="G4551">
        <v>0.188205675409467</v>
      </c>
      <c r="H4551">
        <v>0.134661083945876</v>
      </c>
      <c r="I4551">
        <v>0.14141732036117999</v>
      </c>
      <c r="J4551">
        <v>0.13988708821957199</v>
      </c>
      <c r="K4551">
        <v>0.121512467289093</v>
      </c>
      <c r="L4551">
        <v>3339.76001794781</v>
      </c>
      <c r="M4551">
        <v>67.550009280211697</v>
      </c>
      <c r="N4551">
        <v>49.735858771331102</v>
      </c>
      <c r="O4551">
        <v>49.398019888564903</v>
      </c>
      <c r="P4551">
        <v>-0.285504305372275</v>
      </c>
      <c r="Q4551">
        <v>0.16486505444598701</v>
      </c>
      <c r="R4551">
        <v>0.98136658319732095</v>
      </c>
      <c r="S4551" t="s">
        <v>11357</v>
      </c>
      <c r="T4551" t="s">
        <v>13610</v>
      </c>
      <c r="U4551" t="s">
        <v>13610</v>
      </c>
      <c r="V4551" t="s">
        <v>13610</v>
      </c>
      <c r="W4551" t="s">
        <v>18100</v>
      </c>
      <c r="X4551">
        <v>8</v>
      </c>
      <c r="Y4551" t="s">
        <v>24682</v>
      </c>
      <c r="Z4551" t="s">
        <v>31406</v>
      </c>
      <c r="AA4551">
        <v>0.4286856175523302</v>
      </c>
      <c r="AB4551" t="str">
        <f>HYPERLINK("Melting_Curves/meltCurve_Q8N8N7_PTGR2.pdf", "Melting_Curves/meltCurve_Q8N8N7_PTGR2.pdf")</f>
        <v>Melting_Curves/meltCurve_Q8N8N7_PTGR2.pdf</v>
      </c>
    </row>
    <row r="4552" spans="1:28" x14ac:dyDescent="0.25">
      <c r="A4552" t="s">
        <v>4556</v>
      </c>
      <c r="B4552">
        <v>0.995954080203443</v>
      </c>
      <c r="C4552">
        <v>1.1597868472253801</v>
      </c>
      <c r="D4552">
        <v>1.1074599566091301</v>
      </c>
      <c r="E4552">
        <v>1.0299154165369799</v>
      </c>
      <c r="F4552">
        <v>0.92754364772346398</v>
      </c>
      <c r="G4552">
        <v>0.42407081387555601</v>
      </c>
      <c r="H4552">
        <v>0.17033911312871899</v>
      </c>
      <c r="I4552">
        <v>0.13988769471081999</v>
      </c>
      <c r="J4552">
        <v>0.14871905436685501</v>
      </c>
      <c r="K4552">
        <v>0.16630050909292601</v>
      </c>
      <c r="L4552">
        <v>2444.5351472788502</v>
      </c>
      <c r="M4552">
        <v>43.638745884875703</v>
      </c>
      <c r="N4552">
        <v>56.477762994174903</v>
      </c>
      <c r="O4552">
        <v>55.9002982651295</v>
      </c>
      <c r="P4552">
        <v>-0.165961377002833</v>
      </c>
      <c r="Q4552">
        <v>0.149629556988712</v>
      </c>
      <c r="R4552">
        <v>0.97881194015413797</v>
      </c>
      <c r="S4552" t="s">
        <v>11358</v>
      </c>
      <c r="T4552" t="s">
        <v>13610</v>
      </c>
      <c r="U4552" t="s">
        <v>13610</v>
      </c>
      <c r="V4552" t="s">
        <v>13610</v>
      </c>
      <c r="W4552" t="s">
        <v>18101</v>
      </c>
      <c r="X4552">
        <v>6</v>
      </c>
      <c r="Y4552" t="s">
        <v>24683</v>
      </c>
      <c r="Z4552" t="s">
        <v>31407</v>
      </c>
      <c r="AA4552">
        <v>0.60641108288080914</v>
      </c>
      <c r="AB4552" t="str">
        <f>HYPERLINK("Melting_Curves/meltCurve_Q8N8R5_C2orf69.pdf", "Melting_Curves/meltCurve_Q8N8R5_C2orf69.pdf")</f>
        <v>Melting_Curves/meltCurve_Q8N8R5_C2orf69.pdf</v>
      </c>
    </row>
    <row r="4553" spans="1:28" x14ac:dyDescent="0.25">
      <c r="A4553" t="s">
        <v>4557</v>
      </c>
      <c r="B4553">
        <v>0.995954080203443</v>
      </c>
      <c r="C4553">
        <v>0.92303232687441805</v>
      </c>
      <c r="D4553">
        <v>0.69485491214570905</v>
      </c>
      <c r="E4553">
        <v>0.66195939273831905</v>
      </c>
      <c r="F4553">
        <v>0.48577940152079602</v>
      </c>
      <c r="G4553">
        <v>0.30558778727007702</v>
      </c>
      <c r="H4553">
        <v>0.25894298245305097</v>
      </c>
      <c r="I4553">
        <v>0.29785807894057298</v>
      </c>
      <c r="J4553">
        <v>0.24074675230526599</v>
      </c>
      <c r="K4553">
        <v>0.175031274742485</v>
      </c>
      <c r="L4553">
        <v>554.56405625360401</v>
      </c>
      <c r="M4553">
        <v>11.0176789673346</v>
      </c>
      <c r="N4553">
        <v>52.347342284673303</v>
      </c>
      <c r="O4553">
        <v>48.761111344234102</v>
      </c>
      <c r="P4553">
        <v>-4.6747900022075801E-2</v>
      </c>
      <c r="Q4553">
        <v>0.172705805461664</v>
      </c>
      <c r="R4553">
        <v>0.97370598887272597</v>
      </c>
      <c r="S4553" t="s">
        <v>11359</v>
      </c>
      <c r="T4553" t="s">
        <v>13610</v>
      </c>
      <c r="U4553" t="s">
        <v>13610</v>
      </c>
      <c r="V4553" t="s">
        <v>13610</v>
      </c>
      <c r="W4553" t="s">
        <v>18102</v>
      </c>
      <c r="X4553">
        <v>3</v>
      </c>
      <c r="Y4553" t="s">
        <v>24684</v>
      </c>
      <c r="Z4553" t="s">
        <v>31408</v>
      </c>
      <c r="AA4553">
        <v>0.48952952962305452</v>
      </c>
      <c r="AB4553" t="str">
        <f>HYPERLINK("Melting_Curves/meltCurve_Q8N8R7_ARL14EP.pdf", "Melting_Curves/meltCurve_Q8N8R7_ARL14EP.pdf")</f>
        <v>Melting_Curves/meltCurve_Q8N8R7_ARL14EP.pdf</v>
      </c>
    </row>
    <row r="4554" spans="1:28" x14ac:dyDescent="0.25">
      <c r="A4554" t="s">
        <v>4558</v>
      </c>
      <c r="B4554">
        <v>0.995954080203443</v>
      </c>
      <c r="C4554">
        <v>0.98841796653665803</v>
      </c>
      <c r="D4554">
        <v>0.99963148959259895</v>
      </c>
      <c r="E4554">
        <v>0.92436810195051999</v>
      </c>
      <c r="F4554">
        <v>0.78587833199046397</v>
      </c>
      <c r="G4554">
        <v>0.61543310598354495</v>
      </c>
      <c r="H4554">
        <v>0.52251987481880302</v>
      </c>
      <c r="I4554">
        <v>0.54452359348343304</v>
      </c>
      <c r="J4554">
        <v>0.61894625590046404</v>
      </c>
      <c r="K4554">
        <v>0.55056593083398497</v>
      </c>
      <c r="L4554">
        <v>1538.4991880263201</v>
      </c>
      <c r="M4554">
        <v>29.019470455544798</v>
      </c>
      <c r="O4554">
        <v>52.766257781159197</v>
      </c>
      <c r="P4554">
        <v>-6.0820607525285099E-2</v>
      </c>
      <c r="Q4554">
        <v>0.55764155059009901</v>
      </c>
      <c r="R4554">
        <v>0.98342410282021797</v>
      </c>
      <c r="S4554" t="s">
        <v>11360</v>
      </c>
      <c r="T4554" t="s">
        <v>13610</v>
      </c>
      <c r="U4554" t="s">
        <v>13610</v>
      </c>
      <c r="V4554" t="s">
        <v>13610</v>
      </c>
      <c r="W4554" t="s">
        <v>18103</v>
      </c>
      <c r="X4554">
        <v>6</v>
      </c>
      <c r="Y4554" t="s">
        <v>24685</v>
      </c>
      <c r="Z4554" t="s">
        <v>31409</v>
      </c>
      <c r="AA4554">
        <v>0.75262937102200822</v>
      </c>
      <c r="AB4554" t="str">
        <f>HYPERLINK("Melting_Curves/meltCurve_Q8N8S7_2_ENAH.pdf", "Melting_Curves/meltCurve_Q8N8S7_2_ENAH.pdf")</f>
        <v>Melting_Curves/meltCurve_Q8N8S7_2_ENAH.pdf</v>
      </c>
    </row>
    <row r="4555" spans="1:28" x14ac:dyDescent="0.25">
      <c r="A4555" t="s">
        <v>4559</v>
      </c>
      <c r="B4555">
        <v>0.995954080203443</v>
      </c>
      <c r="C4555">
        <v>0.87658192068738505</v>
      </c>
      <c r="D4555">
        <v>1.2307937519779699</v>
      </c>
      <c r="E4555">
        <v>0.93900645951070905</v>
      </c>
      <c r="F4555">
        <v>1.21416365761319</v>
      </c>
      <c r="G4555">
        <v>0.72204887783277505</v>
      </c>
      <c r="H4555">
        <v>0.46635360191653902</v>
      </c>
      <c r="I4555">
        <v>0.49829324032182398</v>
      </c>
      <c r="J4555">
        <v>0.63561140597878696</v>
      </c>
      <c r="K4555">
        <v>0.57163321185530402</v>
      </c>
      <c r="L4555">
        <v>14224.9408087142</v>
      </c>
      <c r="M4555">
        <v>250</v>
      </c>
      <c r="O4555">
        <v>56.8961217506683</v>
      </c>
      <c r="P4555">
        <v>-0.50204117983531404</v>
      </c>
      <c r="Q4555">
        <v>0.54297286084433705</v>
      </c>
      <c r="R4555">
        <v>0.80826665509277795</v>
      </c>
      <c r="S4555" t="s">
        <v>11361</v>
      </c>
      <c r="T4555" t="s">
        <v>13610</v>
      </c>
      <c r="U4555" t="s">
        <v>13610</v>
      </c>
      <c r="V4555" t="s">
        <v>13610</v>
      </c>
      <c r="W4555" t="s">
        <v>18104</v>
      </c>
      <c r="X4555">
        <v>6</v>
      </c>
      <c r="Y4555" t="s">
        <v>24686</v>
      </c>
      <c r="Z4555" t="s">
        <v>31410</v>
      </c>
      <c r="AA4555">
        <v>0.8004735135391331</v>
      </c>
      <c r="AB4555" t="str">
        <f>HYPERLINK("Melting_Curves/meltCurve_Q8N954_GPATCH11.pdf", "Melting_Curves/meltCurve_Q8N954_GPATCH11.pdf")</f>
        <v>Melting_Curves/meltCurve_Q8N954_GPATCH11.pdf</v>
      </c>
    </row>
    <row r="4556" spans="1:28" x14ac:dyDescent="0.25">
      <c r="A4556" t="s">
        <v>4560</v>
      </c>
      <c r="B4556">
        <v>0.995954080203443</v>
      </c>
      <c r="C4556">
        <v>0.83649117030139797</v>
      </c>
      <c r="D4556">
        <v>0.69108395727211602</v>
      </c>
      <c r="E4556">
        <v>0.56411183089661698</v>
      </c>
      <c r="F4556">
        <v>0.39976417176766199</v>
      </c>
      <c r="G4556">
        <v>0.243109709679734</v>
      </c>
      <c r="H4556">
        <v>0.18349126997510501</v>
      </c>
      <c r="I4556">
        <v>0.19424986224354701</v>
      </c>
      <c r="J4556">
        <v>0.23108375214660601</v>
      </c>
      <c r="K4556">
        <v>0.22670052665496401</v>
      </c>
      <c r="L4556">
        <v>617.32118263199197</v>
      </c>
      <c r="M4556">
        <v>12.7250136135189</v>
      </c>
      <c r="N4556">
        <v>50.212072306403201</v>
      </c>
      <c r="O4556">
        <v>47.361144566491703</v>
      </c>
      <c r="P4556">
        <v>-5.5427019793073899E-2</v>
      </c>
      <c r="Q4556">
        <v>0.17498454797624799</v>
      </c>
      <c r="R4556">
        <v>0.98234642025061603</v>
      </c>
      <c r="S4556" t="s">
        <v>11362</v>
      </c>
      <c r="T4556" t="s">
        <v>13610</v>
      </c>
      <c r="U4556" t="s">
        <v>13610</v>
      </c>
      <c r="V4556" t="s">
        <v>13610</v>
      </c>
      <c r="W4556" t="s">
        <v>18105</v>
      </c>
      <c r="X4556">
        <v>8</v>
      </c>
      <c r="Y4556" t="s">
        <v>24687</v>
      </c>
      <c r="Z4556" t="s">
        <v>31411</v>
      </c>
      <c r="AA4556">
        <v>0.43726439036322579</v>
      </c>
      <c r="AB4556" t="str">
        <f>HYPERLINK("Melting_Curves/meltCurve_Q8N960_CEP120.pdf", "Melting_Curves/meltCurve_Q8N960_CEP120.pdf")</f>
        <v>Melting_Curves/meltCurve_Q8N960_CEP120.pdf</v>
      </c>
    </row>
    <row r="4557" spans="1:28" x14ac:dyDescent="0.25">
      <c r="A4557" t="s">
        <v>4561</v>
      </c>
      <c r="B4557">
        <v>0.995954080203443</v>
      </c>
      <c r="C4557">
        <v>1.03644541631792</v>
      </c>
      <c r="D4557">
        <v>0.99061393094721695</v>
      </c>
      <c r="E4557">
        <v>0.973738924083414</v>
      </c>
      <c r="F4557">
        <v>0.87900704193134205</v>
      </c>
      <c r="G4557">
        <v>0.65134962066480795</v>
      </c>
      <c r="H4557">
        <v>0.478175328405408</v>
      </c>
      <c r="I4557">
        <v>0.43062514254852002</v>
      </c>
      <c r="J4557">
        <v>0.46307989770932301</v>
      </c>
      <c r="K4557">
        <v>0.344590876033955</v>
      </c>
      <c r="L4557">
        <v>1245.6087637926501</v>
      </c>
      <c r="M4557">
        <v>22.109967767736499</v>
      </c>
      <c r="N4557">
        <v>60.4349741271865</v>
      </c>
      <c r="O4557">
        <v>55.8821876405433</v>
      </c>
      <c r="P4557">
        <v>-6.0501706659203798E-2</v>
      </c>
      <c r="Q4557">
        <v>0.388349356130962</v>
      </c>
      <c r="R4557">
        <v>0.98919391550480196</v>
      </c>
      <c r="S4557" t="s">
        <v>11363</v>
      </c>
      <c r="T4557" t="s">
        <v>13610</v>
      </c>
      <c r="U4557" t="s">
        <v>13610</v>
      </c>
      <c r="V4557" t="s">
        <v>13610</v>
      </c>
      <c r="W4557" t="s">
        <v>18106</v>
      </c>
      <c r="X4557">
        <v>1</v>
      </c>
      <c r="Y4557" t="s">
        <v>24688</v>
      </c>
      <c r="Z4557" t="s">
        <v>31412</v>
      </c>
      <c r="AA4557">
        <v>0.72818959787967208</v>
      </c>
      <c r="AB4557" t="str">
        <f>HYPERLINK("Melting_Curves/meltCurve_Q8N998_CCDC89.pdf", "Melting_Curves/meltCurve_Q8N998_CCDC89.pdf")</f>
        <v>Melting_Curves/meltCurve_Q8N998_CCDC89.pdf</v>
      </c>
    </row>
    <row r="4558" spans="1:28" x14ac:dyDescent="0.25">
      <c r="A4558" t="s">
        <v>4562</v>
      </c>
      <c r="B4558">
        <v>0.995954080203443</v>
      </c>
      <c r="C4558">
        <v>0.86623065709459801</v>
      </c>
      <c r="D4558">
        <v>0.77993663237491095</v>
      </c>
      <c r="E4558">
        <v>0.60128676471664699</v>
      </c>
      <c r="F4558">
        <v>0.40154019612478098</v>
      </c>
      <c r="G4558">
        <v>0.17321072365230999</v>
      </c>
      <c r="H4558">
        <v>9.1542215227844004E-2</v>
      </c>
      <c r="I4558">
        <v>7.2949103947045998E-2</v>
      </c>
      <c r="J4558">
        <v>7.7007551189002099E-2</v>
      </c>
      <c r="K4558">
        <v>7.6099302039899494E-2</v>
      </c>
      <c r="L4558">
        <v>656.38263023068896</v>
      </c>
      <c r="M4558">
        <v>12.915491007915101</v>
      </c>
      <c r="N4558">
        <v>50.972783821522299</v>
      </c>
      <c r="O4558">
        <v>49.6492458033362</v>
      </c>
      <c r="P4558">
        <v>-6.3821241515226598E-2</v>
      </c>
      <c r="Q4558">
        <v>1.88208699010196E-2</v>
      </c>
      <c r="R4558">
        <v>0.99242545628540002</v>
      </c>
      <c r="S4558" t="s">
        <v>11364</v>
      </c>
      <c r="T4558" t="s">
        <v>13610</v>
      </c>
      <c r="U4558" t="s">
        <v>13610</v>
      </c>
      <c r="V4558" t="s">
        <v>13610</v>
      </c>
      <c r="W4558" t="s">
        <v>18107</v>
      </c>
      <c r="X4558">
        <v>5</v>
      </c>
      <c r="Y4558" t="s">
        <v>24689</v>
      </c>
      <c r="Z4558" t="s">
        <v>31413</v>
      </c>
      <c r="AA4558">
        <v>0.40172826484742458</v>
      </c>
      <c r="AB4558" t="str">
        <f>HYPERLINK("Melting_Curves/meltCurve_Q8N999_C12orf29.pdf", "Melting_Curves/meltCurve_Q8N999_C12orf29.pdf")</f>
        <v>Melting_Curves/meltCurve_Q8N999_C12orf29.pdf</v>
      </c>
    </row>
    <row r="4559" spans="1:28" x14ac:dyDescent="0.25">
      <c r="A4559" t="s">
        <v>4563</v>
      </c>
      <c r="B4559">
        <v>0.995954080203443</v>
      </c>
      <c r="C4559">
        <v>0.83359273177766502</v>
      </c>
      <c r="D4559">
        <v>0.68752368483358695</v>
      </c>
      <c r="E4559">
        <v>0.66436972531616001</v>
      </c>
      <c r="F4559">
        <v>0.39165910360970801</v>
      </c>
      <c r="G4559">
        <v>0.25109596086873798</v>
      </c>
      <c r="H4559">
        <v>0.21656033190350901</v>
      </c>
      <c r="I4559">
        <v>0.23450291736850101</v>
      </c>
      <c r="J4559">
        <v>0.24045738473335401</v>
      </c>
      <c r="K4559">
        <v>0.24130356869706601</v>
      </c>
      <c r="L4559">
        <v>592.77972173538797</v>
      </c>
      <c r="M4559">
        <v>12.0999957550552</v>
      </c>
      <c r="N4559">
        <v>50.950199435689001</v>
      </c>
      <c r="O4559">
        <v>47.709557592119197</v>
      </c>
      <c r="P4559">
        <v>-5.1617555933930602E-2</v>
      </c>
      <c r="Q4559">
        <v>0.18609028479020201</v>
      </c>
      <c r="R4559">
        <v>0.96175833638465702</v>
      </c>
      <c r="S4559" t="s">
        <v>11365</v>
      </c>
      <c r="T4559" t="s">
        <v>13610</v>
      </c>
      <c r="U4559" t="s">
        <v>13610</v>
      </c>
      <c r="V4559" t="s">
        <v>13610</v>
      </c>
      <c r="W4559" t="s">
        <v>18108</v>
      </c>
      <c r="X4559">
        <v>3</v>
      </c>
      <c r="Y4559" t="s">
        <v>24690</v>
      </c>
      <c r="Z4559" t="s">
        <v>31414</v>
      </c>
      <c r="AA4559">
        <v>0.4594993212259369</v>
      </c>
      <c r="AB4559" t="str">
        <f>HYPERLINK("Melting_Curves/meltCurve_Q8N9B5_2_JMY.pdf", "Melting_Curves/meltCurve_Q8N9B5_2_JMY.pdf")</f>
        <v>Melting_Curves/meltCurve_Q8N9B5_2_JMY.pdf</v>
      </c>
    </row>
    <row r="4560" spans="1:28" x14ac:dyDescent="0.25">
      <c r="A4560" t="s">
        <v>4564</v>
      </c>
      <c r="B4560">
        <v>0.995954080203443</v>
      </c>
      <c r="C4560">
        <v>0.87479810135978597</v>
      </c>
      <c r="D4560">
        <v>0.96591542881995796</v>
      </c>
      <c r="E4560">
        <v>0.81113690428822405</v>
      </c>
      <c r="F4560">
        <v>0.62587800640964297</v>
      </c>
      <c r="G4560">
        <v>0.455749607023127</v>
      </c>
      <c r="H4560">
        <v>0.32780951195210301</v>
      </c>
      <c r="I4560">
        <v>0.297989066856652</v>
      </c>
      <c r="J4560">
        <v>0.42956725778030902</v>
      </c>
      <c r="K4560">
        <v>0.352385722562152</v>
      </c>
      <c r="L4560">
        <v>1043.5355713818001</v>
      </c>
      <c r="M4560">
        <v>19.991027350047101</v>
      </c>
      <c r="N4560">
        <v>55.360505465756603</v>
      </c>
      <c r="O4560">
        <v>51.686298374443403</v>
      </c>
      <c r="P4560">
        <v>-6.3792708449023294E-2</v>
      </c>
      <c r="Q4560">
        <v>0.34028399825913802</v>
      </c>
      <c r="R4560">
        <v>0.96177491282990601</v>
      </c>
      <c r="S4560" t="s">
        <v>11366</v>
      </c>
      <c r="T4560" t="s">
        <v>13610</v>
      </c>
      <c r="U4560" t="s">
        <v>13610</v>
      </c>
      <c r="V4560" t="s">
        <v>13610</v>
      </c>
      <c r="W4560" t="s">
        <v>18109</v>
      </c>
      <c r="X4560">
        <v>1</v>
      </c>
      <c r="Y4560" t="s">
        <v>24691</v>
      </c>
      <c r="Z4560" t="s">
        <v>31415</v>
      </c>
      <c r="AA4560">
        <v>0.61770152598739925</v>
      </c>
      <c r="AB4560" t="str">
        <f>HYPERLINK("Melting_Curves/meltCurve_Q8N9F0_NAT8L.pdf", "Melting_Curves/meltCurve_Q8N9F0_NAT8L.pdf")</f>
        <v>Melting_Curves/meltCurve_Q8N9F0_NAT8L.pdf</v>
      </c>
    </row>
    <row r="4561" spans="1:28" x14ac:dyDescent="0.25">
      <c r="A4561" t="s">
        <v>4565</v>
      </c>
      <c r="B4561">
        <v>0.995954080203443</v>
      </c>
      <c r="C4561">
        <v>0.89800462960627403</v>
      </c>
      <c r="D4561">
        <v>1.05526865743516</v>
      </c>
      <c r="E4561">
        <v>0.91113167941141704</v>
      </c>
      <c r="F4561">
        <v>1.2319703898801699</v>
      </c>
      <c r="G4561">
        <v>1.3902310443822701</v>
      </c>
      <c r="H4561">
        <v>2.5543726825350999</v>
      </c>
      <c r="I4561">
        <v>5.2939534016934902</v>
      </c>
      <c r="J4561">
        <v>5.71194080288622</v>
      </c>
      <c r="K4561">
        <v>5.7154267812865003</v>
      </c>
      <c r="L4561">
        <v>13257.657896655899</v>
      </c>
      <c r="M4561">
        <v>250</v>
      </c>
      <c r="O4561">
        <v>53.0272463276591</v>
      </c>
      <c r="P4561">
        <v>0.58931977632981103</v>
      </c>
      <c r="Q4561">
        <v>1.5</v>
      </c>
      <c r="R4561">
        <v>-0.25468908835757398</v>
      </c>
      <c r="S4561" t="s">
        <v>11367</v>
      </c>
      <c r="T4561" t="s">
        <v>13610</v>
      </c>
      <c r="U4561" t="s">
        <v>13610</v>
      </c>
      <c r="V4561" t="s">
        <v>13610</v>
      </c>
      <c r="W4561" t="s">
        <v>18110</v>
      </c>
      <c r="X4561">
        <v>1</v>
      </c>
      <c r="Y4561" t="s">
        <v>24692</v>
      </c>
      <c r="Z4561" t="s">
        <v>31416</v>
      </c>
      <c r="AA4561">
        <v>1.282776272923059</v>
      </c>
      <c r="AB4561" t="str">
        <f>HYPERLINK("Melting_Curves/meltCurve_Q8N9L1_4_ZIC4.pdf", "Melting_Curves/meltCurve_Q8N9L1_4_ZIC4.pdf")</f>
        <v>Melting_Curves/meltCurve_Q8N9L1_4_ZIC4.pdf</v>
      </c>
    </row>
    <row r="4562" spans="1:28" x14ac:dyDescent="0.25">
      <c r="A4562" t="s">
        <v>4566</v>
      </c>
      <c r="B4562">
        <v>0.995954080203443</v>
      </c>
      <c r="C4562">
        <v>0.93211987130672203</v>
      </c>
      <c r="D4562">
        <v>0.92046024466841503</v>
      </c>
      <c r="E4562">
        <v>0.68340757140106301</v>
      </c>
      <c r="F4562">
        <v>0.66889410891773404</v>
      </c>
      <c r="G4562">
        <v>0.50388658102848904</v>
      </c>
      <c r="H4562">
        <v>0.52731637323560399</v>
      </c>
      <c r="I4562">
        <v>0.66180269819488502</v>
      </c>
      <c r="J4562">
        <v>0.88540372067544804</v>
      </c>
      <c r="K4562">
        <v>0.82202597610906503</v>
      </c>
      <c r="L4562">
        <v>2300.6238257167602</v>
      </c>
      <c r="M4562">
        <v>48.986043289694699</v>
      </c>
      <c r="O4562">
        <v>46.886813661848898</v>
      </c>
      <c r="P4562">
        <v>-8.4435795935419194E-2</v>
      </c>
      <c r="Q4562">
        <v>0.67673063463313099</v>
      </c>
      <c r="R4562">
        <v>0.55680472708911999</v>
      </c>
      <c r="S4562" t="s">
        <v>11368</v>
      </c>
      <c r="T4562" t="s">
        <v>13610</v>
      </c>
      <c r="U4562" t="s">
        <v>13610</v>
      </c>
      <c r="V4562" t="s">
        <v>13610</v>
      </c>
      <c r="W4562" t="s">
        <v>18111</v>
      </c>
      <c r="X4562">
        <v>8</v>
      </c>
      <c r="Y4562" t="s">
        <v>24693</v>
      </c>
      <c r="Z4562" t="s">
        <v>31417</v>
      </c>
      <c r="AA4562">
        <v>0.7524810551971477</v>
      </c>
      <c r="AB4562" t="str">
        <f>HYPERLINK("Melting_Curves/meltCurve_Q8N9M1_C19orf47.pdf", "Melting_Curves/meltCurve_Q8N9M1_C19orf47.pdf")</f>
        <v>Melting_Curves/meltCurve_Q8N9M1_C19orf47.pdf</v>
      </c>
    </row>
    <row r="4563" spans="1:28" x14ac:dyDescent="0.25">
      <c r="A4563" t="s">
        <v>4567</v>
      </c>
      <c r="B4563">
        <v>0.995954080203443</v>
      </c>
      <c r="C4563">
        <v>0.91537858114718995</v>
      </c>
      <c r="D4563">
        <v>0.60968842875409901</v>
      </c>
      <c r="E4563">
        <v>0.43866791424971102</v>
      </c>
      <c r="F4563">
        <v>0.16727923418031099</v>
      </c>
      <c r="G4563">
        <v>0.119620046664314</v>
      </c>
      <c r="H4563">
        <v>8.6486483844320602E-2</v>
      </c>
      <c r="I4563">
        <v>6.9313718105973796E-2</v>
      </c>
      <c r="J4563">
        <v>6.8300969801391095E-2</v>
      </c>
      <c r="K4563">
        <v>6.2146114868659598E-2</v>
      </c>
      <c r="L4563">
        <v>791.25955450768799</v>
      </c>
      <c r="M4563">
        <v>16.544877984591299</v>
      </c>
      <c r="N4563">
        <v>48.176976849474698</v>
      </c>
      <c r="O4563">
        <v>47.142735243224102</v>
      </c>
      <c r="P4563">
        <v>-8.2749692230715502E-2</v>
      </c>
      <c r="Q4563">
        <v>5.6921541216129599E-2</v>
      </c>
      <c r="R4563">
        <v>0.98794591648042696</v>
      </c>
      <c r="S4563" t="s">
        <v>11369</v>
      </c>
      <c r="T4563" t="s">
        <v>13610</v>
      </c>
      <c r="U4563" t="s">
        <v>13610</v>
      </c>
      <c r="V4563" t="s">
        <v>13610</v>
      </c>
      <c r="W4563" t="s">
        <v>18112</v>
      </c>
      <c r="X4563">
        <v>2</v>
      </c>
      <c r="Y4563" t="s">
        <v>24694</v>
      </c>
      <c r="Z4563" t="s">
        <v>31418</v>
      </c>
      <c r="AA4563">
        <v>0.32296736477486832</v>
      </c>
      <c r="AB4563" t="str">
        <f>HYPERLINK("Melting_Curves/meltCurve_Q8N9M5_TMEM102.pdf", "Melting_Curves/meltCurve_Q8N9M5_TMEM102.pdf")</f>
        <v>Melting_Curves/meltCurve_Q8N9M5_TMEM102.pdf</v>
      </c>
    </row>
    <row r="4564" spans="1:28" x14ac:dyDescent="0.25">
      <c r="A4564" t="s">
        <v>4568</v>
      </c>
      <c r="B4564">
        <v>0.995954080203443</v>
      </c>
      <c r="C4564">
        <v>0.83278666176654503</v>
      </c>
      <c r="D4564">
        <v>0.560748658829193</v>
      </c>
      <c r="E4564">
        <v>0.38893964814651899</v>
      </c>
      <c r="F4564">
        <v>0.23402712392993699</v>
      </c>
      <c r="G4564">
        <v>0.13627164359084901</v>
      </c>
      <c r="H4564">
        <v>0.107796644360918</v>
      </c>
      <c r="I4564">
        <v>9.7647945555400795E-2</v>
      </c>
      <c r="J4564">
        <v>0.114631111451989</v>
      </c>
      <c r="K4564">
        <v>0.11997981241061501</v>
      </c>
      <c r="L4564">
        <v>730.48380931069505</v>
      </c>
      <c r="M4564">
        <v>15.595673869940001</v>
      </c>
      <c r="N4564">
        <v>47.513846061241999</v>
      </c>
      <c r="O4564">
        <v>46.089046215485403</v>
      </c>
      <c r="P4564">
        <v>-7.61961927121729E-2</v>
      </c>
      <c r="Q4564">
        <v>9.9364264512810205E-2</v>
      </c>
      <c r="R4564">
        <v>0.991019451434062</v>
      </c>
      <c r="S4564" t="s">
        <v>11370</v>
      </c>
      <c r="T4564" t="s">
        <v>13610</v>
      </c>
      <c r="U4564" t="s">
        <v>13610</v>
      </c>
      <c r="V4564" t="s">
        <v>13610</v>
      </c>
      <c r="W4564" t="s">
        <v>18113</v>
      </c>
      <c r="X4564">
        <v>7</v>
      </c>
      <c r="Y4564" t="s">
        <v>24695</v>
      </c>
      <c r="Z4564" t="s">
        <v>31419</v>
      </c>
      <c r="AA4564">
        <v>0.32747127466404241</v>
      </c>
      <c r="AB4564" t="str">
        <f>HYPERLINK("Melting_Curves/meltCurve_Q8N9N5_7_BANP.pdf", "Melting_Curves/meltCurve_Q8N9N5_7_BANP.pdf")</f>
        <v>Melting_Curves/meltCurve_Q8N9N5_7_BANP.pdf</v>
      </c>
    </row>
    <row r="4565" spans="1:28" x14ac:dyDescent="0.25">
      <c r="A4565" t="s">
        <v>4569</v>
      </c>
      <c r="B4565">
        <v>0.995954080203443</v>
      </c>
      <c r="C4565">
        <v>1.0517523619702001</v>
      </c>
      <c r="D4565">
        <v>1.04346878974851</v>
      </c>
      <c r="E4565">
        <v>0.93705995387401997</v>
      </c>
      <c r="F4565">
        <v>0.71526510804632204</v>
      </c>
      <c r="G4565">
        <v>0.217256727221491</v>
      </c>
      <c r="H4565">
        <v>7.5263582252057398E-2</v>
      </c>
      <c r="I4565">
        <v>6.6749080395093197E-2</v>
      </c>
      <c r="J4565">
        <v>6.05760359488276E-2</v>
      </c>
      <c r="K4565">
        <v>5.8555397149970198E-2</v>
      </c>
      <c r="L4565">
        <v>1815.50565215966</v>
      </c>
      <c r="M4565">
        <v>33.434613514605601</v>
      </c>
      <c r="N4565">
        <v>54.499072079894802</v>
      </c>
      <c r="O4565">
        <v>54.107037913759498</v>
      </c>
      <c r="P4565">
        <v>-0.14561179856074299</v>
      </c>
      <c r="Q4565">
        <v>5.7433156887677202E-2</v>
      </c>
      <c r="R4565">
        <v>0.99737993849037698</v>
      </c>
      <c r="S4565" t="s">
        <v>11371</v>
      </c>
      <c r="T4565" t="s">
        <v>13610</v>
      </c>
      <c r="U4565" t="s">
        <v>13610</v>
      </c>
      <c r="V4565" t="s">
        <v>13610</v>
      </c>
      <c r="W4565" t="s">
        <v>18114</v>
      </c>
      <c r="X4565">
        <v>7</v>
      </c>
      <c r="Y4565" t="s">
        <v>24696</v>
      </c>
      <c r="Z4565" t="s">
        <v>31420</v>
      </c>
      <c r="AA4565">
        <v>0.51176297653000091</v>
      </c>
      <c r="AB4565" t="str">
        <f>HYPERLINK("Melting_Curves/meltCurve_Q8N9N7_LRRC57.pdf", "Melting_Curves/meltCurve_Q8N9N7_LRRC57.pdf")</f>
        <v>Melting_Curves/meltCurve_Q8N9N7_LRRC57.pdf</v>
      </c>
    </row>
    <row r="4566" spans="1:28" x14ac:dyDescent="0.25">
      <c r="A4566" t="s">
        <v>4570</v>
      </c>
      <c r="B4566">
        <v>0.995954080203443</v>
      </c>
      <c r="C4566">
        <v>0.99762167662267298</v>
      </c>
      <c r="D4566">
        <v>0.95759710928070596</v>
      </c>
      <c r="E4566">
        <v>0.84617791724812597</v>
      </c>
      <c r="F4566">
        <v>0.70569641972675201</v>
      </c>
      <c r="G4566">
        <v>0.45692681789614897</v>
      </c>
      <c r="H4566">
        <v>0.38347458028473602</v>
      </c>
      <c r="I4566">
        <v>0.42006158679527</v>
      </c>
      <c r="J4566">
        <v>0.52183684800630004</v>
      </c>
      <c r="K4566">
        <v>0.50209884795183801</v>
      </c>
      <c r="L4566">
        <v>1445.9517160067401</v>
      </c>
      <c r="M4566">
        <v>27.722715147574</v>
      </c>
      <c r="N4566">
        <v>56.837684349824798</v>
      </c>
      <c r="O4566">
        <v>51.888523955556501</v>
      </c>
      <c r="P4566">
        <v>-7.3597563326205595E-2</v>
      </c>
      <c r="Q4566">
        <v>0.44899556188148099</v>
      </c>
      <c r="R4566">
        <v>0.96582859194904302</v>
      </c>
      <c r="S4566" t="s">
        <v>11372</v>
      </c>
      <c r="T4566" t="s">
        <v>13610</v>
      </c>
      <c r="U4566" t="s">
        <v>13610</v>
      </c>
      <c r="V4566" t="s">
        <v>13610</v>
      </c>
      <c r="W4566" t="s">
        <v>18115</v>
      </c>
      <c r="X4566">
        <v>9</v>
      </c>
      <c r="Y4566" t="s">
        <v>24697</v>
      </c>
      <c r="Z4566" t="s">
        <v>31421</v>
      </c>
      <c r="AA4566">
        <v>0.67641561862107058</v>
      </c>
      <c r="AB4566" t="str">
        <f>HYPERLINK("Melting_Curves/meltCurve_Q8N9N8_EIF1AD.pdf", "Melting_Curves/meltCurve_Q8N9N8_EIF1AD.pdf")</f>
        <v>Melting_Curves/meltCurve_Q8N9N8_EIF1AD.pdf</v>
      </c>
    </row>
    <row r="4567" spans="1:28" x14ac:dyDescent="0.25">
      <c r="A4567" t="s">
        <v>4571</v>
      </c>
      <c r="B4567">
        <v>0.995954080203443</v>
      </c>
      <c r="C4567">
        <v>0.74169402082367897</v>
      </c>
      <c r="D4567">
        <v>1.0740907831995701</v>
      </c>
      <c r="E4567">
        <v>0.74602889252281301</v>
      </c>
      <c r="F4567">
        <v>1.0601198744413001</v>
      </c>
      <c r="G4567">
        <v>0.65336492196154605</v>
      </c>
      <c r="H4567">
        <v>0.75868670025949503</v>
      </c>
      <c r="I4567">
        <v>0.73975871429409501</v>
      </c>
      <c r="J4567">
        <v>1.30167115880225</v>
      </c>
      <c r="K4567">
        <v>1.0268618594944501</v>
      </c>
      <c r="L4567">
        <v>10126.506660762399</v>
      </c>
      <c r="M4567">
        <v>250</v>
      </c>
      <c r="O4567">
        <v>40.503437616055699</v>
      </c>
      <c r="P4567">
        <v>-0.15391748399043201</v>
      </c>
      <c r="Q4567">
        <v>0.90025301234444399</v>
      </c>
      <c r="R4567">
        <v>2.0769767355784501E-2</v>
      </c>
      <c r="S4567" t="s">
        <v>11373</v>
      </c>
      <c r="T4567" t="s">
        <v>13610</v>
      </c>
      <c r="U4567" t="s">
        <v>13610</v>
      </c>
      <c r="V4567" t="s">
        <v>13610</v>
      </c>
      <c r="W4567" t="s">
        <v>18116</v>
      </c>
      <c r="X4567">
        <v>1</v>
      </c>
      <c r="Y4567" t="s">
        <v>24698</v>
      </c>
      <c r="Z4567" t="s">
        <v>31422</v>
      </c>
      <c r="AA4567">
        <v>0.90196419022363583</v>
      </c>
      <c r="AB4567" t="str">
        <f>HYPERLINK("Melting_Curves/meltCurve_Q8N9Q2_SREK1IP1.pdf", "Melting_Curves/meltCurve_Q8N9Q2_SREK1IP1.pdf")</f>
        <v>Melting_Curves/meltCurve_Q8N9Q2_SREK1IP1.pdf</v>
      </c>
    </row>
    <row r="4568" spans="1:28" x14ac:dyDescent="0.25">
      <c r="A4568" t="s">
        <v>4572</v>
      </c>
      <c r="B4568">
        <v>0.995954080203443</v>
      </c>
      <c r="C4568">
        <v>0.96244685310437805</v>
      </c>
      <c r="D4568">
        <v>0.81952817671995604</v>
      </c>
      <c r="E4568">
        <v>0.60973086028747403</v>
      </c>
      <c r="F4568">
        <v>0.23690784070354801</v>
      </c>
      <c r="G4568">
        <v>0.15493164993401901</v>
      </c>
      <c r="H4568">
        <v>0.102051493866345</v>
      </c>
      <c r="I4568">
        <v>9.9407573333582397E-2</v>
      </c>
      <c r="J4568">
        <v>0.100696873168156</v>
      </c>
      <c r="K4568">
        <v>9.7708274002168596E-2</v>
      </c>
      <c r="L4568">
        <v>1045.07904365539</v>
      </c>
      <c r="M4568">
        <v>20.914186317900601</v>
      </c>
      <c r="N4568">
        <v>50.429166072824799</v>
      </c>
      <c r="O4568">
        <v>49.519740308492601</v>
      </c>
      <c r="P4568">
        <v>-9.64313853328813E-2</v>
      </c>
      <c r="Q4568">
        <v>8.67200219145072E-2</v>
      </c>
      <c r="R4568">
        <v>0.99132316594896197</v>
      </c>
      <c r="S4568" t="s">
        <v>11374</v>
      </c>
      <c r="T4568" t="s">
        <v>13610</v>
      </c>
      <c r="U4568" t="s">
        <v>13610</v>
      </c>
      <c r="V4568" t="s">
        <v>13610</v>
      </c>
      <c r="W4568" t="s">
        <v>18117</v>
      </c>
      <c r="X4568">
        <v>8</v>
      </c>
      <c r="Y4568" t="s">
        <v>24699</v>
      </c>
      <c r="Z4568" t="s">
        <v>31423</v>
      </c>
      <c r="AA4568">
        <v>0.40187733734613668</v>
      </c>
      <c r="AB4568" t="str">
        <f>HYPERLINK("Melting_Curves/meltCurve_Q8N9R8_SCAI.pdf", "Melting_Curves/meltCurve_Q8N9R8_SCAI.pdf")</f>
        <v>Melting_Curves/meltCurve_Q8N9R8_SCAI.pdf</v>
      </c>
    </row>
    <row r="4569" spans="1:28" x14ac:dyDescent="0.25">
      <c r="A4569" t="s">
        <v>4573</v>
      </c>
      <c r="B4569">
        <v>0.995954080203443</v>
      </c>
      <c r="C4569">
        <v>1.0070281951986899</v>
      </c>
      <c r="D4569">
        <v>0.95863943623181103</v>
      </c>
      <c r="E4569">
        <v>0.84032855255584804</v>
      </c>
      <c r="F4569">
        <v>0.71014737231164504</v>
      </c>
      <c r="G4569">
        <v>0.42751577110446298</v>
      </c>
      <c r="H4569">
        <v>0.230137656708475</v>
      </c>
      <c r="I4569">
        <v>0.12985687915924801</v>
      </c>
      <c r="J4569">
        <v>0.107984508616692</v>
      </c>
      <c r="K4569">
        <v>8.5019893108608094E-2</v>
      </c>
      <c r="L4569">
        <v>876.98078557012195</v>
      </c>
      <c r="M4569">
        <v>15.784083948130499</v>
      </c>
      <c r="N4569">
        <v>55.867370550859803</v>
      </c>
      <c r="O4569">
        <v>54.6921979486279</v>
      </c>
      <c r="P4569">
        <v>-6.9164841797289794E-2</v>
      </c>
      <c r="Q4569">
        <v>4.1448742562180597E-2</v>
      </c>
      <c r="R4569">
        <v>0.99907138355093605</v>
      </c>
      <c r="S4569" t="s">
        <v>11375</v>
      </c>
      <c r="T4569" t="s">
        <v>13610</v>
      </c>
      <c r="U4569" t="s">
        <v>13610</v>
      </c>
      <c r="V4569" t="s">
        <v>13610</v>
      </c>
      <c r="W4569" t="s">
        <v>18118</v>
      </c>
      <c r="X4569">
        <v>12</v>
      </c>
      <c r="Y4569" t="s">
        <v>24700</v>
      </c>
      <c r="Z4569" t="s">
        <v>31424</v>
      </c>
      <c r="AA4569">
        <v>0.55547360655012068</v>
      </c>
      <c r="AB4569" t="str">
        <f>HYPERLINK("Melting_Curves/meltCurve_Q8N9V3_WDSUB1.pdf", "Melting_Curves/meltCurve_Q8N9V3_WDSUB1.pdf")</f>
        <v>Melting_Curves/meltCurve_Q8N9V3_WDSUB1.pdf</v>
      </c>
    </row>
    <row r="4570" spans="1:28" x14ac:dyDescent="0.25">
      <c r="A4570" t="s">
        <v>4574</v>
      </c>
      <c r="B4570">
        <v>0.995954080203443</v>
      </c>
      <c r="C4570">
        <v>0.85553438146661698</v>
      </c>
      <c r="D4570">
        <v>1.3669963039175299</v>
      </c>
      <c r="E4570">
        <v>1.06022232578313</v>
      </c>
      <c r="F4570">
        <v>1.6112029677311099</v>
      </c>
      <c r="G4570">
        <v>1.6193395893189599</v>
      </c>
      <c r="H4570">
        <v>1.70595210758159</v>
      </c>
      <c r="I4570">
        <v>2.27254149040846</v>
      </c>
      <c r="J4570">
        <v>1.88430810051713</v>
      </c>
      <c r="K4570">
        <v>2.6807854975149401</v>
      </c>
      <c r="L4570">
        <v>1122.7054122944301</v>
      </c>
      <c r="M4570">
        <v>23.3113104049072</v>
      </c>
      <c r="O4570">
        <v>47.811185724114999</v>
      </c>
      <c r="P4570">
        <v>6.0947361848398302E-2</v>
      </c>
      <c r="Q4570">
        <v>1.5</v>
      </c>
      <c r="R4570">
        <v>0.19274673463650799</v>
      </c>
      <c r="S4570" t="s">
        <v>11376</v>
      </c>
      <c r="T4570" t="s">
        <v>13610</v>
      </c>
      <c r="U4570" t="s">
        <v>13610</v>
      </c>
      <c r="V4570" t="s">
        <v>13610</v>
      </c>
      <c r="W4570" t="s">
        <v>18119</v>
      </c>
      <c r="X4570">
        <v>1</v>
      </c>
      <c r="Y4570" t="s">
        <v>24701</v>
      </c>
      <c r="Z4570" t="s">
        <v>31425</v>
      </c>
      <c r="AA4570">
        <v>1.358853768578794</v>
      </c>
      <c r="AB4570" t="str">
        <f>HYPERLINK("Melting_Curves/meltCurve_Q8N9Z2_CCDC71L.pdf", "Melting_Curves/meltCurve_Q8N9Z2_CCDC71L.pdf")</f>
        <v>Melting_Curves/meltCurve_Q8N9Z2_CCDC71L.pdf</v>
      </c>
    </row>
    <row r="4571" spans="1:28" x14ac:dyDescent="0.25">
      <c r="A4571" t="s">
        <v>4575</v>
      </c>
      <c r="B4571">
        <v>0.995954080203443</v>
      </c>
      <c r="C4571">
        <v>0.84936496021146102</v>
      </c>
      <c r="D4571">
        <v>0.81955686226765501</v>
      </c>
      <c r="E4571">
        <v>0.72026421190053302</v>
      </c>
      <c r="F4571">
        <v>0.63998296851179204</v>
      </c>
      <c r="G4571">
        <v>0.43136700755372698</v>
      </c>
      <c r="H4571">
        <v>0.21314639841903699</v>
      </c>
      <c r="I4571">
        <v>0.37354656585179402</v>
      </c>
      <c r="J4571">
        <v>0.42785955138588899</v>
      </c>
      <c r="K4571">
        <v>0.39869131474164399</v>
      </c>
      <c r="L4571">
        <v>610.19553676169005</v>
      </c>
      <c r="M4571">
        <v>12.0816153752394</v>
      </c>
      <c r="N4571">
        <v>55.171353273901801</v>
      </c>
      <c r="O4571">
        <v>49.182120389661897</v>
      </c>
      <c r="P4571">
        <v>-4.1770863071374002E-2</v>
      </c>
      <c r="Q4571">
        <v>0.31999235853642599</v>
      </c>
      <c r="R4571">
        <v>0.90188457620629703</v>
      </c>
      <c r="S4571" t="s">
        <v>11377</v>
      </c>
      <c r="T4571" t="s">
        <v>13610</v>
      </c>
      <c r="U4571" t="s">
        <v>13610</v>
      </c>
      <c r="V4571" t="s">
        <v>13610</v>
      </c>
      <c r="W4571" t="s">
        <v>18120</v>
      </c>
      <c r="X4571">
        <v>8</v>
      </c>
      <c r="Y4571" t="s">
        <v>24702</v>
      </c>
      <c r="Z4571" t="s">
        <v>31426</v>
      </c>
      <c r="AA4571">
        <v>0.58074862995904253</v>
      </c>
      <c r="AB4571" t="str">
        <f>HYPERLINK("Melting_Curves/meltCurve_Q8NAF0_ZNF579.pdf", "Melting_Curves/meltCurve_Q8NAF0_ZNF579.pdf")</f>
        <v>Melting_Curves/meltCurve_Q8NAF0_ZNF579.pdf</v>
      </c>
    </row>
    <row r="4572" spans="1:28" x14ac:dyDescent="0.25">
      <c r="A4572" t="s">
        <v>4576</v>
      </c>
      <c r="B4572">
        <v>0.995954080203443</v>
      </c>
      <c r="C4572">
        <v>0.97121522661351101</v>
      </c>
      <c r="D4572">
        <v>0.96494523060149195</v>
      </c>
      <c r="E4572">
        <v>0.94380815349203095</v>
      </c>
      <c r="F4572">
        <v>0.90565763637032004</v>
      </c>
      <c r="G4572">
        <v>0.693858848579192</v>
      </c>
      <c r="H4572">
        <v>0.63081659576302795</v>
      </c>
      <c r="I4572">
        <v>0.749573030088171</v>
      </c>
      <c r="J4572">
        <v>0.85120385605731397</v>
      </c>
      <c r="K4572">
        <v>0.83243016700991501</v>
      </c>
      <c r="L4572">
        <v>6061.8090347233701</v>
      </c>
      <c r="M4572">
        <v>113.88799973004301</v>
      </c>
      <c r="O4572">
        <v>53.209644270042901</v>
      </c>
      <c r="P4572">
        <v>-0.132932323550387</v>
      </c>
      <c r="Q4572">
        <v>0.75157058967363499</v>
      </c>
      <c r="R4572">
        <v>0.72448581701717696</v>
      </c>
      <c r="S4572" t="s">
        <v>11378</v>
      </c>
      <c r="T4572" t="s">
        <v>13610</v>
      </c>
      <c r="U4572" t="s">
        <v>13610</v>
      </c>
      <c r="V4572" t="s">
        <v>13610</v>
      </c>
      <c r="W4572" t="s">
        <v>18121</v>
      </c>
      <c r="X4572">
        <v>4</v>
      </c>
      <c r="Y4572" t="s">
        <v>24703</v>
      </c>
      <c r="Z4572" t="s">
        <v>31427</v>
      </c>
      <c r="AA4572">
        <v>0.86120721421715951</v>
      </c>
      <c r="AB4572" t="str">
        <f>HYPERLINK("Melting_Curves/meltCurve_Q8NAP3_ZBTB38.pdf", "Melting_Curves/meltCurve_Q8NAP3_ZBTB38.pdf")</f>
        <v>Melting_Curves/meltCurve_Q8NAP3_ZBTB38.pdf</v>
      </c>
    </row>
    <row r="4573" spans="1:28" x14ac:dyDescent="0.25">
      <c r="A4573" t="s">
        <v>4577</v>
      </c>
      <c r="B4573">
        <v>0.995954080203443</v>
      </c>
      <c r="C4573">
        <v>1.1347088233818301</v>
      </c>
      <c r="D4573">
        <v>1.03603006690585</v>
      </c>
      <c r="E4573">
        <v>0.78390495412110905</v>
      </c>
      <c r="F4573">
        <v>0.202964127724655</v>
      </c>
      <c r="G4573">
        <v>8.6955216203332394E-2</v>
      </c>
      <c r="H4573">
        <v>4.6475830954462602E-2</v>
      </c>
      <c r="I4573">
        <v>3.1210530354203798E-2</v>
      </c>
      <c r="J4573">
        <v>3.2421723878517002E-2</v>
      </c>
      <c r="K4573">
        <v>2.6615392181157799E-2</v>
      </c>
      <c r="L4573">
        <v>2493.1390692975901</v>
      </c>
      <c r="M4573">
        <v>48.626956577061698</v>
      </c>
      <c r="N4573">
        <v>51.365154362187397</v>
      </c>
      <c r="O4573">
        <v>51.184232480798798</v>
      </c>
      <c r="P4573">
        <v>-0.227353708983213</v>
      </c>
      <c r="Q4573">
        <v>4.27602423623865E-2</v>
      </c>
      <c r="R4573">
        <v>0.98971672212776296</v>
      </c>
      <c r="S4573" t="s">
        <v>11379</v>
      </c>
      <c r="T4573" t="s">
        <v>13610</v>
      </c>
      <c r="U4573" t="s">
        <v>13610</v>
      </c>
      <c r="V4573" t="s">
        <v>13610</v>
      </c>
      <c r="W4573" t="s">
        <v>18122</v>
      </c>
      <c r="X4573">
        <v>1</v>
      </c>
      <c r="Y4573" t="s">
        <v>24704</v>
      </c>
      <c r="Z4573" t="s">
        <v>31428</v>
      </c>
      <c r="AA4573">
        <v>0.40467574483852042</v>
      </c>
      <c r="AB4573" t="str">
        <f>HYPERLINK("Melting_Curves/meltCurve_Q8NAT2_TDRD5.pdf", "Melting_Curves/meltCurve_Q8NAT2_TDRD5.pdf")</f>
        <v>Melting_Curves/meltCurve_Q8NAT2_TDRD5.pdf</v>
      </c>
    </row>
    <row r="4574" spans="1:28" x14ac:dyDescent="0.25">
      <c r="A4574" t="s">
        <v>4578</v>
      </c>
      <c r="B4574">
        <v>0.995954080203443</v>
      </c>
      <c r="C4574">
        <v>0.68432842607620303</v>
      </c>
      <c r="D4574">
        <v>0.26884279688829499</v>
      </c>
      <c r="E4574">
        <v>0.20302800180720601</v>
      </c>
      <c r="F4574">
        <v>0.107440818067565</v>
      </c>
      <c r="G4574">
        <v>5.9548399004189699E-2</v>
      </c>
      <c r="H4574">
        <v>3.9367218521903502E-2</v>
      </c>
      <c r="I4574">
        <v>2.66764019231421E-2</v>
      </c>
      <c r="J4574">
        <v>3.10498265355258E-2</v>
      </c>
      <c r="K4574">
        <v>2.7434056213859401E-2</v>
      </c>
      <c r="L4574">
        <v>1122.1020196731599</v>
      </c>
      <c r="M4574">
        <v>25.427932541405699</v>
      </c>
      <c r="N4574">
        <v>44.3409965895436</v>
      </c>
      <c r="O4574">
        <v>43.858507035180601</v>
      </c>
      <c r="P4574">
        <v>-0.136637894441929</v>
      </c>
      <c r="Q4574">
        <v>5.7311044896537003E-2</v>
      </c>
      <c r="R4574">
        <v>0.98065304219925897</v>
      </c>
      <c r="S4574" t="s">
        <v>11380</v>
      </c>
      <c r="T4574" t="s">
        <v>13610</v>
      </c>
      <c r="U4574" t="s">
        <v>13610</v>
      </c>
      <c r="V4574" t="s">
        <v>13610</v>
      </c>
      <c r="W4574" t="s">
        <v>18123</v>
      </c>
      <c r="X4574">
        <v>3</v>
      </c>
      <c r="Y4574" t="s">
        <v>24705</v>
      </c>
      <c r="Z4574" t="s">
        <v>31429</v>
      </c>
      <c r="AA4574">
        <v>0.19717747321566489</v>
      </c>
      <c r="AB4574" t="str">
        <f>HYPERLINK("Melting_Curves/meltCurve_Q8NAV1_PRPF38A.pdf", "Melting_Curves/meltCurve_Q8NAV1_PRPF38A.pdf")</f>
        <v>Melting_Curves/meltCurve_Q8NAV1_PRPF38A.pdf</v>
      </c>
    </row>
    <row r="4575" spans="1:28" x14ac:dyDescent="0.25">
      <c r="A4575" t="s">
        <v>4579</v>
      </c>
      <c r="B4575">
        <v>0.995954080203443</v>
      </c>
      <c r="C4575">
        <v>0.857455918159714</v>
      </c>
      <c r="D4575">
        <v>0.82057014335299405</v>
      </c>
      <c r="E4575">
        <v>0.61481538773661004</v>
      </c>
      <c r="F4575">
        <v>0.43673138903499797</v>
      </c>
      <c r="G4575">
        <v>0.33119181466749098</v>
      </c>
      <c r="H4575">
        <v>0.27967065341741099</v>
      </c>
      <c r="I4575">
        <v>0.32503278849346701</v>
      </c>
      <c r="J4575">
        <v>0.399293267461169</v>
      </c>
      <c r="K4575">
        <v>0.35016407703840902</v>
      </c>
      <c r="L4575">
        <v>802.91047893877101</v>
      </c>
      <c r="M4575">
        <v>16.565822810678402</v>
      </c>
      <c r="N4575">
        <v>51.661080204211899</v>
      </c>
      <c r="O4575">
        <v>47.778149754570002</v>
      </c>
      <c r="P4575">
        <v>-5.8911439046623097E-2</v>
      </c>
      <c r="Q4575">
        <v>0.32041153311874498</v>
      </c>
      <c r="R4575">
        <v>0.96908687170492702</v>
      </c>
      <c r="S4575" t="s">
        <v>11381</v>
      </c>
      <c r="T4575" t="s">
        <v>13610</v>
      </c>
      <c r="U4575" t="s">
        <v>13610</v>
      </c>
      <c r="V4575" t="s">
        <v>13610</v>
      </c>
      <c r="W4575" t="s">
        <v>18124</v>
      </c>
      <c r="X4575">
        <v>5</v>
      </c>
      <c r="Y4575" t="s">
        <v>24706</v>
      </c>
      <c r="Z4575" t="s">
        <v>31430</v>
      </c>
      <c r="AA4575">
        <v>0.52631921448573205</v>
      </c>
      <c r="AB4575" t="str">
        <f>HYPERLINK("Melting_Curves/meltCurve_Q8NB15_2_ZNF511.pdf", "Melting_Curves/meltCurve_Q8NB15_2_ZNF511.pdf")</f>
        <v>Melting_Curves/meltCurve_Q8NB15_2_ZNF511.pdf</v>
      </c>
    </row>
    <row r="4576" spans="1:28" x14ac:dyDescent="0.25">
      <c r="A4576" t="s">
        <v>4580</v>
      </c>
      <c r="B4576">
        <v>0.995954080203443</v>
      </c>
      <c r="C4576">
        <v>1.01298862417242</v>
      </c>
      <c r="D4576">
        <v>0.91101384427618004</v>
      </c>
      <c r="E4576">
        <v>0.48642959845231898</v>
      </c>
      <c r="F4576">
        <v>0.269823734855687</v>
      </c>
      <c r="G4576">
        <v>0.14617202704455701</v>
      </c>
      <c r="H4576">
        <v>0.115539894716526</v>
      </c>
      <c r="I4576">
        <v>9.77304267958332E-2</v>
      </c>
      <c r="J4576">
        <v>0.14047935645452</v>
      </c>
      <c r="K4576">
        <v>9.7454919865263001E-2</v>
      </c>
      <c r="L4576">
        <v>1319.4938471615601</v>
      </c>
      <c r="M4576">
        <v>26.627993696900099</v>
      </c>
      <c r="N4576">
        <v>50.040986120956298</v>
      </c>
      <c r="O4576">
        <v>49.275940946528202</v>
      </c>
      <c r="P4576">
        <v>-0.11964585613767401</v>
      </c>
      <c r="Q4576">
        <v>0.114375628598486</v>
      </c>
      <c r="R4576">
        <v>0.99783622316772302</v>
      </c>
      <c r="S4576" t="s">
        <v>11382</v>
      </c>
      <c r="T4576" t="s">
        <v>13610</v>
      </c>
      <c r="U4576" t="s">
        <v>13610</v>
      </c>
      <c r="V4576" t="s">
        <v>13610</v>
      </c>
      <c r="W4576" t="s">
        <v>18125</v>
      </c>
      <c r="X4576">
        <v>6</v>
      </c>
      <c r="Y4576" t="s">
        <v>24707</v>
      </c>
      <c r="Z4576" t="s">
        <v>31431</v>
      </c>
      <c r="AA4576">
        <v>0.40331710455239722</v>
      </c>
      <c r="AB4576" t="str">
        <f>HYPERLINK("Melting_Curves/meltCurve_Q8NB16_MLKL.pdf", "Melting_Curves/meltCurve_Q8NB16_MLKL.pdf")</f>
        <v>Melting_Curves/meltCurve_Q8NB16_MLKL.pdf</v>
      </c>
    </row>
    <row r="4577" spans="1:28" x14ac:dyDescent="0.25">
      <c r="A4577" t="s">
        <v>4581</v>
      </c>
      <c r="B4577">
        <v>0.995954080203443</v>
      </c>
      <c r="C4577">
        <v>0.88073866969783698</v>
      </c>
      <c r="D4577">
        <v>0.71456957862058801</v>
      </c>
      <c r="E4577">
        <v>0.71696384746721797</v>
      </c>
      <c r="F4577">
        <v>0.51909421290658497</v>
      </c>
      <c r="G4577">
        <v>0.30302457496734397</v>
      </c>
      <c r="H4577">
        <v>0.17159906595825</v>
      </c>
      <c r="I4577">
        <v>0.15488416042401201</v>
      </c>
      <c r="J4577">
        <v>0.16833565255432301</v>
      </c>
      <c r="K4577">
        <v>0.14586732033811201</v>
      </c>
      <c r="L4577">
        <v>526.49527284250098</v>
      </c>
      <c r="M4577">
        <v>10.078927116473301</v>
      </c>
      <c r="N4577">
        <v>52.7491609788094</v>
      </c>
      <c r="O4577">
        <v>50.305884232333803</v>
      </c>
      <c r="P4577">
        <v>-4.77769624638609E-2</v>
      </c>
      <c r="Q4577">
        <v>4.6593562417350201E-2</v>
      </c>
      <c r="R4577">
        <v>0.97412625321750101</v>
      </c>
      <c r="S4577" t="s">
        <v>11383</v>
      </c>
      <c r="T4577" t="s">
        <v>13610</v>
      </c>
      <c r="U4577" t="s">
        <v>13610</v>
      </c>
      <c r="V4577" t="s">
        <v>13610</v>
      </c>
      <c r="W4577" t="s">
        <v>18126</v>
      </c>
      <c r="X4577">
        <v>6</v>
      </c>
      <c r="Y4577" t="s">
        <v>24708</v>
      </c>
      <c r="Z4577" t="s">
        <v>31432</v>
      </c>
      <c r="AA4577">
        <v>0.47056893949683998</v>
      </c>
      <c r="AB4577" t="str">
        <f>HYPERLINK("Melting_Curves/meltCurve_Q8NB37_3_PDDC1.pdf", "Melting_Curves/meltCurve_Q8NB37_3_PDDC1.pdf")</f>
        <v>Melting_Curves/meltCurve_Q8NB37_3_PDDC1.pdf</v>
      </c>
    </row>
    <row r="4578" spans="1:28" x14ac:dyDescent="0.25">
      <c r="A4578" t="s">
        <v>4582</v>
      </c>
      <c r="B4578">
        <v>0.995954080203443</v>
      </c>
      <c r="C4578">
        <v>0.78243131836528701</v>
      </c>
      <c r="D4578">
        <v>0.70268479677022799</v>
      </c>
      <c r="E4578">
        <v>1.09849286293049</v>
      </c>
      <c r="F4578">
        <v>0.71371435257990101</v>
      </c>
      <c r="G4578">
        <v>0.47095509941102598</v>
      </c>
      <c r="H4578">
        <v>0.197077979526223</v>
      </c>
      <c r="I4578">
        <v>0.101236312162337</v>
      </c>
      <c r="J4578">
        <v>5.1605312016872601E-2</v>
      </c>
      <c r="K4578">
        <v>5.57489027512134E-2</v>
      </c>
      <c r="L4578">
        <v>1098.0410197772601</v>
      </c>
      <c r="M4578">
        <v>19.487046423663401</v>
      </c>
      <c r="N4578">
        <v>56.464055954466197</v>
      </c>
      <c r="O4578">
        <v>55.763912853739903</v>
      </c>
      <c r="P4578">
        <v>-8.5640897753359299E-2</v>
      </c>
      <c r="Q4578">
        <v>1.9759236543523601E-2</v>
      </c>
      <c r="R4578">
        <v>0.88498972755215799</v>
      </c>
      <c r="S4578" t="s">
        <v>11384</v>
      </c>
      <c r="T4578" t="s">
        <v>13610</v>
      </c>
      <c r="U4578" t="s">
        <v>13610</v>
      </c>
      <c r="V4578" t="s">
        <v>13610</v>
      </c>
      <c r="W4578" t="s">
        <v>18127</v>
      </c>
      <c r="X4578">
        <v>2</v>
      </c>
      <c r="Y4578" t="s">
        <v>24709</v>
      </c>
      <c r="Z4578" t="s">
        <v>31433</v>
      </c>
      <c r="AA4578">
        <v>0.56675579381489538</v>
      </c>
      <c r="AB4578" t="str">
        <f>HYPERLINK("Melting_Curves/meltCurve_Q8NB42_2_ZNF527.pdf", "Melting_Curves/meltCurve_Q8NB42_2_ZNF527.pdf")</f>
        <v>Melting_Curves/meltCurve_Q8NB42_2_ZNF527.pdf</v>
      </c>
    </row>
    <row r="4579" spans="1:28" x14ac:dyDescent="0.25">
      <c r="A4579" t="s">
        <v>4583</v>
      </c>
      <c r="B4579">
        <v>0.995954080203443</v>
      </c>
      <c r="C4579">
        <v>0.73481393056511901</v>
      </c>
      <c r="D4579">
        <v>0.66712091637039606</v>
      </c>
      <c r="E4579">
        <v>0.41323930164635297</v>
      </c>
      <c r="F4579">
        <v>0.29834676048726799</v>
      </c>
      <c r="G4579">
        <v>0.21166047041963201</v>
      </c>
      <c r="H4579">
        <v>0.18799719076430199</v>
      </c>
      <c r="I4579">
        <v>0.151557667856524</v>
      </c>
      <c r="J4579">
        <v>0.12516115840063999</v>
      </c>
      <c r="K4579">
        <v>0.121339676534246</v>
      </c>
      <c r="L4579">
        <v>590.11985149999703</v>
      </c>
      <c r="M4579">
        <v>12.4575238961443</v>
      </c>
      <c r="N4579">
        <v>48.386030404949501</v>
      </c>
      <c r="O4579">
        <v>46.1995725151003</v>
      </c>
      <c r="P4579">
        <v>-5.9669497055580799E-2</v>
      </c>
      <c r="Q4579">
        <v>0.115031009055681</v>
      </c>
      <c r="R4579">
        <v>0.98442430000050596</v>
      </c>
      <c r="S4579" t="s">
        <v>11385</v>
      </c>
      <c r="T4579" t="s">
        <v>13610</v>
      </c>
      <c r="U4579" t="s">
        <v>13610</v>
      </c>
      <c r="V4579" t="s">
        <v>13610</v>
      </c>
      <c r="W4579" t="s">
        <v>18128</v>
      </c>
      <c r="X4579">
        <v>5</v>
      </c>
      <c r="Y4579" t="s">
        <v>24710</v>
      </c>
      <c r="Z4579" t="s">
        <v>31434</v>
      </c>
      <c r="AA4579">
        <v>0.36622015809491881</v>
      </c>
      <c r="AB4579" t="str">
        <f>HYPERLINK("Melting_Curves/meltCurve_Q8NB46_ANKRD52.pdf", "Melting_Curves/meltCurve_Q8NB46_ANKRD52.pdf")</f>
        <v>Melting_Curves/meltCurve_Q8NB46_ANKRD52.pdf</v>
      </c>
    </row>
    <row r="4580" spans="1:28" x14ac:dyDescent="0.25">
      <c r="A4580" t="s">
        <v>4584</v>
      </c>
      <c r="B4580">
        <v>0.995954080203443</v>
      </c>
      <c r="C4580">
        <v>0.95974237437439902</v>
      </c>
      <c r="D4580">
        <v>0.85278435204642</v>
      </c>
      <c r="E4580">
        <v>0.64765766092791899</v>
      </c>
      <c r="F4580">
        <v>0.40433136830397798</v>
      </c>
      <c r="G4580">
        <v>0.21861415353775199</v>
      </c>
      <c r="H4580">
        <v>8.3667998604548405E-2</v>
      </c>
      <c r="I4580">
        <v>6.84325162802428E-2</v>
      </c>
      <c r="J4580">
        <v>7.3496575478165294E-2</v>
      </c>
      <c r="K4580">
        <v>7.1107816121166803E-2</v>
      </c>
      <c r="L4580">
        <v>821.58987535108599</v>
      </c>
      <c r="M4580">
        <v>15.966037874655999</v>
      </c>
      <c r="N4580">
        <v>51.725816741056903</v>
      </c>
      <c r="O4580">
        <v>50.671649459999401</v>
      </c>
      <c r="P4580">
        <v>-7.5659773872241001E-2</v>
      </c>
      <c r="Q4580">
        <v>3.95861560828112E-2</v>
      </c>
      <c r="R4580">
        <v>0.998264505751008</v>
      </c>
      <c r="S4580" t="s">
        <v>11386</v>
      </c>
      <c r="T4580" t="s">
        <v>13610</v>
      </c>
      <c r="U4580" t="s">
        <v>13610</v>
      </c>
      <c r="V4580" t="s">
        <v>13610</v>
      </c>
      <c r="W4580" t="s">
        <v>18129</v>
      </c>
      <c r="X4580">
        <v>11</v>
      </c>
      <c r="Y4580" t="s">
        <v>24711</v>
      </c>
      <c r="Z4580" t="s">
        <v>31435</v>
      </c>
      <c r="AA4580">
        <v>0.42617428018341108</v>
      </c>
      <c r="AB4580" t="str">
        <f>HYPERLINK("Melting_Curves/meltCurve_Q8NB78_KDM1B.pdf", "Melting_Curves/meltCurve_Q8NB78_KDM1B.pdf")</f>
        <v>Melting_Curves/meltCurve_Q8NB78_KDM1B.pdf</v>
      </c>
    </row>
    <row r="4581" spans="1:28" x14ac:dyDescent="0.25">
      <c r="A4581" t="s">
        <v>4585</v>
      </c>
      <c r="B4581">
        <v>0.995954080203443</v>
      </c>
      <c r="C4581">
        <v>0.59297151791575498</v>
      </c>
      <c r="D4581">
        <v>0.39267493916638002</v>
      </c>
      <c r="E4581">
        <v>0.50945887179804805</v>
      </c>
      <c r="F4581">
        <v>0.21883846045911601</v>
      </c>
      <c r="G4581">
        <v>0.106477446493122</v>
      </c>
      <c r="H4581">
        <v>6.5560890094985905E-2</v>
      </c>
      <c r="I4581">
        <v>6.4970168732377001E-2</v>
      </c>
      <c r="J4581">
        <v>7.8256928606902601E-2</v>
      </c>
      <c r="K4581">
        <v>7.0940613123139401E-2</v>
      </c>
      <c r="L4581">
        <v>486.527987938781</v>
      </c>
      <c r="M4581">
        <v>10.5616000190014</v>
      </c>
      <c r="N4581">
        <v>46.353082401706601</v>
      </c>
      <c r="O4581">
        <v>44.5062374834244</v>
      </c>
      <c r="P4581">
        <v>-5.7469404083949897E-2</v>
      </c>
      <c r="Q4581">
        <v>3.1684782815997597E-2</v>
      </c>
      <c r="R4581">
        <v>0.89889945823874495</v>
      </c>
      <c r="S4581" t="s">
        <v>11387</v>
      </c>
      <c r="T4581" t="s">
        <v>13610</v>
      </c>
      <c r="U4581" t="s">
        <v>13610</v>
      </c>
      <c r="V4581" t="s">
        <v>13610</v>
      </c>
      <c r="W4581" t="s">
        <v>18130</v>
      </c>
      <c r="X4581">
        <v>13</v>
      </c>
      <c r="Y4581" t="s">
        <v>24712</v>
      </c>
      <c r="Z4581" t="s">
        <v>31436</v>
      </c>
      <c r="AA4581">
        <v>0.28246972054976249</v>
      </c>
      <c r="AB4581" t="str">
        <f>HYPERLINK("Melting_Curves/meltCurve_Q8NB90_SPATA5.pdf", "Melting_Curves/meltCurve_Q8NB90_SPATA5.pdf")</f>
        <v>Melting_Curves/meltCurve_Q8NB90_SPATA5.pdf</v>
      </c>
    </row>
    <row r="4582" spans="1:28" x14ac:dyDescent="0.25">
      <c r="A4582" t="s">
        <v>4586</v>
      </c>
      <c r="B4582">
        <v>0.995954080203443</v>
      </c>
      <c r="C4582">
        <v>0.86406743485410697</v>
      </c>
      <c r="D4582">
        <v>0.67942183381615096</v>
      </c>
      <c r="E4582">
        <v>0.36099161364179</v>
      </c>
      <c r="F4582">
        <v>0.21888203914881299</v>
      </c>
      <c r="G4582">
        <v>0.13976328880914801</v>
      </c>
      <c r="H4582">
        <v>0.11493246875270401</v>
      </c>
      <c r="I4582">
        <v>0.119432992990482</v>
      </c>
      <c r="J4582">
        <v>0.13265731784879001</v>
      </c>
      <c r="K4582">
        <v>0.12884855688166399</v>
      </c>
      <c r="L4582">
        <v>877.48348486257498</v>
      </c>
      <c r="M4582">
        <v>18.539846125187701</v>
      </c>
      <c r="N4582">
        <v>48.006455743516</v>
      </c>
      <c r="O4582">
        <v>46.789265546280802</v>
      </c>
      <c r="P4582">
        <v>-8.7671342142227604E-2</v>
      </c>
      <c r="Q4582">
        <v>0.115009357730349</v>
      </c>
      <c r="R4582">
        <v>0.99823995706685997</v>
      </c>
      <c r="S4582" t="s">
        <v>11388</v>
      </c>
      <c r="T4582" t="s">
        <v>13610</v>
      </c>
      <c r="U4582" t="s">
        <v>13610</v>
      </c>
      <c r="V4582" t="s">
        <v>13610</v>
      </c>
      <c r="W4582" t="s">
        <v>18131</v>
      </c>
      <c r="X4582">
        <v>4</v>
      </c>
      <c r="Y4582" t="s">
        <v>24713</v>
      </c>
      <c r="Z4582" t="s">
        <v>31437</v>
      </c>
      <c r="AA4582">
        <v>0.3463225068664128</v>
      </c>
      <c r="AB4582" t="str">
        <f>HYPERLINK("Melting_Curves/meltCurve_Q8NBA8_DTWD2.pdf", "Melting_Curves/meltCurve_Q8NBA8_DTWD2.pdf")</f>
        <v>Melting_Curves/meltCurve_Q8NBA8_DTWD2.pdf</v>
      </c>
    </row>
    <row r="4583" spans="1:28" x14ac:dyDescent="0.25">
      <c r="A4583" t="s">
        <v>4587</v>
      </c>
      <c r="B4583">
        <v>0.995954080203443</v>
      </c>
      <c r="C4583">
        <v>0.97558690822452598</v>
      </c>
      <c r="D4583">
        <v>1.03553461115461</v>
      </c>
      <c r="E4583">
        <v>0.76145051091395599</v>
      </c>
      <c r="F4583">
        <v>0.18637788714046399</v>
      </c>
      <c r="G4583">
        <v>9.9113397912114695E-2</v>
      </c>
      <c r="H4583">
        <v>5.7796967181236898E-2</v>
      </c>
      <c r="I4583">
        <v>4.7932075610006397E-2</v>
      </c>
      <c r="J4583">
        <v>5.2872615677019598E-2</v>
      </c>
      <c r="K4583">
        <v>5.0650174554373199E-2</v>
      </c>
      <c r="L4583">
        <v>2594.17122448695</v>
      </c>
      <c r="M4583">
        <v>50.800562346773901</v>
      </c>
      <c r="N4583">
        <v>51.195561459229197</v>
      </c>
      <c r="O4583">
        <v>50.986851271362902</v>
      </c>
      <c r="P4583">
        <v>-0.23404033722026699</v>
      </c>
      <c r="Q4583">
        <v>6.0406444422767602E-2</v>
      </c>
      <c r="R4583">
        <v>0.99803376610736205</v>
      </c>
      <c r="S4583" t="s">
        <v>11389</v>
      </c>
      <c r="T4583" t="s">
        <v>13610</v>
      </c>
      <c r="U4583" t="s">
        <v>13610</v>
      </c>
      <c r="V4583" t="s">
        <v>13610</v>
      </c>
      <c r="W4583" t="s">
        <v>18132</v>
      </c>
      <c r="X4583">
        <v>22</v>
      </c>
      <c r="Y4583" t="s">
        <v>24714</v>
      </c>
      <c r="Z4583" t="s">
        <v>31438</v>
      </c>
      <c r="AA4583">
        <v>0.40903471441226519</v>
      </c>
      <c r="AB4583" t="str">
        <f>HYPERLINK("Melting_Curves/meltCurve_Q8NBF2_NHLRC2.pdf", "Melting_Curves/meltCurve_Q8NBF2_NHLRC2.pdf")</f>
        <v>Melting_Curves/meltCurve_Q8NBF2_NHLRC2.pdf</v>
      </c>
    </row>
    <row r="4584" spans="1:28" x14ac:dyDescent="0.25">
      <c r="A4584" t="s">
        <v>4588</v>
      </c>
      <c r="B4584">
        <v>0.995954080203443</v>
      </c>
      <c r="C4584">
        <v>1.03319816228137</v>
      </c>
      <c r="D4584">
        <v>0.98120342956351003</v>
      </c>
      <c r="E4584">
        <v>0.86314125057133595</v>
      </c>
      <c r="F4584">
        <v>0.70369312362412895</v>
      </c>
      <c r="G4584">
        <v>0.32465456009936899</v>
      </c>
      <c r="H4584">
        <v>0.145451373304712</v>
      </c>
      <c r="I4584">
        <v>0.13365253256811399</v>
      </c>
      <c r="J4584">
        <v>0.13912622077837</v>
      </c>
      <c r="K4584">
        <v>0.13981802305406299</v>
      </c>
      <c r="L4584">
        <v>1314.9232611488301</v>
      </c>
      <c r="M4584">
        <v>24.249374910087599</v>
      </c>
      <c r="N4584">
        <v>54.837167395833902</v>
      </c>
      <c r="O4584">
        <v>53.860307475544701</v>
      </c>
      <c r="P4584">
        <v>-9.9212126091553096E-2</v>
      </c>
      <c r="Q4584">
        <v>0.118572817775169</v>
      </c>
      <c r="R4584">
        <v>0.996933224489438</v>
      </c>
      <c r="S4584" t="s">
        <v>11390</v>
      </c>
      <c r="T4584" t="s">
        <v>13610</v>
      </c>
      <c r="U4584" t="s">
        <v>13610</v>
      </c>
      <c r="V4584" t="s">
        <v>13610</v>
      </c>
      <c r="W4584" t="s">
        <v>18133</v>
      </c>
      <c r="X4584">
        <v>12</v>
      </c>
      <c r="Y4584" t="s">
        <v>24715</v>
      </c>
      <c r="Z4584" t="s">
        <v>31439</v>
      </c>
      <c r="AA4584">
        <v>0.54513654862334626</v>
      </c>
      <c r="AB4584" t="str">
        <f>HYPERLINK("Melting_Curves/meltCurve_Q8NBF6_2_AVL9.pdf", "Melting_Curves/meltCurve_Q8NBF6_2_AVL9.pdf")</f>
        <v>Melting_Curves/meltCurve_Q8NBF6_2_AVL9.pdf</v>
      </c>
    </row>
    <row r="4585" spans="1:28" x14ac:dyDescent="0.25">
      <c r="A4585" t="s">
        <v>4589</v>
      </c>
      <c r="B4585">
        <v>0.995954080203443</v>
      </c>
      <c r="C4585">
        <v>0.76496286660984203</v>
      </c>
      <c r="D4585">
        <v>0.37361861541757402</v>
      </c>
      <c r="E4585">
        <v>0.33547335598949701</v>
      </c>
      <c r="F4585">
        <v>0.164585473100684</v>
      </c>
      <c r="G4585">
        <v>8.95637457241487E-2</v>
      </c>
      <c r="H4585">
        <v>6.3540671297546703E-2</v>
      </c>
      <c r="I4585">
        <v>6.4505241016761805E-2</v>
      </c>
      <c r="J4585">
        <v>6.1352678279791399E-2</v>
      </c>
      <c r="K4585">
        <v>5.97926111195273E-2</v>
      </c>
      <c r="L4585">
        <v>775.08334038400801</v>
      </c>
      <c r="M4585">
        <v>17.083194610490299</v>
      </c>
      <c r="N4585">
        <v>45.773823845146197</v>
      </c>
      <c r="O4585">
        <v>44.7630707485919</v>
      </c>
      <c r="P4585">
        <v>-8.8757112867720797E-2</v>
      </c>
      <c r="Q4585">
        <v>6.9775842772803603E-2</v>
      </c>
      <c r="R4585">
        <v>0.96872924800895099</v>
      </c>
      <c r="S4585" t="s">
        <v>11391</v>
      </c>
      <c r="T4585" t="s">
        <v>13610</v>
      </c>
      <c r="U4585" t="s">
        <v>13610</v>
      </c>
      <c r="V4585" t="s">
        <v>13610</v>
      </c>
      <c r="W4585" t="s">
        <v>18134</v>
      </c>
      <c r="X4585">
        <v>11</v>
      </c>
      <c r="Y4585" t="s">
        <v>24716</v>
      </c>
      <c r="Z4585" t="s">
        <v>31440</v>
      </c>
      <c r="AA4585">
        <v>0.25801294195018809</v>
      </c>
      <c r="AB4585" t="str">
        <f>HYPERLINK("Melting_Curves/meltCurve_Q8NBJ5_COLGALT1.pdf", "Melting_Curves/meltCurve_Q8NBJ5_COLGALT1.pdf")</f>
        <v>Melting_Curves/meltCurve_Q8NBJ5_COLGALT1.pdf</v>
      </c>
    </row>
    <row r="4586" spans="1:28" x14ac:dyDescent="0.25">
      <c r="A4586" t="s">
        <v>4590</v>
      </c>
      <c r="B4586">
        <v>0.995954080203443</v>
      </c>
      <c r="C4586">
        <v>0.60039843567515505</v>
      </c>
      <c r="D4586">
        <v>0.28729824010459898</v>
      </c>
      <c r="E4586">
        <v>0.28873682149612301</v>
      </c>
      <c r="F4586">
        <v>0.153348160388491</v>
      </c>
      <c r="G4586">
        <v>9.2909173803248798E-2</v>
      </c>
      <c r="H4586">
        <v>7.2472723211937706E-2</v>
      </c>
      <c r="I4586">
        <v>7.3767632768320004E-2</v>
      </c>
      <c r="J4586">
        <v>7.7548886224360902E-2</v>
      </c>
      <c r="K4586">
        <v>8.2368107845329899E-2</v>
      </c>
      <c r="L4586">
        <v>1006.02302342946</v>
      </c>
      <c r="M4586">
        <v>23.035480585800101</v>
      </c>
      <c r="N4586">
        <v>44.124507928998298</v>
      </c>
      <c r="O4586">
        <v>43.347625901497501</v>
      </c>
      <c r="P4586">
        <v>-0.118899700939092</v>
      </c>
      <c r="Q4586">
        <v>0.105046015255353</v>
      </c>
      <c r="R4586">
        <v>0.95776857044282804</v>
      </c>
      <c r="S4586" t="s">
        <v>11392</v>
      </c>
      <c r="T4586" t="s">
        <v>13610</v>
      </c>
      <c r="U4586" t="s">
        <v>13610</v>
      </c>
      <c r="V4586" t="s">
        <v>13610</v>
      </c>
      <c r="W4586" t="s">
        <v>18135</v>
      </c>
      <c r="X4586">
        <v>7</v>
      </c>
      <c r="Y4586" t="s">
        <v>24717</v>
      </c>
      <c r="Z4586" t="s">
        <v>31441</v>
      </c>
      <c r="AA4586">
        <v>0.22789067939838201</v>
      </c>
      <c r="AB4586" t="str">
        <f>HYPERLINK("Melting_Curves/meltCurve_Q8NBJ7_SUMF2.pdf", "Melting_Curves/meltCurve_Q8NBJ7_SUMF2.pdf")</f>
        <v>Melting_Curves/meltCurve_Q8NBJ7_SUMF2.pdf</v>
      </c>
    </row>
    <row r="4587" spans="1:28" x14ac:dyDescent="0.25">
      <c r="A4587" t="s">
        <v>4591</v>
      </c>
      <c r="B4587">
        <v>0.995954080203443</v>
      </c>
      <c r="C4587">
        <v>0.93976434001539899</v>
      </c>
      <c r="D4587">
        <v>0.86596512218203003</v>
      </c>
      <c r="E4587">
        <v>0.46913138591789799</v>
      </c>
      <c r="F4587">
        <v>0.17618882975972</v>
      </c>
      <c r="G4587">
        <v>0.11072677969245601</v>
      </c>
      <c r="H4587">
        <v>8.3295097173619798E-2</v>
      </c>
      <c r="I4587">
        <v>9.1521771600673693E-2</v>
      </c>
      <c r="J4587">
        <v>9.9509142663297398E-2</v>
      </c>
      <c r="K4587">
        <v>9.8622766228983305E-2</v>
      </c>
      <c r="L4587">
        <v>1289.94757871056</v>
      </c>
      <c r="M4587">
        <v>26.226231744230301</v>
      </c>
      <c r="N4587">
        <v>49.546482615865997</v>
      </c>
      <c r="O4587">
        <v>48.902098955715303</v>
      </c>
      <c r="P4587">
        <v>-0.122413695838821</v>
      </c>
      <c r="Q4587">
        <v>8.6987386264995303E-2</v>
      </c>
      <c r="R4587">
        <v>0.99745259127023</v>
      </c>
      <c r="S4587" t="s">
        <v>11393</v>
      </c>
      <c r="T4587" t="s">
        <v>13610</v>
      </c>
      <c r="U4587" t="s">
        <v>13610</v>
      </c>
      <c r="V4587" t="s">
        <v>13610</v>
      </c>
      <c r="W4587" t="s">
        <v>18136</v>
      </c>
      <c r="X4587">
        <v>7</v>
      </c>
      <c r="Y4587" t="s">
        <v>24718</v>
      </c>
      <c r="Z4587" t="s">
        <v>31442</v>
      </c>
      <c r="AA4587">
        <v>0.37387669713556898</v>
      </c>
      <c r="AB4587" t="str">
        <f>HYPERLINK("Melting_Curves/meltCurve_Q8NBL1_POGLUT1.pdf", "Melting_Curves/meltCurve_Q8NBL1_POGLUT1.pdf")</f>
        <v>Melting_Curves/meltCurve_Q8NBL1_POGLUT1.pdf</v>
      </c>
    </row>
    <row r="4588" spans="1:28" x14ac:dyDescent="0.25">
      <c r="A4588" t="s">
        <v>4592</v>
      </c>
      <c r="B4588">
        <v>0.995954080203443</v>
      </c>
      <c r="C4588">
        <v>0.90678079512217402</v>
      </c>
      <c r="D4588">
        <v>0.90425184118823099</v>
      </c>
      <c r="E4588">
        <v>0.87244199078864004</v>
      </c>
      <c r="F4588">
        <v>0.44230648703390901</v>
      </c>
      <c r="G4588">
        <v>0.38516205938186598</v>
      </c>
      <c r="H4588">
        <v>0.22355357958730701</v>
      </c>
      <c r="I4588">
        <v>0.29300864675699501</v>
      </c>
      <c r="J4588">
        <v>0.34875142905470602</v>
      </c>
      <c r="K4588">
        <v>0.23446323361483601</v>
      </c>
      <c r="L4588">
        <v>2239.6318589366001</v>
      </c>
      <c r="M4588">
        <v>43.422557976546301</v>
      </c>
      <c r="N4588">
        <v>52.641411074478199</v>
      </c>
      <c r="O4588">
        <v>51.468560742318502</v>
      </c>
      <c r="P4588">
        <v>-0.14931147917941101</v>
      </c>
      <c r="Q4588">
        <v>0.29208793092045598</v>
      </c>
      <c r="R4588">
        <v>0.96048663130924405</v>
      </c>
      <c r="S4588" t="s">
        <v>11394</v>
      </c>
      <c r="T4588" t="s">
        <v>13610</v>
      </c>
      <c r="U4588" t="s">
        <v>13610</v>
      </c>
      <c r="V4588" t="s">
        <v>13610</v>
      </c>
      <c r="W4588" t="s">
        <v>18137</v>
      </c>
      <c r="X4588">
        <v>1</v>
      </c>
      <c r="Y4588" t="s">
        <v>24719</v>
      </c>
      <c r="Z4588" t="s">
        <v>31443</v>
      </c>
      <c r="AA4588">
        <v>0.56742450140208545</v>
      </c>
      <c r="AB4588" t="str">
        <f>HYPERLINK("Melting_Curves/meltCurve_Q8NBM4_4_UBAC2.pdf", "Melting_Curves/meltCurve_Q8NBM4_4_UBAC2.pdf")</f>
        <v>Melting_Curves/meltCurve_Q8NBM4_4_UBAC2.pdf</v>
      </c>
    </row>
    <row r="4589" spans="1:28" x14ac:dyDescent="0.25">
      <c r="A4589" t="s">
        <v>4593</v>
      </c>
      <c r="B4589">
        <v>0.995954080203443</v>
      </c>
      <c r="C4589">
        <v>0.47415211694221299</v>
      </c>
      <c r="D4589">
        <v>0.24799726613589901</v>
      </c>
      <c r="E4589">
        <v>0.22634762771693301</v>
      </c>
      <c r="F4589">
        <v>0.13931916568054001</v>
      </c>
      <c r="G4589">
        <v>6.2718176665334094E-2</v>
      </c>
      <c r="H4589">
        <v>8.1131416358829006E-2</v>
      </c>
      <c r="I4589">
        <v>4.1222190434140001E-2</v>
      </c>
      <c r="J4589">
        <v>4.5760941042026902E-2</v>
      </c>
      <c r="K4589">
        <v>4.4608590980025398E-2</v>
      </c>
      <c r="L4589">
        <v>1313.6847982075701</v>
      </c>
      <c r="M4589">
        <v>30.673385407354701</v>
      </c>
      <c r="N4589">
        <v>43.119007721590599</v>
      </c>
      <c r="O4589">
        <v>42.647387505071698</v>
      </c>
      <c r="P4589">
        <v>-0.163006497473518</v>
      </c>
      <c r="Q4589">
        <v>9.3447864023306501E-2</v>
      </c>
      <c r="R4589">
        <v>0.95037094102749298</v>
      </c>
      <c r="S4589" t="s">
        <v>11395</v>
      </c>
      <c r="T4589" t="s">
        <v>13610</v>
      </c>
      <c r="U4589" t="s">
        <v>13610</v>
      </c>
      <c r="V4589" t="s">
        <v>13610</v>
      </c>
      <c r="W4589" t="s">
        <v>18138</v>
      </c>
      <c r="X4589">
        <v>4</v>
      </c>
      <c r="Y4589" t="s">
        <v>24720</v>
      </c>
      <c r="Z4589" t="s">
        <v>31444</v>
      </c>
      <c r="AA4589">
        <v>0.1872591384895384</v>
      </c>
      <c r="AB4589" t="str">
        <f>HYPERLINK("Melting_Curves/meltCurve_Q8NBN7_RDH13.pdf", "Melting_Curves/meltCurve_Q8NBN7_RDH13.pdf")</f>
        <v>Melting_Curves/meltCurve_Q8NBN7_RDH13.pdf</v>
      </c>
    </row>
    <row r="4590" spans="1:28" x14ac:dyDescent="0.25">
      <c r="A4590" t="s">
        <v>4594</v>
      </c>
      <c r="B4590">
        <v>0.995954080203443</v>
      </c>
      <c r="C4590">
        <v>0.90153186050749301</v>
      </c>
      <c r="D4590">
        <v>0.69837877536224602</v>
      </c>
      <c r="E4590">
        <v>0.70233366787024898</v>
      </c>
      <c r="F4590">
        <v>0.313196719826626</v>
      </c>
      <c r="G4590">
        <v>0.14465721269215401</v>
      </c>
      <c r="H4590">
        <v>7.7538127668273393E-2</v>
      </c>
      <c r="I4590">
        <v>7.7344547686740997E-2</v>
      </c>
      <c r="J4590">
        <v>7.7849993380101304E-2</v>
      </c>
      <c r="K4590">
        <v>9.0335689154180096E-2</v>
      </c>
      <c r="L4590">
        <v>701.30545134129204</v>
      </c>
      <c r="M4590">
        <v>13.8766521173866</v>
      </c>
      <c r="N4590">
        <v>50.753779891057398</v>
      </c>
      <c r="O4590">
        <v>49.523652918214701</v>
      </c>
      <c r="P4590">
        <v>-6.8058028756308106E-2</v>
      </c>
      <c r="Q4590">
        <v>2.85780966586856E-2</v>
      </c>
      <c r="R4590">
        <v>0.96592452127064099</v>
      </c>
      <c r="S4590" t="s">
        <v>11396</v>
      </c>
      <c r="T4590" t="s">
        <v>13610</v>
      </c>
      <c r="U4590" t="s">
        <v>13610</v>
      </c>
      <c r="V4590" t="s">
        <v>13610</v>
      </c>
      <c r="W4590" t="s">
        <v>18139</v>
      </c>
      <c r="X4590">
        <v>5</v>
      </c>
      <c r="Y4590" t="s">
        <v>24721</v>
      </c>
      <c r="Z4590" t="s">
        <v>31445</v>
      </c>
      <c r="AA4590">
        <v>0.39576479121926572</v>
      </c>
      <c r="AB4590" t="str">
        <f>HYPERLINK("Melting_Curves/meltCurve_Q8NBX0_SCCPDH.pdf", "Melting_Curves/meltCurve_Q8NBX0_SCCPDH.pdf")</f>
        <v>Melting_Curves/meltCurve_Q8NBX0_SCCPDH.pdf</v>
      </c>
    </row>
    <row r="4591" spans="1:28" x14ac:dyDescent="0.25">
      <c r="A4591" t="s">
        <v>4595</v>
      </c>
      <c r="B4591">
        <v>0.995954080203443</v>
      </c>
      <c r="C4591">
        <v>0.96613149538710996</v>
      </c>
      <c r="D4591">
        <v>0.90776190122523603</v>
      </c>
      <c r="E4591">
        <v>0.79348215483006401</v>
      </c>
      <c r="F4591">
        <v>0.70586214355265797</v>
      </c>
      <c r="G4591">
        <v>0.58872654538833302</v>
      </c>
      <c r="H4591">
        <v>0.54436045865192495</v>
      </c>
      <c r="I4591">
        <v>0.66066482913755298</v>
      </c>
      <c r="J4591">
        <v>0.78467719102707001</v>
      </c>
      <c r="K4591">
        <v>0.82448824614523297</v>
      </c>
      <c r="L4591">
        <v>1204.1867290913699</v>
      </c>
      <c r="M4591">
        <v>25.118609818821401</v>
      </c>
      <c r="O4591">
        <v>47.6392688790663</v>
      </c>
      <c r="P4591">
        <v>-4.1880334639874402E-2</v>
      </c>
      <c r="Q4591">
        <v>0.68228779164535602</v>
      </c>
      <c r="R4591">
        <v>0.70866913652285501</v>
      </c>
      <c r="S4591" t="s">
        <v>11397</v>
      </c>
      <c r="T4591" t="s">
        <v>13610</v>
      </c>
      <c r="U4591" t="s">
        <v>13610</v>
      </c>
      <c r="V4591" t="s">
        <v>13610</v>
      </c>
      <c r="W4591" t="s">
        <v>18140</v>
      </c>
      <c r="X4591">
        <v>4</v>
      </c>
      <c r="Y4591" t="s">
        <v>24722</v>
      </c>
      <c r="Z4591" t="s">
        <v>31446</v>
      </c>
      <c r="AA4591">
        <v>0.76915630923210965</v>
      </c>
      <c r="AB4591" t="str">
        <f>HYPERLINK("Melting_Curves/meltCurve_Q8NBZ0_INO80E.pdf", "Melting_Curves/meltCurve_Q8NBZ0_INO80E.pdf")</f>
        <v>Melting_Curves/meltCurve_Q8NBZ0_INO80E.pdf</v>
      </c>
    </row>
    <row r="4592" spans="1:28" x14ac:dyDescent="0.25">
      <c r="A4592" t="s">
        <v>4596</v>
      </c>
      <c r="B4592">
        <v>0.995954080203443</v>
      </c>
      <c r="C4592">
        <v>1.0129745612512999</v>
      </c>
      <c r="D4592">
        <v>1.0478739894003799</v>
      </c>
      <c r="E4592">
        <v>0.98635318420766405</v>
      </c>
      <c r="F4592">
        <v>0.99237062512763496</v>
      </c>
      <c r="G4592">
        <v>0.890184846922351</v>
      </c>
      <c r="H4592">
        <v>0.88760721957391697</v>
      </c>
      <c r="I4592">
        <v>1.18879944089251</v>
      </c>
      <c r="J4592">
        <v>1.1864806879904599</v>
      </c>
      <c r="K4592">
        <v>1.39568500300378</v>
      </c>
      <c r="L4592">
        <v>2061.3587543212502</v>
      </c>
      <c r="M4592">
        <v>30.626593394084001</v>
      </c>
      <c r="O4592">
        <v>67.021172702887995</v>
      </c>
      <c r="P4592">
        <v>5.71214595673252E-2</v>
      </c>
      <c r="Q4592">
        <v>1.5</v>
      </c>
      <c r="R4592">
        <v>0.79193882908549296</v>
      </c>
      <c r="S4592" t="s">
        <v>11398</v>
      </c>
      <c r="T4592" t="s">
        <v>13610</v>
      </c>
      <c r="U4592" t="s">
        <v>13610</v>
      </c>
      <c r="V4592" t="s">
        <v>13610</v>
      </c>
      <c r="W4592" t="s">
        <v>18141</v>
      </c>
      <c r="X4592">
        <v>27</v>
      </c>
      <c r="Y4592" t="s">
        <v>24723</v>
      </c>
      <c r="Z4592" t="s">
        <v>31447</v>
      </c>
      <c r="AA4592">
        <v>1.052397892596125</v>
      </c>
      <c r="AB4592" t="str">
        <f>HYPERLINK("Melting_Curves/meltCurve_Q8NC51_2_SERBP1.pdf", "Melting_Curves/meltCurve_Q8NC51_2_SERBP1.pdf")</f>
        <v>Melting_Curves/meltCurve_Q8NC51_2_SERBP1.pdf</v>
      </c>
    </row>
    <row r="4593" spans="1:28" x14ac:dyDescent="0.25">
      <c r="A4593" t="s">
        <v>4597</v>
      </c>
      <c r="B4593">
        <v>0.995954080203443</v>
      </c>
      <c r="C4593">
        <v>0.97453691106672002</v>
      </c>
      <c r="D4593">
        <v>0.982065250062503</v>
      </c>
      <c r="E4593">
        <v>0.96304135442655603</v>
      </c>
      <c r="F4593">
        <v>0.98996223597635302</v>
      </c>
      <c r="G4593">
        <v>0.74375057092118602</v>
      </c>
      <c r="H4593">
        <v>0.69291698800055401</v>
      </c>
      <c r="I4593">
        <v>0.84093919226411296</v>
      </c>
      <c r="J4593">
        <v>0.93391076197332301</v>
      </c>
      <c r="K4593">
        <v>0.89552005718680705</v>
      </c>
      <c r="L4593">
        <v>13399.505437086</v>
      </c>
      <c r="M4593">
        <v>250</v>
      </c>
      <c r="O4593">
        <v>53.594591066947601</v>
      </c>
      <c r="P4593">
        <v>-0.20826785144318499</v>
      </c>
      <c r="Q4593">
        <v>0.82140751237668397</v>
      </c>
      <c r="R4593">
        <v>0.58841716908971797</v>
      </c>
      <c r="S4593" t="s">
        <v>11399</v>
      </c>
      <c r="T4593" t="s">
        <v>13610</v>
      </c>
      <c r="U4593" t="s">
        <v>13610</v>
      </c>
      <c r="V4593" t="s">
        <v>13610</v>
      </c>
      <c r="W4593" t="s">
        <v>18142</v>
      </c>
      <c r="X4593">
        <v>5</v>
      </c>
      <c r="Y4593" t="s">
        <v>24724</v>
      </c>
      <c r="Z4593" t="s">
        <v>31448</v>
      </c>
      <c r="AA4593">
        <v>0.90237446247221398</v>
      </c>
      <c r="AB4593" t="str">
        <f>HYPERLINK("Melting_Curves/meltCurve_Q8NC56_LEMD2.pdf", "Melting_Curves/meltCurve_Q8NC56_LEMD2.pdf")</f>
        <v>Melting_Curves/meltCurve_Q8NC56_LEMD2.pdf</v>
      </c>
    </row>
    <row r="4594" spans="1:28" x14ac:dyDescent="0.25">
      <c r="A4594" t="s">
        <v>4598</v>
      </c>
      <c r="B4594">
        <v>0.995954080203443</v>
      </c>
      <c r="C4594">
        <v>0.84889150439932604</v>
      </c>
      <c r="D4594">
        <v>0.69689872777852901</v>
      </c>
      <c r="E4594">
        <v>0.59673220995884502</v>
      </c>
      <c r="F4594">
        <v>0.35747696905509002</v>
      </c>
      <c r="G4594">
        <v>0.20754564118103999</v>
      </c>
      <c r="H4594">
        <v>0.13603615552303699</v>
      </c>
      <c r="I4594">
        <v>0.144740143534174</v>
      </c>
      <c r="J4594">
        <v>0.16705084873836501</v>
      </c>
      <c r="K4594">
        <v>0.12400623056959501</v>
      </c>
      <c r="L4594">
        <v>607.27642575993002</v>
      </c>
      <c r="M4594">
        <v>12.273598002094801</v>
      </c>
      <c r="N4594">
        <v>50.314902385079201</v>
      </c>
      <c r="O4594">
        <v>48.219783691885603</v>
      </c>
      <c r="P4594">
        <v>-5.7772788945315699E-2</v>
      </c>
      <c r="Q4594">
        <v>9.2302986033420104E-2</v>
      </c>
      <c r="R4594">
        <v>0.98400417762542403</v>
      </c>
      <c r="S4594" t="s">
        <v>11400</v>
      </c>
      <c r="T4594" t="s">
        <v>13610</v>
      </c>
      <c r="U4594" t="s">
        <v>13610</v>
      </c>
      <c r="V4594" t="s">
        <v>13610</v>
      </c>
      <c r="W4594" t="s">
        <v>18143</v>
      </c>
      <c r="X4594">
        <v>2</v>
      </c>
      <c r="Y4594" t="s">
        <v>24725</v>
      </c>
      <c r="Z4594" t="s">
        <v>31449</v>
      </c>
      <c r="AA4594">
        <v>0.41031505880303148</v>
      </c>
      <c r="AB4594" t="str">
        <f>HYPERLINK("Melting_Curves/meltCurve_Q8NC60_NOA1.pdf", "Melting_Curves/meltCurve_Q8NC60_NOA1.pdf")</f>
        <v>Melting_Curves/meltCurve_Q8NC60_NOA1.pdf</v>
      </c>
    </row>
    <row r="4595" spans="1:28" x14ac:dyDescent="0.25">
      <c r="A4595" t="s">
        <v>4599</v>
      </c>
      <c r="B4595">
        <v>0.995954080203443</v>
      </c>
      <c r="C4595">
        <v>1.1881957025233001</v>
      </c>
      <c r="D4595">
        <v>1.0060446351280099</v>
      </c>
      <c r="E4595">
        <v>1.0680978703967801</v>
      </c>
      <c r="F4595">
        <v>0.83422329831546105</v>
      </c>
      <c r="G4595">
        <v>0.74120656657717698</v>
      </c>
      <c r="H4595">
        <v>0.33475157767416303</v>
      </c>
      <c r="I4595">
        <v>6.6618098168774897E-2</v>
      </c>
      <c r="J4595">
        <v>2.8596904681609001E-2</v>
      </c>
      <c r="K4595">
        <v>3.7143749910008302E-2</v>
      </c>
      <c r="L4595">
        <v>1509.8152411015999</v>
      </c>
      <c r="M4595">
        <v>25.565573829317099</v>
      </c>
      <c r="N4595">
        <v>59.056579695015699</v>
      </c>
      <c r="O4595">
        <v>58.698790276873602</v>
      </c>
      <c r="P4595">
        <v>-0.108885916426451</v>
      </c>
      <c r="Q4595">
        <v>0</v>
      </c>
      <c r="R4595">
        <v>0.96931449228116795</v>
      </c>
      <c r="S4595" t="s">
        <v>11401</v>
      </c>
      <c r="T4595" t="s">
        <v>13610</v>
      </c>
      <c r="U4595" t="s">
        <v>13610</v>
      </c>
      <c r="V4595" t="s">
        <v>13610</v>
      </c>
      <c r="W4595" t="s">
        <v>18144</v>
      </c>
      <c r="X4595">
        <v>1</v>
      </c>
      <c r="Y4595" t="s">
        <v>24726</v>
      </c>
      <c r="Z4595" t="s">
        <v>31450</v>
      </c>
      <c r="AA4595">
        <v>0.64316337793861933</v>
      </c>
      <c r="AB4595" t="str">
        <f>HYPERLINK("Melting_Curves/meltCurve_Q8NC81_CARD10.pdf", "Melting_Curves/meltCurve_Q8NC81_CARD10.pdf")</f>
        <v>Melting_Curves/meltCurve_Q8NC81_CARD10.pdf</v>
      </c>
    </row>
    <row r="4596" spans="1:28" x14ac:dyDescent="0.25">
      <c r="A4596" t="s">
        <v>4600</v>
      </c>
      <c r="B4596">
        <v>0.995954080203443</v>
      </c>
      <c r="C4596">
        <v>0.98507124696815995</v>
      </c>
      <c r="D4596">
        <v>1.04233407094804</v>
      </c>
      <c r="E4596">
        <v>0.90808517562156099</v>
      </c>
      <c r="F4596">
        <v>0.75924305506810197</v>
      </c>
      <c r="G4596">
        <v>0.60629837921323104</v>
      </c>
      <c r="H4596">
        <v>0.518722912865484</v>
      </c>
      <c r="I4596">
        <v>0.41204742264371602</v>
      </c>
      <c r="J4596">
        <v>0.25424882291329298</v>
      </c>
      <c r="K4596">
        <v>0.23984105879894599</v>
      </c>
      <c r="L4596">
        <v>637.35765407522501</v>
      </c>
      <c r="M4596">
        <v>10.7465790408895</v>
      </c>
      <c r="N4596">
        <v>60.432272001255903</v>
      </c>
      <c r="O4596">
        <v>57.365024947331698</v>
      </c>
      <c r="P4596">
        <v>-4.2606342367835101E-2</v>
      </c>
      <c r="Q4596">
        <v>9.0608458858400798E-2</v>
      </c>
      <c r="R4596">
        <v>0.98282300975000603</v>
      </c>
      <c r="S4596" t="s">
        <v>11402</v>
      </c>
      <c r="T4596" t="s">
        <v>13610</v>
      </c>
      <c r="U4596" t="s">
        <v>13610</v>
      </c>
      <c r="V4596" t="s">
        <v>13610</v>
      </c>
      <c r="W4596" t="s">
        <v>18145</v>
      </c>
      <c r="X4596">
        <v>6</v>
      </c>
      <c r="Y4596" t="s">
        <v>24727</v>
      </c>
      <c r="Z4596" t="s">
        <v>31451</v>
      </c>
      <c r="AA4596">
        <v>0.67905422635059209</v>
      </c>
      <c r="AB4596" t="str">
        <f>HYPERLINK("Melting_Curves/meltCurve_Q8NC96_NECAP1.pdf", "Melting_Curves/meltCurve_Q8NC96_NECAP1.pdf")</f>
        <v>Melting_Curves/meltCurve_Q8NC96_NECAP1.pdf</v>
      </c>
    </row>
    <row r="4597" spans="1:28" x14ac:dyDescent="0.25">
      <c r="A4597" t="s">
        <v>4601</v>
      </c>
      <c r="B4597">
        <v>0.995954080203443</v>
      </c>
      <c r="C4597">
        <v>0.87511813115278303</v>
      </c>
      <c r="D4597">
        <v>0.73197404941964395</v>
      </c>
      <c r="E4597">
        <v>0.54924323440009404</v>
      </c>
      <c r="F4597">
        <v>0.21589078729108799</v>
      </c>
      <c r="G4597">
        <v>0.136638424820333</v>
      </c>
      <c r="H4597">
        <v>8.1705879423688205E-2</v>
      </c>
      <c r="I4597">
        <v>6.4565676871812305E-2</v>
      </c>
      <c r="J4597">
        <v>7.6296788489926701E-2</v>
      </c>
      <c r="K4597">
        <v>6.6682914672864094E-2</v>
      </c>
      <c r="L4597">
        <v>761.16087761771496</v>
      </c>
      <c r="M4597">
        <v>15.460651167159</v>
      </c>
      <c r="N4597">
        <v>49.518363047490503</v>
      </c>
      <c r="O4597">
        <v>48.430538681163497</v>
      </c>
      <c r="P4597">
        <v>-7.6403854001480198E-2</v>
      </c>
      <c r="Q4597">
        <v>4.27446075580106E-2</v>
      </c>
      <c r="R4597">
        <v>0.98816772191035895</v>
      </c>
      <c r="S4597" t="s">
        <v>11403</v>
      </c>
      <c r="T4597" t="s">
        <v>13610</v>
      </c>
      <c r="U4597" t="s">
        <v>13610</v>
      </c>
      <c r="V4597" t="s">
        <v>13610</v>
      </c>
      <c r="W4597" t="s">
        <v>18146</v>
      </c>
      <c r="X4597">
        <v>11</v>
      </c>
      <c r="Y4597" t="s">
        <v>24728</v>
      </c>
      <c r="Z4597" t="s">
        <v>31452</v>
      </c>
      <c r="AA4597">
        <v>0.35946788095396581</v>
      </c>
      <c r="AB4597" t="str">
        <f>HYPERLINK("Melting_Curves/meltCurve_Q8NCA5_2_FAM98A.pdf", "Melting_Curves/meltCurve_Q8NCA5_2_FAM98A.pdf")</f>
        <v>Melting_Curves/meltCurve_Q8NCA5_2_FAM98A.pdf</v>
      </c>
    </row>
    <row r="4598" spans="1:28" x14ac:dyDescent="0.25">
      <c r="A4598" t="s">
        <v>4602</v>
      </c>
      <c r="B4598">
        <v>0.995954080203443</v>
      </c>
      <c r="C4598">
        <v>1.0646863548234999</v>
      </c>
      <c r="D4598">
        <v>1.0043070197147901</v>
      </c>
      <c r="E4598">
        <v>0.97923114202887795</v>
      </c>
      <c r="F4598">
        <v>0.85844901096399595</v>
      </c>
      <c r="G4598">
        <v>0.67388089102494597</v>
      </c>
      <c r="H4598">
        <v>0.57580276568877997</v>
      </c>
      <c r="I4598">
        <v>0.61460650103497605</v>
      </c>
      <c r="J4598">
        <v>0.75378040015963799</v>
      </c>
      <c r="K4598">
        <v>0.54349880062026201</v>
      </c>
      <c r="L4598">
        <v>2011.5122079785101</v>
      </c>
      <c r="M4598">
        <v>37.417836021245499</v>
      </c>
      <c r="O4598">
        <v>53.605246178512701</v>
      </c>
      <c r="P4598">
        <v>-6.5809161468957905E-2</v>
      </c>
      <c r="Q4598">
        <v>0.62288494377869397</v>
      </c>
      <c r="R4598">
        <v>0.91386944597332798</v>
      </c>
      <c r="S4598" t="s">
        <v>11404</v>
      </c>
      <c r="T4598" t="s">
        <v>13610</v>
      </c>
      <c r="U4598" t="s">
        <v>13610</v>
      </c>
      <c r="V4598" t="s">
        <v>13610</v>
      </c>
      <c r="W4598" t="s">
        <v>18147</v>
      </c>
      <c r="X4598">
        <v>9</v>
      </c>
      <c r="Y4598" t="s">
        <v>24729</v>
      </c>
      <c r="Z4598" t="s">
        <v>31453</v>
      </c>
      <c r="AA4598">
        <v>0.79742965371148045</v>
      </c>
      <c r="AB4598" t="str">
        <f>HYPERLINK("Melting_Curves/meltCurve_Q8NCC3_PLA2G15.pdf", "Melting_Curves/meltCurve_Q8NCC3_PLA2G15.pdf")</f>
        <v>Melting_Curves/meltCurve_Q8NCC3_PLA2G15.pdf</v>
      </c>
    </row>
    <row r="4599" spans="1:28" x14ac:dyDescent="0.25">
      <c r="A4599" t="s">
        <v>4603</v>
      </c>
      <c r="B4599">
        <v>0.995954080203443</v>
      </c>
      <c r="C4599">
        <v>0.82024508369498195</v>
      </c>
      <c r="D4599">
        <v>0.65674932115927698</v>
      </c>
      <c r="E4599">
        <v>0.65839870561146396</v>
      </c>
      <c r="F4599">
        <v>0.58535315545365596</v>
      </c>
      <c r="G4599">
        <v>0.37189230180771798</v>
      </c>
      <c r="H4599">
        <v>0.26659234554533201</v>
      </c>
      <c r="I4599">
        <v>0.32131793101970302</v>
      </c>
      <c r="J4599">
        <v>0.36241100081898903</v>
      </c>
      <c r="K4599">
        <v>0.352416582924241</v>
      </c>
      <c r="L4599">
        <v>479.65087818690802</v>
      </c>
      <c r="M4599">
        <v>9.8263155340645394</v>
      </c>
      <c r="N4599">
        <v>53.136044538593502</v>
      </c>
      <c r="O4599">
        <v>46.9201265253743</v>
      </c>
      <c r="P4599">
        <v>-3.7966993311340097E-2</v>
      </c>
      <c r="Q4599">
        <v>0.27521559306431198</v>
      </c>
      <c r="R4599">
        <v>0.92615532685016899</v>
      </c>
      <c r="S4599" t="s">
        <v>11405</v>
      </c>
      <c r="T4599" t="s">
        <v>13610</v>
      </c>
      <c r="U4599" t="s">
        <v>13610</v>
      </c>
      <c r="V4599" t="s">
        <v>13610</v>
      </c>
      <c r="W4599" t="s">
        <v>18148</v>
      </c>
      <c r="X4599">
        <v>3</v>
      </c>
      <c r="Y4599" t="s">
        <v>24730</v>
      </c>
      <c r="Z4599" t="s">
        <v>31454</v>
      </c>
      <c r="AA4599">
        <v>0.52507657753833792</v>
      </c>
      <c r="AB4599" t="str">
        <f>HYPERLINK("Melting_Curves/meltCurve_Q8NCD3_HJURP.pdf", "Melting_Curves/meltCurve_Q8NCD3_HJURP.pdf")</f>
        <v>Melting_Curves/meltCurve_Q8NCD3_HJURP.pdf</v>
      </c>
    </row>
    <row r="4600" spans="1:28" x14ac:dyDescent="0.25">
      <c r="A4600" t="s">
        <v>4604</v>
      </c>
      <c r="B4600">
        <v>0.995954080203443</v>
      </c>
      <c r="C4600">
        <v>0.93232704386427201</v>
      </c>
      <c r="D4600">
        <v>0.70135832118679797</v>
      </c>
      <c r="E4600">
        <v>0.35676753152593599</v>
      </c>
      <c r="F4600">
        <v>0.191297066459478</v>
      </c>
      <c r="G4600">
        <v>0.11983581849880801</v>
      </c>
      <c r="H4600">
        <v>7.7451589543306804E-2</v>
      </c>
      <c r="I4600">
        <v>6.2895494648230896E-2</v>
      </c>
      <c r="J4600">
        <v>6.9244343298154307E-2</v>
      </c>
      <c r="K4600">
        <v>7.4903755947796996E-2</v>
      </c>
      <c r="L4600">
        <v>944.67166948737497</v>
      </c>
      <c r="M4600">
        <v>19.714953877697599</v>
      </c>
      <c r="N4600">
        <v>48.275832238320803</v>
      </c>
      <c r="O4600">
        <v>47.431677494655403</v>
      </c>
      <c r="P4600">
        <v>-9.6824426020382298E-2</v>
      </c>
      <c r="Q4600">
        <v>6.8242967351954398E-2</v>
      </c>
      <c r="R4600">
        <v>0.99916490810889402</v>
      </c>
      <c r="S4600" t="s">
        <v>11406</v>
      </c>
      <c r="T4600" t="s">
        <v>13610</v>
      </c>
      <c r="U4600" t="s">
        <v>13610</v>
      </c>
      <c r="V4600" t="s">
        <v>13610</v>
      </c>
      <c r="W4600" t="s">
        <v>18149</v>
      </c>
      <c r="X4600">
        <v>7</v>
      </c>
      <c r="Y4600" t="s">
        <v>24731</v>
      </c>
      <c r="Z4600" t="s">
        <v>31455</v>
      </c>
      <c r="AA4600">
        <v>0.327794546232478</v>
      </c>
      <c r="AB4600" t="str">
        <f>HYPERLINK("Melting_Curves/meltCurve_Q8NCE0_4_TSEN2.pdf", "Melting_Curves/meltCurve_Q8NCE0_4_TSEN2.pdf")</f>
        <v>Melting_Curves/meltCurve_Q8NCE0_4_TSEN2.pdf</v>
      </c>
    </row>
    <row r="4601" spans="1:28" x14ac:dyDescent="0.25">
      <c r="A4601" t="s">
        <v>4605</v>
      </c>
      <c r="B4601">
        <v>0.995954080203443</v>
      </c>
      <c r="C4601">
        <v>0.91870004809448302</v>
      </c>
      <c r="D4601">
        <v>0.87907918042563105</v>
      </c>
      <c r="E4601">
        <v>0.78214953379299201</v>
      </c>
      <c r="F4601">
        <v>0.58126695578030996</v>
      </c>
      <c r="G4601">
        <v>0.22482404699469799</v>
      </c>
      <c r="H4601">
        <v>0.115140316040358</v>
      </c>
      <c r="I4601">
        <v>0.107963085264206</v>
      </c>
      <c r="J4601">
        <v>0.118937742816317</v>
      </c>
      <c r="K4601">
        <v>0.111490697877349</v>
      </c>
      <c r="L4601">
        <v>1013.3004725770199</v>
      </c>
      <c r="M4601">
        <v>19.139047600774202</v>
      </c>
      <c r="N4601">
        <v>53.425637430993397</v>
      </c>
      <c r="O4601">
        <v>52.376316074257197</v>
      </c>
      <c r="P4601">
        <v>-8.4120128399797003E-2</v>
      </c>
      <c r="Q4601">
        <v>7.9216302906281094E-2</v>
      </c>
      <c r="R4601">
        <v>0.98757867517460896</v>
      </c>
      <c r="S4601" t="s">
        <v>11407</v>
      </c>
      <c r="T4601" t="s">
        <v>13610</v>
      </c>
      <c r="U4601" t="s">
        <v>13610</v>
      </c>
      <c r="V4601" t="s">
        <v>13610</v>
      </c>
      <c r="W4601" t="s">
        <v>18150</v>
      </c>
      <c r="X4601">
        <v>10</v>
      </c>
      <c r="Y4601" t="s">
        <v>24732</v>
      </c>
      <c r="Z4601" t="s">
        <v>31456</v>
      </c>
      <c r="AA4601">
        <v>0.49015707733208869</v>
      </c>
      <c r="AB4601" t="str">
        <f>HYPERLINK("Melting_Curves/meltCurve_Q8NCE2_2_MTMR14.pdf", "Melting_Curves/meltCurve_Q8NCE2_2_MTMR14.pdf")</f>
        <v>Melting_Curves/meltCurve_Q8NCE2_2_MTMR14.pdf</v>
      </c>
    </row>
    <row r="4602" spans="1:28" x14ac:dyDescent="0.25">
      <c r="A4602" t="s">
        <v>4606</v>
      </c>
      <c r="B4602">
        <v>0.995954080203443</v>
      </c>
      <c r="C4602">
        <v>1.0172638841805799</v>
      </c>
      <c r="D4602">
        <v>0.91646638748481901</v>
      </c>
      <c r="E4602">
        <v>0.85971678947878205</v>
      </c>
      <c r="F4602">
        <v>0.80853680987889798</v>
      </c>
      <c r="G4602">
        <v>0.59233808475300098</v>
      </c>
      <c r="H4602">
        <v>0.53271936254912</v>
      </c>
      <c r="I4602">
        <v>0.63681095202558402</v>
      </c>
      <c r="J4602">
        <v>0.79727885885165095</v>
      </c>
      <c r="K4602">
        <v>0.75371468079743098</v>
      </c>
      <c r="L4602">
        <v>1259.38240807078</v>
      </c>
      <c r="M4602">
        <v>24.8586890544013</v>
      </c>
      <c r="O4602">
        <v>50.337201448620803</v>
      </c>
      <c r="P4602">
        <v>-4.1184550684497903E-2</v>
      </c>
      <c r="Q4602">
        <v>0.66642048974914803</v>
      </c>
      <c r="R4602">
        <v>0.75214680365069697</v>
      </c>
      <c r="S4602" t="s">
        <v>11408</v>
      </c>
      <c r="T4602" t="s">
        <v>13610</v>
      </c>
      <c r="U4602" t="s">
        <v>13610</v>
      </c>
      <c r="V4602" t="s">
        <v>13610</v>
      </c>
      <c r="W4602" t="s">
        <v>18151</v>
      </c>
      <c r="X4602">
        <v>6</v>
      </c>
      <c r="Y4602" t="s">
        <v>24733</v>
      </c>
      <c r="Z4602" t="s">
        <v>31457</v>
      </c>
      <c r="AA4602">
        <v>0.78800718641539236</v>
      </c>
      <c r="AB4602" t="str">
        <f>HYPERLINK("Melting_Curves/meltCurve_Q8NCF5_NFATC2IP.pdf", "Melting_Curves/meltCurve_Q8NCF5_NFATC2IP.pdf")</f>
        <v>Melting_Curves/meltCurve_Q8NCF5_NFATC2IP.pdf</v>
      </c>
    </row>
    <row r="4603" spans="1:28" x14ac:dyDescent="0.25">
      <c r="A4603" t="s">
        <v>4607</v>
      </c>
      <c r="B4603">
        <v>0.995954080203443</v>
      </c>
      <c r="C4603">
        <v>0.958818943498432</v>
      </c>
      <c r="D4603">
        <v>0.86457469215503702</v>
      </c>
      <c r="E4603">
        <v>0.71157486862152497</v>
      </c>
      <c r="F4603">
        <v>0.59022738646297901</v>
      </c>
      <c r="G4603">
        <v>0.40423365359206898</v>
      </c>
      <c r="H4603">
        <v>0.30950881155285598</v>
      </c>
      <c r="I4603">
        <v>0.31787302719715699</v>
      </c>
      <c r="J4603">
        <v>0.32971213805982902</v>
      </c>
      <c r="K4603">
        <v>0.262167801822283</v>
      </c>
      <c r="L4603">
        <v>706.29423906904901</v>
      </c>
      <c r="M4603">
        <v>13.681876413887901</v>
      </c>
      <c r="N4603">
        <v>54.5539578974428</v>
      </c>
      <c r="O4603">
        <v>50.557270355186098</v>
      </c>
      <c r="P4603">
        <v>-5.00527531058194E-2</v>
      </c>
      <c r="Q4603">
        <v>0.26028731598976201</v>
      </c>
      <c r="R4603">
        <v>0.99442494471656995</v>
      </c>
      <c r="S4603" t="s">
        <v>11409</v>
      </c>
      <c r="T4603" t="s">
        <v>13610</v>
      </c>
      <c r="U4603" t="s">
        <v>13610</v>
      </c>
      <c r="V4603" t="s">
        <v>13610</v>
      </c>
      <c r="W4603" t="s">
        <v>18152</v>
      </c>
      <c r="X4603">
        <v>12</v>
      </c>
      <c r="Y4603" t="s">
        <v>24734</v>
      </c>
      <c r="Z4603" t="s">
        <v>31458</v>
      </c>
      <c r="AA4603">
        <v>0.56614904430301471</v>
      </c>
      <c r="AB4603" t="str">
        <f>HYPERLINK("Melting_Curves/meltCurve_Q8NCN2_ZBTB34.pdf", "Melting_Curves/meltCurve_Q8NCN2_ZBTB34.pdf")</f>
        <v>Melting_Curves/meltCurve_Q8NCN2_ZBTB34.pdf</v>
      </c>
    </row>
    <row r="4604" spans="1:28" x14ac:dyDescent="0.25">
      <c r="A4604" t="s">
        <v>4608</v>
      </c>
      <c r="B4604">
        <v>0.995954080203443</v>
      </c>
      <c r="C4604">
        <v>0.94300768737273499</v>
      </c>
      <c r="D4604">
        <v>1.0100025563230399</v>
      </c>
      <c r="E4604">
        <v>0.882845222336892</v>
      </c>
      <c r="F4604">
        <v>0.88521969020673397</v>
      </c>
      <c r="G4604">
        <v>0.67815868284595604</v>
      </c>
      <c r="H4604">
        <v>0.66717366541312995</v>
      </c>
      <c r="I4604">
        <v>0.83141754263649903</v>
      </c>
      <c r="J4604">
        <v>0.95748504153198799</v>
      </c>
      <c r="K4604">
        <v>0.98218387615423497</v>
      </c>
      <c r="L4604">
        <v>2047.0168758556399</v>
      </c>
      <c r="M4604">
        <v>41.479919091954898</v>
      </c>
      <c r="O4604">
        <v>49.235301210609997</v>
      </c>
      <c r="P4604">
        <v>-3.5659169194194699E-2</v>
      </c>
      <c r="Q4604">
        <v>0.83069525134106603</v>
      </c>
      <c r="R4604">
        <v>0.31728005864577802</v>
      </c>
      <c r="S4604" t="s">
        <v>11410</v>
      </c>
      <c r="T4604" t="s">
        <v>13610</v>
      </c>
      <c r="U4604" t="s">
        <v>13610</v>
      </c>
      <c r="V4604" t="s">
        <v>13610</v>
      </c>
      <c r="W4604" t="s">
        <v>18153</v>
      </c>
      <c r="X4604">
        <v>19</v>
      </c>
      <c r="Y4604" t="s">
        <v>24735</v>
      </c>
      <c r="Z4604" t="s">
        <v>31459</v>
      </c>
      <c r="AA4604">
        <v>0.8839966327469797</v>
      </c>
      <c r="AB4604" t="str">
        <f>HYPERLINK("Melting_Curves/meltCurve_Q8NCN4_RNF169.pdf", "Melting_Curves/meltCurve_Q8NCN4_RNF169.pdf")</f>
        <v>Melting_Curves/meltCurve_Q8NCN4_RNF169.pdf</v>
      </c>
    </row>
    <row r="4605" spans="1:28" x14ac:dyDescent="0.25">
      <c r="A4605" t="s">
        <v>4609</v>
      </c>
      <c r="B4605">
        <v>0.995954080203443</v>
      </c>
      <c r="C4605">
        <v>1.04663952511779</v>
      </c>
      <c r="D4605">
        <v>0.962455797974889</v>
      </c>
      <c r="E4605">
        <v>0.85667732874777003</v>
      </c>
      <c r="F4605">
        <v>0.55138852451724596</v>
      </c>
      <c r="G4605">
        <v>0.134621206808237</v>
      </c>
      <c r="H4605">
        <v>8.1877239557178197E-2</v>
      </c>
      <c r="I4605">
        <v>6.3590949341564298E-2</v>
      </c>
      <c r="J4605">
        <v>6.61940231784785E-2</v>
      </c>
      <c r="K4605">
        <v>4.9607790873045197E-2</v>
      </c>
      <c r="L4605">
        <v>1605.2943089287801</v>
      </c>
      <c r="M4605">
        <v>30.257087979311901</v>
      </c>
      <c r="N4605">
        <v>53.260147769346098</v>
      </c>
      <c r="O4605">
        <v>52.825023257951202</v>
      </c>
      <c r="P4605">
        <v>-0.135324718667517</v>
      </c>
      <c r="Q4605">
        <v>5.49672294619774E-2</v>
      </c>
      <c r="R4605">
        <v>0.99754641826797397</v>
      </c>
      <c r="S4605" t="s">
        <v>11411</v>
      </c>
      <c r="T4605" t="s">
        <v>13610</v>
      </c>
      <c r="U4605" t="s">
        <v>13610</v>
      </c>
      <c r="V4605" t="s">
        <v>13610</v>
      </c>
      <c r="W4605" t="s">
        <v>18154</v>
      </c>
      <c r="X4605">
        <v>12</v>
      </c>
      <c r="Y4605" t="s">
        <v>24736</v>
      </c>
      <c r="Z4605" t="s">
        <v>31460</v>
      </c>
      <c r="AA4605">
        <v>0.4722502725261567</v>
      </c>
      <c r="AB4605" t="str">
        <f>HYPERLINK("Melting_Curves/meltCurve_Q8NCN5_PDPR.pdf", "Melting_Curves/meltCurve_Q8NCN5_PDPR.pdf")</f>
        <v>Melting_Curves/meltCurve_Q8NCN5_PDPR.pdf</v>
      </c>
    </row>
    <row r="4606" spans="1:28" x14ac:dyDescent="0.25">
      <c r="A4606" t="s">
        <v>4610</v>
      </c>
      <c r="B4606">
        <v>0.995954080203443</v>
      </c>
      <c r="C4606">
        <v>0.99452187674269299</v>
      </c>
      <c r="D4606">
        <v>0.887355664948134</v>
      </c>
      <c r="E4606">
        <v>0.79286834722861299</v>
      </c>
      <c r="F4606">
        <v>0.60550782839846395</v>
      </c>
      <c r="G4606">
        <v>0.39068841685554301</v>
      </c>
      <c r="H4606">
        <v>0.340755629799879</v>
      </c>
      <c r="I4606">
        <v>0.34490859947147201</v>
      </c>
      <c r="J4606">
        <v>0.36296060210293102</v>
      </c>
      <c r="K4606">
        <v>0.33736957997240402</v>
      </c>
      <c r="L4606">
        <v>992.33849974083705</v>
      </c>
      <c r="M4606">
        <v>19.180428477643201</v>
      </c>
      <c r="N4606">
        <v>54.762739749752598</v>
      </c>
      <c r="O4606">
        <v>51.184491573052497</v>
      </c>
      <c r="P4606">
        <v>-6.3076491317896999E-2</v>
      </c>
      <c r="Q4606">
        <v>0.32672741517452702</v>
      </c>
      <c r="R4606">
        <v>0.99129598352318904</v>
      </c>
      <c r="S4606" t="s">
        <v>11412</v>
      </c>
      <c r="T4606" t="s">
        <v>13610</v>
      </c>
      <c r="U4606" t="s">
        <v>13610</v>
      </c>
      <c r="V4606" t="s">
        <v>13610</v>
      </c>
      <c r="W4606" t="s">
        <v>18155</v>
      </c>
      <c r="X4606">
        <v>6</v>
      </c>
      <c r="Y4606" t="s">
        <v>24737</v>
      </c>
      <c r="Z4606" t="s">
        <v>31461</v>
      </c>
      <c r="AA4606">
        <v>0.60019029295383497</v>
      </c>
      <c r="AB4606" t="str">
        <f>HYPERLINK("Melting_Curves/meltCurve_Q8NCP5_3_ZBTB44.pdf", "Melting_Curves/meltCurve_Q8NCP5_3_ZBTB44.pdf")</f>
        <v>Melting_Curves/meltCurve_Q8NCP5_3_ZBTB44.pdf</v>
      </c>
    </row>
    <row r="4607" spans="1:28" x14ac:dyDescent="0.25">
      <c r="A4607" t="s">
        <v>4611</v>
      </c>
      <c r="B4607">
        <v>0.995954080203443</v>
      </c>
      <c r="C4607">
        <v>0.99318055259897098</v>
      </c>
      <c r="D4607">
        <v>0.94953702126857897</v>
      </c>
      <c r="E4607">
        <v>0.85675952290700697</v>
      </c>
      <c r="F4607">
        <v>0.84135432683167699</v>
      </c>
      <c r="G4607">
        <v>0.65417895496033696</v>
      </c>
      <c r="H4607">
        <v>0.55206360273320199</v>
      </c>
      <c r="I4607">
        <v>0.61948050658854303</v>
      </c>
      <c r="J4607">
        <v>0.41268653435381902</v>
      </c>
      <c r="K4607">
        <v>0.14137463710142401</v>
      </c>
      <c r="L4607">
        <v>537.397177163538</v>
      </c>
      <c r="M4607">
        <v>8.5475081494919305</v>
      </c>
      <c r="N4607">
        <v>62.871789503621599</v>
      </c>
      <c r="O4607">
        <v>59.713982052643999</v>
      </c>
      <c r="P4607">
        <v>-3.5816772430998303E-2</v>
      </c>
      <c r="Q4607">
        <v>0</v>
      </c>
      <c r="R4607">
        <v>0.92171929431458699</v>
      </c>
      <c r="S4607" t="s">
        <v>11413</v>
      </c>
      <c r="T4607" t="s">
        <v>13610</v>
      </c>
      <c r="U4607" t="s">
        <v>13610</v>
      </c>
      <c r="V4607" t="s">
        <v>13610</v>
      </c>
      <c r="W4607" t="s">
        <v>18156</v>
      </c>
      <c r="X4607">
        <v>14</v>
      </c>
      <c r="Y4607" t="s">
        <v>24738</v>
      </c>
      <c r="Z4607" t="s">
        <v>31462</v>
      </c>
      <c r="AA4607">
        <v>0.7206948690712196</v>
      </c>
      <c r="AB4607" t="str">
        <f>HYPERLINK("Melting_Curves/meltCurve_Q8NCW5_APOA1BP.pdf", "Melting_Curves/meltCurve_Q8NCW5_APOA1BP.pdf")</f>
        <v>Melting_Curves/meltCurve_Q8NCW5_APOA1BP.pdf</v>
      </c>
    </row>
    <row r="4608" spans="1:28" x14ac:dyDescent="0.25">
      <c r="A4608" t="s">
        <v>4612</v>
      </c>
      <c r="B4608">
        <v>0.995954080203443</v>
      </c>
      <c r="C4608">
        <v>0.90875526894354397</v>
      </c>
      <c r="D4608">
        <v>0.82631124505173603</v>
      </c>
      <c r="E4608">
        <v>0.77178587948010502</v>
      </c>
      <c r="F4608">
        <v>0.58465203433734603</v>
      </c>
      <c r="G4608">
        <v>0.38337939987826902</v>
      </c>
      <c r="H4608">
        <v>0.28008773730393599</v>
      </c>
      <c r="I4608">
        <v>0.26498024292526401</v>
      </c>
      <c r="J4608">
        <v>0.363745172461447</v>
      </c>
      <c r="K4608">
        <v>0.273242808000695</v>
      </c>
      <c r="L4608">
        <v>693.52960144320605</v>
      </c>
      <c r="M4608">
        <v>13.405026666000399</v>
      </c>
      <c r="N4608">
        <v>54.512574309018397</v>
      </c>
      <c r="O4608">
        <v>50.625858529437799</v>
      </c>
      <c r="P4608">
        <v>-4.9829879378166603E-2</v>
      </c>
      <c r="Q4608">
        <v>0.24736142966174601</v>
      </c>
      <c r="R4608">
        <v>0.97090720234633399</v>
      </c>
      <c r="S4608" t="s">
        <v>11414</v>
      </c>
      <c r="T4608" t="s">
        <v>13610</v>
      </c>
      <c r="U4608" t="s">
        <v>13610</v>
      </c>
      <c r="V4608" t="s">
        <v>13610</v>
      </c>
      <c r="W4608" t="s">
        <v>18157</v>
      </c>
      <c r="X4608">
        <v>5</v>
      </c>
      <c r="Y4608" t="s">
        <v>24739</v>
      </c>
      <c r="Z4608" t="s">
        <v>31463</v>
      </c>
      <c r="AA4608">
        <v>0.56191348683621667</v>
      </c>
      <c r="AB4608" t="str">
        <f>HYPERLINK("Melting_Curves/meltCurve_Q8NCY6_MSANTD4.pdf", "Melting_Curves/meltCurve_Q8NCY6_MSANTD4.pdf")</f>
        <v>Melting_Curves/meltCurve_Q8NCY6_MSANTD4.pdf</v>
      </c>
    </row>
    <row r="4609" spans="1:28" x14ac:dyDescent="0.25">
      <c r="A4609" t="s">
        <v>4613</v>
      </c>
      <c r="B4609">
        <v>0.995954080203443</v>
      </c>
      <c r="C4609">
        <v>0.72219822073943996</v>
      </c>
      <c r="D4609">
        <v>0.449384242438507</v>
      </c>
      <c r="E4609">
        <v>0.29253917755457098</v>
      </c>
      <c r="F4609">
        <v>0.17895275530318</v>
      </c>
      <c r="G4609">
        <v>0.117842732874207</v>
      </c>
      <c r="H4609">
        <v>9.8820199267498396E-2</v>
      </c>
      <c r="I4609">
        <v>8.9524365003200296E-2</v>
      </c>
      <c r="J4609">
        <v>0.112549758305998</v>
      </c>
      <c r="K4609">
        <v>0.105480896442426</v>
      </c>
      <c r="L4609">
        <v>804.40039512292105</v>
      </c>
      <c r="M4609">
        <v>17.803652667142899</v>
      </c>
      <c r="N4609">
        <v>45.784471249064602</v>
      </c>
      <c r="O4609">
        <v>44.623300024874901</v>
      </c>
      <c r="P4609">
        <v>-8.9329001069625394E-2</v>
      </c>
      <c r="Q4609">
        <v>0.10446479076858201</v>
      </c>
      <c r="R4609">
        <v>0.98726277325725198</v>
      </c>
      <c r="S4609" t="s">
        <v>11415</v>
      </c>
      <c r="T4609" t="s">
        <v>13610</v>
      </c>
      <c r="U4609" t="s">
        <v>13610</v>
      </c>
      <c r="V4609" t="s">
        <v>13610</v>
      </c>
      <c r="W4609" t="s">
        <v>18158</v>
      </c>
      <c r="X4609">
        <v>12</v>
      </c>
      <c r="Y4609" t="s">
        <v>24740</v>
      </c>
      <c r="Z4609" t="s">
        <v>31464</v>
      </c>
      <c r="AA4609">
        <v>0.27855638821449469</v>
      </c>
      <c r="AB4609" t="str">
        <f>HYPERLINK("Melting_Curves/meltCurve_Q8ND04_SMG8.pdf", "Melting_Curves/meltCurve_Q8ND04_SMG8.pdf")</f>
        <v>Melting_Curves/meltCurve_Q8ND04_SMG8.pdf</v>
      </c>
    </row>
    <row r="4610" spans="1:28" x14ac:dyDescent="0.25">
      <c r="A4610" t="s">
        <v>4614</v>
      </c>
      <c r="B4610">
        <v>0.995954080203443</v>
      </c>
      <c r="C4610">
        <v>1.02203379704324</v>
      </c>
      <c r="D4610">
        <v>1.0595663373179101</v>
      </c>
      <c r="E4610">
        <v>0.816373598662405</v>
      </c>
      <c r="F4610">
        <v>0.64767668999115502</v>
      </c>
      <c r="G4610">
        <v>0.40320658581923202</v>
      </c>
      <c r="H4610">
        <v>0.32726126288736801</v>
      </c>
      <c r="I4610">
        <v>0.35002098027008899</v>
      </c>
      <c r="J4610">
        <v>0.42592329099155801</v>
      </c>
      <c r="K4610">
        <v>0.41436255752093698</v>
      </c>
      <c r="L4610">
        <v>1510.10280689914</v>
      </c>
      <c r="M4610">
        <v>28.975519535694001</v>
      </c>
      <c r="N4610">
        <v>54.734902506797802</v>
      </c>
      <c r="O4610">
        <v>51.870164681390499</v>
      </c>
      <c r="P4610">
        <v>-8.7287409634393104E-2</v>
      </c>
      <c r="Q4610">
        <v>0.37497885289603</v>
      </c>
      <c r="R4610">
        <v>0.97892594523139598</v>
      </c>
      <c r="S4610" t="s">
        <v>11416</v>
      </c>
      <c r="T4610" t="s">
        <v>13610</v>
      </c>
      <c r="U4610" t="s">
        <v>13610</v>
      </c>
      <c r="V4610" t="s">
        <v>13610</v>
      </c>
      <c r="W4610" t="s">
        <v>18159</v>
      </c>
      <c r="X4610">
        <v>25</v>
      </c>
      <c r="Y4610" t="s">
        <v>24741</v>
      </c>
      <c r="Z4610" t="s">
        <v>31465</v>
      </c>
      <c r="AA4610">
        <v>0.63169961517919393</v>
      </c>
      <c r="AB4610" t="str">
        <f>HYPERLINK("Melting_Curves/meltCurve_Q8ND24_RNF214.pdf", "Melting_Curves/meltCurve_Q8ND24_RNF214.pdf")</f>
        <v>Melting_Curves/meltCurve_Q8ND24_RNF214.pdf</v>
      </c>
    </row>
    <row r="4611" spans="1:28" x14ac:dyDescent="0.25">
      <c r="A4611" t="s">
        <v>4615</v>
      </c>
      <c r="B4611">
        <v>0.995954080203443</v>
      </c>
      <c r="C4611">
        <v>1.10855732832621</v>
      </c>
      <c r="D4611">
        <v>1.0435922252604399</v>
      </c>
      <c r="E4611">
        <v>0.86181902705186897</v>
      </c>
      <c r="F4611">
        <v>0.76400746513753404</v>
      </c>
      <c r="G4611">
        <v>0.42837415895815301</v>
      </c>
      <c r="H4611">
        <v>0.29069830243732497</v>
      </c>
      <c r="I4611">
        <v>0.31100048837889199</v>
      </c>
      <c r="J4611">
        <v>0.37401194411301297</v>
      </c>
      <c r="K4611">
        <v>0.39230397119198201</v>
      </c>
      <c r="L4611">
        <v>1574.3606238304301</v>
      </c>
      <c r="M4611">
        <v>29.344722267518101</v>
      </c>
      <c r="N4611">
        <v>55.769886599143</v>
      </c>
      <c r="O4611">
        <v>53.403253725602802</v>
      </c>
      <c r="P4611">
        <v>-9.1207558487746102E-2</v>
      </c>
      <c r="Q4611">
        <v>0.33606519995907702</v>
      </c>
      <c r="R4611">
        <v>0.96951769225648099</v>
      </c>
      <c r="S4611" t="s">
        <v>11417</v>
      </c>
      <c r="T4611" t="s">
        <v>13610</v>
      </c>
      <c r="U4611" t="s">
        <v>13610</v>
      </c>
      <c r="V4611" t="s">
        <v>13610</v>
      </c>
      <c r="W4611" t="s">
        <v>18160</v>
      </c>
      <c r="X4611">
        <v>23</v>
      </c>
      <c r="Y4611" t="s">
        <v>24742</v>
      </c>
      <c r="Z4611" t="s">
        <v>31466</v>
      </c>
      <c r="AA4611">
        <v>0.64270045605883297</v>
      </c>
      <c r="AB4611" t="str">
        <f>HYPERLINK("Melting_Curves/meltCurve_Q8ND30_PPFIBP2.pdf", "Melting_Curves/meltCurve_Q8ND30_PPFIBP2.pdf")</f>
        <v>Melting_Curves/meltCurve_Q8ND30_PPFIBP2.pdf</v>
      </c>
    </row>
    <row r="4612" spans="1:28" x14ac:dyDescent="0.25">
      <c r="A4612" t="s">
        <v>4616</v>
      </c>
      <c r="B4612">
        <v>0.995954080203443</v>
      </c>
      <c r="C4612">
        <v>0.80860336551933298</v>
      </c>
      <c r="D4612">
        <v>0.94407443548136105</v>
      </c>
      <c r="E4612">
        <v>0.88918836858292705</v>
      </c>
      <c r="F4612">
        <v>0.85458969771259097</v>
      </c>
      <c r="G4612">
        <v>0.65210867727333499</v>
      </c>
      <c r="H4612">
        <v>0.60012255872999898</v>
      </c>
      <c r="I4612">
        <v>0.74882317379658303</v>
      </c>
      <c r="J4612">
        <v>0.88876040223666197</v>
      </c>
      <c r="K4612">
        <v>0.88455790119059596</v>
      </c>
      <c r="L4612">
        <v>533.82826931746797</v>
      </c>
      <c r="M4612">
        <v>11.715043193289</v>
      </c>
      <c r="O4612">
        <v>44.3007524879337</v>
      </c>
      <c r="P4612">
        <v>-1.54327773270642E-2</v>
      </c>
      <c r="Q4612">
        <v>0.76662380032263699</v>
      </c>
      <c r="R4612">
        <v>0.28108186555641401</v>
      </c>
      <c r="S4612" t="s">
        <v>11418</v>
      </c>
      <c r="T4612" t="s">
        <v>13610</v>
      </c>
      <c r="U4612" t="s">
        <v>13610</v>
      </c>
      <c r="V4612" t="s">
        <v>13610</v>
      </c>
      <c r="W4612" t="s">
        <v>18161</v>
      </c>
      <c r="X4612">
        <v>20</v>
      </c>
      <c r="Y4612" t="s">
        <v>24743</v>
      </c>
      <c r="Z4612" t="s">
        <v>31467</v>
      </c>
      <c r="AA4612">
        <v>0.82147489088480197</v>
      </c>
      <c r="AB4612" t="str">
        <f>HYPERLINK("Melting_Curves/meltCurve_Q8ND56_2_LSM14A.pdf", "Melting_Curves/meltCurve_Q8ND56_2_LSM14A.pdf")</f>
        <v>Melting_Curves/meltCurve_Q8ND56_2_LSM14A.pdf</v>
      </c>
    </row>
    <row r="4613" spans="1:28" x14ac:dyDescent="0.25">
      <c r="A4613" t="s">
        <v>4617</v>
      </c>
      <c r="B4613">
        <v>0.995954080203443</v>
      </c>
      <c r="C4613">
        <v>0.95946036064420304</v>
      </c>
      <c r="D4613">
        <v>0.94077479040677203</v>
      </c>
      <c r="E4613">
        <v>0.77136584431273103</v>
      </c>
      <c r="F4613">
        <v>0.46140095750073801</v>
      </c>
      <c r="G4613">
        <v>0.187311404489959</v>
      </c>
      <c r="H4613">
        <v>0.148695931201621</v>
      </c>
      <c r="I4613">
        <v>0.154488788536321</v>
      </c>
      <c r="J4613">
        <v>0.19748452351373</v>
      </c>
      <c r="K4613">
        <v>0.172606094988839</v>
      </c>
      <c r="L4613">
        <v>1448.9786423002799</v>
      </c>
      <c r="M4613">
        <v>27.994992482182798</v>
      </c>
      <c r="N4613">
        <v>52.475295952143099</v>
      </c>
      <c r="O4613">
        <v>51.496550612170601</v>
      </c>
      <c r="P4613">
        <v>-0.11431330572175501</v>
      </c>
      <c r="Q4613">
        <v>0.158893799613955</v>
      </c>
      <c r="R4613">
        <v>0.99528485843259495</v>
      </c>
      <c r="S4613" t="s">
        <v>11419</v>
      </c>
      <c r="T4613" t="s">
        <v>13610</v>
      </c>
      <c r="U4613" t="s">
        <v>13610</v>
      </c>
      <c r="V4613" t="s">
        <v>13610</v>
      </c>
      <c r="W4613" t="s">
        <v>18162</v>
      </c>
      <c r="X4613">
        <v>7</v>
      </c>
      <c r="Y4613" t="s">
        <v>24744</v>
      </c>
      <c r="Z4613" t="s">
        <v>31468</v>
      </c>
      <c r="AA4613">
        <v>0.49470494476341997</v>
      </c>
      <c r="AB4613" t="str">
        <f>HYPERLINK("Melting_Curves/meltCurve_Q8ND76_3_CCNY.pdf", "Melting_Curves/meltCurve_Q8ND76_3_CCNY.pdf")</f>
        <v>Melting_Curves/meltCurve_Q8ND76_3_CCNY.pdf</v>
      </c>
    </row>
    <row r="4614" spans="1:28" x14ac:dyDescent="0.25">
      <c r="A4614" t="s">
        <v>4618</v>
      </c>
      <c r="B4614">
        <v>0.995954080203443</v>
      </c>
      <c r="C4614">
        <v>1.0857793514740599</v>
      </c>
      <c r="D4614">
        <v>1.01893233130422</v>
      </c>
      <c r="E4614">
        <v>1.0521358750687799</v>
      </c>
      <c r="F4614">
        <v>0.91860039077072697</v>
      </c>
      <c r="G4614">
        <v>0.66475686841709802</v>
      </c>
      <c r="H4614">
        <v>0.65337497768988195</v>
      </c>
      <c r="I4614">
        <v>0.68288109371112604</v>
      </c>
      <c r="J4614">
        <v>0.89906903067010402</v>
      </c>
      <c r="K4614">
        <v>0.90328942947850399</v>
      </c>
      <c r="L4614">
        <v>13285.1261300553</v>
      </c>
      <c r="M4614">
        <v>250</v>
      </c>
      <c r="O4614">
        <v>53.137105839421501</v>
      </c>
      <c r="P4614">
        <v>-0.28149553700133001</v>
      </c>
      <c r="Q4614">
        <v>0.76067427881133098</v>
      </c>
      <c r="R4614">
        <v>0.68446391104559501</v>
      </c>
      <c r="S4614" t="s">
        <v>11420</v>
      </c>
      <c r="T4614" t="s">
        <v>13610</v>
      </c>
      <c r="U4614" t="s">
        <v>13610</v>
      </c>
      <c r="V4614" t="s">
        <v>13610</v>
      </c>
      <c r="W4614" t="s">
        <v>18163</v>
      </c>
      <c r="X4614">
        <v>2</v>
      </c>
      <c r="Y4614" t="s">
        <v>24745</v>
      </c>
      <c r="Z4614" t="s">
        <v>31469</v>
      </c>
      <c r="AA4614">
        <v>0.86552528921241978</v>
      </c>
      <c r="AB4614" t="str">
        <f>HYPERLINK("Melting_Curves/meltCurve_Q8NDC0_MAPK1IP1L.pdf", "Melting_Curves/meltCurve_Q8NDC0_MAPK1IP1L.pdf")</f>
        <v>Melting_Curves/meltCurve_Q8NDC0_MAPK1IP1L.pdf</v>
      </c>
    </row>
    <row r="4615" spans="1:28" x14ac:dyDescent="0.25">
      <c r="A4615" t="s">
        <v>4619</v>
      </c>
      <c r="B4615">
        <v>0.995954080203443</v>
      </c>
      <c r="C4615">
        <v>1.04105241907788</v>
      </c>
      <c r="D4615">
        <v>0.59793618181295305</v>
      </c>
      <c r="E4615">
        <v>0.93725648135697104</v>
      </c>
      <c r="F4615">
        <v>0.90834937567062601</v>
      </c>
      <c r="G4615">
        <v>0.73079889189853298</v>
      </c>
      <c r="H4615">
        <v>0.68364178694327005</v>
      </c>
      <c r="I4615">
        <v>0.81584326757021397</v>
      </c>
      <c r="J4615">
        <v>0.90683802392632396</v>
      </c>
      <c r="K4615">
        <v>0.963026784045244</v>
      </c>
      <c r="L4615">
        <v>11063.2897105544</v>
      </c>
      <c r="M4615">
        <v>250</v>
      </c>
      <c r="O4615">
        <v>44.250329598289397</v>
      </c>
      <c r="P4615">
        <v>-0.25711154572883799</v>
      </c>
      <c r="Q4615">
        <v>0.81796368089274896</v>
      </c>
      <c r="R4615">
        <v>0.333664423332237</v>
      </c>
      <c r="S4615" t="s">
        <v>11421</v>
      </c>
      <c r="T4615" t="s">
        <v>13610</v>
      </c>
      <c r="U4615" t="s">
        <v>13610</v>
      </c>
      <c r="V4615" t="s">
        <v>13610</v>
      </c>
      <c r="W4615" t="s">
        <v>18164</v>
      </c>
      <c r="X4615">
        <v>8</v>
      </c>
      <c r="Y4615" t="s">
        <v>24746</v>
      </c>
      <c r="Z4615" t="s">
        <v>31470</v>
      </c>
      <c r="AA4615">
        <v>0.84378546449673286</v>
      </c>
      <c r="AB4615" t="str">
        <f>HYPERLINK("Melting_Curves/meltCurve_Q8NDD1_3_C1orf131.pdf", "Melting_Curves/meltCurve_Q8NDD1_3_C1orf131.pdf")</f>
        <v>Melting_Curves/meltCurve_Q8NDD1_3_C1orf131.pdf</v>
      </c>
    </row>
    <row r="4616" spans="1:28" x14ac:dyDescent="0.25">
      <c r="A4616" t="s">
        <v>4620</v>
      </c>
      <c r="B4616">
        <v>0.995954080203443</v>
      </c>
      <c r="C4616">
        <v>1.03961769592011</v>
      </c>
      <c r="D4616">
        <v>0.98707833486160201</v>
      </c>
      <c r="E4616">
        <v>0.99177614111338197</v>
      </c>
      <c r="F4616">
        <v>1.0102728900025799</v>
      </c>
      <c r="G4616">
        <v>0.76081028607401602</v>
      </c>
      <c r="H4616">
        <v>0.71460047876851895</v>
      </c>
      <c r="I4616">
        <v>0.94118067227024704</v>
      </c>
      <c r="J4616">
        <v>1.0071983064551799</v>
      </c>
      <c r="K4616">
        <v>0.96377638414782796</v>
      </c>
      <c r="L4616">
        <v>13667.1789671515</v>
      </c>
      <c r="M4616">
        <v>250</v>
      </c>
      <c r="O4616">
        <v>54.665217453870198</v>
      </c>
      <c r="P4616">
        <v>-0.140041100649343</v>
      </c>
      <c r="Q4616">
        <v>0.87751396467782705</v>
      </c>
      <c r="R4616">
        <v>0.36501690386399799</v>
      </c>
      <c r="S4616" t="s">
        <v>11422</v>
      </c>
      <c r="T4616" t="s">
        <v>13610</v>
      </c>
      <c r="U4616" t="s">
        <v>13610</v>
      </c>
      <c r="V4616" t="s">
        <v>13610</v>
      </c>
      <c r="W4616" t="s">
        <v>18165</v>
      </c>
      <c r="X4616">
        <v>1</v>
      </c>
      <c r="Y4616" t="s">
        <v>24747</v>
      </c>
      <c r="Z4616" t="s">
        <v>31471</v>
      </c>
      <c r="AA4616">
        <v>0.93741614465811041</v>
      </c>
      <c r="AB4616" t="str">
        <f>HYPERLINK("Melting_Curves/meltCurve_Q8NDF8_PAPD5.pdf", "Melting_Curves/meltCurve_Q8NDF8_PAPD5.pdf")</f>
        <v>Melting_Curves/meltCurve_Q8NDF8_PAPD5.pdf</v>
      </c>
    </row>
    <row r="4617" spans="1:28" x14ac:dyDescent="0.25">
      <c r="A4617" t="s">
        <v>4621</v>
      </c>
      <c r="B4617">
        <v>0.995954080203443</v>
      </c>
      <c r="C4617">
        <v>0.95267794717402998</v>
      </c>
      <c r="D4617">
        <v>0.95094378922550504</v>
      </c>
      <c r="E4617">
        <v>0.77848807149731902</v>
      </c>
      <c r="F4617">
        <v>0.76334681581031205</v>
      </c>
      <c r="G4617">
        <v>0.58078857907567005</v>
      </c>
      <c r="H4617">
        <v>0.56133887375649205</v>
      </c>
      <c r="I4617">
        <v>0.70605656183844501</v>
      </c>
      <c r="J4617">
        <v>0.73814677152845798</v>
      </c>
      <c r="K4617">
        <v>0.81459036616975</v>
      </c>
      <c r="L4617">
        <v>1317.4960392406299</v>
      </c>
      <c r="M4617">
        <v>27.116084846562</v>
      </c>
      <c r="O4617">
        <v>48.325288479930698</v>
      </c>
      <c r="P4617">
        <v>-4.3955122315960299E-2</v>
      </c>
      <c r="Q4617">
        <v>0.68666214204515896</v>
      </c>
      <c r="R4617">
        <v>0.74400138711498598</v>
      </c>
      <c r="S4617" t="s">
        <v>11423</v>
      </c>
      <c r="T4617" t="s">
        <v>13610</v>
      </c>
      <c r="U4617" t="s">
        <v>13610</v>
      </c>
      <c r="V4617" t="s">
        <v>13610</v>
      </c>
      <c r="W4617" t="s">
        <v>18166</v>
      </c>
      <c r="X4617">
        <v>29</v>
      </c>
      <c r="Y4617" t="s">
        <v>24748</v>
      </c>
      <c r="Z4617" t="s">
        <v>31472</v>
      </c>
      <c r="AA4617">
        <v>0.77869223356430417</v>
      </c>
      <c r="AB4617" t="str">
        <f>HYPERLINK("Melting_Curves/meltCurve_Q8NDI1_3_EHBP1.pdf", "Melting_Curves/meltCurve_Q8NDI1_3_EHBP1.pdf")</f>
        <v>Melting_Curves/meltCurve_Q8NDI1_3_EHBP1.pdf</v>
      </c>
    </row>
    <row r="4618" spans="1:28" x14ac:dyDescent="0.25">
      <c r="A4618" t="s">
        <v>4622</v>
      </c>
      <c r="B4618">
        <v>0.995954080203443</v>
      </c>
      <c r="C4618">
        <v>0.86635881285356897</v>
      </c>
      <c r="D4618">
        <v>0.94639306087507702</v>
      </c>
      <c r="E4618">
        <v>0.802872472391299</v>
      </c>
      <c r="F4618">
        <v>0.790138791080917</v>
      </c>
      <c r="G4618">
        <v>0.71674975176190803</v>
      </c>
      <c r="H4618">
        <v>0.73375419494584704</v>
      </c>
      <c r="I4618">
        <v>0.79853797445965502</v>
      </c>
      <c r="J4618">
        <v>0.59121967870179604</v>
      </c>
      <c r="K4618">
        <v>0.63825438958533098</v>
      </c>
      <c r="L4618">
        <v>304.60960989442998</v>
      </c>
      <c r="M4618">
        <v>5.45691632634552</v>
      </c>
      <c r="O4618">
        <v>49.661213463681797</v>
      </c>
      <c r="P4618">
        <v>-1.29199849627782E-2</v>
      </c>
      <c r="Q4618">
        <v>0.53180142342814996</v>
      </c>
      <c r="R4618">
        <v>0.79332199237408896</v>
      </c>
      <c r="S4618" t="s">
        <v>11424</v>
      </c>
      <c r="T4618" t="s">
        <v>13610</v>
      </c>
      <c r="U4618" t="s">
        <v>13610</v>
      </c>
      <c r="V4618" t="s">
        <v>13610</v>
      </c>
      <c r="W4618" t="s">
        <v>18167</v>
      </c>
      <c r="X4618">
        <v>7</v>
      </c>
      <c r="Y4618" t="s">
        <v>24749</v>
      </c>
      <c r="Z4618" t="s">
        <v>31473</v>
      </c>
      <c r="AA4618">
        <v>0.78575356882370395</v>
      </c>
      <c r="AB4618" t="str">
        <f>HYPERLINK("Melting_Curves/meltCurve_Q8NDV7_2_TNRC6A.pdf", "Melting_Curves/meltCurve_Q8NDV7_2_TNRC6A.pdf")</f>
        <v>Melting_Curves/meltCurve_Q8NDV7_2_TNRC6A.pdf</v>
      </c>
    </row>
    <row r="4619" spans="1:28" x14ac:dyDescent="0.25">
      <c r="A4619" t="s">
        <v>4623</v>
      </c>
      <c r="B4619">
        <v>0.995954080203443</v>
      </c>
      <c r="C4619">
        <v>0.88096691877665401</v>
      </c>
      <c r="D4619">
        <v>1.01174376915826</v>
      </c>
      <c r="E4619">
        <v>0.59239741703553195</v>
      </c>
      <c r="F4619">
        <v>0.58830801318052295</v>
      </c>
      <c r="G4619">
        <v>0.521121844825297</v>
      </c>
      <c r="H4619">
        <v>0.48222876833495898</v>
      </c>
      <c r="I4619">
        <v>0.64617066094531395</v>
      </c>
      <c r="J4619">
        <v>0.57594611997267797</v>
      </c>
      <c r="K4619">
        <v>0.73555370810934395</v>
      </c>
      <c r="L4619">
        <v>12191.0450718867</v>
      </c>
      <c r="M4619">
        <v>250</v>
      </c>
      <c r="O4619">
        <v>48.761065831524</v>
      </c>
      <c r="P4619">
        <v>-0.52352923897104497</v>
      </c>
      <c r="Q4619">
        <v>0.591554552730714</v>
      </c>
      <c r="R4619">
        <v>0.83783829046276503</v>
      </c>
      <c r="S4619" t="s">
        <v>11425</v>
      </c>
      <c r="T4619" t="s">
        <v>13610</v>
      </c>
      <c r="U4619" t="s">
        <v>13610</v>
      </c>
      <c r="V4619" t="s">
        <v>13610</v>
      </c>
      <c r="W4619" t="s">
        <v>18168</v>
      </c>
      <c r="X4619">
        <v>7</v>
      </c>
      <c r="Y4619" t="s">
        <v>24750</v>
      </c>
      <c r="Z4619" t="s">
        <v>31474</v>
      </c>
      <c r="AA4619">
        <v>0.71091249222945607</v>
      </c>
      <c r="AB4619" t="str">
        <f>HYPERLINK("Melting_Curves/meltCurve_Q8NDX1_PSD4.pdf", "Melting_Curves/meltCurve_Q8NDX1_PSD4.pdf")</f>
        <v>Melting_Curves/meltCurve_Q8NDX1_PSD4.pdf</v>
      </c>
    </row>
    <row r="4620" spans="1:28" x14ac:dyDescent="0.25">
      <c r="A4620" t="s">
        <v>4624</v>
      </c>
      <c r="B4620">
        <v>0.995954080203443</v>
      </c>
      <c r="C4620">
        <v>1.04029225774004</v>
      </c>
      <c r="D4620">
        <v>1.1167813596726199</v>
      </c>
      <c r="E4620">
        <v>0.93940573330556798</v>
      </c>
      <c r="F4620">
        <v>0.93133256722153202</v>
      </c>
      <c r="G4620">
        <v>0.72222111075655104</v>
      </c>
      <c r="H4620">
        <v>0.66937851849847796</v>
      </c>
      <c r="I4620">
        <v>0.81265658481656</v>
      </c>
      <c r="J4620">
        <v>0.92784333966807198</v>
      </c>
      <c r="K4620">
        <v>0.952699431128605</v>
      </c>
      <c r="L4620">
        <v>8428.6940374043006</v>
      </c>
      <c r="M4620">
        <v>158.522186171584</v>
      </c>
      <c r="O4620">
        <v>53.161975691334099</v>
      </c>
      <c r="P4620">
        <v>-0.136450323867122</v>
      </c>
      <c r="Q4620">
        <v>0.81696016113483105</v>
      </c>
      <c r="R4620">
        <v>0.53557620607787804</v>
      </c>
      <c r="S4620" t="s">
        <v>11426</v>
      </c>
      <c r="T4620" t="s">
        <v>13610</v>
      </c>
      <c r="U4620" t="s">
        <v>13610</v>
      </c>
      <c r="V4620" t="s">
        <v>13610</v>
      </c>
      <c r="W4620" t="s">
        <v>18169</v>
      </c>
      <c r="X4620">
        <v>9</v>
      </c>
      <c r="Y4620" t="s">
        <v>24751</v>
      </c>
      <c r="Z4620" t="s">
        <v>31475</v>
      </c>
      <c r="AA4620">
        <v>0.89735981589876035</v>
      </c>
      <c r="AB4620" t="str">
        <f>HYPERLINK("Melting_Curves/meltCurve_Q8NDX5_7_PHC3.pdf", "Melting_Curves/meltCurve_Q8NDX5_7_PHC3.pdf")</f>
        <v>Melting_Curves/meltCurve_Q8NDX5_7_PHC3.pdf</v>
      </c>
    </row>
    <row r="4621" spans="1:28" x14ac:dyDescent="0.25">
      <c r="A4621" t="s">
        <v>4625</v>
      </c>
      <c r="B4621">
        <v>0.995954080203443</v>
      </c>
      <c r="C4621">
        <v>1.0235037831829199</v>
      </c>
      <c r="D4621">
        <v>0.71321062726988405</v>
      </c>
      <c r="E4621">
        <v>0.467142917564073</v>
      </c>
      <c r="F4621">
        <v>0.192725257761997</v>
      </c>
      <c r="G4621">
        <v>0.10634000630824</v>
      </c>
      <c r="H4621">
        <v>7.7065118867687105E-2</v>
      </c>
      <c r="I4621">
        <v>6.6593756010154298E-2</v>
      </c>
      <c r="J4621">
        <v>6.6632066945127105E-2</v>
      </c>
      <c r="K4621">
        <v>6.6513346401609802E-2</v>
      </c>
      <c r="L4621">
        <v>965.04507148296295</v>
      </c>
      <c r="M4621">
        <v>19.782056569985699</v>
      </c>
      <c r="N4621">
        <v>49.096070335317599</v>
      </c>
      <c r="O4621">
        <v>48.293564175124096</v>
      </c>
      <c r="P4621">
        <v>-9.6356066240451205E-2</v>
      </c>
      <c r="Q4621">
        <v>5.9103332718707602E-2</v>
      </c>
      <c r="R4621">
        <v>0.989571837620838</v>
      </c>
      <c r="S4621" t="s">
        <v>11427</v>
      </c>
      <c r="T4621" t="s">
        <v>13610</v>
      </c>
      <c r="U4621" t="s">
        <v>13610</v>
      </c>
      <c r="V4621" t="s">
        <v>13610</v>
      </c>
      <c r="W4621" t="s">
        <v>18170</v>
      </c>
      <c r="X4621">
        <v>3</v>
      </c>
      <c r="Y4621" t="s">
        <v>24752</v>
      </c>
      <c r="Z4621" t="s">
        <v>31476</v>
      </c>
      <c r="AA4621">
        <v>0.34810258539329708</v>
      </c>
      <c r="AB4621" t="str">
        <f>HYPERLINK("Melting_Curves/meltCurve_Q8NE01_2_CNNM3.pdf", "Melting_Curves/meltCurve_Q8NE01_2_CNNM3.pdf")</f>
        <v>Melting_Curves/meltCurve_Q8NE01_2_CNNM3.pdf</v>
      </c>
    </row>
    <row r="4622" spans="1:28" x14ac:dyDescent="0.25">
      <c r="A4622" t="s">
        <v>4626</v>
      </c>
      <c r="B4622">
        <v>0.995954080203443</v>
      </c>
      <c r="C4622">
        <v>0.68520969756235295</v>
      </c>
      <c r="D4622">
        <v>0.722631227012693</v>
      </c>
      <c r="E4622">
        <v>0.59853241190008499</v>
      </c>
      <c r="F4622">
        <v>0.54969520219866896</v>
      </c>
      <c r="G4622">
        <v>0.48568545882867398</v>
      </c>
      <c r="H4622">
        <v>0.45668726827779399</v>
      </c>
      <c r="I4622">
        <v>0.54880504495560001</v>
      </c>
      <c r="J4622">
        <v>0.76855172512660597</v>
      </c>
      <c r="K4622">
        <v>0.51499300034881701</v>
      </c>
      <c r="L4622">
        <v>935.59339806746004</v>
      </c>
      <c r="M4622">
        <v>21.845617883405598</v>
      </c>
      <c r="O4622">
        <v>42.473497060421998</v>
      </c>
      <c r="P4622">
        <v>-5.6427134111551203E-2</v>
      </c>
      <c r="Q4622">
        <v>0.56117485590264904</v>
      </c>
      <c r="R4622">
        <v>0.65666685840180095</v>
      </c>
      <c r="S4622" t="s">
        <v>11428</v>
      </c>
      <c r="T4622" t="s">
        <v>13610</v>
      </c>
      <c r="U4622" t="s">
        <v>13610</v>
      </c>
      <c r="V4622" t="s">
        <v>13610</v>
      </c>
      <c r="W4622" t="s">
        <v>18171</v>
      </c>
      <c r="X4622">
        <v>3</v>
      </c>
      <c r="Y4622" t="s">
        <v>24753</v>
      </c>
      <c r="Z4622" t="s">
        <v>31477</v>
      </c>
      <c r="AA4622">
        <v>0.61142302312686803</v>
      </c>
      <c r="AB4622" t="str">
        <f>HYPERLINK("Melting_Curves/meltCurve_Q8NE35_2_CPEB3.pdf", "Melting_Curves/meltCurve_Q8NE35_2_CPEB3.pdf")</f>
        <v>Melting_Curves/meltCurve_Q8NE35_2_CPEB3.pdf</v>
      </c>
    </row>
    <row r="4623" spans="1:28" x14ac:dyDescent="0.25">
      <c r="A4623" t="s">
        <v>4627</v>
      </c>
      <c r="B4623">
        <v>0.995954080203443</v>
      </c>
      <c r="C4623">
        <v>0.87484165947346304</v>
      </c>
      <c r="D4623">
        <v>0.66971804353369102</v>
      </c>
      <c r="E4623">
        <v>0.40402007214635099</v>
      </c>
      <c r="F4623">
        <v>0.308237048196918</v>
      </c>
      <c r="G4623">
        <v>0.21261460516762201</v>
      </c>
      <c r="H4623">
        <v>0.20504510783819499</v>
      </c>
      <c r="I4623">
        <v>0.23031960325430501</v>
      </c>
      <c r="J4623">
        <v>0.31008220526143399</v>
      </c>
      <c r="K4623">
        <v>0.26807458882042101</v>
      </c>
      <c r="L4623">
        <v>957.83890999420896</v>
      </c>
      <c r="M4623">
        <v>20.565045793454999</v>
      </c>
      <c r="N4623">
        <v>48.133276638580398</v>
      </c>
      <c r="O4623">
        <v>46.142367404205899</v>
      </c>
      <c r="P4623">
        <v>-8.4354727730163795E-2</v>
      </c>
      <c r="Q4623">
        <v>0.242945838058757</v>
      </c>
      <c r="R4623">
        <v>0.98673641028709902</v>
      </c>
      <c r="S4623" t="s">
        <v>11429</v>
      </c>
      <c r="T4623" t="s">
        <v>13610</v>
      </c>
      <c r="U4623" t="s">
        <v>13610</v>
      </c>
      <c r="V4623" t="s">
        <v>13610</v>
      </c>
      <c r="W4623" t="s">
        <v>18172</v>
      </c>
      <c r="X4623">
        <v>41</v>
      </c>
      <c r="Y4623" t="s">
        <v>24754</v>
      </c>
      <c r="Z4623" t="s">
        <v>31478</v>
      </c>
      <c r="AA4623">
        <v>0.41950736856533649</v>
      </c>
      <c r="AB4623" t="str">
        <f>HYPERLINK("Melting_Curves/meltCurve_Q8NE71_ABCF1.pdf", "Melting_Curves/meltCurve_Q8NE71_ABCF1.pdf")</f>
        <v>Melting_Curves/meltCurve_Q8NE71_ABCF1.pdf</v>
      </c>
    </row>
    <row r="4624" spans="1:28" x14ac:dyDescent="0.25">
      <c r="A4624" t="s">
        <v>4628</v>
      </c>
      <c r="B4624">
        <v>0.995954080203443</v>
      </c>
      <c r="C4624">
        <v>0.86169268557124001</v>
      </c>
      <c r="D4624">
        <v>0.64974050221345003</v>
      </c>
      <c r="E4624">
        <v>0.52498209671026297</v>
      </c>
      <c r="F4624">
        <v>0.21615864047136801</v>
      </c>
      <c r="G4624">
        <v>0.105952723399438</v>
      </c>
      <c r="H4624">
        <v>6.3900580119050004E-2</v>
      </c>
      <c r="I4624">
        <v>6.0172724559998302E-2</v>
      </c>
      <c r="J4624">
        <v>6.7488809819525097E-2</v>
      </c>
      <c r="K4624">
        <v>6.1736802711429901E-2</v>
      </c>
      <c r="L4624">
        <v>688.40879783412095</v>
      </c>
      <c r="M4624">
        <v>14.1312333919871</v>
      </c>
      <c r="N4624">
        <v>48.9141193328119</v>
      </c>
      <c r="O4624">
        <v>47.770989668541702</v>
      </c>
      <c r="P4624">
        <v>-7.1899268798215496E-2</v>
      </c>
      <c r="Q4624">
        <v>2.78953036285173E-2</v>
      </c>
      <c r="R4624">
        <v>0.98436249800664</v>
      </c>
      <c r="S4624" t="s">
        <v>11430</v>
      </c>
      <c r="T4624" t="s">
        <v>13610</v>
      </c>
      <c r="U4624" t="s">
        <v>13610</v>
      </c>
      <c r="V4624" t="s">
        <v>13610</v>
      </c>
      <c r="W4624" t="s">
        <v>18173</v>
      </c>
      <c r="X4624">
        <v>21</v>
      </c>
      <c r="Y4624" t="s">
        <v>24755</v>
      </c>
      <c r="Z4624" t="s">
        <v>31479</v>
      </c>
      <c r="AA4624">
        <v>0.33744986289772883</v>
      </c>
      <c r="AB4624" t="str">
        <f>HYPERLINK("Melting_Curves/meltCurve_Q8NEB9_PIK3C3.pdf", "Melting_Curves/meltCurve_Q8NEB9_PIK3C3.pdf")</f>
        <v>Melting_Curves/meltCurve_Q8NEB9_PIK3C3.pdf</v>
      </c>
    </row>
    <row r="4625" spans="1:28" x14ac:dyDescent="0.25">
      <c r="A4625" t="s">
        <v>4629</v>
      </c>
      <c r="B4625">
        <v>0.995954080203443</v>
      </c>
      <c r="C4625">
        <v>0.90120103860201795</v>
      </c>
      <c r="D4625">
        <v>0.77930229760185599</v>
      </c>
      <c r="E4625">
        <v>0.39581322025008098</v>
      </c>
      <c r="F4625">
        <v>0.27005885882536601</v>
      </c>
      <c r="G4625">
        <v>0.17293332400317901</v>
      </c>
      <c r="H4625">
        <v>0.111461830960742</v>
      </c>
      <c r="I4625">
        <v>0.112471450228856</v>
      </c>
      <c r="J4625">
        <v>0.12912247171938901</v>
      </c>
      <c r="K4625">
        <v>0.117900251529942</v>
      </c>
      <c r="L4625">
        <v>922.17379827330205</v>
      </c>
      <c r="M4625">
        <v>19.081366100262098</v>
      </c>
      <c r="N4625">
        <v>48.991852840044501</v>
      </c>
      <c r="O4625">
        <v>47.807082638726101</v>
      </c>
      <c r="P4625">
        <v>-8.8427050288804293E-2</v>
      </c>
      <c r="Q4625">
        <v>0.113842575029898</v>
      </c>
      <c r="R4625">
        <v>0.99734381070578004</v>
      </c>
      <c r="S4625" t="s">
        <v>11431</v>
      </c>
      <c r="T4625" t="s">
        <v>13610</v>
      </c>
      <c r="U4625" t="s">
        <v>13610</v>
      </c>
      <c r="V4625" t="s">
        <v>13610</v>
      </c>
      <c r="W4625" t="s">
        <v>18174</v>
      </c>
      <c r="X4625">
        <v>18</v>
      </c>
      <c r="Y4625" t="s">
        <v>24756</v>
      </c>
      <c r="Z4625" t="s">
        <v>31480</v>
      </c>
      <c r="AA4625">
        <v>0.37366200164055691</v>
      </c>
      <c r="AB4625" t="str">
        <f>HYPERLINK("Melting_Curves/meltCurve_Q8NEC7_GSTCD.pdf", "Melting_Curves/meltCurve_Q8NEC7_GSTCD.pdf")</f>
        <v>Melting_Curves/meltCurve_Q8NEC7_GSTCD.pdf</v>
      </c>
    </row>
    <row r="4626" spans="1:28" x14ac:dyDescent="0.25">
      <c r="A4626" t="s">
        <v>4630</v>
      </c>
      <c r="B4626">
        <v>0.995954080203443</v>
      </c>
      <c r="C4626">
        <v>0.88592245552923299</v>
      </c>
      <c r="D4626">
        <v>0.81349625100461997</v>
      </c>
      <c r="E4626">
        <v>0.81617717933384504</v>
      </c>
      <c r="F4626">
        <v>0.70298825392699704</v>
      </c>
      <c r="G4626">
        <v>0.55481786891356599</v>
      </c>
      <c r="H4626">
        <v>0.436701794442175</v>
      </c>
      <c r="I4626">
        <v>0.44164291555743801</v>
      </c>
      <c r="J4626">
        <v>0.38600322132079001</v>
      </c>
      <c r="K4626">
        <v>0.41639167241503899</v>
      </c>
      <c r="L4626">
        <v>451.12804325357803</v>
      </c>
      <c r="M4626">
        <v>8.3433904783931307</v>
      </c>
      <c r="N4626">
        <v>60.1452127864316</v>
      </c>
      <c r="O4626">
        <v>51.231345697596701</v>
      </c>
      <c r="P4626">
        <v>-2.9149612763245899E-2</v>
      </c>
      <c r="Q4626">
        <v>0.28473573444646399</v>
      </c>
      <c r="R4626">
        <v>0.96958508100468799</v>
      </c>
      <c r="S4626" t="s">
        <v>11432</v>
      </c>
      <c r="T4626" t="s">
        <v>13610</v>
      </c>
      <c r="U4626" t="s">
        <v>13610</v>
      </c>
      <c r="V4626" t="s">
        <v>13610</v>
      </c>
      <c r="W4626" t="s">
        <v>18175</v>
      </c>
      <c r="X4626">
        <v>6</v>
      </c>
      <c r="Y4626" t="s">
        <v>24757</v>
      </c>
      <c r="Z4626" t="s">
        <v>31481</v>
      </c>
      <c r="AA4626">
        <v>0.64382969679300983</v>
      </c>
      <c r="AB4626" t="str">
        <f>HYPERLINK("Melting_Curves/meltCurve_Q8NEF9_SRFBP1.pdf", "Melting_Curves/meltCurve_Q8NEF9_SRFBP1.pdf")</f>
        <v>Melting_Curves/meltCurve_Q8NEF9_SRFBP1.pdf</v>
      </c>
    </row>
    <row r="4627" spans="1:28" x14ac:dyDescent="0.25">
      <c r="A4627" t="s">
        <v>4631</v>
      </c>
      <c r="B4627">
        <v>0.995954080203443</v>
      </c>
      <c r="C4627">
        <v>0.97901582682797905</v>
      </c>
      <c r="D4627">
        <v>0.87136308748153501</v>
      </c>
      <c r="E4627">
        <v>0.70651155876010696</v>
      </c>
      <c r="F4627">
        <v>0.51138667923457104</v>
      </c>
      <c r="G4627">
        <v>0.35385131848162299</v>
      </c>
      <c r="H4627">
        <v>0.302348167733059</v>
      </c>
      <c r="I4627">
        <v>0.32030269457471999</v>
      </c>
      <c r="J4627">
        <v>0.36381106658471102</v>
      </c>
      <c r="K4627">
        <v>0.36417659442702799</v>
      </c>
      <c r="L4627">
        <v>1000.30127642925</v>
      </c>
      <c r="M4627">
        <v>19.895025585835299</v>
      </c>
      <c r="N4627">
        <v>53.081188830006901</v>
      </c>
      <c r="O4627">
        <v>49.779249762090103</v>
      </c>
      <c r="P4627">
        <v>-6.7437750717120604E-2</v>
      </c>
      <c r="Q4627">
        <v>0.32507971510502298</v>
      </c>
      <c r="R4627">
        <v>0.98969276074939205</v>
      </c>
      <c r="S4627" t="s">
        <v>11433</v>
      </c>
      <c r="T4627" t="s">
        <v>13610</v>
      </c>
      <c r="U4627" t="s">
        <v>13610</v>
      </c>
      <c r="V4627" t="s">
        <v>13610</v>
      </c>
      <c r="W4627" t="s">
        <v>18176</v>
      </c>
      <c r="X4627">
        <v>9</v>
      </c>
      <c r="Y4627" t="s">
        <v>24758</v>
      </c>
      <c r="Z4627" t="s">
        <v>31482</v>
      </c>
      <c r="AA4627">
        <v>0.56581153870024847</v>
      </c>
      <c r="AB4627" t="str">
        <f>HYPERLINK("Melting_Curves/meltCurve_Q8NEJ9_2_NGDN.pdf", "Melting_Curves/meltCurve_Q8NEJ9_2_NGDN.pdf")</f>
        <v>Melting_Curves/meltCurve_Q8NEJ9_2_NGDN.pdf</v>
      </c>
    </row>
    <row r="4628" spans="1:28" x14ac:dyDescent="0.25">
      <c r="A4628" t="s">
        <v>4632</v>
      </c>
      <c r="B4628">
        <v>0.995954080203443</v>
      </c>
      <c r="C4628">
        <v>0.68949936830292802</v>
      </c>
      <c r="D4628">
        <v>0.36186994280719598</v>
      </c>
      <c r="E4628">
        <v>0.32460250515545602</v>
      </c>
      <c r="F4628">
        <v>0.157816260389705</v>
      </c>
      <c r="G4628">
        <v>7.5723392908750506E-2</v>
      </c>
      <c r="H4628">
        <v>5.0612194007199802E-2</v>
      </c>
      <c r="I4628">
        <v>4.6774007784425697E-2</v>
      </c>
      <c r="J4628">
        <v>5.0490170719704103E-2</v>
      </c>
      <c r="K4628">
        <v>4.1983194436595199E-2</v>
      </c>
      <c r="L4628">
        <v>718.73496401256796</v>
      </c>
      <c r="M4628">
        <v>15.930999489388</v>
      </c>
      <c r="N4628">
        <v>45.4339579117241</v>
      </c>
      <c r="O4628">
        <v>44.422578177622903</v>
      </c>
      <c r="P4628">
        <v>-8.4926380435042206E-2</v>
      </c>
      <c r="Q4628">
        <v>5.2828333741206199E-2</v>
      </c>
      <c r="R4628">
        <v>0.96576306428079495</v>
      </c>
      <c r="S4628" t="s">
        <v>11434</v>
      </c>
      <c r="T4628" t="s">
        <v>13610</v>
      </c>
      <c r="U4628" t="s">
        <v>13610</v>
      </c>
      <c r="V4628" t="s">
        <v>13610</v>
      </c>
      <c r="W4628" t="s">
        <v>18177</v>
      </c>
      <c r="X4628">
        <v>6</v>
      </c>
      <c r="Y4628" t="s">
        <v>24759</v>
      </c>
      <c r="Z4628" t="s">
        <v>31483</v>
      </c>
      <c r="AA4628">
        <v>0.24076773270840679</v>
      </c>
      <c r="AB4628" t="str">
        <f>HYPERLINK("Melting_Curves/meltCurve_Q8NEM2_SHCBP1.pdf", "Melting_Curves/meltCurve_Q8NEM2_SHCBP1.pdf")</f>
        <v>Melting_Curves/meltCurve_Q8NEM2_SHCBP1.pdf</v>
      </c>
    </row>
    <row r="4629" spans="1:28" x14ac:dyDescent="0.25">
      <c r="A4629" t="s">
        <v>4633</v>
      </c>
      <c r="B4629">
        <v>0.995954080203443</v>
      </c>
      <c r="C4629">
        <v>0.93787299165132898</v>
      </c>
      <c r="D4629">
        <v>1.04666534526928</v>
      </c>
      <c r="E4629">
        <v>0.72547901563064798</v>
      </c>
      <c r="F4629">
        <v>0.64708442998936799</v>
      </c>
      <c r="G4629">
        <v>0.32197488119902601</v>
      </c>
      <c r="H4629">
        <v>0.30226681893930102</v>
      </c>
      <c r="I4629">
        <v>0.26362966001861099</v>
      </c>
      <c r="J4629">
        <v>0.372516375909132</v>
      </c>
      <c r="K4629">
        <v>0.27527091072634302</v>
      </c>
      <c r="L4629">
        <v>1182.47109970256</v>
      </c>
      <c r="M4629">
        <v>22.716216278901499</v>
      </c>
      <c r="N4629">
        <v>54.100754743691503</v>
      </c>
      <c r="O4629">
        <v>51.655689360349697</v>
      </c>
      <c r="P4629">
        <v>-7.8247350662341203E-2</v>
      </c>
      <c r="Q4629">
        <v>0.28828968503735503</v>
      </c>
      <c r="R4629">
        <v>0.96599402084014097</v>
      </c>
      <c r="S4629" t="s">
        <v>11435</v>
      </c>
      <c r="T4629" t="s">
        <v>13610</v>
      </c>
      <c r="U4629" t="s">
        <v>13610</v>
      </c>
      <c r="V4629" t="s">
        <v>13610</v>
      </c>
      <c r="W4629" t="s">
        <v>18178</v>
      </c>
      <c r="X4629">
        <v>4</v>
      </c>
      <c r="Y4629" t="s">
        <v>24760</v>
      </c>
      <c r="Z4629" t="s">
        <v>31484</v>
      </c>
      <c r="AA4629">
        <v>0.58205365705662737</v>
      </c>
      <c r="AB4629" t="str">
        <f>HYPERLINK("Melting_Curves/meltCurve_Q8NEN9_PDZD8.pdf", "Melting_Curves/meltCurve_Q8NEN9_PDZD8.pdf")</f>
        <v>Melting_Curves/meltCurve_Q8NEN9_PDZD8.pdf</v>
      </c>
    </row>
    <row r="4630" spans="1:28" x14ac:dyDescent="0.25">
      <c r="A4630" t="s">
        <v>4634</v>
      </c>
      <c r="B4630">
        <v>0.995954080203443</v>
      </c>
      <c r="C4630">
        <v>1.0240344081803401</v>
      </c>
      <c r="D4630">
        <v>0.87746278464149596</v>
      </c>
      <c r="E4630">
        <v>0.52638277396707001</v>
      </c>
      <c r="F4630">
        <v>0.33624767848911302</v>
      </c>
      <c r="G4630">
        <v>0.172283685766742</v>
      </c>
      <c r="H4630">
        <v>0.115579445428003</v>
      </c>
      <c r="I4630">
        <v>0.101054399811421</v>
      </c>
      <c r="J4630">
        <v>0.10717335952172601</v>
      </c>
      <c r="K4630">
        <v>0.109690524527955</v>
      </c>
      <c r="L4630">
        <v>1055.0399368194701</v>
      </c>
      <c r="M4630">
        <v>21.103351464801499</v>
      </c>
      <c r="N4630">
        <v>50.5488787773632</v>
      </c>
      <c r="O4630">
        <v>49.551537234976102</v>
      </c>
      <c r="P4630">
        <v>-9.5465446664352402E-2</v>
      </c>
      <c r="Q4630">
        <v>0.10339654039162301</v>
      </c>
      <c r="R4630">
        <v>0.99706491649905904</v>
      </c>
      <c r="S4630" t="s">
        <v>11436</v>
      </c>
      <c r="T4630" t="s">
        <v>13610</v>
      </c>
      <c r="U4630" t="s">
        <v>13610</v>
      </c>
      <c r="V4630" t="s">
        <v>13610</v>
      </c>
      <c r="W4630" t="s">
        <v>18179</v>
      </c>
      <c r="X4630">
        <v>6</v>
      </c>
      <c r="Y4630" t="s">
        <v>24761</v>
      </c>
      <c r="Z4630" t="s">
        <v>31485</v>
      </c>
      <c r="AA4630">
        <v>0.41331781551764613</v>
      </c>
      <c r="AB4630" t="str">
        <f>HYPERLINK("Melting_Curves/meltCurve_Q8NEU8_2_APPL2.pdf", "Melting_Curves/meltCurve_Q8NEU8_2_APPL2.pdf")</f>
        <v>Melting_Curves/meltCurve_Q8NEU8_2_APPL2.pdf</v>
      </c>
    </row>
    <row r="4631" spans="1:28" x14ac:dyDescent="0.25">
      <c r="A4631" t="s">
        <v>4635</v>
      </c>
      <c r="B4631">
        <v>0.995954080203443</v>
      </c>
      <c r="C4631">
        <v>0.94375571292491001</v>
      </c>
      <c r="D4631">
        <v>0.92262935228494403</v>
      </c>
      <c r="E4631">
        <v>0.81137712047287003</v>
      </c>
      <c r="F4631">
        <v>0.76666803439458997</v>
      </c>
      <c r="G4631">
        <v>0.57104994451230995</v>
      </c>
      <c r="H4631">
        <v>0.53092535491663895</v>
      </c>
      <c r="I4631">
        <v>0.61542200635344801</v>
      </c>
      <c r="J4631">
        <v>0.742718654027128</v>
      </c>
      <c r="K4631">
        <v>0.71165838375567203</v>
      </c>
      <c r="L4631">
        <v>1014.29835759041</v>
      </c>
      <c r="M4631">
        <v>20.465572569605602</v>
      </c>
      <c r="O4631">
        <v>49.095265263827699</v>
      </c>
      <c r="P4631">
        <v>-3.7827602126359001E-2</v>
      </c>
      <c r="Q4631">
        <v>0.63702915587084297</v>
      </c>
      <c r="R4631">
        <v>0.81432949184432801</v>
      </c>
      <c r="S4631" t="s">
        <v>11437</v>
      </c>
      <c r="T4631" t="s">
        <v>13610</v>
      </c>
      <c r="U4631" t="s">
        <v>13610</v>
      </c>
      <c r="V4631" t="s">
        <v>13610</v>
      </c>
      <c r="W4631" t="s">
        <v>18180</v>
      </c>
      <c r="X4631">
        <v>35</v>
      </c>
      <c r="Y4631" t="s">
        <v>24762</v>
      </c>
      <c r="Z4631" t="s">
        <v>31486</v>
      </c>
      <c r="AA4631">
        <v>0.75754716890920737</v>
      </c>
      <c r="AB4631" t="str">
        <f>HYPERLINK("Melting_Curves/meltCurve_Q8NEY1_2_NAV1.pdf", "Melting_Curves/meltCurve_Q8NEY1_2_NAV1.pdf")</f>
        <v>Melting_Curves/meltCurve_Q8NEY1_2_NAV1.pdf</v>
      </c>
    </row>
    <row r="4632" spans="1:28" x14ac:dyDescent="0.25">
      <c r="A4632" t="s">
        <v>4636</v>
      </c>
      <c r="B4632">
        <v>0.995954080203443</v>
      </c>
      <c r="C4632">
        <v>0.96277199352010301</v>
      </c>
      <c r="D4632">
        <v>1.0266996362174401</v>
      </c>
      <c r="E4632">
        <v>0.89569609274911</v>
      </c>
      <c r="F4632">
        <v>0.90461747425102701</v>
      </c>
      <c r="G4632">
        <v>0.69130207016749601</v>
      </c>
      <c r="H4632">
        <v>0.66213912779311801</v>
      </c>
      <c r="I4632">
        <v>0.77832246003533101</v>
      </c>
      <c r="J4632">
        <v>1.03594715650361</v>
      </c>
      <c r="K4632">
        <v>0.88405054128369598</v>
      </c>
      <c r="L4632">
        <v>1734.15745670155</v>
      </c>
      <c r="M4632">
        <v>34.435844565477602</v>
      </c>
      <c r="O4632">
        <v>50.190159244068902</v>
      </c>
      <c r="P4632">
        <v>-3.1191985183463399E-2</v>
      </c>
      <c r="Q4632">
        <v>0.81815171594710301</v>
      </c>
      <c r="R4632">
        <v>0.36797712774615299</v>
      </c>
      <c r="S4632" t="s">
        <v>11438</v>
      </c>
      <c r="T4632" t="s">
        <v>13610</v>
      </c>
      <c r="U4632" t="s">
        <v>13610</v>
      </c>
      <c r="V4632" t="s">
        <v>13610</v>
      </c>
      <c r="W4632" t="s">
        <v>18181</v>
      </c>
      <c r="X4632">
        <v>17</v>
      </c>
      <c r="Y4632" t="s">
        <v>24763</v>
      </c>
      <c r="Z4632" t="s">
        <v>31487</v>
      </c>
      <c r="AA4632">
        <v>0.88180096305219791</v>
      </c>
      <c r="AB4632" t="str">
        <f>HYPERLINK("Melting_Curves/meltCurve_Q8NEY8_2_PPHLN1.pdf", "Melting_Curves/meltCurve_Q8NEY8_2_PPHLN1.pdf")</f>
        <v>Melting_Curves/meltCurve_Q8NEY8_2_PPHLN1.pdf</v>
      </c>
    </row>
    <row r="4633" spans="1:28" x14ac:dyDescent="0.25">
      <c r="A4633" t="s">
        <v>4637</v>
      </c>
      <c r="B4633">
        <v>0.995954080203443</v>
      </c>
      <c r="C4633">
        <v>0.97283176572822705</v>
      </c>
      <c r="D4633">
        <v>0.87421297893654604</v>
      </c>
      <c r="E4633">
        <v>0.83946912737717805</v>
      </c>
      <c r="F4633">
        <v>0.86104291879734696</v>
      </c>
      <c r="G4633">
        <v>0.62431492110451903</v>
      </c>
      <c r="H4633">
        <v>0.60071298653862004</v>
      </c>
      <c r="I4633">
        <v>0.64600726070399395</v>
      </c>
      <c r="J4633">
        <v>0.90200951611186997</v>
      </c>
      <c r="K4633">
        <v>0.74764933300743297</v>
      </c>
      <c r="L4633">
        <v>787.19019228344598</v>
      </c>
      <c r="M4633">
        <v>16.260387816993301</v>
      </c>
      <c r="O4633">
        <v>47.697075241358199</v>
      </c>
      <c r="P4633">
        <v>-2.4472585581792002E-2</v>
      </c>
      <c r="Q4633">
        <v>0.712876507339406</v>
      </c>
      <c r="R4633">
        <v>0.577745752651599</v>
      </c>
      <c r="S4633" t="s">
        <v>11439</v>
      </c>
      <c r="T4633" t="s">
        <v>13610</v>
      </c>
      <c r="U4633" t="s">
        <v>13610</v>
      </c>
      <c r="V4633" t="s">
        <v>13610</v>
      </c>
      <c r="W4633" t="s">
        <v>18182</v>
      </c>
      <c r="X4633">
        <v>14</v>
      </c>
      <c r="Y4633" t="s">
        <v>24763</v>
      </c>
      <c r="Z4633" t="s">
        <v>31488</v>
      </c>
      <c r="AA4633">
        <v>0.79956950937172289</v>
      </c>
      <c r="AB4633" t="str">
        <f>HYPERLINK("Melting_Curves/meltCurve_Q8NEY8_3_PPHLN1.pdf", "Melting_Curves/meltCurve_Q8NEY8_3_PPHLN1.pdf")</f>
        <v>Melting_Curves/meltCurve_Q8NEY8_3_PPHLN1.pdf</v>
      </c>
    </row>
    <row r="4634" spans="1:28" x14ac:dyDescent="0.25">
      <c r="A4634" t="s">
        <v>4638</v>
      </c>
      <c r="B4634">
        <v>0.995954080203443</v>
      </c>
      <c r="C4634">
        <v>0.93006677791930303</v>
      </c>
      <c r="D4634">
        <v>1.0346521514278999</v>
      </c>
      <c r="E4634">
        <v>0.74486901302209596</v>
      </c>
      <c r="F4634">
        <v>0.843783889797315</v>
      </c>
      <c r="G4634">
        <v>0.75479590455019896</v>
      </c>
      <c r="H4634">
        <v>0.61907277417620699</v>
      </c>
      <c r="I4634">
        <v>0.78721944247227305</v>
      </c>
      <c r="J4634">
        <v>0.822260861273437</v>
      </c>
      <c r="K4634">
        <v>0.95268487318499495</v>
      </c>
      <c r="L4634">
        <v>11975.242740719999</v>
      </c>
      <c r="M4634">
        <v>250</v>
      </c>
      <c r="O4634">
        <v>47.897905484908399</v>
      </c>
      <c r="P4634">
        <v>-0.27501141276544</v>
      </c>
      <c r="Q4634">
        <v>0.78924046916480195</v>
      </c>
      <c r="R4634">
        <v>0.54157602949876105</v>
      </c>
      <c r="S4634" t="s">
        <v>11440</v>
      </c>
      <c r="T4634" t="s">
        <v>13610</v>
      </c>
      <c r="U4634" t="s">
        <v>13610</v>
      </c>
      <c r="V4634" t="s">
        <v>13610</v>
      </c>
      <c r="W4634" t="s">
        <v>18183</v>
      </c>
      <c r="X4634">
        <v>6</v>
      </c>
      <c r="Y4634" t="s">
        <v>24764</v>
      </c>
      <c r="Z4634" t="s">
        <v>31489</v>
      </c>
      <c r="AA4634">
        <v>0.84476501787070724</v>
      </c>
      <c r="AB4634" t="str">
        <f>HYPERLINK("Melting_Curves/meltCurve_Q8NEZ2_VPS37A.pdf", "Melting_Curves/meltCurve_Q8NEZ2_VPS37A.pdf")</f>
        <v>Melting_Curves/meltCurve_Q8NEZ2_VPS37A.pdf</v>
      </c>
    </row>
    <row r="4635" spans="1:28" x14ac:dyDescent="0.25">
      <c r="A4635" t="s">
        <v>4639</v>
      </c>
      <c r="B4635">
        <v>0.995954080203443</v>
      </c>
      <c r="C4635">
        <v>0.99975365628796498</v>
      </c>
      <c r="D4635">
        <v>0.97674903315812001</v>
      </c>
      <c r="E4635">
        <v>0.92870811526302099</v>
      </c>
      <c r="F4635">
        <v>0.75012211084731395</v>
      </c>
      <c r="G4635">
        <v>0.63942735016441998</v>
      </c>
      <c r="H4635">
        <v>0.56103681878588096</v>
      </c>
      <c r="I4635">
        <v>0.63457475789337403</v>
      </c>
      <c r="J4635">
        <v>0.82262217399779203</v>
      </c>
      <c r="K4635">
        <v>0.73737622406774805</v>
      </c>
      <c r="L4635">
        <v>2380.1370277068499</v>
      </c>
      <c r="M4635">
        <v>46.299375639741498</v>
      </c>
      <c r="O4635">
        <v>51.3119127124722</v>
      </c>
      <c r="P4635">
        <v>-7.2331331351152994E-2</v>
      </c>
      <c r="Q4635">
        <v>0.67935165017286503</v>
      </c>
      <c r="R4635">
        <v>0.82566352300395596</v>
      </c>
      <c r="S4635" t="s">
        <v>11441</v>
      </c>
      <c r="T4635" t="s">
        <v>13610</v>
      </c>
      <c r="U4635" t="s">
        <v>13610</v>
      </c>
      <c r="V4635" t="s">
        <v>13610</v>
      </c>
      <c r="W4635" t="s">
        <v>18184</v>
      </c>
      <c r="X4635">
        <v>16</v>
      </c>
      <c r="Y4635" t="s">
        <v>24765</v>
      </c>
      <c r="Z4635" t="s">
        <v>31490</v>
      </c>
      <c r="AA4635">
        <v>0.80212730321772441</v>
      </c>
      <c r="AB4635" t="str">
        <f>HYPERLINK("Melting_Curves/meltCurve_Q8NEZ4_MLL3.pdf", "Melting_Curves/meltCurve_Q8NEZ4_MLL3.pdf")</f>
        <v>Melting_Curves/meltCurve_Q8NEZ4_MLL3.pdf</v>
      </c>
    </row>
    <row r="4636" spans="1:28" x14ac:dyDescent="0.25">
      <c r="A4636" t="s">
        <v>4640</v>
      </c>
      <c r="B4636">
        <v>0.995954080203443</v>
      </c>
      <c r="C4636">
        <v>0.98261113178725901</v>
      </c>
      <c r="D4636">
        <v>0.80759532953105195</v>
      </c>
      <c r="E4636">
        <v>0.59856156076817502</v>
      </c>
      <c r="F4636">
        <v>0.267892976991914</v>
      </c>
      <c r="G4636">
        <v>0.117191421606181</v>
      </c>
      <c r="H4636">
        <v>7.6959684844915499E-2</v>
      </c>
      <c r="I4636">
        <v>6.4814658632034394E-2</v>
      </c>
      <c r="J4636">
        <v>7.2252507921723996E-2</v>
      </c>
      <c r="K4636">
        <v>6.27992435857707E-2</v>
      </c>
      <c r="L4636">
        <v>979.45230509374403</v>
      </c>
      <c r="M4636">
        <v>19.5136222789349</v>
      </c>
      <c r="N4636">
        <v>50.469563237200603</v>
      </c>
      <c r="O4636">
        <v>49.675050576102201</v>
      </c>
      <c r="P4636">
        <v>-9.3234481537840003E-2</v>
      </c>
      <c r="Q4636">
        <v>5.0660994925922E-2</v>
      </c>
      <c r="R4636">
        <v>0.99443220662065401</v>
      </c>
      <c r="S4636" t="s">
        <v>11442</v>
      </c>
      <c r="T4636" t="s">
        <v>13610</v>
      </c>
      <c r="U4636" t="s">
        <v>13610</v>
      </c>
      <c r="V4636" t="s">
        <v>13610</v>
      </c>
      <c r="W4636" t="s">
        <v>18185</v>
      </c>
      <c r="X4636">
        <v>9</v>
      </c>
      <c r="Y4636" t="s">
        <v>24766</v>
      </c>
      <c r="Z4636" t="s">
        <v>31491</v>
      </c>
      <c r="AA4636">
        <v>0.3870725015788391</v>
      </c>
      <c r="AB4636" t="str">
        <f>HYPERLINK("Melting_Curves/meltCurve_Q8NEZ5_FBXO22.pdf", "Melting_Curves/meltCurve_Q8NEZ5_FBXO22.pdf")</f>
        <v>Melting_Curves/meltCurve_Q8NEZ5_FBXO22.pdf</v>
      </c>
    </row>
    <row r="4637" spans="1:28" x14ac:dyDescent="0.25">
      <c r="A4637" t="s">
        <v>4641</v>
      </c>
      <c r="B4637">
        <v>0.995954080203443</v>
      </c>
      <c r="C4637">
        <v>0.93028539473871796</v>
      </c>
      <c r="D4637">
        <v>0.78581140341600197</v>
      </c>
      <c r="E4637">
        <v>0.70255954450059899</v>
      </c>
      <c r="F4637">
        <v>0.43366308986636098</v>
      </c>
      <c r="G4637">
        <v>0.21267089304182701</v>
      </c>
      <c r="H4637">
        <v>0.16948258893406301</v>
      </c>
      <c r="I4637">
        <v>0.112858969980163</v>
      </c>
      <c r="J4637">
        <v>9.6219388024577399E-2</v>
      </c>
      <c r="K4637">
        <v>9.2660151019988105E-2</v>
      </c>
      <c r="L4637">
        <v>701.55189790577799</v>
      </c>
      <c r="M4637">
        <v>13.592719935011299</v>
      </c>
      <c r="N4637">
        <v>52.0435128501694</v>
      </c>
      <c r="O4637">
        <v>50.533658948544399</v>
      </c>
      <c r="P4637">
        <v>-6.3674235740475094E-2</v>
      </c>
      <c r="Q4637">
        <v>5.3253666056903397E-2</v>
      </c>
      <c r="R4637">
        <v>0.98980899538220102</v>
      </c>
      <c r="S4637" t="s">
        <v>11443</v>
      </c>
      <c r="T4637" t="s">
        <v>13610</v>
      </c>
      <c r="U4637" t="s">
        <v>13610</v>
      </c>
      <c r="V4637" t="s">
        <v>13610</v>
      </c>
      <c r="W4637" t="s">
        <v>18186</v>
      </c>
      <c r="X4637">
        <v>2</v>
      </c>
      <c r="Y4637" t="s">
        <v>24767</v>
      </c>
      <c r="Z4637" t="s">
        <v>31492</v>
      </c>
      <c r="AA4637">
        <v>0.44464806591826911</v>
      </c>
      <c r="AB4637" t="str">
        <f>HYPERLINK("Melting_Curves/meltCurve_Q8NF37_LPCAT1.pdf", "Melting_Curves/meltCurve_Q8NF37_LPCAT1.pdf")</f>
        <v>Melting_Curves/meltCurve_Q8NF37_LPCAT1.pdf</v>
      </c>
    </row>
    <row r="4638" spans="1:28" x14ac:dyDescent="0.25">
      <c r="A4638" t="s">
        <v>4642</v>
      </c>
      <c r="B4638">
        <v>0.995954080203443</v>
      </c>
      <c r="C4638">
        <v>0.72657934810325298</v>
      </c>
      <c r="D4638">
        <v>0.434240062050333</v>
      </c>
      <c r="E4638">
        <v>0.28516130023423703</v>
      </c>
      <c r="F4638">
        <v>0.17714586636642901</v>
      </c>
      <c r="G4638">
        <v>0.101689923107166</v>
      </c>
      <c r="H4638">
        <v>7.8750725806557204E-2</v>
      </c>
      <c r="I4638">
        <v>6.5930059369519706E-2</v>
      </c>
      <c r="J4638">
        <v>8.7212760678104698E-2</v>
      </c>
      <c r="K4638">
        <v>7.1207432183140199E-2</v>
      </c>
      <c r="L4638">
        <v>779.79516453433405</v>
      </c>
      <c r="M4638">
        <v>17.2099892376872</v>
      </c>
      <c r="N4638">
        <v>45.7751925612665</v>
      </c>
      <c r="O4638">
        <v>44.712113442299497</v>
      </c>
      <c r="P4638">
        <v>-8.8520939461319698E-2</v>
      </c>
      <c r="Q4638">
        <v>8.01330124804812E-2</v>
      </c>
      <c r="R4638">
        <v>0.98582656958141601</v>
      </c>
      <c r="S4638" t="s">
        <v>11444</v>
      </c>
      <c r="T4638" t="s">
        <v>13610</v>
      </c>
      <c r="U4638" t="s">
        <v>13610</v>
      </c>
      <c r="V4638" t="s">
        <v>13610</v>
      </c>
      <c r="W4638" t="s">
        <v>18187</v>
      </c>
      <c r="X4638">
        <v>29</v>
      </c>
      <c r="Y4638" t="s">
        <v>24768</v>
      </c>
      <c r="Z4638" t="s">
        <v>31493</v>
      </c>
      <c r="AA4638">
        <v>0.26419706652751812</v>
      </c>
      <c r="AB4638" t="str">
        <f>HYPERLINK("Melting_Curves/meltCurve_Q8NF50_4_DOCK8.pdf", "Melting_Curves/meltCurve_Q8NF50_4_DOCK8.pdf")</f>
        <v>Melting_Curves/meltCurve_Q8NF50_4_DOCK8.pdf</v>
      </c>
    </row>
    <row r="4639" spans="1:28" x14ac:dyDescent="0.25">
      <c r="A4639" t="s">
        <v>4643</v>
      </c>
      <c r="B4639">
        <v>0.995954080203443</v>
      </c>
      <c r="C4639">
        <v>0.85055441846382696</v>
      </c>
      <c r="D4639">
        <v>0.900006766247331</v>
      </c>
      <c r="E4639">
        <v>0.74920785387411304</v>
      </c>
      <c r="F4639">
        <v>0.68680188918465601</v>
      </c>
      <c r="G4639">
        <v>0.471013709043551</v>
      </c>
      <c r="H4639">
        <v>0.26574101328440097</v>
      </c>
      <c r="I4639">
        <v>0.194623389497696</v>
      </c>
      <c r="J4639">
        <v>0.15176696015457899</v>
      </c>
      <c r="K4639">
        <v>0.13608273990370201</v>
      </c>
      <c r="L4639">
        <v>559.93378065139996</v>
      </c>
      <c r="M4639">
        <v>10.019829945501</v>
      </c>
      <c r="N4639">
        <v>55.882563246166598</v>
      </c>
      <c r="O4639">
        <v>53.793486894942298</v>
      </c>
      <c r="P4639">
        <v>-4.6588663747284299E-2</v>
      </c>
      <c r="Q4639">
        <v>0</v>
      </c>
      <c r="R4639">
        <v>0.98344908121797803</v>
      </c>
      <c r="S4639" t="s">
        <v>11445</v>
      </c>
      <c r="T4639" t="s">
        <v>13610</v>
      </c>
      <c r="U4639" t="s">
        <v>13610</v>
      </c>
      <c r="V4639" t="s">
        <v>13610</v>
      </c>
      <c r="W4639" t="s">
        <v>18188</v>
      </c>
      <c r="X4639">
        <v>7</v>
      </c>
      <c r="Y4639" t="s">
        <v>24769</v>
      </c>
      <c r="Z4639" t="s">
        <v>31494</v>
      </c>
      <c r="AA4639">
        <v>0.55110157508498825</v>
      </c>
      <c r="AB4639" t="str">
        <f>HYPERLINK("Melting_Curves/meltCurve_Q8NF64_3_ZMIZ2.pdf", "Melting_Curves/meltCurve_Q8NF64_3_ZMIZ2.pdf")</f>
        <v>Melting_Curves/meltCurve_Q8NF64_3_ZMIZ2.pdf</v>
      </c>
    </row>
    <row r="4640" spans="1:28" x14ac:dyDescent="0.25">
      <c r="A4640" t="s">
        <v>4644</v>
      </c>
      <c r="B4640">
        <v>0.995954080203443</v>
      </c>
      <c r="C4640">
        <v>1.01192840704675</v>
      </c>
      <c r="D4640">
        <v>0.98498274044100398</v>
      </c>
      <c r="E4640">
        <v>0.93430433453727602</v>
      </c>
      <c r="F4640">
        <v>0.91839673578180703</v>
      </c>
      <c r="G4640">
        <v>0.72114331386655905</v>
      </c>
      <c r="H4640">
        <v>0.63866742337698301</v>
      </c>
      <c r="I4640">
        <v>0.74984821229898302</v>
      </c>
      <c r="J4640">
        <v>0.84153687085697604</v>
      </c>
      <c r="K4640">
        <v>0.82466058081987603</v>
      </c>
      <c r="L4640">
        <v>4668.12872531619</v>
      </c>
      <c r="M4640">
        <v>87.409535705282707</v>
      </c>
      <c r="O4640">
        <v>53.377335375116402</v>
      </c>
      <c r="P4640">
        <v>-0.100275928354653</v>
      </c>
      <c r="Q4640">
        <v>0.75506287729180499</v>
      </c>
      <c r="R4640">
        <v>0.78566675926638896</v>
      </c>
      <c r="S4640" t="s">
        <v>11446</v>
      </c>
      <c r="T4640" t="s">
        <v>13610</v>
      </c>
      <c r="U4640" t="s">
        <v>13610</v>
      </c>
      <c r="V4640" t="s">
        <v>13610</v>
      </c>
      <c r="W4640" t="s">
        <v>18189</v>
      </c>
      <c r="X4640">
        <v>2</v>
      </c>
      <c r="Y4640" t="s">
        <v>24770</v>
      </c>
      <c r="Z4640" t="s">
        <v>31495</v>
      </c>
      <c r="AA4640">
        <v>0.86469913739710202</v>
      </c>
      <c r="AB4640" t="str">
        <f>HYPERLINK("Melting_Curves/meltCurve_Q8NF99_ZNF397.pdf", "Melting_Curves/meltCurve_Q8NF99_ZNF397.pdf")</f>
        <v>Melting_Curves/meltCurve_Q8NF99_ZNF397.pdf</v>
      </c>
    </row>
    <row r="4641" spans="1:28" x14ac:dyDescent="0.25">
      <c r="A4641" t="s">
        <v>4645</v>
      </c>
      <c r="B4641">
        <v>0.995954080203443</v>
      </c>
      <c r="C4641">
        <v>0.82713070578659398</v>
      </c>
      <c r="D4641">
        <v>0.53497668741927695</v>
      </c>
      <c r="E4641">
        <v>0.449670668224734</v>
      </c>
      <c r="F4641">
        <v>0.23372718039969601</v>
      </c>
      <c r="G4641">
        <v>0.15608545548403699</v>
      </c>
      <c r="H4641">
        <v>0.130487546388694</v>
      </c>
      <c r="I4641">
        <v>0.11860854203729899</v>
      </c>
      <c r="J4641">
        <v>0.15831951511169501</v>
      </c>
      <c r="K4641">
        <v>0.13636431827167</v>
      </c>
      <c r="L4641">
        <v>698.09651549025398</v>
      </c>
      <c r="M4641">
        <v>14.9360805372814</v>
      </c>
      <c r="N4641">
        <v>47.631027910433701</v>
      </c>
      <c r="O4641">
        <v>45.925115919580001</v>
      </c>
      <c r="P4641">
        <v>-7.1393802357356803E-2</v>
      </c>
      <c r="Q4641">
        <v>0.122010302869715</v>
      </c>
      <c r="R4641">
        <v>0.97842794295357205</v>
      </c>
      <c r="S4641" t="s">
        <v>11447</v>
      </c>
      <c r="T4641" t="s">
        <v>13610</v>
      </c>
      <c r="U4641" t="s">
        <v>13610</v>
      </c>
      <c r="V4641" t="s">
        <v>13610</v>
      </c>
      <c r="W4641" t="s">
        <v>18190</v>
      </c>
      <c r="X4641">
        <v>12</v>
      </c>
      <c r="Y4641" t="s">
        <v>24771</v>
      </c>
      <c r="Z4641" t="s">
        <v>31496</v>
      </c>
      <c r="AA4641">
        <v>0.34371125954282211</v>
      </c>
      <c r="AB4641" t="str">
        <f>HYPERLINK("Melting_Curves/meltCurve_Q8NFA0_USP32.pdf", "Melting_Curves/meltCurve_Q8NFA0_USP32.pdf")</f>
        <v>Melting_Curves/meltCurve_Q8NFA0_USP32.pdf</v>
      </c>
    </row>
    <row r="4642" spans="1:28" x14ac:dyDescent="0.25">
      <c r="A4642" t="s">
        <v>4646</v>
      </c>
      <c r="B4642">
        <v>0.995954080203443</v>
      </c>
      <c r="C4642">
        <v>0.99066385857405104</v>
      </c>
      <c r="D4642">
        <v>1.05097130543256</v>
      </c>
      <c r="E4642">
        <v>0.93991351597170003</v>
      </c>
      <c r="F4642">
        <v>0.98924645089345598</v>
      </c>
      <c r="G4642">
        <v>0.77038710569090396</v>
      </c>
      <c r="H4642">
        <v>0.75173280560453504</v>
      </c>
      <c r="I4642">
        <v>0.89449937829998905</v>
      </c>
      <c r="J4642">
        <v>1.1301017040177499</v>
      </c>
      <c r="K4642">
        <v>1.0566650864576701</v>
      </c>
      <c r="L4642">
        <v>7235.8234936221797</v>
      </c>
      <c r="M4642">
        <v>146.75150511094</v>
      </c>
      <c r="O4642">
        <v>49.297475643761103</v>
      </c>
      <c r="P4642">
        <v>-5.0532200516851797E-2</v>
      </c>
      <c r="Q4642">
        <v>0.93209990422302103</v>
      </c>
      <c r="R4642">
        <v>9.5752132281202301E-2</v>
      </c>
      <c r="S4642" t="s">
        <v>11448</v>
      </c>
      <c r="T4642" t="s">
        <v>13610</v>
      </c>
      <c r="U4642" t="s">
        <v>13610</v>
      </c>
      <c r="V4642" t="s">
        <v>13610</v>
      </c>
      <c r="W4642" t="s">
        <v>18191</v>
      </c>
      <c r="X4642">
        <v>105</v>
      </c>
      <c r="Y4642" t="s">
        <v>24772</v>
      </c>
      <c r="Z4642" t="s">
        <v>31497</v>
      </c>
      <c r="AA4642">
        <v>0.95318101907096142</v>
      </c>
      <c r="AB4642" t="str">
        <f>HYPERLINK("Melting_Curves/meltCurve_Q8NFC6_BOD1L1.pdf", "Melting_Curves/meltCurve_Q8NFC6_BOD1L1.pdf")</f>
        <v>Melting_Curves/meltCurve_Q8NFC6_BOD1L1.pdf</v>
      </c>
    </row>
    <row r="4643" spans="1:28" x14ac:dyDescent="0.25">
      <c r="A4643" t="s">
        <v>4647</v>
      </c>
      <c r="B4643">
        <v>0.995954080203443</v>
      </c>
      <c r="C4643">
        <v>0.94253469041181603</v>
      </c>
      <c r="D4643">
        <v>0.69817028227420297</v>
      </c>
      <c r="E4643">
        <v>0.27535613712187701</v>
      </c>
      <c r="F4643">
        <v>0.108478297945824</v>
      </c>
      <c r="G4643">
        <v>6.4979985268607404E-2</v>
      </c>
      <c r="H4643">
        <v>4.3979235132673301E-2</v>
      </c>
      <c r="I4643">
        <v>4.0610065140802003E-2</v>
      </c>
      <c r="J4643">
        <v>4.73951074452666E-2</v>
      </c>
      <c r="K4643">
        <v>4.0563680315694899E-2</v>
      </c>
      <c r="L4643">
        <v>1142.1749486338799</v>
      </c>
      <c r="M4643">
        <v>24.0190097827209</v>
      </c>
      <c r="N4643">
        <v>47.726135763796897</v>
      </c>
      <c r="O4643">
        <v>47.2270232329411</v>
      </c>
      <c r="P4643">
        <v>-0.121843057511972</v>
      </c>
      <c r="Q4643">
        <v>4.17269027484823E-2</v>
      </c>
      <c r="R4643">
        <v>0.99974755521799696</v>
      </c>
      <c r="S4643" t="s">
        <v>11449</v>
      </c>
      <c r="T4643" t="s">
        <v>13610</v>
      </c>
      <c r="U4643" t="s">
        <v>13610</v>
      </c>
      <c r="V4643" t="s">
        <v>13610</v>
      </c>
      <c r="W4643" t="s">
        <v>18192</v>
      </c>
      <c r="X4643">
        <v>15</v>
      </c>
      <c r="Y4643" t="s">
        <v>24773</v>
      </c>
      <c r="Z4643" t="s">
        <v>31498</v>
      </c>
      <c r="AA4643">
        <v>0.29224413832162799</v>
      </c>
      <c r="AB4643" t="str">
        <f>HYPERLINK("Melting_Curves/meltCurve_Q8NFF5_3_FLAD1.pdf", "Melting_Curves/meltCurve_Q8NFF5_3_FLAD1.pdf")</f>
        <v>Melting_Curves/meltCurve_Q8NFF5_3_FLAD1.pdf</v>
      </c>
    </row>
    <row r="4644" spans="1:28" x14ac:dyDescent="0.25">
      <c r="A4644" t="s">
        <v>4648</v>
      </c>
      <c r="B4644">
        <v>0.995954080203443</v>
      </c>
      <c r="C4644">
        <v>0.910049856705196</v>
      </c>
      <c r="D4644">
        <v>0.635527562744998</v>
      </c>
      <c r="E4644">
        <v>0.40514545860897699</v>
      </c>
      <c r="F4644">
        <v>0.189197406961572</v>
      </c>
      <c r="G4644">
        <v>0.119530646901823</v>
      </c>
      <c r="H4644">
        <v>7.7141773080786097E-2</v>
      </c>
      <c r="I4644">
        <v>6.6915690628140997E-2</v>
      </c>
      <c r="J4644">
        <v>8.3195051811934595E-2</v>
      </c>
      <c r="K4644">
        <v>7.3953921449370102E-2</v>
      </c>
      <c r="L4644">
        <v>820.20160818983402</v>
      </c>
      <c r="M4644">
        <v>17.168725901254</v>
      </c>
      <c r="N4644">
        <v>48.160344224002301</v>
      </c>
      <c r="O4644">
        <v>47.138996719571502</v>
      </c>
      <c r="P4644">
        <v>-8.5186957227957896E-2</v>
      </c>
      <c r="Q4644">
        <v>6.4487358364937894E-2</v>
      </c>
      <c r="R4644">
        <v>0.99474395181737396</v>
      </c>
      <c r="S4644" t="s">
        <v>11450</v>
      </c>
      <c r="T4644" t="s">
        <v>13610</v>
      </c>
      <c r="U4644" t="s">
        <v>13610</v>
      </c>
      <c r="V4644" t="s">
        <v>13610</v>
      </c>
      <c r="W4644" t="s">
        <v>18193</v>
      </c>
      <c r="X4644">
        <v>8</v>
      </c>
      <c r="Y4644" t="s">
        <v>24774</v>
      </c>
      <c r="Z4644" t="s">
        <v>31499</v>
      </c>
      <c r="AA4644">
        <v>0.32534285233082921</v>
      </c>
      <c r="AB4644" t="str">
        <f>HYPERLINK("Melting_Curves/meltCurve_Q8NFG4_FLCN.pdf", "Melting_Curves/meltCurve_Q8NFG4_FLCN.pdf")</f>
        <v>Melting_Curves/meltCurve_Q8NFG4_FLCN.pdf</v>
      </c>
    </row>
    <row r="4645" spans="1:28" x14ac:dyDescent="0.25">
      <c r="A4645" t="s">
        <v>4649</v>
      </c>
      <c r="B4645">
        <v>0.995954080203443</v>
      </c>
      <c r="C4645">
        <v>1.03432812735746</v>
      </c>
      <c r="D4645">
        <v>0.96077907907982996</v>
      </c>
      <c r="E4645">
        <v>0.94151959177460198</v>
      </c>
      <c r="F4645">
        <v>0.76700481975275803</v>
      </c>
      <c r="G4645">
        <v>0.44884837232442298</v>
      </c>
      <c r="H4645">
        <v>0.18216390310012101</v>
      </c>
      <c r="I4645">
        <v>8.6857588449652107E-2</v>
      </c>
      <c r="J4645">
        <v>8.0336866066390303E-2</v>
      </c>
      <c r="K4645">
        <v>7.1357530357316401E-2</v>
      </c>
      <c r="L4645">
        <v>1192.4370187007701</v>
      </c>
      <c r="M4645">
        <v>21.2944341737524</v>
      </c>
      <c r="N4645">
        <v>56.251394259036502</v>
      </c>
      <c r="O4645">
        <v>55.510769941779898</v>
      </c>
      <c r="P4645">
        <v>-9.1511645213156204E-2</v>
      </c>
      <c r="Q4645">
        <v>4.5806522098165499E-2</v>
      </c>
      <c r="R4645">
        <v>0.99792916093883199</v>
      </c>
      <c r="S4645" t="s">
        <v>11451</v>
      </c>
      <c r="T4645" t="s">
        <v>13610</v>
      </c>
      <c r="U4645" t="s">
        <v>13610</v>
      </c>
      <c r="V4645" t="s">
        <v>13610</v>
      </c>
      <c r="W4645" t="s">
        <v>18194</v>
      </c>
      <c r="X4645">
        <v>8</v>
      </c>
      <c r="Y4645" t="s">
        <v>24775</v>
      </c>
      <c r="Z4645" t="s">
        <v>31500</v>
      </c>
      <c r="AA4645">
        <v>0.56588737968251168</v>
      </c>
      <c r="AB4645" t="str">
        <f>HYPERLINK("Melting_Curves/meltCurve_Q8NFH3_NUP43.pdf", "Melting_Curves/meltCurve_Q8NFH3_NUP43.pdf")</f>
        <v>Melting_Curves/meltCurve_Q8NFH3_NUP43.pdf</v>
      </c>
    </row>
    <row r="4646" spans="1:28" x14ac:dyDescent="0.25">
      <c r="A4646" t="s">
        <v>4650</v>
      </c>
      <c r="B4646">
        <v>0.995954080203443</v>
      </c>
      <c r="C4646">
        <v>0.49339398137326002</v>
      </c>
      <c r="D4646">
        <v>1.0281206625450201</v>
      </c>
      <c r="E4646">
        <v>0.768941136779416</v>
      </c>
      <c r="F4646">
        <v>0.61139458994051499</v>
      </c>
      <c r="G4646">
        <v>0.310394649744059</v>
      </c>
      <c r="H4646">
        <v>8.9834224601349696E-2</v>
      </c>
      <c r="I4646">
        <v>5.0172624869405498E-2</v>
      </c>
      <c r="J4646">
        <v>4.6217628373863097E-2</v>
      </c>
      <c r="K4646">
        <v>4.4537872541269799E-2</v>
      </c>
      <c r="L4646">
        <v>814.22001682370205</v>
      </c>
      <c r="M4646">
        <v>15.1026011738546</v>
      </c>
      <c r="N4646">
        <v>53.912568863255999</v>
      </c>
      <c r="O4646">
        <v>52.993837274041198</v>
      </c>
      <c r="P4646">
        <v>-7.1253977466169502E-2</v>
      </c>
      <c r="Q4646">
        <v>0</v>
      </c>
      <c r="R4646">
        <v>0.81908591473854697</v>
      </c>
      <c r="S4646" t="s">
        <v>11452</v>
      </c>
      <c r="T4646" t="s">
        <v>13610</v>
      </c>
      <c r="U4646" t="s">
        <v>13610</v>
      </c>
      <c r="V4646" t="s">
        <v>13610</v>
      </c>
      <c r="W4646" t="s">
        <v>18195</v>
      </c>
      <c r="X4646">
        <v>7</v>
      </c>
      <c r="Y4646" t="s">
        <v>24776</v>
      </c>
      <c r="Z4646" t="s">
        <v>31501</v>
      </c>
      <c r="AA4646">
        <v>0.48418959023289909</v>
      </c>
      <c r="AB4646" t="str">
        <f>HYPERLINK("Melting_Curves/meltCurve_Q8NFH4_NUP37.pdf", "Melting_Curves/meltCurve_Q8NFH4_NUP37.pdf")</f>
        <v>Melting_Curves/meltCurve_Q8NFH4_NUP37.pdf</v>
      </c>
    </row>
    <row r="4647" spans="1:28" x14ac:dyDescent="0.25">
      <c r="A4647" t="s">
        <v>4651</v>
      </c>
      <c r="B4647">
        <v>0.995954080203443</v>
      </c>
      <c r="C4647">
        <v>0.96206807176429199</v>
      </c>
      <c r="D4647">
        <v>1.0993851748168899</v>
      </c>
      <c r="E4647">
        <v>0.80317762221959699</v>
      </c>
      <c r="F4647">
        <v>0.64790486924934698</v>
      </c>
      <c r="G4647">
        <v>0.27555915573016398</v>
      </c>
      <c r="H4647">
        <v>0.14404973988275399</v>
      </c>
      <c r="I4647">
        <v>0.13561630254867299</v>
      </c>
      <c r="J4647">
        <v>0.16127744341899999</v>
      </c>
      <c r="K4647">
        <v>0.151928529282053</v>
      </c>
      <c r="L4647">
        <v>1336.3309087130999</v>
      </c>
      <c r="M4647">
        <v>25.0063446304613</v>
      </c>
      <c r="N4647">
        <v>54.115119852659099</v>
      </c>
      <c r="O4647">
        <v>53.101434289487798</v>
      </c>
      <c r="P4647">
        <v>-0.10194857471542899</v>
      </c>
      <c r="Q4647">
        <v>0.13405291747275799</v>
      </c>
      <c r="R4647">
        <v>0.98521790514660301</v>
      </c>
      <c r="S4647" t="s">
        <v>11453</v>
      </c>
      <c r="T4647" t="s">
        <v>13610</v>
      </c>
      <c r="U4647" t="s">
        <v>13610</v>
      </c>
      <c r="V4647" t="s">
        <v>13610</v>
      </c>
      <c r="W4647" t="s">
        <v>18196</v>
      </c>
      <c r="X4647">
        <v>11</v>
      </c>
      <c r="Y4647" t="s">
        <v>24777</v>
      </c>
      <c r="Z4647" t="s">
        <v>31502</v>
      </c>
      <c r="AA4647">
        <v>0.52997887553369327</v>
      </c>
      <c r="AB4647" t="str">
        <f>HYPERLINK("Melting_Curves/meltCurve_Q8NFI3_ENGASE.pdf", "Melting_Curves/meltCurve_Q8NFI3_ENGASE.pdf")</f>
        <v>Melting_Curves/meltCurve_Q8NFI3_ENGASE.pdf</v>
      </c>
    </row>
    <row r="4648" spans="1:28" x14ac:dyDescent="0.25">
      <c r="A4648" t="s">
        <v>4652</v>
      </c>
      <c r="B4648">
        <v>0.995954080203443</v>
      </c>
      <c r="C4648">
        <v>0.90764038886682397</v>
      </c>
      <c r="D4648">
        <v>0.93921932703729605</v>
      </c>
      <c r="E4648">
        <v>0.93012408833941496</v>
      </c>
      <c r="F4648">
        <v>0.94338004575982704</v>
      </c>
      <c r="G4648">
        <v>0.70147305716421005</v>
      </c>
      <c r="H4648">
        <v>0.77149217987176799</v>
      </c>
      <c r="I4648">
        <v>0.91640124932610501</v>
      </c>
      <c r="J4648">
        <v>1.3116648330934599</v>
      </c>
      <c r="K4648">
        <v>1.0680487432083901</v>
      </c>
      <c r="L4648">
        <v>1769.9564181676101</v>
      </c>
      <c r="M4648">
        <v>26.249656439485701</v>
      </c>
      <c r="O4648">
        <v>67.040135936182693</v>
      </c>
      <c r="P4648">
        <v>1.9671222387459299E-2</v>
      </c>
      <c r="Q4648">
        <v>1.2009544514896999</v>
      </c>
      <c r="R4648">
        <v>2.5860274208697E-2</v>
      </c>
      <c r="S4648" t="s">
        <v>11454</v>
      </c>
      <c r="T4648" t="s">
        <v>13610</v>
      </c>
      <c r="U4648" t="s">
        <v>13610</v>
      </c>
      <c r="V4648" t="s">
        <v>13610</v>
      </c>
      <c r="W4648" t="s">
        <v>18197</v>
      </c>
      <c r="X4648">
        <v>4</v>
      </c>
      <c r="Y4648" t="s">
        <v>24778</v>
      </c>
      <c r="Z4648" t="s">
        <v>31503</v>
      </c>
      <c r="AA4648">
        <v>1.0216059943766089</v>
      </c>
      <c r="AB4648" t="str">
        <f>HYPERLINK("Melting_Curves/meltCurve_Q8NFQ8_TOR1AIP2.pdf", "Melting_Curves/meltCurve_Q8NFQ8_TOR1AIP2.pdf")</f>
        <v>Melting_Curves/meltCurve_Q8NFQ8_TOR1AIP2.pdf</v>
      </c>
    </row>
    <row r="4649" spans="1:28" x14ac:dyDescent="0.25">
      <c r="A4649" t="s">
        <v>4653</v>
      </c>
      <c r="B4649">
        <v>0.995954080203443</v>
      </c>
      <c r="C4649">
        <v>1.00521362951539</v>
      </c>
      <c r="D4649">
        <v>1.22752790087438</v>
      </c>
      <c r="E4649">
        <v>0.68652528740169205</v>
      </c>
      <c r="F4649">
        <v>0.28040484480660399</v>
      </c>
      <c r="G4649">
        <v>0.15035151084253301</v>
      </c>
      <c r="H4649">
        <v>0.103885087593201</v>
      </c>
      <c r="I4649">
        <v>9.76095767253575E-2</v>
      </c>
      <c r="J4649">
        <v>0.103479156466611</v>
      </c>
      <c r="K4649">
        <v>0.103226375725533</v>
      </c>
      <c r="L4649">
        <v>2132.0449514637698</v>
      </c>
      <c r="M4649">
        <v>41.885717619820198</v>
      </c>
      <c r="N4649">
        <v>51.212970653727503</v>
      </c>
      <c r="O4649">
        <v>50.785880944473803</v>
      </c>
      <c r="P4649">
        <v>-0.183001856847437</v>
      </c>
      <c r="Q4649">
        <v>0.112452462197981</v>
      </c>
      <c r="R4649">
        <v>0.96815055207791401</v>
      </c>
      <c r="S4649" t="s">
        <v>11455</v>
      </c>
      <c r="T4649" t="s">
        <v>13610</v>
      </c>
      <c r="U4649" t="s">
        <v>13610</v>
      </c>
      <c r="V4649" t="s">
        <v>13610</v>
      </c>
      <c r="W4649" t="s">
        <v>18198</v>
      </c>
      <c r="X4649">
        <v>12</v>
      </c>
      <c r="Y4649" t="s">
        <v>24779</v>
      </c>
      <c r="Z4649" t="s">
        <v>31504</v>
      </c>
      <c r="AA4649">
        <v>0.43781778495944518</v>
      </c>
      <c r="AB4649" t="str">
        <f>HYPERLINK("Melting_Curves/meltCurve_Q8NFV4_ABHD11.pdf", "Melting_Curves/meltCurve_Q8NFV4_ABHD11.pdf")</f>
        <v>Melting_Curves/meltCurve_Q8NFV4_ABHD11.pdf</v>
      </c>
    </row>
    <row r="4650" spans="1:28" x14ac:dyDescent="0.25">
      <c r="A4650" t="s">
        <v>4654</v>
      </c>
      <c r="B4650">
        <v>0.995954080203443</v>
      </c>
      <c r="C4650">
        <v>0.90691275198833998</v>
      </c>
      <c r="D4650">
        <v>0.79365397306249696</v>
      </c>
      <c r="E4650">
        <v>0.66875583753872203</v>
      </c>
      <c r="F4650">
        <v>0.14886964538375699</v>
      </c>
      <c r="G4650">
        <v>9.7762605009193398E-2</v>
      </c>
      <c r="H4650">
        <v>6.3265314238017997E-2</v>
      </c>
      <c r="I4650">
        <v>6.6968466638742605E-2</v>
      </c>
      <c r="J4650">
        <v>7.3165709756861097E-2</v>
      </c>
      <c r="K4650">
        <v>6.6766917703098796E-2</v>
      </c>
      <c r="L4650">
        <v>1187.82821987598</v>
      </c>
      <c r="M4650">
        <v>23.6702633085097</v>
      </c>
      <c r="N4650">
        <v>50.407948129126403</v>
      </c>
      <c r="O4650">
        <v>49.828237825985802</v>
      </c>
      <c r="P4650">
        <v>-0.112791140911805</v>
      </c>
      <c r="Q4650">
        <v>5.0269958326151401E-2</v>
      </c>
      <c r="R4650">
        <v>0.96809023709000797</v>
      </c>
      <c r="S4650" t="s">
        <v>11456</v>
      </c>
      <c r="T4650" t="s">
        <v>13610</v>
      </c>
      <c r="U4650" t="s">
        <v>13610</v>
      </c>
      <c r="V4650" t="s">
        <v>13610</v>
      </c>
      <c r="W4650" t="s">
        <v>18199</v>
      </c>
      <c r="X4650">
        <v>23</v>
      </c>
      <c r="Y4650" t="s">
        <v>24780</v>
      </c>
      <c r="Z4650" t="s">
        <v>31505</v>
      </c>
      <c r="AA4650">
        <v>0.3821032474077512</v>
      </c>
      <c r="AB4650" t="str">
        <f>HYPERLINK("Melting_Curves/meltCurve_Q8NFW8_CMAS.pdf", "Melting_Curves/meltCurve_Q8NFW8_CMAS.pdf")</f>
        <v>Melting_Curves/meltCurve_Q8NFW8_CMAS.pdf</v>
      </c>
    </row>
    <row r="4651" spans="1:28" x14ac:dyDescent="0.25">
      <c r="A4651" t="s">
        <v>4655</v>
      </c>
      <c r="B4651">
        <v>0.995954080203443</v>
      </c>
      <c r="C4651">
        <v>0.86605648994634898</v>
      </c>
      <c r="D4651">
        <v>0.72352126651252002</v>
      </c>
      <c r="E4651">
        <v>0.51122391440032999</v>
      </c>
      <c r="F4651">
        <v>0.18919719857531</v>
      </c>
      <c r="G4651">
        <v>0.10286774924233601</v>
      </c>
      <c r="H4651">
        <v>5.1842558746894203E-2</v>
      </c>
      <c r="I4651">
        <v>6.9901353840944203E-2</v>
      </c>
      <c r="J4651">
        <v>7.3636474501983601E-2</v>
      </c>
      <c r="K4651">
        <v>7.1931139072559505E-2</v>
      </c>
      <c r="L4651">
        <v>797.41313017313303</v>
      </c>
      <c r="M4651">
        <v>16.328359092906499</v>
      </c>
      <c r="N4651">
        <v>49.095519706397297</v>
      </c>
      <c r="O4651">
        <v>48.121211055744297</v>
      </c>
      <c r="P4651">
        <v>-8.1328958396384696E-2</v>
      </c>
      <c r="Q4651">
        <v>4.13330424219066E-2</v>
      </c>
      <c r="R4651">
        <v>0.98798186944188304</v>
      </c>
      <c r="S4651" t="s">
        <v>11457</v>
      </c>
      <c r="T4651" t="s">
        <v>13610</v>
      </c>
      <c r="U4651" t="s">
        <v>13610</v>
      </c>
      <c r="V4651" t="s">
        <v>13610</v>
      </c>
      <c r="W4651" t="s">
        <v>18200</v>
      </c>
      <c r="X4651">
        <v>7</v>
      </c>
      <c r="Y4651" t="s">
        <v>24781</v>
      </c>
      <c r="Z4651" t="s">
        <v>31506</v>
      </c>
      <c r="AA4651">
        <v>0.34390885292299561</v>
      </c>
      <c r="AB4651" t="str">
        <f>HYPERLINK("Melting_Curves/meltCurve_Q8NFY9_KBTBD8.pdf", "Melting_Curves/meltCurve_Q8NFY9_KBTBD8.pdf")</f>
        <v>Melting_Curves/meltCurve_Q8NFY9_KBTBD8.pdf</v>
      </c>
    </row>
    <row r="4652" spans="1:28" x14ac:dyDescent="0.25">
      <c r="A4652" t="s">
        <v>4656</v>
      </c>
      <c r="B4652">
        <v>0.995954080203443</v>
      </c>
      <c r="C4652">
        <v>0.96593022867178302</v>
      </c>
      <c r="D4652">
        <v>0.91616781916725099</v>
      </c>
      <c r="E4652">
        <v>0.83887780445858995</v>
      </c>
      <c r="F4652">
        <v>0.60349746994683395</v>
      </c>
      <c r="G4652">
        <v>0.34953243351902402</v>
      </c>
      <c r="H4652">
        <v>0.27478284966530198</v>
      </c>
      <c r="I4652">
        <v>0.31956948003686098</v>
      </c>
      <c r="J4652">
        <v>0.41207917228756702</v>
      </c>
      <c r="K4652">
        <v>0.39160526093675202</v>
      </c>
      <c r="L4652">
        <v>1530.00338723352</v>
      </c>
      <c r="M4652">
        <v>29.437986102461199</v>
      </c>
      <c r="N4652">
        <v>54.081276919063903</v>
      </c>
      <c r="O4652">
        <v>51.735710484636002</v>
      </c>
      <c r="P4652">
        <v>-9.3711389999467598E-2</v>
      </c>
      <c r="Q4652">
        <v>0.34123330424200499</v>
      </c>
      <c r="R4652">
        <v>0.97213875310667497</v>
      </c>
      <c r="S4652" t="s">
        <v>11458</v>
      </c>
      <c r="T4652" t="s">
        <v>13610</v>
      </c>
      <c r="U4652" t="s">
        <v>13610</v>
      </c>
      <c r="V4652" t="s">
        <v>13610</v>
      </c>
      <c r="W4652" t="s">
        <v>18201</v>
      </c>
      <c r="X4652">
        <v>6</v>
      </c>
      <c r="Y4652" t="s">
        <v>24782</v>
      </c>
      <c r="Z4652" t="s">
        <v>31507</v>
      </c>
      <c r="AA4652">
        <v>0.60853218205963355</v>
      </c>
      <c r="AB4652" t="str">
        <f>HYPERLINK("Melting_Curves/meltCurve_Q8NFZ0_FBXO18.pdf", "Melting_Curves/meltCurve_Q8NFZ0_FBXO18.pdf")</f>
        <v>Melting_Curves/meltCurve_Q8NFZ0_FBXO18.pdf</v>
      </c>
    </row>
    <row r="4653" spans="1:28" x14ac:dyDescent="0.25">
      <c r="A4653" t="s">
        <v>4657</v>
      </c>
      <c r="B4653">
        <v>0.995954080203443</v>
      </c>
      <c r="C4653">
        <v>0.93431630282381295</v>
      </c>
      <c r="D4653">
        <v>0.97898217043031399</v>
      </c>
      <c r="E4653">
        <v>0.72629882028094805</v>
      </c>
      <c r="F4653">
        <v>0.413061704068792</v>
      </c>
      <c r="G4653">
        <v>0.23240971881865299</v>
      </c>
      <c r="H4653">
        <v>0.167818954677773</v>
      </c>
      <c r="I4653">
        <v>0.15305400096414401</v>
      </c>
      <c r="J4653">
        <v>0.14535276470044201</v>
      </c>
      <c r="K4653">
        <v>0.139409274165363</v>
      </c>
      <c r="L4653">
        <v>1290.44572023624</v>
      </c>
      <c r="M4653">
        <v>25.076860335840099</v>
      </c>
      <c r="N4653">
        <v>52.184675389530597</v>
      </c>
      <c r="O4653">
        <v>51.135723573565201</v>
      </c>
      <c r="P4653">
        <v>-0.104566718841826</v>
      </c>
      <c r="Q4653">
        <v>0.14709837156376099</v>
      </c>
      <c r="R4653">
        <v>0.996432325396437</v>
      </c>
      <c r="S4653" t="s">
        <v>11459</v>
      </c>
      <c r="T4653" t="s">
        <v>13610</v>
      </c>
      <c r="U4653" t="s">
        <v>13610</v>
      </c>
      <c r="V4653" t="s">
        <v>13610</v>
      </c>
      <c r="W4653" t="s">
        <v>18202</v>
      </c>
      <c r="X4653">
        <v>8</v>
      </c>
      <c r="Y4653" t="s">
        <v>24783</v>
      </c>
      <c r="Z4653" t="s">
        <v>31508</v>
      </c>
      <c r="AA4653">
        <v>0.48059315528349411</v>
      </c>
      <c r="AB4653" t="str">
        <f>HYPERLINK("Melting_Curves/meltCurve_Q8NG08_HELB.pdf", "Melting_Curves/meltCurve_Q8NG08_HELB.pdf")</f>
        <v>Melting_Curves/meltCurve_Q8NG08_HELB.pdf</v>
      </c>
    </row>
    <row r="4654" spans="1:28" x14ac:dyDescent="0.25">
      <c r="A4654" t="s">
        <v>4658</v>
      </c>
      <c r="B4654">
        <v>0.995954080203443</v>
      </c>
      <c r="C4654">
        <v>0.96279313249092202</v>
      </c>
      <c r="D4654">
        <v>0.90957032839436303</v>
      </c>
      <c r="E4654">
        <v>0.77684887818308401</v>
      </c>
      <c r="F4654">
        <v>0.72457237761549598</v>
      </c>
      <c r="G4654">
        <v>0.51241219715473396</v>
      </c>
      <c r="H4654">
        <v>0.48413718487801499</v>
      </c>
      <c r="I4654">
        <v>0.56483193758871597</v>
      </c>
      <c r="J4654">
        <v>0.67691702846611701</v>
      </c>
      <c r="K4654">
        <v>0.66185493350179703</v>
      </c>
      <c r="L4654">
        <v>1040.6112810663301</v>
      </c>
      <c r="M4654">
        <v>21.006397844235501</v>
      </c>
      <c r="O4654">
        <v>49.095427190228399</v>
      </c>
      <c r="P4654">
        <v>-4.4648693973763601E-2</v>
      </c>
      <c r="Q4654">
        <v>0.582605496075283</v>
      </c>
      <c r="R4654">
        <v>0.868071155070687</v>
      </c>
      <c r="S4654" t="s">
        <v>11460</v>
      </c>
      <c r="T4654" t="s">
        <v>13610</v>
      </c>
      <c r="U4654" t="s">
        <v>13610</v>
      </c>
      <c r="V4654" t="s">
        <v>13610</v>
      </c>
      <c r="W4654" t="s">
        <v>18203</v>
      </c>
      <c r="X4654">
        <v>17</v>
      </c>
      <c r="Y4654" t="s">
        <v>24784</v>
      </c>
      <c r="Z4654" t="s">
        <v>31509</v>
      </c>
      <c r="AA4654">
        <v>0.7205865163270494</v>
      </c>
      <c r="AB4654" t="str">
        <f>HYPERLINK("Melting_Curves/meltCurve_Q8NG31_2_CASC5.pdf", "Melting_Curves/meltCurve_Q8NG31_2_CASC5.pdf")</f>
        <v>Melting_Curves/meltCurve_Q8NG31_2_CASC5.pdf</v>
      </c>
    </row>
    <row r="4655" spans="1:28" x14ac:dyDescent="0.25">
      <c r="A4655" t="s">
        <v>4659</v>
      </c>
      <c r="B4655">
        <v>0.995954080203443</v>
      </c>
      <c r="C4655">
        <v>0.97274680611236097</v>
      </c>
      <c r="D4655">
        <v>0.70376385103290595</v>
      </c>
      <c r="E4655">
        <v>0.36233039427021202</v>
      </c>
      <c r="F4655">
        <v>0.21515640519346799</v>
      </c>
      <c r="G4655">
        <v>0.13658211049239499</v>
      </c>
      <c r="H4655">
        <v>9.6225251368800196E-2</v>
      </c>
      <c r="I4655">
        <v>8.8391904026721799E-2</v>
      </c>
      <c r="J4655">
        <v>0.105299551326009</v>
      </c>
      <c r="K4655">
        <v>9.3923836502042599E-2</v>
      </c>
      <c r="L4655">
        <v>1007.15094022707</v>
      </c>
      <c r="M4655">
        <v>21.0354819529305</v>
      </c>
      <c r="N4655">
        <v>48.3720908291725</v>
      </c>
      <c r="O4655">
        <v>47.452271989952798</v>
      </c>
      <c r="P4655">
        <v>-0.10012641842902401</v>
      </c>
      <c r="Q4655">
        <v>9.6555169352176298E-2</v>
      </c>
      <c r="R4655">
        <v>0.99718221340372903</v>
      </c>
      <c r="S4655" t="s">
        <v>11461</v>
      </c>
      <c r="T4655" t="s">
        <v>13610</v>
      </c>
      <c r="U4655" t="s">
        <v>13610</v>
      </c>
      <c r="V4655" t="s">
        <v>13610</v>
      </c>
      <c r="W4655" t="s">
        <v>18204</v>
      </c>
      <c r="X4655">
        <v>8</v>
      </c>
      <c r="Y4655" t="s">
        <v>24785</v>
      </c>
      <c r="Z4655" t="s">
        <v>31510</v>
      </c>
      <c r="AA4655">
        <v>0.34537743992741798</v>
      </c>
      <c r="AB4655" t="str">
        <f>HYPERLINK("Melting_Curves/meltCurve_Q8NG68_TTL.pdf", "Melting_Curves/meltCurve_Q8NG68_TTL.pdf")</f>
        <v>Melting_Curves/meltCurve_Q8NG68_TTL.pdf</v>
      </c>
    </row>
    <row r="4656" spans="1:28" x14ac:dyDescent="0.25">
      <c r="A4656" t="s">
        <v>4660</v>
      </c>
      <c r="B4656">
        <v>0.995954080203443</v>
      </c>
      <c r="C4656">
        <v>0.97593677018107095</v>
      </c>
      <c r="D4656">
        <v>0.84965063641949201</v>
      </c>
      <c r="E4656">
        <v>0.84589063220010097</v>
      </c>
      <c r="F4656">
        <v>0.48758894732296298</v>
      </c>
      <c r="G4656">
        <v>0.355768986011821</v>
      </c>
      <c r="H4656">
        <v>0.27810453948039698</v>
      </c>
      <c r="I4656">
        <v>0.34109116868605499</v>
      </c>
      <c r="J4656">
        <v>0.35864364082134498</v>
      </c>
      <c r="K4656">
        <v>0.45146776563823698</v>
      </c>
      <c r="L4656">
        <v>2016.2558652922801</v>
      </c>
      <c r="M4656">
        <v>39.3047189121542</v>
      </c>
      <c r="N4656">
        <v>52.952308220217198</v>
      </c>
      <c r="O4656">
        <v>51.165808587683003</v>
      </c>
      <c r="P4656">
        <v>-0.124149211689107</v>
      </c>
      <c r="Q4656">
        <v>0.35354523365093798</v>
      </c>
      <c r="R4656">
        <v>0.94987847678969095</v>
      </c>
      <c r="S4656" t="s">
        <v>11462</v>
      </c>
      <c r="T4656" t="s">
        <v>13610</v>
      </c>
      <c r="U4656" t="s">
        <v>13610</v>
      </c>
      <c r="V4656" t="s">
        <v>13610</v>
      </c>
      <c r="W4656" t="s">
        <v>18205</v>
      </c>
      <c r="X4656">
        <v>1</v>
      </c>
      <c r="Y4656" t="s">
        <v>24786</v>
      </c>
      <c r="Z4656" t="s">
        <v>31511</v>
      </c>
      <c r="AA4656">
        <v>0.59937560626442865</v>
      </c>
      <c r="AB4656" t="str">
        <f>HYPERLINK("Melting_Curves/meltCurve_Q8NHG7_SVIP.pdf", "Melting_Curves/meltCurve_Q8NHG7_SVIP.pdf")</f>
        <v>Melting_Curves/meltCurve_Q8NHG7_SVIP.pdf</v>
      </c>
    </row>
    <row r="4657" spans="1:28" x14ac:dyDescent="0.25">
      <c r="A4657" t="s">
        <v>4661</v>
      </c>
      <c r="B4657">
        <v>0.995954080203443</v>
      </c>
      <c r="C4657">
        <v>1.0390473952650501</v>
      </c>
      <c r="D4657">
        <v>0.90937897624849395</v>
      </c>
      <c r="E4657">
        <v>0.86634770868349298</v>
      </c>
      <c r="F4657">
        <v>0.713891978799712</v>
      </c>
      <c r="G4657">
        <v>0.47688284955493099</v>
      </c>
      <c r="H4657">
        <v>0.25813062571461798</v>
      </c>
      <c r="I4657">
        <v>0.21643697980204599</v>
      </c>
      <c r="J4657">
        <v>0.230257876161653</v>
      </c>
      <c r="K4657">
        <v>0.23469153799921799</v>
      </c>
      <c r="L4657">
        <v>980.35403612100401</v>
      </c>
      <c r="M4657">
        <v>17.938322791974102</v>
      </c>
      <c r="N4657">
        <v>56.137023338179098</v>
      </c>
      <c r="O4657">
        <v>53.985766885875996</v>
      </c>
      <c r="P4657">
        <v>-6.7375065385004596E-2</v>
      </c>
      <c r="Q4657">
        <v>0.188973733626908</v>
      </c>
      <c r="R4657">
        <v>0.990495443686366</v>
      </c>
      <c r="S4657" t="s">
        <v>11463</v>
      </c>
      <c r="T4657" t="s">
        <v>13610</v>
      </c>
      <c r="U4657" t="s">
        <v>13610</v>
      </c>
      <c r="V4657" t="s">
        <v>13610</v>
      </c>
      <c r="W4657" t="s">
        <v>18206</v>
      </c>
      <c r="X4657">
        <v>7</v>
      </c>
      <c r="Y4657" t="s">
        <v>24787</v>
      </c>
      <c r="Z4657" t="s">
        <v>31512</v>
      </c>
      <c r="AA4657">
        <v>0.59783655834955884</v>
      </c>
      <c r="AB4657" t="str">
        <f>HYPERLINK("Melting_Curves/meltCurve_Q8NHG8_ZNRF2.pdf", "Melting_Curves/meltCurve_Q8NHG8_ZNRF2.pdf")</f>
        <v>Melting_Curves/meltCurve_Q8NHG8_ZNRF2.pdf</v>
      </c>
    </row>
    <row r="4658" spans="1:28" x14ac:dyDescent="0.25">
      <c r="A4658" t="s">
        <v>4662</v>
      </c>
      <c r="B4658">
        <v>0.995954080203443</v>
      </c>
      <c r="C4658">
        <v>1.0422473299106301</v>
      </c>
      <c r="D4658">
        <v>1.10172992750651</v>
      </c>
      <c r="E4658">
        <v>1.00084094176858</v>
      </c>
      <c r="F4658">
        <v>0.96468329108898798</v>
      </c>
      <c r="G4658">
        <v>0.74255845774339202</v>
      </c>
      <c r="H4658">
        <v>0.56512475957882102</v>
      </c>
      <c r="I4658">
        <v>0.57952416048572697</v>
      </c>
      <c r="J4658">
        <v>0.44582361845896101</v>
      </c>
      <c r="K4658">
        <v>0.60492395862072301</v>
      </c>
      <c r="L4658">
        <v>2109.6383335804899</v>
      </c>
      <c r="M4658">
        <v>37.252901951752698</v>
      </c>
      <c r="O4658">
        <v>56.467728810937999</v>
      </c>
      <c r="P4658">
        <v>-7.5960832993900704E-2</v>
      </c>
      <c r="Q4658">
        <v>0.53943733823775297</v>
      </c>
      <c r="R4658">
        <v>0.94937429039569898</v>
      </c>
      <c r="S4658" t="s">
        <v>11464</v>
      </c>
      <c r="T4658" t="s">
        <v>13610</v>
      </c>
      <c r="U4658" t="s">
        <v>13610</v>
      </c>
      <c r="V4658" t="s">
        <v>13610</v>
      </c>
      <c r="W4658" t="s">
        <v>18207</v>
      </c>
      <c r="X4658">
        <v>2</v>
      </c>
      <c r="Y4658" t="s">
        <v>24788</v>
      </c>
      <c r="Z4658" t="s">
        <v>31513</v>
      </c>
      <c r="AA4658">
        <v>0.79679612396019583</v>
      </c>
      <c r="AB4658" t="str">
        <f>HYPERLINK("Melting_Curves/meltCurve_Q8NHM4_TRY6.pdf", "Melting_Curves/meltCurve_Q8NHM4_TRY6.pdf")</f>
        <v>Melting_Curves/meltCurve_Q8NHM4_TRY6.pdf</v>
      </c>
    </row>
    <row r="4659" spans="1:28" x14ac:dyDescent="0.25">
      <c r="A4659" t="s">
        <v>4663</v>
      </c>
      <c r="B4659">
        <v>0.995954080203443</v>
      </c>
      <c r="C4659">
        <v>0.94372977610473496</v>
      </c>
      <c r="D4659">
        <v>0.81350053582456405</v>
      </c>
      <c r="E4659">
        <v>0.71721878975236097</v>
      </c>
      <c r="F4659">
        <v>0.54884001708657004</v>
      </c>
      <c r="G4659">
        <v>0.39868315634002999</v>
      </c>
      <c r="H4659">
        <v>0.33055532712004199</v>
      </c>
      <c r="I4659">
        <v>0.372844063650832</v>
      </c>
      <c r="J4659">
        <v>0.46013499798037</v>
      </c>
      <c r="K4659">
        <v>0.440589170876729</v>
      </c>
      <c r="L4659">
        <v>812.99906973294196</v>
      </c>
      <c r="M4659">
        <v>16.4493360608455</v>
      </c>
      <c r="N4659">
        <v>54.256343079997997</v>
      </c>
      <c r="O4659">
        <v>48.711294369381598</v>
      </c>
      <c r="P4659">
        <v>-5.1969795970369E-2</v>
      </c>
      <c r="Q4659">
        <v>0.38445225028100999</v>
      </c>
      <c r="R4659">
        <v>0.95984544561832297</v>
      </c>
      <c r="S4659" t="s">
        <v>11465</v>
      </c>
      <c r="T4659" t="s">
        <v>13610</v>
      </c>
      <c r="U4659" t="s">
        <v>13610</v>
      </c>
      <c r="V4659" t="s">
        <v>13610</v>
      </c>
      <c r="W4659" t="s">
        <v>18208</v>
      </c>
      <c r="X4659">
        <v>17</v>
      </c>
      <c r="Y4659" t="s">
        <v>24789</v>
      </c>
      <c r="Z4659" t="s">
        <v>31514</v>
      </c>
      <c r="AA4659">
        <v>0.59041764691258314</v>
      </c>
      <c r="AB4659" t="str">
        <f>HYPERLINK("Melting_Curves/meltCurve_Q8NHM5_4_KDM2B.pdf", "Melting_Curves/meltCurve_Q8NHM5_4_KDM2B.pdf")</f>
        <v>Melting_Curves/meltCurve_Q8NHM5_4_KDM2B.pdf</v>
      </c>
    </row>
    <row r="4660" spans="1:28" x14ac:dyDescent="0.25">
      <c r="A4660" t="s">
        <v>4664</v>
      </c>
      <c r="B4660">
        <v>0.995954080203443</v>
      </c>
      <c r="C4660">
        <v>0.92673964691545396</v>
      </c>
      <c r="D4660">
        <v>0.93248698673628205</v>
      </c>
      <c r="E4660">
        <v>0.860524135617314</v>
      </c>
      <c r="F4660">
        <v>0.77523516418104799</v>
      </c>
      <c r="G4660">
        <v>0.55446698540495298</v>
      </c>
      <c r="H4660">
        <v>0.38566853103099402</v>
      </c>
      <c r="I4660">
        <v>0.292564876254433</v>
      </c>
      <c r="J4660">
        <v>0.18694290697133101</v>
      </c>
      <c r="K4660">
        <v>0.17586345022566799</v>
      </c>
      <c r="L4660">
        <v>630.28590897029096</v>
      </c>
      <c r="M4660">
        <v>10.8360050652122</v>
      </c>
      <c r="N4660">
        <v>58.402530984672701</v>
      </c>
      <c r="O4660">
        <v>56.290041525943202</v>
      </c>
      <c r="P4660">
        <v>-4.7108943580378301E-2</v>
      </c>
      <c r="Q4660">
        <v>2.1478312245395401E-2</v>
      </c>
      <c r="R4660">
        <v>0.99491666763911202</v>
      </c>
      <c r="S4660" t="s">
        <v>11466</v>
      </c>
      <c r="T4660" t="s">
        <v>13610</v>
      </c>
      <c r="U4660" t="s">
        <v>13610</v>
      </c>
      <c r="V4660" t="s">
        <v>13610</v>
      </c>
      <c r="W4660" t="s">
        <v>18209</v>
      </c>
      <c r="X4660">
        <v>8</v>
      </c>
      <c r="Y4660" t="s">
        <v>24790</v>
      </c>
      <c r="Z4660" t="s">
        <v>31515</v>
      </c>
      <c r="AA4660">
        <v>0.62427575780105904</v>
      </c>
      <c r="AB4660" t="str">
        <f>HYPERLINK("Melting_Curves/meltCurve_Q8NHP8_PLBD2.pdf", "Melting_Curves/meltCurve_Q8NHP8_PLBD2.pdf")</f>
        <v>Melting_Curves/meltCurve_Q8NHP8_PLBD2.pdf</v>
      </c>
    </row>
    <row r="4661" spans="1:28" x14ac:dyDescent="0.25">
      <c r="A4661" t="s">
        <v>4665</v>
      </c>
      <c r="B4661">
        <v>0.995954080203443</v>
      </c>
      <c r="C4661">
        <v>0.97856099301980903</v>
      </c>
      <c r="D4661">
        <v>0.85387010157743104</v>
      </c>
      <c r="E4661">
        <v>0.77591321308302297</v>
      </c>
      <c r="F4661">
        <v>0.63434490115582898</v>
      </c>
      <c r="G4661">
        <v>0.429805593840834</v>
      </c>
      <c r="H4661">
        <v>0.38104663054133803</v>
      </c>
      <c r="I4661">
        <v>0.406920602016063</v>
      </c>
      <c r="J4661">
        <v>0.53774811142770196</v>
      </c>
      <c r="K4661">
        <v>0.46458600013656798</v>
      </c>
      <c r="L4661">
        <v>924.19024155001398</v>
      </c>
      <c r="M4661">
        <v>18.312373204698499</v>
      </c>
      <c r="N4661">
        <v>56.594198935871098</v>
      </c>
      <c r="O4661">
        <v>49.877788752490801</v>
      </c>
      <c r="P4661">
        <v>-5.2217698921304401E-2</v>
      </c>
      <c r="Q4661">
        <v>0.43112053475983803</v>
      </c>
      <c r="R4661">
        <v>0.94465222877043697</v>
      </c>
      <c r="S4661" t="s">
        <v>11467</v>
      </c>
      <c r="T4661" t="s">
        <v>13610</v>
      </c>
      <c r="U4661" t="s">
        <v>13610</v>
      </c>
      <c r="V4661" t="s">
        <v>13610</v>
      </c>
      <c r="W4661" t="s">
        <v>18210</v>
      </c>
      <c r="X4661">
        <v>5</v>
      </c>
      <c r="Y4661" t="s">
        <v>24791</v>
      </c>
      <c r="Z4661" t="s">
        <v>31516</v>
      </c>
      <c r="AA4661">
        <v>0.63896439391371829</v>
      </c>
      <c r="AB4661" t="str">
        <f>HYPERLINK("Melting_Curves/meltCurve_Q8NHQ8_2_RASSF8.pdf", "Melting_Curves/meltCurve_Q8NHQ8_2_RASSF8.pdf")</f>
        <v>Melting_Curves/meltCurve_Q8NHQ8_2_RASSF8.pdf</v>
      </c>
    </row>
    <row r="4662" spans="1:28" x14ac:dyDescent="0.25">
      <c r="A4662" t="s">
        <v>4666</v>
      </c>
      <c r="B4662">
        <v>0.995954080203443</v>
      </c>
      <c r="C4662">
        <v>0.72621107539150898</v>
      </c>
      <c r="D4662">
        <v>0.86331411667143998</v>
      </c>
      <c r="E4662">
        <v>0.52577080443477198</v>
      </c>
      <c r="F4662">
        <v>0.26044828154953698</v>
      </c>
      <c r="G4662">
        <v>0.16087678846178999</v>
      </c>
      <c r="H4662">
        <v>0.118967848528792</v>
      </c>
      <c r="I4662">
        <v>0.112547940502588</v>
      </c>
      <c r="J4662">
        <v>0.12346968731315799</v>
      </c>
      <c r="K4662">
        <v>0.11321290323583801</v>
      </c>
      <c r="L4662">
        <v>739.96002479037998</v>
      </c>
      <c r="M4662">
        <v>15.0340664346061</v>
      </c>
      <c r="N4662">
        <v>49.817689023839897</v>
      </c>
      <c r="O4662">
        <v>48.372694533257601</v>
      </c>
      <c r="P4662">
        <v>-7.1283649148242298E-2</v>
      </c>
      <c r="Q4662">
        <v>8.2660166859555503E-2</v>
      </c>
      <c r="R4662">
        <v>0.95337626525376096</v>
      </c>
      <c r="S4662" t="s">
        <v>11468</v>
      </c>
      <c r="T4662" t="s">
        <v>13610</v>
      </c>
      <c r="U4662" t="s">
        <v>13610</v>
      </c>
      <c r="V4662" t="s">
        <v>13610</v>
      </c>
      <c r="W4662" t="s">
        <v>18211</v>
      </c>
      <c r="X4662">
        <v>18</v>
      </c>
      <c r="Y4662" t="s">
        <v>24792</v>
      </c>
      <c r="Z4662" t="s">
        <v>31517</v>
      </c>
      <c r="AA4662">
        <v>0.38692096885673422</v>
      </c>
      <c r="AB4662" t="str">
        <f>HYPERLINK("Melting_Curves/meltCurve_Q8NHU6_TDRD7.pdf", "Melting_Curves/meltCurve_Q8NHU6_TDRD7.pdf")</f>
        <v>Melting_Curves/meltCurve_Q8NHU6_TDRD7.pdf</v>
      </c>
    </row>
    <row r="4663" spans="1:28" x14ac:dyDescent="0.25">
      <c r="A4663" t="s">
        <v>4667</v>
      </c>
      <c r="B4663">
        <v>0.995954080203443</v>
      </c>
      <c r="C4663">
        <v>1.03506383299683</v>
      </c>
      <c r="D4663">
        <v>1.0129801541988801</v>
      </c>
      <c r="E4663">
        <v>0.93376589303072599</v>
      </c>
      <c r="F4663">
        <v>0.83078536790533697</v>
      </c>
      <c r="G4663">
        <v>0.56177150733069703</v>
      </c>
      <c r="H4663">
        <v>0.46180581456834002</v>
      </c>
      <c r="I4663">
        <v>0.48927216554698499</v>
      </c>
      <c r="J4663">
        <v>0.43495588817776998</v>
      </c>
      <c r="K4663">
        <v>0.45945033866305102</v>
      </c>
      <c r="L4663">
        <v>1540.61595878093</v>
      </c>
      <c r="M4663">
        <v>28.3627275057943</v>
      </c>
      <c r="N4663">
        <v>59.232275417386603</v>
      </c>
      <c r="O4663">
        <v>54.050454938480001</v>
      </c>
      <c r="P4663">
        <v>-7.1830660481321307E-2</v>
      </c>
      <c r="Q4663">
        <v>0.45245770209371999</v>
      </c>
      <c r="R4663">
        <v>0.99395104482628804</v>
      </c>
      <c r="S4663" t="s">
        <v>11469</v>
      </c>
      <c r="T4663" t="s">
        <v>13610</v>
      </c>
      <c r="U4663" t="s">
        <v>13610</v>
      </c>
      <c r="V4663" t="s">
        <v>13610</v>
      </c>
      <c r="W4663" t="s">
        <v>18212</v>
      </c>
      <c r="X4663">
        <v>16</v>
      </c>
      <c r="Y4663" t="s">
        <v>24793</v>
      </c>
      <c r="Z4663" t="s">
        <v>31518</v>
      </c>
      <c r="AA4663">
        <v>0.7178034027585708</v>
      </c>
      <c r="AB4663" t="str">
        <f>HYPERLINK("Melting_Curves/meltCurve_Q8NHV4_NEDD1.pdf", "Melting_Curves/meltCurve_Q8NHV4_NEDD1.pdf")</f>
        <v>Melting_Curves/meltCurve_Q8NHV4_NEDD1.pdf</v>
      </c>
    </row>
    <row r="4664" spans="1:28" x14ac:dyDescent="0.25">
      <c r="A4664" t="s">
        <v>4668</v>
      </c>
      <c r="B4664">
        <v>0.995954080203443</v>
      </c>
      <c r="C4664">
        <v>0.80327429929171501</v>
      </c>
      <c r="D4664">
        <v>0.52333552921915005</v>
      </c>
      <c r="E4664">
        <v>0.49615872722031601</v>
      </c>
      <c r="F4664">
        <v>0.33520094754825702</v>
      </c>
      <c r="G4664">
        <v>0.31008550756673198</v>
      </c>
      <c r="H4664">
        <v>0.27706529359680798</v>
      </c>
      <c r="I4664">
        <v>0.35538150478714597</v>
      </c>
      <c r="J4664">
        <v>0.36483972365405298</v>
      </c>
      <c r="K4664">
        <v>0.36001531305415602</v>
      </c>
      <c r="L4664">
        <v>974.23739263690402</v>
      </c>
      <c r="M4664">
        <v>21.838515177720701</v>
      </c>
      <c r="N4664">
        <v>47.067023831172797</v>
      </c>
      <c r="O4664">
        <v>44.241960943331598</v>
      </c>
      <c r="P4664">
        <v>-8.1445593933260396E-2</v>
      </c>
      <c r="Q4664">
        <v>0.34002289865590002</v>
      </c>
      <c r="R4664">
        <v>0.95888124729045598</v>
      </c>
      <c r="S4664" t="s">
        <v>11470</v>
      </c>
      <c r="T4664" t="s">
        <v>13610</v>
      </c>
      <c r="U4664" t="s">
        <v>13610</v>
      </c>
      <c r="V4664" t="s">
        <v>13610</v>
      </c>
      <c r="W4664" t="s">
        <v>18213</v>
      </c>
      <c r="X4664">
        <v>5</v>
      </c>
      <c r="Y4664" t="s">
        <v>24794</v>
      </c>
      <c r="Z4664" t="s">
        <v>31519</v>
      </c>
      <c r="AA4664">
        <v>0.45098718753653672</v>
      </c>
      <c r="AB4664" t="str">
        <f>HYPERLINK("Melting_Curves/meltCurve_Q8NHZ8_CDC26.pdf", "Melting_Curves/meltCurve_Q8NHZ8_CDC26.pdf")</f>
        <v>Melting_Curves/meltCurve_Q8NHZ8_CDC26.pdf</v>
      </c>
    </row>
    <row r="4665" spans="1:28" x14ac:dyDescent="0.25">
      <c r="A4665" t="s">
        <v>4669</v>
      </c>
      <c r="B4665">
        <v>0.995954080203443</v>
      </c>
      <c r="C4665">
        <v>1.0342489747388901</v>
      </c>
      <c r="D4665">
        <v>1.0260904388015999</v>
      </c>
      <c r="E4665">
        <v>0.83517631185510399</v>
      </c>
      <c r="F4665">
        <v>0.57180566469070204</v>
      </c>
      <c r="G4665">
        <v>0.40592814868004701</v>
      </c>
      <c r="H4665">
        <v>0.38508608614668</v>
      </c>
      <c r="I4665">
        <v>0.462315983891053</v>
      </c>
      <c r="J4665">
        <v>0.50895796914277203</v>
      </c>
      <c r="K4665">
        <v>0.55355337145210703</v>
      </c>
      <c r="L4665">
        <v>2178.27696613954</v>
      </c>
      <c r="M4665">
        <v>42.6783080772502</v>
      </c>
      <c r="N4665">
        <v>54.400191316939399</v>
      </c>
      <c r="O4665">
        <v>50.927763065437098</v>
      </c>
      <c r="P4665">
        <v>-0.11225300094679699</v>
      </c>
      <c r="Q4665">
        <v>0.46419758947603901</v>
      </c>
      <c r="R4665">
        <v>0.96386688211014604</v>
      </c>
      <c r="S4665" t="s">
        <v>11471</v>
      </c>
      <c r="T4665" t="s">
        <v>13610</v>
      </c>
      <c r="U4665" t="s">
        <v>13610</v>
      </c>
      <c r="V4665" t="s">
        <v>13610</v>
      </c>
      <c r="W4665" t="s">
        <v>18214</v>
      </c>
      <c r="X4665">
        <v>25</v>
      </c>
      <c r="Y4665" t="s">
        <v>24795</v>
      </c>
      <c r="Z4665" t="s">
        <v>31520</v>
      </c>
      <c r="AA4665">
        <v>0.66302175012041442</v>
      </c>
      <c r="AB4665" t="str">
        <f>HYPERLINK("Melting_Curves/meltCurve_Q8NI08_2_NCOA7.pdf", "Melting_Curves/meltCurve_Q8NI08_2_NCOA7.pdf")</f>
        <v>Melting_Curves/meltCurve_Q8NI08_2_NCOA7.pdf</v>
      </c>
    </row>
    <row r="4666" spans="1:28" x14ac:dyDescent="0.25">
      <c r="A4666" t="s">
        <v>4670</v>
      </c>
      <c r="B4666">
        <v>0.995954080203443</v>
      </c>
      <c r="C4666">
        <v>1.1642024927038801</v>
      </c>
      <c r="D4666">
        <v>1.0524272624535</v>
      </c>
      <c r="E4666">
        <v>1.1813717644095401</v>
      </c>
      <c r="F4666">
        <v>0.87003293180132002</v>
      </c>
      <c r="G4666">
        <v>0.82425638108629895</v>
      </c>
      <c r="H4666">
        <v>0.73555633738200599</v>
      </c>
      <c r="I4666">
        <v>0.92432405640226001</v>
      </c>
      <c r="J4666">
        <v>0.72484115916970104</v>
      </c>
      <c r="K4666">
        <v>1.1107955750591001</v>
      </c>
      <c r="L4666">
        <v>13088.0571643447</v>
      </c>
      <c r="M4666">
        <v>250</v>
      </c>
      <c r="O4666">
        <v>52.348878518166899</v>
      </c>
      <c r="P4666">
        <v>-0.162433859789399</v>
      </c>
      <c r="Q4666">
        <v>0.86394831401183703</v>
      </c>
      <c r="R4666">
        <v>0.35878441014769302</v>
      </c>
      <c r="S4666" t="s">
        <v>11472</v>
      </c>
      <c r="T4666" t="s">
        <v>13610</v>
      </c>
      <c r="U4666" t="s">
        <v>13610</v>
      </c>
      <c r="V4666" t="s">
        <v>13610</v>
      </c>
      <c r="W4666" t="s">
        <v>18215</v>
      </c>
      <c r="X4666">
        <v>3</v>
      </c>
      <c r="Y4666" t="s">
        <v>24796</v>
      </c>
      <c r="Z4666" t="s">
        <v>31521</v>
      </c>
      <c r="AA4666">
        <v>0.91997886523130912</v>
      </c>
      <c r="AB4666" t="str">
        <f>HYPERLINK("Melting_Curves/meltCurve_Q8NI22_2_MCFD2.pdf", "Melting_Curves/meltCurve_Q8NI22_2_MCFD2.pdf")</f>
        <v>Melting_Curves/meltCurve_Q8NI22_2_MCFD2.pdf</v>
      </c>
    </row>
    <row r="4667" spans="1:28" x14ac:dyDescent="0.25">
      <c r="A4667" t="s">
        <v>4671</v>
      </c>
      <c r="B4667">
        <v>0.995954080203443</v>
      </c>
      <c r="C4667">
        <v>0.72525598278140702</v>
      </c>
      <c r="D4667">
        <v>0.71266604854666504</v>
      </c>
      <c r="E4667">
        <v>0.62664978397016502</v>
      </c>
      <c r="F4667">
        <v>0.57402543927403804</v>
      </c>
      <c r="G4667">
        <v>0.44525824662958202</v>
      </c>
      <c r="H4667">
        <v>0.44517642576906302</v>
      </c>
      <c r="I4667">
        <v>0.57183031947463103</v>
      </c>
      <c r="J4667">
        <v>0.69302574892604496</v>
      </c>
      <c r="K4667">
        <v>0.65999889313438498</v>
      </c>
      <c r="L4667">
        <v>939.08085768856995</v>
      </c>
      <c r="M4667">
        <v>21.792177451367699</v>
      </c>
      <c r="O4667">
        <v>42.734621769622898</v>
      </c>
      <c r="P4667">
        <v>-5.4565308095124998E-2</v>
      </c>
      <c r="Q4667">
        <v>0.57199805217203203</v>
      </c>
      <c r="R4667">
        <v>0.69900943979885599</v>
      </c>
      <c r="S4667" t="s">
        <v>11473</v>
      </c>
      <c r="T4667" t="s">
        <v>13610</v>
      </c>
      <c r="U4667" t="s">
        <v>13610</v>
      </c>
      <c r="V4667" t="s">
        <v>13610</v>
      </c>
      <c r="W4667" t="s">
        <v>18216</v>
      </c>
      <c r="X4667">
        <v>39</v>
      </c>
      <c r="Y4667" t="s">
        <v>24797</v>
      </c>
      <c r="Z4667" t="s">
        <v>31522</v>
      </c>
      <c r="AA4667">
        <v>0.62429988443861406</v>
      </c>
      <c r="AB4667" t="str">
        <f>HYPERLINK("Melting_Curves/meltCurve_Q8NI27_THOC2.pdf", "Melting_Curves/meltCurve_Q8NI27_THOC2.pdf")</f>
        <v>Melting_Curves/meltCurve_Q8NI27_THOC2.pdf</v>
      </c>
    </row>
    <row r="4668" spans="1:28" x14ac:dyDescent="0.25">
      <c r="A4668" t="s">
        <v>4672</v>
      </c>
      <c r="B4668">
        <v>0.995954080203443</v>
      </c>
      <c r="C4668">
        <v>0.72157346350514795</v>
      </c>
      <c r="D4668">
        <v>0.58288433156005204</v>
      </c>
      <c r="E4668">
        <v>0.39719873700178598</v>
      </c>
      <c r="F4668">
        <v>0.356590229521557</v>
      </c>
      <c r="G4668">
        <v>0.24269384993324999</v>
      </c>
      <c r="H4668">
        <v>0.18841042272449199</v>
      </c>
      <c r="I4668">
        <v>0.15856976740856199</v>
      </c>
      <c r="J4668">
        <v>0.174021363003968</v>
      </c>
      <c r="K4668">
        <v>0.16071237028417901</v>
      </c>
      <c r="L4668">
        <v>574.09153454311399</v>
      </c>
      <c r="M4668">
        <v>12.3516156313778</v>
      </c>
      <c r="N4668">
        <v>47.9028025039241</v>
      </c>
      <c r="O4668">
        <v>45.3111472475669</v>
      </c>
      <c r="P4668">
        <v>-5.7691477738075099E-2</v>
      </c>
      <c r="Q4668">
        <v>0.15363177514901799</v>
      </c>
      <c r="R4668">
        <v>0.97765960706588095</v>
      </c>
      <c r="S4668" t="s">
        <v>11474</v>
      </c>
      <c r="T4668" t="s">
        <v>13610</v>
      </c>
      <c r="U4668" t="s">
        <v>13610</v>
      </c>
      <c r="V4668" t="s">
        <v>13610</v>
      </c>
      <c r="W4668" t="s">
        <v>18217</v>
      </c>
      <c r="X4668">
        <v>7</v>
      </c>
      <c r="Y4668" t="s">
        <v>24798</v>
      </c>
      <c r="Z4668" t="s">
        <v>31523</v>
      </c>
      <c r="AA4668">
        <v>0.37147851215702982</v>
      </c>
      <c r="AB4668" t="str">
        <f>HYPERLINK("Melting_Curves/meltCurve_Q8NI36_WDR36.pdf", "Melting_Curves/meltCurve_Q8NI36_WDR36.pdf")</f>
        <v>Melting_Curves/meltCurve_Q8NI36_WDR36.pdf</v>
      </c>
    </row>
    <row r="4669" spans="1:28" x14ac:dyDescent="0.25">
      <c r="A4669" t="s">
        <v>4673</v>
      </c>
      <c r="B4669">
        <v>0.995954080203443</v>
      </c>
      <c r="C4669">
        <v>0.81781074769448703</v>
      </c>
      <c r="D4669">
        <v>1.0535372762310999</v>
      </c>
      <c r="E4669">
        <v>0.78433191383457301</v>
      </c>
      <c r="F4669">
        <v>0.99608834700780702</v>
      </c>
      <c r="G4669">
        <v>0.83847329523742298</v>
      </c>
      <c r="H4669">
        <v>0.87213877493444902</v>
      </c>
      <c r="I4669">
        <v>1.0742743746333601</v>
      </c>
      <c r="J4669">
        <v>1.3112661056327399</v>
      </c>
      <c r="K4669">
        <v>1.37171553679285</v>
      </c>
      <c r="L4669">
        <v>4821.9665134979296</v>
      </c>
      <c r="M4669">
        <v>73.784308001721996</v>
      </c>
      <c r="O4669">
        <v>65.304237549130406</v>
      </c>
      <c r="P4669">
        <v>0.10443801865991401</v>
      </c>
      <c r="Q4669">
        <v>1.3697395354955899</v>
      </c>
      <c r="R4669">
        <v>0.65493089850529496</v>
      </c>
      <c r="S4669" t="s">
        <v>11475</v>
      </c>
      <c r="T4669" t="s">
        <v>13610</v>
      </c>
      <c r="U4669" t="s">
        <v>13610</v>
      </c>
      <c r="V4669" t="s">
        <v>13610</v>
      </c>
      <c r="W4669" t="s">
        <v>18218</v>
      </c>
      <c r="X4669">
        <v>2</v>
      </c>
      <c r="Y4669" t="s">
        <v>24799</v>
      </c>
      <c r="Z4669" t="s">
        <v>31524</v>
      </c>
      <c r="AA4669">
        <v>1.0568904339186529</v>
      </c>
      <c r="AB4669" t="str">
        <f>HYPERLINK("Melting_Curves/meltCurve_Q8NI51_8_CTCFL.pdf", "Melting_Curves/meltCurve_Q8NI51_8_CTCFL.pdf")</f>
        <v>Melting_Curves/meltCurve_Q8NI51_8_CTCFL.pdf</v>
      </c>
    </row>
    <row r="4670" spans="1:28" x14ac:dyDescent="0.25">
      <c r="A4670" t="s">
        <v>4674</v>
      </c>
      <c r="B4670">
        <v>0.995954080203443</v>
      </c>
      <c r="C4670">
        <v>0.95190075107570404</v>
      </c>
      <c r="D4670">
        <v>1.01891476599748</v>
      </c>
      <c r="E4670">
        <v>0.86868141712698799</v>
      </c>
      <c r="F4670">
        <v>0.92454308743149805</v>
      </c>
      <c r="G4670">
        <v>0.70363498356579202</v>
      </c>
      <c r="H4670">
        <v>0.66305925703537905</v>
      </c>
      <c r="I4670">
        <v>0.772603072625342</v>
      </c>
      <c r="J4670">
        <v>0.75175169415325205</v>
      </c>
      <c r="K4670">
        <v>0.80289902457370699</v>
      </c>
      <c r="L4670">
        <v>1278.3711141225101</v>
      </c>
      <c r="M4670">
        <v>24.522499505384399</v>
      </c>
      <c r="O4670">
        <v>51.787580187658101</v>
      </c>
      <c r="P4670">
        <v>-3.0887948994687501E-2</v>
      </c>
      <c r="Q4670">
        <v>0.73908224203199702</v>
      </c>
      <c r="R4670">
        <v>0.78810969974332201</v>
      </c>
      <c r="S4670" t="s">
        <v>11476</v>
      </c>
      <c r="T4670" t="s">
        <v>13610</v>
      </c>
      <c r="U4670" t="s">
        <v>13610</v>
      </c>
      <c r="V4670" t="s">
        <v>13610</v>
      </c>
      <c r="W4670" t="s">
        <v>18219</v>
      </c>
      <c r="X4670">
        <v>10</v>
      </c>
      <c r="Y4670" t="s">
        <v>24800</v>
      </c>
      <c r="Z4670" t="s">
        <v>31525</v>
      </c>
      <c r="AA4670">
        <v>0.84705928736889824</v>
      </c>
      <c r="AB4670" t="str">
        <f>HYPERLINK("Melting_Curves/meltCurve_Q8TA86_RP9.pdf", "Melting_Curves/meltCurve_Q8TA86_RP9.pdf")</f>
        <v>Melting_Curves/meltCurve_Q8TA86_RP9.pdf</v>
      </c>
    </row>
    <row r="4671" spans="1:28" x14ac:dyDescent="0.25">
      <c r="A4671" t="s">
        <v>4675</v>
      </c>
      <c r="B4671">
        <v>0.995954080203443</v>
      </c>
      <c r="C4671">
        <v>1.03907723505293</v>
      </c>
      <c r="D4671">
        <v>1.03169416768366</v>
      </c>
      <c r="E4671">
        <v>0.89841280445782701</v>
      </c>
      <c r="F4671">
        <v>0.60292873603698405</v>
      </c>
      <c r="G4671">
        <v>0.235480205222766</v>
      </c>
      <c r="H4671">
        <v>0.128436074627018</v>
      </c>
      <c r="I4671">
        <v>0.104653236076983</v>
      </c>
      <c r="J4671">
        <v>0.13254160782327201</v>
      </c>
      <c r="K4671">
        <v>0.112812618260738</v>
      </c>
      <c r="L4671">
        <v>1621.79342193652</v>
      </c>
      <c r="M4671">
        <v>30.375259272834398</v>
      </c>
      <c r="N4671">
        <v>53.851323903687003</v>
      </c>
      <c r="O4671">
        <v>53.162117777941198</v>
      </c>
      <c r="P4671">
        <v>-0.12653882887523399</v>
      </c>
      <c r="Q4671">
        <v>0.114143627921396</v>
      </c>
      <c r="R4671">
        <v>0.99774260222212496</v>
      </c>
      <c r="S4671" t="s">
        <v>11477</v>
      </c>
      <c r="T4671" t="s">
        <v>13610</v>
      </c>
      <c r="U4671" t="s">
        <v>13610</v>
      </c>
      <c r="V4671" t="s">
        <v>13610</v>
      </c>
      <c r="W4671" t="s">
        <v>18220</v>
      </c>
      <c r="X4671">
        <v>8</v>
      </c>
      <c r="Y4671" t="s">
        <v>24801</v>
      </c>
      <c r="Z4671" t="s">
        <v>31526</v>
      </c>
      <c r="AA4671">
        <v>0.51522465661733519</v>
      </c>
      <c r="AB4671" t="str">
        <f>HYPERLINK("Melting_Curves/meltCurve_Q8TAC1_RFESD.pdf", "Melting_Curves/meltCurve_Q8TAC1_RFESD.pdf")</f>
        <v>Melting_Curves/meltCurve_Q8TAC1_RFESD.pdf</v>
      </c>
    </row>
    <row r="4672" spans="1:28" x14ac:dyDescent="0.25">
      <c r="A4672" t="s">
        <v>4676</v>
      </c>
      <c r="B4672">
        <v>0.995954080203443</v>
      </c>
      <c r="C4672">
        <v>0.822180999476958</v>
      </c>
      <c r="D4672">
        <v>0.81129162043394598</v>
      </c>
      <c r="E4672">
        <v>0.64976508564035895</v>
      </c>
      <c r="F4672">
        <v>0.66781843039190802</v>
      </c>
      <c r="G4672">
        <v>0.48477236602796703</v>
      </c>
      <c r="H4672">
        <v>0.46038570955737601</v>
      </c>
      <c r="I4672">
        <v>0.51179029459716197</v>
      </c>
      <c r="J4672">
        <v>0.56416433217925799</v>
      </c>
      <c r="K4672">
        <v>0.58386940004196997</v>
      </c>
      <c r="L4672">
        <v>624.80647000725503</v>
      </c>
      <c r="M4672">
        <v>13.3802797911972</v>
      </c>
      <c r="O4672">
        <v>45.690020539615197</v>
      </c>
      <c r="P4672">
        <v>-3.5423186774849902E-2</v>
      </c>
      <c r="Q4672">
        <v>0.51623411674708997</v>
      </c>
      <c r="R4672">
        <v>0.89517706437843003</v>
      </c>
      <c r="S4672" t="s">
        <v>11478</v>
      </c>
      <c r="T4672" t="s">
        <v>13610</v>
      </c>
      <c r="U4672" t="s">
        <v>13610</v>
      </c>
      <c r="V4672" t="s">
        <v>13610</v>
      </c>
      <c r="W4672" t="s">
        <v>18221</v>
      </c>
      <c r="X4672">
        <v>4</v>
      </c>
      <c r="Y4672" t="s">
        <v>24802</v>
      </c>
      <c r="Z4672" t="s">
        <v>31527</v>
      </c>
      <c r="AA4672">
        <v>0.64110416755134714</v>
      </c>
      <c r="AB4672" t="str">
        <f>HYPERLINK("Melting_Curves/meltCurve_Q8TAD8_SNIP1.pdf", "Melting_Curves/meltCurve_Q8TAD8_SNIP1.pdf")</f>
        <v>Melting_Curves/meltCurve_Q8TAD8_SNIP1.pdf</v>
      </c>
    </row>
    <row r="4673" spans="1:28" x14ac:dyDescent="0.25">
      <c r="A4673" t="s">
        <v>4677</v>
      </c>
      <c r="B4673">
        <v>0.995954080203443</v>
      </c>
      <c r="C4673">
        <v>1.04379048786268</v>
      </c>
      <c r="D4673">
        <v>0.99572238042858796</v>
      </c>
      <c r="E4673">
        <v>0.92856986665937802</v>
      </c>
      <c r="F4673">
        <v>0.90080412843070501</v>
      </c>
      <c r="G4673">
        <v>0.66222553337804502</v>
      </c>
      <c r="H4673">
        <v>0.58986886959644802</v>
      </c>
      <c r="I4673">
        <v>0.67427446996636697</v>
      </c>
      <c r="J4673">
        <v>0.75653587880900797</v>
      </c>
      <c r="K4673">
        <v>0.70820851195488799</v>
      </c>
      <c r="L4673">
        <v>3325.0732261844901</v>
      </c>
      <c r="M4673">
        <v>62.010609041266498</v>
      </c>
      <c r="O4673">
        <v>53.565357610316198</v>
      </c>
      <c r="P4673">
        <v>-9.3493786758744396E-2</v>
      </c>
      <c r="Q4673">
        <v>0.67695681141840003</v>
      </c>
      <c r="R4673">
        <v>0.91023603373068496</v>
      </c>
      <c r="S4673" t="s">
        <v>11479</v>
      </c>
      <c r="T4673" t="s">
        <v>13610</v>
      </c>
      <c r="U4673" t="s">
        <v>13610</v>
      </c>
      <c r="V4673" t="s">
        <v>13610</v>
      </c>
      <c r="W4673" t="s">
        <v>18222</v>
      </c>
      <c r="X4673">
        <v>3</v>
      </c>
      <c r="Y4673" t="s">
        <v>24803</v>
      </c>
      <c r="Z4673" t="s">
        <v>31528</v>
      </c>
      <c r="AA4673">
        <v>0.82412537145384013</v>
      </c>
      <c r="AB4673" t="str">
        <f>HYPERLINK("Melting_Curves/meltCurve_Q8TAE6_PPP1R14C.pdf", "Melting_Curves/meltCurve_Q8TAE6_PPP1R14C.pdf")</f>
        <v>Melting_Curves/meltCurve_Q8TAE6_PPP1R14C.pdf</v>
      </c>
    </row>
    <row r="4674" spans="1:28" x14ac:dyDescent="0.25">
      <c r="A4674" t="s">
        <v>4678</v>
      </c>
      <c r="B4674">
        <v>0.995954080203443</v>
      </c>
      <c r="C4674">
        <v>0.99985190805902302</v>
      </c>
      <c r="D4674">
        <v>0.88854192376551</v>
      </c>
      <c r="E4674">
        <v>0.909134561424354</v>
      </c>
      <c r="F4674">
        <v>0.69806526324449003</v>
      </c>
      <c r="G4674">
        <v>0.44328168682533098</v>
      </c>
      <c r="H4674">
        <v>0.36024106040960402</v>
      </c>
      <c r="I4674">
        <v>0.339383013777531</v>
      </c>
      <c r="J4674">
        <v>0.36836583934304901</v>
      </c>
      <c r="K4674">
        <v>0.44364804986310702</v>
      </c>
      <c r="L4674">
        <v>1498.6397350765401</v>
      </c>
      <c r="M4674">
        <v>28.256803502010101</v>
      </c>
      <c r="N4674">
        <v>55.725252503440601</v>
      </c>
      <c r="O4674">
        <v>52.772924014487501</v>
      </c>
      <c r="P4674">
        <v>-8.4050299337227394E-2</v>
      </c>
      <c r="Q4674">
        <v>0.37210971260725501</v>
      </c>
      <c r="R4674">
        <v>0.97473061108924997</v>
      </c>
      <c r="S4674" t="s">
        <v>11480</v>
      </c>
      <c r="T4674" t="s">
        <v>13610</v>
      </c>
      <c r="U4674" t="s">
        <v>13610</v>
      </c>
      <c r="V4674" t="s">
        <v>13610</v>
      </c>
      <c r="W4674" t="s">
        <v>18223</v>
      </c>
      <c r="X4674">
        <v>2</v>
      </c>
      <c r="Y4674" t="s">
        <v>24804</v>
      </c>
      <c r="Z4674" t="s">
        <v>31529</v>
      </c>
      <c r="AA4674">
        <v>0.64953551871555482</v>
      </c>
      <c r="AB4674" t="str">
        <f>HYPERLINK("Melting_Curves/meltCurve_Q8TAE8_GADD45GIP1.pdf", "Melting_Curves/meltCurve_Q8TAE8_GADD45GIP1.pdf")</f>
        <v>Melting_Curves/meltCurve_Q8TAE8_GADD45GIP1.pdf</v>
      </c>
    </row>
    <row r="4675" spans="1:28" x14ac:dyDescent="0.25">
      <c r="A4675" t="s">
        <v>4679</v>
      </c>
      <c r="B4675">
        <v>0.995954080203443</v>
      </c>
      <c r="C4675">
        <v>0.92081585468687199</v>
      </c>
      <c r="D4675">
        <v>0.82858203116092999</v>
      </c>
      <c r="E4675">
        <v>0.78871852730756997</v>
      </c>
      <c r="F4675">
        <v>0.61593464396370501</v>
      </c>
      <c r="G4675">
        <v>0.42902526609671598</v>
      </c>
      <c r="H4675">
        <v>0.12103257958177099</v>
      </c>
      <c r="I4675">
        <v>0.10356617616898001</v>
      </c>
      <c r="J4675">
        <v>0.11259232716471</v>
      </c>
      <c r="K4675">
        <v>0.102878953074476</v>
      </c>
      <c r="L4675">
        <v>675.00345333283997</v>
      </c>
      <c r="M4675">
        <v>12.360111873334001</v>
      </c>
      <c r="N4675">
        <v>54.611435542289499</v>
      </c>
      <c r="O4675">
        <v>53.240978121744298</v>
      </c>
      <c r="P4675">
        <v>-5.8051003223025199E-2</v>
      </c>
      <c r="Q4675">
        <v>0</v>
      </c>
      <c r="R4675">
        <v>0.97931606378524405</v>
      </c>
      <c r="S4675" t="s">
        <v>11481</v>
      </c>
      <c r="T4675" t="s">
        <v>13610</v>
      </c>
      <c r="U4675" t="s">
        <v>13610</v>
      </c>
      <c r="V4675" t="s">
        <v>13610</v>
      </c>
      <c r="W4675" t="s">
        <v>18224</v>
      </c>
      <c r="X4675">
        <v>20</v>
      </c>
      <c r="Y4675" t="s">
        <v>24805</v>
      </c>
      <c r="Z4675" t="s">
        <v>31530</v>
      </c>
      <c r="AA4675">
        <v>0.51099766718466311</v>
      </c>
      <c r="AB4675" t="str">
        <f>HYPERLINK("Melting_Curves/meltCurve_Q8TAF3_WDR48.pdf", "Melting_Curves/meltCurve_Q8TAF3_WDR48.pdf")</f>
        <v>Melting_Curves/meltCurve_Q8TAF3_WDR48.pdf</v>
      </c>
    </row>
    <row r="4676" spans="1:28" x14ac:dyDescent="0.25">
      <c r="A4676" t="s">
        <v>4680</v>
      </c>
      <c r="B4676">
        <v>0.995954080203443</v>
      </c>
      <c r="C4676">
        <v>0.95585592728778401</v>
      </c>
      <c r="D4676">
        <v>0.76003338169244705</v>
      </c>
      <c r="E4676">
        <v>0.66013058080590603</v>
      </c>
      <c r="F4676">
        <v>0.38377966268240898</v>
      </c>
      <c r="G4676">
        <v>0.256738664935792</v>
      </c>
      <c r="H4676">
        <v>0.11608859958741601</v>
      </c>
      <c r="I4676">
        <v>8.0522238222498294E-2</v>
      </c>
      <c r="J4676">
        <v>6.0955602531602801E-2</v>
      </c>
      <c r="K4676">
        <v>5.9880657320911398E-2</v>
      </c>
      <c r="L4676">
        <v>655.49139903683101</v>
      </c>
      <c r="M4676">
        <v>12.7212156265891</v>
      </c>
      <c r="N4676">
        <v>51.628039278847901</v>
      </c>
      <c r="O4676">
        <v>50.303892351816998</v>
      </c>
      <c r="P4676">
        <v>-6.2459731008214101E-2</v>
      </c>
      <c r="Q4676">
        <v>1.22441500842932E-2</v>
      </c>
      <c r="R4676">
        <v>0.99146502453136598</v>
      </c>
      <c r="S4676" t="s">
        <v>11482</v>
      </c>
      <c r="T4676" t="s">
        <v>13610</v>
      </c>
      <c r="U4676" t="s">
        <v>13610</v>
      </c>
      <c r="V4676" t="s">
        <v>13610</v>
      </c>
      <c r="W4676" t="s">
        <v>18225</v>
      </c>
      <c r="X4676">
        <v>4</v>
      </c>
      <c r="Y4676" t="s">
        <v>24806</v>
      </c>
      <c r="Z4676" t="s">
        <v>31531</v>
      </c>
      <c r="AA4676">
        <v>0.42053852472969511</v>
      </c>
      <c r="AB4676" t="str">
        <f>HYPERLINK("Melting_Curves/meltCurve_Q8TAP6_CEP76.pdf", "Melting_Curves/meltCurve_Q8TAP6_CEP76.pdf")</f>
        <v>Melting_Curves/meltCurve_Q8TAP6_CEP76.pdf</v>
      </c>
    </row>
    <row r="4677" spans="1:28" x14ac:dyDescent="0.25">
      <c r="A4677" t="s">
        <v>4681</v>
      </c>
      <c r="B4677">
        <v>0.995954080203443</v>
      </c>
      <c r="C4677">
        <v>1.00247151056545</v>
      </c>
      <c r="D4677">
        <v>0.89682368928943901</v>
      </c>
      <c r="E4677">
        <v>0.90121245444920495</v>
      </c>
      <c r="F4677">
        <v>0.92536897301924403</v>
      </c>
      <c r="G4677">
        <v>0.69443206615271702</v>
      </c>
      <c r="H4677">
        <v>0.65350278710624699</v>
      </c>
      <c r="I4677">
        <v>0.75942576027630504</v>
      </c>
      <c r="J4677">
        <v>0.86488608263123801</v>
      </c>
      <c r="K4677">
        <v>0.92767099707405898</v>
      </c>
      <c r="L4677">
        <v>880.772507921326</v>
      </c>
      <c r="M4677">
        <v>17.9188264866984</v>
      </c>
      <c r="O4677">
        <v>48.553545039390499</v>
      </c>
      <c r="P4677">
        <v>-1.92836731034008E-2</v>
      </c>
      <c r="Q4677">
        <v>0.79100335469639704</v>
      </c>
      <c r="R4677">
        <v>0.464011097614974</v>
      </c>
      <c r="S4677" t="s">
        <v>11483</v>
      </c>
      <c r="T4677" t="s">
        <v>13610</v>
      </c>
      <c r="U4677" t="s">
        <v>13610</v>
      </c>
      <c r="V4677" t="s">
        <v>13610</v>
      </c>
      <c r="W4677" t="s">
        <v>18226</v>
      </c>
      <c r="X4677">
        <v>8</v>
      </c>
      <c r="Y4677" t="s">
        <v>24807</v>
      </c>
      <c r="Z4677" t="s">
        <v>31532</v>
      </c>
      <c r="AA4677">
        <v>0.85841380369823217</v>
      </c>
      <c r="AB4677" t="str">
        <f>HYPERLINK("Melting_Curves/meltCurve_Q8TAP8_PPP1R35.pdf", "Melting_Curves/meltCurve_Q8TAP8_PPP1R35.pdf")</f>
        <v>Melting_Curves/meltCurve_Q8TAP8_PPP1R35.pdf</v>
      </c>
    </row>
    <row r="4678" spans="1:28" x14ac:dyDescent="0.25">
      <c r="A4678" t="s">
        <v>4682</v>
      </c>
      <c r="B4678">
        <v>0.995954080203443</v>
      </c>
      <c r="C4678">
        <v>0.86234636038052004</v>
      </c>
      <c r="D4678">
        <v>0.730083625265743</v>
      </c>
      <c r="E4678">
        <v>0.56485988881817994</v>
      </c>
      <c r="F4678">
        <v>0.32940069581219</v>
      </c>
      <c r="G4678">
        <v>0.213263076617103</v>
      </c>
      <c r="H4678">
        <v>0.12167439535219</v>
      </c>
      <c r="I4678">
        <v>0.117285414304548</v>
      </c>
      <c r="J4678">
        <v>0.114669163196183</v>
      </c>
      <c r="K4678">
        <v>0.114009062409804</v>
      </c>
      <c r="L4678">
        <v>645.89504288239698</v>
      </c>
      <c r="M4678">
        <v>13.0278940862365</v>
      </c>
      <c r="N4678">
        <v>50.197740256162199</v>
      </c>
      <c r="O4678">
        <v>48.4533351755518</v>
      </c>
      <c r="P4678">
        <v>-6.2235113900596599E-2</v>
      </c>
      <c r="Q4678">
        <v>7.4302766629762498E-2</v>
      </c>
      <c r="R4678">
        <v>0.99312524212216102</v>
      </c>
      <c r="S4678" t="s">
        <v>11484</v>
      </c>
      <c r="T4678" t="s">
        <v>13610</v>
      </c>
      <c r="U4678" t="s">
        <v>13610</v>
      </c>
      <c r="V4678" t="s">
        <v>13610</v>
      </c>
      <c r="W4678" t="s">
        <v>18227</v>
      </c>
      <c r="X4678">
        <v>50</v>
      </c>
      <c r="Y4678" t="s">
        <v>24808</v>
      </c>
      <c r="Z4678" t="s">
        <v>31533</v>
      </c>
      <c r="AA4678">
        <v>0.39852172489340387</v>
      </c>
      <c r="AB4678" t="str">
        <f>HYPERLINK("Melting_Curves/meltCurve_Q8TAQ2_SMARCC2.pdf", "Melting_Curves/meltCurve_Q8TAQ2_SMARCC2.pdf")</f>
        <v>Melting_Curves/meltCurve_Q8TAQ2_SMARCC2.pdf</v>
      </c>
    </row>
    <row r="4679" spans="1:28" x14ac:dyDescent="0.25">
      <c r="A4679" t="s">
        <v>4683</v>
      </c>
      <c r="B4679">
        <v>0.995954080203443</v>
      </c>
      <c r="C4679">
        <v>0.869515987888553</v>
      </c>
      <c r="D4679">
        <v>0.66125731880346905</v>
      </c>
      <c r="E4679">
        <v>0.56961525700071203</v>
      </c>
      <c r="F4679">
        <v>0.47835328442601899</v>
      </c>
      <c r="G4679">
        <v>0.308287155518291</v>
      </c>
      <c r="H4679">
        <v>0.149960685824088</v>
      </c>
      <c r="I4679">
        <v>9.4443175671569901E-2</v>
      </c>
      <c r="J4679">
        <v>8.26412194774898E-2</v>
      </c>
      <c r="K4679">
        <v>7.8856616615255601E-2</v>
      </c>
      <c r="L4679">
        <v>487.24695821546101</v>
      </c>
      <c r="M4679">
        <v>9.5023774848393892</v>
      </c>
      <c r="N4679">
        <v>51.276307140479297</v>
      </c>
      <c r="O4679">
        <v>49.159457718472602</v>
      </c>
      <c r="P4679">
        <v>-4.8352819567392298E-2</v>
      </c>
      <c r="Q4679">
        <v>0</v>
      </c>
      <c r="R4679">
        <v>0.98287841481293003</v>
      </c>
      <c r="S4679" t="s">
        <v>11485</v>
      </c>
      <c r="T4679" t="s">
        <v>13610</v>
      </c>
      <c r="U4679" t="s">
        <v>13610</v>
      </c>
      <c r="V4679" t="s">
        <v>13610</v>
      </c>
      <c r="W4679" t="s">
        <v>18228</v>
      </c>
      <c r="X4679">
        <v>50</v>
      </c>
      <c r="Y4679" t="s">
        <v>24808</v>
      </c>
      <c r="Z4679" t="s">
        <v>31534</v>
      </c>
      <c r="AA4679">
        <v>0.41896955349042381</v>
      </c>
      <c r="AB4679" t="str">
        <f>HYPERLINK("Melting_Curves/meltCurve_Q8TAQ2_2_SMARCC2.pdf", "Melting_Curves/meltCurve_Q8TAQ2_2_SMARCC2.pdf")</f>
        <v>Melting_Curves/meltCurve_Q8TAQ2_2_SMARCC2.pdf</v>
      </c>
    </row>
    <row r="4680" spans="1:28" x14ac:dyDescent="0.25">
      <c r="A4680" t="s">
        <v>4684</v>
      </c>
      <c r="B4680">
        <v>0.995954080203443</v>
      </c>
      <c r="C4680">
        <v>0.92143632876683101</v>
      </c>
      <c r="D4680">
        <v>0.93916205081828696</v>
      </c>
      <c r="E4680">
        <v>0.77124405581794497</v>
      </c>
      <c r="F4680">
        <v>0.478557503653254</v>
      </c>
      <c r="G4680">
        <v>0.194289993489418</v>
      </c>
      <c r="H4680">
        <v>0.115455350632384</v>
      </c>
      <c r="I4680">
        <v>9.6887817354009503E-2</v>
      </c>
      <c r="J4680">
        <v>0.103296131588862</v>
      </c>
      <c r="K4680">
        <v>9.4075687545597295E-2</v>
      </c>
      <c r="L4680">
        <v>1181.2181423403699</v>
      </c>
      <c r="M4680">
        <v>22.589413550568</v>
      </c>
      <c r="N4680">
        <v>52.729854196763</v>
      </c>
      <c r="O4680">
        <v>51.886142674283001</v>
      </c>
      <c r="P4680">
        <v>-9.9512011110752405E-2</v>
      </c>
      <c r="Q4680">
        <v>8.5732341357225697E-2</v>
      </c>
      <c r="R4680">
        <v>0.99561603699344303</v>
      </c>
      <c r="S4680" t="s">
        <v>11486</v>
      </c>
      <c r="T4680" t="s">
        <v>13610</v>
      </c>
      <c r="U4680" t="s">
        <v>13610</v>
      </c>
      <c r="V4680" t="s">
        <v>13610</v>
      </c>
      <c r="W4680" t="s">
        <v>18229</v>
      </c>
      <c r="X4680">
        <v>32</v>
      </c>
      <c r="Y4680" t="s">
        <v>24809</v>
      </c>
      <c r="Z4680" t="s">
        <v>31535</v>
      </c>
      <c r="AA4680">
        <v>0.47043308879743151</v>
      </c>
      <c r="AB4680" t="str">
        <f>HYPERLINK("Melting_Curves/meltCurve_Q8TAT6_NPLOC4.pdf", "Melting_Curves/meltCurve_Q8TAT6_NPLOC4.pdf")</f>
        <v>Melting_Curves/meltCurve_Q8TAT6_NPLOC4.pdf</v>
      </c>
    </row>
    <row r="4681" spans="1:28" x14ac:dyDescent="0.25">
      <c r="A4681" t="s">
        <v>4685</v>
      </c>
      <c r="B4681">
        <v>0.995954080203443</v>
      </c>
      <c r="C4681">
        <v>0.95381963322893903</v>
      </c>
      <c r="D4681">
        <v>1.07723283107734</v>
      </c>
      <c r="E4681">
        <v>0.76960601554389496</v>
      </c>
      <c r="F4681">
        <v>0.67298783273423601</v>
      </c>
      <c r="G4681">
        <v>0.48329452237521398</v>
      </c>
      <c r="H4681">
        <v>0.39040943420248198</v>
      </c>
      <c r="I4681">
        <v>0.44245289677576299</v>
      </c>
      <c r="J4681">
        <v>0.49788634458429099</v>
      </c>
      <c r="K4681">
        <v>0.55421143010644403</v>
      </c>
      <c r="L4681">
        <v>1426.67809910336</v>
      </c>
      <c r="M4681">
        <v>27.836155328039698</v>
      </c>
      <c r="N4681">
        <v>57.0636399690082</v>
      </c>
      <c r="O4681">
        <v>50.990373134646497</v>
      </c>
      <c r="P4681">
        <v>-7.2247752809201607E-2</v>
      </c>
      <c r="Q4681">
        <v>0.47062983784728002</v>
      </c>
      <c r="R4681">
        <v>0.94103375435088299</v>
      </c>
      <c r="S4681" t="s">
        <v>11487</v>
      </c>
      <c r="T4681" t="s">
        <v>13610</v>
      </c>
      <c r="U4681" t="s">
        <v>13610</v>
      </c>
      <c r="V4681" t="s">
        <v>13610</v>
      </c>
      <c r="W4681" t="s">
        <v>18230</v>
      </c>
      <c r="X4681">
        <v>7</v>
      </c>
      <c r="Y4681" t="s">
        <v>24810</v>
      </c>
      <c r="Z4681" t="s">
        <v>31536</v>
      </c>
      <c r="AA4681">
        <v>0.67307091980662082</v>
      </c>
      <c r="AB4681" t="str">
        <f>HYPERLINK("Melting_Curves/meltCurve_Q8TAV0_2_FAM76A.pdf", "Melting_Curves/meltCurve_Q8TAV0_2_FAM76A.pdf")</f>
        <v>Melting_Curves/meltCurve_Q8TAV0_2_FAM76A.pdf</v>
      </c>
    </row>
    <row r="4682" spans="1:28" x14ac:dyDescent="0.25">
      <c r="A4682" t="s">
        <v>4686</v>
      </c>
      <c r="B4682">
        <v>0.995954080203443</v>
      </c>
      <c r="C4682">
        <v>1.12075558866279</v>
      </c>
      <c r="D4682">
        <v>1.14465169187341</v>
      </c>
      <c r="E4682">
        <v>1.0798492517691001</v>
      </c>
      <c r="F4682">
        <v>1.07616265873742</v>
      </c>
      <c r="G4682">
        <v>0.83865825879089595</v>
      </c>
      <c r="H4682">
        <v>0.75830416163451897</v>
      </c>
      <c r="I4682">
        <v>0.82451219221957495</v>
      </c>
      <c r="J4682">
        <v>1.1976841066803099</v>
      </c>
      <c r="K4682">
        <v>0.90303027966982097</v>
      </c>
      <c r="L4682">
        <v>2538.5668029048202</v>
      </c>
      <c r="M4682">
        <v>46.185996875036899</v>
      </c>
      <c r="O4682">
        <v>54.861248187497203</v>
      </c>
      <c r="P4682">
        <v>-1.95380348916127E-2</v>
      </c>
      <c r="Q4682">
        <v>0.90716842455922497</v>
      </c>
      <c r="R4682">
        <v>0.19033712760546201</v>
      </c>
      <c r="S4682" t="s">
        <v>11488</v>
      </c>
      <c r="T4682" t="s">
        <v>13610</v>
      </c>
      <c r="U4682" t="s">
        <v>13610</v>
      </c>
      <c r="V4682" t="s">
        <v>13610</v>
      </c>
      <c r="W4682" t="s">
        <v>18231</v>
      </c>
      <c r="X4682">
        <v>1</v>
      </c>
      <c r="Y4682" t="s">
        <v>24811</v>
      </c>
      <c r="Z4682" t="s">
        <v>31537</v>
      </c>
      <c r="AA4682">
        <v>0.95373651324161102</v>
      </c>
      <c r="AB4682" t="str">
        <f>HYPERLINK("Melting_Curves/meltCurve_Q8TAX9_5_GSDMB.pdf", "Melting_Curves/meltCurve_Q8TAX9_5_GSDMB.pdf")</f>
        <v>Melting_Curves/meltCurve_Q8TAX9_5_GSDMB.pdf</v>
      </c>
    </row>
    <row r="4683" spans="1:28" x14ac:dyDescent="0.25">
      <c r="A4683" t="s">
        <v>4687</v>
      </c>
      <c r="B4683">
        <v>0.995954080203443</v>
      </c>
      <c r="C4683">
        <v>0.96781063589388705</v>
      </c>
      <c r="D4683">
        <v>0.92949370523963604</v>
      </c>
      <c r="E4683">
        <v>0.73902614812185397</v>
      </c>
      <c r="F4683">
        <v>0.50360227212253506</v>
      </c>
      <c r="G4683">
        <v>0.154348555344893</v>
      </c>
      <c r="H4683">
        <v>0.105808188837075</v>
      </c>
      <c r="I4683">
        <v>0.102009520724578</v>
      </c>
      <c r="J4683">
        <v>9.2739574695203206E-2</v>
      </c>
      <c r="K4683">
        <v>8.7693237390173706E-2</v>
      </c>
      <c r="L4683">
        <v>1156.83517028234</v>
      </c>
      <c r="M4683">
        <v>22.140670957393201</v>
      </c>
      <c r="N4683">
        <v>52.638051232823301</v>
      </c>
      <c r="O4683">
        <v>51.8286713994491</v>
      </c>
      <c r="P4683">
        <v>-9.8744988305477802E-2</v>
      </c>
      <c r="Q4683">
        <v>7.5418747342346396E-2</v>
      </c>
      <c r="R4683">
        <v>0.99624929352316904</v>
      </c>
      <c r="S4683" t="s">
        <v>11489</v>
      </c>
      <c r="T4683" t="s">
        <v>13610</v>
      </c>
      <c r="U4683" t="s">
        <v>13610</v>
      </c>
      <c r="V4683" t="s">
        <v>13610</v>
      </c>
      <c r="W4683" t="s">
        <v>18232</v>
      </c>
      <c r="X4683">
        <v>8</v>
      </c>
      <c r="Y4683" t="s">
        <v>24812</v>
      </c>
      <c r="Z4683" t="s">
        <v>31538</v>
      </c>
      <c r="AA4683">
        <v>0.46356774772287651</v>
      </c>
      <c r="AB4683" t="str">
        <f>HYPERLINK("Melting_Curves/meltCurve_Q8TB03_CXorf38.pdf", "Melting_Curves/meltCurve_Q8TB03_CXorf38.pdf")</f>
        <v>Melting_Curves/meltCurve_Q8TB03_CXorf38.pdf</v>
      </c>
    </row>
    <row r="4684" spans="1:28" x14ac:dyDescent="0.25">
      <c r="A4684" t="s">
        <v>4688</v>
      </c>
      <c r="B4684">
        <v>0.995954080203443</v>
      </c>
      <c r="C4684">
        <v>0.97471327293153198</v>
      </c>
      <c r="D4684">
        <v>0.93228374435264705</v>
      </c>
      <c r="E4684">
        <v>0.68656228477317305</v>
      </c>
      <c r="F4684">
        <v>0.55617008567569204</v>
      </c>
      <c r="G4684">
        <v>0.43521910172933098</v>
      </c>
      <c r="H4684">
        <v>0.392066658675855</v>
      </c>
      <c r="I4684">
        <v>0.46356422383173901</v>
      </c>
      <c r="J4684">
        <v>0.45635421294579198</v>
      </c>
      <c r="K4684">
        <v>0.54170061072110398</v>
      </c>
      <c r="L4684">
        <v>1302.8154947148801</v>
      </c>
      <c r="M4684">
        <v>26.348653356014498</v>
      </c>
      <c r="N4684">
        <v>54.510747935069702</v>
      </c>
      <c r="O4684">
        <v>49.163062413417698</v>
      </c>
      <c r="P4684">
        <v>-7.2783611347642704E-2</v>
      </c>
      <c r="Q4684">
        <v>0.45678800170022299</v>
      </c>
      <c r="R4684">
        <v>0.97268815436073297</v>
      </c>
      <c r="S4684" t="s">
        <v>11490</v>
      </c>
      <c r="T4684" t="s">
        <v>13610</v>
      </c>
      <c r="U4684" t="s">
        <v>13610</v>
      </c>
      <c r="V4684" t="s">
        <v>13610</v>
      </c>
      <c r="W4684" t="s">
        <v>18233</v>
      </c>
      <c r="X4684">
        <v>5</v>
      </c>
      <c r="Y4684" t="s">
        <v>24813</v>
      </c>
      <c r="Z4684" t="s">
        <v>31539</v>
      </c>
      <c r="AA4684">
        <v>0.63215286544819982</v>
      </c>
      <c r="AB4684" t="str">
        <f>HYPERLINK("Melting_Curves/meltCurve_Q8TB24_RIN3.pdf", "Melting_Curves/meltCurve_Q8TB24_RIN3.pdf")</f>
        <v>Melting_Curves/meltCurve_Q8TB24_RIN3.pdf</v>
      </c>
    </row>
    <row r="4685" spans="1:28" x14ac:dyDescent="0.25">
      <c r="A4685" t="s">
        <v>4689</v>
      </c>
      <c r="B4685">
        <v>0.995954080203443</v>
      </c>
      <c r="C4685">
        <v>0.85672515084184298</v>
      </c>
      <c r="D4685">
        <v>0.74776282927278404</v>
      </c>
      <c r="E4685">
        <v>0.520913635111942</v>
      </c>
      <c r="F4685">
        <v>0.23341287527898599</v>
      </c>
      <c r="G4685">
        <v>0.14612919703980701</v>
      </c>
      <c r="H4685">
        <v>0.10657073552409101</v>
      </c>
      <c r="I4685">
        <v>0.100891913198545</v>
      </c>
      <c r="J4685">
        <v>0.11338750797248499</v>
      </c>
      <c r="K4685">
        <v>0.106230009340348</v>
      </c>
      <c r="L4685">
        <v>781.38262426113204</v>
      </c>
      <c r="M4685">
        <v>15.996073852810399</v>
      </c>
      <c r="N4685">
        <v>49.396105339347798</v>
      </c>
      <c r="O4685">
        <v>48.104092699538803</v>
      </c>
      <c r="P4685">
        <v>-7.6383018548273104E-2</v>
      </c>
      <c r="Q4685">
        <v>8.1262824407629899E-2</v>
      </c>
      <c r="R4685">
        <v>0.99000643556017398</v>
      </c>
      <c r="S4685" t="s">
        <v>11491</v>
      </c>
      <c r="T4685" t="s">
        <v>13610</v>
      </c>
      <c r="U4685" t="s">
        <v>13610</v>
      </c>
      <c r="V4685" t="s">
        <v>13610</v>
      </c>
      <c r="W4685" t="s">
        <v>18234</v>
      </c>
      <c r="X4685">
        <v>12</v>
      </c>
      <c r="Y4685" t="s">
        <v>24814</v>
      </c>
      <c r="Z4685" t="s">
        <v>31540</v>
      </c>
      <c r="AA4685">
        <v>0.3723979091377641</v>
      </c>
      <c r="AB4685" t="str">
        <f>HYPERLINK("Melting_Curves/meltCurve_Q8TB52_FBXO30.pdf", "Melting_Curves/meltCurve_Q8TB52_FBXO30.pdf")</f>
        <v>Melting_Curves/meltCurve_Q8TB52_FBXO30.pdf</v>
      </c>
    </row>
    <row r="4686" spans="1:28" x14ac:dyDescent="0.25">
      <c r="A4686" t="s">
        <v>4690</v>
      </c>
      <c r="B4686">
        <v>0.995954080203443</v>
      </c>
      <c r="C4686">
        <v>0.60057517471916499</v>
      </c>
      <c r="D4686">
        <v>0.39306585983032299</v>
      </c>
      <c r="E4686">
        <v>0.953765302360157</v>
      </c>
      <c r="F4686">
        <v>0.425695998381589</v>
      </c>
      <c r="G4686">
        <v>0.16021266260247599</v>
      </c>
      <c r="H4686">
        <v>9.28014225466222E-2</v>
      </c>
      <c r="I4686">
        <v>7.3840439615974807E-2</v>
      </c>
      <c r="J4686">
        <v>8.7343762833378302E-2</v>
      </c>
      <c r="K4686">
        <v>8.1894619234048602E-2</v>
      </c>
      <c r="L4686">
        <v>400.94993500598503</v>
      </c>
      <c r="M4686">
        <v>8.0467365483995206</v>
      </c>
      <c r="N4686">
        <v>49.827645418657198</v>
      </c>
      <c r="O4686">
        <v>47.033057201656902</v>
      </c>
      <c r="P4686">
        <v>-4.2819056552355302E-2</v>
      </c>
      <c r="Q4686">
        <v>0</v>
      </c>
      <c r="R4686">
        <v>0.68917861597491004</v>
      </c>
      <c r="S4686" t="s">
        <v>11492</v>
      </c>
      <c r="T4686" t="s">
        <v>13610</v>
      </c>
      <c r="U4686" t="s">
        <v>13610</v>
      </c>
      <c r="V4686" t="s">
        <v>13610</v>
      </c>
      <c r="W4686" t="s">
        <v>18235</v>
      </c>
      <c r="X4686">
        <v>5</v>
      </c>
      <c r="Y4686" t="s">
        <v>24815</v>
      </c>
      <c r="Z4686" t="s">
        <v>31541</v>
      </c>
      <c r="AA4686">
        <v>0.38791224821676679</v>
      </c>
      <c r="AB4686" t="str">
        <f>HYPERLINK("Melting_Curves/meltCurve_Q8TB70_TXNDC9.pdf", "Melting_Curves/meltCurve_Q8TB70_TXNDC9.pdf")</f>
        <v>Melting_Curves/meltCurve_Q8TB70_TXNDC9.pdf</v>
      </c>
    </row>
    <row r="4687" spans="1:28" x14ac:dyDescent="0.25">
      <c r="A4687" t="s">
        <v>4691</v>
      </c>
      <c r="B4687">
        <v>0.995954080203443</v>
      </c>
      <c r="C4687">
        <v>0.94331560849640805</v>
      </c>
      <c r="D4687">
        <v>1.1334929226996699</v>
      </c>
      <c r="E4687">
        <v>0.90101637656259503</v>
      </c>
      <c r="F4687">
        <v>1.0194828349284599</v>
      </c>
      <c r="G4687">
        <v>0.79221801874854902</v>
      </c>
      <c r="H4687">
        <v>0.79564522589200104</v>
      </c>
      <c r="I4687">
        <v>0.90109233336866801</v>
      </c>
      <c r="J4687">
        <v>1.1302966600158799</v>
      </c>
      <c r="K4687">
        <v>1.0786434708239101</v>
      </c>
      <c r="L4687">
        <v>7035.2924008579203</v>
      </c>
      <c r="M4687">
        <v>106.834086136813</v>
      </c>
      <c r="O4687">
        <v>65.829444097945498</v>
      </c>
      <c r="P4687">
        <v>4.3499972854604198E-2</v>
      </c>
      <c r="Q4687">
        <v>1.10721592374814</v>
      </c>
      <c r="R4687">
        <v>7.4728666276752495E-2</v>
      </c>
      <c r="S4687" t="s">
        <v>11493</v>
      </c>
      <c r="T4687" t="s">
        <v>13610</v>
      </c>
      <c r="U4687" t="s">
        <v>13610</v>
      </c>
      <c r="V4687" t="s">
        <v>13610</v>
      </c>
      <c r="W4687" t="s">
        <v>18236</v>
      </c>
      <c r="X4687">
        <v>16</v>
      </c>
      <c r="Y4687" t="s">
        <v>24816</v>
      </c>
      <c r="Z4687" t="s">
        <v>31542</v>
      </c>
      <c r="AA4687">
        <v>1.014759180036769</v>
      </c>
      <c r="AB4687" t="str">
        <f>HYPERLINK("Melting_Curves/meltCurve_Q8TB72_3_PUM2.pdf", "Melting_Curves/meltCurve_Q8TB72_3_PUM2.pdf")</f>
        <v>Melting_Curves/meltCurve_Q8TB72_3_PUM2.pdf</v>
      </c>
    </row>
    <row r="4688" spans="1:28" x14ac:dyDescent="0.25">
      <c r="A4688" t="s">
        <v>4692</v>
      </c>
      <c r="B4688">
        <v>0.995954080203443</v>
      </c>
      <c r="C4688">
        <v>0.97002003421830496</v>
      </c>
      <c r="D4688">
        <v>1.0143389942639101</v>
      </c>
      <c r="E4688">
        <v>0.95076881289123505</v>
      </c>
      <c r="F4688">
        <v>0.79834592655032799</v>
      </c>
      <c r="G4688">
        <v>0.58432876302080405</v>
      </c>
      <c r="H4688">
        <v>0.51903946579914995</v>
      </c>
      <c r="I4688">
        <v>0.605664689894861</v>
      </c>
      <c r="J4688">
        <v>0.67531076974424198</v>
      </c>
      <c r="K4688">
        <v>0.76234310673711103</v>
      </c>
      <c r="L4688">
        <v>2678.19267194959</v>
      </c>
      <c r="M4688">
        <v>50.8265138181551</v>
      </c>
      <c r="O4688">
        <v>52.611437834412797</v>
      </c>
      <c r="P4688">
        <v>-8.9632879378083799E-2</v>
      </c>
      <c r="Q4688">
        <v>0.628877810314311</v>
      </c>
      <c r="R4688">
        <v>0.88127367547736402</v>
      </c>
      <c r="S4688" t="s">
        <v>11494</v>
      </c>
      <c r="T4688" t="s">
        <v>13610</v>
      </c>
      <c r="U4688" t="s">
        <v>13610</v>
      </c>
      <c r="V4688" t="s">
        <v>13610</v>
      </c>
      <c r="W4688" t="s">
        <v>18237</v>
      </c>
      <c r="X4688">
        <v>5</v>
      </c>
      <c r="Y4688" t="s">
        <v>24817</v>
      </c>
      <c r="Z4688" t="s">
        <v>31543</v>
      </c>
      <c r="AA4688">
        <v>0.78673200207393879</v>
      </c>
      <c r="AB4688" t="str">
        <f>HYPERLINK("Melting_Curves/meltCurve_Q8TBA6_2_GOLGA5.pdf", "Melting_Curves/meltCurve_Q8TBA6_2_GOLGA5.pdf")</f>
        <v>Melting_Curves/meltCurve_Q8TBA6_2_GOLGA5.pdf</v>
      </c>
    </row>
    <row r="4689" spans="1:28" x14ac:dyDescent="0.25">
      <c r="A4689" t="s">
        <v>4693</v>
      </c>
      <c r="B4689">
        <v>0.995954080203443</v>
      </c>
      <c r="C4689">
        <v>0.90625140783164204</v>
      </c>
      <c r="D4689">
        <v>0.78869765675417103</v>
      </c>
      <c r="E4689">
        <v>0.48067249759979502</v>
      </c>
      <c r="F4689">
        <v>0.38828635249334797</v>
      </c>
      <c r="G4689">
        <v>0.20160111131557301</v>
      </c>
      <c r="H4689">
        <v>0.110956563958497</v>
      </c>
      <c r="I4689">
        <v>0.100609959266138</v>
      </c>
      <c r="J4689">
        <v>0.11184304527212301</v>
      </c>
      <c r="K4689">
        <v>0.108249186846531</v>
      </c>
      <c r="L4689">
        <v>717.91412695993301</v>
      </c>
      <c r="M4689">
        <v>14.4571824379577</v>
      </c>
      <c r="N4689">
        <v>50.2616949388308</v>
      </c>
      <c r="O4689">
        <v>48.736853378899802</v>
      </c>
      <c r="P4689">
        <v>-6.8256268917559204E-2</v>
      </c>
      <c r="Q4689">
        <v>7.9707977821277295E-2</v>
      </c>
      <c r="R4689">
        <v>0.995358483504308</v>
      </c>
      <c r="S4689" t="s">
        <v>11495</v>
      </c>
      <c r="T4689" t="s">
        <v>13610</v>
      </c>
      <c r="U4689" t="s">
        <v>13610</v>
      </c>
      <c r="V4689" t="s">
        <v>13610</v>
      </c>
      <c r="W4689" t="s">
        <v>18238</v>
      </c>
      <c r="X4689">
        <v>13</v>
      </c>
      <c r="Y4689" t="s">
        <v>24818</v>
      </c>
      <c r="Z4689" t="s">
        <v>31544</v>
      </c>
      <c r="AA4689">
        <v>0.3996903268320568</v>
      </c>
      <c r="AB4689" t="str">
        <f>HYPERLINK("Melting_Curves/meltCurve_Q8TBB5_3_KLHDC4.pdf", "Melting_Curves/meltCurve_Q8TBB5_3_KLHDC4.pdf")</f>
        <v>Melting_Curves/meltCurve_Q8TBB5_3_KLHDC4.pdf</v>
      </c>
    </row>
    <row r="4690" spans="1:28" x14ac:dyDescent="0.25">
      <c r="A4690" t="s">
        <v>4694</v>
      </c>
      <c r="B4690">
        <v>0.995954080203443</v>
      </c>
      <c r="C4690">
        <v>1.0081601658928201</v>
      </c>
      <c r="D4690">
        <v>0.923760915138643</v>
      </c>
      <c r="E4690">
        <v>0.71255487141337104</v>
      </c>
      <c r="F4690">
        <v>0.27560166570464001</v>
      </c>
      <c r="G4690">
        <v>0.124358257994656</v>
      </c>
      <c r="H4690">
        <v>8.0775723655029302E-2</v>
      </c>
      <c r="I4690">
        <v>7.19474910476635E-2</v>
      </c>
      <c r="J4690">
        <v>8.5009700067555205E-2</v>
      </c>
      <c r="K4690">
        <v>7.4819687933006307E-2</v>
      </c>
      <c r="L4690">
        <v>1678.4083061188101</v>
      </c>
      <c r="M4690">
        <v>32.863361104721399</v>
      </c>
      <c r="N4690">
        <v>51.339091036856701</v>
      </c>
      <c r="O4690">
        <v>50.884330302388499</v>
      </c>
      <c r="P4690">
        <v>-0.148788844801584</v>
      </c>
      <c r="Q4690">
        <v>7.8489115465101997E-2</v>
      </c>
      <c r="R4690">
        <v>0.997592367254301</v>
      </c>
      <c r="S4690" t="s">
        <v>11496</v>
      </c>
      <c r="T4690" t="s">
        <v>13610</v>
      </c>
      <c r="U4690" t="s">
        <v>13610</v>
      </c>
      <c r="V4690" t="s">
        <v>13610</v>
      </c>
      <c r="W4690" t="s">
        <v>18239</v>
      </c>
      <c r="X4690">
        <v>18</v>
      </c>
      <c r="Y4690" t="s">
        <v>24819</v>
      </c>
      <c r="Z4690" t="s">
        <v>31545</v>
      </c>
      <c r="AA4690">
        <v>0.42342944856795761</v>
      </c>
      <c r="AB4690" t="str">
        <f>HYPERLINK("Melting_Curves/meltCurve_Q8TBC4_UBA3.pdf", "Melting_Curves/meltCurve_Q8TBC4_UBA3.pdf")</f>
        <v>Melting_Curves/meltCurve_Q8TBC4_UBA3.pdf</v>
      </c>
    </row>
    <row r="4691" spans="1:28" x14ac:dyDescent="0.25">
      <c r="A4691" t="s">
        <v>4695</v>
      </c>
      <c r="B4691">
        <v>0.995954080203443</v>
      </c>
      <c r="C4691">
        <v>0.90345400384729802</v>
      </c>
      <c r="D4691">
        <v>0.811564437205612</v>
      </c>
      <c r="E4691">
        <v>0.66825345163650296</v>
      </c>
      <c r="F4691">
        <v>0.39439927797687802</v>
      </c>
      <c r="G4691">
        <v>0.25699849156263299</v>
      </c>
      <c r="H4691">
        <v>0.212924754609645</v>
      </c>
      <c r="I4691">
        <v>0.20288628276925799</v>
      </c>
      <c r="J4691">
        <v>0.25061359003583</v>
      </c>
      <c r="K4691">
        <v>0.19369075729875801</v>
      </c>
      <c r="L4691">
        <v>798.06014604712198</v>
      </c>
      <c r="M4691">
        <v>15.933189749140601</v>
      </c>
      <c r="N4691">
        <v>51.594924444716298</v>
      </c>
      <c r="O4691">
        <v>49.318837388463898</v>
      </c>
      <c r="P4691">
        <v>-6.5744807247240897E-2</v>
      </c>
      <c r="Q4691">
        <v>0.18605170945678201</v>
      </c>
      <c r="R4691">
        <v>0.98643200158917399</v>
      </c>
      <c r="S4691" t="s">
        <v>11497</v>
      </c>
      <c r="T4691" t="s">
        <v>13610</v>
      </c>
      <c r="U4691" t="s">
        <v>13610</v>
      </c>
      <c r="V4691" t="s">
        <v>13610</v>
      </c>
      <c r="W4691" t="s">
        <v>18240</v>
      </c>
      <c r="X4691">
        <v>2</v>
      </c>
      <c r="Y4691" t="s">
        <v>24820</v>
      </c>
      <c r="Z4691" t="s">
        <v>31546</v>
      </c>
      <c r="AA4691">
        <v>0.47713051763657932</v>
      </c>
      <c r="AB4691" t="str">
        <f>HYPERLINK("Melting_Curves/meltCurve_Q8TBC5_4_ZSCAN18.pdf", "Melting_Curves/meltCurve_Q8TBC5_4_ZSCAN18.pdf")</f>
        <v>Melting_Curves/meltCurve_Q8TBC5_4_ZSCAN18.pdf</v>
      </c>
    </row>
    <row r="4692" spans="1:28" x14ac:dyDescent="0.25">
      <c r="A4692" t="s">
        <v>4696</v>
      </c>
      <c r="B4692">
        <v>0.995954080203443</v>
      </c>
      <c r="C4692">
        <v>0.78749325242550905</v>
      </c>
      <c r="D4692">
        <v>0.83980265411655197</v>
      </c>
      <c r="E4692">
        <v>0.65116762755389601</v>
      </c>
      <c r="F4692">
        <v>0.62692729787733004</v>
      </c>
      <c r="G4692">
        <v>0.45009791018392098</v>
      </c>
      <c r="H4692">
        <v>0.47396356142280699</v>
      </c>
      <c r="I4692">
        <v>0.65951851638595704</v>
      </c>
      <c r="J4692">
        <v>0.60900443775819102</v>
      </c>
      <c r="K4692">
        <v>0.77031311558262106</v>
      </c>
      <c r="L4692">
        <v>777.61830456760003</v>
      </c>
      <c r="M4692">
        <v>17.3036448923073</v>
      </c>
      <c r="O4692">
        <v>44.352237772286898</v>
      </c>
      <c r="P4692">
        <v>-3.9492425035104299E-2</v>
      </c>
      <c r="Q4692">
        <v>0.59511964521939797</v>
      </c>
      <c r="R4692">
        <v>0.63709744458427098</v>
      </c>
      <c r="S4692" t="s">
        <v>11498</v>
      </c>
      <c r="T4692" t="s">
        <v>13610</v>
      </c>
      <c r="U4692" t="s">
        <v>13610</v>
      </c>
      <c r="V4692" t="s">
        <v>13610</v>
      </c>
      <c r="W4692" t="s">
        <v>18241</v>
      </c>
      <c r="X4692">
        <v>2</v>
      </c>
      <c r="Y4692" t="s">
        <v>24821</v>
      </c>
      <c r="Z4692" t="s">
        <v>31547</v>
      </c>
      <c r="AA4692">
        <v>0.67139103494392394</v>
      </c>
      <c r="AB4692" t="str">
        <f>HYPERLINK("Melting_Curves/meltCurve_Q8TBE0_3_BAHD1.pdf", "Melting_Curves/meltCurve_Q8TBE0_3_BAHD1.pdf")</f>
        <v>Melting_Curves/meltCurve_Q8TBE0_3_BAHD1.pdf</v>
      </c>
    </row>
    <row r="4693" spans="1:28" x14ac:dyDescent="0.25">
      <c r="A4693" t="s">
        <v>4697</v>
      </c>
      <c r="B4693">
        <v>0.995954080203443</v>
      </c>
      <c r="C4693">
        <v>0.98851773081482897</v>
      </c>
      <c r="D4693">
        <v>0.97503219510113504</v>
      </c>
      <c r="E4693">
        <v>0.62759294031742296</v>
      </c>
      <c r="F4693">
        <v>0.27020234585520803</v>
      </c>
      <c r="G4693">
        <v>0.12993696558419801</v>
      </c>
      <c r="H4693">
        <v>9.3249019479106798E-2</v>
      </c>
      <c r="I4693">
        <v>8.9607362393021694E-2</v>
      </c>
      <c r="J4693">
        <v>9.1302366977693797E-2</v>
      </c>
      <c r="K4693">
        <v>0.18209204654144301</v>
      </c>
      <c r="L4693">
        <v>1692.00600406078</v>
      </c>
      <c r="M4693">
        <v>33.501905549593403</v>
      </c>
      <c r="N4693">
        <v>50.895139663703901</v>
      </c>
      <c r="O4693">
        <v>50.325846708730502</v>
      </c>
      <c r="P4693">
        <v>-0.147569394437403</v>
      </c>
      <c r="Q4693">
        <v>0.11330149478932799</v>
      </c>
      <c r="R4693">
        <v>0.99561088711019896</v>
      </c>
      <c r="S4693" t="s">
        <v>11499</v>
      </c>
      <c r="T4693" t="s">
        <v>13610</v>
      </c>
      <c r="U4693" t="s">
        <v>13610</v>
      </c>
      <c r="V4693" t="s">
        <v>13610</v>
      </c>
      <c r="W4693" t="s">
        <v>18242</v>
      </c>
      <c r="X4693">
        <v>6</v>
      </c>
      <c r="Y4693" t="s">
        <v>24822</v>
      </c>
      <c r="Z4693" t="s">
        <v>31548</v>
      </c>
      <c r="AA4693">
        <v>0.42821358568818119</v>
      </c>
      <c r="AB4693" t="str">
        <f>HYPERLINK("Melting_Curves/meltCurve_Q8TBE9_NANP.pdf", "Melting_Curves/meltCurve_Q8TBE9_NANP.pdf")</f>
        <v>Melting_Curves/meltCurve_Q8TBE9_NANP.pdf</v>
      </c>
    </row>
    <row r="4694" spans="1:28" x14ac:dyDescent="0.25">
      <c r="A4694" t="s">
        <v>4698</v>
      </c>
      <c r="B4694">
        <v>0.995954080203443</v>
      </c>
      <c r="C4694">
        <v>1.0490203167800001</v>
      </c>
      <c r="D4694">
        <v>1.18291541290131</v>
      </c>
      <c r="E4694">
        <v>0.89184290807246902</v>
      </c>
      <c r="F4694">
        <v>0.83674422594527698</v>
      </c>
      <c r="G4694">
        <v>0.39435181566032501</v>
      </c>
      <c r="H4694">
        <v>0.16531459970062701</v>
      </c>
      <c r="I4694">
        <v>0.12702777980850399</v>
      </c>
      <c r="J4694">
        <v>0.14343023382360801</v>
      </c>
      <c r="K4694">
        <v>0.101158796162094</v>
      </c>
      <c r="L4694">
        <v>1587.2081033151401</v>
      </c>
      <c r="M4694">
        <v>28.598690325603702</v>
      </c>
      <c r="N4694">
        <v>55.994567558334197</v>
      </c>
      <c r="O4694">
        <v>55.2301056359995</v>
      </c>
      <c r="P4694">
        <v>-0.11498811990518901</v>
      </c>
      <c r="Q4694">
        <v>0.111741931270641</v>
      </c>
      <c r="R4694">
        <v>0.975323048883453</v>
      </c>
      <c r="S4694" t="s">
        <v>11500</v>
      </c>
      <c r="T4694" t="s">
        <v>13610</v>
      </c>
      <c r="U4694" t="s">
        <v>13610</v>
      </c>
      <c r="V4694" t="s">
        <v>13610</v>
      </c>
      <c r="W4694" t="s">
        <v>18243</v>
      </c>
      <c r="X4694">
        <v>6</v>
      </c>
      <c r="Y4694" t="s">
        <v>24823</v>
      </c>
      <c r="Z4694" t="s">
        <v>31549</v>
      </c>
      <c r="AA4694">
        <v>0.57711281304357365</v>
      </c>
      <c r="AB4694" t="str">
        <f>HYPERLINK("Melting_Curves/meltCurve_Q8TBF2_4_FAM213B.pdf", "Melting_Curves/meltCurve_Q8TBF2_4_FAM213B.pdf")</f>
        <v>Melting_Curves/meltCurve_Q8TBF2_4_FAM213B.pdf</v>
      </c>
    </row>
    <row r="4695" spans="1:28" x14ac:dyDescent="0.25">
      <c r="A4695" t="s">
        <v>4699</v>
      </c>
      <c r="B4695">
        <v>0.995954080203443</v>
      </c>
      <c r="C4695">
        <v>0.87199428149037395</v>
      </c>
      <c r="D4695">
        <v>0.75563716716273299</v>
      </c>
      <c r="E4695">
        <v>0.83413498768074201</v>
      </c>
      <c r="F4695">
        <v>0.73791716884700198</v>
      </c>
      <c r="G4695">
        <v>0.53011824677251196</v>
      </c>
      <c r="H4695">
        <v>0.47403155652461698</v>
      </c>
      <c r="I4695">
        <v>0.57500764315296604</v>
      </c>
      <c r="J4695">
        <v>0.76957335296442897</v>
      </c>
      <c r="K4695">
        <v>0.64114439337266804</v>
      </c>
      <c r="L4695">
        <v>568.58142035585797</v>
      </c>
      <c r="M4695">
        <v>12.1442638715668</v>
      </c>
      <c r="O4695">
        <v>45.603682986808998</v>
      </c>
      <c r="P4695">
        <v>-2.66251122014367E-2</v>
      </c>
      <c r="Q4695">
        <v>0.60016552850104998</v>
      </c>
      <c r="R4695">
        <v>0.64789754895074303</v>
      </c>
      <c r="S4695" t="s">
        <v>11501</v>
      </c>
      <c r="T4695" t="s">
        <v>13610</v>
      </c>
      <c r="U4695" t="s">
        <v>13610</v>
      </c>
      <c r="V4695" t="s">
        <v>13610</v>
      </c>
      <c r="W4695" t="s">
        <v>18244</v>
      </c>
      <c r="X4695">
        <v>2</v>
      </c>
      <c r="Y4695" t="s">
        <v>24824</v>
      </c>
      <c r="Z4695" t="s">
        <v>31550</v>
      </c>
      <c r="AA4695">
        <v>0.70769379228371898</v>
      </c>
      <c r="AB4695" t="str">
        <f>HYPERLINK("Melting_Curves/meltCurve_Q8TBF4_ZCRB1.pdf", "Melting_Curves/meltCurve_Q8TBF4_ZCRB1.pdf")</f>
        <v>Melting_Curves/meltCurve_Q8TBF4_ZCRB1.pdf</v>
      </c>
    </row>
    <row r="4696" spans="1:28" x14ac:dyDescent="0.25">
      <c r="A4696" t="s">
        <v>4700</v>
      </c>
      <c r="B4696">
        <v>0.995954080203443</v>
      </c>
      <c r="C4696">
        <v>0.86760287596727903</v>
      </c>
      <c r="D4696">
        <v>0.83476055575874897</v>
      </c>
      <c r="E4696">
        <v>0.75106387378938799</v>
      </c>
      <c r="F4696">
        <v>0.58196027316587995</v>
      </c>
      <c r="G4696">
        <v>0.43884111391924602</v>
      </c>
      <c r="H4696">
        <v>0.32109837183955098</v>
      </c>
      <c r="I4696">
        <v>0.37502964351497298</v>
      </c>
      <c r="J4696">
        <v>0.41019350211605199</v>
      </c>
      <c r="K4696">
        <v>0.38831248024457499</v>
      </c>
      <c r="L4696">
        <v>638.46335461927004</v>
      </c>
      <c r="M4696">
        <v>12.6383965012293</v>
      </c>
      <c r="N4696">
        <v>55.422537330379001</v>
      </c>
      <c r="O4696">
        <v>49.303055621406699</v>
      </c>
      <c r="P4696">
        <v>-4.2521830792664701E-2</v>
      </c>
      <c r="Q4696">
        <v>0.33661118061888901</v>
      </c>
      <c r="R4696">
        <v>0.96327004104605396</v>
      </c>
      <c r="S4696" t="s">
        <v>11502</v>
      </c>
      <c r="T4696" t="s">
        <v>13610</v>
      </c>
      <c r="U4696" t="s">
        <v>13610</v>
      </c>
      <c r="V4696" t="s">
        <v>13610</v>
      </c>
      <c r="W4696" t="s">
        <v>18245</v>
      </c>
      <c r="X4696">
        <v>3</v>
      </c>
      <c r="Y4696" t="s">
        <v>21190</v>
      </c>
      <c r="Z4696" t="s">
        <v>31551</v>
      </c>
      <c r="AA4696">
        <v>0.58977195949722727</v>
      </c>
      <c r="AB4696" t="str">
        <f>HYPERLINK("Melting_Curves/meltCurve_Q8TBM8_DNAJB14.pdf", "Melting_Curves/meltCurve_Q8TBM8_DNAJB14.pdf")</f>
        <v>Melting_Curves/meltCurve_Q8TBM8_DNAJB14.pdf</v>
      </c>
    </row>
    <row r="4697" spans="1:28" x14ac:dyDescent="0.25">
      <c r="A4697" t="s">
        <v>4701</v>
      </c>
      <c r="B4697">
        <v>0.995954080203443</v>
      </c>
      <c r="C4697">
        <v>0.95603143908548904</v>
      </c>
      <c r="D4697">
        <v>0.87670116766369199</v>
      </c>
      <c r="E4697">
        <v>0.72353471164206296</v>
      </c>
      <c r="F4697">
        <v>0.50709948864074805</v>
      </c>
      <c r="G4697">
        <v>0.25556044678835599</v>
      </c>
      <c r="H4697">
        <v>0.209019378540301</v>
      </c>
      <c r="I4697">
        <v>0.20838048672180001</v>
      </c>
      <c r="J4697">
        <v>0.23291323580454401</v>
      </c>
      <c r="K4697">
        <v>0.23083578337670499</v>
      </c>
      <c r="L4697">
        <v>989.44060062652295</v>
      </c>
      <c r="M4697">
        <v>19.265427238311201</v>
      </c>
      <c r="N4697">
        <v>52.740662361268697</v>
      </c>
      <c r="O4697">
        <v>50.8145967210002</v>
      </c>
      <c r="P4697">
        <v>-7.5997103534574104E-2</v>
      </c>
      <c r="Q4697">
        <v>0.198228729007244</v>
      </c>
      <c r="R4697">
        <v>0.99190095093792197</v>
      </c>
      <c r="S4697" t="s">
        <v>11503</v>
      </c>
      <c r="T4697" t="s">
        <v>13610</v>
      </c>
      <c r="U4697" t="s">
        <v>13610</v>
      </c>
      <c r="V4697" t="s">
        <v>13610</v>
      </c>
      <c r="W4697" t="s">
        <v>18246</v>
      </c>
      <c r="X4697">
        <v>11</v>
      </c>
      <c r="Y4697" t="s">
        <v>24825</v>
      </c>
      <c r="Z4697" t="s">
        <v>31552</v>
      </c>
      <c r="AA4697">
        <v>0.51369703502539499</v>
      </c>
      <c r="AB4697" t="str">
        <f>HYPERLINK("Melting_Curves/meltCurve_Q8TBN0_RAB3IL1.pdf", "Melting_Curves/meltCurve_Q8TBN0_RAB3IL1.pdf")</f>
        <v>Melting_Curves/meltCurve_Q8TBN0_RAB3IL1.pdf</v>
      </c>
    </row>
    <row r="4698" spans="1:28" x14ac:dyDescent="0.25">
      <c r="A4698" t="s">
        <v>4702</v>
      </c>
      <c r="B4698">
        <v>0.995954080203443</v>
      </c>
      <c r="C4698">
        <v>0.93959048256829703</v>
      </c>
      <c r="D4698">
        <v>0.97457296244762204</v>
      </c>
      <c r="E4698">
        <v>0.84854696048508904</v>
      </c>
      <c r="F4698">
        <v>0.811432468053087</v>
      </c>
      <c r="G4698">
        <v>0.50620024917591799</v>
      </c>
      <c r="H4698">
        <v>0.39920504589219402</v>
      </c>
      <c r="I4698">
        <v>0.52149375469180304</v>
      </c>
      <c r="J4698">
        <v>0.64434656517017996</v>
      </c>
      <c r="K4698">
        <v>0.63497525363395202</v>
      </c>
      <c r="L4698">
        <v>1569.4540413696</v>
      </c>
      <c r="M4698">
        <v>29.892762998771801</v>
      </c>
      <c r="O4698">
        <v>52.269532463566698</v>
      </c>
      <c r="P4698">
        <v>-6.5934401366750398E-2</v>
      </c>
      <c r="Q4698">
        <v>0.53883994405714397</v>
      </c>
      <c r="R4698">
        <v>0.85217061108528103</v>
      </c>
      <c r="S4698" t="s">
        <v>11504</v>
      </c>
      <c r="T4698" t="s">
        <v>13610</v>
      </c>
      <c r="U4698" t="s">
        <v>13610</v>
      </c>
      <c r="V4698" t="s">
        <v>13610</v>
      </c>
      <c r="W4698" t="s">
        <v>18247</v>
      </c>
      <c r="X4698">
        <v>10</v>
      </c>
      <c r="Y4698" t="s">
        <v>24825</v>
      </c>
      <c r="Z4698" t="s">
        <v>31553</v>
      </c>
      <c r="AA4698">
        <v>0.73402338822155078</v>
      </c>
      <c r="AB4698" t="str">
        <f>HYPERLINK("Melting_Curves/meltCurve_Q8TBN0_2_RAB3IL1.pdf", "Melting_Curves/meltCurve_Q8TBN0_2_RAB3IL1.pdf")</f>
        <v>Melting_Curves/meltCurve_Q8TBN0_2_RAB3IL1.pdf</v>
      </c>
    </row>
    <row r="4699" spans="1:28" x14ac:dyDescent="0.25">
      <c r="A4699" t="s">
        <v>4703</v>
      </c>
      <c r="B4699">
        <v>0.995954080203443</v>
      </c>
      <c r="C4699">
        <v>0.84512273600742405</v>
      </c>
      <c r="D4699">
        <v>0.661835304248793</v>
      </c>
      <c r="E4699">
        <v>0.42993543549747298</v>
      </c>
      <c r="F4699">
        <v>0.251857127720435</v>
      </c>
      <c r="G4699">
        <v>0.14593933888917501</v>
      </c>
      <c r="H4699">
        <v>0.10764842356021199</v>
      </c>
      <c r="I4699">
        <v>0.10314285198039699</v>
      </c>
      <c r="J4699">
        <v>0.117777252194898</v>
      </c>
      <c r="K4699">
        <v>0.105766616654805</v>
      </c>
      <c r="L4699">
        <v>724.14193769098199</v>
      </c>
      <c r="M4699">
        <v>15.138630627920101</v>
      </c>
      <c r="N4699">
        <v>48.460026380364802</v>
      </c>
      <c r="O4699">
        <v>47.022675484867897</v>
      </c>
      <c r="P4699">
        <v>-7.3344937404814903E-2</v>
      </c>
      <c r="Q4699">
        <v>8.8811005768896903E-2</v>
      </c>
      <c r="R4699">
        <v>0.99608425535040701</v>
      </c>
      <c r="S4699" t="s">
        <v>11505</v>
      </c>
      <c r="T4699" t="s">
        <v>13610</v>
      </c>
      <c r="U4699" t="s">
        <v>13610</v>
      </c>
      <c r="V4699" t="s">
        <v>13610</v>
      </c>
      <c r="W4699" t="s">
        <v>18248</v>
      </c>
      <c r="X4699">
        <v>16</v>
      </c>
      <c r="Y4699" t="s">
        <v>24826</v>
      </c>
      <c r="Z4699" t="s">
        <v>31554</v>
      </c>
      <c r="AA4699">
        <v>0.34996018878178931</v>
      </c>
      <c r="AB4699" t="str">
        <f>HYPERLINK("Melting_Curves/meltCurve_Q8TBX8_PIP4K2C.pdf", "Melting_Curves/meltCurve_Q8TBX8_PIP4K2C.pdf")</f>
        <v>Melting_Curves/meltCurve_Q8TBX8_PIP4K2C.pdf</v>
      </c>
    </row>
    <row r="4700" spans="1:28" x14ac:dyDescent="0.25">
      <c r="A4700" t="s">
        <v>4704</v>
      </c>
      <c r="B4700">
        <v>0.995954080203443</v>
      </c>
      <c r="C4700">
        <v>0.98339957907159703</v>
      </c>
      <c r="D4700">
        <v>1.07616704231894</v>
      </c>
      <c r="E4700">
        <v>0.91889770498621504</v>
      </c>
      <c r="F4700">
        <v>0.85552036538452103</v>
      </c>
      <c r="G4700">
        <v>0.261965383462269</v>
      </c>
      <c r="H4700">
        <v>0.14560668498795101</v>
      </c>
      <c r="I4700">
        <v>0.15128702292468901</v>
      </c>
      <c r="J4700">
        <v>0.175735413376123</v>
      </c>
      <c r="K4700">
        <v>0.16038173132438299</v>
      </c>
      <c r="L4700">
        <v>2564.4832239397201</v>
      </c>
      <c r="M4700">
        <v>46.886517111716401</v>
      </c>
      <c r="N4700">
        <v>55.134306208073397</v>
      </c>
      <c r="O4700">
        <v>54.596326062110897</v>
      </c>
      <c r="P4700">
        <v>-0.181265582323064</v>
      </c>
      <c r="Q4700">
        <v>0.15571274591640799</v>
      </c>
      <c r="R4700">
        <v>0.99245036355927196</v>
      </c>
      <c r="S4700" t="s">
        <v>11506</v>
      </c>
      <c r="T4700" t="s">
        <v>13610</v>
      </c>
      <c r="U4700" t="s">
        <v>13610</v>
      </c>
      <c r="V4700" t="s">
        <v>13610</v>
      </c>
      <c r="W4700" t="s">
        <v>18249</v>
      </c>
      <c r="X4700">
        <v>12</v>
      </c>
      <c r="Y4700" t="s">
        <v>24827</v>
      </c>
      <c r="Z4700" t="s">
        <v>31555</v>
      </c>
      <c r="AA4700">
        <v>0.57160415276493526</v>
      </c>
      <c r="AB4700" t="str">
        <f>HYPERLINK("Melting_Curves/meltCurve_Q8TBZ6_TRMT10A.pdf", "Melting_Curves/meltCurve_Q8TBZ6_TRMT10A.pdf")</f>
        <v>Melting_Curves/meltCurve_Q8TBZ6_TRMT10A.pdf</v>
      </c>
    </row>
    <row r="4701" spans="1:28" x14ac:dyDescent="0.25">
      <c r="A4701" t="s">
        <v>4705</v>
      </c>
      <c r="B4701">
        <v>0.995954080203443</v>
      </c>
      <c r="C4701">
        <v>0.97307187660540795</v>
      </c>
      <c r="D4701">
        <v>0.96866787608637495</v>
      </c>
      <c r="E4701">
        <v>0.65128974614785395</v>
      </c>
      <c r="F4701">
        <v>0.31287610093401103</v>
      </c>
      <c r="G4701">
        <v>0.16975391058852299</v>
      </c>
      <c r="H4701">
        <v>0.116285284402474</v>
      </c>
      <c r="I4701">
        <v>0.105986542262269</v>
      </c>
      <c r="J4701">
        <v>0.107949429172182</v>
      </c>
      <c r="K4701">
        <v>8.8515159574053801E-2</v>
      </c>
      <c r="L4701">
        <v>1413.47837529195</v>
      </c>
      <c r="M4701">
        <v>27.818142423849999</v>
      </c>
      <c r="N4701">
        <v>51.247763110582397</v>
      </c>
      <c r="O4701">
        <v>50.550964667376697</v>
      </c>
      <c r="P4701">
        <v>-0.12306804468779101</v>
      </c>
      <c r="Q4701">
        <v>0.105453418579094</v>
      </c>
      <c r="R4701">
        <v>0.99890326737784596</v>
      </c>
      <c r="S4701" t="s">
        <v>11507</v>
      </c>
      <c r="T4701" t="s">
        <v>13610</v>
      </c>
      <c r="U4701" t="s">
        <v>13610</v>
      </c>
      <c r="V4701" t="s">
        <v>13610</v>
      </c>
      <c r="W4701" t="s">
        <v>18250</v>
      </c>
      <c r="X4701">
        <v>24</v>
      </c>
      <c r="Y4701" t="s">
        <v>24828</v>
      </c>
      <c r="Z4701" t="s">
        <v>31556</v>
      </c>
      <c r="AA4701">
        <v>0.43435192271824058</v>
      </c>
      <c r="AB4701" t="str">
        <f>HYPERLINK("Melting_Curves/meltCurve_Q8TC07_2_TBC1D15.pdf", "Melting_Curves/meltCurve_Q8TC07_2_TBC1D15.pdf")</f>
        <v>Melting_Curves/meltCurve_Q8TC07_2_TBC1D15.pdf</v>
      </c>
    </row>
    <row r="4702" spans="1:28" x14ac:dyDescent="0.25">
      <c r="A4702" t="s">
        <v>4706</v>
      </c>
      <c r="B4702">
        <v>0.995954080203443</v>
      </c>
      <c r="C4702">
        <v>0.80040711765211103</v>
      </c>
      <c r="D4702">
        <v>0.74267089237265804</v>
      </c>
      <c r="E4702">
        <v>0.788246158126646</v>
      </c>
      <c r="F4702">
        <v>0.26155675848572102</v>
      </c>
      <c r="G4702">
        <v>0.12717686155077201</v>
      </c>
      <c r="H4702">
        <v>8.1481717017111099E-2</v>
      </c>
      <c r="I4702">
        <v>5.61376816658807E-2</v>
      </c>
      <c r="J4702">
        <v>1.7362898716127801E-2</v>
      </c>
      <c r="K4702">
        <v>4.3795494032299598E-2</v>
      </c>
      <c r="L4702">
        <v>739.69534495329196</v>
      </c>
      <c r="M4702">
        <v>14.4964226327325</v>
      </c>
      <c r="N4702">
        <v>51.026061037458902</v>
      </c>
      <c r="O4702">
        <v>50.0845405452514</v>
      </c>
      <c r="P4702">
        <v>-7.2368122575922095E-2</v>
      </c>
      <c r="Q4702">
        <v>0</v>
      </c>
      <c r="R4702">
        <v>0.93567147399247996</v>
      </c>
      <c r="S4702" t="s">
        <v>11508</v>
      </c>
      <c r="T4702" t="s">
        <v>13610</v>
      </c>
      <c r="U4702" t="s">
        <v>13610</v>
      </c>
      <c r="V4702" t="s">
        <v>13610</v>
      </c>
      <c r="W4702" t="s">
        <v>18251</v>
      </c>
      <c r="X4702">
        <v>2</v>
      </c>
      <c r="Y4702" t="s">
        <v>24829</v>
      </c>
      <c r="Z4702" t="s">
        <v>31557</v>
      </c>
      <c r="AA4702">
        <v>0.39194641514419909</v>
      </c>
      <c r="AB4702" t="str">
        <f>HYPERLINK("Melting_Curves/meltCurve_Q8TC12_2_RDH11.pdf", "Melting_Curves/meltCurve_Q8TC12_2_RDH11.pdf")</f>
        <v>Melting_Curves/meltCurve_Q8TC12_2_RDH11.pdf</v>
      </c>
    </row>
    <row r="4703" spans="1:28" x14ac:dyDescent="0.25">
      <c r="A4703" t="s">
        <v>4707</v>
      </c>
      <c r="B4703">
        <v>0.995954080203443</v>
      </c>
      <c r="C4703">
        <v>1.0585781996386201</v>
      </c>
      <c r="D4703">
        <v>0.96183735558332895</v>
      </c>
      <c r="E4703">
        <v>0.93537479290055103</v>
      </c>
      <c r="F4703">
        <v>0.82955731730281801</v>
      </c>
      <c r="G4703">
        <v>0.21224222209590199</v>
      </c>
      <c r="H4703">
        <v>0.148073197050647</v>
      </c>
      <c r="I4703">
        <v>0.12804575038559601</v>
      </c>
      <c r="J4703">
        <v>0.129410015733714</v>
      </c>
      <c r="K4703">
        <v>0.139837563969432</v>
      </c>
      <c r="L4703">
        <v>2687.9638224973801</v>
      </c>
      <c r="M4703">
        <v>49.364880955640203</v>
      </c>
      <c r="N4703">
        <v>54.796281257397297</v>
      </c>
      <c r="O4703">
        <v>54.361808419497798</v>
      </c>
      <c r="P4703">
        <v>-0.19667085474019899</v>
      </c>
      <c r="Q4703">
        <v>0.13368599681819901</v>
      </c>
      <c r="R4703">
        <v>0.99508123036592899</v>
      </c>
      <c r="S4703" t="s">
        <v>11509</v>
      </c>
      <c r="T4703" t="s">
        <v>13610</v>
      </c>
      <c r="U4703" t="s">
        <v>13610</v>
      </c>
      <c r="V4703" t="s">
        <v>13610</v>
      </c>
      <c r="W4703" t="s">
        <v>18252</v>
      </c>
      <c r="X4703">
        <v>6</v>
      </c>
      <c r="Y4703" t="s">
        <v>24830</v>
      </c>
      <c r="Z4703" t="s">
        <v>31558</v>
      </c>
      <c r="AA4703">
        <v>0.55312151244778218</v>
      </c>
      <c r="AB4703" t="str">
        <f>HYPERLINK("Melting_Curves/meltCurve_Q8TCA0_LRRC20.pdf", "Melting_Curves/meltCurve_Q8TCA0_LRRC20.pdf")</f>
        <v>Melting_Curves/meltCurve_Q8TCA0_LRRC20.pdf</v>
      </c>
    </row>
    <row r="4704" spans="1:28" x14ac:dyDescent="0.25">
      <c r="A4704" t="s">
        <v>4708</v>
      </c>
      <c r="B4704">
        <v>0.995954080203443</v>
      </c>
      <c r="C4704">
        <v>0.89965625900993296</v>
      </c>
      <c r="D4704">
        <v>0.93465451427528101</v>
      </c>
      <c r="E4704">
        <v>0.74030247519610004</v>
      </c>
      <c r="F4704">
        <v>0.845106700428368</v>
      </c>
      <c r="G4704">
        <v>0.73260261025830198</v>
      </c>
      <c r="H4704">
        <v>0.92578141686489701</v>
      </c>
      <c r="I4704">
        <v>1.48643220969253</v>
      </c>
      <c r="J4704">
        <v>1.16532883069371</v>
      </c>
      <c r="K4704">
        <v>1.5646971557806799</v>
      </c>
      <c r="L4704">
        <v>15000</v>
      </c>
      <c r="M4704">
        <v>240.179580208678</v>
      </c>
      <c r="O4704">
        <v>62.448938260087097</v>
      </c>
      <c r="P4704">
        <v>0.390109222737832</v>
      </c>
      <c r="Q4704">
        <v>1.40572819865482</v>
      </c>
      <c r="R4704">
        <v>0.63975829097092696</v>
      </c>
      <c r="S4704" t="s">
        <v>11510</v>
      </c>
      <c r="T4704" t="s">
        <v>13610</v>
      </c>
      <c r="U4704" t="s">
        <v>13610</v>
      </c>
      <c r="V4704" t="s">
        <v>13610</v>
      </c>
      <c r="W4704" t="s">
        <v>18253</v>
      </c>
      <c r="X4704">
        <v>1</v>
      </c>
      <c r="Y4704" t="s">
        <v>24831</v>
      </c>
      <c r="Z4704" t="s">
        <v>31559</v>
      </c>
      <c r="AA4704">
        <v>1.102015867187079</v>
      </c>
      <c r="AB4704" t="str">
        <f>HYPERLINK("Melting_Curves/meltCurve_Q8TCD1_C18orf32.pdf", "Melting_Curves/meltCurve_Q8TCD1_C18orf32.pdf")</f>
        <v>Melting_Curves/meltCurve_Q8TCD1_C18orf32.pdf</v>
      </c>
    </row>
    <row r="4705" spans="1:28" x14ac:dyDescent="0.25">
      <c r="A4705" t="s">
        <v>4709</v>
      </c>
      <c r="B4705">
        <v>0.995954080203443</v>
      </c>
      <c r="C4705">
        <v>0.89568770773753703</v>
      </c>
      <c r="D4705">
        <v>0.86534779671172402</v>
      </c>
      <c r="E4705">
        <v>0.790726965545545</v>
      </c>
      <c r="F4705">
        <v>0.73825453750756098</v>
      </c>
      <c r="G4705">
        <v>0.56501484584096695</v>
      </c>
      <c r="H4705">
        <v>0.43961248684693599</v>
      </c>
      <c r="I4705">
        <v>0.226268340937859</v>
      </c>
      <c r="J4705">
        <v>0.22637575462010701</v>
      </c>
      <c r="K4705">
        <v>0.172796117898419</v>
      </c>
      <c r="L4705">
        <v>516.83860270362402</v>
      </c>
      <c r="M4705">
        <v>8.9115478765805491</v>
      </c>
      <c r="N4705">
        <v>57.996501885048097</v>
      </c>
      <c r="O4705">
        <v>55.2990617673521</v>
      </c>
      <c r="P4705">
        <v>-4.03183425355398E-2</v>
      </c>
      <c r="Q4705">
        <v>0</v>
      </c>
      <c r="R4705">
        <v>0.98041210437730397</v>
      </c>
      <c r="S4705" t="s">
        <v>11511</v>
      </c>
      <c r="T4705" t="s">
        <v>13610</v>
      </c>
      <c r="U4705" t="s">
        <v>13610</v>
      </c>
      <c r="V4705" t="s">
        <v>13610</v>
      </c>
      <c r="W4705" t="s">
        <v>18254</v>
      </c>
      <c r="X4705">
        <v>11</v>
      </c>
      <c r="Y4705" t="s">
        <v>24832</v>
      </c>
      <c r="Z4705" t="s">
        <v>31560</v>
      </c>
      <c r="AA4705">
        <v>0.60694736123219772</v>
      </c>
      <c r="AB4705" t="str">
        <f>HYPERLINK("Melting_Curves/meltCurve_Q8TCD5_NT5C.pdf", "Melting_Curves/meltCurve_Q8TCD5_NT5C.pdf")</f>
        <v>Melting_Curves/meltCurve_Q8TCD5_NT5C.pdf</v>
      </c>
    </row>
    <row r="4706" spans="1:28" x14ac:dyDescent="0.25">
      <c r="A4706" t="s">
        <v>4710</v>
      </c>
      <c r="B4706">
        <v>0.995954080203443</v>
      </c>
      <c r="C4706">
        <v>0.75191020961522503</v>
      </c>
      <c r="D4706">
        <v>0.47672626348333502</v>
      </c>
      <c r="E4706">
        <v>0.480811498232458</v>
      </c>
      <c r="F4706">
        <v>9.7775035372024199E-2</v>
      </c>
      <c r="G4706">
        <v>6.1033605437062197E-2</v>
      </c>
      <c r="H4706">
        <v>3.6668353486047599E-2</v>
      </c>
      <c r="I4706">
        <v>2.9463750949230601E-2</v>
      </c>
      <c r="J4706">
        <v>3.5165344139313999E-2</v>
      </c>
      <c r="K4706">
        <v>3.0919748121364599E-2</v>
      </c>
      <c r="L4706">
        <v>618.67750873110106</v>
      </c>
      <c r="M4706">
        <v>13.1635810177861</v>
      </c>
      <c r="N4706">
        <v>47.004603258720003</v>
      </c>
      <c r="O4706">
        <v>45.954230444848399</v>
      </c>
      <c r="P4706">
        <v>-7.1570222073443004E-2</v>
      </c>
      <c r="Q4706">
        <v>7.58046941693981E-4</v>
      </c>
      <c r="R4706">
        <v>0.95199585805595799</v>
      </c>
      <c r="S4706" t="s">
        <v>11512</v>
      </c>
      <c r="T4706" t="s">
        <v>13610</v>
      </c>
      <c r="U4706" t="s">
        <v>13610</v>
      </c>
      <c r="V4706" t="s">
        <v>13610</v>
      </c>
      <c r="W4706" t="s">
        <v>18255</v>
      </c>
      <c r="X4706">
        <v>5</v>
      </c>
      <c r="Y4706" t="s">
        <v>24833</v>
      </c>
      <c r="Z4706" t="s">
        <v>31561</v>
      </c>
      <c r="AA4706">
        <v>0.26913150119709439</v>
      </c>
      <c r="AB4706" t="str">
        <f>HYPERLINK("Melting_Curves/meltCurve_Q8TCE6_2_FAM45A.pdf", "Melting_Curves/meltCurve_Q8TCE6_2_FAM45A.pdf")</f>
        <v>Melting_Curves/meltCurve_Q8TCE6_2_FAM45A.pdf</v>
      </c>
    </row>
    <row r="4707" spans="1:28" x14ac:dyDescent="0.25">
      <c r="A4707" t="s">
        <v>4711</v>
      </c>
      <c r="B4707">
        <v>0.995954080203443</v>
      </c>
      <c r="C4707">
        <v>0.91139990902566104</v>
      </c>
      <c r="D4707">
        <v>0.55545777529326901</v>
      </c>
      <c r="E4707">
        <v>0.248725400005188</v>
      </c>
      <c r="F4707">
        <v>0.13698518210777699</v>
      </c>
      <c r="G4707">
        <v>7.7039301793405707E-2</v>
      </c>
      <c r="H4707">
        <v>6.0694986476672701E-2</v>
      </c>
      <c r="I4707">
        <v>5.41840353790108E-2</v>
      </c>
      <c r="J4707">
        <v>5.8693861255091198E-2</v>
      </c>
      <c r="K4707">
        <v>5.3167683980184302E-2</v>
      </c>
      <c r="L4707">
        <v>1031.6869463205101</v>
      </c>
      <c r="M4707">
        <v>22.168143288580701</v>
      </c>
      <c r="N4707">
        <v>46.8120356773655</v>
      </c>
      <c r="O4707">
        <v>46.165430624403498</v>
      </c>
      <c r="P4707">
        <v>-0.112773868366322</v>
      </c>
      <c r="Q4707">
        <v>6.0608716067299201E-2</v>
      </c>
      <c r="R4707">
        <v>0.996857499815333</v>
      </c>
      <c r="S4707" t="s">
        <v>11513</v>
      </c>
      <c r="T4707" t="s">
        <v>13610</v>
      </c>
      <c r="U4707" t="s">
        <v>13610</v>
      </c>
      <c r="V4707" t="s">
        <v>13610</v>
      </c>
      <c r="W4707" t="s">
        <v>18256</v>
      </c>
      <c r="X4707">
        <v>23</v>
      </c>
      <c r="Y4707" t="s">
        <v>24834</v>
      </c>
      <c r="Z4707" t="s">
        <v>31562</v>
      </c>
      <c r="AA4707">
        <v>0.27650510437307729</v>
      </c>
      <c r="AB4707" t="str">
        <f>HYPERLINK("Melting_Curves/meltCurve_Q8TCG1_KIAA1524.pdf", "Melting_Curves/meltCurve_Q8TCG1_KIAA1524.pdf")</f>
        <v>Melting_Curves/meltCurve_Q8TCG1_KIAA1524.pdf</v>
      </c>
    </row>
    <row r="4708" spans="1:28" x14ac:dyDescent="0.25">
      <c r="A4708" t="s">
        <v>4712</v>
      </c>
      <c r="B4708">
        <v>0.995954080203443</v>
      </c>
      <c r="C4708">
        <v>0.92945453690109303</v>
      </c>
      <c r="D4708">
        <v>0.90610765846357799</v>
      </c>
      <c r="E4708">
        <v>0.76689010999177598</v>
      </c>
      <c r="F4708">
        <v>0.72095757229337598</v>
      </c>
      <c r="G4708">
        <v>0.50680310865002898</v>
      </c>
      <c r="H4708">
        <v>0.45411414603676498</v>
      </c>
      <c r="I4708">
        <v>0.51033216301855799</v>
      </c>
      <c r="J4708">
        <v>0.63017330322850396</v>
      </c>
      <c r="K4708">
        <v>0.55400155944380602</v>
      </c>
      <c r="L4708">
        <v>869.04214248491701</v>
      </c>
      <c r="M4708">
        <v>17.342784918268599</v>
      </c>
      <c r="O4708">
        <v>49.457709027410097</v>
      </c>
      <c r="P4708">
        <v>-4.1809366762153001E-2</v>
      </c>
      <c r="Q4708">
        <v>0.52310369473142204</v>
      </c>
      <c r="R4708">
        <v>0.91182522003518895</v>
      </c>
      <c r="S4708" t="s">
        <v>11514</v>
      </c>
      <c r="T4708" t="s">
        <v>13610</v>
      </c>
      <c r="U4708" t="s">
        <v>13610</v>
      </c>
      <c r="V4708" t="s">
        <v>13610</v>
      </c>
      <c r="W4708" t="s">
        <v>18257</v>
      </c>
      <c r="X4708">
        <v>11</v>
      </c>
      <c r="Y4708" t="s">
        <v>24835</v>
      </c>
      <c r="Z4708" t="s">
        <v>31563</v>
      </c>
      <c r="AA4708">
        <v>0.69252193992878597</v>
      </c>
      <c r="AB4708" t="str">
        <f>HYPERLINK("Melting_Curves/meltCurve_Q8TCN5_ZNF507.pdf", "Melting_Curves/meltCurve_Q8TCN5_ZNF507.pdf")</f>
        <v>Melting_Curves/meltCurve_Q8TCN5_ZNF507.pdf</v>
      </c>
    </row>
    <row r="4709" spans="1:28" x14ac:dyDescent="0.25">
      <c r="A4709" t="s">
        <v>4713</v>
      </c>
      <c r="B4709">
        <v>0.995954080203443</v>
      </c>
      <c r="C4709">
        <v>0.87602228407206995</v>
      </c>
      <c r="D4709">
        <v>0.73112554100401905</v>
      </c>
      <c r="E4709">
        <v>0.60002649624742099</v>
      </c>
      <c r="F4709">
        <v>0.18308158260032401</v>
      </c>
      <c r="G4709">
        <v>0.102186600982357</v>
      </c>
      <c r="H4709">
        <v>6.5985547118039195E-2</v>
      </c>
      <c r="I4709">
        <v>5.95877993170639E-2</v>
      </c>
      <c r="J4709">
        <v>7.1985817966503801E-2</v>
      </c>
      <c r="K4709">
        <v>6.4892905300476297E-2</v>
      </c>
      <c r="L4709">
        <v>807.14452009967397</v>
      </c>
      <c r="M4709">
        <v>16.327748057688002</v>
      </c>
      <c r="N4709">
        <v>49.6461347122071</v>
      </c>
      <c r="O4709">
        <v>48.710238174436398</v>
      </c>
      <c r="P4709">
        <v>-8.0981548744838899E-2</v>
      </c>
      <c r="Q4709">
        <v>3.3707573212441798E-2</v>
      </c>
      <c r="R4709">
        <v>0.97545720172450301</v>
      </c>
      <c r="S4709" t="s">
        <v>11515</v>
      </c>
      <c r="T4709" t="s">
        <v>13610</v>
      </c>
      <c r="U4709" t="s">
        <v>13610</v>
      </c>
      <c r="V4709" t="s">
        <v>13610</v>
      </c>
      <c r="W4709" t="s">
        <v>18258</v>
      </c>
      <c r="X4709">
        <v>22</v>
      </c>
      <c r="Y4709" t="s">
        <v>24836</v>
      </c>
      <c r="Z4709" t="s">
        <v>31564</v>
      </c>
      <c r="AA4709">
        <v>0.35761510678343339</v>
      </c>
      <c r="AB4709" t="str">
        <f>HYPERLINK("Melting_Curves/meltCurve_Q8TCS8_PNPT1.pdf", "Melting_Curves/meltCurve_Q8TCS8_PNPT1.pdf")</f>
        <v>Melting_Curves/meltCurve_Q8TCS8_PNPT1.pdf</v>
      </c>
    </row>
    <row r="4710" spans="1:28" x14ac:dyDescent="0.25">
      <c r="A4710" t="s">
        <v>4714</v>
      </c>
      <c r="B4710">
        <v>0.995954080203443</v>
      </c>
      <c r="C4710">
        <v>0.91267176012499995</v>
      </c>
      <c r="D4710">
        <v>0.84178057209202595</v>
      </c>
      <c r="E4710">
        <v>0.80048653414589699</v>
      </c>
      <c r="F4710">
        <v>0.72002645199843196</v>
      </c>
      <c r="G4710">
        <v>0.53659015197007798</v>
      </c>
      <c r="H4710">
        <v>0.47618835672210202</v>
      </c>
      <c r="I4710">
        <v>0.45637243126070798</v>
      </c>
      <c r="J4710">
        <v>0.55108913650576596</v>
      </c>
      <c r="K4710">
        <v>0.48731487951767</v>
      </c>
      <c r="L4710">
        <v>584.92787564175296</v>
      </c>
      <c r="M4710">
        <v>11.4239620821208</v>
      </c>
      <c r="N4710">
        <v>63.857249427545298</v>
      </c>
      <c r="O4710">
        <v>49.708246834354597</v>
      </c>
      <c r="P4710">
        <v>-3.17224501319881E-2</v>
      </c>
      <c r="Q4710">
        <v>0.44803471245419402</v>
      </c>
      <c r="R4710">
        <v>0.95132129847137303</v>
      </c>
      <c r="S4710" t="s">
        <v>11516</v>
      </c>
      <c r="T4710" t="s">
        <v>13610</v>
      </c>
      <c r="U4710" t="s">
        <v>13610</v>
      </c>
      <c r="V4710" t="s">
        <v>13610</v>
      </c>
      <c r="W4710" t="s">
        <v>18259</v>
      </c>
      <c r="X4710">
        <v>19</v>
      </c>
      <c r="Y4710" t="s">
        <v>24837</v>
      </c>
      <c r="Z4710" t="s">
        <v>31565</v>
      </c>
      <c r="AA4710">
        <v>0.67316169862595177</v>
      </c>
      <c r="AB4710" t="str">
        <f>HYPERLINK("Melting_Curves/meltCurve_Q8TCU4_3_ALMS1.pdf", "Melting_Curves/meltCurve_Q8TCU4_3_ALMS1.pdf")</f>
        <v>Melting_Curves/meltCurve_Q8TCU4_3_ALMS1.pdf</v>
      </c>
    </row>
    <row r="4711" spans="1:28" x14ac:dyDescent="0.25">
      <c r="A4711" t="s">
        <v>4715</v>
      </c>
      <c r="B4711">
        <v>0.995954080203443</v>
      </c>
      <c r="C4711">
        <v>0.77356816809432505</v>
      </c>
      <c r="D4711">
        <v>0.380214424007422</v>
      </c>
      <c r="E4711">
        <v>0.31567239296493499</v>
      </c>
      <c r="F4711">
        <v>0.13711495164145299</v>
      </c>
      <c r="G4711">
        <v>8.8480963476603502E-2</v>
      </c>
      <c r="H4711">
        <v>3.8619505568348998E-2</v>
      </c>
      <c r="I4711">
        <v>2.4260901478637902E-2</v>
      </c>
      <c r="J4711">
        <v>3.09940963419683E-2</v>
      </c>
      <c r="K4711">
        <v>6.8160646935457606E-2</v>
      </c>
      <c r="L4711">
        <v>785.34766316244998</v>
      </c>
      <c r="M4711">
        <v>17.258797074244601</v>
      </c>
      <c r="N4711">
        <v>45.7813759805328</v>
      </c>
      <c r="O4711">
        <v>44.906449198698397</v>
      </c>
      <c r="P4711">
        <v>-9.1320673223217005E-2</v>
      </c>
      <c r="Q4711">
        <v>4.9609480088235201E-2</v>
      </c>
      <c r="R4711">
        <v>0.97256975905462895</v>
      </c>
      <c r="S4711" t="s">
        <v>11517</v>
      </c>
      <c r="T4711" t="s">
        <v>13610</v>
      </c>
      <c r="U4711" t="s">
        <v>13610</v>
      </c>
      <c r="V4711" t="s">
        <v>13610</v>
      </c>
      <c r="W4711" t="s">
        <v>18260</v>
      </c>
      <c r="X4711">
        <v>2</v>
      </c>
      <c r="Y4711" t="s">
        <v>24838</v>
      </c>
      <c r="Z4711" t="s">
        <v>31566</v>
      </c>
      <c r="AA4711">
        <v>0.2453680450726505</v>
      </c>
      <c r="AB4711" t="str">
        <f>HYPERLINK("Melting_Curves/meltCurve_Q8TCY9_3_URGCP.pdf", "Melting_Curves/meltCurve_Q8TCY9_3_URGCP.pdf")</f>
        <v>Melting_Curves/meltCurve_Q8TCY9_3_URGCP.pdf</v>
      </c>
    </row>
    <row r="4712" spans="1:28" x14ac:dyDescent="0.25">
      <c r="A4712" t="s">
        <v>4716</v>
      </c>
      <c r="B4712">
        <v>0.995954080203443</v>
      </c>
      <c r="C4712">
        <v>0.81008451414100002</v>
      </c>
      <c r="D4712">
        <v>0.63707992344163</v>
      </c>
      <c r="E4712">
        <v>0.57955730321198096</v>
      </c>
      <c r="F4712">
        <v>0.37898905268654298</v>
      </c>
      <c r="G4712">
        <v>0.135731312160944</v>
      </c>
      <c r="H4712">
        <v>2.3847036963679499E-2</v>
      </c>
      <c r="I4712">
        <v>1.9871308919258701E-2</v>
      </c>
      <c r="J4712">
        <v>1.09883612024128E-2</v>
      </c>
      <c r="K4712">
        <v>1.46661176990552E-2</v>
      </c>
      <c r="L4712">
        <v>599.87642758607399</v>
      </c>
      <c r="M4712">
        <v>12.0774028503177</v>
      </c>
      <c r="N4712">
        <v>49.669323344403203</v>
      </c>
      <c r="O4712">
        <v>48.366397962266497</v>
      </c>
      <c r="P4712">
        <v>-6.2441298141932701E-2</v>
      </c>
      <c r="Q4712">
        <v>0</v>
      </c>
      <c r="R4712">
        <v>0.97074656714509799</v>
      </c>
      <c r="S4712" t="s">
        <v>11518</v>
      </c>
      <c r="T4712" t="s">
        <v>13610</v>
      </c>
      <c r="U4712" t="s">
        <v>13610</v>
      </c>
      <c r="V4712" t="s">
        <v>13610</v>
      </c>
      <c r="W4712" t="s">
        <v>18261</v>
      </c>
      <c r="X4712">
        <v>1</v>
      </c>
      <c r="Y4712" t="s">
        <v>24839</v>
      </c>
      <c r="Z4712" t="s">
        <v>31567</v>
      </c>
      <c r="AA4712">
        <v>0.35724629422197662</v>
      </c>
      <c r="AB4712" t="str">
        <f>HYPERLINK("Melting_Curves/meltCurve_Q8TD08_2_MAPK15.pdf", "Melting_Curves/meltCurve_Q8TD08_2_MAPK15.pdf")</f>
        <v>Melting_Curves/meltCurve_Q8TD08_2_MAPK15.pdf</v>
      </c>
    </row>
    <row r="4713" spans="1:28" x14ac:dyDescent="0.25">
      <c r="A4713" t="s">
        <v>4717</v>
      </c>
      <c r="B4713">
        <v>0.995954080203443</v>
      </c>
      <c r="C4713">
        <v>0.98665573638876602</v>
      </c>
      <c r="D4713">
        <v>0.95413243495825095</v>
      </c>
      <c r="E4713">
        <v>0.66067107456893504</v>
      </c>
      <c r="F4713">
        <v>0.34213005182491601</v>
      </c>
      <c r="G4713">
        <v>0.18155027668616999</v>
      </c>
      <c r="H4713">
        <v>0.13161587388103199</v>
      </c>
      <c r="I4713">
        <v>0.12625887734560201</v>
      </c>
      <c r="J4713">
        <v>0.15403026152682101</v>
      </c>
      <c r="K4713">
        <v>0.144166906157012</v>
      </c>
      <c r="L4713">
        <v>1406.9188477351499</v>
      </c>
      <c r="M4713">
        <v>27.7065806913998</v>
      </c>
      <c r="N4713">
        <v>51.372597813749202</v>
      </c>
      <c r="O4713">
        <v>50.516898150453997</v>
      </c>
      <c r="P4713">
        <v>-0.11834092562587201</v>
      </c>
      <c r="Q4713">
        <v>0.13693216865251701</v>
      </c>
      <c r="R4713">
        <v>0.99943168489390699</v>
      </c>
      <c r="S4713" t="s">
        <v>11519</v>
      </c>
      <c r="T4713" t="s">
        <v>13610</v>
      </c>
      <c r="U4713" t="s">
        <v>13610</v>
      </c>
      <c r="V4713" t="s">
        <v>13610</v>
      </c>
      <c r="W4713" t="s">
        <v>18262</v>
      </c>
      <c r="X4713">
        <v>30</v>
      </c>
      <c r="Y4713" t="s">
        <v>24840</v>
      </c>
      <c r="Z4713" t="s">
        <v>31568</v>
      </c>
      <c r="AA4713">
        <v>0.45337951601019238</v>
      </c>
      <c r="AB4713" t="str">
        <f>HYPERLINK("Melting_Curves/meltCurve_Q8TD16_BICD2.pdf", "Melting_Curves/meltCurve_Q8TD16_BICD2.pdf")</f>
        <v>Melting_Curves/meltCurve_Q8TD16_BICD2.pdf</v>
      </c>
    </row>
    <row r="4714" spans="1:28" x14ac:dyDescent="0.25">
      <c r="A4714" t="s">
        <v>4718</v>
      </c>
      <c r="B4714">
        <v>0.995954080203443</v>
      </c>
      <c r="C4714">
        <v>0.99686861768504398</v>
      </c>
      <c r="D4714">
        <v>0.93130727260706003</v>
      </c>
      <c r="E4714">
        <v>0.74329924135329695</v>
      </c>
      <c r="F4714">
        <v>0.43557229605364101</v>
      </c>
      <c r="G4714">
        <v>0.24170469472259801</v>
      </c>
      <c r="H4714">
        <v>0.19732287625983999</v>
      </c>
      <c r="I4714">
        <v>0.217762628862363</v>
      </c>
      <c r="J4714">
        <v>0.283246285842851</v>
      </c>
      <c r="K4714">
        <v>0.26163642566905898</v>
      </c>
      <c r="L4714">
        <v>1509.9659374437599</v>
      </c>
      <c r="M4714">
        <v>29.556119755668298</v>
      </c>
      <c r="N4714">
        <v>52.196576319991102</v>
      </c>
      <c r="O4714">
        <v>50.855938354793103</v>
      </c>
      <c r="P4714">
        <v>-0.111428418253834</v>
      </c>
      <c r="Q4714">
        <v>0.23308504465576199</v>
      </c>
      <c r="R4714">
        <v>0.99281655482532105</v>
      </c>
      <c r="S4714" t="s">
        <v>11520</v>
      </c>
      <c r="T4714" t="s">
        <v>13610</v>
      </c>
      <c r="U4714" t="s">
        <v>13610</v>
      </c>
      <c r="V4714" t="s">
        <v>13610</v>
      </c>
      <c r="W4714" t="s">
        <v>18263</v>
      </c>
      <c r="X4714">
        <v>24</v>
      </c>
      <c r="Y4714" t="s">
        <v>24841</v>
      </c>
      <c r="Z4714" t="s">
        <v>31569</v>
      </c>
      <c r="AA4714">
        <v>0.52151436493982295</v>
      </c>
      <c r="AB4714" t="str">
        <f>HYPERLINK("Melting_Curves/meltCurve_Q8TD19_NEK9.pdf", "Melting_Curves/meltCurve_Q8TD19_NEK9.pdf")</f>
        <v>Melting_Curves/meltCurve_Q8TD19_NEK9.pdf</v>
      </c>
    </row>
    <row r="4715" spans="1:28" x14ac:dyDescent="0.25">
      <c r="A4715" t="s">
        <v>4719</v>
      </c>
      <c r="B4715">
        <v>0.995954080203443</v>
      </c>
      <c r="C4715">
        <v>0.902818908663651</v>
      </c>
      <c r="D4715">
        <v>0.84070368574894205</v>
      </c>
      <c r="E4715">
        <v>0.75450932294239303</v>
      </c>
      <c r="F4715">
        <v>0.69715134455707195</v>
      </c>
      <c r="G4715">
        <v>0.480390194584287</v>
      </c>
      <c r="H4715">
        <v>0.42411087856605501</v>
      </c>
      <c r="I4715">
        <v>0.52298119947711796</v>
      </c>
      <c r="J4715">
        <v>0.590583524367018</v>
      </c>
      <c r="K4715">
        <v>0.56155391298371804</v>
      </c>
      <c r="L4715">
        <v>697.65876353103999</v>
      </c>
      <c r="M4715">
        <v>14.217783352801399</v>
      </c>
      <c r="O4715">
        <v>48.129343378924098</v>
      </c>
      <c r="P4715">
        <v>-3.6532641705757998E-2</v>
      </c>
      <c r="Q4715">
        <v>0.50538776324576995</v>
      </c>
      <c r="R4715">
        <v>0.89515347694200398</v>
      </c>
      <c r="S4715" t="s">
        <v>11521</v>
      </c>
      <c r="T4715" t="s">
        <v>13610</v>
      </c>
      <c r="U4715" t="s">
        <v>13610</v>
      </c>
      <c r="V4715" t="s">
        <v>13610</v>
      </c>
      <c r="W4715" t="s">
        <v>18264</v>
      </c>
      <c r="X4715">
        <v>9</v>
      </c>
      <c r="Y4715" t="s">
        <v>24842</v>
      </c>
      <c r="Z4715" t="s">
        <v>31570</v>
      </c>
      <c r="AA4715">
        <v>0.66836203417573448</v>
      </c>
      <c r="AB4715" t="str">
        <f>HYPERLINK("Melting_Curves/meltCurve_Q8TD26_CHD6.pdf", "Melting_Curves/meltCurve_Q8TD26_CHD6.pdf")</f>
        <v>Melting_Curves/meltCurve_Q8TD26_CHD6.pdf</v>
      </c>
    </row>
    <row r="4716" spans="1:28" x14ac:dyDescent="0.25">
      <c r="A4716" t="s">
        <v>4720</v>
      </c>
      <c r="B4716">
        <v>0.995954080203443</v>
      </c>
      <c r="C4716">
        <v>0.92294618806917195</v>
      </c>
      <c r="D4716">
        <v>0.75541443453142298</v>
      </c>
      <c r="E4716">
        <v>0.41543542001111999</v>
      </c>
      <c r="F4716">
        <v>0.22975029998472499</v>
      </c>
      <c r="G4716">
        <v>0.14369918628490599</v>
      </c>
      <c r="H4716">
        <v>0.114234229414612</v>
      </c>
      <c r="I4716">
        <v>0.121137163587485</v>
      </c>
      <c r="J4716">
        <v>0.12807426199088701</v>
      </c>
      <c r="K4716">
        <v>0.11380939302557699</v>
      </c>
      <c r="L4716">
        <v>966.16208660912298</v>
      </c>
      <c r="M4716">
        <v>20.0256286789234</v>
      </c>
      <c r="N4716">
        <v>48.860156004582997</v>
      </c>
      <c r="O4716">
        <v>47.772900791713496</v>
      </c>
      <c r="P4716">
        <v>-9.3143464438303306E-2</v>
      </c>
      <c r="Q4716">
        <v>0.11122103093633</v>
      </c>
      <c r="R4716">
        <v>0.99939932889295802</v>
      </c>
      <c r="S4716" t="s">
        <v>11522</v>
      </c>
      <c r="T4716" t="s">
        <v>13610</v>
      </c>
      <c r="U4716" t="s">
        <v>13610</v>
      </c>
      <c r="V4716" t="s">
        <v>13610</v>
      </c>
      <c r="W4716" t="s">
        <v>18265</v>
      </c>
      <c r="X4716">
        <v>9</v>
      </c>
      <c r="Y4716" t="s">
        <v>24843</v>
      </c>
      <c r="Z4716" t="s">
        <v>31571</v>
      </c>
      <c r="AA4716">
        <v>0.36806335007467089</v>
      </c>
      <c r="AB4716" t="str">
        <f>HYPERLINK("Melting_Curves/meltCurve_Q8TD30_GPT2.pdf", "Melting_Curves/meltCurve_Q8TD30_GPT2.pdf")</f>
        <v>Melting_Curves/meltCurve_Q8TD30_GPT2.pdf</v>
      </c>
    </row>
    <row r="4717" spans="1:28" x14ac:dyDescent="0.25">
      <c r="A4717" t="s">
        <v>4721</v>
      </c>
      <c r="B4717">
        <v>0.995954080203443</v>
      </c>
      <c r="C4717">
        <v>0.87421714807794704</v>
      </c>
      <c r="D4717">
        <v>0.67746864725494205</v>
      </c>
      <c r="E4717">
        <v>0.510920099785939</v>
      </c>
      <c r="F4717">
        <v>0.35616909037174199</v>
      </c>
      <c r="G4717">
        <v>0.24796052009899699</v>
      </c>
      <c r="H4717">
        <v>0.212270344010035</v>
      </c>
      <c r="I4717">
        <v>0.20552265796828201</v>
      </c>
      <c r="J4717">
        <v>0.24810186446244001</v>
      </c>
      <c r="K4717">
        <v>0.24151243586939999</v>
      </c>
      <c r="L4717">
        <v>721.77505109516596</v>
      </c>
      <c r="M4717">
        <v>15.136948035156101</v>
      </c>
      <c r="N4717">
        <v>49.472215539052897</v>
      </c>
      <c r="O4717">
        <v>46.874005646452602</v>
      </c>
      <c r="P4717">
        <v>-6.3721028778362304E-2</v>
      </c>
      <c r="Q4717">
        <v>0.210787099019459</v>
      </c>
      <c r="R4717">
        <v>0.99087690968768205</v>
      </c>
      <c r="S4717" t="s">
        <v>11523</v>
      </c>
      <c r="T4717" t="s">
        <v>13610</v>
      </c>
      <c r="U4717" t="s">
        <v>13610</v>
      </c>
      <c r="V4717" t="s">
        <v>13610</v>
      </c>
      <c r="W4717" t="s">
        <v>18266</v>
      </c>
      <c r="X4717">
        <v>7</v>
      </c>
      <c r="Y4717" t="s">
        <v>24844</v>
      </c>
      <c r="Z4717" t="s">
        <v>31572</v>
      </c>
      <c r="AA4717">
        <v>0.43315949217344579</v>
      </c>
      <c r="AB4717" t="str">
        <f>HYPERLINK("Melting_Curves/meltCurve_Q8TD55_2_PLEKHO2.pdf", "Melting_Curves/meltCurve_Q8TD55_2_PLEKHO2.pdf")</f>
        <v>Melting_Curves/meltCurve_Q8TD55_2_PLEKHO2.pdf</v>
      </c>
    </row>
    <row r="4718" spans="1:28" x14ac:dyDescent="0.25">
      <c r="A4718" t="s">
        <v>4722</v>
      </c>
      <c r="B4718">
        <v>0.995954080203443</v>
      </c>
      <c r="C4718">
        <v>1.07235316972991</v>
      </c>
      <c r="D4718">
        <v>1.1214021506085401</v>
      </c>
      <c r="E4718">
        <v>0.95358546064726801</v>
      </c>
      <c r="F4718">
        <v>0.401045051556573</v>
      </c>
      <c r="G4718">
        <v>0.25875955113126298</v>
      </c>
      <c r="H4718">
        <v>0.24184803492016599</v>
      </c>
      <c r="I4718">
        <v>0.27112659713203302</v>
      </c>
      <c r="J4718">
        <v>0.25510436477770199</v>
      </c>
      <c r="K4718">
        <v>0.30870714152086198</v>
      </c>
      <c r="L4718">
        <v>3722.3749164232299</v>
      </c>
      <c r="M4718">
        <v>71.733203075361104</v>
      </c>
      <c r="N4718">
        <v>52.4500066619335</v>
      </c>
      <c r="O4718">
        <v>51.851651307805597</v>
      </c>
      <c r="P4718">
        <v>-0.25354055023153299</v>
      </c>
      <c r="Q4718">
        <v>0.26692281602773599</v>
      </c>
      <c r="R4718">
        <v>0.98350167025709201</v>
      </c>
      <c r="S4718" t="s">
        <v>11524</v>
      </c>
      <c r="T4718" t="s">
        <v>13610</v>
      </c>
      <c r="U4718" t="s">
        <v>13610</v>
      </c>
      <c r="V4718" t="s">
        <v>13610</v>
      </c>
      <c r="W4718" t="s">
        <v>18267</v>
      </c>
      <c r="X4718">
        <v>3</v>
      </c>
      <c r="Y4718" t="s">
        <v>24845</v>
      </c>
      <c r="Z4718" t="s">
        <v>31573</v>
      </c>
      <c r="AA4718">
        <v>0.55832599492051493</v>
      </c>
      <c r="AB4718" t="str">
        <f>HYPERLINK("Melting_Curves/meltCurve_Q8TD57_DNAH3.pdf", "Melting_Curves/meltCurve_Q8TD57_DNAH3.pdf")</f>
        <v>Melting_Curves/meltCurve_Q8TD57_DNAH3.pdf</v>
      </c>
    </row>
    <row r="4719" spans="1:28" x14ac:dyDescent="0.25">
      <c r="A4719" t="s">
        <v>4723</v>
      </c>
      <c r="B4719">
        <v>0.995954080203443</v>
      </c>
      <c r="C4719">
        <v>0.96722663145134502</v>
      </c>
      <c r="D4719">
        <v>0.84967730568803101</v>
      </c>
      <c r="E4719">
        <v>0.73864653370582301</v>
      </c>
      <c r="F4719">
        <v>0.65290299599718904</v>
      </c>
      <c r="G4719">
        <v>0.54180863451640404</v>
      </c>
      <c r="H4719">
        <v>0.44222638029531802</v>
      </c>
      <c r="I4719">
        <v>0.44091589132818398</v>
      </c>
      <c r="J4719">
        <v>0.51824800526346304</v>
      </c>
      <c r="K4719">
        <v>0.63629513681652905</v>
      </c>
      <c r="L4719">
        <v>815.46973813224099</v>
      </c>
      <c r="M4719">
        <v>16.559668453725699</v>
      </c>
      <c r="O4719">
        <v>48.5430092116274</v>
      </c>
      <c r="P4719">
        <v>-4.2242485018003602E-2</v>
      </c>
      <c r="Q4719">
        <v>0.50471553719988305</v>
      </c>
      <c r="R4719">
        <v>0.91696545203306001</v>
      </c>
      <c r="S4719" t="s">
        <v>11525</v>
      </c>
      <c r="T4719" t="s">
        <v>13610</v>
      </c>
      <c r="U4719" t="s">
        <v>13610</v>
      </c>
      <c r="V4719" t="s">
        <v>13610</v>
      </c>
      <c r="W4719" t="s">
        <v>18268</v>
      </c>
      <c r="X4719">
        <v>1</v>
      </c>
      <c r="Y4719" t="s">
        <v>24846</v>
      </c>
      <c r="Z4719" t="s">
        <v>31574</v>
      </c>
      <c r="AA4719">
        <v>0.667383153649031</v>
      </c>
      <c r="AB4719" t="str">
        <f>HYPERLINK("Melting_Curves/meltCurve_Q8TDB6_DTX3L.pdf", "Melting_Curves/meltCurve_Q8TDB6_DTX3L.pdf")</f>
        <v>Melting_Curves/meltCurve_Q8TDB6_DTX3L.pdf</v>
      </c>
    </row>
    <row r="4720" spans="1:28" x14ac:dyDescent="0.25">
      <c r="A4720" t="s">
        <v>4724</v>
      </c>
      <c r="B4720">
        <v>0.995954080203443</v>
      </c>
      <c r="C4720">
        <v>0.82240679927146698</v>
      </c>
      <c r="D4720">
        <v>0.72245328523769603</v>
      </c>
      <c r="E4720">
        <v>0.50371641921196397</v>
      </c>
      <c r="F4720">
        <v>0.67858074309158001</v>
      </c>
      <c r="G4720">
        <v>0.39644672709290302</v>
      </c>
      <c r="H4720">
        <v>0.52952735784088201</v>
      </c>
      <c r="I4720">
        <v>0.78865194258433002</v>
      </c>
      <c r="J4720">
        <v>0.94544326370183096</v>
      </c>
      <c r="K4720">
        <v>0.73127516458457298</v>
      </c>
      <c r="L4720">
        <v>1599.9002274381301</v>
      </c>
      <c r="M4720">
        <v>37.235168731695602</v>
      </c>
      <c r="O4720">
        <v>42.844078820671697</v>
      </c>
      <c r="P4720">
        <v>-7.4411663514546297E-2</v>
      </c>
      <c r="Q4720">
        <v>0.65751836144953202</v>
      </c>
      <c r="R4720">
        <v>0.34578480775515402</v>
      </c>
      <c r="S4720" t="s">
        <v>11526</v>
      </c>
      <c r="T4720" t="s">
        <v>13610</v>
      </c>
      <c r="U4720" t="s">
        <v>13610</v>
      </c>
      <c r="V4720" t="s">
        <v>13610</v>
      </c>
      <c r="W4720" t="s">
        <v>18269</v>
      </c>
      <c r="X4720">
        <v>22</v>
      </c>
      <c r="Y4720" t="s">
        <v>24847</v>
      </c>
      <c r="Z4720" t="s">
        <v>31575</v>
      </c>
      <c r="AA4720">
        <v>0.69323671210862436</v>
      </c>
      <c r="AB4720" t="str">
        <f>HYPERLINK("Melting_Curves/meltCurve_Q8TDD1_DDX54.pdf", "Melting_Curves/meltCurve_Q8TDD1_DDX54.pdf")</f>
        <v>Melting_Curves/meltCurve_Q8TDD1_DDX54.pdf</v>
      </c>
    </row>
    <row r="4721" spans="1:28" x14ac:dyDescent="0.25">
      <c r="A4721" t="s">
        <v>4725</v>
      </c>
      <c r="B4721">
        <v>0.995954080203443</v>
      </c>
      <c r="C4721">
        <v>0.98140845824892298</v>
      </c>
      <c r="D4721">
        <v>0.73157528438216402</v>
      </c>
      <c r="E4721">
        <v>0.36776373328881401</v>
      </c>
      <c r="F4721">
        <v>0.25939058103816098</v>
      </c>
      <c r="G4721">
        <v>0.179966793672241</v>
      </c>
      <c r="H4721">
        <v>0.142486459948691</v>
      </c>
      <c r="I4721">
        <v>0.16174090938841501</v>
      </c>
      <c r="J4721">
        <v>0.179232466240482</v>
      </c>
      <c r="K4721">
        <v>0.176519635346228</v>
      </c>
      <c r="L4721">
        <v>1139.5784443427401</v>
      </c>
      <c r="M4721">
        <v>23.930281284279999</v>
      </c>
      <c r="N4721">
        <v>48.444512435388503</v>
      </c>
      <c r="O4721">
        <v>47.291941550092801</v>
      </c>
      <c r="P4721">
        <v>-0.105360056747254</v>
      </c>
      <c r="Q4721">
        <v>0.16714657777071101</v>
      </c>
      <c r="R4721">
        <v>0.99683538269647698</v>
      </c>
      <c r="S4721" t="s">
        <v>11527</v>
      </c>
      <c r="T4721" t="s">
        <v>13610</v>
      </c>
      <c r="U4721" t="s">
        <v>13610</v>
      </c>
      <c r="V4721" t="s">
        <v>13610</v>
      </c>
      <c r="W4721" t="s">
        <v>18270</v>
      </c>
      <c r="X4721">
        <v>22</v>
      </c>
      <c r="Y4721" t="s">
        <v>24847</v>
      </c>
      <c r="Z4721" t="s">
        <v>31576</v>
      </c>
      <c r="AA4721">
        <v>0.38681673468331829</v>
      </c>
      <c r="AB4721" t="str">
        <f>HYPERLINK("Melting_Curves/meltCurve_Q8TDD1_2_DDX54.pdf", "Melting_Curves/meltCurve_Q8TDD1_2_DDX54.pdf")</f>
        <v>Melting_Curves/meltCurve_Q8TDD1_2_DDX54.pdf</v>
      </c>
    </row>
    <row r="4722" spans="1:28" x14ac:dyDescent="0.25">
      <c r="A4722" t="s">
        <v>4726</v>
      </c>
      <c r="B4722">
        <v>0.995954080203443</v>
      </c>
      <c r="C4722">
        <v>0.80691791952377501</v>
      </c>
      <c r="D4722">
        <v>0.88855507775572296</v>
      </c>
      <c r="E4722">
        <v>0.68994547360886105</v>
      </c>
      <c r="F4722">
        <v>0.67801281612488096</v>
      </c>
      <c r="G4722">
        <v>0.46738733751862499</v>
      </c>
      <c r="H4722">
        <v>0.27042771276938898</v>
      </c>
      <c r="I4722">
        <v>0.29113762162242002</v>
      </c>
      <c r="J4722">
        <v>0.362957696619777</v>
      </c>
      <c r="K4722">
        <v>0.29416419056663901</v>
      </c>
      <c r="L4722">
        <v>513.91024840013301</v>
      </c>
      <c r="M4722">
        <v>9.7330593497610103</v>
      </c>
      <c r="N4722">
        <v>55.844457243866401</v>
      </c>
      <c r="O4722">
        <v>50.7162169333387</v>
      </c>
      <c r="P4722">
        <v>-3.8122162392202001E-2</v>
      </c>
      <c r="Q4722">
        <v>0.20585316010254201</v>
      </c>
      <c r="R4722">
        <v>0.93851202782508003</v>
      </c>
      <c r="S4722" t="s">
        <v>11528</v>
      </c>
      <c r="T4722" t="s">
        <v>13610</v>
      </c>
      <c r="U4722" t="s">
        <v>13610</v>
      </c>
      <c r="V4722" t="s">
        <v>13610</v>
      </c>
      <c r="W4722" t="s">
        <v>18271</v>
      </c>
      <c r="X4722">
        <v>12</v>
      </c>
      <c r="Y4722" t="s">
        <v>24848</v>
      </c>
      <c r="Z4722" t="s">
        <v>31577</v>
      </c>
      <c r="AA4722">
        <v>0.57318083581033386</v>
      </c>
      <c r="AB4722" t="str">
        <f>HYPERLINK("Melting_Curves/meltCurve_Q8TDH9_BLOC1S5.pdf", "Melting_Curves/meltCurve_Q8TDH9_BLOC1S5.pdf")</f>
        <v>Melting_Curves/meltCurve_Q8TDH9_BLOC1S5.pdf</v>
      </c>
    </row>
    <row r="4723" spans="1:28" x14ac:dyDescent="0.25">
      <c r="A4723" t="s">
        <v>4727</v>
      </c>
      <c r="B4723">
        <v>0.995954080203443</v>
      </c>
      <c r="C4723">
        <v>0.88736885362109497</v>
      </c>
      <c r="D4723">
        <v>0.914228414174863</v>
      </c>
      <c r="E4723">
        <v>0.707221607286737</v>
      </c>
      <c r="F4723">
        <v>0.55328305283417301</v>
      </c>
      <c r="G4723">
        <v>0.33304730154972301</v>
      </c>
      <c r="H4723">
        <v>0.15126920034305999</v>
      </c>
      <c r="I4723">
        <v>6.4301571042911301E-2</v>
      </c>
      <c r="J4723">
        <v>5.6406582806087603E-2</v>
      </c>
      <c r="K4723">
        <v>4.1756572452152002E-2</v>
      </c>
      <c r="L4723">
        <v>714.59323340107096</v>
      </c>
      <c r="M4723">
        <v>13.3422554180093</v>
      </c>
      <c r="N4723">
        <v>53.558655204400097</v>
      </c>
      <c r="O4723">
        <v>52.398413568215297</v>
      </c>
      <c r="P4723">
        <v>-6.3667899689978394E-2</v>
      </c>
      <c r="Q4723">
        <v>0</v>
      </c>
      <c r="R4723">
        <v>0.99331925358742301</v>
      </c>
      <c r="S4723" t="s">
        <v>11529</v>
      </c>
      <c r="T4723" t="s">
        <v>13610</v>
      </c>
      <c r="U4723" t="s">
        <v>13610</v>
      </c>
      <c r="V4723" t="s">
        <v>13610</v>
      </c>
      <c r="W4723" t="s">
        <v>18272</v>
      </c>
      <c r="X4723">
        <v>16</v>
      </c>
      <c r="Y4723" t="s">
        <v>24849</v>
      </c>
      <c r="Z4723" t="s">
        <v>31578</v>
      </c>
      <c r="AA4723">
        <v>0.47619513421863968</v>
      </c>
      <c r="AB4723" t="str">
        <f>HYPERLINK("Melting_Curves/meltCurve_Q8TDI0_CHD5.pdf", "Melting_Curves/meltCurve_Q8TDI0_CHD5.pdf")</f>
        <v>Melting_Curves/meltCurve_Q8TDI0_CHD5.pdf</v>
      </c>
    </row>
    <row r="4724" spans="1:28" x14ac:dyDescent="0.25">
      <c r="A4724" t="s">
        <v>4728</v>
      </c>
      <c r="B4724">
        <v>0.995954080203443</v>
      </c>
      <c r="C4724">
        <v>1.08068706190778</v>
      </c>
      <c r="D4724">
        <v>0.89762511199828798</v>
      </c>
      <c r="E4724">
        <v>0.89085068951407798</v>
      </c>
      <c r="F4724">
        <v>0.64471476415342499</v>
      </c>
      <c r="G4724">
        <v>0.46421418034227802</v>
      </c>
      <c r="H4724">
        <v>0.22111709452838699</v>
      </c>
      <c r="I4724">
        <v>0.105428498179026</v>
      </c>
      <c r="J4724">
        <v>6.7732322479739704E-2</v>
      </c>
      <c r="K4724">
        <v>6.0071357109066997E-2</v>
      </c>
      <c r="L4724">
        <v>833.51927009101905</v>
      </c>
      <c r="M4724">
        <v>14.921403968434401</v>
      </c>
      <c r="N4724">
        <v>55.860647787182103</v>
      </c>
      <c r="O4724">
        <v>54.8861295782281</v>
      </c>
      <c r="P4724">
        <v>-6.7972287291114306E-2</v>
      </c>
      <c r="Q4724">
        <v>0</v>
      </c>
      <c r="R4724">
        <v>0.987825036971819</v>
      </c>
      <c r="S4724" t="s">
        <v>11530</v>
      </c>
      <c r="T4724" t="s">
        <v>13610</v>
      </c>
      <c r="U4724" t="s">
        <v>13610</v>
      </c>
      <c r="V4724" t="s">
        <v>13610</v>
      </c>
      <c r="W4724" t="s">
        <v>18273</v>
      </c>
      <c r="X4724">
        <v>4</v>
      </c>
      <c r="Y4724" t="s">
        <v>24850</v>
      </c>
      <c r="Z4724" t="s">
        <v>31579</v>
      </c>
      <c r="AA4724">
        <v>0.54674906552116154</v>
      </c>
      <c r="AB4724" t="str">
        <f>HYPERLINK("Melting_Curves/meltCurve_Q8TDJ6_DMXL2.pdf", "Melting_Curves/meltCurve_Q8TDJ6_DMXL2.pdf")</f>
        <v>Melting_Curves/meltCurve_Q8TDJ6_DMXL2.pdf</v>
      </c>
    </row>
    <row r="4725" spans="1:28" x14ac:dyDescent="0.25">
      <c r="A4725" t="s">
        <v>4729</v>
      </c>
      <c r="B4725">
        <v>0.995954080203443</v>
      </c>
      <c r="C4725">
        <v>1.0535857204379899</v>
      </c>
      <c r="D4725">
        <v>1.1457623849407601</v>
      </c>
      <c r="E4725">
        <v>1.0813810929174701</v>
      </c>
      <c r="F4725">
        <v>0.98355407180175103</v>
      </c>
      <c r="G4725">
        <v>0.88978088084226903</v>
      </c>
      <c r="H4725">
        <v>0.998541573806497</v>
      </c>
      <c r="I4725">
        <v>1.09539702539253</v>
      </c>
      <c r="J4725">
        <v>1.79184885467467</v>
      </c>
      <c r="K4725">
        <v>1.2575558757809</v>
      </c>
      <c r="L4725">
        <v>15000</v>
      </c>
      <c r="M4725">
        <v>232.93300067043799</v>
      </c>
      <c r="O4725">
        <v>64.391452786362194</v>
      </c>
      <c r="P4725">
        <v>0.45218152252538701</v>
      </c>
      <c r="Q4725">
        <v>1.5</v>
      </c>
      <c r="R4725">
        <v>0.67638264721484698</v>
      </c>
      <c r="S4725" t="s">
        <v>11531</v>
      </c>
      <c r="T4725" t="s">
        <v>13610</v>
      </c>
      <c r="U4725" t="s">
        <v>13610</v>
      </c>
      <c r="V4725" t="s">
        <v>13610</v>
      </c>
      <c r="W4725" t="s">
        <v>18274</v>
      </c>
      <c r="X4725">
        <v>3</v>
      </c>
      <c r="Y4725" t="s">
        <v>24851</v>
      </c>
      <c r="Z4725" t="s">
        <v>31580</v>
      </c>
      <c r="AA4725">
        <v>1.0933315804371491</v>
      </c>
      <c r="AB4725" t="str">
        <f>HYPERLINK("Melting_Curves/meltCurve_Q8TDM6_DLG5.pdf", "Melting_Curves/meltCurve_Q8TDM6_DLG5.pdf")</f>
        <v>Melting_Curves/meltCurve_Q8TDM6_DLG5.pdf</v>
      </c>
    </row>
    <row r="4726" spans="1:28" x14ac:dyDescent="0.25">
      <c r="A4726" t="s">
        <v>4730</v>
      </c>
      <c r="B4726">
        <v>0.995954080203443</v>
      </c>
      <c r="C4726">
        <v>0.74262152953098903</v>
      </c>
      <c r="D4726">
        <v>0.54901343120436796</v>
      </c>
      <c r="E4726">
        <v>0.44232375938787</v>
      </c>
      <c r="F4726">
        <v>0.143043632998754</v>
      </c>
      <c r="G4726">
        <v>7.0833465996998898E-2</v>
      </c>
      <c r="H4726">
        <v>3.8140772785504998E-2</v>
      </c>
      <c r="I4726">
        <v>3.00792240532851E-2</v>
      </c>
      <c r="J4726">
        <v>5.4547390741194801E-2</v>
      </c>
      <c r="K4726">
        <v>5.1746341185771698E-2</v>
      </c>
      <c r="L4726">
        <v>629.57071359046404</v>
      </c>
      <c r="M4726">
        <v>13.337249005181899</v>
      </c>
      <c r="N4726">
        <v>47.291239299740603</v>
      </c>
      <c r="O4726">
        <v>46.180613335652197</v>
      </c>
      <c r="P4726">
        <v>-7.1335080064829803E-2</v>
      </c>
      <c r="Q4726">
        <v>1.2158733043473801E-2</v>
      </c>
      <c r="R4726">
        <v>0.97356401104096901</v>
      </c>
      <c r="S4726" t="s">
        <v>11532</v>
      </c>
      <c r="T4726" t="s">
        <v>13610</v>
      </c>
      <c r="U4726" t="s">
        <v>13610</v>
      </c>
      <c r="V4726" t="s">
        <v>13610</v>
      </c>
      <c r="W4726" t="s">
        <v>18275</v>
      </c>
      <c r="X4726">
        <v>2</v>
      </c>
      <c r="Y4726" t="s">
        <v>24852</v>
      </c>
      <c r="Z4726" t="s">
        <v>31581</v>
      </c>
      <c r="AA4726">
        <v>0.28286779374862908</v>
      </c>
      <c r="AB4726" t="str">
        <f>HYPERLINK("Melting_Curves/meltCurve_Q8TDN4_4_CABLES1.pdf", "Melting_Curves/meltCurve_Q8TDN4_4_CABLES1.pdf")</f>
        <v>Melting_Curves/meltCurve_Q8TDN4_4_CABLES1.pdf</v>
      </c>
    </row>
    <row r="4727" spans="1:28" x14ac:dyDescent="0.25">
      <c r="A4727" t="s">
        <v>4731</v>
      </c>
      <c r="B4727">
        <v>0.995954080203443</v>
      </c>
      <c r="C4727">
        <v>0.89929267306157301</v>
      </c>
      <c r="D4727">
        <v>0.75026855417215599</v>
      </c>
      <c r="E4727">
        <v>0.48519110539913701</v>
      </c>
      <c r="F4727">
        <v>0.21393849161981601</v>
      </c>
      <c r="G4727">
        <v>0.11562311336780599</v>
      </c>
      <c r="H4727">
        <v>6.5552635590295005E-2</v>
      </c>
      <c r="I4727">
        <v>5.2166064267334E-2</v>
      </c>
      <c r="J4727">
        <v>6.5070986637723496E-2</v>
      </c>
      <c r="K4727">
        <v>5.3902077402200398E-2</v>
      </c>
      <c r="L4727">
        <v>831.65495486053806</v>
      </c>
      <c r="M4727">
        <v>16.959777524906698</v>
      </c>
      <c r="N4727">
        <v>49.273727061043303</v>
      </c>
      <c r="O4727">
        <v>48.3703616126393</v>
      </c>
      <c r="P4727">
        <v>-8.4230231898728497E-2</v>
      </c>
      <c r="Q4727">
        <v>3.9140044186740303E-2</v>
      </c>
      <c r="R4727">
        <v>0.99648877532837499</v>
      </c>
      <c r="S4727" t="s">
        <v>11533</v>
      </c>
      <c r="T4727" t="s">
        <v>13610</v>
      </c>
      <c r="U4727" t="s">
        <v>13610</v>
      </c>
      <c r="V4727" t="s">
        <v>13610</v>
      </c>
      <c r="W4727" t="s">
        <v>18276</v>
      </c>
      <c r="X4727">
        <v>12</v>
      </c>
      <c r="Y4727" t="s">
        <v>24853</v>
      </c>
      <c r="Z4727" t="s">
        <v>31582</v>
      </c>
      <c r="AA4727">
        <v>0.34728685484509331</v>
      </c>
      <c r="AB4727" t="str">
        <f>HYPERLINK("Melting_Curves/meltCurve_Q8TDN6_BRIX1.pdf", "Melting_Curves/meltCurve_Q8TDN6_BRIX1.pdf")</f>
        <v>Melting_Curves/meltCurve_Q8TDN6_BRIX1.pdf</v>
      </c>
    </row>
    <row r="4728" spans="1:28" x14ac:dyDescent="0.25">
      <c r="A4728" t="s">
        <v>4732</v>
      </c>
      <c r="B4728">
        <v>0.995954080203443</v>
      </c>
      <c r="C4728">
        <v>0.943895197452012</v>
      </c>
      <c r="D4728">
        <v>0.820111414405715</v>
      </c>
      <c r="E4728">
        <v>0.85775818447281704</v>
      </c>
      <c r="F4728">
        <v>0.64066720430697699</v>
      </c>
      <c r="G4728">
        <v>0.50675426650217903</v>
      </c>
      <c r="H4728">
        <v>0.35005729082570602</v>
      </c>
      <c r="I4728">
        <v>0.33952938483245099</v>
      </c>
      <c r="J4728">
        <v>0.23283130087153101</v>
      </c>
      <c r="K4728">
        <v>8.6575818839113194E-2</v>
      </c>
      <c r="L4728">
        <v>510.130524610441</v>
      </c>
      <c r="M4728">
        <v>8.9172989735169708</v>
      </c>
      <c r="N4728">
        <v>57.206847799690202</v>
      </c>
      <c r="O4728">
        <v>54.549302003034498</v>
      </c>
      <c r="P4728">
        <v>-4.0898805248131498E-2</v>
      </c>
      <c r="Q4728">
        <v>0</v>
      </c>
      <c r="R4728">
        <v>0.97518746646491905</v>
      </c>
      <c r="S4728" t="s">
        <v>11534</v>
      </c>
      <c r="T4728" t="s">
        <v>13610</v>
      </c>
      <c r="U4728" t="s">
        <v>13610</v>
      </c>
      <c r="V4728" t="s">
        <v>13610</v>
      </c>
      <c r="W4728" t="s">
        <v>18277</v>
      </c>
      <c r="X4728">
        <v>12</v>
      </c>
      <c r="Y4728" t="s">
        <v>24854</v>
      </c>
      <c r="Z4728" t="s">
        <v>31583</v>
      </c>
      <c r="AA4728">
        <v>0.58632874814358282</v>
      </c>
      <c r="AB4728" t="str">
        <f>HYPERLINK("Melting_Curves/meltCurve_Q8TDQ7_GNPDA2.pdf", "Melting_Curves/meltCurve_Q8TDQ7_GNPDA2.pdf")</f>
        <v>Melting_Curves/meltCurve_Q8TDQ7_GNPDA2.pdf</v>
      </c>
    </row>
    <row r="4729" spans="1:28" x14ac:dyDescent="0.25">
      <c r="A4729" t="s">
        <v>4733</v>
      </c>
      <c r="B4729">
        <v>0.995954080203443</v>
      </c>
      <c r="C4729">
        <v>0.75364959636779505</v>
      </c>
      <c r="D4729">
        <v>0.785572450776162</v>
      </c>
      <c r="E4729">
        <v>0.58196254878506004</v>
      </c>
      <c r="F4729">
        <v>0.46080958949888201</v>
      </c>
      <c r="G4729">
        <v>0.21234803737372299</v>
      </c>
      <c r="H4729">
        <v>9.01327309121253E-2</v>
      </c>
      <c r="I4729">
        <v>0.115036731563</v>
      </c>
      <c r="J4729">
        <v>0.113906791423561</v>
      </c>
      <c r="K4729">
        <v>9.34168515329762E-2</v>
      </c>
      <c r="L4729">
        <v>522.92320134967804</v>
      </c>
      <c r="M4729">
        <v>10.246861246794399</v>
      </c>
      <c r="N4729">
        <v>51.076748843412098</v>
      </c>
      <c r="O4729">
        <v>49.203466991941902</v>
      </c>
      <c r="P4729">
        <v>-5.1856871501705898E-2</v>
      </c>
      <c r="Q4729">
        <v>4.4141761204037101E-3</v>
      </c>
      <c r="R4729">
        <v>0.97061648061405703</v>
      </c>
      <c r="S4729" t="s">
        <v>11535</v>
      </c>
      <c r="T4729" t="s">
        <v>13610</v>
      </c>
      <c r="U4729" t="s">
        <v>13610</v>
      </c>
      <c r="V4729" t="s">
        <v>13610</v>
      </c>
      <c r="W4729" t="s">
        <v>18278</v>
      </c>
      <c r="X4729">
        <v>1</v>
      </c>
      <c r="Y4729" t="s">
        <v>24854</v>
      </c>
      <c r="Z4729" t="s">
        <v>31584</v>
      </c>
      <c r="AA4729">
        <v>0.41059893083650228</v>
      </c>
      <c r="AB4729" t="str">
        <f>HYPERLINK("Melting_Curves/meltCurve_Q8TDQ7_4_GNPDA2.pdf", "Melting_Curves/meltCurve_Q8TDQ7_4_GNPDA2.pdf")</f>
        <v>Melting_Curves/meltCurve_Q8TDQ7_4_GNPDA2.pdf</v>
      </c>
    </row>
    <row r="4730" spans="1:28" x14ac:dyDescent="0.25">
      <c r="A4730" t="s">
        <v>4734</v>
      </c>
      <c r="B4730">
        <v>0.995954080203443</v>
      </c>
      <c r="C4730">
        <v>0.85499821454269098</v>
      </c>
      <c r="D4730">
        <v>0.97090251817995898</v>
      </c>
      <c r="E4730">
        <v>0.73308216666095805</v>
      </c>
      <c r="F4730">
        <v>0.77640540554924597</v>
      </c>
      <c r="G4730">
        <v>0.58471372468572302</v>
      </c>
      <c r="H4730">
        <v>0.51731308526087905</v>
      </c>
      <c r="I4730">
        <v>0.56632652778742898</v>
      </c>
      <c r="J4730">
        <v>0.66028051188590198</v>
      </c>
      <c r="K4730">
        <v>0.68982376269955403</v>
      </c>
      <c r="L4730">
        <v>800.60519977737897</v>
      </c>
      <c r="M4730">
        <v>16.260033603345999</v>
      </c>
      <c r="O4730">
        <v>48.510944947279697</v>
      </c>
      <c r="P4730">
        <v>-3.3544068205827497E-2</v>
      </c>
      <c r="Q4730">
        <v>0.59972176248044595</v>
      </c>
      <c r="R4730">
        <v>0.79433418285329804</v>
      </c>
      <c r="S4730" t="s">
        <v>11536</v>
      </c>
      <c r="T4730" t="s">
        <v>13610</v>
      </c>
      <c r="U4730" t="s">
        <v>13610</v>
      </c>
      <c r="V4730" t="s">
        <v>13610</v>
      </c>
      <c r="W4730" t="s">
        <v>18279</v>
      </c>
      <c r="X4730">
        <v>6</v>
      </c>
      <c r="Y4730" t="s">
        <v>24855</v>
      </c>
      <c r="Z4730" t="s">
        <v>31585</v>
      </c>
      <c r="AA4730">
        <v>0.73138770835856448</v>
      </c>
      <c r="AB4730" t="str">
        <f>HYPERLINK("Melting_Curves/meltCurve_Q8TDR0_2_TRAF3IP1.pdf", "Melting_Curves/meltCurve_Q8TDR0_2_TRAF3IP1.pdf")</f>
        <v>Melting_Curves/meltCurve_Q8TDR0_2_TRAF3IP1.pdf</v>
      </c>
    </row>
    <row r="4731" spans="1:28" x14ac:dyDescent="0.25">
      <c r="A4731" t="s">
        <v>4735</v>
      </c>
      <c r="B4731">
        <v>0.995954080203443</v>
      </c>
      <c r="C4731">
        <v>0.91709529327580896</v>
      </c>
      <c r="D4731">
        <v>0.65067362630814995</v>
      </c>
      <c r="E4731">
        <v>0.35940567136194401</v>
      </c>
      <c r="F4731">
        <v>0.24755478418327501</v>
      </c>
      <c r="G4731">
        <v>0.145857648766405</v>
      </c>
      <c r="H4731">
        <v>0.101398543848694</v>
      </c>
      <c r="I4731">
        <v>0.108761904951254</v>
      </c>
      <c r="J4731">
        <v>0.124088069070969</v>
      </c>
      <c r="K4731">
        <v>0.112395845528482</v>
      </c>
      <c r="L4731">
        <v>878.00125807357199</v>
      </c>
      <c r="M4731">
        <v>18.510833835008501</v>
      </c>
      <c r="N4731">
        <v>48.071287627276398</v>
      </c>
      <c r="O4731">
        <v>46.8885709386632</v>
      </c>
      <c r="P4731">
        <v>-8.7927818344620101E-2</v>
      </c>
      <c r="Q4731">
        <v>0.109142500330823</v>
      </c>
      <c r="R4731">
        <v>0.99678507854746301</v>
      </c>
      <c r="S4731" t="s">
        <v>11537</v>
      </c>
      <c r="T4731" t="s">
        <v>13610</v>
      </c>
      <c r="U4731" t="s">
        <v>13610</v>
      </c>
      <c r="V4731" t="s">
        <v>13610</v>
      </c>
      <c r="W4731" t="s">
        <v>18280</v>
      </c>
      <c r="X4731">
        <v>8</v>
      </c>
      <c r="Y4731" t="s">
        <v>24856</v>
      </c>
      <c r="Z4731" t="s">
        <v>31586</v>
      </c>
      <c r="AA4731">
        <v>0.34501402648537111</v>
      </c>
      <c r="AB4731" t="str">
        <f>HYPERLINK("Melting_Curves/meltCurve_Q8TDX7_NEK7.pdf", "Melting_Curves/meltCurve_Q8TDX7_NEK7.pdf")</f>
        <v>Melting_Curves/meltCurve_Q8TDX7_NEK7.pdf</v>
      </c>
    </row>
    <row r="4732" spans="1:28" x14ac:dyDescent="0.25">
      <c r="A4732" t="s">
        <v>4736</v>
      </c>
      <c r="B4732">
        <v>0.995954080203443</v>
      </c>
      <c r="C4732">
        <v>0.99114958313451795</v>
      </c>
      <c r="D4732">
        <v>0.90910957958479599</v>
      </c>
      <c r="E4732">
        <v>0.71958828377746198</v>
      </c>
      <c r="F4732">
        <v>0.43535660504200802</v>
      </c>
      <c r="G4732">
        <v>0.29046429674979701</v>
      </c>
      <c r="H4732">
        <v>0.175397734665101</v>
      </c>
      <c r="I4732">
        <v>0.166918920142685</v>
      </c>
      <c r="J4732">
        <v>0.170179325689681</v>
      </c>
      <c r="K4732">
        <v>0.174014356125926</v>
      </c>
      <c r="L4732">
        <v>1031.11991068109</v>
      </c>
      <c r="M4732">
        <v>20.043076144359301</v>
      </c>
      <c r="N4732">
        <v>52.450740133552998</v>
      </c>
      <c r="O4732">
        <v>50.941289322698502</v>
      </c>
      <c r="P4732">
        <v>-8.2675322623634001E-2</v>
      </c>
      <c r="Q4732">
        <v>0.159519884215677</v>
      </c>
      <c r="R4732">
        <v>0.99770081405759503</v>
      </c>
      <c r="S4732" t="s">
        <v>11538</v>
      </c>
      <c r="T4732" t="s">
        <v>13610</v>
      </c>
      <c r="U4732" t="s">
        <v>13610</v>
      </c>
      <c r="V4732" t="s">
        <v>13610</v>
      </c>
      <c r="W4732" t="s">
        <v>18281</v>
      </c>
      <c r="X4732">
        <v>36</v>
      </c>
      <c r="Y4732" t="s">
        <v>24857</v>
      </c>
      <c r="Z4732" t="s">
        <v>31587</v>
      </c>
      <c r="AA4732">
        <v>0.49177601596348619</v>
      </c>
      <c r="AB4732" t="str">
        <f>HYPERLINK("Melting_Curves/meltCurve_Q8TDY2_2_RB1CC1.pdf", "Melting_Curves/meltCurve_Q8TDY2_2_RB1CC1.pdf")</f>
        <v>Melting_Curves/meltCurve_Q8TDY2_2_RB1CC1.pdf</v>
      </c>
    </row>
    <row r="4733" spans="1:28" x14ac:dyDescent="0.25">
      <c r="A4733" t="s">
        <v>4737</v>
      </c>
      <c r="B4733">
        <v>0.995954080203443</v>
      </c>
      <c r="C4733">
        <v>0.96738148838510996</v>
      </c>
      <c r="D4733">
        <v>0.82409208064898198</v>
      </c>
      <c r="E4733">
        <v>0.61948251821841605</v>
      </c>
      <c r="F4733">
        <v>0.25750858721543002</v>
      </c>
      <c r="G4733">
        <v>0.16061115820210001</v>
      </c>
      <c r="H4733">
        <v>0.13423469466276</v>
      </c>
      <c r="I4733">
        <v>0.13372535711096201</v>
      </c>
      <c r="J4733">
        <v>0.14114677587431501</v>
      </c>
      <c r="K4733">
        <v>0.14675182533828901</v>
      </c>
      <c r="L4733">
        <v>1099.6159871013799</v>
      </c>
      <c r="M4733">
        <v>22.044523093539102</v>
      </c>
      <c r="N4733">
        <v>50.537717746106097</v>
      </c>
      <c r="O4733">
        <v>49.476559765983701</v>
      </c>
      <c r="P4733">
        <v>-9.7529500127191499E-2</v>
      </c>
      <c r="Q4733">
        <v>0.124441523015748</v>
      </c>
      <c r="R4733">
        <v>0.99025395658828197</v>
      </c>
      <c r="S4733" t="s">
        <v>11539</v>
      </c>
      <c r="T4733" t="s">
        <v>13610</v>
      </c>
      <c r="U4733" t="s">
        <v>13610</v>
      </c>
      <c r="V4733" t="s">
        <v>13610</v>
      </c>
      <c r="W4733" t="s">
        <v>18282</v>
      </c>
      <c r="X4733">
        <v>11</v>
      </c>
      <c r="Y4733" t="s">
        <v>24858</v>
      </c>
      <c r="Z4733" t="s">
        <v>31588</v>
      </c>
      <c r="AA4733">
        <v>0.42289851636794462</v>
      </c>
      <c r="AB4733" t="str">
        <f>HYPERLINK("Melting_Curves/meltCurve_Q8TDZ2_MICAL1.pdf", "Melting_Curves/meltCurve_Q8TDZ2_MICAL1.pdf")</f>
        <v>Melting_Curves/meltCurve_Q8TDZ2_MICAL1.pdf</v>
      </c>
    </row>
    <row r="4734" spans="1:28" x14ac:dyDescent="0.25">
      <c r="A4734" t="s">
        <v>4738</v>
      </c>
      <c r="B4734">
        <v>0.995954080203443</v>
      </c>
      <c r="C4734">
        <v>0.69512194538465299</v>
      </c>
      <c r="D4734">
        <v>0.47462662028603297</v>
      </c>
      <c r="E4734">
        <v>0.321878487662283</v>
      </c>
      <c r="F4734">
        <v>0.22030400890884999</v>
      </c>
      <c r="G4734">
        <v>0.10513145862305701</v>
      </c>
      <c r="H4734">
        <v>7.4911179412027101E-2</v>
      </c>
      <c r="I4734">
        <v>6.2746997280133707E-2</v>
      </c>
      <c r="J4734">
        <v>6.5063213725120694E-2</v>
      </c>
      <c r="K4734">
        <v>6.1066464160916899E-2</v>
      </c>
      <c r="L4734">
        <v>642.81002252680901</v>
      </c>
      <c r="M4734">
        <v>14.010655576564799</v>
      </c>
      <c r="N4734">
        <v>46.282104165511797</v>
      </c>
      <c r="O4734">
        <v>44.975754682970297</v>
      </c>
      <c r="P4734">
        <v>-7.3426683221625197E-2</v>
      </c>
      <c r="Q4734">
        <v>5.7293662528654803E-2</v>
      </c>
      <c r="R4734">
        <v>0.98064856768557196</v>
      </c>
      <c r="S4734" t="s">
        <v>11540</v>
      </c>
      <c r="T4734" t="s">
        <v>13610</v>
      </c>
      <c r="U4734" t="s">
        <v>13610</v>
      </c>
      <c r="V4734" t="s">
        <v>13610</v>
      </c>
      <c r="W4734" t="s">
        <v>18283</v>
      </c>
      <c r="X4734">
        <v>9</v>
      </c>
      <c r="Y4734" t="s">
        <v>24859</v>
      </c>
      <c r="Z4734" t="s">
        <v>31589</v>
      </c>
      <c r="AA4734">
        <v>0.27410321013883882</v>
      </c>
      <c r="AB4734" t="str">
        <f>HYPERLINK("Melting_Curves/meltCurve_Q8TE04_PANK1.pdf", "Melting_Curves/meltCurve_Q8TE04_PANK1.pdf")</f>
        <v>Melting_Curves/meltCurve_Q8TE04_PANK1.pdf</v>
      </c>
    </row>
    <row r="4735" spans="1:28" x14ac:dyDescent="0.25">
      <c r="A4735" t="s">
        <v>4739</v>
      </c>
      <c r="B4735">
        <v>0.995954080203443</v>
      </c>
      <c r="C4735">
        <v>0.99916372402059805</v>
      </c>
      <c r="D4735">
        <v>0.96194294512715395</v>
      </c>
      <c r="E4735">
        <v>0.36132746477451799</v>
      </c>
      <c r="F4735">
        <v>0.213086597678388</v>
      </c>
      <c r="G4735">
        <v>0.16094540583654299</v>
      </c>
      <c r="H4735">
        <v>0.136304088441908</v>
      </c>
      <c r="I4735">
        <v>0.14543478077917299</v>
      </c>
      <c r="J4735">
        <v>0.11095484424235701</v>
      </c>
      <c r="K4735">
        <v>8.8813263252788904E-2</v>
      </c>
      <c r="L4735">
        <v>2082.38545556401</v>
      </c>
      <c r="M4735">
        <v>42.605616162067598</v>
      </c>
      <c r="N4735">
        <v>49.240873777515098</v>
      </c>
      <c r="O4735">
        <v>48.768536885307697</v>
      </c>
      <c r="P4735">
        <v>-0.188831649896082</v>
      </c>
      <c r="Q4735">
        <v>0.13541647561843501</v>
      </c>
      <c r="R4735">
        <v>0.99567168737761202</v>
      </c>
      <c r="S4735" t="s">
        <v>11541</v>
      </c>
      <c r="T4735" t="s">
        <v>13610</v>
      </c>
      <c r="U4735" t="s">
        <v>13610</v>
      </c>
      <c r="V4735" t="s">
        <v>13610</v>
      </c>
      <c r="W4735" t="s">
        <v>18284</v>
      </c>
      <c r="X4735">
        <v>2</v>
      </c>
      <c r="Y4735" t="s">
        <v>24860</v>
      </c>
      <c r="Z4735" t="s">
        <v>31590</v>
      </c>
      <c r="AA4735">
        <v>0.39378753591663551</v>
      </c>
      <c r="AB4735" t="str">
        <f>HYPERLINK("Melting_Curves/meltCurve_Q8TE76_3_MORC4.pdf", "Melting_Curves/meltCurve_Q8TE76_3_MORC4.pdf")</f>
        <v>Melting_Curves/meltCurve_Q8TE76_3_MORC4.pdf</v>
      </c>
    </row>
    <row r="4736" spans="1:28" x14ac:dyDescent="0.25">
      <c r="A4736" t="s">
        <v>4740</v>
      </c>
      <c r="B4736">
        <v>0.995954080203443</v>
      </c>
      <c r="C4736">
        <v>1.00249920305527</v>
      </c>
      <c r="D4736">
        <v>0.87159409705525703</v>
      </c>
      <c r="E4736">
        <v>0.636608070220675</v>
      </c>
      <c r="F4736">
        <v>0.291057667534456</v>
      </c>
      <c r="G4736">
        <v>0.15897754436247999</v>
      </c>
      <c r="H4736">
        <v>0.112527312150786</v>
      </c>
      <c r="I4736">
        <v>0.110058890986902</v>
      </c>
      <c r="J4736">
        <v>0.124337844343288</v>
      </c>
      <c r="K4736">
        <v>0.100636972235027</v>
      </c>
      <c r="L4736">
        <v>1201.6739907722999</v>
      </c>
      <c r="M4736">
        <v>23.816879207716202</v>
      </c>
      <c r="N4736">
        <v>50.951669078802098</v>
      </c>
      <c r="O4736">
        <v>50.1030594475233</v>
      </c>
      <c r="P4736">
        <v>-0.106524395192808</v>
      </c>
      <c r="Q4736">
        <v>0.103642270441793</v>
      </c>
      <c r="R4736">
        <v>0.99635302355103095</v>
      </c>
      <c r="S4736" t="s">
        <v>11542</v>
      </c>
      <c r="T4736" t="s">
        <v>13610</v>
      </c>
      <c r="U4736" t="s">
        <v>13610</v>
      </c>
      <c r="V4736" t="s">
        <v>13610</v>
      </c>
      <c r="W4736" t="s">
        <v>18285</v>
      </c>
      <c r="X4736">
        <v>17</v>
      </c>
      <c r="Y4736" t="s">
        <v>24861</v>
      </c>
      <c r="Z4736" t="s">
        <v>31591</v>
      </c>
      <c r="AA4736">
        <v>0.42487760198033109</v>
      </c>
      <c r="AB4736" t="str">
        <f>HYPERLINK("Melting_Curves/meltCurve_Q8TEA1_NSUN6.pdf", "Melting_Curves/meltCurve_Q8TEA1_NSUN6.pdf")</f>
        <v>Melting_Curves/meltCurve_Q8TEA1_NSUN6.pdf</v>
      </c>
    </row>
    <row r="4737" spans="1:28" x14ac:dyDescent="0.25">
      <c r="A4737" t="s">
        <v>4741</v>
      </c>
      <c r="B4737">
        <v>0.995954080203443</v>
      </c>
      <c r="C4737">
        <v>0.85731028212195104</v>
      </c>
      <c r="D4737">
        <v>0.78586369741685802</v>
      </c>
      <c r="E4737">
        <v>0.47592036295240803</v>
      </c>
      <c r="F4737">
        <v>0.206254661358763</v>
      </c>
      <c r="G4737">
        <v>0.146349122289959</v>
      </c>
      <c r="H4737">
        <v>0.11281525264672899</v>
      </c>
      <c r="I4737">
        <v>0.103138285451391</v>
      </c>
      <c r="J4737">
        <v>0.12604940467758199</v>
      </c>
      <c r="K4737">
        <v>0.109541039343484</v>
      </c>
      <c r="L4737">
        <v>894.72302266020904</v>
      </c>
      <c r="M4737">
        <v>18.399311518028899</v>
      </c>
      <c r="N4737">
        <v>49.200532382685999</v>
      </c>
      <c r="O4737">
        <v>48.064562778315803</v>
      </c>
      <c r="P4737">
        <v>-8.6483330334907293E-2</v>
      </c>
      <c r="Q4737">
        <v>9.6358480079903899E-2</v>
      </c>
      <c r="R4737">
        <v>0.99067935707037802</v>
      </c>
      <c r="S4737" t="s">
        <v>11543</v>
      </c>
      <c r="T4737" t="s">
        <v>13610</v>
      </c>
      <c r="U4737" t="s">
        <v>13610</v>
      </c>
      <c r="V4737" t="s">
        <v>13610</v>
      </c>
      <c r="W4737" t="s">
        <v>18286</v>
      </c>
      <c r="X4737">
        <v>13</v>
      </c>
      <c r="Y4737" t="s">
        <v>24862</v>
      </c>
      <c r="Z4737" t="s">
        <v>31592</v>
      </c>
      <c r="AA4737">
        <v>0.37133139433352641</v>
      </c>
      <c r="AB4737" t="str">
        <f>HYPERLINK("Melting_Curves/meltCurve_Q8TEA7_3_TBCK.pdf", "Melting_Curves/meltCurve_Q8TEA7_3_TBCK.pdf")</f>
        <v>Melting_Curves/meltCurve_Q8TEA7_3_TBCK.pdf</v>
      </c>
    </row>
    <row r="4738" spans="1:28" x14ac:dyDescent="0.25">
      <c r="A4738" t="s">
        <v>4742</v>
      </c>
      <c r="B4738">
        <v>0.995954080203443</v>
      </c>
      <c r="C4738">
        <v>0.992869113706771</v>
      </c>
      <c r="D4738">
        <v>1.0303827104171199</v>
      </c>
      <c r="E4738">
        <v>0.948501770862058</v>
      </c>
      <c r="F4738">
        <v>0.93758462196746895</v>
      </c>
      <c r="G4738">
        <v>0.769516061966939</v>
      </c>
      <c r="H4738">
        <v>0.68492215856768801</v>
      </c>
      <c r="I4738">
        <v>0.77664753488878302</v>
      </c>
      <c r="J4738">
        <v>0.81443256423959698</v>
      </c>
      <c r="K4738">
        <v>0.57583835198282396</v>
      </c>
      <c r="L4738">
        <v>1642.9739055646201</v>
      </c>
      <c r="M4738">
        <v>30.0141235906564</v>
      </c>
      <c r="O4738">
        <v>54.498749664191998</v>
      </c>
      <c r="P4738">
        <v>-4.0207902465380897E-2</v>
      </c>
      <c r="Q4738">
        <v>0.70796866387947699</v>
      </c>
      <c r="R4738">
        <v>0.82234484733679702</v>
      </c>
      <c r="S4738" t="s">
        <v>11544</v>
      </c>
      <c r="T4738" t="s">
        <v>13610</v>
      </c>
      <c r="U4738" t="s">
        <v>13610</v>
      </c>
      <c r="V4738" t="s">
        <v>13610</v>
      </c>
      <c r="W4738" t="s">
        <v>18287</v>
      </c>
      <c r="X4738">
        <v>11</v>
      </c>
      <c r="Y4738" t="s">
        <v>24863</v>
      </c>
      <c r="Z4738" t="s">
        <v>31593</v>
      </c>
      <c r="AA4738">
        <v>0.85338483885768823</v>
      </c>
      <c r="AB4738" t="str">
        <f>HYPERLINK("Melting_Curves/meltCurve_Q8TEA8_DTD1.pdf", "Melting_Curves/meltCurve_Q8TEA8_DTD1.pdf")</f>
        <v>Melting_Curves/meltCurve_Q8TEA8_DTD1.pdf</v>
      </c>
    </row>
    <row r="4739" spans="1:28" x14ac:dyDescent="0.25">
      <c r="A4739" t="s">
        <v>4743</v>
      </c>
      <c r="B4739">
        <v>0.995954080203443</v>
      </c>
      <c r="C4739">
        <v>0.87543938816646805</v>
      </c>
      <c r="D4739">
        <v>0.71711167609043502</v>
      </c>
      <c r="E4739">
        <v>0.75290877978836601</v>
      </c>
      <c r="F4739">
        <v>0.44831866525064501</v>
      </c>
      <c r="G4739">
        <v>0.182275388041164</v>
      </c>
      <c r="H4739">
        <v>7.1381062964448003E-2</v>
      </c>
      <c r="I4739">
        <v>8.2848888389006198E-2</v>
      </c>
      <c r="J4739">
        <v>8.9817130508292403E-2</v>
      </c>
      <c r="K4739">
        <v>9.1140510512065204E-2</v>
      </c>
      <c r="L4739">
        <v>648.67825371238803</v>
      </c>
      <c r="M4739">
        <v>12.513752826766099</v>
      </c>
      <c r="N4739">
        <v>51.881515931040497</v>
      </c>
      <c r="O4739">
        <v>50.566854208463504</v>
      </c>
      <c r="P4739">
        <v>-6.1551293659617701E-2</v>
      </c>
      <c r="Q4739">
        <v>5.3127121535374196E-3</v>
      </c>
      <c r="R4739">
        <v>0.96181848812531001</v>
      </c>
      <c r="S4739" t="s">
        <v>11545</v>
      </c>
      <c r="T4739" t="s">
        <v>13610</v>
      </c>
      <c r="U4739" t="s">
        <v>13610</v>
      </c>
      <c r="V4739" t="s">
        <v>13610</v>
      </c>
      <c r="W4739" t="s">
        <v>18288</v>
      </c>
      <c r="X4739">
        <v>7</v>
      </c>
      <c r="Y4739" t="s">
        <v>24864</v>
      </c>
      <c r="Z4739" t="s">
        <v>31594</v>
      </c>
      <c r="AA4739">
        <v>0.42689149350978278</v>
      </c>
      <c r="AB4739" t="str">
        <f>HYPERLINK("Melting_Curves/meltCurve_Q8TEB1_2_DCAF11.pdf", "Melting_Curves/meltCurve_Q8TEB1_2_DCAF11.pdf")</f>
        <v>Melting_Curves/meltCurve_Q8TEB1_2_DCAF11.pdf</v>
      </c>
    </row>
    <row r="4740" spans="1:28" x14ac:dyDescent="0.25">
      <c r="A4740" t="s">
        <v>4744</v>
      </c>
      <c r="B4740">
        <v>0.995954080203443</v>
      </c>
      <c r="C4740">
        <v>0.895095223108891</v>
      </c>
      <c r="D4740">
        <v>0.78282989597219599</v>
      </c>
      <c r="E4740">
        <v>0.69896646984547195</v>
      </c>
      <c r="F4740">
        <v>0.51970921994643404</v>
      </c>
      <c r="G4740">
        <v>0.30628648365174799</v>
      </c>
      <c r="H4740">
        <v>0.18019066338825099</v>
      </c>
      <c r="I4740">
        <v>0.12078117574236499</v>
      </c>
      <c r="J4740">
        <v>0.105160537901007</v>
      </c>
      <c r="K4740">
        <v>8.6604034778451994E-2</v>
      </c>
      <c r="L4740">
        <v>561.04378881420303</v>
      </c>
      <c r="M4740">
        <v>10.587077122793501</v>
      </c>
      <c r="N4740">
        <v>52.993263524720803</v>
      </c>
      <c r="O4740">
        <v>51.207402932360097</v>
      </c>
      <c r="P4740">
        <v>-5.1707440731322503E-2</v>
      </c>
      <c r="Q4740">
        <v>0</v>
      </c>
      <c r="R4740">
        <v>0.99302962071827205</v>
      </c>
      <c r="S4740" t="s">
        <v>11546</v>
      </c>
      <c r="T4740" t="s">
        <v>13610</v>
      </c>
      <c r="U4740" t="s">
        <v>13610</v>
      </c>
      <c r="V4740" t="s">
        <v>13610</v>
      </c>
      <c r="W4740" t="s">
        <v>18289</v>
      </c>
      <c r="X4740">
        <v>11</v>
      </c>
      <c r="Y4740" t="s">
        <v>24865</v>
      </c>
      <c r="Z4740" t="s">
        <v>31595</v>
      </c>
      <c r="AA4740">
        <v>0.46556714761381701</v>
      </c>
      <c r="AB4740" t="str">
        <f>HYPERLINK("Melting_Curves/meltCurve_Q8TED0_UTP15.pdf", "Melting_Curves/meltCurve_Q8TED0_UTP15.pdf")</f>
        <v>Melting_Curves/meltCurve_Q8TED0_UTP15.pdf</v>
      </c>
    </row>
    <row r="4741" spans="1:28" x14ac:dyDescent="0.25">
      <c r="A4741" t="s">
        <v>4745</v>
      </c>
      <c r="B4741">
        <v>0.995954080203443</v>
      </c>
      <c r="C4741">
        <v>0.87811230139066399</v>
      </c>
      <c r="D4741">
        <v>0.89243777639469302</v>
      </c>
      <c r="E4741">
        <v>0.68512030086658005</v>
      </c>
      <c r="F4741">
        <v>0.61674299852887304</v>
      </c>
      <c r="G4741">
        <v>0.40291014682514897</v>
      </c>
      <c r="H4741">
        <v>0.39533824984071098</v>
      </c>
      <c r="I4741">
        <v>0.43541127270429703</v>
      </c>
      <c r="J4741">
        <v>0.81680271770575397</v>
      </c>
      <c r="K4741">
        <v>0.52362804496145099</v>
      </c>
      <c r="L4741">
        <v>1005.03913184641</v>
      </c>
      <c r="M4741">
        <v>20.869878852170199</v>
      </c>
      <c r="O4741">
        <v>47.721787752933103</v>
      </c>
      <c r="P4741">
        <v>-5.2639362326996002E-2</v>
      </c>
      <c r="Q4741">
        <v>0.51854528513613096</v>
      </c>
      <c r="R4741">
        <v>0.68693980469871496</v>
      </c>
      <c r="S4741" t="s">
        <v>11547</v>
      </c>
      <c r="T4741" t="s">
        <v>13610</v>
      </c>
      <c r="U4741" t="s">
        <v>13610</v>
      </c>
      <c r="V4741" t="s">
        <v>13610</v>
      </c>
      <c r="W4741" t="s">
        <v>18290</v>
      </c>
      <c r="X4741">
        <v>14</v>
      </c>
      <c r="Y4741" t="s">
        <v>24866</v>
      </c>
      <c r="Z4741" t="s">
        <v>31596</v>
      </c>
      <c r="AA4741">
        <v>0.65569428794610596</v>
      </c>
      <c r="AB4741" t="str">
        <f>HYPERLINK("Melting_Curves/meltCurve_Q8TEH3_DENND1A.pdf", "Melting_Curves/meltCurve_Q8TEH3_DENND1A.pdf")</f>
        <v>Melting_Curves/meltCurve_Q8TEH3_DENND1A.pdf</v>
      </c>
    </row>
    <row r="4742" spans="1:28" x14ac:dyDescent="0.25">
      <c r="A4742" t="s">
        <v>4746</v>
      </c>
      <c r="B4742">
        <v>0.995954080203443</v>
      </c>
      <c r="C4742">
        <v>0.97806534641365095</v>
      </c>
      <c r="D4742">
        <v>1.0661775543785199</v>
      </c>
      <c r="E4742">
        <v>0.68582082896351204</v>
      </c>
      <c r="F4742">
        <v>0.52918886664912501</v>
      </c>
      <c r="G4742">
        <v>0.28701553128519902</v>
      </c>
      <c r="H4742">
        <v>0.156440573284227</v>
      </c>
      <c r="I4742">
        <v>0.117731448067595</v>
      </c>
      <c r="J4742">
        <v>0.13399335347937599</v>
      </c>
      <c r="K4742">
        <v>0.110822294341883</v>
      </c>
      <c r="L4742">
        <v>1037.19030406201</v>
      </c>
      <c r="M4742">
        <v>19.7747897101295</v>
      </c>
      <c r="N4742">
        <v>53.123056698556297</v>
      </c>
      <c r="O4742">
        <v>51.922586874796202</v>
      </c>
      <c r="P4742">
        <v>-8.4667043992954896E-2</v>
      </c>
      <c r="Q4742">
        <v>0.110790610690143</v>
      </c>
      <c r="R4742">
        <v>0.98563277065760602</v>
      </c>
      <c r="S4742" t="s">
        <v>11548</v>
      </c>
      <c r="T4742" t="s">
        <v>13610</v>
      </c>
      <c r="U4742" t="s">
        <v>13610</v>
      </c>
      <c r="V4742" t="s">
        <v>13610</v>
      </c>
      <c r="W4742" t="s">
        <v>18291</v>
      </c>
      <c r="X4742">
        <v>10</v>
      </c>
      <c r="Y4742" t="s">
        <v>24867</v>
      </c>
      <c r="Z4742" t="s">
        <v>31597</v>
      </c>
      <c r="AA4742">
        <v>0.49234021050194549</v>
      </c>
      <c r="AB4742" t="str">
        <f>HYPERLINK("Melting_Curves/meltCurve_Q8TEK3_2_DOT1L.pdf", "Melting_Curves/meltCurve_Q8TEK3_2_DOT1L.pdf")</f>
        <v>Melting_Curves/meltCurve_Q8TEK3_2_DOT1L.pdf</v>
      </c>
    </row>
    <row r="4743" spans="1:28" x14ac:dyDescent="0.25">
      <c r="A4743" t="s">
        <v>4747</v>
      </c>
      <c r="B4743">
        <v>0.995954080203443</v>
      </c>
      <c r="C4743">
        <v>0.94928316996183204</v>
      </c>
      <c r="D4743">
        <v>0.75523345239332595</v>
      </c>
      <c r="E4743">
        <v>0.77021510075622801</v>
      </c>
      <c r="F4743">
        <v>0.35944579368816298</v>
      </c>
      <c r="G4743">
        <v>0.16113667241653201</v>
      </c>
      <c r="H4743">
        <v>0.110959695459853</v>
      </c>
      <c r="I4743">
        <v>0.10819797258487</v>
      </c>
      <c r="J4743">
        <v>0.159054551780586</v>
      </c>
      <c r="K4743">
        <v>0.127542249343988</v>
      </c>
      <c r="L4743">
        <v>942.54439956476995</v>
      </c>
      <c r="M4743">
        <v>18.445243697785799</v>
      </c>
      <c r="N4743">
        <v>51.700209739098703</v>
      </c>
      <c r="O4743">
        <v>50.5103325055928</v>
      </c>
      <c r="P4743">
        <v>-8.24936096534475E-2</v>
      </c>
      <c r="Q4743">
        <v>9.6440682560313795E-2</v>
      </c>
      <c r="R4743">
        <v>0.96275433495681695</v>
      </c>
      <c r="S4743" t="s">
        <v>11549</v>
      </c>
      <c r="T4743" t="s">
        <v>13610</v>
      </c>
      <c r="U4743" t="s">
        <v>13610</v>
      </c>
      <c r="V4743" t="s">
        <v>13610</v>
      </c>
      <c r="W4743" t="s">
        <v>18292</v>
      </c>
      <c r="X4743">
        <v>6</v>
      </c>
      <c r="Y4743" t="s">
        <v>24868</v>
      </c>
      <c r="Z4743" t="s">
        <v>31598</v>
      </c>
      <c r="AA4743">
        <v>0.44529662604606007</v>
      </c>
      <c r="AB4743" t="str">
        <f>HYPERLINK("Melting_Curves/meltCurve_Q8TEM1_NUP210.pdf", "Melting_Curves/meltCurve_Q8TEM1_NUP210.pdf")</f>
        <v>Melting_Curves/meltCurve_Q8TEM1_NUP210.pdf</v>
      </c>
    </row>
    <row r="4744" spans="1:28" x14ac:dyDescent="0.25">
      <c r="A4744" t="s">
        <v>4748</v>
      </c>
      <c r="B4744">
        <v>0.995954080203443</v>
      </c>
      <c r="C4744">
        <v>0.836323921362084</v>
      </c>
      <c r="D4744">
        <v>0.70310944212842597</v>
      </c>
      <c r="E4744">
        <v>0.50761688969371799</v>
      </c>
      <c r="F4744">
        <v>0.20258940953399299</v>
      </c>
      <c r="G4744">
        <v>0.112116195381861</v>
      </c>
      <c r="H4744">
        <v>8.31920002001897E-2</v>
      </c>
      <c r="I4744">
        <v>8.0518285343521206E-2</v>
      </c>
      <c r="J4744">
        <v>8.9063425317988498E-2</v>
      </c>
      <c r="K4744">
        <v>8.4786442308792703E-2</v>
      </c>
      <c r="L4744">
        <v>737.68898780753295</v>
      </c>
      <c r="M4744">
        <v>15.190900000903801</v>
      </c>
      <c r="N4744">
        <v>48.929743872891798</v>
      </c>
      <c r="O4744">
        <v>47.743030047087899</v>
      </c>
      <c r="P4744">
        <v>-7.5252770195767996E-2</v>
      </c>
      <c r="Q4744">
        <v>5.4052129796319098E-2</v>
      </c>
      <c r="R4744">
        <v>0.986144891428957</v>
      </c>
      <c r="S4744" t="s">
        <v>11550</v>
      </c>
      <c r="T4744" t="s">
        <v>13610</v>
      </c>
      <c r="U4744" t="s">
        <v>13610</v>
      </c>
      <c r="V4744" t="s">
        <v>13610</v>
      </c>
      <c r="W4744" t="s">
        <v>18293</v>
      </c>
      <c r="X4744">
        <v>40</v>
      </c>
      <c r="Y4744" t="s">
        <v>24869</v>
      </c>
      <c r="Z4744" t="s">
        <v>31599</v>
      </c>
      <c r="AA4744">
        <v>0.34717873104716479</v>
      </c>
      <c r="AB4744" t="str">
        <f>HYPERLINK("Melting_Curves/meltCurve_Q8TEQ6_GEMIN5.pdf", "Melting_Curves/meltCurve_Q8TEQ6_GEMIN5.pdf")</f>
        <v>Melting_Curves/meltCurve_Q8TEQ6_GEMIN5.pdf</v>
      </c>
    </row>
    <row r="4745" spans="1:28" x14ac:dyDescent="0.25">
      <c r="A4745" t="s">
        <v>4749</v>
      </c>
      <c r="B4745">
        <v>0.995954080203443</v>
      </c>
      <c r="C4745">
        <v>0.88058260993744597</v>
      </c>
      <c r="D4745">
        <v>1.1848802096803399</v>
      </c>
      <c r="E4745">
        <v>0.889486223102114</v>
      </c>
      <c r="F4745">
        <v>1.0054679146104299</v>
      </c>
      <c r="G4745">
        <v>0.88394749985274901</v>
      </c>
      <c r="H4745">
        <v>0.89771564985532104</v>
      </c>
      <c r="I4745">
        <v>1.1799724111025101</v>
      </c>
      <c r="J4745">
        <v>1.32273890869956</v>
      </c>
      <c r="K4745">
        <v>1.3896990875905499</v>
      </c>
      <c r="L4745">
        <v>15000</v>
      </c>
      <c r="M4745">
        <v>234.395794255222</v>
      </c>
      <c r="O4745">
        <v>63.989687140654503</v>
      </c>
      <c r="P4745">
        <v>0.32621601307213699</v>
      </c>
      <c r="Q4745">
        <v>1.3562257258965</v>
      </c>
      <c r="R4745">
        <v>0.73935572537510097</v>
      </c>
      <c r="S4745" t="s">
        <v>11551</v>
      </c>
      <c r="T4745" t="s">
        <v>13610</v>
      </c>
      <c r="U4745" t="s">
        <v>13610</v>
      </c>
      <c r="V4745" t="s">
        <v>13610</v>
      </c>
      <c r="W4745" t="s">
        <v>18294</v>
      </c>
      <c r="X4745">
        <v>10</v>
      </c>
      <c r="Y4745" t="s">
        <v>24870</v>
      </c>
      <c r="Z4745" t="s">
        <v>31600</v>
      </c>
      <c r="AA4745">
        <v>1.071267050643947</v>
      </c>
      <c r="AB4745" t="str">
        <f>HYPERLINK("Melting_Curves/meltCurve_Q8TER5_ARHGEF40.pdf", "Melting_Curves/meltCurve_Q8TER5_ARHGEF40.pdf")</f>
        <v>Melting_Curves/meltCurve_Q8TER5_ARHGEF40.pdf</v>
      </c>
    </row>
    <row r="4746" spans="1:28" x14ac:dyDescent="0.25">
      <c r="A4746" t="s">
        <v>4750</v>
      </c>
      <c r="B4746">
        <v>0.995954080203443</v>
      </c>
      <c r="C4746">
        <v>0.84352360860332798</v>
      </c>
      <c r="D4746">
        <v>1.2431639376878001</v>
      </c>
      <c r="E4746">
        <v>0.85042695098991605</v>
      </c>
      <c r="F4746">
        <v>1.3271314424001801</v>
      </c>
      <c r="G4746">
        <v>1.13006343703784</v>
      </c>
      <c r="H4746">
        <v>0.98966748447175001</v>
      </c>
      <c r="I4746">
        <v>1.4916680906787501</v>
      </c>
      <c r="J4746">
        <v>1.3799683606095099</v>
      </c>
      <c r="K4746">
        <v>1.5668160467401999</v>
      </c>
      <c r="L4746">
        <v>14638.194731830799</v>
      </c>
      <c r="M4746">
        <v>234.39655882107999</v>
      </c>
      <c r="O4746">
        <v>62.446006090456201</v>
      </c>
      <c r="P4746">
        <v>0.45022305994613798</v>
      </c>
      <c r="Q4746">
        <v>1.47977892530532</v>
      </c>
      <c r="R4746">
        <v>0.59161351010166896</v>
      </c>
      <c r="S4746" t="s">
        <v>11552</v>
      </c>
      <c r="T4746" t="s">
        <v>13610</v>
      </c>
      <c r="U4746" t="s">
        <v>13610</v>
      </c>
      <c r="V4746" t="s">
        <v>13610</v>
      </c>
      <c r="W4746" t="s">
        <v>18295</v>
      </c>
      <c r="X4746">
        <v>3</v>
      </c>
      <c r="Y4746" t="s">
        <v>24871</v>
      </c>
      <c r="Z4746" t="s">
        <v>31601</v>
      </c>
      <c r="AA4746">
        <v>1.12067569879045</v>
      </c>
      <c r="AB4746" t="str">
        <f>HYPERLINK("Melting_Curves/meltCurve_Q8TES7_5_FBF1.pdf", "Melting_Curves/meltCurve_Q8TES7_5_FBF1.pdf")</f>
        <v>Melting_Curves/meltCurve_Q8TES7_5_FBF1.pdf</v>
      </c>
    </row>
    <row r="4747" spans="1:28" x14ac:dyDescent="0.25">
      <c r="A4747" t="s">
        <v>4751</v>
      </c>
      <c r="B4747">
        <v>0.995954080203443</v>
      </c>
      <c r="C4747">
        <v>1.3097310335682599</v>
      </c>
      <c r="D4747">
        <v>1.10311690327826</v>
      </c>
      <c r="E4747">
        <v>0.85055258404961898</v>
      </c>
      <c r="F4747">
        <v>0.65280343931927398</v>
      </c>
      <c r="G4747">
        <v>0.45068806604122302</v>
      </c>
      <c r="H4747">
        <v>0.15221390047507499</v>
      </c>
      <c r="I4747">
        <v>0.130553572136138</v>
      </c>
      <c r="J4747">
        <v>4.9000819862458099E-2</v>
      </c>
      <c r="K4747">
        <v>6.6897906257453996E-2</v>
      </c>
      <c r="L4747">
        <v>1027.45219353832</v>
      </c>
      <c r="M4747">
        <v>18.5676149731812</v>
      </c>
      <c r="N4747">
        <v>55.5700402176453</v>
      </c>
      <c r="O4747">
        <v>54.705829314272002</v>
      </c>
      <c r="P4747">
        <v>-8.1660492858849604E-2</v>
      </c>
      <c r="Q4747">
        <v>3.7655609804400601E-2</v>
      </c>
      <c r="R4747">
        <v>0.93826026504636295</v>
      </c>
      <c r="S4747" t="s">
        <v>11553</v>
      </c>
      <c r="T4747" t="s">
        <v>13610</v>
      </c>
      <c r="U4747" t="s">
        <v>13610</v>
      </c>
      <c r="V4747" t="s">
        <v>13610</v>
      </c>
      <c r="W4747" t="s">
        <v>18296</v>
      </c>
      <c r="X4747">
        <v>3</v>
      </c>
      <c r="Y4747" t="s">
        <v>24872</v>
      </c>
      <c r="Z4747" t="s">
        <v>31602</v>
      </c>
      <c r="AA4747">
        <v>0.54368098618683969</v>
      </c>
      <c r="AB4747" t="str">
        <f>HYPERLINK("Melting_Curves/meltCurve_Q8TET4_GANC.pdf", "Melting_Curves/meltCurve_Q8TET4_GANC.pdf")</f>
        <v>Melting_Curves/meltCurve_Q8TET4_GANC.pdf</v>
      </c>
    </row>
    <row r="4748" spans="1:28" x14ac:dyDescent="0.25">
      <c r="A4748" t="s">
        <v>4752</v>
      </c>
      <c r="B4748">
        <v>0.995954080203443</v>
      </c>
      <c r="C4748">
        <v>0.94244868126875003</v>
      </c>
      <c r="D4748">
        <v>0.89536919538318405</v>
      </c>
      <c r="E4748">
        <v>0.65078713199146399</v>
      </c>
      <c r="F4748">
        <v>0.47274444754345202</v>
      </c>
      <c r="G4748">
        <v>0.34655674878874199</v>
      </c>
      <c r="H4748">
        <v>0.32520428521188399</v>
      </c>
      <c r="I4748">
        <v>0.41900478143664399</v>
      </c>
      <c r="J4748">
        <v>0.46650833933939501</v>
      </c>
      <c r="K4748">
        <v>0.48129437386891499</v>
      </c>
      <c r="L4748">
        <v>1277.92970706458</v>
      </c>
      <c r="M4748">
        <v>26.077821964332301</v>
      </c>
      <c r="N4748">
        <v>52.346578062135698</v>
      </c>
      <c r="O4748">
        <v>48.719037411803498</v>
      </c>
      <c r="P4748">
        <v>-7.9568650564282806E-2</v>
      </c>
      <c r="Q4748">
        <v>0.40540086858376101</v>
      </c>
      <c r="R4748">
        <v>0.95784712601852995</v>
      </c>
      <c r="S4748" t="s">
        <v>11554</v>
      </c>
      <c r="T4748" t="s">
        <v>13610</v>
      </c>
      <c r="U4748" t="s">
        <v>13610</v>
      </c>
      <c r="V4748" t="s">
        <v>13610</v>
      </c>
      <c r="W4748" t="s">
        <v>18297</v>
      </c>
      <c r="X4748">
        <v>32</v>
      </c>
      <c r="Y4748" t="s">
        <v>24873</v>
      </c>
      <c r="Z4748" t="s">
        <v>31603</v>
      </c>
      <c r="AA4748">
        <v>0.58869942821870902</v>
      </c>
      <c r="AB4748" t="str">
        <f>HYPERLINK("Melting_Curves/meltCurve_Q8TEU7_RAPGEF6.pdf", "Melting_Curves/meltCurve_Q8TEU7_RAPGEF6.pdf")</f>
        <v>Melting_Curves/meltCurve_Q8TEU7_RAPGEF6.pdf</v>
      </c>
    </row>
    <row r="4749" spans="1:28" x14ac:dyDescent="0.25">
      <c r="A4749" t="s">
        <v>4753</v>
      </c>
      <c r="B4749">
        <v>0.995954080203443</v>
      </c>
      <c r="C4749">
        <v>0.88840542741582895</v>
      </c>
      <c r="D4749">
        <v>0.79113613284891304</v>
      </c>
      <c r="E4749">
        <v>0.74200170948026201</v>
      </c>
      <c r="F4749">
        <v>0.55866276442510099</v>
      </c>
      <c r="G4749">
        <v>0.27107899234991301</v>
      </c>
      <c r="H4749">
        <v>0.15062670447850601</v>
      </c>
      <c r="I4749">
        <v>0.139060528198059</v>
      </c>
      <c r="J4749">
        <v>0.153809690568842</v>
      </c>
      <c r="K4749">
        <v>0.141818470098175</v>
      </c>
      <c r="L4749">
        <v>655.21216720827999</v>
      </c>
      <c r="M4749">
        <v>12.4653545915046</v>
      </c>
      <c r="N4749">
        <v>53.1519360312654</v>
      </c>
      <c r="O4749">
        <v>51.264916268503498</v>
      </c>
      <c r="P4749">
        <v>-5.6877608598038899E-2</v>
      </c>
      <c r="Q4749">
        <v>6.4537458818176296E-2</v>
      </c>
      <c r="R4749">
        <v>0.97806397123097399</v>
      </c>
      <c r="S4749" t="s">
        <v>11555</v>
      </c>
      <c r="T4749" t="s">
        <v>13610</v>
      </c>
      <c r="U4749" t="s">
        <v>13610</v>
      </c>
      <c r="V4749" t="s">
        <v>13610</v>
      </c>
      <c r="W4749" t="s">
        <v>18298</v>
      </c>
      <c r="X4749">
        <v>8</v>
      </c>
      <c r="Y4749" t="s">
        <v>24874</v>
      </c>
      <c r="Z4749" t="s">
        <v>31604</v>
      </c>
      <c r="AA4749">
        <v>0.48255010461049341</v>
      </c>
      <c r="AB4749" t="str">
        <f>HYPERLINK("Melting_Curves/meltCurve_Q8TEV9_2_SMCR8.pdf", "Melting_Curves/meltCurve_Q8TEV9_2_SMCR8.pdf")</f>
        <v>Melting_Curves/meltCurve_Q8TEV9_2_SMCR8.pdf</v>
      </c>
    </row>
    <row r="4750" spans="1:28" x14ac:dyDescent="0.25">
      <c r="A4750" t="s">
        <v>4754</v>
      </c>
      <c r="B4750">
        <v>0.995954080203443</v>
      </c>
      <c r="C4750">
        <v>0.97369607570976002</v>
      </c>
      <c r="D4750">
        <v>0.88846355931094301</v>
      </c>
      <c r="E4750">
        <v>0.73077540166081001</v>
      </c>
      <c r="F4750">
        <v>0.47431205888649502</v>
      </c>
      <c r="G4750">
        <v>0.33169800927545201</v>
      </c>
      <c r="H4750">
        <v>0.29412719770349</v>
      </c>
      <c r="I4750">
        <v>0.34545645159914601</v>
      </c>
      <c r="J4750">
        <v>0.40896798963714798</v>
      </c>
      <c r="K4750">
        <v>0.40751801887434003</v>
      </c>
      <c r="L4750">
        <v>1310.9993366234301</v>
      </c>
      <c r="M4750">
        <v>26.094151594854999</v>
      </c>
      <c r="N4750">
        <v>52.687777638044601</v>
      </c>
      <c r="O4750">
        <v>49.9488332565547</v>
      </c>
      <c r="P4750">
        <v>-8.4742542782226996E-2</v>
      </c>
      <c r="Q4750">
        <v>0.35115836499013098</v>
      </c>
      <c r="R4750">
        <v>0.97515924993254699</v>
      </c>
      <c r="S4750" t="s">
        <v>11556</v>
      </c>
      <c r="T4750" t="s">
        <v>13610</v>
      </c>
      <c r="U4750" t="s">
        <v>13610</v>
      </c>
      <c r="V4750" t="s">
        <v>13610</v>
      </c>
      <c r="W4750" t="s">
        <v>18299</v>
      </c>
      <c r="X4750">
        <v>31</v>
      </c>
      <c r="Y4750" t="s">
        <v>24875</v>
      </c>
      <c r="Z4750" t="s">
        <v>31605</v>
      </c>
      <c r="AA4750">
        <v>0.57798934651080958</v>
      </c>
      <c r="AB4750" t="str">
        <f>HYPERLINK("Melting_Curves/meltCurve_Q8TEW0_2_PARD3.pdf", "Melting_Curves/meltCurve_Q8TEW0_2_PARD3.pdf")</f>
        <v>Melting_Curves/meltCurve_Q8TEW0_2_PARD3.pdf</v>
      </c>
    </row>
    <row r="4751" spans="1:28" x14ac:dyDescent="0.25">
      <c r="A4751" t="s">
        <v>4755</v>
      </c>
      <c r="B4751">
        <v>0.995954080203443</v>
      </c>
      <c r="C4751">
        <v>0.95876637645745</v>
      </c>
      <c r="D4751">
        <v>0.82875072696566998</v>
      </c>
      <c r="E4751">
        <v>0.73720663269765496</v>
      </c>
      <c r="F4751">
        <v>0.47543489392176802</v>
      </c>
      <c r="G4751">
        <v>0.25472819479915199</v>
      </c>
      <c r="H4751">
        <v>0.10293284094100601</v>
      </c>
      <c r="I4751">
        <v>7.2634558341118802E-2</v>
      </c>
      <c r="J4751">
        <v>7.1666864986119794E-2</v>
      </c>
      <c r="K4751">
        <v>6.5523250854465198E-2</v>
      </c>
      <c r="L4751">
        <v>772.608474646986</v>
      </c>
      <c r="M4751">
        <v>14.694725088598901</v>
      </c>
      <c r="N4751">
        <v>52.715797865197203</v>
      </c>
      <c r="O4751">
        <v>51.632358749256603</v>
      </c>
      <c r="P4751">
        <v>-6.9810636755589697E-2</v>
      </c>
      <c r="Q4751">
        <v>1.8942329536923899E-2</v>
      </c>
      <c r="R4751">
        <v>0.99382443270827603</v>
      </c>
      <c r="S4751" t="s">
        <v>11557</v>
      </c>
      <c r="T4751" t="s">
        <v>13610</v>
      </c>
      <c r="U4751" t="s">
        <v>13610</v>
      </c>
      <c r="V4751" t="s">
        <v>13610</v>
      </c>
      <c r="W4751" t="s">
        <v>18300</v>
      </c>
      <c r="X4751">
        <v>35</v>
      </c>
      <c r="Y4751" t="s">
        <v>24876</v>
      </c>
      <c r="Z4751" t="s">
        <v>31606</v>
      </c>
      <c r="AA4751">
        <v>0.45236220820934359</v>
      </c>
      <c r="AB4751" t="str">
        <f>HYPERLINK("Melting_Curves/meltCurve_Q8TEX9_IPO4.pdf", "Melting_Curves/meltCurve_Q8TEX9_IPO4.pdf")</f>
        <v>Melting_Curves/meltCurve_Q8TEX9_IPO4.pdf</v>
      </c>
    </row>
    <row r="4752" spans="1:28" x14ac:dyDescent="0.25">
      <c r="A4752" t="s">
        <v>4756</v>
      </c>
      <c r="B4752">
        <v>0.995954080203443</v>
      </c>
      <c r="C4752">
        <v>0.93045299475066001</v>
      </c>
      <c r="D4752">
        <v>0.94532270424771203</v>
      </c>
      <c r="E4752">
        <v>0.89300106805664103</v>
      </c>
      <c r="F4752">
        <v>0.81621881567681398</v>
      </c>
      <c r="G4752">
        <v>0.66367133516863297</v>
      </c>
      <c r="H4752">
        <v>0.64473801616221305</v>
      </c>
      <c r="I4752">
        <v>0.78523859279303398</v>
      </c>
      <c r="J4752">
        <v>0.92677269065923595</v>
      </c>
      <c r="K4752">
        <v>0.96059519346867095</v>
      </c>
      <c r="L4752">
        <v>1113.4991459783801</v>
      </c>
      <c r="M4752">
        <v>23.244681157185799</v>
      </c>
      <c r="O4752">
        <v>47.5530768229941</v>
      </c>
      <c r="P4752">
        <v>-2.4447981581753101E-2</v>
      </c>
      <c r="Q4752">
        <v>0.79994462145752199</v>
      </c>
      <c r="R4752">
        <v>0.34245677946693698</v>
      </c>
      <c r="S4752" t="s">
        <v>11558</v>
      </c>
      <c r="T4752" t="s">
        <v>13610</v>
      </c>
      <c r="U4752" t="s">
        <v>13610</v>
      </c>
      <c r="V4752" t="s">
        <v>13610</v>
      </c>
      <c r="W4752" t="s">
        <v>18301</v>
      </c>
      <c r="X4752">
        <v>16</v>
      </c>
      <c r="Y4752" t="s">
        <v>24877</v>
      </c>
      <c r="Z4752" t="s">
        <v>31607</v>
      </c>
      <c r="AA4752">
        <v>0.85471464358459315</v>
      </c>
      <c r="AB4752" t="str">
        <f>HYPERLINK("Melting_Curves/meltCurve_Q8TF01_PNISR.pdf", "Melting_Curves/meltCurve_Q8TF01_PNISR.pdf")</f>
        <v>Melting_Curves/meltCurve_Q8TF01_PNISR.pdf</v>
      </c>
    </row>
    <row r="4753" spans="1:28" x14ac:dyDescent="0.25">
      <c r="A4753" t="s">
        <v>4757</v>
      </c>
      <c r="B4753">
        <v>0.995954080203443</v>
      </c>
      <c r="C4753">
        <v>0.936008477823142</v>
      </c>
      <c r="D4753">
        <v>0.71827763781593901</v>
      </c>
      <c r="E4753">
        <v>0.488247003556736</v>
      </c>
      <c r="F4753">
        <v>0.23748906329155001</v>
      </c>
      <c r="G4753">
        <v>0.14058100689571901</v>
      </c>
      <c r="H4753">
        <v>9.9526350802109004E-2</v>
      </c>
      <c r="I4753">
        <v>9.4018603706771606E-2</v>
      </c>
      <c r="J4753">
        <v>0.11642351547314</v>
      </c>
      <c r="K4753">
        <v>0.106232242595443</v>
      </c>
      <c r="L4753">
        <v>851.06810725605396</v>
      </c>
      <c r="M4753">
        <v>17.4859334131223</v>
      </c>
      <c r="N4753">
        <v>49.2164625129695</v>
      </c>
      <c r="O4753">
        <v>48.048395556808302</v>
      </c>
      <c r="P4753">
        <v>-8.2979023155745305E-2</v>
      </c>
      <c r="Q4753">
        <v>8.8001004677173394E-2</v>
      </c>
      <c r="R4753">
        <v>0.99485589398668395</v>
      </c>
      <c r="S4753" t="s">
        <v>11559</v>
      </c>
      <c r="T4753" t="s">
        <v>13610</v>
      </c>
      <c r="U4753" t="s">
        <v>13610</v>
      </c>
      <c r="V4753" t="s">
        <v>13610</v>
      </c>
      <c r="W4753" t="s">
        <v>18302</v>
      </c>
      <c r="X4753">
        <v>27</v>
      </c>
      <c r="Y4753" t="s">
        <v>24878</v>
      </c>
      <c r="Z4753" t="s">
        <v>31608</v>
      </c>
      <c r="AA4753">
        <v>0.36847717411842679</v>
      </c>
      <c r="AB4753" t="str">
        <f>HYPERLINK("Melting_Curves/meltCurve_Q8TF05_2_PPP4R1.pdf", "Melting_Curves/meltCurve_Q8TF05_2_PPP4R1.pdf")</f>
        <v>Melting_Curves/meltCurve_Q8TF05_2_PPP4R1.pdf</v>
      </c>
    </row>
    <row r="4754" spans="1:28" x14ac:dyDescent="0.25">
      <c r="A4754" t="s">
        <v>4758</v>
      </c>
      <c r="B4754">
        <v>0.995954080203443</v>
      </c>
      <c r="C4754">
        <v>0.86027759584574603</v>
      </c>
      <c r="D4754">
        <v>0.82361866010929197</v>
      </c>
      <c r="E4754">
        <v>0.40235387883976098</v>
      </c>
      <c r="F4754">
        <v>0.24674042960557199</v>
      </c>
      <c r="G4754">
        <v>0.15076342084333599</v>
      </c>
      <c r="H4754">
        <v>0.103180581624512</v>
      </c>
      <c r="I4754">
        <v>9.4518134214654395E-2</v>
      </c>
      <c r="J4754">
        <v>0.114185603188953</v>
      </c>
      <c r="K4754">
        <v>9.3804885992193499E-2</v>
      </c>
      <c r="L4754">
        <v>944.75467583383397</v>
      </c>
      <c r="M4754">
        <v>19.444814304545101</v>
      </c>
      <c r="N4754">
        <v>49.113482776399401</v>
      </c>
      <c r="O4754">
        <v>48.081332825047298</v>
      </c>
      <c r="P4754">
        <v>-9.1586830518588805E-2</v>
      </c>
      <c r="Q4754">
        <v>9.4163215107089401E-2</v>
      </c>
      <c r="R4754">
        <v>0.99206140990290803</v>
      </c>
      <c r="S4754" t="s">
        <v>11560</v>
      </c>
      <c r="T4754" t="s">
        <v>13610</v>
      </c>
      <c r="U4754" t="s">
        <v>13610</v>
      </c>
      <c r="V4754" t="s">
        <v>13610</v>
      </c>
      <c r="W4754" t="s">
        <v>18303</v>
      </c>
      <c r="X4754">
        <v>14</v>
      </c>
      <c r="Y4754" t="s">
        <v>24879</v>
      </c>
      <c r="Z4754" t="s">
        <v>31609</v>
      </c>
      <c r="AA4754">
        <v>0.36693804122313101</v>
      </c>
      <c r="AB4754" t="str">
        <f>HYPERLINK("Melting_Curves/meltCurve_Q8TF42_UBASH3B.pdf", "Melting_Curves/meltCurve_Q8TF42_UBASH3B.pdf")</f>
        <v>Melting_Curves/meltCurve_Q8TF42_UBASH3B.pdf</v>
      </c>
    </row>
    <row r="4755" spans="1:28" x14ac:dyDescent="0.25">
      <c r="A4755" t="s">
        <v>4759</v>
      </c>
      <c r="B4755">
        <v>0.995954080203443</v>
      </c>
      <c r="C4755">
        <v>0.65672284115274804</v>
      </c>
      <c r="D4755">
        <v>0.34454007023960398</v>
      </c>
      <c r="E4755">
        <v>0.31547961837111799</v>
      </c>
      <c r="F4755">
        <v>0.24668644644798399</v>
      </c>
      <c r="G4755">
        <v>0.17234527436959199</v>
      </c>
      <c r="H4755">
        <v>0.15261310327729999</v>
      </c>
      <c r="I4755">
        <v>0.18386555920973</v>
      </c>
      <c r="J4755">
        <v>0.21967102380062301</v>
      </c>
      <c r="K4755">
        <v>0.221509446380207</v>
      </c>
      <c r="L4755">
        <v>1256.57323935406</v>
      </c>
      <c r="M4755">
        <v>28.906289774878701</v>
      </c>
      <c r="N4755">
        <v>44.3139321401475</v>
      </c>
      <c r="O4755">
        <v>43.264135726724803</v>
      </c>
      <c r="P4755">
        <v>-0.131697029888558</v>
      </c>
      <c r="Q4755">
        <v>0.21156064619590101</v>
      </c>
      <c r="R4755">
        <v>0.97243025159647201</v>
      </c>
      <c r="S4755" t="s">
        <v>11561</v>
      </c>
      <c r="T4755" t="s">
        <v>13610</v>
      </c>
      <c r="U4755" t="s">
        <v>13610</v>
      </c>
      <c r="V4755" t="s">
        <v>13610</v>
      </c>
      <c r="W4755" t="s">
        <v>18304</v>
      </c>
      <c r="X4755">
        <v>5</v>
      </c>
      <c r="Y4755" t="s">
        <v>24880</v>
      </c>
      <c r="Z4755" t="s">
        <v>31610</v>
      </c>
      <c r="AA4755">
        <v>0.30980976109701408</v>
      </c>
      <c r="AB4755" t="str">
        <f>HYPERLINK("Melting_Curves/meltCurve_Q8TF46_DIS3L.pdf", "Melting_Curves/meltCurve_Q8TF46_DIS3L.pdf")</f>
        <v>Melting_Curves/meltCurve_Q8TF46_DIS3L.pdf</v>
      </c>
    </row>
    <row r="4756" spans="1:28" x14ac:dyDescent="0.25">
      <c r="A4756" t="s">
        <v>4760</v>
      </c>
      <c r="B4756">
        <v>0.995954080203443</v>
      </c>
      <c r="C4756">
        <v>0.94759912423798898</v>
      </c>
      <c r="D4756">
        <v>0.78216581198485102</v>
      </c>
      <c r="E4756">
        <v>0.59984500374084404</v>
      </c>
      <c r="F4756">
        <v>0.33604915086623999</v>
      </c>
      <c r="G4756">
        <v>0.17276330989883501</v>
      </c>
      <c r="H4756">
        <v>0.11029558818605401</v>
      </c>
      <c r="I4756">
        <v>8.2953953947610903E-2</v>
      </c>
      <c r="J4756">
        <v>0.109587641070664</v>
      </c>
      <c r="K4756">
        <v>9.7262148173669793E-2</v>
      </c>
      <c r="L4756">
        <v>805.38778129775096</v>
      </c>
      <c r="M4756">
        <v>16.037604543014801</v>
      </c>
      <c r="N4756">
        <v>50.702173675326897</v>
      </c>
      <c r="O4756">
        <v>49.457373607856098</v>
      </c>
      <c r="P4756">
        <v>-7.5325722405540294E-2</v>
      </c>
      <c r="Q4756">
        <v>7.0902917469701496E-2</v>
      </c>
      <c r="R4756">
        <v>0.99508981269853003</v>
      </c>
      <c r="S4756" t="s">
        <v>11562</v>
      </c>
      <c r="T4756" t="s">
        <v>13610</v>
      </c>
      <c r="U4756" t="s">
        <v>13610</v>
      </c>
      <c r="V4756" t="s">
        <v>13610</v>
      </c>
      <c r="W4756" t="s">
        <v>18305</v>
      </c>
      <c r="X4756">
        <v>1</v>
      </c>
      <c r="Y4756" t="s">
        <v>24881</v>
      </c>
      <c r="Z4756" t="s">
        <v>31611</v>
      </c>
      <c r="AA4756">
        <v>0.40691555665666151</v>
      </c>
      <c r="AB4756" t="str">
        <f>HYPERLINK("Melting_Curves/meltCurve_Q8TF50_ZNF526.pdf", "Melting_Curves/meltCurve_Q8TF50_ZNF526.pdf")</f>
        <v>Melting_Curves/meltCurve_Q8TF50_ZNF526.pdf</v>
      </c>
    </row>
    <row r="4757" spans="1:28" x14ac:dyDescent="0.25">
      <c r="A4757" t="s">
        <v>4761</v>
      </c>
      <c r="B4757">
        <v>0.995954080203443</v>
      </c>
      <c r="C4757">
        <v>0.98909174785405296</v>
      </c>
      <c r="D4757">
        <v>0.85771914117673598</v>
      </c>
      <c r="E4757">
        <v>0.74685906639828004</v>
      </c>
      <c r="F4757">
        <v>0.56102348105796995</v>
      </c>
      <c r="G4757">
        <v>0.32746216279545898</v>
      </c>
      <c r="H4757">
        <v>0.152339854995624</v>
      </c>
      <c r="I4757">
        <v>0.13960624837227101</v>
      </c>
      <c r="J4757">
        <v>0.20144700618792699</v>
      </c>
      <c r="K4757">
        <v>0.21111833387499901</v>
      </c>
      <c r="L4757">
        <v>874.46050449661402</v>
      </c>
      <c r="M4757">
        <v>16.690882703504499</v>
      </c>
      <c r="N4757">
        <v>53.4927872773088</v>
      </c>
      <c r="O4757">
        <v>51.656776788685498</v>
      </c>
      <c r="P4757">
        <v>-6.9037339521278898E-2</v>
      </c>
      <c r="Q4757">
        <v>0.14539940691920999</v>
      </c>
      <c r="R4757">
        <v>0.98581935757575501</v>
      </c>
      <c r="S4757" t="s">
        <v>11563</v>
      </c>
      <c r="T4757" t="s">
        <v>13610</v>
      </c>
      <c r="U4757" t="s">
        <v>13610</v>
      </c>
      <c r="V4757" t="s">
        <v>13610</v>
      </c>
      <c r="W4757" t="s">
        <v>18306</v>
      </c>
      <c r="X4757">
        <v>3</v>
      </c>
      <c r="Y4757" t="s">
        <v>24882</v>
      </c>
      <c r="Z4757" t="s">
        <v>31612</v>
      </c>
      <c r="AA4757">
        <v>0.51438325262016205</v>
      </c>
      <c r="AB4757" t="str">
        <f>HYPERLINK("Melting_Curves/meltCurve_Q8TF61_FBXO41.pdf", "Melting_Curves/meltCurve_Q8TF61_FBXO41.pdf")</f>
        <v>Melting_Curves/meltCurve_Q8TF61_FBXO41.pdf</v>
      </c>
    </row>
    <row r="4758" spans="1:28" x14ac:dyDescent="0.25">
      <c r="A4758" t="s">
        <v>4762</v>
      </c>
      <c r="B4758">
        <v>0.995954080203443</v>
      </c>
      <c r="C4758">
        <v>0.96900373757742597</v>
      </c>
      <c r="D4758">
        <v>0.898884294012532</v>
      </c>
      <c r="E4758">
        <v>0.51461488842991998</v>
      </c>
      <c r="F4758">
        <v>0.202730394195451</v>
      </c>
      <c r="G4758">
        <v>0.116620218821135</v>
      </c>
      <c r="H4758">
        <v>8.6473559009757894E-2</v>
      </c>
      <c r="I4758">
        <v>7.9891053031779596E-2</v>
      </c>
      <c r="J4758">
        <v>9.7380919793273693E-2</v>
      </c>
      <c r="K4758">
        <v>8.7796058150823905E-2</v>
      </c>
      <c r="L4758">
        <v>1373.30323456319</v>
      </c>
      <c r="M4758">
        <v>27.649002566677702</v>
      </c>
      <c r="N4758">
        <v>50.005718085683696</v>
      </c>
      <c r="O4758">
        <v>49.411533267912603</v>
      </c>
      <c r="P4758">
        <v>-0.12801673669327701</v>
      </c>
      <c r="Q4758">
        <v>8.4893398157930094E-2</v>
      </c>
      <c r="R4758">
        <v>0.99910495389998699</v>
      </c>
      <c r="S4758" t="s">
        <v>11564</v>
      </c>
      <c r="T4758" t="s">
        <v>13610</v>
      </c>
      <c r="U4758" t="s">
        <v>13610</v>
      </c>
      <c r="V4758" t="s">
        <v>13610</v>
      </c>
      <c r="W4758" t="s">
        <v>18307</v>
      </c>
      <c r="X4758">
        <v>6</v>
      </c>
      <c r="Y4758" t="s">
        <v>24883</v>
      </c>
      <c r="Z4758" t="s">
        <v>31613</v>
      </c>
      <c r="AA4758">
        <v>0.38648322585649081</v>
      </c>
      <c r="AB4758" t="str">
        <f>HYPERLINK("Melting_Curves/meltCurve_Q8TF64_GIPC3.pdf", "Melting_Curves/meltCurve_Q8TF64_GIPC3.pdf")</f>
        <v>Melting_Curves/meltCurve_Q8TF64_GIPC3.pdf</v>
      </c>
    </row>
    <row r="4759" spans="1:28" x14ac:dyDescent="0.25">
      <c r="A4759" t="s">
        <v>4763</v>
      </c>
      <c r="B4759">
        <v>0.995954080203443</v>
      </c>
      <c r="C4759">
        <v>0.94335961685016001</v>
      </c>
      <c r="D4759">
        <v>0.87403879693858499</v>
      </c>
      <c r="E4759">
        <v>0.81771145908569898</v>
      </c>
      <c r="F4759">
        <v>0.80672546090047803</v>
      </c>
      <c r="G4759">
        <v>0.502167068267936</v>
      </c>
      <c r="H4759">
        <v>0.57361300972210905</v>
      </c>
      <c r="I4759">
        <v>0.69658919467547598</v>
      </c>
      <c r="J4759">
        <v>0.79106422856554803</v>
      </c>
      <c r="K4759">
        <v>0.77704745048070401</v>
      </c>
      <c r="L4759">
        <v>868.14686894505996</v>
      </c>
      <c r="M4759">
        <v>18.139306958282798</v>
      </c>
      <c r="O4759">
        <v>47.289674729347198</v>
      </c>
      <c r="P4759">
        <v>-3.0584447883092301E-2</v>
      </c>
      <c r="Q4759">
        <v>0.68107724639938305</v>
      </c>
      <c r="R4759">
        <v>0.61865782955905801</v>
      </c>
      <c r="S4759" t="s">
        <v>11565</v>
      </c>
      <c r="T4759" t="s">
        <v>13610</v>
      </c>
      <c r="U4759" t="s">
        <v>13610</v>
      </c>
      <c r="V4759" t="s">
        <v>13610</v>
      </c>
      <c r="W4759" t="s">
        <v>18308</v>
      </c>
      <c r="X4759">
        <v>7</v>
      </c>
      <c r="Y4759" t="s">
        <v>24884</v>
      </c>
      <c r="Z4759" t="s">
        <v>31614</v>
      </c>
      <c r="AA4759">
        <v>0.77022683763362054</v>
      </c>
      <c r="AB4759" t="str">
        <f>HYPERLINK("Melting_Curves/meltCurve_Q8TF74_WIPF2.pdf", "Melting_Curves/meltCurve_Q8TF74_WIPF2.pdf")</f>
        <v>Melting_Curves/meltCurve_Q8TF74_WIPF2.pdf</v>
      </c>
    </row>
    <row r="4760" spans="1:28" x14ac:dyDescent="0.25">
      <c r="A4760" t="s">
        <v>4764</v>
      </c>
      <c r="B4760">
        <v>0.995954080203443</v>
      </c>
      <c r="C4760">
        <v>0.96082220253553097</v>
      </c>
      <c r="D4760">
        <v>1.0220564627508</v>
      </c>
      <c r="E4760">
        <v>1.0795353743478799</v>
      </c>
      <c r="F4760">
        <v>1.2390217913833199</v>
      </c>
      <c r="G4760">
        <v>0.89272679175039904</v>
      </c>
      <c r="H4760">
        <v>1.03614856408315</v>
      </c>
      <c r="I4760">
        <v>1.20978491725931</v>
      </c>
      <c r="J4760">
        <v>1.3794138329202399</v>
      </c>
      <c r="K4760">
        <v>1.6584407369582299</v>
      </c>
      <c r="L4760">
        <v>3215.8411315262201</v>
      </c>
      <c r="M4760">
        <v>49.835874791437597</v>
      </c>
      <c r="O4760">
        <v>64.424990160193005</v>
      </c>
      <c r="P4760">
        <v>9.6693686473372703E-2</v>
      </c>
      <c r="Q4760">
        <v>1.5</v>
      </c>
      <c r="R4760">
        <v>0.77535093196386395</v>
      </c>
      <c r="S4760" t="s">
        <v>11566</v>
      </c>
      <c r="T4760" t="s">
        <v>13610</v>
      </c>
      <c r="U4760" t="s">
        <v>13610</v>
      </c>
      <c r="V4760" t="s">
        <v>13610</v>
      </c>
      <c r="W4760" t="s">
        <v>18309</v>
      </c>
      <c r="X4760">
        <v>2</v>
      </c>
      <c r="Y4760" t="s">
        <v>24885</v>
      </c>
      <c r="Z4760" t="s">
        <v>31615</v>
      </c>
      <c r="AA4760">
        <v>1.0902919994804841</v>
      </c>
      <c r="AB4760" t="str">
        <f>HYPERLINK("Melting_Curves/meltCurve_Q8TF76_2_GSG2.pdf", "Melting_Curves/meltCurve_Q8TF76_2_GSG2.pdf")</f>
        <v>Melting_Curves/meltCurve_Q8TF76_2_GSG2.pdf</v>
      </c>
    </row>
    <row r="4761" spans="1:28" x14ac:dyDescent="0.25">
      <c r="A4761" t="s">
        <v>4765</v>
      </c>
      <c r="B4761">
        <v>0.995954080203443</v>
      </c>
      <c r="C4761">
        <v>0.92433633337319498</v>
      </c>
      <c r="D4761">
        <v>0.80562253081129398</v>
      </c>
      <c r="E4761">
        <v>0.53563905064023898</v>
      </c>
      <c r="F4761">
        <v>0.30271822791194303</v>
      </c>
      <c r="G4761">
        <v>0.17825302551207001</v>
      </c>
      <c r="H4761">
        <v>0.10451681091823201</v>
      </c>
      <c r="I4761">
        <v>0.106594236359269</v>
      </c>
      <c r="J4761">
        <v>3.9180746854136403E-2</v>
      </c>
      <c r="K4761">
        <v>3.4375166407135803E-2</v>
      </c>
      <c r="L4761">
        <v>771.791780732029</v>
      </c>
      <c r="M4761">
        <v>15.4184872768784</v>
      </c>
      <c r="N4761">
        <v>50.332060106123897</v>
      </c>
      <c r="O4761">
        <v>49.236906603139602</v>
      </c>
      <c r="P4761">
        <v>-7.5122761147653497E-2</v>
      </c>
      <c r="Q4761">
        <v>4.0508583505174098E-2</v>
      </c>
      <c r="R4761">
        <v>0.99768155664172797</v>
      </c>
      <c r="S4761" t="s">
        <v>11567</v>
      </c>
      <c r="T4761" t="s">
        <v>13610</v>
      </c>
      <c r="U4761" t="s">
        <v>13610</v>
      </c>
      <c r="V4761" t="s">
        <v>13610</v>
      </c>
      <c r="W4761" t="s">
        <v>18310</v>
      </c>
      <c r="X4761">
        <v>2</v>
      </c>
      <c r="Y4761" t="s">
        <v>24886</v>
      </c>
      <c r="Z4761" t="s">
        <v>31616</v>
      </c>
      <c r="AA4761">
        <v>0.38388793801411691</v>
      </c>
      <c r="AB4761" t="str">
        <f>HYPERLINK("Melting_Curves/meltCurve_Q8WTS1_ABHD5.pdf", "Melting_Curves/meltCurve_Q8WTS1_ABHD5.pdf")</f>
        <v>Melting_Curves/meltCurve_Q8WTS1_ABHD5.pdf</v>
      </c>
    </row>
    <row r="4762" spans="1:28" x14ac:dyDescent="0.25">
      <c r="A4762" t="s">
        <v>4766</v>
      </c>
      <c r="B4762">
        <v>0.995954080203443</v>
      </c>
      <c r="C4762">
        <v>1.1642304486483801</v>
      </c>
      <c r="D4762">
        <v>0.32162614111902199</v>
      </c>
      <c r="E4762">
        <v>0.237350114450258</v>
      </c>
      <c r="F4762">
        <v>0.12937429652476901</v>
      </c>
      <c r="G4762">
        <v>6.9143487235236306E-2</v>
      </c>
      <c r="H4762">
        <v>5.4261594949738999E-2</v>
      </c>
      <c r="I4762">
        <v>5.04775816889972E-2</v>
      </c>
      <c r="J4762">
        <v>7.0805993786222002E-2</v>
      </c>
      <c r="K4762">
        <v>6.8825923852110504E-2</v>
      </c>
      <c r="L4762">
        <v>11449.121740438801</v>
      </c>
      <c r="M4762">
        <v>250</v>
      </c>
      <c r="N4762">
        <v>45.836133055185897</v>
      </c>
      <c r="O4762">
        <v>45.793556071043298</v>
      </c>
      <c r="P4762">
        <v>-1.2321916555328301</v>
      </c>
      <c r="Q4762">
        <v>9.7176994047584606E-2</v>
      </c>
      <c r="R4762">
        <v>0.96503923879723197</v>
      </c>
      <c r="S4762" t="s">
        <v>11568</v>
      </c>
      <c r="T4762" t="s">
        <v>13610</v>
      </c>
      <c r="U4762" t="s">
        <v>13610</v>
      </c>
      <c r="V4762" t="s">
        <v>13610</v>
      </c>
      <c r="W4762" t="s">
        <v>18311</v>
      </c>
      <c r="X4762">
        <v>8</v>
      </c>
      <c r="Y4762" t="s">
        <v>24887</v>
      </c>
      <c r="Z4762" t="s">
        <v>31617</v>
      </c>
      <c r="AA4762">
        <v>0.2716896152741039</v>
      </c>
      <c r="AB4762" t="str">
        <f>HYPERLINK("Melting_Curves/meltCurve_Q8WTS6_SETD7.pdf", "Melting_Curves/meltCurve_Q8WTS6_SETD7.pdf")</f>
        <v>Melting_Curves/meltCurve_Q8WTS6_SETD7.pdf</v>
      </c>
    </row>
    <row r="4763" spans="1:28" x14ac:dyDescent="0.25">
      <c r="A4763" t="s">
        <v>4767</v>
      </c>
      <c r="B4763">
        <v>0.995954080203443</v>
      </c>
      <c r="C4763">
        <v>0.715438964791274</v>
      </c>
      <c r="D4763">
        <v>0.34953316674603302</v>
      </c>
      <c r="E4763">
        <v>0.24085319731788399</v>
      </c>
      <c r="F4763">
        <v>0.15038379091088999</v>
      </c>
      <c r="G4763">
        <v>9.3425258094309502E-2</v>
      </c>
      <c r="H4763">
        <v>7.9540595947996298E-2</v>
      </c>
      <c r="I4763">
        <v>9.6306023920736006E-2</v>
      </c>
      <c r="J4763">
        <v>9.0991161338731599E-2</v>
      </c>
      <c r="K4763">
        <v>9.6742719241237604E-2</v>
      </c>
      <c r="L4763">
        <v>1034.18356528854</v>
      </c>
      <c r="M4763">
        <v>23.285768363925499</v>
      </c>
      <c r="N4763">
        <v>44.864466551120898</v>
      </c>
      <c r="O4763">
        <v>44.089027609972</v>
      </c>
      <c r="P4763">
        <v>-0.118241155802588</v>
      </c>
      <c r="Q4763">
        <v>0.10450972990372299</v>
      </c>
      <c r="R4763">
        <v>0.986445620260329</v>
      </c>
      <c r="S4763" t="s">
        <v>11569</v>
      </c>
      <c r="T4763" t="s">
        <v>13610</v>
      </c>
      <c r="U4763" t="s">
        <v>13610</v>
      </c>
      <c r="V4763" t="s">
        <v>13610</v>
      </c>
      <c r="W4763" t="s">
        <v>18312</v>
      </c>
      <c r="X4763">
        <v>18</v>
      </c>
      <c r="Y4763" t="s">
        <v>24888</v>
      </c>
      <c r="Z4763" t="s">
        <v>31618</v>
      </c>
      <c r="AA4763">
        <v>0.24762369847542781</v>
      </c>
      <c r="AB4763" t="str">
        <f>HYPERLINK("Melting_Curves/meltCurve_Q8WTW3_COG1.pdf", "Melting_Curves/meltCurve_Q8WTW3_COG1.pdf")</f>
        <v>Melting_Curves/meltCurve_Q8WTW3_COG1.pdf</v>
      </c>
    </row>
    <row r="4764" spans="1:28" x14ac:dyDescent="0.25">
      <c r="A4764" t="s">
        <v>4768</v>
      </c>
      <c r="B4764">
        <v>0.995954080203443</v>
      </c>
      <c r="C4764">
        <v>0.93794169861286802</v>
      </c>
      <c r="D4764">
        <v>0.82958800662844001</v>
      </c>
      <c r="E4764">
        <v>0.57919560982582796</v>
      </c>
      <c r="F4764">
        <v>0.23914136211581</v>
      </c>
      <c r="G4764">
        <v>0.137017155426915</v>
      </c>
      <c r="H4764">
        <v>9.9890233637879397E-2</v>
      </c>
      <c r="I4764">
        <v>0.100862948629208</v>
      </c>
      <c r="J4764">
        <v>0.111156016127928</v>
      </c>
      <c r="K4764">
        <v>9.6725849373682296E-2</v>
      </c>
      <c r="L4764">
        <v>1045.2495075869399</v>
      </c>
      <c r="M4764">
        <v>20.996505419012301</v>
      </c>
      <c r="N4764">
        <v>50.244172740874603</v>
      </c>
      <c r="O4764">
        <v>49.337082435156603</v>
      </c>
      <c r="P4764">
        <v>-9.7054066182131193E-2</v>
      </c>
      <c r="Q4764">
        <v>8.7803032033182904E-2</v>
      </c>
      <c r="R4764">
        <v>0.99380722662578702</v>
      </c>
      <c r="S4764" t="s">
        <v>11570</v>
      </c>
      <c r="T4764" t="s">
        <v>13610</v>
      </c>
      <c r="U4764" t="s">
        <v>13610</v>
      </c>
      <c r="V4764" t="s">
        <v>13610</v>
      </c>
      <c r="W4764" t="s">
        <v>18313</v>
      </c>
      <c r="X4764">
        <v>9</v>
      </c>
      <c r="Y4764" t="s">
        <v>24889</v>
      </c>
      <c r="Z4764" t="s">
        <v>31619</v>
      </c>
      <c r="AA4764">
        <v>0.39678792164067173</v>
      </c>
      <c r="AB4764" t="str">
        <f>HYPERLINK("Melting_Curves/meltCurve_Q8WU10_PYROXD1.pdf", "Melting_Curves/meltCurve_Q8WU10_PYROXD1.pdf")</f>
        <v>Melting_Curves/meltCurve_Q8WU10_PYROXD1.pdf</v>
      </c>
    </row>
    <row r="4765" spans="1:28" x14ac:dyDescent="0.25">
      <c r="A4765" t="s">
        <v>4769</v>
      </c>
      <c r="B4765">
        <v>0.995954080203443</v>
      </c>
      <c r="C4765">
        <v>0.96432241541543395</v>
      </c>
      <c r="D4765">
        <v>0.79952438077295596</v>
      </c>
      <c r="E4765">
        <v>0.68064835249834699</v>
      </c>
      <c r="F4765">
        <v>0.59989631875030303</v>
      </c>
      <c r="G4765">
        <v>0.37830384096649</v>
      </c>
      <c r="H4765">
        <v>0.30979743308090602</v>
      </c>
      <c r="I4765">
        <v>0.29362977239753202</v>
      </c>
      <c r="J4765">
        <v>0.34608973679275201</v>
      </c>
      <c r="K4765">
        <v>0.27201473095791001</v>
      </c>
      <c r="L4765">
        <v>642.73057788251299</v>
      </c>
      <c r="M4765">
        <v>12.5849256271292</v>
      </c>
      <c r="N4765">
        <v>54.161209275218098</v>
      </c>
      <c r="O4765">
        <v>49.833405360081201</v>
      </c>
      <c r="P4765">
        <v>-4.6974217138937402E-2</v>
      </c>
      <c r="Q4765">
        <v>0.25612071440436301</v>
      </c>
      <c r="R4765">
        <v>0.98284963532088998</v>
      </c>
      <c r="S4765" t="s">
        <v>11571</v>
      </c>
      <c r="T4765" t="s">
        <v>13610</v>
      </c>
      <c r="U4765" t="s">
        <v>13610</v>
      </c>
      <c r="V4765" t="s">
        <v>13610</v>
      </c>
      <c r="W4765" t="s">
        <v>18314</v>
      </c>
      <c r="X4765">
        <v>1</v>
      </c>
      <c r="Y4765" t="s">
        <v>24890</v>
      </c>
      <c r="Z4765" t="s">
        <v>31620</v>
      </c>
      <c r="AA4765">
        <v>0.55319767903875083</v>
      </c>
      <c r="AB4765" t="str">
        <f>HYPERLINK("Melting_Curves/meltCurve_Q8WU39_3_MZB1.pdf", "Melting_Curves/meltCurve_Q8WU39_3_MZB1.pdf")</f>
        <v>Melting_Curves/meltCurve_Q8WU39_3_MZB1.pdf</v>
      </c>
    </row>
    <row r="4766" spans="1:28" x14ac:dyDescent="0.25">
      <c r="A4766" t="s">
        <v>4770</v>
      </c>
      <c r="B4766">
        <v>0.995954080203443</v>
      </c>
      <c r="C4766">
        <v>0.83961279527861499</v>
      </c>
      <c r="D4766">
        <v>0.51434877521594302</v>
      </c>
      <c r="E4766">
        <v>0.42531484044499801</v>
      </c>
      <c r="F4766">
        <v>0.192213257011774</v>
      </c>
      <c r="G4766">
        <v>9.55950463272872E-2</v>
      </c>
      <c r="H4766">
        <v>6.3787812178804706E-2</v>
      </c>
      <c r="I4766">
        <v>4.2631211185507098E-2</v>
      </c>
      <c r="J4766">
        <v>5.39436568268198E-2</v>
      </c>
      <c r="K4766">
        <v>3.64495921741083E-2</v>
      </c>
      <c r="L4766">
        <v>661.49821711764002</v>
      </c>
      <c r="M4766">
        <v>13.973068049275501</v>
      </c>
      <c r="N4766">
        <v>47.5305545684542</v>
      </c>
      <c r="O4766">
        <v>46.4029441672944</v>
      </c>
      <c r="P4766">
        <v>-7.3250332403682006E-2</v>
      </c>
      <c r="Q4766">
        <v>2.7106264834575899E-2</v>
      </c>
      <c r="R4766">
        <v>0.98054374002879996</v>
      </c>
      <c r="S4766" t="s">
        <v>11572</v>
      </c>
      <c r="T4766" t="s">
        <v>13610</v>
      </c>
      <c r="U4766" t="s">
        <v>13610</v>
      </c>
      <c r="V4766" t="s">
        <v>13610</v>
      </c>
      <c r="W4766" t="s">
        <v>18315</v>
      </c>
      <c r="X4766">
        <v>3</v>
      </c>
      <c r="Y4766" t="s">
        <v>24891</v>
      </c>
      <c r="Z4766" t="s">
        <v>31621</v>
      </c>
      <c r="AA4766">
        <v>0.29502908469343198</v>
      </c>
      <c r="AB4766" t="str">
        <f>HYPERLINK("Melting_Curves/meltCurve_Q8WU76_2_SCFD2.pdf", "Melting_Curves/meltCurve_Q8WU76_2_SCFD2.pdf")</f>
        <v>Melting_Curves/meltCurve_Q8WU76_2_SCFD2.pdf</v>
      </c>
    </row>
    <row r="4767" spans="1:28" x14ac:dyDescent="0.25">
      <c r="A4767" t="s">
        <v>4771</v>
      </c>
      <c r="B4767">
        <v>0.995954080203443</v>
      </c>
      <c r="C4767">
        <v>0.94993020266754802</v>
      </c>
      <c r="D4767">
        <v>0.89679334780231901</v>
      </c>
      <c r="E4767">
        <v>0.59393203370593795</v>
      </c>
      <c r="F4767">
        <v>0.24687196935462999</v>
      </c>
      <c r="G4767">
        <v>0.14235294282760699</v>
      </c>
      <c r="H4767">
        <v>0.113683109368445</v>
      </c>
      <c r="I4767">
        <v>0.131825127661967</v>
      </c>
      <c r="J4767">
        <v>0.15951581039311399</v>
      </c>
      <c r="K4767">
        <v>0.14976708127576599</v>
      </c>
      <c r="L4767">
        <v>1422.82590680772</v>
      </c>
      <c r="M4767">
        <v>28.4590695645668</v>
      </c>
      <c r="N4767">
        <v>50.532545811770497</v>
      </c>
      <c r="O4767">
        <v>49.750610815916701</v>
      </c>
      <c r="P4767">
        <v>-0.124347646608281</v>
      </c>
      <c r="Q4767">
        <v>0.13049552006008899</v>
      </c>
      <c r="R4767">
        <v>0.99493765958784497</v>
      </c>
      <c r="S4767" t="s">
        <v>11573</v>
      </c>
      <c r="T4767" t="s">
        <v>13610</v>
      </c>
      <c r="U4767" t="s">
        <v>13610</v>
      </c>
      <c r="V4767" t="s">
        <v>13610</v>
      </c>
      <c r="W4767" t="s">
        <v>18316</v>
      </c>
      <c r="X4767">
        <v>16</v>
      </c>
      <c r="Y4767" t="s">
        <v>24892</v>
      </c>
      <c r="Z4767" t="s">
        <v>31622</v>
      </c>
      <c r="AA4767">
        <v>0.42618345512920208</v>
      </c>
      <c r="AB4767" t="str">
        <f>HYPERLINK("Melting_Curves/meltCurve_Q8WU79_SMAP2.pdf", "Melting_Curves/meltCurve_Q8WU79_SMAP2.pdf")</f>
        <v>Melting_Curves/meltCurve_Q8WU79_SMAP2.pdf</v>
      </c>
    </row>
    <row r="4768" spans="1:28" x14ac:dyDescent="0.25">
      <c r="A4768" t="s">
        <v>4772</v>
      </c>
      <c r="B4768">
        <v>0.995954080203443</v>
      </c>
      <c r="C4768">
        <v>0.98065126169580297</v>
      </c>
      <c r="D4768">
        <v>1.1088152462512</v>
      </c>
      <c r="E4768">
        <v>0.88695765754339995</v>
      </c>
      <c r="F4768">
        <v>0.75904082118012595</v>
      </c>
      <c r="G4768">
        <v>0.53696877063408099</v>
      </c>
      <c r="H4768">
        <v>0.38655334746828401</v>
      </c>
      <c r="I4768">
        <v>0.44536127922846702</v>
      </c>
      <c r="J4768">
        <v>0.43946664434183702</v>
      </c>
      <c r="K4768">
        <v>0.53937150069869799</v>
      </c>
      <c r="L4768">
        <v>1561.5467561894</v>
      </c>
      <c r="M4768">
        <v>29.333995845029602</v>
      </c>
      <c r="N4768">
        <v>57.882479428135298</v>
      </c>
      <c r="O4768">
        <v>52.9877934797207</v>
      </c>
      <c r="P4768">
        <v>-7.5759710680662798E-2</v>
      </c>
      <c r="Q4768">
        <v>0.45260632664119499</v>
      </c>
      <c r="R4768">
        <v>0.95477899287887202</v>
      </c>
      <c r="S4768" t="s">
        <v>11574</v>
      </c>
      <c r="T4768" t="s">
        <v>13610</v>
      </c>
      <c r="U4768" t="s">
        <v>13610</v>
      </c>
      <c r="V4768" t="s">
        <v>13610</v>
      </c>
      <c r="W4768" t="s">
        <v>18317</v>
      </c>
      <c r="X4768">
        <v>18</v>
      </c>
      <c r="Y4768" t="s">
        <v>24893</v>
      </c>
      <c r="Z4768" t="s">
        <v>31623</v>
      </c>
      <c r="AA4768">
        <v>0.69778850736846942</v>
      </c>
      <c r="AB4768" t="str">
        <f>HYPERLINK("Melting_Curves/meltCurve_Q8WU90_ZC3H15.pdf", "Melting_Curves/meltCurve_Q8WU90_ZC3H15.pdf")</f>
        <v>Melting_Curves/meltCurve_Q8WU90_ZC3H15.pdf</v>
      </c>
    </row>
    <row r="4769" spans="1:28" x14ac:dyDescent="0.25">
      <c r="A4769" t="s">
        <v>4773</v>
      </c>
      <c r="B4769">
        <v>0.995954080203443</v>
      </c>
      <c r="C4769">
        <v>0.92286910300972003</v>
      </c>
      <c r="D4769">
        <v>0.83696511708236199</v>
      </c>
      <c r="E4769">
        <v>0.67915526527283399</v>
      </c>
      <c r="F4769">
        <v>0.42918681152690902</v>
      </c>
      <c r="G4769">
        <v>0.232406907925571</v>
      </c>
      <c r="H4769">
        <v>0.148525708989518</v>
      </c>
      <c r="I4769">
        <v>0.14509929626370499</v>
      </c>
      <c r="J4769">
        <v>0.180236034491016</v>
      </c>
      <c r="K4769">
        <v>0.124315767672385</v>
      </c>
      <c r="L4769">
        <v>812.43840518962202</v>
      </c>
      <c r="M4769">
        <v>15.9033440174781</v>
      </c>
      <c r="N4769">
        <v>51.939272539970901</v>
      </c>
      <c r="O4769">
        <v>50.298733382346398</v>
      </c>
      <c r="P4769">
        <v>-6.9963134344160002E-2</v>
      </c>
      <c r="Q4769">
        <v>0.114959925700443</v>
      </c>
      <c r="R4769">
        <v>0.99280397540493903</v>
      </c>
      <c r="S4769" t="s">
        <v>11575</v>
      </c>
      <c r="T4769" t="s">
        <v>13610</v>
      </c>
      <c r="U4769" t="s">
        <v>13610</v>
      </c>
      <c r="V4769" t="s">
        <v>13610</v>
      </c>
      <c r="W4769" t="s">
        <v>18318</v>
      </c>
      <c r="X4769">
        <v>19</v>
      </c>
      <c r="Y4769" t="s">
        <v>24894</v>
      </c>
      <c r="Z4769" t="s">
        <v>31624</v>
      </c>
      <c r="AA4769">
        <v>0.46050793975485421</v>
      </c>
      <c r="AB4769" t="str">
        <f>HYPERLINK("Melting_Curves/meltCurve_Q8WUA2_PPIL4.pdf", "Melting_Curves/meltCurve_Q8WUA2_PPIL4.pdf")</f>
        <v>Melting_Curves/meltCurve_Q8WUA2_PPIL4.pdf</v>
      </c>
    </row>
    <row r="4770" spans="1:28" x14ac:dyDescent="0.25">
      <c r="A4770" t="s">
        <v>4774</v>
      </c>
      <c r="B4770">
        <v>0.995954080203443</v>
      </c>
      <c r="C4770">
        <v>0.80408008734710101</v>
      </c>
      <c r="D4770">
        <v>0.737944876413969</v>
      </c>
      <c r="E4770">
        <v>0.59298074602630102</v>
      </c>
      <c r="F4770">
        <v>0.441882443638206</v>
      </c>
      <c r="G4770">
        <v>0.35006586630477299</v>
      </c>
      <c r="H4770">
        <v>0.31203501045526399</v>
      </c>
      <c r="I4770">
        <v>0.36949431152884599</v>
      </c>
      <c r="J4770">
        <v>0.42317929692419498</v>
      </c>
      <c r="K4770">
        <v>0.43477739038626001</v>
      </c>
      <c r="L4770">
        <v>700.88974143599296</v>
      </c>
      <c r="M4770">
        <v>14.9939316722534</v>
      </c>
      <c r="N4770">
        <v>51.270946440417397</v>
      </c>
      <c r="O4770">
        <v>45.937057910362498</v>
      </c>
      <c r="P4770">
        <v>-5.1665218854868002E-2</v>
      </c>
      <c r="Q4770">
        <v>0.36691518118049898</v>
      </c>
      <c r="R4770">
        <v>0.94781219697964303</v>
      </c>
      <c r="S4770" t="s">
        <v>11576</v>
      </c>
      <c r="T4770" t="s">
        <v>13610</v>
      </c>
      <c r="U4770" t="s">
        <v>13610</v>
      </c>
      <c r="V4770" t="s">
        <v>13610</v>
      </c>
      <c r="W4770" t="s">
        <v>18319</v>
      </c>
      <c r="X4770">
        <v>12</v>
      </c>
      <c r="Y4770" t="s">
        <v>24895</v>
      </c>
      <c r="Z4770" t="s">
        <v>31625</v>
      </c>
      <c r="AA4770">
        <v>0.52675321055631785</v>
      </c>
      <c r="AB4770" t="str">
        <f>HYPERLINK("Melting_Curves/meltCurve_Q8WUA4_GTF3C2.pdf", "Melting_Curves/meltCurve_Q8WUA4_GTF3C2.pdf")</f>
        <v>Melting_Curves/meltCurve_Q8WUA4_GTF3C2.pdf</v>
      </c>
    </row>
    <row r="4771" spans="1:28" x14ac:dyDescent="0.25">
      <c r="A4771" t="s">
        <v>4775</v>
      </c>
      <c r="B4771">
        <v>0.995954080203443</v>
      </c>
      <c r="C4771">
        <v>0.89015698248006103</v>
      </c>
      <c r="D4771">
        <v>0.86725085541180502</v>
      </c>
      <c r="E4771">
        <v>0.73937440220553197</v>
      </c>
      <c r="F4771">
        <v>0.69762135735766395</v>
      </c>
      <c r="G4771">
        <v>0.40961621343667298</v>
      </c>
      <c r="H4771">
        <v>0.228356787364526</v>
      </c>
      <c r="I4771">
        <v>0.21499138290981501</v>
      </c>
      <c r="J4771">
        <v>0.23594722368375101</v>
      </c>
      <c r="K4771">
        <v>0.241906744676435</v>
      </c>
      <c r="L4771">
        <v>658.44749332734898</v>
      </c>
      <c r="M4771">
        <v>12.2731184438765</v>
      </c>
      <c r="N4771">
        <v>55.191850493477901</v>
      </c>
      <c r="O4771">
        <v>52.284876547398198</v>
      </c>
      <c r="P4771">
        <v>-5.0175995333824899E-2</v>
      </c>
      <c r="Q4771">
        <v>0.14516681901884201</v>
      </c>
      <c r="R4771">
        <v>0.971838990182601</v>
      </c>
      <c r="S4771" t="s">
        <v>11577</v>
      </c>
      <c r="T4771" t="s">
        <v>13610</v>
      </c>
      <c r="U4771" t="s">
        <v>13610</v>
      </c>
      <c r="V4771" t="s">
        <v>13610</v>
      </c>
      <c r="W4771" t="s">
        <v>18320</v>
      </c>
      <c r="X4771">
        <v>15</v>
      </c>
      <c r="Y4771" t="s">
        <v>24896</v>
      </c>
      <c r="Z4771" t="s">
        <v>31626</v>
      </c>
      <c r="AA4771">
        <v>0.55664311222291274</v>
      </c>
      <c r="AB4771" t="str">
        <f>HYPERLINK("Melting_Curves/meltCurve_Q8WUB8_3_PHF10.pdf", "Melting_Curves/meltCurve_Q8WUB8_3_PHF10.pdf")</f>
        <v>Melting_Curves/meltCurve_Q8WUB8_3_PHF10.pdf</v>
      </c>
    </row>
    <row r="4772" spans="1:28" x14ac:dyDescent="0.25">
      <c r="A4772" t="s">
        <v>4776</v>
      </c>
      <c r="B4772">
        <v>0.995954080203443</v>
      </c>
      <c r="C4772">
        <v>0.93719556946905902</v>
      </c>
      <c r="D4772">
        <v>0.86881480793967703</v>
      </c>
      <c r="E4772">
        <v>0.73255855278344395</v>
      </c>
      <c r="F4772">
        <v>0.55403759608050795</v>
      </c>
      <c r="G4772">
        <v>0.360907981536222</v>
      </c>
      <c r="H4772">
        <v>0.19895734597783901</v>
      </c>
      <c r="I4772">
        <v>9.7653442483966499E-2</v>
      </c>
      <c r="J4772">
        <v>7.37381679797596E-2</v>
      </c>
      <c r="K4772">
        <v>6.8801587846917103E-2</v>
      </c>
      <c r="L4772">
        <v>654.24976564427595</v>
      </c>
      <c r="M4772">
        <v>12.1300979884564</v>
      </c>
      <c r="N4772">
        <v>53.936065663972798</v>
      </c>
      <c r="O4772">
        <v>52.532956630989403</v>
      </c>
      <c r="P4772">
        <v>-5.7739480552008102E-2</v>
      </c>
      <c r="Q4772">
        <v>0</v>
      </c>
      <c r="R4772">
        <v>0.99787469475812096</v>
      </c>
      <c r="S4772" t="s">
        <v>11578</v>
      </c>
      <c r="T4772" t="s">
        <v>13610</v>
      </c>
      <c r="U4772" t="s">
        <v>13610</v>
      </c>
      <c r="V4772" t="s">
        <v>13610</v>
      </c>
      <c r="W4772" t="s">
        <v>18321</v>
      </c>
      <c r="X4772">
        <v>9</v>
      </c>
      <c r="Y4772" t="s">
        <v>24897</v>
      </c>
      <c r="Z4772" t="s">
        <v>31627</v>
      </c>
      <c r="AA4772">
        <v>0.4905457504284817</v>
      </c>
      <c r="AB4772" t="str">
        <f>HYPERLINK("Melting_Curves/meltCurve_Q8WUD1_RAB2B.pdf", "Melting_Curves/meltCurve_Q8WUD1_RAB2B.pdf")</f>
        <v>Melting_Curves/meltCurve_Q8WUD1_RAB2B.pdf</v>
      </c>
    </row>
    <row r="4773" spans="1:28" x14ac:dyDescent="0.25">
      <c r="A4773" t="s">
        <v>4777</v>
      </c>
      <c r="B4773">
        <v>0.995954080203443</v>
      </c>
      <c r="C4773">
        <v>0.99761937577238302</v>
      </c>
      <c r="D4773">
        <v>1.0173077576791001</v>
      </c>
      <c r="E4773">
        <v>0.91099792468547502</v>
      </c>
      <c r="F4773">
        <v>0.93158376002836396</v>
      </c>
      <c r="G4773">
        <v>0.77898873195288798</v>
      </c>
      <c r="H4773">
        <v>0.79405853965174999</v>
      </c>
      <c r="I4773">
        <v>0.97041446638390905</v>
      </c>
      <c r="J4773">
        <v>1.06363993413502</v>
      </c>
      <c r="K4773">
        <v>1.1778552925812</v>
      </c>
      <c r="L4773">
        <v>15000</v>
      </c>
      <c r="M4773">
        <v>223.295511296348</v>
      </c>
      <c r="O4773">
        <v>67.170168330899898</v>
      </c>
      <c r="P4773">
        <v>0.147830504391434</v>
      </c>
      <c r="Q4773">
        <v>1.1778772821315799</v>
      </c>
      <c r="R4773">
        <v>0.17709071371756199</v>
      </c>
      <c r="S4773" t="s">
        <v>11579</v>
      </c>
      <c r="T4773" t="s">
        <v>13610</v>
      </c>
      <c r="U4773" t="s">
        <v>13610</v>
      </c>
      <c r="V4773" t="s">
        <v>13610</v>
      </c>
      <c r="W4773" t="s">
        <v>18322</v>
      </c>
      <c r="X4773">
        <v>13</v>
      </c>
      <c r="Y4773" t="s">
        <v>24898</v>
      </c>
      <c r="Z4773" t="s">
        <v>31628</v>
      </c>
      <c r="AA4773">
        <v>1.0167207687769899</v>
      </c>
      <c r="AB4773" t="str">
        <f>HYPERLINK("Melting_Curves/meltCurve_Q8WUD4_CCDC12.pdf", "Melting_Curves/meltCurve_Q8WUD4_CCDC12.pdf")</f>
        <v>Melting_Curves/meltCurve_Q8WUD4_CCDC12.pdf</v>
      </c>
    </row>
    <row r="4774" spans="1:28" x14ac:dyDescent="0.25">
      <c r="A4774" t="s">
        <v>4778</v>
      </c>
      <c r="B4774">
        <v>0.995954080203443</v>
      </c>
      <c r="C4774">
        <v>0.93244251645893805</v>
      </c>
      <c r="D4774">
        <v>0.90376268402264104</v>
      </c>
      <c r="E4774">
        <v>0.72069188422866703</v>
      </c>
      <c r="F4774">
        <v>0.39137043429973201</v>
      </c>
      <c r="G4774">
        <v>0.20608441783373699</v>
      </c>
      <c r="H4774">
        <v>0.14996191491724101</v>
      </c>
      <c r="I4774">
        <v>0.170453371886643</v>
      </c>
      <c r="J4774">
        <v>0.206181084312311</v>
      </c>
      <c r="K4774">
        <v>0.17041846035424599</v>
      </c>
      <c r="L4774">
        <v>1285.5597338303501</v>
      </c>
      <c r="M4774">
        <v>25.176642851273598</v>
      </c>
      <c r="N4774">
        <v>51.887665241777903</v>
      </c>
      <c r="O4774">
        <v>50.7427272460464</v>
      </c>
      <c r="P4774">
        <v>-0.103561177428697</v>
      </c>
      <c r="Q4774">
        <v>0.165113821376623</v>
      </c>
      <c r="R4774">
        <v>0.99186498441802495</v>
      </c>
      <c r="S4774" t="s">
        <v>11580</v>
      </c>
      <c r="T4774" t="s">
        <v>13610</v>
      </c>
      <c r="U4774" t="s">
        <v>13610</v>
      </c>
      <c r="V4774" t="s">
        <v>13610</v>
      </c>
      <c r="W4774" t="s">
        <v>18323</v>
      </c>
      <c r="X4774">
        <v>3</v>
      </c>
      <c r="Y4774" t="s">
        <v>24899</v>
      </c>
      <c r="Z4774" t="s">
        <v>31629</v>
      </c>
      <c r="AA4774">
        <v>0.48039676490495142</v>
      </c>
      <c r="AB4774" t="str">
        <f>HYPERLINK("Melting_Curves/meltCurve_Q8WUE5_CXorf48.pdf", "Melting_Curves/meltCurve_Q8WUE5_CXorf48.pdf")</f>
        <v>Melting_Curves/meltCurve_Q8WUE5_CXorf48.pdf</v>
      </c>
    </row>
    <row r="4775" spans="1:28" x14ac:dyDescent="0.25">
      <c r="A4775" t="s">
        <v>4779</v>
      </c>
      <c r="B4775">
        <v>0.995954080203443</v>
      </c>
      <c r="C4775">
        <v>0.953595880366084</v>
      </c>
      <c r="D4775">
        <v>0.91132415438222503</v>
      </c>
      <c r="E4775">
        <v>0.80242772531579598</v>
      </c>
      <c r="F4775">
        <v>0.69701512583591896</v>
      </c>
      <c r="G4775">
        <v>0.47806356420694301</v>
      </c>
      <c r="H4775">
        <v>0.44899130026415102</v>
      </c>
      <c r="I4775">
        <v>0.51071668189383601</v>
      </c>
      <c r="J4775">
        <v>0.63947634331048797</v>
      </c>
      <c r="K4775">
        <v>0.58805015657580995</v>
      </c>
      <c r="L4775">
        <v>1137.33599281751</v>
      </c>
      <c r="M4775">
        <v>22.533514790106501</v>
      </c>
      <c r="O4775">
        <v>50.080614301464102</v>
      </c>
      <c r="P4775">
        <v>-5.2675358818392803E-2</v>
      </c>
      <c r="Q4775">
        <v>0.53172672395942</v>
      </c>
      <c r="R4775">
        <v>0.902108556983507</v>
      </c>
      <c r="S4775" t="s">
        <v>11581</v>
      </c>
      <c r="T4775" t="s">
        <v>13610</v>
      </c>
      <c r="U4775" t="s">
        <v>13610</v>
      </c>
      <c r="V4775" t="s">
        <v>13610</v>
      </c>
      <c r="W4775" t="s">
        <v>18324</v>
      </c>
      <c r="X4775">
        <v>24</v>
      </c>
      <c r="Y4775" t="s">
        <v>24900</v>
      </c>
      <c r="Z4775" t="s">
        <v>31630</v>
      </c>
      <c r="AA4775">
        <v>0.7003672316365247</v>
      </c>
      <c r="AB4775" t="str">
        <f>HYPERLINK("Melting_Curves/meltCurve_Q8WUF5_PPP1R13L.pdf", "Melting_Curves/meltCurve_Q8WUF5_PPP1R13L.pdf")</f>
        <v>Melting_Curves/meltCurve_Q8WUF5_PPP1R13L.pdf</v>
      </c>
    </row>
    <row r="4776" spans="1:28" x14ac:dyDescent="0.25">
      <c r="A4776" t="s">
        <v>4780</v>
      </c>
      <c r="B4776">
        <v>0.995954080203443</v>
      </c>
      <c r="C4776">
        <v>0.83734733663070804</v>
      </c>
      <c r="D4776">
        <v>0.87480671644566799</v>
      </c>
      <c r="E4776">
        <v>0.57315153771918703</v>
      </c>
      <c r="F4776">
        <v>0.38934564731865801</v>
      </c>
      <c r="G4776">
        <v>0.25781468274498498</v>
      </c>
      <c r="H4776">
        <v>0.265538771549165</v>
      </c>
      <c r="I4776">
        <v>0.18342814003062899</v>
      </c>
      <c r="J4776">
        <v>0.25735619002064702</v>
      </c>
      <c r="K4776">
        <v>0.21342881593292701</v>
      </c>
      <c r="L4776">
        <v>820.18504370909</v>
      </c>
      <c r="M4776">
        <v>16.593079444216499</v>
      </c>
      <c r="N4776">
        <v>51.070309276720401</v>
      </c>
      <c r="O4776">
        <v>48.728151994409401</v>
      </c>
      <c r="P4776">
        <v>-6.7545329899489304E-2</v>
      </c>
      <c r="Q4776">
        <v>0.206624576725049</v>
      </c>
      <c r="R4776">
        <v>0.97844821544249405</v>
      </c>
      <c r="S4776" t="s">
        <v>11582</v>
      </c>
      <c r="T4776" t="s">
        <v>13610</v>
      </c>
      <c r="U4776" t="s">
        <v>13610</v>
      </c>
      <c r="V4776" t="s">
        <v>13610</v>
      </c>
      <c r="W4776" t="s">
        <v>18325</v>
      </c>
      <c r="X4776">
        <v>7</v>
      </c>
      <c r="Y4776" t="s">
        <v>24901</v>
      </c>
      <c r="Z4776" t="s">
        <v>31631</v>
      </c>
      <c r="AA4776">
        <v>0.47195336554468859</v>
      </c>
      <c r="AB4776" t="str">
        <f>HYPERLINK("Melting_Curves/meltCurve_Q8WUF8_FAM172A.pdf", "Melting_Curves/meltCurve_Q8WUF8_FAM172A.pdf")</f>
        <v>Melting_Curves/meltCurve_Q8WUF8_FAM172A.pdf</v>
      </c>
    </row>
    <row r="4777" spans="1:28" x14ac:dyDescent="0.25">
      <c r="A4777" t="s">
        <v>4781</v>
      </c>
      <c r="B4777">
        <v>0.995954080203443</v>
      </c>
      <c r="C4777">
        <v>0.91660576301558105</v>
      </c>
      <c r="D4777">
        <v>0.65846176927466205</v>
      </c>
      <c r="E4777">
        <v>0.45780377048780901</v>
      </c>
      <c r="F4777">
        <v>0.16918058674460501</v>
      </c>
      <c r="G4777">
        <v>9.0714697175529199E-2</v>
      </c>
      <c r="H4777">
        <v>4.5223981782973502E-2</v>
      </c>
      <c r="I4777">
        <v>3.7835633263655702E-2</v>
      </c>
      <c r="J4777">
        <v>5.2431315379047397E-2</v>
      </c>
      <c r="K4777">
        <v>4.6781715992450498E-2</v>
      </c>
      <c r="L4777">
        <v>803.83277186370799</v>
      </c>
      <c r="M4777">
        <v>16.6050608981311</v>
      </c>
      <c r="N4777">
        <v>48.568706430332703</v>
      </c>
      <c r="O4777">
        <v>47.723152608962501</v>
      </c>
      <c r="P4777">
        <v>-8.4679761000159698E-2</v>
      </c>
      <c r="Q4777">
        <v>2.6583217934619902E-2</v>
      </c>
      <c r="R4777">
        <v>0.99123555722502599</v>
      </c>
      <c r="S4777" t="s">
        <v>11583</v>
      </c>
      <c r="T4777" t="s">
        <v>13610</v>
      </c>
      <c r="U4777" t="s">
        <v>13610</v>
      </c>
      <c r="V4777" t="s">
        <v>13610</v>
      </c>
      <c r="W4777" t="s">
        <v>18326</v>
      </c>
      <c r="X4777">
        <v>3</v>
      </c>
      <c r="Y4777" t="s">
        <v>24902</v>
      </c>
      <c r="Z4777" t="s">
        <v>31632</v>
      </c>
      <c r="AA4777">
        <v>0.31954644823951212</v>
      </c>
      <c r="AB4777" t="str">
        <f>HYPERLINK("Melting_Curves/meltCurve_Q8WUH1_CHURC1.pdf", "Melting_Curves/meltCurve_Q8WUH1_CHURC1.pdf")</f>
        <v>Melting_Curves/meltCurve_Q8WUH1_CHURC1.pdf</v>
      </c>
    </row>
    <row r="4778" spans="1:28" x14ac:dyDescent="0.25">
      <c r="A4778" t="s">
        <v>4782</v>
      </c>
      <c r="B4778">
        <v>0.995954080203443</v>
      </c>
      <c r="C4778">
        <v>0.75868749376184996</v>
      </c>
      <c r="D4778">
        <v>0.498761025508899</v>
      </c>
      <c r="E4778">
        <v>0.39129494531964598</v>
      </c>
      <c r="F4778">
        <v>0.138559373887257</v>
      </c>
      <c r="G4778">
        <v>9.0321995334379707E-2</v>
      </c>
      <c r="H4778">
        <v>6.40157238310579E-2</v>
      </c>
      <c r="I4778">
        <v>5.5987774935192303E-2</v>
      </c>
      <c r="J4778">
        <v>6.8237159039014603E-2</v>
      </c>
      <c r="K4778">
        <v>6.2597435402324694E-2</v>
      </c>
      <c r="L4778">
        <v>682.07465697923601</v>
      </c>
      <c r="M4778">
        <v>14.6844843484267</v>
      </c>
      <c r="N4778">
        <v>46.758162368422703</v>
      </c>
      <c r="O4778">
        <v>45.612766807894502</v>
      </c>
      <c r="P4778">
        <v>-7.6765513907395097E-2</v>
      </c>
      <c r="Q4778">
        <v>4.6312290450679798E-2</v>
      </c>
      <c r="R4778">
        <v>0.97915903669909699</v>
      </c>
      <c r="S4778" t="s">
        <v>11584</v>
      </c>
      <c r="T4778" t="s">
        <v>13610</v>
      </c>
      <c r="U4778" t="s">
        <v>13610</v>
      </c>
      <c r="V4778" t="s">
        <v>13610</v>
      </c>
      <c r="W4778" t="s">
        <v>18327</v>
      </c>
      <c r="X4778">
        <v>13</v>
      </c>
      <c r="Y4778" t="s">
        <v>24903</v>
      </c>
      <c r="Z4778" t="s">
        <v>31633</v>
      </c>
      <c r="AA4778">
        <v>0.27942296337337691</v>
      </c>
      <c r="AB4778" t="str">
        <f>HYPERLINK("Melting_Curves/meltCurve_Q8WUH2_TGFBRAP1.pdf", "Melting_Curves/meltCurve_Q8WUH2_TGFBRAP1.pdf")</f>
        <v>Melting_Curves/meltCurve_Q8WUH2_TGFBRAP1.pdf</v>
      </c>
    </row>
    <row r="4779" spans="1:28" x14ac:dyDescent="0.25">
      <c r="A4779" t="s">
        <v>4783</v>
      </c>
      <c r="B4779">
        <v>0.995954080203443</v>
      </c>
      <c r="C4779">
        <v>0.95860502035521</v>
      </c>
      <c r="D4779">
        <v>0.95872413131381395</v>
      </c>
      <c r="E4779">
        <v>0.855500811388061</v>
      </c>
      <c r="F4779">
        <v>0.80267507193527299</v>
      </c>
      <c r="G4779">
        <v>0.59254370025813696</v>
      </c>
      <c r="H4779">
        <v>0.56804502737888696</v>
      </c>
      <c r="I4779">
        <v>0.67576360001386704</v>
      </c>
      <c r="J4779">
        <v>0.746561440322703</v>
      </c>
      <c r="K4779">
        <v>0.73629802915558296</v>
      </c>
      <c r="L4779">
        <v>1352.0152192308699</v>
      </c>
      <c r="M4779">
        <v>26.623111279752798</v>
      </c>
      <c r="O4779">
        <v>50.499603396358097</v>
      </c>
      <c r="P4779">
        <v>-4.3878721794271797E-2</v>
      </c>
      <c r="Q4779">
        <v>0.66708109139369698</v>
      </c>
      <c r="R4779">
        <v>0.83298244743834104</v>
      </c>
      <c r="S4779" t="s">
        <v>11585</v>
      </c>
      <c r="T4779" t="s">
        <v>13610</v>
      </c>
      <c r="U4779" t="s">
        <v>13610</v>
      </c>
      <c r="V4779" t="s">
        <v>13610</v>
      </c>
      <c r="W4779" t="s">
        <v>18328</v>
      </c>
      <c r="X4779">
        <v>4</v>
      </c>
      <c r="Y4779" t="s">
        <v>24904</v>
      </c>
      <c r="Z4779" t="s">
        <v>31634</v>
      </c>
      <c r="AA4779">
        <v>0.78939741038617295</v>
      </c>
      <c r="AB4779" t="str">
        <f>HYPERLINK("Melting_Curves/meltCurve_Q8WUH6_C12orf23.pdf", "Melting_Curves/meltCurve_Q8WUH6_C12orf23.pdf")</f>
        <v>Melting_Curves/meltCurve_Q8WUH6_C12orf23.pdf</v>
      </c>
    </row>
    <row r="4780" spans="1:28" x14ac:dyDescent="0.25">
      <c r="A4780" t="s">
        <v>4784</v>
      </c>
      <c r="B4780">
        <v>0.995954080203443</v>
      </c>
      <c r="C4780">
        <v>0.97052935709938903</v>
      </c>
      <c r="D4780">
        <v>0.89991565427160902</v>
      </c>
      <c r="E4780">
        <v>0.72621096994452605</v>
      </c>
      <c r="F4780">
        <v>0.57130076768664395</v>
      </c>
      <c r="G4780">
        <v>0.31598782305853901</v>
      </c>
      <c r="H4780">
        <v>0.20890718981116099</v>
      </c>
      <c r="I4780">
        <v>0.184686768929435</v>
      </c>
      <c r="J4780">
        <v>0.19190231856277501</v>
      </c>
      <c r="K4780">
        <v>0.15830207608032101</v>
      </c>
      <c r="L4780">
        <v>825.98231030224201</v>
      </c>
      <c r="M4780">
        <v>15.7223517207438</v>
      </c>
      <c r="N4780">
        <v>53.663387477717599</v>
      </c>
      <c r="O4780">
        <v>51.707666510623497</v>
      </c>
      <c r="P4780">
        <v>-6.5326127843852097E-2</v>
      </c>
      <c r="Q4780">
        <v>0.14069398177234199</v>
      </c>
      <c r="R4780">
        <v>0.997678576741722</v>
      </c>
      <c r="S4780" t="s">
        <v>11586</v>
      </c>
      <c r="T4780" t="s">
        <v>13610</v>
      </c>
      <c r="U4780" t="s">
        <v>13610</v>
      </c>
      <c r="V4780" t="s">
        <v>13610</v>
      </c>
      <c r="W4780" t="s">
        <v>18329</v>
      </c>
      <c r="X4780">
        <v>14</v>
      </c>
      <c r="Y4780" t="s">
        <v>24905</v>
      </c>
      <c r="Z4780" t="s">
        <v>31635</v>
      </c>
      <c r="AA4780">
        <v>0.5173261919820209</v>
      </c>
      <c r="AB4780" t="str">
        <f>HYPERLINK("Melting_Curves/meltCurve_Q8WUI4_3_HDAC7.pdf", "Melting_Curves/meltCurve_Q8WUI4_3_HDAC7.pdf")</f>
        <v>Melting_Curves/meltCurve_Q8WUI4_3_HDAC7.pdf</v>
      </c>
    </row>
    <row r="4781" spans="1:28" x14ac:dyDescent="0.25">
      <c r="A4781" t="s">
        <v>4785</v>
      </c>
      <c r="B4781">
        <v>0.995954080203443</v>
      </c>
      <c r="C4781">
        <v>1.05855076081581</v>
      </c>
      <c r="D4781">
        <v>0.98217625887453197</v>
      </c>
      <c r="E4781">
        <v>0.80525382297819104</v>
      </c>
      <c r="F4781">
        <v>0.34993134871412301</v>
      </c>
      <c r="G4781">
        <v>0.16923054457087799</v>
      </c>
      <c r="H4781">
        <v>0.126360400149163</v>
      </c>
      <c r="I4781">
        <v>0.13809983899943901</v>
      </c>
      <c r="J4781">
        <v>0.12536512665031199</v>
      </c>
      <c r="K4781">
        <v>0.15088573052632601</v>
      </c>
      <c r="L4781">
        <v>2045.0149463103201</v>
      </c>
      <c r="M4781">
        <v>39.683210457362001</v>
      </c>
      <c r="N4781">
        <v>51.953960957604899</v>
      </c>
      <c r="O4781">
        <v>51.403166019986898</v>
      </c>
      <c r="P4781">
        <v>-0.16649414274486901</v>
      </c>
      <c r="Q4781">
        <v>0.13733729223902699</v>
      </c>
      <c r="R4781">
        <v>0.99723975124874498</v>
      </c>
      <c r="S4781" t="s">
        <v>11587</v>
      </c>
      <c r="T4781" t="s">
        <v>13610</v>
      </c>
      <c r="U4781" t="s">
        <v>13610</v>
      </c>
      <c r="V4781" t="s">
        <v>13610</v>
      </c>
      <c r="W4781" t="s">
        <v>18330</v>
      </c>
      <c r="X4781">
        <v>1</v>
      </c>
      <c r="Y4781" t="s">
        <v>24906</v>
      </c>
      <c r="Z4781" t="s">
        <v>31636</v>
      </c>
      <c r="AA4781">
        <v>0.47210978785805019</v>
      </c>
      <c r="AB4781" t="str">
        <f>HYPERLINK("Melting_Curves/meltCurve_Q8WUJ0_STYX.pdf", "Melting_Curves/meltCurve_Q8WUJ0_STYX.pdf")</f>
        <v>Melting_Curves/meltCurve_Q8WUJ0_STYX.pdf</v>
      </c>
    </row>
    <row r="4782" spans="1:28" x14ac:dyDescent="0.25">
      <c r="A4782" t="s">
        <v>4786</v>
      </c>
      <c r="B4782">
        <v>0.995954080203443</v>
      </c>
      <c r="C4782">
        <v>0.96465202544790596</v>
      </c>
      <c r="D4782">
        <v>1.0605728014047999</v>
      </c>
      <c r="E4782">
        <v>0.343710532337965</v>
      </c>
      <c r="F4782">
        <v>0.12683009415489699</v>
      </c>
      <c r="G4782">
        <v>7.21115048236559E-2</v>
      </c>
      <c r="H4782">
        <v>5.08068200074391E-2</v>
      </c>
      <c r="I4782">
        <v>4.7295733947693298E-2</v>
      </c>
      <c r="J4782">
        <v>5.4723611702750197E-2</v>
      </c>
      <c r="K4782">
        <v>4.7873076796368E-2</v>
      </c>
      <c r="L4782">
        <v>3716.4237292983498</v>
      </c>
      <c r="M4782">
        <v>75.1717452322317</v>
      </c>
      <c r="N4782">
        <v>49.531284393538101</v>
      </c>
      <c r="O4782">
        <v>49.404154150176701</v>
      </c>
      <c r="P4782">
        <v>-0.35556569670782801</v>
      </c>
      <c r="Q4782">
        <v>6.5264872047399794E-2</v>
      </c>
      <c r="R4782">
        <v>0.99469159788012695</v>
      </c>
      <c r="S4782" t="s">
        <v>11588</v>
      </c>
      <c r="T4782" t="s">
        <v>13610</v>
      </c>
      <c r="U4782" t="s">
        <v>13610</v>
      </c>
      <c r="V4782" t="s">
        <v>13610</v>
      </c>
      <c r="W4782" t="s">
        <v>18331</v>
      </c>
      <c r="X4782">
        <v>56</v>
      </c>
      <c r="Y4782" t="s">
        <v>24907</v>
      </c>
      <c r="Z4782" t="s">
        <v>31637</v>
      </c>
      <c r="AA4782">
        <v>0.36026597031990959</v>
      </c>
      <c r="AB4782" t="str">
        <f>HYPERLINK("Melting_Curves/meltCurve_Q8WUM4_PDCD6IP.pdf", "Melting_Curves/meltCurve_Q8WUM4_PDCD6IP.pdf")</f>
        <v>Melting_Curves/meltCurve_Q8WUM4_PDCD6IP.pdf</v>
      </c>
    </row>
    <row r="4783" spans="1:28" x14ac:dyDescent="0.25">
      <c r="A4783" t="s">
        <v>4787</v>
      </c>
      <c r="B4783">
        <v>0.995954080203443</v>
      </c>
      <c r="C4783">
        <v>0.68895897534086703</v>
      </c>
      <c r="D4783">
        <v>0.95302317645498902</v>
      </c>
      <c r="E4783">
        <v>0.67797821644220402</v>
      </c>
      <c r="F4783">
        <v>0.81323382844825098</v>
      </c>
      <c r="G4783">
        <v>0.62736302694992696</v>
      </c>
      <c r="H4783">
        <v>0.61758726158476596</v>
      </c>
      <c r="I4783">
        <v>0.59468570791445596</v>
      </c>
      <c r="J4783">
        <v>0.55800738645077197</v>
      </c>
      <c r="K4783">
        <v>0.68195802275508999</v>
      </c>
      <c r="L4783">
        <v>340.18195870386501</v>
      </c>
      <c r="M4783">
        <v>7.0387811820911503</v>
      </c>
      <c r="O4783">
        <v>44.882905699907298</v>
      </c>
      <c r="P4783">
        <v>-1.7474664806730301E-2</v>
      </c>
      <c r="Q4783">
        <v>0.55509829600369498</v>
      </c>
      <c r="R4783">
        <v>0.57879949161188904</v>
      </c>
      <c r="S4783" t="s">
        <v>11589</v>
      </c>
      <c r="T4783" t="s">
        <v>13610</v>
      </c>
      <c r="U4783" t="s">
        <v>13610</v>
      </c>
      <c r="V4783" t="s">
        <v>13610</v>
      </c>
      <c r="W4783" t="s">
        <v>18332</v>
      </c>
      <c r="X4783">
        <v>3</v>
      </c>
      <c r="Y4783" t="s">
        <v>24908</v>
      </c>
      <c r="Z4783" t="s">
        <v>31638</v>
      </c>
      <c r="AA4783">
        <v>0.71508246254390895</v>
      </c>
      <c r="AB4783" t="str">
        <f>HYPERLINK("Melting_Curves/meltCurve_Q8WUN7_UBTD2.pdf", "Melting_Curves/meltCurve_Q8WUN7_UBTD2.pdf")</f>
        <v>Melting_Curves/meltCurve_Q8WUN7_UBTD2.pdf</v>
      </c>
    </row>
    <row r="4784" spans="1:28" x14ac:dyDescent="0.25">
      <c r="A4784" t="s">
        <v>4788</v>
      </c>
      <c r="B4784">
        <v>0.995954080203443</v>
      </c>
      <c r="C4784">
        <v>0.93402059611828303</v>
      </c>
      <c r="D4784">
        <v>0.88950518133337797</v>
      </c>
      <c r="E4784">
        <v>0.77392108751641497</v>
      </c>
      <c r="F4784">
        <v>0.52093129343606603</v>
      </c>
      <c r="G4784">
        <v>0.28746845449175401</v>
      </c>
      <c r="H4784">
        <v>0.22391241239344301</v>
      </c>
      <c r="I4784">
        <v>0.23797936553932</v>
      </c>
      <c r="J4784">
        <v>0.29138239780268099</v>
      </c>
      <c r="K4784">
        <v>0.27695009677908899</v>
      </c>
      <c r="L4784">
        <v>1152.6443557806199</v>
      </c>
      <c r="M4784">
        <v>22.363761257703501</v>
      </c>
      <c r="N4784">
        <v>53.124333522083703</v>
      </c>
      <c r="O4784">
        <v>51.133927757942502</v>
      </c>
      <c r="P4784">
        <v>-8.2739886390736206E-2</v>
      </c>
      <c r="Q4784">
        <v>0.24328897434097499</v>
      </c>
      <c r="R4784">
        <v>0.98456853641550102</v>
      </c>
      <c r="S4784" t="s">
        <v>11590</v>
      </c>
      <c r="T4784" t="s">
        <v>13610</v>
      </c>
      <c r="U4784" t="s">
        <v>13610</v>
      </c>
      <c r="V4784" t="s">
        <v>13610</v>
      </c>
      <c r="W4784" t="s">
        <v>18333</v>
      </c>
      <c r="X4784">
        <v>15</v>
      </c>
      <c r="Y4784" t="s">
        <v>24909</v>
      </c>
      <c r="Z4784" t="s">
        <v>31639</v>
      </c>
      <c r="AA4784">
        <v>0.54290628619137793</v>
      </c>
      <c r="AB4784" t="str">
        <f>HYPERLINK("Melting_Curves/meltCurve_Q8WUQ7_CACTIN.pdf", "Melting_Curves/meltCurve_Q8WUQ7_CACTIN.pdf")</f>
        <v>Melting_Curves/meltCurve_Q8WUQ7_CACTIN.pdf</v>
      </c>
    </row>
    <row r="4785" spans="1:28" x14ac:dyDescent="0.25">
      <c r="A4785" t="s">
        <v>4789</v>
      </c>
      <c r="B4785">
        <v>0.995954080203443</v>
      </c>
      <c r="C4785">
        <v>0.892077068698232</v>
      </c>
      <c r="D4785">
        <v>0.88462702593231002</v>
      </c>
      <c r="E4785">
        <v>0.81434960971475501</v>
      </c>
      <c r="F4785">
        <v>0.70456103138980597</v>
      </c>
      <c r="G4785">
        <v>0.62078908952576795</v>
      </c>
      <c r="H4785">
        <v>0.55915942633570404</v>
      </c>
      <c r="I4785">
        <v>0.70420378801939398</v>
      </c>
      <c r="J4785">
        <v>0.93907578162810401</v>
      </c>
      <c r="K4785">
        <v>0.77403759750312495</v>
      </c>
      <c r="L4785">
        <v>863.71131019898303</v>
      </c>
      <c r="M4785">
        <v>18.8118953358833</v>
      </c>
      <c r="O4785">
        <v>45.403653119805298</v>
      </c>
      <c r="P4785">
        <v>-2.9063568947746199E-2</v>
      </c>
      <c r="Q4785">
        <v>0.71942487158933399</v>
      </c>
      <c r="R4785">
        <v>0.47383405345283303</v>
      </c>
      <c r="S4785" t="s">
        <v>11591</v>
      </c>
      <c r="T4785" t="s">
        <v>13610</v>
      </c>
      <c r="U4785" t="s">
        <v>13610</v>
      </c>
      <c r="V4785" t="s">
        <v>13610</v>
      </c>
      <c r="W4785" t="s">
        <v>18334</v>
      </c>
      <c r="X4785">
        <v>4</v>
      </c>
      <c r="Y4785" t="s">
        <v>24910</v>
      </c>
      <c r="Z4785" t="s">
        <v>31640</v>
      </c>
      <c r="AA4785">
        <v>0.77974646281473425</v>
      </c>
      <c r="AB4785" t="str">
        <f>HYPERLINK("Melting_Curves/meltCurve_Q8WUR7_C15orf40.pdf", "Melting_Curves/meltCurve_Q8WUR7_C15orf40.pdf")</f>
        <v>Melting_Curves/meltCurve_Q8WUR7_C15orf40.pdf</v>
      </c>
    </row>
    <row r="4786" spans="1:28" x14ac:dyDescent="0.25">
      <c r="A4786" t="s">
        <v>4790</v>
      </c>
      <c r="B4786">
        <v>0.995954080203443</v>
      </c>
      <c r="C4786">
        <v>0.96856931126663703</v>
      </c>
      <c r="D4786">
        <v>0.87980756291902196</v>
      </c>
      <c r="E4786">
        <v>0.56950284790887995</v>
      </c>
      <c r="F4786">
        <v>0.40826538138200702</v>
      </c>
      <c r="G4786">
        <v>0.32031973458304602</v>
      </c>
      <c r="H4786">
        <v>0.321558695636328</v>
      </c>
      <c r="I4786">
        <v>0.467925265424324</v>
      </c>
      <c r="J4786">
        <v>0.423953572857245</v>
      </c>
      <c r="K4786">
        <v>0.50320511832029002</v>
      </c>
      <c r="L4786">
        <v>1502.52162008456</v>
      </c>
      <c r="M4786">
        <v>31.194319705102401</v>
      </c>
      <c r="N4786">
        <v>50.854673019785103</v>
      </c>
      <c r="O4786">
        <v>47.9698785704934</v>
      </c>
      <c r="P4786">
        <v>-9.6914726891022707E-2</v>
      </c>
      <c r="Q4786">
        <v>0.40387090759280098</v>
      </c>
      <c r="R4786">
        <v>0.95043436609048604</v>
      </c>
      <c r="S4786" t="s">
        <v>11592</v>
      </c>
      <c r="T4786" t="s">
        <v>13610</v>
      </c>
      <c r="U4786" t="s">
        <v>13610</v>
      </c>
      <c r="V4786" t="s">
        <v>13610</v>
      </c>
      <c r="W4786" t="s">
        <v>18335</v>
      </c>
      <c r="X4786">
        <v>5</v>
      </c>
      <c r="Y4786" t="s">
        <v>24911</v>
      </c>
      <c r="Z4786" t="s">
        <v>31641</v>
      </c>
      <c r="AA4786">
        <v>0.56946101903203095</v>
      </c>
      <c r="AB4786" t="str">
        <f>HYPERLINK("Melting_Curves/meltCurve_Q8WUU5_GATAD1.pdf", "Melting_Curves/meltCurve_Q8WUU5_GATAD1.pdf")</f>
        <v>Melting_Curves/meltCurve_Q8WUU5_GATAD1.pdf</v>
      </c>
    </row>
    <row r="4787" spans="1:28" x14ac:dyDescent="0.25">
      <c r="A4787" t="s">
        <v>4791</v>
      </c>
      <c r="B4787">
        <v>0.995954080203443</v>
      </c>
      <c r="C4787">
        <v>0.92072194312195599</v>
      </c>
      <c r="D4787">
        <v>0.88833823148801005</v>
      </c>
      <c r="E4787">
        <v>0.88829714670517002</v>
      </c>
      <c r="F4787">
        <v>0.74537911155959202</v>
      </c>
      <c r="G4787">
        <v>0.59793127956969405</v>
      </c>
      <c r="H4787">
        <v>0.47699212252828099</v>
      </c>
      <c r="I4787">
        <v>0.37934172488375201</v>
      </c>
      <c r="J4787">
        <v>0.32306185827697598</v>
      </c>
      <c r="K4787">
        <v>0.242236587200651</v>
      </c>
      <c r="L4787">
        <v>477.95502605320797</v>
      </c>
      <c r="M4787">
        <v>7.9317536816757297</v>
      </c>
      <c r="N4787">
        <v>60.258430105817602</v>
      </c>
      <c r="O4787">
        <v>56.789312954344297</v>
      </c>
      <c r="P4787">
        <v>-3.4958231944961997E-2</v>
      </c>
      <c r="Q4787">
        <v>0</v>
      </c>
      <c r="R4787">
        <v>0.99121969548045896</v>
      </c>
      <c r="S4787" t="s">
        <v>11593</v>
      </c>
      <c r="T4787" t="s">
        <v>13610</v>
      </c>
      <c r="U4787" t="s">
        <v>13610</v>
      </c>
      <c r="V4787" t="s">
        <v>13610</v>
      </c>
      <c r="W4787" t="s">
        <v>18336</v>
      </c>
      <c r="X4787">
        <v>5</v>
      </c>
      <c r="Y4787" t="s">
        <v>24912</v>
      </c>
      <c r="Z4787" t="s">
        <v>31642</v>
      </c>
      <c r="AA4787">
        <v>0.65702101338159791</v>
      </c>
      <c r="AB4787" t="str">
        <f>HYPERLINK("Melting_Curves/meltCurve_Q8WUW1_BRK1.pdf", "Melting_Curves/meltCurve_Q8WUW1_BRK1.pdf")</f>
        <v>Melting_Curves/meltCurve_Q8WUW1_BRK1.pdf</v>
      </c>
    </row>
    <row r="4788" spans="1:28" x14ac:dyDescent="0.25">
      <c r="A4788" t="s">
        <v>4792</v>
      </c>
      <c r="B4788">
        <v>0.995954080203443</v>
      </c>
      <c r="C4788">
        <v>1.01482610131128</v>
      </c>
      <c r="D4788">
        <v>1.02231025862881</v>
      </c>
      <c r="E4788">
        <v>0.88750221155074605</v>
      </c>
      <c r="F4788">
        <v>0.75943359475473804</v>
      </c>
      <c r="G4788">
        <v>0.28413131702917699</v>
      </c>
      <c r="H4788">
        <v>0.107464954000456</v>
      </c>
      <c r="I4788">
        <v>5.9362516003300302E-2</v>
      </c>
      <c r="J4788">
        <v>6.5539612153750301E-2</v>
      </c>
      <c r="K4788">
        <v>5.3229341625414199E-2</v>
      </c>
      <c r="L4788">
        <v>1502.9761626903201</v>
      </c>
      <c r="M4788">
        <v>27.415148930749101</v>
      </c>
      <c r="N4788">
        <v>55.031717748313199</v>
      </c>
      <c r="O4788">
        <v>54.533626521074702</v>
      </c>
      <c r="P4788">
        <v>-0.11947075855360199</v>
      </c>
      <c r="Q4788">
        <v>4.9414179541954498E-2</v>
      </c>
      <c r="R4788">
        <v>0.99751116985993804</v>
      </c>
      <c r="S4788" t="s">
        <v>11594</v>
      </c>
      <c r="T4788" t="s">
        <v>13610</v>
      </c>
      <c r="U4788" t="s">
        <v>13610</v>
      </c>
      <c r="V4788" t="s">
        <v>13610</v>
      </c>
      <c r="W4788" t="s">
        <v>18337</v>
      </c>
      <c r="X4788">
        <v>7</v>
      </c>
      <c r="Y4788" t="s">
        <v>24913</v>
      </c>
      <c r="Z4788" t="s">
        <v>31643</v>
      </c>
      <c r="AA4788">
        <v>0.52654443827100417</v>
      </c>
      <c r="AB4788" t="str">
        <f>HYPERLINK("Melting_Curves/meltCurve_Q8WUX2_CHAC2.pdf", "Melting_Curves/meltCurve_Q8WUX2_CHAC2.pdf")</f>
        <v>Melting_Curves/meltCurve_Q8WUX2_CHAC2.pdf</v>
      </c>
    </row>
    <row r="4789" spans="1:28" x14ac:dyDescent="0.25">
      <c r="A4789" t="s">
        <v>4793</v>
      </c>
      <c r="B4789">
        <v>0.995954080203443</v>
      </c>
      <c r="C4789">
        <v>1.0100938249579301</v>
      </c>
      <c r="D4789">
        <v>1.0039099986957101</v>
      </c>
      <c r="E4789">
        <v>0.51465006691345805</v>
      </c>
      <c r="F4789">
        <v>0.400287605915916</v>
      </c>
      <c r="G4789">
        <v>0.28916744624754298</v>
      </c>
      <c r="H4789">
        <v>0.247386753632237</v>
      </c>
      <c r="I4789">
        <v>0.26936739513278102</v>
      </c>
      <c r="J4789">
        <v>0.27250733104202102</v>
      </c>
      <c r="K4789">
        <v>0.293665050131792</v>
      </c>
      <c r="L4789">
        <v>1909.28362809487</v>
      </c>
      <c r="M4789">
        <v>38.746739269275103</v>
      </c>
      <c r="N4789">
        <v>50.366585361034502</v>
      </c>
      <c r="O4789">
        <v>49.1452742255155</v>
      </c>
      <c r="P4789">
        <v>-0.14113974886469899</v>
      </c>
      <c r="Q4789">
        <v>0.28393093570533301</v>
      </c>
      <c r="R4789">
        <v>0.98994866391741598</v>
      </c>
      <c r="S4789" t="s">
        <v>11595</v>
      </c>
      <c r="T4789" t="s">
        <v>13610</v>
      </c>
      <c r="U4789" t="s">
        <v>13610</v>
      </c>
      <c r="V4789" t="s">
        <v>13610</v>
      </c>
      <c r="W4789" t="s">
        <v>18338</v>
      </c>
      <c r="X4789">
        <v>6</v>
      </c>
      <c r="Y4789" t="s">
        <v>24914</v>
      </c>
      <c r="Z4789" t="s">
        <v>31644</v>
      </c>
      <c r="AA4789">
        <v>0.50794238216286292</v>
      </c>
      <c r="AB4789" t="str">
        <f>HYPERLINK("Melting_Curves/meltCurve_Q8WUX9_CHMP7.pdf", "Melting_Curves/meltCurve_Q8WUX9_CHMP7.pdf")</f>
        <v>Melting_Curves/meltCurve_Q8WUX9_CHMP7.pdf</v>
      </c>
    </row>
    <row r="4790" spans="1:28" x14ac:dyDescent="0.25">
      <c r="A4790" t="s">
        <v>4794</v>
      </c>
      <c r="B4790">
        <v>0.995954080203443</v>
      </c>
      <c r="C4790">
        <v>0.78410144570793905</v>
      </c>
      <c r="D4790">
        <v>0.51527812919304605</v>
      </c>
      <c r="E4790">
        <v>0.40935057417098197</v>
      </c>
      <c r="F4790">
        <v>0.25047477506585097</v>
      </c>
      <c r="G4790">
        <v>0.16100820553197301</v>
      </c>
      <c r="H4790">
        <v>0.14947925635738499</v>
      </c>
      <c r="I4790">
        <v>0.162043999273281</v>
      </c>
      <c r="J4790">
        <v>0.23161190781191501</v>
      </c>
      <c r="K4790">
        <v>0.18432884172650299</v>
      </c>
      <c r="L4790">
        <v>768.20228044775104</v>
      </c>
      <c r="M4790">
        <v>16.799941796149799</v>
      </c>
      <c r="N4790">
        <v>46.9282517022503</v>
      </c>
      <c r="O4790">
        <v>45.093331835908998</v>
      </c>
      <c r="P4790">
        <v>-7.68622909644672E-2</v>
      </c>
      <c r="Q4790">
        <v>0.174817998807135</v>
      </c>
      <c r="R4790">
        <v>0.975731721223832</v>
      </c>
      <c r="S4790" t="s">
        <v>11596</v>
      </c>
      <c r="T4790" t="s">
        <v>13610</v>
      </c>
      <c r="U4790" t="s">
        <v>13610</v>
      </c>
      <c r="V4790" t="s">
        <v>13610</v>
      </c>
      <c r="W4790" t="s">
        <v>18339</v>
      </c>
      <c r="X4790">
        <v>7</v>
      </c>
      <c r="Y4790" t="s">
        <v>24915</v>
      </c>
      <c r="Z4790" t="s">
        <v>31645</v>
      </c>
      <c r="AA4790">
        <v>0.35165050157997602</v>
      </c>
      <c r="AB4790" t="str">
        <f>HYPERLINK("Melting_Curves/meltCurve_Q8WUZ0_BCL7C.pdf", "Melting_Curves/meltCurve_Q8WUZ0_BCL7C.pdf")</f>
        <v>Melting_Curves/meltCurve_Q8WUZ0_BCL7C.pdf</v>
      </c>
    </row>
    <row r="4791" spans="1:28" x14ac:dyDescent="0.25">
      <c r="A4791" t="s">
        <v>4795</v>
      </c>
      <c r="B4791">
        <v>0.995954080203443</v>
      </c>
      <c r="C4791">
        <v>0.857521745306425</v>
      </c>
      <c r="D4791">
        <v>0.69012778426803401</v>
      </c>
      <c r="E4791">
        <v>0.48479121986354001</v>
      </c>
      <c r="F4791">
        <v>0.27519441767883601</v>
      </c>
      <c r="G4791">
        <v>0.20544237795296899</v>
      </c>
      <c r="H4791">
        <v>0.16510618307734201</v>
      </c>
      <c r="I4791">
        <v>0.15536501588228899</v>
      </c>
      <c r="J4791">
        <v>0.20219344702612799</v>
      </c>
      <c r="K4791">
        <v>0.19351809626152</v>
      </c>
      <c r="L4791">
        <v>762.82441859510004</v>
      </c>
      <c r="M4791">
        <v>15.9770163750041</v>
      </c>
      <c r="N4791">
        <v>48.949418788551597</v>
      </c>
      <c r="O4791">
        <v>47.0159156514515</v>
      </c>
      <c r="P4791">
        <v>-7.1154523350137805E-2</v>
      </c>
      <c r="Q4791">
        <v>0.16251416788157499</v>
      </c>
      <c r="R4791">
        <v>0.991241630826727</v>
      </c>
      <c r="S4791" t="s">
        <v>11597</v>
      </c>
      <c r="T4791" t="s">
        <v>13610</v>
      </c>
      <c r="U4791" t="s">
        <v>13610</v>
      </c>
      <c r="V4791" t="s">
        <v>13610</v>
      </c>
      <c r="W4791" t="s">
        <v>18340</v>
      </c>
      <c r="X4791">
        <v>7</v>
      </c>
      <c r="Y4791" t="s">
        <v>24916</v>
      </c>
      <c r="Z4791" t="s">
        <v>31646</v>
      </c>
      <c r="AA4791">
        <v>0.39793166383865503</v>
      </c>
      <c r="AB4791" t="str">
        <f>HYPERLINK("Melting_Curves/meltCurve_Q8WV22_NSMCE1.pdf", "Melting_Curves/meltCurve_Q8WV22_NSMCE1.pdf")</f>
        <v>Melting_Curves/meltCurve_Q8WV22_NSMCE1.pdf</v>
      </c>
    </row>
    <row r="4792" spans="1:28" x14ac:dyDescent="0.25">
      <c r="A4792" t="s">
        <v>4796</v>
      </c>
      <c r="B4792">
        <v>0.995954080203443</v>
      </c>
      <c r="C4792">
        <v>1.04395348857881</v>
      </c>
      <c r="D4792">
        <v>0.94678319364099395</v>
      </c>
      <c r="E4792">
        <v>0.94022824013101602</v>
      </c>
      <c r="F4792">
        <v>0.66225641012241199</v>
      </c>
      <c r="G4792">
        <v>0.17531502355947101</v>
      </c>
      <c r="H4792">
        <v>7.4663119783249202E-2</v>
      </c>
      <c r="I4792">
        <v>4.6766028168634198E-2</v>
      </c>
      <c r="J4792">
        <v>5.58489682620293E-2</v>
      </c>
      <c r="K4792">
        <v>5.4502755050273001E-2</v>
      </c>
      <c r="L4792">
        <v>1854.6613012094999</v>
      </c>
      <c r="M4792">
        <v>34.408738210266797</v>
      </c>
      <c r="N4792">
        <v>54.072578798105603</v>
      </c>
      <c r="O4792">
        <v>53.7197960985321</v>
      </c>
      <c r="P4792">
        <v>-0.15184422174399401</v>
      </c>
      <c r="Q4792">
        <v>5.1751353515320099E-2</v>
      </c>
      <c r="R4792">
        <v>0.99747385093033802</v>
      </c>
      <c r="S4792" t="s">
        <v>11598</v>
      </c>
      <c r="T4792" t="s">
        <v>13610</v>
      </c>
      <c r="U4792" t="s">
        <v>13610</v>
      </c>
      <c r="V4792" t="s">
        <v>13610</v>
      </c>
      <c r="W4792" t="s">
        <v>18341</v>
      </c>
      <c r="X4792">
        <v>6</v>
      </c>
      <c r="Y4792" t="s">
        <v>24917</v>
      </c>
      <c r="Z4792" t="s">
        <v>31647</v>
      </c>
      <c r="AA4792">
        <v>0.49589230572504289</v>
      </c>
      <c r="AB4792" t="str">
        <f>HYPERLINK("Melting_Curves/meltCurve_Q8WV41_SNX33.pdf", "Melting_Curves/meltCurve_Q8WV41_SNX33.pdf")</f>
        <v>Melting_Curves/meltCurve_Q8WV41_SNX33.pdf</v>
      </c>
    </row>
    <row r="4793" spans="1:28" x14ac:dyDescent="0.25">
      <c r="A4793" t="s">
        <v>4797</v>
      </c>
      <c r="B4793">
        <v>0.995954080203443</v>
      </c>
      <c r="C4793">
        <v>0.79468190967045205</v>
      </c>
      <c r="D4793">
        <v>0.81487104291150503</v>
      </c>
      <c r="E4793">
        <v>0.54052713795279805</v>
      </c>
      <c r="F4793">
        <v>0.37359682249009701</v>
      </c>
      <c r="G4793">
        <v>0.21775402277967901</v>
      </c>
      <c r="H4793">
        <v>0.16931471213449001</v>
      </c>
      <c r="I4793">
        <v>0.15258021509557801</v>
      </c>
      <c r="J4793">
        <v>0.18369055705871101</v>
      </c>
      <c r="K4793">
        <v>0.151181087782539</v>
      </c>
      <c r="L4793">
        <v>660.14198508700201</v>
      </c>
      <c r="M4793">
        <v>13.3661469222926</v>
      </c>
      <c r="N4793">
        <v>50.462578517826699</v>
      </c>
      <c r="O4793">
        <v>48.3228644100625</v>
      </c>
      <c r="P4793">
        <v>-6.06030067450119E-2</v>
      </c>
      <c r="Q4793">
        <v>0.12374249897336199</v>
      </c>
      <c r="R4793">
        <v>0.98153110121825304</v>
      </c>
      <c r="S4793" t="s">
        <v>11599</v>
      </c>
      <c r="T4793" t="s">
        <v>13610</v>
      </c>
      <c r="U4793" t="s">
        <v>13610</v>
      </c>
      <c r="V4793" t="s">
        <v>13610</v>
      </c>
      <c r="W4793" t="s">
        <v>18342</v>
      </c>
      <c r="X4793">
        <v>5</v>
      </c>
      <c r="Y4793" t="s">
        <v>24918</v>
      </c>
      <c r="Z4793" t="s">
        <v>31648</v>
      </c>
      <c r="AA4793">
        <v>0.42420316056622898</v>
      </c>
      <c r="AB4793" t="str">
        <f>HYPERLINK("Melting_Curves/meltCurve_Q8WV92_MITD1.pdf", "Melting_Curves/meltCurve_Q8WV92_MITD1.pdf")</f>
        <v>Melting_Curves/meltCurve_Q8WV92_MITD1.pdf</v>
      </c>
    </row>
    <row r="4794" spans="1:28" x14ac:dyDescent="0.25">
      <c r="A4794" t="s">
        <v>4798</v>
      </c>
      <c r="B4794">
        <v>0.995954080203443</v>
      </c>
      <c r="C4794">
        <v>0.83238635534454997</v>
      </c>
      <c r="D4794">
        <v>0.75033915557104303</v>
      </c>
      <c r="E4794">
        <v>0.60816807846798204</v>
      </c>
      <c r="F4794">
        <v>0.52681236802978504</v>
      </c>
      <c r="G4794">
        <v>0.310715419381424</v>
      </c>
      <c r="H4794">
        <v>0.20157109499350001</v>
      </c>
      <c r="I4794">
        <v>0.14601195147024101</v>
      </c>
      <c r="J4794">
        <v>0.142794894801518</v>
      </c>
      <c r="K4794">
        <v>0.10713006027883699</v>
      </c>
      <c r="L4794">
        <v>464.284629188042</v>
      </c>
      <c r="M4794">
        <v>8.8601942900166399</v>
      </c>
      <c r="N4794">
        <v>52.401176869320103</v>
      </c>
      <c r="O4794">
        <v>49.937813964493799</v>
      </c>
      <c r="P4794">
        <v>-4.4390315670777301E-2</v>
      </c>
      <c r="Q4794">
        <v>0</v>
      </c>
      <c r="R4794">
        <v>0.98948933660125304</v>
      </c>
      <c r="S4794" t="s">
        <v>11600</v>
      </c>
      <c r="T4794" t="s">
        <v>13610</v>
      </c>
      <c r="U4794" t="s">
        <v>13610</v>
      </c>
      <c r="V4794" t="s">
        <v>13610</v>
      </c>
      <c r="W4794" t="s">
        <v>18343</v>
      </c>
      <c r="X4794">
        <v>4</v>
      </c>
      <c r="Y4794" t="s">
        <v>24919</v>
      </c>
      <c r="Z4794" t="s">
        <v>31649</v>
      </c>
      <c r="AA4794">
        <v>0.45429457211475771</v>
      </c>
      <c r="AB4794" t="str">
        <f>HYPERLINK("Melting_Curves/meltCurve_Q8WVB3_HEXDC.pdf", "Melting_Curves/meltCurve_Q8WVB3_HEXDC.pdf")</f>
        <v>Melting_Curves/meltCurve_Q8WVB3_HEXDC.pdf</v>
      </c>
    </row>
    <row r="4795" spans="1:28" x14ac:dyDescent="0.25">
      <c r="A4795" t="s">
        <v>4799</v>
      </c>
      <c r="B4795">
        <v>0.995954080203443</v>
      </c>
      <c r="C4795">
        <v>0.77510302413673904</v>
      </c>
      <c r="D4795">
        <v>0.77569665792262499</v>
      </c>
      <c r="E4795">
        <v>0.60335334078576697</v>
      </c>
      <c r="F4795">
        <v>0.71605145445908303</v>
      </c>
      <c r="G4795">
        <v>0.54519466341161804</v>
      </c>
      <c r="H4795">
        <v>0.53986013703593605</v>
      </c>
      <c r="I4795">
        <v>0.69628126140669</v>
      </c>
      <c r="J4795">
        <v>0.90378170073518804</v>
      </c>
      <c r="K4795">
        <v>0.87625494266048998</v>
      </c>
      <c r="L4795">
        <v>2434.6709451325301</v>
      </c>
      <c r="M4795">
        <v>57.848160561863502</v>
      </c>
      <c r="O4795">
        <v>42.037072812145901</v>
      </c>
      <c r="P4795">
        <v>-0.101029338003134</v>
      </c>
      <c r="Q4795">
        <v>0.70633643742991303</v>
      </c>
      <c r="R4795">
        <v>0.35536659160858802</v>
      </c>
      <c r="S4795" t="s">
        <v>11601</v>
      </c>
      <c r="T4795" t="s">
        <v>13610</v>
      </c>
      <c r="U4795" t="s">
        <v>13610</v>
      </c>
      <c r="V4795" t="s">
        <v>13610</v>
      </c>
      <c r="W4795" t="s">
        <v>18344</v>
      </c>
      <c r="X4795">
        <v>5</v>
      </c>
      <c r="Y4795" t="s">
        <v>24920</v>
      </c>
      <c r="Z4795" t="s">
        <v>31650</v>
      </c>
      <c r="AA4795">
        <v>0.72747215019416989</v>
      </c>
      <c r="AB4795" t="str">
        <f>HYPERLINK("Melting_Curves/meltCurve_Q8WVB6_CHTF18.pdf", "Melting_Curves/meltCurve_Q8WVB6_CHTF18.pdf")</f>
        <v>Melting_Curves/meltCurve_Q8WVB6_CHTF18.pdf</v>
      </c>
    </row>
    <row r="4796" spans="1:28" x14ac:dyDescent="0.25">
      <c r="A4796" t="s">
        <v>4800</v>
      </c>
      <c r="B4796">
        <v>0.995954080203443</v>
      </c>
      <c r="C4796">
        <v>1.01549291728254</v>
      </c>
      <c r="D4796">
        <v>1.0223370121389701</v>
      </c>
      <c r="E4796">
        <v>0.85669767897026305</v>
      </c>
      <c r="F4796">
        <v>0.74746062426608095</v>
      </c>
      <c r="G4796">
        <v>0.63031449570529996</v>
      </c>
      <c r="H4796">
        <v>0.61937097531313301</v>
      </c>
      <c r="I4796">
        <v>0.78370967677362602</v>
      </c>
      <c r="J4796">
        <v>1.0503544443053301</v>
      </c>
      <c r="K4796">
        <v>0.96683939789324103</v>
      </c>
      <c r="L4796">
        <v>12453.9245932581</v>
      </c>
      <c r="M4796">
        <v>250</v>
      </c>
      <c r="O4796">
        <v>49.812510500195501</v>
      </c>
      <c r="P4796">
        <v>-0.25134883448780798</v>
      </c>
      <c r="Q4796">
        <v>0.799674936926421</v>
      </c>
      <c r="R4796">
        <v>0.36452542959127898</v>
      </c>
      <c r="S4796" t="s">
        <v>11602</v>
      </c>
      <c r="T4796" t="s">
        <v>13610</v>
      </c>
      <c r="U4796" t="s">
        <v>13610</v>
      </c>
      <c r="V4796" t="s">
        <v>13610</v>
      </c>
      <c r="W4796" t="s">
        <v>18345</v>
      </c>
      <c r="X4796">
        <v>29</v>
      </c>
      <c r="Y4796" t="s">
        <v>24921</v>
      </c>
      <c r="Z4796" t="s">
        <v>31651</v>
      </c>
      <c r="AA4796">
        <v>0.86523679702333733</v>
      </c>
      <c r="AB4796" t="str">
        <f>HYPERLINK("Melting_Curves/meltCurve_Q8WVC0_LEO1.pdf", "Melting_Curves/meltCurve_Q8WVC0_LEO1.pdf")</f>
        <v>Melting_Curves/meltCurve_Q8WVC0_LEO1.pdf</v>
      </c>
    </row>
    <row r="4797" spans="1:28" x14ac:dyDescent="0.25">
      <c r="A4797" t="s">
        <v>4801</v>
      </c>
      <c r="B4797">
        <v>0.995954080203443</v>
      </c>
      <c r="C4797">
        <v>0.96545305212438703</v>
      </c>
      <c r="D4797">
        <v>0.92967694817781499</v>
      </c>
      <c r="E4797">
        <v>0.81899285435484803</v>
      </c>
      <c r="F4797">
        <v>0.71001361889506198</v>
      </c>
      <c r="G4797">
        <v>0.44983175450594198</v>
      </c>
      <c r="H4797">
        <v>0.38164706835809398</v>
      </c>
      <c r="I4797">
        <v>0.43485686097919102</v>
      </c>
      <c r="J4797">
        <v>0.47280498008282901</v>
      </c>
      <c r="K4797">
        <v>0.45165528147473999</v>
      </c>
      <c r="L4797">
        <v>1153.5326249012701</v>
      </c>
      <c r="M4797">
        <v>22.144457647109601</v>
      </c>
      <c r="N4797">
        <v>56.8699748379276</v>
      </c>
      <c r="O4797">
        <v>51.672036424403402</v>
      </c>
      <c r="P4797">
        <v>-6.1903973612129903E-2</v>
      </c>
      <c r="Q4797">
        <v>0.42222386312148502</v>
      </c>
      <c r="R4797">
        <v>0.97358019054132094</v>
      </c>
      <c r="S4797" t="s">
        <v>11603</v>
      </c>
      <c r="T4797" t="s">
        <v>13610</v>
      </c>
      <c r="U4797" t="s">
        <v>13610</v>
      </c>
      <c r="V4797" t="s">
        <v>13610</v>
      </c>
      <c r="W4797" t="s">
        <v>18346</v>
      </c>
      <c r="X4797">
        <v>5</v>
      </c>
      <c r="Y4797" t="s">
        <v>24922</v>
      </c>
      <c r="Z4797" t="s">
        <v>31652</v>
      </c>
      <c r="AA4797">
        <v>0.66173108512026213</v>
      </c>
      <c r="AB4797" t="str">
        <f>HYPERLINK("Melting_Curves/meltCurve_Q8WVC2_RPS21.pdf", "Melting_Curves/meltCurve_Q8WVC2_RPS21.pdf")</f>
        <v>Melting_Curves/meltCurve_Q8WVC2_RPS21.pdf</v>
      </c>
    </row>
    <row r="4798" spans="1:28" x14ac:dyDescent="0.25">
      <c r="A4798" t="s">
        <v>4802</v>
      </c>
      <c r="B4798">
        <v>0.995954080203443</v>
      </c>
      <c r="C4798">
        <v>0.85436813209505502</v>
      </c>
      <c r="D4798">
        <v>0.60602531587668995</v>
      </c>
      <c r="E4798">
        <v>0.54838187166747199</v>
      </c>
      <c r="F4798">
        <v>0.40732972378771598</v>
      </c>
      <c r="G4798">
        <v>0.23948739174237499</v>
      </c>
      <c r="H4798">
        <v>0.2069904017634</v>
      </c>
      <c r="I4798">
        <v>0.230644498154913</v>
      </c>
      <c r="J4798">
        <v>0.244299373548516</v>
      </c>
      <c r="K4798">
        <v>0.23985549829527</v>
      </c>
      <c r="L4798">
        <v>615.28882545145996</v>
      </c>
      <c r="M4798">
        <v>12.9237658119423</v>
      </c>
      <c r="N4798">
        <v>49.631128165552298</v>
      </c>
      <c r="O4798">
        <v>46.512436898148898</v>
      </c>
      <c r="P4798">
        <v>-5.5256432247107197E-2</v>
      </c>
      <c r="Q4798">
        <v>0.204675524220718</v>
      </c>
      <c r="R4798">
        <v>0.971018955687876</v>
      </c>
      <c r="S4798" t="s">
        <v>11604</v>
      </c>
      <c r="T4798" t="s">
        <v>13610</v>
      </c>
      <c r="U4798" t="s">
        <v>13610</v>
      </c>
      <c r="V4798" t="s">
        <v>13610</v>
      </c>
      <c r="W4798" t="s">
        <v>18347</v>
      </c>
      <c r="X4798">
        <v>4</v>
      </c>
      <c r="Y4798" t="s">
        <v>24923</v>
      </c>
      <c r="Z4798" t="s">
        <v>31653</v>
      </c>
      <c r="AA4798">
        <v>0.43428924287680132</v>
      </c>
      <c r="AB4798" t="str">
        <f>HYPERLINK("Melting_Curves/meltCurve_Q8WVD3_RNF138.pdf", "Melting_Curves/meltCurve_Q8WVD3_RNF138.pdf")</f>
        <v>Melting_Curves/meltCurve_Q8WVD3_RNF138.pdf</v>
      </c>
    </row>
    <row r="4799" spans="1:28" x14ac:dyDescent="0.25">
      <c r="A4799" t="s">
        <v>4803</v>
      </c>
      <c r="B4799">
        <v>0.995954080203443</v>
      </c>
      <c r="C4799">
        <v>0.93145354744777897</v>
      </c>
      <c r="D4799">
        <v>0.77319908545104898</v>
      </c>
      <c r="E4799">
        <v>0.39664578617996799</v>
      </c>
      <c r="F4799">
        <v>8.4892697987145493E-2</v>
      </c>
      <c r="G4799">
        <v>3.2101127686624001E-2</v>
      </c>
      <c r="H4799">
        <v>2.0227884226771499E-2</v>
      </c>
      <c r="I4799">
        <v>1.31073600747249E-2</v>
      </c>
      <c r="J4799">
        <v>1.20462576470224E-2</v>
      </c>
      <c r="K4799">
        <v>1.13591785136352E-2</v>
      </c>
      <c r="L4799">
        <v>1097.09195941711</v>
      </c>
      <c r="M4799">
        <v>22.5477595690285</v>
      </c>
      <c r="N4799">
        <v>48.667355227486702</v>
      </c>
      <c r="O4799">
        <v>48.278489823249302</v>
      </c>
      <c r="P4799">
        <v>-0.11646405574068799</v>
      </c>
      <c r="Q4799">
        <v>2.5448386812492699E-3</v>
      </c>
      <c r="R4799">
        <v>0.99642369093721594</v>
      </c>
      <c r="S4799" t="s">
        <v>11605</v>
      </c>
      <c r="T4799" t="s">
        <v>13610</v>
      </c>
      <c r="U4799" t="s">
        <v>13610</v>
      </c>
      <c r="V4799" t="s">
        <v>13610</v>
      </c>
      <c r="W4799" t="s">
        <v>18348</v>
      </c>
      <c r="X4799">
        <v>3</v>
      </c>
      <c r="Y4799" t="s">
        <v>24924</v>
      </c>
      <c r="Z4799" t="s">
        <v>31654</v>
      </c>
      <c r="AA4799">
        <v>0.30129356878262897</v>
      </c>
      <c r="AB4799" t="str">
        <f>HYPERLINK("Melting_Curves/meltCurve_Q8WVE0_N6AMT2.pdf", "Melting_Curves/meltCurve_Q8WVE0_N6AMT2.pdf")</f>
        <v>Melting_Curves/meltCurve_Q8WVE0_N6AMT2.pdf</v>
      </c>
    </row>
    <row r="4800" spans="1:28" x14ac:dyDescent="0.25">
      <c r="A4800" t="s">
        <v>4804</v>
      </c>
      <c r="B4800">
        <v>0.995954080203443</v>
      </c>
      <c r="C4800">
        <v>0.956571646407267</v>
      </c>
      <c r="D4800">
        <v>0.94066635411515198</v>
      </c>
      <c r="E4800">
        <v>0.738742933570112</v>
      </c>
      <c r="F4800">
        <v>0.37314313155421303</v>
      </c>
      <c r="G4800">
        <v>0.14020586360275999</v>
      </c>
      <c r="H4800">
        <v>9.3118736410549796E-2</v>
      </c>
      <c r="I4800">
        <v>7.9818787964738902E-2</v>
      </c>
      <c r="J4800">
        <v>9.58973023957813E-2</v>
      </c>
      <c r="K4800">
        <v>8.0025194717024906E-2</v>
      </c>
      <c r="L4800">
        <v>1407.21216418515</v>
      </c>
      <c r="M4800">
        <v>27.286176763618801</v>
      </c>
      <c r="N4800">
        <v>51.9078362231824</v>
      </c>
      <c r="O4800">
        <v>51.2977106661181</v>
      </c>
      <c r="P4800">
        <v>-0.12223055087184601</v>
      </c>
      <c r="Q4800">
        <v>8.0840030715624303E-2</v>
      </c>
      <c r="R4800">
        <v>0.99818969348561304</v>
      </c>
      <c r="S4800" t="s">
        <v>11606</v>
      </c>
      <c r="T4800" t="s">
        <v>13610</v>
      </c>
      <c r="U4800" t="s">
        <v>13610</v>
      </c>
      <c r="V4800" t="s">
        <v>13610</v>
      </c>
      <c r="W4800" t="s">
        <v>18349</v>
      </c>
      <c r="X4800">
        <v>9</v>
      </c>
      <c r="Y4800" t="s">
        <v>24925</v>
      </c>
      <c r="Z4800" t="s">
        <v>31655</v>
      </c>
      <c r="AA4800">
        <v>0.44244051831537312</v>
      </c>
      <c r="AB4800" t="str">
        <f>HYPERLINK("Melting_Curves/meltCurve_Q8WVJ2_NUDCD2.pdf", "Melting_Curves/meltCurve_Q8WVJ2_NUDCD2.pdf")</f>
        <v>Melting_Curves/meltCurve_Q8WVJ2_NUDCD2.pdf</v>
      </c>
    </row>
    <row r="4801" spans="1:28" x14ac:dyDescent="0.25">
      <c r="A4801" t="s">
        <v>4805</v>
      </c>
      <c r="B4801">
        <v>0.995954080203443</v>
      </c>
      <c r="C4801">
        <v>0.98769433274681195</v>
      </c>
      <c r="D4801">
        <v>0.90807589255391297</v>
      </c>
      <c r="E4801">
        <v>0.89891714059174399</v>
      </c>
      <c r="F4801">
        <v>0.75501439648647894</v>
      </c>
      <c r="G4801">
        <v>0.56383378932745898</v>
      </c>
      <c r="H4801">
        <v>0.50330813782220596</v>
      </c>
      <c r="I4801">
        <v>0.57648598925590699</v>
      </c>
      <c r="J4801">
        <v>0.71177471590683405</v>
      </c>
      <c r="K4801">
        <v>0.66146476602091697</v>
      </c>
      <c r="L4801">
        <v>1682.9879903895601</v>
      </c>
      <c r="M4801">
        <v>32.517249297761502</v>
      </c>
      <c r="O4801">
        <v>51.562210496319899</v>
      </c>
      <c r="P4801">
        <v>-6.2670308511818207E-2</v>
      </c>
      <c r="Q4801">
        <v>0.60249968885653105</v>
      </c>
      <c r="R4801">
        <v>0.87297959279836201</v>
      </c>
      <c r="S4801" t="s">
        <v>11607</v>
      </c>
      <c r="T4801" t="s">
        <v>13610</v>
      </c>
      <c r="U4801" t="s">
        <v>13610</v>
      </c>
      <c r="V4801" t="s">
        <v>13610</v>
      </c>
      <c r="W4801" t="s">
        <v>18350</v>
      </c>
      <c r="X4801">
        <v>3</v>
      </c>
      <c r="Y4801" t="s">
        <v>24926</v>
      </c>
      <c r="Z4801" t="s">
        <v>31656</v>
      </c>
      <c r="AA4801">
        <v>0.76043158174372294</v>
      </c>
      <c r="AB4801" t="str">
        <f>HYPERLINK("Melting_Curves/meltCurve_Q8WVK2_SNRNP27.pdf", "Melting_Curves/meltCurve_Q8WVK2_SNRNP27.pdf")</f>
        <v>Melting_Curves/meltCurve_Q8WVK2_SNRNP27.pdf</v>
      </c>
    </row>
    <row r="4802" spans="1:28" x14ac:dyDescent="0.25">
      <c r="A4802" t="s">
        <v>4806</v>
      </c>
      <c r="B4802">
        <v>0.995954080203443</v>
      </c>
      <c r="C4802">
        <v>1.0361151197184399</v>
      </c>
      <c r="D4802">
        <v>0.93950721901406198</v>
      </c>
      <c r="E4802">
        <v>0.70723128947801805</v>
      </c>
      <c r="F4802">
        <v>0.27830772232928003</v>
      </c>
      <c r="G4802">
        <v>0.100181596421192</v>
      </c>
      <c r="H4802">
        <v>4.23635168812002E-2</v>
      </c>
      <c r="I4802">
        <v>3.5914818490197599E-2</v>
      </c>
      <c r="J4802">
        <v>4.4889100391362402E-2</v>
      </c>
      <c r="K4802">
        <v>4.0720418140480101E-2</v>
      </c>
      <c r="L4802">
        <v>1590.2435902723</v>
      </c>
      <c r="M4802">
        <v>31.044556078046998</v>
      </c>
      <c r="N4802">
        <v>51.367987012135799</v>
      </c>
      <c r="O4802">
        <v>51.013413464708499</v>
      </c>
      <c r="P4802">
        <v>-0.14582471840730499</v>
      </c>
      <c r="Q4802">
        <v>4.1509985913544697E-2</v>
      </c>
      <c r="R4802">
        <v>0.99807346292703802</v>
      </c>
      <c r="S4802" t="s">
        <v>11608</v>
      </c>
      <c r="T4802" t="s">
        <v>13610</v>
      </c>
      <c r="U4802" t="s">
        <v>13610</v>
      </c>
      <c r="V4802" t="s">
        <v>13610</v>
      </c>
      <c r="W4802" t="s">
        <v>18351</v>
      </c>
      <c r="X4802">
        <v>4</v>
      </c>
      <c r="Y4802" t="s">
        <v>24927</v>
      </c>
      <c r="Z4802" t="s">
        <v>31657</v>
      </c>
      <c r="AA4802">
        <v>0.40577911218265389</v>
      </c>
      <c r="AB4802" t="str">
        <f>HYPERLINK("Melting_Curves/meltCurve_Q8WVL7_ANKRD49.pdf", "Melting_Curves/meltCurve_Q8WVL7_ANKRD49.pdf")</f>
        <v>Melting_Curves/meltCurve_Q8WVL7_ANKRD49.pdf</v>
      </c>
    </row>
    <row r="4803" spans="1:28" x14ac:dyDescent="0.25">
      <c r="A4803" t="s">
        <v>4807</v>
      </c>
      <c r="B4803">
        <v>0.995954080203443</v>
      </c>
      <c r="C4803">
        <v>0.92371384864309602</v>
      </c>
      <c r="D4803">
        <v>0.72873191332659104</v>
      </c>
      <c r="E4803">
        <v>0.444620474985987</v>
      </c>
      <c r="F4803">
        <v>0.17996691111097701</v>
      </c>
      <c r="G4803">
        <v>8.7207296581243293E-2</v>
      </c>
      <c r="H4803">
        <v>5.0520499238100702E-2</v>
      </c>
      <c r="I4803">
        <v>4.58667054075097E-2</v>
      </c>
      <c r="J4803">
        <v>5.3082158066350499E-2</v>
      </c>
      <c r="K4803">
        <v>4.6496132900525497E-2</v>
      </c>
      <c r="L4803">
        <v>889.41643706071704</v>
      </c>
      <c r="M4803">
        <v>18.267811586723401</v>
      </c>
      <c r="N4803">
        <v>48.874412758701297</v>
      </c>
      <c r="O4803">
        <v>48.115436804379002</v>
      </c>
      <c r="P4803">
        <v>-9.1720599799317598E-2</v>
      </c>
      <c r="Q4803">
        <v>3.3716442989472399E-2</v>
      </c>
      <c r="R4803">
        <v>0.997136371784342</v>
      </c>
      <c r="S4803" t="s">
        <v>11609</v>
      </c>
      <c r="T4803" t="s">
        <v>13610</v>
      </c>
      <c r="U4803" t="s">
        <v>13610</v>
      </c>
      <c r="V4803" t="s">
        <v>13610</v>
      </c>
      <c r="W4803" t="s">
        <v>18352</v>
      </c>
      <c r="X4803">
        <v>7</v>
      </c>
      <c r="Y4803" t="s">
        <v>24928</v>
      </c>
      <c r="Z4803" t="s">
        <v>31658</v>
      </c>
      <c r="AA4803">
        <v>0.32988656301851521</v>
      </c>
      <c r="AB4803" t="str">
        <f>HYPERLINK("Melting_Curves/meltCurve_Q8WVM0_TFB1M.pdf", "Melting_Curves/meltCurve_Q8WVM0_TFB1M.pdf")</f>
        <v>Melting_Curves/meltCurve_Q8WVM0_TFB1M.pdf</v>
      </c>
    </row>
    <row r="4804" spans="1:28" x14ac:dyDescent="0.25">
      <c r="A4804" t="s">
        <v>4808</v>
      </c>
      <c r="B4804">
        <v>0.995954080203443</v>
      </c>
      <c r="C4804">
        <v>1.01122432108535</v>
      </c>
      <c r="D4804">
        <v>0.93521769295864199</v>
      </c>
      <c r="E4804">
        <v>0.77826839630854605</v>
      </c>
      <c r="F4804">
        <v>0.29396204803549097</v>
      </c>
      <c r="G4804">
        <v>0.11239980085002001</v>
      </c>
      <c r="H4804">
        <v>6.5397901092717606E-2</v>
      </c>
      <c r="I4804">
        <v>5.5971634613053697E-2</v>
      </c>
      <c r="J4804">
        <v>5.6998061174469698E-2</v>
      </c>
      <c r="K4804">
        <v>4.9224222874424697E-2</v>
      </c>
      <c r="L4804">
        <v>1884.2415955700201</v>
      </c>
      <c r="M4804">
        <v>36.585203122023003</v>
      </c>
      <c r="N4804">
        <v>51.684325094151802</v>
      </c>
      <c r="O4804">
        <v>51.349680795655303</v>
      </c>
      <c r="P4804">
        <v>-0.167381430475041</v>
      </c>
      <c r="Q4804">
        <v>6.0280464122003802E-2</v>
      </c>
      <c r="R4804">
        <v>0.99759147660620295</v>
      </c>
      <c r="S4804" t="s">
        <v>11610</v>
      </c>
      <c r="T4804" t="s">
        <v>13610</v>
      </c>
      <c r="U4804" t="s">
        <v>13610</v>
      </c>
      <c r="V4804" t="s">
        <v>13610</v>
      </c>
      <c r="W4804" t="s">
        <v>18353</v>
      </c>
      <c r="X4804">
        <v>17</v>
      </c>
      <c r="Y4804" t="s">
        <v>24929</v>
      </c>
      <c r="Z4804" t="s">
        <v>31659</v>
      </c>
      <c r="AA4804">
        <v>0.42459734497679258</v>
      </c>
      <c r="AB4804" t="str">
        <f>HYPERLINK("Melting_Curves/meltCurve_Q8WVM8_SCFD1.pdf", "Melting_Curves/meltCurve_Q8WVM8_SCFD1.pdf")</f>
        <v>Melting_Curves/meltCurve_Q8WVM8_SCFD1.pdf</v>
      </c>
    </row>
    <row r="4805" spans="1:28" x14ac:dyDescent="0.25">
      <c r="A4805" t="s">
        <v>4809</v>
      </c>
      <c r="B4805">
        <v>0.995954080203443</v>
      </c>
      <c r="C4805">
        <v>0.74774789558904098</v>
      </c>
      <c r="D4805">
        <v>0.53024040252082705</v>
      </c>
      <c r="E4805">
        <v>0.40428104795740699</v>
      </c>
      <c r="F4805">
        <v>0.17376355044098499</v>
      </c>
      <c r="G4805">
        <v>0.117117950973791</v>
      </c>
      <c r="H4805">
        <v>9.3489745729735799E-2</v>
      </c>
      <c r="I4805">
        <v>9.8848431079840995E-2</v>
      </c>
      <c r="J4805">
        <v>0.11908649450928099</v>
      </c>
      <c r="K4805">
        <v>0.10830848675683</v>
      </c>
      <c r="L4805">
        <v>685.76014282060498</v>
      </c>
      <c r="M4805">
        <v>14.802364878555499</v>
      </c>
      <c r="N4805">
        <v>46.943765322855199</v>
      </c>
      <c r="O4805">
        <v>45.506861553723397</v>
      </c>
      <c r="P4805">
        <v>-7.4149074040672794E-2</v>
      </c>
      <c r="Q4805">
        <v>8.8272009130870396E-2</v>
      </c>
      <c r="R4805">
        <v>0.979530021151377</v>
      </c>
      <c r="S4805" t="s">
        <v>11611</v>
      </c>
      <c r="T4805" t="s">
        <v>13610</v>
      </c>
      <c r="U4805" t="s">
        <v>13610</v>
      </c>
      <c r="V4805" t="s">
        <v>13610</v>
      </c>
      <c r="W4805" t="s">
        <v>18354</v>
      </c>
      <c r="X4805">
        <v>18</v>
      </c>
      <c r="Y4805" t="s">
        <v>24930</v>
      </c>
      <c r="Z4805" t="s">
        <v>31660</v>
      </c>
      <c r="AA4805">
        <v>0.30725050238997959</v>
      </c>
      <c r="AB4805" t="str">
        <f>HYPERLINK("Melting_Curves/meltCurve_Q8WVT3_TRAPPC12.pdf", "Melting_Curves/meltCurve_Q8WVT3_TRAPPC12.pdf")</f>
        <v>Melting_Curves/meltCurve_Q8WVT3_TRAPPC12.pdf</v>
      </c>
    </row>
    <row r="4806" spans="1:28" x14ac:dyDescent="0.25">
      <c r="A4806" t="s">
        <v>4810</v>
      </c>
      <c r="B4806">
        <v>0.995954080203443</v>
      </c>
      <c r="C4806">
        <v>0.94359138782056295</v>
      </c>
      <c r="D4806">
        <v>0.880083973712389</v>
      </c>
      <c r="E4806">
        <v>0.70828502099786605</v>
      </c>
      <c r="F4806">
        <v>0.53211274331264902</v>
      </c>
      <c r="G4806">
        <v>0.33851066327377999</v>
      </c>
      <c r="H4806">
        <v>0.27903903206958097</v>
      </c>
      <c r="I4806">
        <v>0.29851654471143202</v>
      </c>
      <c r="J4806">
        <v>0.34235892124739198</v>
      </c>
      <c r="K4806">
        <v>0.33562830599909199</v>
      </c>
      <c r="L4806">
        <v>936.46084760490498</v>
      </c>
      <c r="M4806">
        <v>18.4965701743218</v>
      </c>
      <c r="N4806">
        <v>53.220950635872001</v>
      </c>
      <c r="O4806">
        <v>50.048235663129702</v>
      </c>
      <c r="P4806">
        <v>-6.4966030344045897E-2</v>
      </c>
      <c r="Q4806">
        <v>0.29688778577054198</v>
      </c>
      <c r="R4806">
        <v>0.98825001361643905</v>
      </c>
      <c r="S4806" t="s">
        <v>11612</v>
      </c>
      <c r="T4806" t="s">
        <v>13610</v>
      </c>
      <c r="U4806" t="s">
        <v>13610</v>
      </c>
      <c r="V4806" t="s">
        <v>13610</v>
      </c>
      <c r="W4806" t="s">
        <v>18355</v>
      </c>
      <c r="X4806">
        <v>7</v>
      </c>
      <c r="Y4806" t="s">
        <v>24931</v>
      </c>
      <c r="Z4806" t="s">
        <v>31661</v>
      </c>
      <c r="AA4806">
        <v>0.55731272875288329</v>
      </c>
      <c r="AB4806" t="str">
        <f>HYPERLINK("Melting_Curves/meltCurve_Q8WVV4_POF1B.pdf", "Melting_Curves/meltCurve_Q8WVV4_POF1B.pdf")</f>
        <v>Melting_Curves/meltCurve_Q8WVV4_POF1B.pdf</v>
      </c>
    </row>
    <row r="4807" spans="1:28" x14ac:dyDescent="0.25">
      <c r="A4807" t="s">
        <v>4811</v>
      </c>
      <c r="B4807">
        <v>0.995954080203443</v>
      </c>
      <c r="C4807">
        <v>0.92811047458309803</v>
      </c>
      <c r="D4807">
        <v>0.78409093117037199</v>
      </c>
      <c r="E4807">
        <v>0.465479946478498</v>
      </c>
      <c r="F4807">
        <v>0.22901917244890599</v>
      </c>
      <c r="G4807">
        <v>0.13212873780912199</v>
      </c>
      <c r="H4807">
        <v>0.10776103040049299</v>
      </c>
      <c r="I4807">
        <v>0.110334298945406</v>
      </c>
      <c r="J4807">
        <v>0.138049842241347</v>
      </c>
      <c r="K4807">
        <v>0.124919505041172</v>
      </c>
      <c r="L4807">
        <v>994.42204734414099</v>
      </c>
      <c r="M4807">
        <v>20.422850897380201</v>
      </c>
      <c r="N4807">
        <v>49.280312907604298</v>
      </c>
      <c r="O4807">
        <v>48.232013155176404</v>
      </c>
      <c r="P4807">
        <v>-9.4402134225683706E-2</v>
      </c>
      <c r="Q4807">
        <v>0.108240527308039</v>
      </c>
      <c r="R4807">
        <v>0.997302289478604</v>
      </c>
      <c r="S4807" t="s">
        <v>11613</v>
      </c>
      <c r="T4807" t="s">
        <v>13610</v>
      </c>
      <c r="U4807" t="s">
        <v>13610</v>
      </c>
      <c r="V4807" t="s">
        <v>13610</v>
      </c>
      <c r="W4807" t="s">
        <v>18356</v>
      </c>
      <c r="X4807">
        <v>27</v>
      </c>
      <c r="Y4807" t="s">
        <v>24932</v>
      </c>
      <c r="Z4807" t="s">
        <v>31662</v>
      </c>
      <c r="AA4807">
        <v>0.37860577532914902</v>
      </c>
      <c r="AB4807" t="str">
        <f>HYPERLINK("Melting_Curves/meltCurve_Q8WVV9_4_HNRPLL.pdf", "Melting_Curves/meltCurve_Q8WVV9_4_HNRPLL.pdf")</f>
        <v>Melting_Curves/meltCurve_Q8WVV9_4_HNRPLL.pdf</v>
      </c>
    </row>
    <row r="4808" spans="1:28" x14ac:dyDescent="0.25">
      <c r="A4808" t="s">
        <v>4812</v>
      </c>
      <c r="B4808">
        <v>0.995954080203443</v>
      </c>
      <c r="C4808">
        <v>0.93206876261637195</v>
      </c>
      <c r="D4808">
        <v>0.85607787652466105</v>
      </c>
      <c r="E4808">
        <v>0.40394513551480199</v>
      </c>
      <c r="F4808">
        <v>0.11184926923562601</v>
      </c>
      <c r="G4808">
        <v>5.9952894304764602E-2</v>
      </c>
      <c r="H4808">
        <v>3.4183654467202E-2</v>
      </c>
      <c r="I4808">
        <v>2.81816480034041E-2</v>
      </c>
      <c r="J4808">
        <v>3.4391796633634203E-2</v>
      </c>
      <c r="K4808">
        <v>2.8337507773891799E-2</v>
      </c>
      <c r="L4808">
        <v>1304.4426307860299</v>
      </c>
      <c r="M4808">
        <v>26.618707178563401</v>
      </c>
      <c r="N4808">
        <v>49.108157956605702</v>
      </c>
      <c r="O4808">
        <v>48.730661946980199</v>
      </c>
      <c r="P4808">
        <v>-0.13283923621705199</v>
      </c>
      <c r="Q4808">
        <v>2.72591344285988E-2</v>
      </c>
      <c r="R4808">
        <v>0.99775479515472199</v>
      </c>
      <c r="S4808" t="s">
        <v>11614</v>
      </c>
      <c r="T4808" t="s">
        <v>13610</v>
      </c>
      <c r="U4808" t="s">
        <v>13610</v>
      </c>
      <c r="V4808" t="s">
        <v>13610</v>
      </c>
      <c r="W4808" t="s">
        <v>18357</v>
      </c>
      <c r="X4808">
        <v>15</v>
      </c>
      <c r="Y4808" t="s">
        <v>24933</v>
      </c>
      <c r="Z4808" t="s">
        <v>31663</v>
      </c>
      <c r="AA4808">
        <v>0.32681002339828669</v>
      </c>
      <c r="AB4808" t="str">
        <f>HYPERLINK("Melting_Curves/meltCurve_Q8WVY7_UBLCP1.pdf", "Melting_Curves/meltCurve_Q8WVY7_UBLCP1.pdf")</f>
        <v>Melting_Curves/meltCurve_Q8WVY7_UBLCP1.pdf</v>
      </c>
    </row>
    <row r="4809" spans="1:28" x14ac:dyDescent="0.25">
      <c r="A4809" t="s">
        <v>4813</v>
      </c>
      <c r="B4809">
        <v>0.995954080203443</v>
      </c>
      <c r="C4809">
        <v>1.01003084826583</v>
      </c>
      <c r="D4809">
        <v>0.89768587366242103</v>
      </c>
      <c r="E4809">
        <v>0.87223766567688299</v>
      </c>
      <c r="F4809">
        <v>0.68487299264056201</v>
      </c>
      <c r="G4809">
        <v>0.37623503629240401</v>
      </c>
      <c r="H4809">
        <v>0.18088942032506899</v>
      </c>
      <c r="I4809">
        <v>0.135021646186921</v>
      </c>
      <c r="J4809">
        <v>0.13515955537817601</v>
      </c>
      <c r="K4809">
        <v>0.120708856613054</v>
      </c>
      <c r="L4809">
        <v>1040.3623992568</v>
      </c>
      <c r="M4809">
        <v>19.064552032731399</v>
      </c>
      <c r="N4809">
        <v>55.185147785062199</v>
      </c>
      <c r="O4809">
        <v>53.980731440815198</v>
      </c>
      <c r="P4809">
        <v>-7.9851182505079499E-2</v>
      </c>
      <c r="Q4809">
        <v>9.5650269882965502E-2</v>
      </c>
      <c r="R4809">
        <v>0.99455052411905998</v>
      </c>
      <c r="S4809" t="s">
        <v>11615</v>
      </c>
      <c r="T4809" t="s">
        <v>13610</v>
      </c>
      <c r="U4809" t="s">
        <v>13610</v>
      </c>
      <c r="V4809" t="s">
        <v>13610</v>
      </c>
      <c r="W4809" t="s">
        <v>18358</v>
      </c>
      <c r="X4809">
        <v>4</v>
      </c>
      <c r="Y4809" t="s">
        <v>24934</v>
      </c>
      <c r="Z4809" t="s">
        <v>31664</v>
      </c>
      <c r="AA4809">
        <v>0.54795913828054554</v>
      </c>
      <c r="AB4809" t="str">
        <f>HYPERLINK("Melting_Curves/meltCurve_Q8WW01_TSEN15.pdf", "Melting_Curves/meltCurve_Q8WW01_TSEN15.pdf")</f>
        <v>Melting_Curves/meltCurve_Q8WW01_TSEN15.pdf</v>
      </c>
    </row>
    <row r="4810" spans="1:28" x14ac:dyDescent="0.25">
      <c r="A4810" t="s">
        <v>4814</v>
      </c>
      <c r="B4810">
        <v>0.995954080203443</v>
      </c>
      <c r="C4810">
        <v>0.99998233858882901</v>
      </c>
      <c r="D4810">
        <v>1.08692018651938</v>
      </c>
      <c r="E4810">
        <v>0.99686660619392797</v>
      </c>
      <c r="F4810">
        <v>1.14445295536615</v>
      </c>
      <c r="G4810">
        <v>0.89555822961646603</v>
      </c>
      <c r="H4810">
        <v>0.93178413202270605</v>
      </c>
      <c r="I4810">
        <v>1.1302578682195401</v>
      </c>
      <c r="J4810">
        <v>1.50529958477095</v>
      </c>
      <c r="K4810">
        <v>1.40297516713245</v>
      </c>
      <c r="L4810">
        <v>15000</v>
      </c>
      <c r="M4810">
        <v>233.46428028433701</v>
      </c>
      <c r="O4810">
        <v>64.244934431497001</v>
      </c>
      <c r="P4810">
        <v>0.41259095893839998</v>
      </c>
      <c r="Q4810">
        <v>1.4541488312939801</v>
      </c>
      <c r="R4810">
        <v>0.86315125844531804</v>
      </c>
      <c r="S4810" t="s">
        <v>11616</v>
      </c>
      <c r="T4810" t="s">
        <v>13610</v>
      </c>
      <c r="U4810" t="s">
        <v>13610</v>
      </c>
      <c r="V4810" t="s">
        <v>13610</v>
      </c>
      <c r="W4810" t="s">
        <v>18359</v>
      </c>
      <c r="X4810">
        <v>8</v>
      </c>
      <c r="Y4810" t="s">
        <v>24935</v>
      </c>
      <c r="Z4810" t="s">
        <v>31665</v>
      </c>
      <c r="AA4810">
        <v>1.0869916593058799</v>
      </c>
      <c r="AB4810" t="str">
        <f>HYPERLINK("Melting_Curves/meltCurve_Q8WW12_PCNP.pdf", "Melting_Curves/meltCurve_Q8WW12_PCNP.pdf")</f>
        <v>Melting_Curves/meltCurve_Q8WW12_PCNP.pdf</v>
      </c>
    </row>
    <row r="4811" spans="1:28" x14ac:dyDescent="0.25">
      <c r="A4811" t="s">
        <v>4815</v>
      </c>
      <c r="B4811">
        <v>0.995954080203443</v>
      </c>
      <c r="C4811">
        <v>0.95048521745857195</v>
      </c>
      <c r="D4811">
        <v>0.96951062347392702</v>
      </c>
      <c r="E4811">
        <v>0.84054243223482705</v>
      </c>
      <c r="F4811">
        <v>0.78995445681439902</v>
      </c>
      <c r="G4811">
        <v>0.59922934513493897</v>
      </c>
      <c r="H4811">
        <v>0.53691567533739204</v>
      </c>
      <c r="I4811">
        <v>0.63034361547128204</v>
      </c>
      <c r="J4811">
        <v>0.70446617949989399</v>
      </c>
      <c r="K4811">
        <v>0.72124062588021098</v>
      </c>
      <c r="L4811">
        <v>1278.2391870439001</v>
      </c>
      <c r="M4811">
        <v>25.117440487110699</v>
      </c>
      <c r="O4811">
        <v>50.571213724153502</v>
      </c>
      <c r="P4811">
        <v>-4.4778890712059802E-2</v>
      </c>
      <c r="Q4811">
        <v>0.63937522134952196</v>
      </c>
      <c r="R4811">
        <v>0.86596151919845998</v>
      </c>
      <c r="S4811" t="s">
        <v>11617</v>
      </c>
      <c r="T4811" t="s">
        <v>13610</v>
      </c>
      <c r="U4811" t="s">
        <v>13610</v>
      </c>
      <c r="V4811" t="s">
        <v>13610</v>
      </c>
      <c r="W4811" t="s">
        <v>18360</v>
      </c>
      <c r="X4811">
        <v>5</v>
      </c>
      <c r="Y4811" t="s">
        <v>24936</v>
      </c>
      <c r="Z4811" t="s">
        <v>31666</v>
      </c>
      <c r="AA4811">
        <v>0.77351209560440348</v>
      </c>
      <c r="AB4811" t="str">
        <f>HYPERLINK("Melting_Curves/meltCurve_Q8WW33_GTSF1.pdf", "Melting_Curves/meltCurve_Q8WW33_GTSF1.pdf")</f>
        <v>Melting_Curves/meltCurve_Q8WW33_GTSF1.pdf</v>
      </c>
    </row>
    <row r="4812" spans="1:28" x14ac:dyDescent="0.25">
      <c r="A4812" t="s">
        <v>4816</v>
      </c>
      <c r="B4812">
        <v>0.995954080203443</v>
      </c>
      <c r="C4812">
        <v>0.97540257486694604</v>
      </c>
      <c r="D4812">
        <v>1.0055986707340201</v>
      </c>
      <c r="E4812">
        <v>0.72685864804346401</v>
      </c>
      <c r="F4812">
        <v>0.31896122782254099</v>
      </c>
      <c r="G4812">
        <v>0.114255394675642</v>
      </c>
      <c r="H4812">
        <v>0.120721907687209</v>
      </c>
      <c r="I4812">
        <v>7.0214782828696296E-2</v>
      </c>
      <c r="J4812">
        <v>8.2202493540631402E-2</v>
      </c>
      <c r="K4812">
        <v>6.4047277965537497E-2</v>
      </c>
      <c r="L4812">
        <v>1717.2367103408001</v>
      </c>
      <c r="M4812">
        <v>33.466190534387501</v>
      </c>
      <c r="N4812">
        <v>51.591576701009103</v>
      </c>
      <c r="O4812">
        <v>51.130405804383898</v>
      </c>
      <c r="P4812">
        <v>-0.150088028946716</v>
      </c>
      <c r="Q4812">
        <v>8.2772271966905495E-2</v>
      </c>
      <c r="R4812">
        <v>0.99825499382136595</v>
      </c>
      <c r="S4812" t="s">
        <v>11618</v>
      </c>
      <c r="T4812" t="s">
        <v>13610</v>
      </c>
      <c r="U4812" t="s">
        <v>13610</v>
      </c>
      <c r="V4812" t="s">
        <v>13610</v>
      </c>
      <c r="W4812" t="s">
        <v>18361</v>
      </c>
      <c r="X4812">
        <v>10</v>
      </c>
      <c r="Y4812" t="s">
        <v>24937</v>
      </c>
      <c r="Z4812" t="s">
        <v>31667</v>
      </c>
      <c r="AA4812">
        <v>0.43330254532534929</v>
      </c>
      <c r="AB4812" t="str">
        <f>HYPERLINK("Melting_Curves/meltCurve_Q8WW59_SPRYD4.pdf", "Melting_Curves/meltCurve_Q8WW59_SPRYD4.pdf")</f>
        <v>Melting_Curves/meltCurve_Q8WW59_SPRYD4.pdf</v>
      </c>
    </row>
    <row r="4813" spans="1:28" x14ac:dyDescent="0.25">
      <c r="A4813" t="s">
        <v>4817</v>
      </c>
      <c r="B4813">
        <v>0.995954080203443</v>
      </c>
      <c r="C4813">
        <v>0.94995324849172802</v>
      </c>
      <c r="D4813">
        <v>0.86578361764261602</v>
      </c>
      <c r="E4813">
        <v>0.52901094381464098</v>
      </c>
      <c r="F4813">
        <v>0.23766626464628501</v>
      </c>
      <c r="G4813">
        <v>0.123169485540401</v>
      </c>
      <c r="H4813">
        <v>8.4554659808255994E-2</v>
      </c>
      <c r="I4813">
        <v>8.3826809540241395E-2</v>
      </c>
      <c r="J4813">
        <v>8.6726363954471503E-2</v>
      </c>
      <c r="K4813">
        <v>9.2926506555098098E-2</v>
      </c>
      <c r="L4813">
        <v>1140.6932242461601</v>
      </c>
      <c r="M4813">
        <v>22.9479065895313</v>
      </c>
      <c r="N4813">
        <v>50.084025420312003</v>
      </c>
      <c r="O4813">
        <v>49.335082279554598</v>
      </c>
      <c r="P4813">
        <v>-0.107084719765957</v>
      </c>
      <c r="Q4813">
        <v>7.9143252564959396E-2</v>
      </c>
      <c r="R4813">
        <v>0.99866999575737703</v>
      </c>
      <c r="S4813" t="s">
        <v>11619</v>
      </c>
      <c r="T4813" t="s">
        <v>13610</v>
      </c>
      <c r="U4813" t="s">
        <v>13610</v>
      </c>
      <c r="V4813" t="s">
        <v>13610</v>
      </c>
      <c r="W4813" t="s">
        <v>18362</v>
      </c>
      <c r="X4813">
        <v>9</v>
      </c>
      <c r="Y4813" t="s">
        <v>24938</v>
      </c>
      <c r="Z4813" t="s">
        <v>31668</v>
      </c>
      <c r="AA4813">
        <v>0.38688686775412351</v>
      </c>
      <c r="AB4813" t="str">
        <f>HYPERLINK("Melting_Curves/meltCurve_Q8WWH5_TRUB1.pdf", "Melting_Curves/meltCurve_Q8WWH5_TRUB1.pdf")</f>
        <v>Melting_Curves/meltCurve_Q8WWH5_TRUB1.pdf</v>
      </c>
    </row>
    <row r="4814" spans="1:28" x14ac:dyDescent="0.25">
      <c r="A4814" t="s">
        <v>4818</v>
      </c>
      <c r="B4814">
        <v>0.995954080203443</v>
      </c>
      <c r="C4814">
        <v>1.2981121768097299</v>
      </c>
      <c r="D4814">
        <v>0.92749823283845501</v>
      </c>
      <c r="E4814">
        <v>0.87124545604661496</v>
      </c>
      <c r="F4814">
        <v>0.66818578871017598</v>
      </c>
      <c r="G4814">
        <v>0.55484323803122604</v>
      </c>
      <c r="H4814">
        <v>0.13419188501693499</v>
      </c>
      <c r="I4814">
        <v>0.33802413635336398</v>
      </c>
      <c r="J4814">
        <v>0.61003087505278297</v>
      </c>
      <c r="K4814">
        <v>0.23841785962822801</v>
      </c>
      <c r="L4814">
        <v>1258.08002410619</v>
      </c>
      <c r="M4814">
        <v>23.650075761020901</v>
      </c>
      <c r="N4814">
        <v>55.872671051794299</v>
      </c>
      <c r="O4814">
        <v>52.8196490323907</v>
      </c>
      <c r="P4814">
        <v>-7.3992896622489798E-2</v>
      </c>
      <c r="Q4814">
        <v>0.33899352268140898</v>
      </c>
      <c r="R4814">
        <v>0.80022039283387603</v>
      </c>
      <c r="S4814" t="s">
        <v>11620</v>
      </c>
      <c r="T4814" t="s">
        <v>13610</v>
      </c>
      <c r="U4814" t="s">
        <v>13610</v>
      </c>
      <c r="V4814" t="s">
        <v>13610</v>
      </c>
      <c r="W4814" t="s">
        <v>18363</v>
      </c>
      <c r="X4814">
        <v>1</v>
      </c>
      <c r="Y4814" t="s">
        <v>24939</v>
      </c>
      <c r="Z4814" t="s">
        <v>31669</v>
      </c>
      <c r="AA4814">
        <v>0.63649226433384731</v>
      </c>
      <c r="AB4814" t="str">
        <f>HYPERLINK("Melting_Curves/meltCurve_Q8WWI5_3_SLC44A1.pdf", "Melting_Curves/meltCurve_Q8WWI5_3_SLC44A1.pdf")</f>
        <v>Melting_Curves/meltCurve_Q8WWI5_3_SLC44A1.pdf</v>
      </c>
    </row>
    <row r="4815" spans="1:28" x14ac:dyDescent="0.25">
      <c r="A4815" t="s">
        <v>4819</v>
      </c>
      <c r="B4815">
        <v>0.995954080203443</v>
      </c>
      <c r="C4815">
        <v>0.738777443615109</v>
      </c>
      <c r="D4815">
        <v>0.58009816329173303</v>
      </c>
      <c r="E4815">
        <v>0.42791297402741602</v>
      </c>
      <c r="F4815">
        <v>0.21155930634867701</v>
      </c>
      <c r="G4815">
        <v>0.14398556097742801</v>
      </c>
      <c r="H4815">
        <v>9.2704422037673595E-2</v>
      </c>
      <c r="I4815">
        <v>4.9711813035390101E-2</v>
      </c>
      <c r="J4815">
        <v>4.7392273344805697E-2</v>
      </c>
      <c r="K4815">
        <v>5.90948907376984E-2</v>
      </c>
      <c r="L4815">
        <v>579.42169866391498</v>
      </c>
      <c r="M4815">
        <v>12.200065914464901</v>
      </c>
      <c r="N4815">
        <v>47.707851577379003</v>
      </c>
      <c r="O4815">
        <v>46.271351957254502</v>
      </c>
      <c r="P4815">
        <v>-6.41710747478028E-2</v>
      </c>
      <c r="Q4815">
        <v>2.66901207675561E-2</v>
      </c>
      <c r="R4815">
        <v>0.98436435206788597</v>
      </c>
      <c r="S4815" t="s">
        <v>11621</v>
      </c>
      <c r="T4815" t="s">
        <v>13610</v>
      </c>
      <c r="U4815" t="s">
        <v>13610</v>
      </c>
      <c r="V4815" t="s">
        <v>13610</v>
      </c>
      <c r="W4815" t="s">
        <v>18364</v>
      </c>
      <c r="X4815">
        <v>3</v>
      </c>
      <c r="Y4815" t="s">
        <v>24940</v>
      </c>
      <c r="Z4815" t="s">
        <v>31670</v>
      </c>
      <c r="AA4815">
        <v>0.30806307296982371</v>
      </c>
      <c r="AB4815" t="str">
        <f>HYPERLINK("Melting_Curves/meltCurve_Q8WWL2_4_SPIRE2.pdf", "Melting_Curves/meltCurve_Q8WWL2_4_SPIRE2.pdf")</f>
        <v>Melting_Curves/meltCurve_Q8WWL2_4_SPIRE2.pdf</v>
      </c>
    </row>
    <row r="4816" spans="1:28" x14ac:dyDescent="0.25">
      <c r="A4816" t="s">
        <v>4820</v>
      </c>
      <c r="B4816">
        <v>0.995954080203443</v>
      </c>
      <c r="C4816">
        <v>0.99869398117031905</v>
      </c>
      <c r="D4816">
        <v>1.0150835193263199</v>
      </c>
      <c r="E4816">
        <v>0.88113813819551401</v>
      </c>
      <c r="F4816">
        <v>0.78953065707264303</v>
      </c>
      <c r="G4816">
        <v>0.48538446757709802</v>
      </c>
      <c r="H4816">
        <v>0.35816436986130701</v>
      </c>
      <c r="I4816">
        <v>0.42806164527471902</v>
      </c>
      <c r="J4816">
        <v>0.50551794306799502</v>
      </c>
      <c r="K4816">
        <v>0.5054117671285</v>
      </c>
      <c r="L4816">
        <v>1750.4397217672299</v>
      </c>
      <c r="M4816">
        <v>32.806304586010398</v>
      </c>
      <c r="N4816">
        <v>57.194406488043803</v>
      </c>
      <c r="O4816">
        <v>53.1597264852903</v>
      </c>
      <c r="P4816">
        <v>-8.5678319347615203E-2</v>
      </c>
      <c r="Q4816">
        <v>0.44466589861918399</v>
      </c>
      <c r="R4816">
        <v>0.96363679540883296</v>
      </c>
      <c r="S4816" t="s">
        <v>11622</v>
      </c>
      <c r="T4816" t="s">
        <v>13610</v>
      </c>
      <c r="U4816" t="s">
        <v>13610</v>
      </c>
      <c r="V4816" t="s">
        <v>13610</v>
      </c>
      <c r="W4816" t="s">
        <v>14453</v>
      </c>
      <c r="X4816">
        <v>45</v>
      </c>
      <c r="Y4816" t="s">
        <v>21170</v>
      </c>
      <c r="Z4816" t="s">
        <v>31671</v>
      </c>
      <c r="AA4816">
        <v>0.69495184123511655</v>
      </c>
      <c r="AB4816" t="str">
        <f>HYPERLINK("Melting_Curves/meltCurve_Q8WWM7_ATXN2L.pdf", "Melting_Curves/meltCurve_Q8WWM7_ATXN2L.pdf")</f>
        <v>Melting_Curves/meltCurve_Q8WWM7_ATXN2L.pdf</v>
      </c>
    </row>
    <row r="4817" spans="1:28" x14ac:dyDescent="0.25">
      <c r="A4817" t="s">
        <v>4821</v>
      </c>
      <c r="B4817">
        <v>0.995954080203443</v>
      </c>
      <c r="C4817">
        <v>0.65995066334189001</v>
      </c>
      <c r="D4817">
        <v>0.43702369125365997</v>
      </c>
      <c r="E4817">
        <v>0.34551066440525102</v>
      </c>
      <c r="F4817">
        <v>0.30721626757801701</v>
      </c>
      <c r="G4817">
        <v>0.26672224835182101</v>
      </c>
      <c r="H4817">
        <v>0.25770377668098599</v>
      </c>
      <c r="I4817">
        <v>0.326319378726528</v>
      </c>
      <c r="J4817">
        <v>0.27584994718685502</v>
      </c>
      <c r="K4817">
        <v>0.36902061626043797</v>
      </c>
      <c r="L4817">
        <v>1276.28097779981</v>
      </c>
      <c r="M4817">
        <v>29.5175716342243</v>
      </c>
      <c r="N4817">
        <v>44.676171659019303</v>
      </c>
      <c r="O4817">
        <v>43.041013625536401</v>
      </c>
      <c r="P4817">
        <v>-0.118873228020868</v>
      </c>
      <c r="Q4817">
        <v>0.306665407795426</v>
      </c>
      <c r="R4817">
        <v>0.96955832976670497</v>
      </c>
      <c r="S4817" t="s">
        <v>11623</v>
      </c>
      <c r="T4817" t="s">
        <v>13610</v>
      </c>
      <c r="U4817" t="s">
        <v>13610</v>
      </c>
      <c r="V4817" t="s">
        <v>13610</v>
      </c>
      <c r="W4817" t="s">
        <v>18365</v>
      </c>
      <c r="X4817">
        <v>11</v>
      </c>
      <c r="Y4817" t="s">
        <v>24941</v>
      </c>
      <c r="Z4817" t="s">
        <v>31672</v>
      </c>
      <c r="AA4817">
        <v>0.38772592933234967</v>
      </c>
      <c r="AB4817" t="str">
        <f>HYPERLINK("Melting_Curves/meltCurve_Q8WWQ0_PHIP.pdf", "Melting_Curves/meltCurve_Q8WWQ0_PHIP.pdf")</f>
        <v>Melting_Curves/meltCurve_Q8WWQ0_PHIP.pdf</v>
      </c>
    </row>
    <row r="4818" spans="1:28" x14ac:dyDescent="0.25">
      <c r="A4818" t="s">
        <v>4822</v>
      </c>
      <c r="B4818">
        <v>0.995954080203443</v>
      </c>
      <c r="C4818">
        <v>0.79151816952697795</v>
      </c>
      <c r="D4818">
        <v>0.41953538708189397</v>
      </c>
      <c r="E4818">
        <v>0.24319873078733101</v>
      </c>
      <c r="F4818">
        <v>0.13454427690644799</v>
      </c>
      <c r="G4818">
        <v>7.9866556125649898E-2</v>
      </c>
      <c r="H4818">
        <v>4.7725236079467402E-2</v>
      </c>
      <c r="I4818">
        <v>2.9306260606921701E-2</v>
      </c>
      <c r="J4818">
        <v>3.4229585294228197E-2</v>
      </c>
      <c r="K4818">
        <v>2.81640518015875E-2</v>
      </c>
      <c r="L4818">
        <v>869.00031398922795</v>
      </c>
      <c r="M4818">
        <v>19.074957956295201</v>
      </c>
      <c r="N4818">
        <v>45.7857677454491</v>
      </c>
      <c r="O4818">
        <v>45.065287225311003</v>
      </c>
      <c r="P4818">
        <v>-0.101015144514036</v>
      </c>
      <c r="Q4818">
        <v>4.5429546683022702E-2</v>
      </c>
      <c r="R4818">
        <v>0.98938296026128303</v>
      </c>
      <c r="S4818" t="s">
        <v>11624</v>
      </c>
      <c r="T4818" t="s">
        <v>13610</v>
      </c>
      <c r="U4818" t="s">
        <v>13610</v>
      </c>
      <c r="V4818" t="s">
        <v>13610</v>
      </c>
      <c r="W4818" t="s">
        <v>18366</v>
      </c>
      <c r="X4818">
        <v>5</v>
      </c>
      <c r="Y4818" t="s">
        <v>24942</v>
      </c>
      <c r="Z4818" t="s">
        <v>31673</v>
      </c>
      <c r="AA4818">
        <v>0.2392965788723066</v>
      </c>
      <c r="AB4818" t="str">
        <f>HYPERLINK("Melting_Curves/meltCurve_Q8WWV3_RTN4IP1.pdf", "Melting_Curves/meltCurve_Q8WWV3_RTN4IP1.pdf")</f>
        <v>Melting_Curves/meltCurve_Q8WWV3_RTN4IP1.pdf</v>
      </c>
    </row>
    <row r="4819" spans="1:28" x14ac:dyDescent="0.25">
      <c r="A4819" t="s">
        <v>4823</v>
      </c>
      <c r="B4819">
        <v>0.995954080203443</v>
      </c>
      <c r="C4819">
        <v>0.94741891244020404</v>
      </c>
      <c r="D4819">
        <v>0.85874208692100296</v>
      </c>
      <c r="E4819">
        <v>0.64659214365012396</v>
      </c>
      <c r="F4819">
        <v>0.48418283296953701</v>
      </c>
      <c r="G4819">
        <v>0.32691360611136899</v>
      </c>
      <c r="H4819">
        <v>0.213923895111259</v>
      </c>
      <c r="I4819">
        <v>0.161864575163257</v>
      </c>
      <c r="J4819">
        <v>0.13109417369099999</v>
      </c>
      <c r="K4819">
        <v>0.104708359892285</v>
      </c>
      <c r="L4819">
        <v>647.20210057034205</v>
      </c>
      <c r="M4819">
        <v>12.412819976263799</v>
      </c>
      <c r="N4819">
        <v>52.847161396200498</v>
      </c>
      <c r="O4819">
        <v>50.842013245056499</v>
      </c>
      <c r="P4819">
        <v>-5.6376588861343502E-2</v>
      </c>
      <c r="Q4819">
        <v>7.6537522515974399E-2</v>
      </c>
      <c r="R4819">
        <v>0.99923115844112598</v>
      </c>
      <c r="S4819" t="s">
        <v>11625</v>
      </c>
      <c r="T4819" t="s">
        <v>13610</v>
      </c>
      <c r="U4819" t="s">
        <v>13610</v>
      </c>
      <c r="V4819" t="s">
        <v>13610</v>
      </c>
      <c r="W4819" t="s">
        <v>18367</v>
      </c>
      <c r="X4819">
        <v>8</v>
      </c>
      <c r="Y4819" t="s">
        <v>24943</v>
      </c>
      <c r="Z4819" t="s">
        <v>31674</v>
      </c>
      <c r="AA4819">
        <v>0.47703418388817631</v>
      </c>
      <c r="AB4819" t="str">
        <f>HYPERLINK("Melting_Curves/meltCurve_Q8WWW0_2_RASSF5.pdf", "Melting_Curves/meltCurve_Q8WWW0_2_RASSF5.pdf")</f>
        <v>Melting_Curves/meltCurve_Q8WWW0_2_RASSF5.pdf</v>
      </c>
    </row>
    <row r="4820" spans="1:28" x14ac:dyDescent="0.25">
      <c r="A4820" t="s">
        <v>4824</v>
      </c>
      <c r="B4820">
        <v>0.995954080203443</v>
      </c>
      <c r="C4820">
        <v>0.90322841951982702</v>
      </c>
      <c r="D4820">
        <v>0.96117775136092498</v>
      </c>
      <c r="E4820">
        <v>0.815357929073937</v>
      </c>
      <c r="F4820">
        <v>0.68518831452724605</v>
      </c>
      <c r="G4820">
        <v>0.355471309698352</v>
      </c>
      <c r="H4820">
        <v>0.25842497167693701</v>
      </c>
      <c r="I4820">
        <v>0.22893031050267601</v>
      </c>
      <c r="J4820">
        <v>0.28558950884291701</v>
      </c>
      <c r="K4820">
        <v>0.23949021412635599</v>
      </c>
      <c r="L4820">
        <v>1122.07812752525</v>
      </c>
      <c r="M4820">
        <v>21.055577671071099</v>
      </c>
      <c r="N4820">
        <v>54.8922941114037</v>
      </c>
      <c r="O4820">
        <v>52.817541859099499</v>
      </c>
      <c r="P4820">
        <v>-7.6797133963191197E-2</v>
      </c>
      <c r="Q4820">
        <v>0.22944349038070699</v>
      </c>
      <c r="R4820">
        <v>0.98357491858963797</v>
      </c>
      <c r="S4820" t="s">
        <v>11626</v>
      </c>
      <c r="T4820" t="s">
        <v>13610</v>
      </c>
      <c r="U4820" t="s">
        <v>13610</v>
      </c>
      <c r="V4820" t="s">
        <v>13610</v>
      </c>
      <c r="W4820" t="s">
        <v>18368</v>
      </c>
      <c r="X4820">
        <v>1</v>
      </c>
      <c r="Y4820" t="s">
        <v>24944</v>
      </c>
      <c r="Z4820" t="s">
        <v>31675</v>
      </c>
      <c r="AA4820">
        <v>0.58051400019427057</v>
      </c>
      <c r="AB4820" t="str">
        <f>HYPERLINK("Melting_Curves/meltCurve_Q8WWX9_SELM.pdf", "Melting_Curves/meltCurve_Q8WWX9_SELM.pdf")</f>
        <v>Melting_Curves/meltCurve_Q8WWX9_SELM.pdf</v>
      </c>
    </row>
    <row r="4821" spans="1:28" x14ac:dyDescent="0.25">
      <c r="A4821" t="s">
        <v>4825</v>
      </c>
      <c r="B4821">
        <v>0.995954080203443</v>
      </c>
      <c r="C4821">
        <v>0.83787669611246796</v>
      </c>
      <c r="D4821">
        <v>0.61188539914996698</v>
      </c>
      <c r="E4821">
        <v>0.39766517014956598</v>
      </c>
      <c r="F4821">
        <v>0.191638195599203</v>
      </c>
      <c r="G4821">
        <v>0.119256715195013</v>
      </c>
      <c r="H4821">
        <v>8.5948471505173096E-2</v>
      </c>
      <c r="I4821">
        <v>7.7633237752191803E-2</v>
      </c>
      <c r="J4821">
        <v>9.3112943752966207E-2</v>
      </c>
      <c r="K4821">
        <v>8.3426395556474006E-2</v>
      </c>
      <c r="L4821">
        <v>747.04366973401704</v>
      </c>
      <c r="M4821">
        <v>15.7771684104092</v>
      </c>
      <c r="N4821">
        <v>47.801420147645601</v>
      </c>
      <c r="O4821">
        <v>46.608573601074603</v>
      </c>
      <c r="P4821">
        <v>-7.8771243371195995E-2</v>
      </c>
      <c r="Q4821">
        <v>6.9260271732130105E-2</v>
      </c>
      <c r="R4821">
        <v>0.994271965581915</v>
      </c>
      <c r="S4821" t="s">
        <v>11627</v>
      </c>
      <c r="T4821" t="s">
        <v>13610</v>
      </c>
      <c r="U4821" t="s">
        <v>13610</v>
      </c>
      <c r="V4821" t="s">
        <v>13610</v>
      </c>
      <c r="W4821" t="s">
        <v>18369</v>
      </c>
      <c r="X4821">
        <v>14</v>
      </c>
      <c r="Y4821" t="s">
        <v>24945</v>
      </c>
      <c r="Z4821" t="s">
        <v>31676</v>
      </c>
      <c r="AA4821">
        <v>0.31960979295429692</v>
      </c>
      <c r="AB4821" t="str">
        <f>HYPERLINK("Melting_Curves/meltCurve_Q8WWY3_PRPF31.pdf", "Melting_Curves/meltCurve_Q8WWY3_PRPF31.pdf")</f>
        <v>Melting_Curves/meltCurve_Q8WWY3_PRPF31.pdf</v>
      </c>
    </row>
    <row r="4822" spans="1:28" x14ac:dyDescent="0.25">
      <c r="A4822" t="s">
        <v>4826</v>
      </c>
      <c r="B4822">
        <v>0.995954080203443</v>
      </c>
      <c r="C4822">
        <v>1.00777881370156</v>
      </c>
      <c r="D4822">
        <v>0.93974433360228904</v>
      </c>
      <c r="E4822">
        <v>0.87168661854722795</v>
      </c>
      <c r="F4822">
        <v>0.760769444745935</v>
      </c>
      <c r="G4822">
        <v>0.49127539704471701</v>
      </c>
      <c r="H4822">
        <v>0.36708947553309201</v>
      </c>
      <c r="I4822">
        <v>0.32558807211222701</v>
      </c>
      <c r="J4822">
        <v>0.31118975706051299</v>
      </c>
      <c r="K4822">
        <v>0.26251290800068899</v>
      </c>
      <c r="L4822">
        <v>939.41337553920005</v>
      </c>
      <c r="M4822">
        <v>17.1503775400679</v>
      </c>
      <c r="N4822">
        <v>57.241438051674301</v>
      </c>
      <c r="O4822">
        <v>54.046641657368497</v>
      </c>
      <c r="P4822">
        <v>-5.8614006487523899E-2</v>
      </c>
      <c r="Q4822">
        <v>0.26119383353277797</v>
      </c>
      <c r="R4822">
        <v>0.99632382388982199</v>
      </c>
      <c r="S4822" t="s">
        <v>11628</v>
      </c>
      <c r="T4822" t="s">
        <v>13610</v>
      </c>
      <c r="U4822" t="s">
        <v>13610</v>
      </c>
      <c r="V4822" t="s">
        <v>13610</v>
      </c>
      <c r="W4822" t="s">
        <v>18370</v>
      </c>
      <c r="X4822">
        <v>7</v>
      </c>
      <c r="Y4822" t="s">
        <v>24946</v>
      </c>
      <c r="Z4822" t="s">
        <v>31677</v>
      </c>
      <c r="AA4822">
        <v>0.63736286466104952</v>
      </c>
      <c r="AB4822" t="str">
        <f>HYPERLINK("Melting_Curves/meltCurve_Q8WWZ3_2_EDARADD.pdf", "Melting_Curves/meltCurve_Q8WWZ3_2_EDARADD.pdf")</f>
        <v>Melting_Curves/meltCurve_Q8WWZ3_2_EDARADD.pdf</v>
      </c>
    </row>
    <row r="4823" spans="1:28" x14ac:dyDescent="0.25">
      <c r="A4823" t="s">
        <v>4827</v>
      </c>
      <c r="B4823">
        <v>0.995954080203443</v>
      </c>
      <c r="C4823">
        <v>0.97297613109602799</v>
      </c>
      <c r="D4823">
        <v>0.90204972298126596</v>
      </c>
      <c r="E4823">
        <v>0.63100015321096004</v>
      </c>
      <c r="F4823">
        <v>0.23957806831091699</v>
      </c>
      <c r="G4823">
        <v>8.5583653783371405E-2</v>
      </c>
      <c r="H4823">
        <v>4.9885192135624902E-2</v>
      </c>
      <c r="I4823">
        <v>4.2920184086672697E-2</v>
      </c>
      <c r="J4823">
        <v>4.6920555134827298E-2</v>
      </c>
      <c r="K4823">
        <v>4.3616773739147303E-2</v>
      </c>
      <c r="L4823">
        <v>1373.99643243991</v>
      </c>
      <c r="M4823">
        <v>27.124197080814</v>
      </c>
      <c r="N4823">
        <v>50.812216285892703</v>
      </c>
      <c r="O4823">
        <v>50.382805907117202</v>
      </c>
      <c r="P4823">
        <v>-0.12919931066516899</v>
      </c>
      <c r="Q4823">
        <v>4.0065839911317902E-2</v>
      </c>
      <c r="R4823">
        <v>0.99797545181323999</v>
      </c>
      <c r="S4823" t="s">
        <v>11629</v>
      </c>
      <c r="T4823" t="s">
        <v>13610</v>
      </c>
      <c r="U4823" t="s">
        <v>13610</v>
      </c>
      <c r="V4823" t="s">
        <v>13610</v>
      </c>
      <c r="W4823" t="s">
        <v>18371</v>
      </c>
      <c r="X4823">
        <v>24</v>
      </c>
      <c r="Y4823" t="s">
        <v>24947</v>
      </c>
      <c r="Z4823" t="s">
        <v>31678</v>
      </c>
      <c r="AA4823">
        <v>0.38837120971904149</v>
      </c>
      <c r="AB4823" t="str">
        <f>HYPERLINK("Melting_Curves/meltCurve_Q8WX92_NELFB.pdf", "Melting_Curves/meltCurve_Q8WX92_NELFB.pdf")</f>
        <v>Melting_Curves/meltCurve_Q8WX92_NELFB.pdf</v>
      </c>
    </row>
    <row r="4824" spans="1:28" x14ac:dyDescent="0.25">
      <c r="A4824" t="s">
        <v>4828</v>
      </c>
      <c r="B4824">
        <v>0.995954080203443</v>
      </c>
      <c r="C4824">
        <v>0.96875083758143499</v>
      </c>
      <c r="D4824">
        <v>0.92148918845212802</v>
      </c>
      <c r="E4824">
        <v>0.86126084371047196</v>
      </c>
      <c r="F4824">
        <v>0.60294932715992</v>
      </c>
      <c r="G4824">
        <v>0.33520009340210799</v>
      </c>
      <c r="H4824">
        <v>0.25010687444104901</v>
      </c>
      <c r="I4824">
        <v>0.25092140849198102</v>
      </c>
      <c r="J4824">
        <v>0.28372032867661701</v>
      </c>
      <c r="K4824">
        <v>0.283357577301318</v>
      </c>
      <c r="L4824">
        <v>1408.5711169275</v>
      </c>
      <c r="M4824">
        <v>26.761873535764199</v>
      </c>
      <c r="N4824">
        <v>54.111616040078196</v>
      </c>
      <c r="O4824">
        <v>52.3422728578009</v>
      </c>
      <c r="P4824">
        <v>-9.4679295158013696E-2</v>
      </c>
      <c r="Q4824">
        <v>0.25929306411312703</v>
      </c>
      <c r="R4824">
        <v>0.99274985554996098</v>
      </c>
      <c r="S4824" t="s">
        <v>11630</v>
      </c>
      <c r="T4824" t="s">
        <v>13610</v>
      </c>
      <c r="U4824" t="s">
        <v>13610</v>
      </c>
      <c r="V4824" t="s">
        <v>13610</v>
      </c>
      <c r="W4824" t="s">
        <v>18372</v>
      </c>
      <c r="X4824">
        <v>12</v>
      </c>
      <c r="Y4824" t="s">
        <v>24948</v>
      </c>
      <c r="Z4824" t="s">
        <v>31679</v>
      </c>
      <c r="AA4824">
        <v>0.57718736119680625</v>
      </c>
      <c r="AB4824" t="str">
        <f>HYPERLINK("Melting_Curves/meltCurve_Q8WXA9_2_SREK1.pdf", "Melting_Curves/meltCurve_Q8WXA9_2_SREK1.pdf")</f>
        <v>Melting_Curves/meltCurve_Q8WXA9_2_SREK1.pdf</v>
      </c>
    </row>
    <row r="4825" spans="1:28" x14ac:dyDescent="0.25">
      <c r="A4825" t="s">
        <v>4829</v>
      </c>
      <c r="B4825">
        <v>0.995954080203443</v>
      </c>
      <c r="C4825">
        <v>0.97084600651017405</v>
      </c>
      <c r="D4825">
        <v>0.90868654121706705</v>
      </c>
      <c r="E4825">
        <v>0.82900887800906697</v>
      </c>
      <c r="F4825">
        <v>0.67359581579931205</v>
      </c>
      <c r="G4825">
        <v>0.315354175864204</v>
      </c>
      <c r="H4825">
        <v>0.105580339823535</v>
      </c>
      <c r="I4825">
        <v>7.0889779715381102E-2</v>
      </c>
      <c r="J4825">
        <v>9.5100953603941496E-2</v>
      </c>
      <c r="K4825">
        <v>6.4879405522573597E-2</v>
      </c>
      <c r="L4825">
        <v>1049.6925955679701</v>
      </c>
      <c r="M4825">
        <v>19.3097718209095</v>
      </c>
      <c r="N4825">
        <v>54.590348065755798</v>
      </c>
      <c r="O4825">
        <v>53.787745147375801</v>
      </c>
      <c r="P4825">
        <v>-8.6251887784241796E-2</v>
      </c>
      <c r="Q4825">
        <v>3.9010667598775903E-2</v>
      </c>
      <c r="R4825">
        <v>0.993762399751276</v>
      </c>
      <c r="S4825" t="s">
        <v>11631</v>
      </c>
      <c r="T4825" t="s">
        <v>13610</v>
      </c>
      <c r="U4825" t="s">
        <v>13610</v>
      </c>
      <c r="V4825" t="s">
        <v>13610</v>
      </c>
      <c r="W4825" t="s">
        <v>18373</v>
      </c>
      <c r="X4825">
        <v>5</v>
      </c>
      <c r="Y4825" t="s">
        <v>24949</v>
      </c>
      <c r="Z4825" t="s">
        <v>31680</v>
      </c>
      <c r="AA4825">
        <v>0.51273269552241485</v>
      </c>
      <c r="AB4825" t="str">
        <f>HYPERLINK("Melting_Curves/meltCurve_Q8WXB1_METTL21A.pdf", "Melting_Curves/meltCurve_Q8WXB1_METTL21A.pdf")</f>
        <v>Melting_Curves/meltCurve_Q8WXB1_METTL21A.pdf</v>
      </c>
    </row>
    <row r="4826" spans="1:28" x14ac:dyDescent="0.25">
      <c r="A4826" t="s">
        <v>4830</v>
      </c>
      <c r="B4826">
        <v>0.995954080203443</v>
      </c>
      <c r="C4826">
        <v>1.06429587506673</v>
      </c>
      <c r="D4826">
        <v>1.0139425188044999</v>
      </c>
      <c r="E4826">
        <v>0.97995710913926404</v>
      </c>
      <c r="F4826">
        <v>0.91603508131112799</v>
      </c>
      <c r="G4826">
        <v>0.65367432612120802</v>
      </c>
      <c r="H4826">
        <v>0.41143477874204898</v>
      </c>
      <c r="I4826">
        <v>0.311945197775016</v>
      </c>
      <c r="J4826">
        <v>0.326357408748845</v>
      </c>
      <c r="K4826">
        <v>0.29769146388168799</v>
      </c>
      <c r="L4826">
        <v>1502.7031488151899</v>
      </c>
      <c r="M4826">
        <v>26.329634423430701</v>
      </c>
      <c r="N4826">
        <v>59.072476566451698</v>
      </c>
      <c r="O4826">
        <v>56.746520189706899</v>
      </c>
      <c r="P4826">
        <v>-8.1784624062454403E-2</v>
      </c>
      <c r="Q4826">
        <v>0.294947747754567</v>
      </c>
      <c r="R4826">
        <v>0.994662683819169</v>
      </c>
      <c r="S4826" t="s">
        <v>11632</v>
      </c>
      <c r="T4826" t="s">
        <v>13610</v>
      </c>
      <c r="U4826" t="s">
        <v>13610</v>
      </c>
      <c r="V4826" t="s">
        <v>13610</v>
      </c>
      <c r="W4826" t="s">
        <v>18374</v>
      </c>
      <c r="X4826">
        <v>4</v>
      </c>
      <c r="Y4826" t="s">
        <v>24950</v>
      </c>
      <c r="Z4826" t="s">
        <v>31681</v>
      </c>
      <c r="AA4826">
        <v>0.70202955068576789</v>
      </c>
      <c r="AB4826" t="str">
        <f>HYPERLINK("Melting_Curves/meltCurve_Q8WXD5_GEMIN6.pdf", "Melting_Curves/meltCurve_Q8WXD5_GEMIN6.pdf")</f>
        <v>Melting_Curves/meltCurve_Q8WXD5_GEMIN6.pdf</v>
      </c>
    </row>
    <row r="4827" spans="1:28" x14ac:dyDescent="0.25">
      <c r="A4827" t="s">
        <v>4831</v>
      </c>
      <c r="B4827">
        <v>0.995954080203443</v>
      </c>
      <c r="C4827">
        <v>0.93180151753648399</v>
      </c>
      <c r="D4827">
        <v>0.99262604071955496</v>
      </c>
      <c r="E4827">
        <v>0.86157636372455504</v>
      </c>
      <c r="F4827">
        <v>0.90937846238841902</v>
      </c>
      <c r="G4827">
        <v>0.74935826927682203</v>
      </c>
      <c r="H4827">
        <v>0.75152546674495202</v>
      </c>
      <c r="I4827">
        <v>0.99849614432834499</v>
      </c>
      <c r="J4827">
        <v>1.02810058501422</v>
      </c>
      <c r="K4827">
        <v>0.97553185207123005</v>
      </c>
      <c r="L4827">
        <v>1007.79497668674</v>
      </c>
      <c r="M4827">
        <v>22.418152272690701</v>
      </c>
      <c r="O4827">
        <v>44.601298548649801</v>
      </c>
      <c r="P4827">
        <v>-1.27513644231909E-2</v>
      </c>
      <c r="Q4827">
        <v>0.89852586934840695</v>
      </c>
      <c r="R4827">
        <v>9.7817500477293803E-2</v>
      </c>
      <c r="S4827" t="s">
        <v>11633</v>
      </c>
      <c r="T4827" t="s">
        <v>13610</v>
      </c>
      <c r="U4827" t="s">
        <v>13610</v>
      </c>
      <c r="V4827" t="s">
        <v>13610</v>
      </c>
      <c r="W4827" t="s">
        <v>18375</v>
      </c>
      <c r="X4827">
        <v>7</v>
      </c>
      <c r="Y4827" t="s">
        <v>24951</v>
      </c>
      <c r="Z4827" t="s">
        <v>31682</v>
      </c>
      <c r="AA4827">
        <v>0.91660318378285555</v>
      </c>
      <c r="AB4827" t="str">
        <f>HYPERLINK("Melting_Curves/meltCurve_Q8WXE0_2_CASKIN2.pdf", "Melting_Curves/meltCurve_Q8WXE0_2_CASKIN2.pdf")</f>
        <v>Melting_Curves/meltCurve_Q8WXE0_2_CASKIN2.pdf</v>
      </c>
    </row>
    <row r="4828" spans="1:28" x14ac:dyDescent="0.25">
      <c r="A4828" t="s">
        <v>4832</v>
      </c>
      <c r="B4828">
        <v>0.995954080203443</v>
      </c>
      <c r="C4828">
        <v>0.66645133587176697</v>
      </c>
      <c r="D4828">
        <v>0.34794087849862498</v>
      </c>
      <c r="E4828">
        <v>0.35836487960110602</v>
      </c>
      <c r="F4828">
        <v>0.14737334125856899</v>
      </c>
      <c r="G4828">
        <v>7.5510198364210301E-2</v>
      </c>
      <c r="H4828">
        <v>5.06455053327763E-2</v>
      </c>
      <c r="I4828">
        <v>2.9703876359168799E-2</v>
      </c>
      <c r="J4828">
        <v>3.0260899868045001E-2</v>
      </c>
      <c r="K4828">
        <v>1.58617868315932E-2</v>
      </c>
      <c r="L4828">
        <v>647.56641454078601</v>
      </c>
      <c r="M4828">
        <v>14.297559750636401</v>
      </c>
      <c r="N4828">
        <v>45.491910145404297</v>
      </c>
      <c r="O4828">
        <v>44.433703897203898</v>
      </c>
      <c r="P4828">
        <v>-7.8004495581577404E-2</v>
      </c>
      <c r="Q4828">
        <v>3.0434330649541898E-2</v>
      </c>
      <c r="R4828">
        <v>0.95259594445362505</v>
      </c>
      <c r="S4828" t="s">
        <v>11634</v>
      </c>
      <c r="T4828" t="s">
        <v>13610</v>
      </c>
      <c r="U4828" t="s">
        <v>13610</v>
      </c>
      <c r="V4828" t="s">
        <v>13610</v>
      </c>
      <c r="W4828" t="s">
        <v>18376</v>
      </c>
      <c r="X4828">
        <v>2</v>
      </c>
      <c r="Y4828" t="s">
        <v>24952</v>
      </c>
      <c r="Z4828" t="s">
        <v>31683</v>
      </c>
      <c r="AA4828">
        <v>0.2348534865596815</v>
      </c>
      <c r="AB4828" t="str">
        <f>HYPERLINK("Melting_Curves/meltCurve_Q8WXE1_5_ATRIP.pdf", "Melting_Curves/meltCurve_Q8WXE1_5_ATRIP.pdf")</f>
        <v>Melting_Curves/meltCurve_Q8WXE1_5_ATRIP.pdf</v>
      </c>
    </row>
    <row r="4829" spans="1:28" x14ac:dyDescent="0.25">
      <c r="A4829" t="s">
        <v>4833</v>
      </c>
      <c r="B4829">
        <v>0.995954080203443</v>
      </c>
      <c r="C4829">
        <v>0.72765505383020102</v>
      </c>
      <c r="D4829">
        <v>0.291864582250138</v>
      </c>
      <c r="E4829">
        <v>0.22224392578180399</v>
      </c>
      <c r="F4829">
        <v>0.10798612996431101</v>
      </c>
      <c r="G4829">
        <v>5.4588789664149401E-2</v>
      </c>
      <c r="H4829">
        <v>3.8578251622252903E-2</v>
      </c>
      <c r="I4829">
        <v>3.5502000576900901E-2</v>
      </c>
      <c r="J4829">
        <v>3.3602140297107001E-2</v>
      </c>
      <c r="K4829">
        <v>3.5630075005014E-2</v>
      </c>
      <c r="L4829">
        <v>1090.2914816641801</v>
      </c>
      <c r="M4829">
        <v>24.540006965983501</v>
      </c>
      <c r="N4829">
        <v>44.655381591572997</v>
      </c>
      <c r="O4829">
        <v>44.137266275527097</v>
      </c>
      <c r="P4829">
        <v>-0.130874418547029</v>
      </c>
      <c r="Q4829">
        <v>5.8459116186439002E-2</v>
      </c>
      <c r="R4829">
        <v>0.98044451098875196</v>
      </c>
      <c r="S4829" t="s">
        <v>11635</v>
      </c>
      <c r="T4829" t="s">
        <v>13610</v>
      </c>
      <c r="U4829" t="s">
        <v>13610</v>
      </c>
      <c r="V4829" t="s">
        <v>13610</v>
      </c>
      <c r="W4829" t="s">
        <v>18377</v>
      </c>
      <c r="X4829">
        <v>7</v>
      </c>
      <c r="Y4829" t="s">
        <v>24953</v>
      </c>
      <c r="Z4829" t="s">
        <v>31684</v>
      </c>
      <c r="AA4829">
        <v>0.2079955304855137</v>
      </c>
      <c r="AB4829" t="str">
        <f>HYPERLINK("Melting_Curves/meltCurve_Q8WXE9_STON2.pdf", "Melting_Curves/meltCurve_Q8WXE9_STON2.pdf")</f>
        <v>Melting_Curves/meltCurve_Q8WXE9_STON2.pdf</v>
      </c>
    </row>
    <row r="4830" spans="1:28" x14ac:dyDescent="0.25">
      <c r="A4830" t="s">
        <v>4834</v>
      </c>
      <c r="B4830">
        <v>0.995954080203443</v>
      </c>
      <c r="C4830">
        <v>1.0000143685832401</v>
      </c>
      <c r="D4830">
        <v>0.97427956874708599</v>
      </c>
      <c r="E4830">
        <v>0.73404880772529801</v>
      </c>
      <c r="F4830">
        <v>0.47862861340366603</v>
      </c>
      <c r="G4830">
        <v>0.28787843799935198</v>
      </c>
      <c r="H4830">
        <v>0.20376682401759899</v>
      </c>
      <c r="I4830">
        <v>0.21975133785839199</v>
      </c>
      <c r="J4830">
        <v>0.22372214691249101</v>
      </c>
      <c r="K4830">
        <v>0.236333356539984</v>
      </c>
      <c r="L4830">
        <v>1282.8808300621299</v>
      </c>
      <c r="M4830">
        <v>24.9356067488307</v>
      </c>
      <c r="N4830">
        <v>52.650084667572102</v>
      </c>
      <c r="O4830">
        <v>51.120285908418303</v>
      </c>
      <c r="P4830">
        <v>-9.5475147515418801E-2</v>
      </c>
      <c r="Q4830">
        <v>0.21707932572921201</v>
      </c>
      <c r="R4830">
        <v>0.998569537331368</v>
      </c>
      <c r="S4830" t="s">
        <v>11636</v>
      </c>
      <c r="T4830" t="s">
        <v>13610</v>
      </c>
      <c r="U4830" t="s">
        <v>13610</v>
      </c>
      <c r="V4830" t="s">
        <v>13610</v>
      </c>
      <c r="W4830" t="s">
        <v>18378</v>
      </c>
      <c r="X4830">
        <v>28</v>
      </c>
      <c r="Y4830" t="s">
        <v>24954</v>
      </c>
      <c r="Z4830" t="s">
        <v>31685</v>
      </c>
      <c r="AA4830">
        <v>0.52297818653240713</v>
      </c>
      <c r="AB4830" t="str">
        <f>HYPERLINK("Melting_Curves/meltCurve_Q8WXF1_PSPC1.pdf", "Melting_Curves/meltCurve_Q8WXF1_PSPC1.pdf")</f>
        <v>Melting_Curves/meltCurve_Q8WXF1_PSPC1.pdf</v>
      </c>
    </row>
    <row r="4831" spans="1:28" x14ac:dyDescent="0.25">
      <c r="A4831" t="s">
        <v>4835</v>
      </c>
      <c r="B4831">
        <v>0.995954080203443</v>
      </c>
      <c r="C4831">
        <v>0.89537971698918595</v>
      </c>
      <c r="D4831">
        <v>0.91022326181562596</v>
      </c>
      <c r="E4831">
        <v>0.59493865389033396</v>
      </c>
      <c r="F4831">
        <v>0.51152782776414396</v>
      </c>
      <c r="G4831">
        <v>0.32726971541507699</v>
      </c>
      <c r="H4831">
        <v>0.22798497569420001</v>
      </c>
      <c r="I4831">
        <v>0.20869264315486299</v>
      </c>
      <c r="J4831">
        <v>0.23524114594214299</v>
      </c>
      <c r="K4831">
        <v>0.22532581337600299</v>
      </c>
      <c r="L4831">
        <v>760.503149782229</v>
      </c>
      <c r="M4831">
        <v>14.9934600910747</v>
      </c>
      <c r="N4831">
        <v>52.4649496468057</v>
      </c>
      <c r="O4831">
        <v>49.845690028739398</v>
      </c>
      <c r="P4831">
        <v>-6.0456541913146401E-2</v>
      </c>
      <c r="Q4831">
        <v>0.19613135660598999</v>
      </c>
      <c r="R4831">
        <v>0.98746653960570296</v>
      </c>
      <c r="S4831" t="s">
        <v>11637</v>
      </c>
      <c r="T4831" t="s">
        <v>13610</v>
      </c>
      <c r="U4831" t="s">
        <v>13610</v>
      </c>
      <c r="V4831" t="s">
        <v>13610</v>
      </c>
      <c r="W4831" t="s">
        <v>18379</v>
      </c>
      <c r="X4831">
        <v>13</v>
      </c>
      <c r="Y4831" t="s">
        <v>24955</v>
      </c>
      <c r="Z4831" t="s">
        <v>31686</v>
      </c>
      <c r="AA4831">
        <v>0.50219268144594509</v>
      </c>
      <c r="AB4831" t="str">
        <f>HYPERLINK("Melting_Curves/meltCurve_Q8WXG6_8_MADD.pdf", "Melting_Curves/meltCurve_Q8WXG6_8_MADD.pdf")</f>
        <v>Melting_Curves/meltCurve_Q8WXG6_8_MADD.pdf</v>
      </c>
    </row>
    <row r="4832" spans="1:28" x14ac:dyDescent="0.25">
      <c r="A4832" t="s">
        <v>4836</v>
      </c>
      <c r="B4832">
        <v>0.995954080203443</v>
      </c>
      <c r="C4832">
        <v>0.73091902337994297</v>
      </c>
      <c r="D4832">
        <v>0.58663993210854004</v>
      </c>
      <c r="E4832">
        <v>0.37706954298557399</v>
      </c>
      <c r="F4832">
        <v>0.15434063932851999</v>
      </c>
      <c r="G4832">
        <v>0.108840018947211</v>
      </c>
      <c r="H4832">
        <v>7.44610164349927E-2</v>
      </c>
      <c r="I4832">
        <v>7.1180757057377003E-2</v>
      </c>
      <c r="J4832">
        <v>7.0115404895993202E-2</v>
      </c>
      <c r="K4832">
        <v>6.7994368876398995E-2</v>
      </c>
      <c r="L4832">
        <v>668.99502101213795</v>
      </c>
      <c r="M4832">
        <v>14.2948342411925</v>
      </c>
      <c r="N4832">
        <v>47.141789962918601</v>
      </c>
      <c r="O4832">
        <v>45.912488114754503</v>
      </c>
      <c r="P4832">
        <v>-7.4012448754763496E-2</v>
      </c>
      <c r="Q4832">
        <v>4.9256438390124599E-2</v>
      </c>
      <c r="R4832">
        <v>0.98521074466720304</v>
      </c>
      <c r="S4832" t="s">
        <v>11638</v>
      </c>
      <c r="T4832" t="s">
        <v>13610</v>
      </c>
      <c r="U4832" t="s">
        <v>13610</v>
      </c>
      <c r="V4832" t="s">
        <v>13610</v>
      </c>
      <c r="W4832" t="s">
        <v>18380</v>
      </c>
      <c r="X4832">
        <v>2</v>
      </c>
      <c r="Y4832" t="s">
        <v>24956</v>
      </c>
      <c r="Z4832" t="s">
        <v>31687</v>
      </c>
      <c r="AA4832">
        <v>0.29362946433016551</v>
      </c>
      <c r="AB4832" t="str">
        <f>HYPERLINK("Melting_Curves/meltCurve_Q8WXI4_2_ACOT11.pdf", "Melting_Curves/meltCurve_Q8WXI4_2_ACOT11.pdf")</f>
        <v>Melting_Curves/meltCurve_Q8WXI4_2_ACOT11.pdf</v>
      </c>
    </row>
    <row r="4833" spans="1:28" x14ac:dyDescent="0.25">
      <c r="A4833" t="s">
        <v>4837</v>
      </c>
      <c r="B4833">
        <v>0.995954080203443</v>
      </c>
      <c r="C4833">
        <v>0.91411854262499503</v>
      </c>
      <c r="D4833">
        <v>0.84171243777974802</v>
      </c>
      <c r="E4833">
        <v>0.74029374861212005</v>
      </c>
      <c r="F4833">
        <v>0.60126131642555103</v>
      </c>
      <c r="G4833">
        <v>0.45187698999997999</v>
      </c>
      <c r="H4833">
        <v>0.40409055314435399</v>
      </c>
      <c r="I4833">
        <v>0.46647416013867798</v>
      </c>
      <c r="J4833">
        <v>0.53134425185716305</v>
      </c>
      <c r="K4833">
        <v>0.543253282522415</v>
      </c>
      <c r="L4833">
        <v>806.10817972859695</v>
      </c>
      <c r="M4833">
        <v>16.464310071761702</v>
      </c>
      <c r="N4833">
        <v>59.012223424518602</v>
      </c>
      <c r="O4833">
        <v>48.255748356451498</v>
      </c>
      <c r="P4833">
        <v>-4.5234111559212899E-2</v>
      </c>
      <c r="Q4833">
        <v>0.469725006510679</v>
      </c>
      <c r="R4833">
        <v>0.93814260882418399</v>
      </c>
      <c r="S4833" t="s">
        <v>11639</v>
      </c>
      <c r="T4833" t="s">
        <v>13610</v>
      </c>
      <c r="U4833" t="s">
        <v>13610</v>
      </c>
      <c r="V4833" t="s">
        <v>13610</v>
      </c>
      <c r="W4833" t="s">
        <v>18381</v>
      </c>
      <c r="X4833">
        <v>23</v>
      </c>
      <c r="Y4833" t="s">
        <v>24957</v>
      </c>
      <c r="Z4833" t="s">
        <v>31688</v>
      </c>
      <c r="AA4833">
        <v>0.6390788573541174</v>
      </c>
      <c r="AB4833" t="str">
        <f>HYPERLINK("Melting_Curves/meltCurve_Q8WXI9_GATAD2B.pdf", "Melting_Curves/meltCurve_Q8WXI9_GATAD2B.pdf")</f>
        <v>Melting_Curves/meltCurve_Q8WXI9_GATAD2B.pdf</v>
      </c>
    </row>
    <row r="4834" spans="1:28" x14ac:dyDescent="0.25">
      <c r="A4834" t="s">
        <v>4838</v>
      </c>
      <c r="B4834">
        <v>0.995954080203443</v>
      </c>
      <c r="C4834">
        <v>0.91321234524933204</v>
      </c>
      <c r="D4834">
        <v>0.97865510156136903</v>
      </c>
      <c r="E4834">
        <v>0.76432542001683901</v>
      </c>
      <c r="F4834">
        <v>0.70406107567561804</v>
      </c>
      <c r="G4834">
        <v>0.48997273213789</v>
      </c>
      <c r="H4834">
        <v>0.41887118359409298</v>
      </c>
      <c r="I4834">
        <v>0.49193295127356301</v>
      </c>
      <c r="J4834">
        <v>0.57750269372252305</v>
      </c>
      <c r="K4834">
        <v>0.58974948682116801</v>
      </c>
      <c r="L4834">
        <v>1179.6342793291899</v>
      </c>
      <c r="M4834">
        <v>23.275198479362899</v>
      </c>
      <c r="O4834">
        <v>50.3123699348548</v>
      </c>
      <c r="P4834">
        <v>-5.6489055021407997E-2</v>
      </c>
      <c r="Q4834">
        <v>0.51157515000407505</v>
      </c>
      <c r="R4834">
        <v>0.91211689121653206</v>
      </c>
      <c r="S4834" t="s">
        <v>11640</v>
      </c>
      <c r="T4834" t="s">
        <v>13610</v>
      </c>
      <c r="U4834" t="s">
        <v>13610</v>
      </c>
      <c r="V4834" t="s">
        <v>13610</v>
      </c>
      <c r="W4834" t="s">
        <v>18382</v>
      </c>
      <c r="X4834">
        <v>3</v>
      </c>
      <c r="Y4834" t="s">
        <v>24958</v>
      </c>
      <c r="Z4834" t="s">
        <v>31689</v>
      </c>
      <c r="AA4834">
        <v>0.69055001889700429</v>
      </c>
      <c r="AB4834" t="str">
        <f>HYPERLINK("Melting_Curves/meltCurve_Q8WXR4_4_MYO3B.pdf", "Melting_Curves/meltCurve_Q8WXR4_4_MYO3B.pdf")</f>
        <v>Melting_Curves/meltCurve_Q8WXR4_4_MYO3B.pdf</v>
      </c>
    </row>
    <row r="4835" spans="1:28" x14ac:dyDescent="0.25">
      <c r="A4835" t="s">
        <v>4839</v>
      </c>
      <c r="B4835">
        <v>0.995954080203443</v>
      </c>
      <c r="C4835">
        <v>0.81297702950768003</v>
      </c>
      <c r="D4835">
        <v>0.38818286450171102</v>
      </c>
      <c r="E4835">
        <v>0.30688555445836002</v>
      </c>
      <c r="F4835">
        <v>0.20783628004183499</v>
      </c>
      <c r="G4835">
        <v>0.14445166203616699</v>
      </c>
      <c r="H4835">
        <v>0.10768542658279</v>
      </c>
      <c r="I4835">
        <v>0.116934914355352</v>
      </c>
      <c r="J4835">
        <v>0.127639994610455</v>
      </c>
      <c r="K4835">
        <v>0.124858740401542</v>
      </c>
      <c r="L4835">
        <v>1048.3838254623399</v>
      </c>
      <c r="M4835">
        <v>23.340253553300201</v>
      </c>
      <c r="N4835">
        <v>45.564617311823497</v>
      </c>
      <c r="O4835">
        <v>44.591585255637803</v>
      </c>
      <c r="P4835">
        <v>-0.11239571661362301</v>
      </c>
      <c r="Q4835">
        <v>0.14108653300137999</v>
      </c>
      <c r="R4835">
        <v>0.97816742650293298</v>
      </c>
      <c r="S4835" t="s">
        <v>11641</v>
      </c>
      <c r="T4835" t="s">
        <v>13610</v>
      </c>
      <c r="U4835" t="s">
        <v>13610</v>
      </c>
      <c r="V4835" t="s">
        <v>13610</v>
      </c>
      <c r="W4835" t="s">
        <v>18383</v>
      </c>
      <c r="X4835">
        <v>6</v>
      </c>
      <c r="Y4835" t="s">
        <v>24959</v>
      </c>
      <c r="Z4835" t="s">
        <v>31690</v>
      </c>
      <c r="AA4835">
        <v>0.2920571282363737</v>
      </c>
      <c r="AB4835" t="str">
        <f>HYPERLINK("Melting_Curves/meltCurve_Q8WXW3_PIBF1.pdf", "Melting_Curves/meltCurve_Q8WXW3_PIBF1.pdf")</f>
        <v>Melting_Curves/meltCurve_Q8WXW3_PIBF1.pdf</v>
      </c>
    </row>
    <row r="4836" spans="1:28" x14ac:dyDescent="0.25">
      <c r="A4836" t="s">
        <v>4840</v>
      </c>
      <c r="B4836">
        <v>0.995954080203443</v>
      </c>
      <c r="C4836">
        <v>0.83253500973393202</v>
      </c>
      <c r="D4836">
        <v>1.04049950017297</v>
      </c>
      <c r="E4836">
        <v>0.782177039585637</v>
      </c>
      <c r="F4836">
        <v>0.88589401018840996</v>
      </c>
      <c r="G4836">
        <v>0.70017590471001401</v>
      </c>
      <c r="H4836">
        <v>0.70762963823512304</v>
      </c>
      <c r="I4836">
        <v>1.02782567082715</v>
      </c>
      <c r="J4836">
        <v>1.06081411817013</v>
      </c>
      <c r="K4836">
        <v>1.1886645341292299</v>
      </c>
      <c r="L4836">
        <v>4336.5208123314796</v>
      </c>
      <c r="M4836">
        <v>63.801501130093499</v>
      </c>
      <c r="O4836">
        <v>67.902266144882802</v>
      </c>
      <c r="P4836">
        <v>5.1244458062595401E-2</v>
      </c>
      <c r="Q4836">
        <v>1.2181524662961201</v>
      </c>
      <c r="R4836">
        <v>-8.6033521709823604E-2</v>
      </c>
      <c r="S4836" t="s">
        <v>11642</v>
      </c>
      <c r="T4836" t="s">
        <v>13610</v>
      </c>
      <c r="U4836" t="s">
        <v>13610</v>
      </c>
      <c r="V4836" t="s">
        <v>13610</v>
      </c>
      <c r="W4836" t="s">
        <v>18384</v>
      </c>
      <c r="X4836">
        <v>1</v>
      </c>
      <c r="Y4836" t="s">
        <v>24959</v>
      </c>
      <c r="Z4836" t="s">
        <v>31691</v>
      </c>
      <c r="AA4836">
        <v>1.0156093156428481</v>
      </c>
      <c r="AB4836" t="str">
        <f>HYPERLINK("Melting_Curves/meltCurve_Q8WXW3_2_PIBF1.pdf", "Melting_Curves/meltCurve_Q8WXW3_2_PIBF1.pdf")</f>
        <v>Melting_Curves/meltCurve_Q8WXW3_2_PIBF1.pdf</v>
      </c>
    </row>
    <row r="4837" spans="1:28" x14ac:dyDescent="0.25">
      <c r="A4837" t="s">
        <v>4841</v>
      </c>
      <c r="B4837">
        <v>0.995954080203443</v>
      </c>
      <c r="C4837">
        <v>0.99940369425251097</v>
      </c>
      <c r="D4837">
        <v>0.96272886706773098</v>
      </c>
      <c r="E4837">
        <v>0.92002460486951598</v>
      </c>
      <c r="F4837">
        <v>0.79024648656172403</v>
      </c>
      <c r="G4837">
        <v>0.39729151294263498</v>
      </c>
      <c r="H4837">
        <v>0.215751580965241</v>
      </c>
      <c r="I4837">
        <v>0.19005974043569901</v>
      </c>
      <c r="J4837">
        <v>0.24086878523210001</v>
      </c>
      <c r="K4837">
        <v>0.22547983735264401</v>
      </c>
      <c r="L4837">
        <v>1604.22307063111</v>
      </c>
      <c r="M4837">
        <v>29.325792681869402</v>
      </c>
      <c r="N4837">
        <v>55.715461503888001</v>
      </c>
      <c r="O4837">
        <v>54.451006598787004</v>
      </c>
      <c r="P4837">
        <v>-0.106842804873461</v>
      </c>
      <c r="Q4837">
        <v>0.20647918474007501</v>
      </c>
      <c r="R4837">
        <v>0.99570914099077501</v>
      </c>
      <c r="S4837" t="s">
        <v>11643</v>
      </c>
      <c r="T4837" t="s">
        <v>13610</v>
      </c>
      <c r="U4837" t="s">
        <v>13610</v>
      </c>
      <c r="V4837" t="s">
        <v>13610</v>
      </c>
      <c r="W4837" t="s">
        <v>18385</v>
      </c>
      <c r="X4837">
        <v>22</v>
      </c>
      <c r="Y4837" t="s">
        <v>24960</v>
      </c>
      <c r="Z4837" t="s">
        <v>31692</v>
      </c>
      <c r="AA4837">
        <v>0.60087817047332348</v>
      </c>
      <c r="AB4837" t="str">
        <f>HYPERLINK("Melting_Curves/meltCurve_Q8WXX5_DNAJC9.pdf", "Melting_Curves/meltCurve_Q8WXX5_DNAJC9.pdf")</f>
        <v>Melting_Curves/meltCurve_Q8WXX5_DNAJC9.pdf</v>
      </c>
    </row>
    <row r="4838" spans="1:28" x14ac:dyDescent="0.25">
      <c r="A4838" t="s">
        <v>4842</v>
      </c>
      <c r="B4838">
        <v>0.995954080203443</v>
      </c>
      <c r="C4838">
        <v>0.97050412751084203</v>
      </c>
      <c r="D4838">
        <v>1.0909220833040201</v>
      </c>
      <c r="E4838">
        <v>0.90466908217813802</v>
      </c>
      <c r="F4838">
        <v>0.90309073140403395</v>
      </c>
      <c r="G4838">
        <v>0.64704394764615003</v>
      </c>
      <c r="H4838">
        <v>0.56891837426175396</v>
      </c>
      <c r="I4838">
        <v>0.73653179667551805</v>
      </c>
      <c r="J4838">
        <v>0.85038669989153803</v>
      </c>
      <c r="K4838">
        <v>0.78456692122995697</v>
      </c>
      <c r="L4838">
        <v>5976.5560922350796</v>
      </c>
      <c r="M4838">
        <v>112.122755380611</v>
      </c>
      <c r="O4838">
        <v>53.286735921293399</v>
      </c>
      <c r="P4838">
        <v>-0.14861482355189201</v>
      </c>
      <c r="Q4838">
        <v>0.71748113645378597</v>
      </c>
      <c r="R4838">
        <v>0.71370406319456603</v>
      </c>
      <c r="S4838" t="s">
        <v>11644</v>
      </c>
      <c r="T4838" t="s">
        <v>13610</v>
      </c>
      <c r="U4838" t="s">
        <v>13610</v>
      </c>
      <c r="V4838" t="s">
        <v>13610</v>
      </c>
      <c r="W4838" t="s">
        <v>18386</v>
      </c>
      <c r="X4838">
        <v>6</v>
      </c>
      <c r="Y4838" t="s">
        <v>24961</v>
      </c>
      <c r="Z4838" t="s">
        <v>31693</v>
      </c>
      <c r="AA4838">
        <v>0.84289738172130935</v>
      </c>
      <c r="AB4838" t="str">
        <f>HYPERLINK("Melting_Curves/meltCurve_Q8WY91_THAP4.pdf", "Melting_Curves/meltCurve_Q8WY91_THAP4.pdf")</f>
        <v>Melting_Curves/meltCurve_Q8WY91_THAP4.pdf</v>
      </c>
    </row>
    <row r="4839" spans="1:28" x14ac:dyDescent="0.25">
      <c r="A4839" t="s">
        <v>4843</v>
      </c>
      <c r="B4839">
        <v>0.995954080203443</v>
      </c>
      <c r="C4839">
        <v>0.70668053498979</v>
      </c>
      <c r="D4839">
        <v>0.33618516163970902</v>
      </c>
      <c r="E4839">
        <v>0.27135347885093503</v>
      </c>
      <c r="F4839">
        <v>0.171804819382153</v>
      </c>
      <c r="G4839">
        <v>0.110994616008116</v>
      </c>
      <c r="H4839">
        <v>8.7131776430480895E-2</v>
      </c>
      <c r="I4839">
        <v>9.2894674871996499E-2</v>
      </c>
      <c r="J4839">
        <v>0.109057547661031</v>
      </c>
      <c r="K4839">
        <v>0.10042489548557</v>
      </c>
      <c r="L4839">
        <v>1025.3164460289599</v>
      </c>
      <c r="M4839">
        <v>23.153443090123201</v>
      </c>
      <c r="N4839">
        <v>44.802264385087497</v>
      </c>
      <c r="O4839">
        <v>43.957192318121798</v>
      </c>
      <c r="P4839">
        <v>-0.11620178819902099</v>
      </c>
      <c r="Q4839">
        <v>0.11757254677623601</v>
      </c>
      <c r="R4839">
        <v>0.97861480280005098</v>
      </c>
      <c r="S4839" t="s">
        <v>11645</v>
      </c>
      <c r="T4839" t="s">
        <v>13610</v>
      </c>
      <c r="U4839" t="s">
        <v>13610</v>
      </c>
      <c r="V4839" t="s">
        <v>13610</v>
      </c>
      <c r="W4839" t="s">
        <v>18387</v>
      </c>
      <c r="X4839">
        <v>24</v>
      </c>
      <c r="Y4839" t="s">
        <v>24962</v>
      </c>
      <c r="Z4839" t="s">
        <v>31694</v>
      </c>
      <c r="AA4839">
        <v>0.25517895439564969</v>
      </c>
      <c r="AB4839" t="str">
        <f>HYPERLINK("Melting_Curves/meltCurve_Q8WYA6_CTNNBL1.pdf", "Melting_Curves/meltCurve_Q8WYA6_CTNNBL1.pdf")</f>
        <v>Melting_Curves/meltCurve_Q8WYA6_CTNNBL1.pdf</v>
      </c>
    </row>
    <row r="4840" spans="1:28" x14ac:dyDescent="0.25">
      <c r="A4840" t="s">
        <v>4844</v>
      </c>
      <c r="B4840">
        <v>0.995954080203443</v>
      </c>
      <c r="C4840">
        <v>0.87926736437161501</v>
      </c>
      <c r="D4840">
        <v>1.09154527106497</v>
      </c>
      <c r="E4840">
        <v>0.95986541753001797</v>
      </c>
      <c r="F4840">
        <v>1.0668130554534301</v>
      </c>
      <c r="G4840">
        <v>0.92343829517454501</v>
      </c>
      <c r="H4840">
        <v>1.01604004905709</v>
      </c>
      <c r="I4840">
        <v>1.2841534732072999</v>
      </c>
      <c r="J4840">
        <v>1.3976915611118299</v>
      </c>
      <c r="K4840">
        <v>1.5022774841322899</v>
      </c>
      <c r="L4840">
        <v>3530.38028064335</v>
      </c>
      <c r="M4840">
        <v>55.439058748825197</v>
      </c>
      <c r="O4840">
        <v>63.597681537471203</v>
      </c>
      <c r="P4840">
        <v>0.10257941028753401</v>
      </c>
      <c r="Q4840">
        <v>1.4707012808309701</v>
      </c>
      <c r="R4840">
        <v>0.90297563026107097</v>
      </c>
      <c r="S4840" t="s">
        <v>11646</v>
      </c>
      <c r="T4840" t="s">
        <v>13610</v>
      </c>
      <c r="U4840" t="s">
        <v>13610</v>
      </c>
      <c r="V4840" t="s">
        <v>13610</v>
      </c>
      <c r="W4840" t="s">
        <v>18388</v>
      </c>
      <c r="X4840">
        <v>4</v>
      </c>
      <c r="Y4840" t="s">
        <v>24963</v>
      </c>
      <c r="Z4840" t="s">
        <v>31695</v>
      </c>
      <c r="AA4840">
        <v>1.098232433299726</v>
      </c>
      <c r="AB4840" t="str">
        <f>HYPERLINK("Melting_Curves/meltCurve_Q8WYB5_3_KAT6B.pdf", "Melting_Curves/meltCurve_Q8WYB5_3_KAT6B.pdf")</f>
        <v>Melting_Curves/meltCurve_Q8WYB5_3_KAT6B.pdf</v>
      </c>
    </row>
    <row r="4841" spans="1:28" x14ac:dyDescent="0.25">
      <c r="A4841" t="s">
        <v>4845</v>
      </c>
      <c r="B4841">
        <v>0.995954080203443</v>
      </c>
      <c r="C4841">
        <v>0.950209215546164</v>
      </c>
      <c r="D4841">
        <v>0.94774844063062202</v>
      </c>
      <c r="E4841">
        <v>0.75808153364969699</v>
      </c>
      <c r="F4841">
        <v>0.80006264719143005</v>
      </c>
      <c r="G4841">
        <v>0.59568511963668003</v>
      </c>
      <c r="H4841">
        <v>0.54789767028511205</v>
      </c>
      <c r="I4841">
        <v>0.70052250361786905</v>
      </c>
      <c r="J4841">
        <v>0.72598759649998001</v>
      </c>
      <c r="K4841">
        <v>0.78320277902761404</v>
      </c>
      <c r="L4841">
        <v>1124.6007541971101</v>
      </c>
      <c r="M4841">
        <v>23.168453580260401</v>
      </c>
      <c r="O4841">
        <v>48.182894604802001</v>
      </c>
      <c r="P4841">
        <v>-3.8564347076109201E-2</v>
      </c>
      <c r="Q4841">
        <v>0.679200378258072</v>
      </c>
      <c r="R4841">
        <v>0.75716902147519205</v>
      </c>
      <c r="S4841" t="s">
        <v>11647</v>
      </c>
      <c r="T4841" t="s">
        <v>13610</v>
      </c>
      <c r="U4841" t="s">
        <v>13610</v>
      </c>
      <c r="V4841" t="s">
        <v>13610</v>
      </c>
      <c r="W4841" t="s">
        <v>18389</v>
      </c>
      <c r="X4841">
        <v>8</v>
      </c>
      <c r="Y4841" t="s">
        <v>24964</v>
      </c>
      <c r="Z4841" t="s">
        <v>31696</v>
      </c>
      <c r="AA4841">
        <v>0.77384818618266094</v>
      </c>
      <c r="AB4841" t="str">
        <f>HYPERLINK("Melting_Curves/meltCurve_Q8WYL5_4_SSH1.pdf", "Melting_Curves/meltCurve_Q8WYL5_4_SSH1.pdf")</f>
        <v>Melting_Curves/meltCurve_Q8WYL5_4_SSH1.pdf</v>
      </c>
    </row>
    <row r="4842" spans="1:28" x14ac:dyDescent="0.25">
      <c r="A4842" t="s">
        <v>4846</v>
      </c>
      <c r="B4842">
        <v>0.995954080203443</v>
      </c>
      <c r="C4842">
        <v>1.06526279543499</v>
      </c>
      <c r="D4842">
        <v>0.96944969439076301</v>
      </c>
      <c r="E4842">
        <v>0.46276855398178601</v>
      </c>
      <c r="F4842">
        <v>0.11068194320617</v>
      </c>
      <c r="G4842">
        <v>7.6523536277759999E-2</v>
      </c>
      <c r="H4842">
        <v>4.8376260614417799E-2</v>
      </c>
      <c r="I4842">
        <v>3.10801719890554E-2</v>
      </c>
      <c r="J4842">
        <v>5.3713661047232901E-2</v>
      </c>
      <c r="K4842">
        <v>3.7631296945670398E-2</v>
      </c>
      <c r="L4842">
        <v>2117.8338786480699</v>
      </c>
      <c r="M4842">
        <v>42.613974053371997</v>
      </c>
      <c r="N4842">
        <v>49.817253573235497</v>
      </c>
      <c r="O4842">
        <v>49.589059817293901</v>
      </c>
      <c r="P4842">
        <v>-0.20442832743307299</v>
      </c>
      <c r="Q4842">
        <v>4.8444742321603299E-2</v>
      </c>
      <c r="R4842">
        <v>0.99701101947844994</v>
      </c>
      <c r="S4842" t="s">
        <v>11648</v>
      </c>
      <c r="T4842" t="s">
        <v>13610</v>
      </c>
      <c r="U4842" t="s">
        <v>13610</v>
      </c>
      <c r="V4842" t="s">
        <v>13610</v>
      </c>
      <c r="W4842" t="s">
        <v>18390</v>
      </c>
      <c r="X4842">
        <v>6</v>
      </c>
      <c r="Y4842" t="s">
        <v>24965</v>
      </c>
      <c r="Z4842" t="s">
        <v>31697</v>
      </c>
      <c r="AA4842">
        <v>0.35893258471238282</v>
      </c>
      <c r="AB4842" t="str">
        <f>HYPERLINK("Melting_Curves/meltCurve_Q8WYN0_ATG4A.pdf", "Melting_Curves/meltCurve_Q8WYN0_ATG4A.pdf")</f>
        <v>Melting_Curves/meltCurve_Q8WYN0_ATG4A.pdf</v>
      </c>
    </row>
    <row r="4843" spans="1:28" x14ac:dyDescent="0.25">
      <c r="A4843" t="s">
        <v>4847</v>
      </c>
      <c r="B4843">
        <v>0.995954080203443</v>
      </c>
      <c r="C4843">
        <v>1.0105149626843799</v>
      </c>
      <c r="D4843">
        <v>1.0109632964791699</v>
      </c>
      <c r="E4843">
        <v>0.89817969887280003</v>
      </c>
      <c r="F4843">
        <v>0.88668645458425499</v>
      </c>
      <c r="G4843">
        <v>0.694639257203569</v>
      </c>
      <c r="H4843">
        <v>0.68214224149227598</v>
      </c>
      <c r="I4843">
        <v>0.84497278229771999</v>
      </c>
      <c r="J4843">
        <v>0.904288197442083</v>
      </c>
      <c r="K4843">
        <v>0.88797514045913295</v>
      </c>
      <c r="L4843">
        <v>1740.9243176784701</v>
      </c>
      <c r="M4843">
        <v>34.559463623624303</v>
      </c>
      <c r="O4843">
        <v>50.2069758287412</v>
      </c>
      <c r="P4843">
        <v>-3.2839776683475798E-2</v>
      </c>
      <c r="Q4843">
        <v>0.80916604778302403</v>
      </c>
      <c r="R4843">
        <v>0.59617478031306403</v>
      </c>
      <c r="S4843" t="s">
        <v>11649</v>
      </c>
      <c r="T4843" t="s">
        <v>13610</v>
      </c>
      <c r="U4843" t="s">
        <v>13610</v>
      </c>
      <c r="V4843" t="s">
        <v>13610</v>
      </c>
      <c r="W4843" t="s">
        <v>18391</v>
      </c>
      <c r="X4843">
        <v>48</v>
      </c>
      <c r="Y4843" t="s">
        <v>24966</v>
      </c>
      <c r="Z4843" t="s">
        <v>31698</v>
      </c>
      <c r="AA4843">
        <v>0.87605384845709</v>
      </c>
      <c r="AB4843" t="str">
        <f>HYPERLINK("Melting_Curves/meltCurve_Q8WYP5_AHCTF1.pdf", "Melting_Curves/meltCurve_Q8WYP5_AHCTF1.pdf")</f>
        <v>Melting_Curves/meltCurve_Q8WYP5_AHCTF1.pdf</v>
      </c>
    </row>
    <row r="4844" spans="1:28" x14ac:dyDescent="0.25">
      <c r="A4844" t="s">
        <v>4848</v>
      </c>
      <c r="B4844">
        <v>0.995954080203443</v>
      </c>
      <c r="C4844">
        <v>0.91268509765972505</v>
      </c>
      <c r="D4844">
        <v>0.90519194774671097</v>
      </c>
      <c r="E4844">
        <v>0.77787737730225404</v>
      </c>
      <c r="F4844">
        <v>0.68053138177274997</v>
      </c>
      <c r="G4844">
        <v>0.44270506813216598</v>
      </c>
      <c r="H4844">
        <v>0.37222313724578099</v>
      </c>
      <c r="I4844">
        <v>0.387801968001866</v>
      </c>
      <c r="J4844">
        <v>0.51363709465872298</v>
      </c>
      <c r="K4844">
        <v>0.44853634824980299</v>
      </c>
      <c r="L4844">
        <v>912.79226814324795</v>
      </c>
      <c r="M4844">
        <v>17.805018898361102</v>
      </c>
      <c r="N4844">
        <v>56.837976639782603</v>
      </c>
      <c r="O4844">
        <v>50.632456169303801</v>
      </c>
      <c r="P4844">
        <v>-5.1632395054275103E-2</v>
      </c>
      <c r="Q4844">
        <v>0.41271851632520201</v>
      </c>
      <c r="R4844">
        <v>0.94547491214627699</v>
      </c>
      <c r="S4844" t="s">
        <v>11650</v>
      </c>
      <c r="T4844" t="s">
        <v>13610</v>
      </c>
      <c r="U4844" t="s">
        <v>13610</v>
      </c>
      <c r="V4844" t="s">
        <v>13610</v>
      </c>
      <c r="W4844" t="s">
        <v>18392</v>
      </c>
      <c r="X4844">
        <v>11</v>
      </c>
      <c r="Y4844" t="s">
        <v>24967</v>
      </c>
      <c r="Z4844" t="s">
        <v>31699</v>
      </c>
      <c r="AA4844">
        <v>0.64331930687555383</v>
      </c>
      <c r="AB4844" t="str">
        <f>HYPERLINK("Melting_Curves/meltCurve_Q8WYQ5_3_DGCR8.pdf", "Melting_Curves/meltCurve_Q8WYQ5_3_DGCR8.pdf")</f>
        <v>Melting_Curves/meltCurve_Q8WYQ5_3_DGCR8.pdf</v>
      </c>
    </row>
    <row r="4845" spans="1:28" x14ac:dyDescent="0.25">
      <c r="A4845" t="s">
        <v>4849</v>
      </c>
      <c r="B4845">
        <v>0.995954080203443</v>
      </c>
      <c r="C4845">
        <v>1.03763808511052</v>
      </c>
      <c r="D4845">
        <v>0.69608703623200996</v>
      </c>
      <c r="E4845">
        <v>0.92872013281557397</v>
      </c>
      <c r="F4845">
        <v>0.57162475510822097</v>
      </c>
      <c r="G4845">
        <v>0.338316700401389</v>
      </c>
      <c r="H4845">
        <v>0.337299361596334</v>
      </c>
      <c r="I4845">
        <v>0.13902979929713499</v>
      </c>
      <c r="J4845">
        <v>0</v>
      </c>
      <c r="K4845">
        <v>0.24014393327740199</v>
      </c>
      <c r="L4845">
        <v>702.49901458634201</v>
      </c>
      <c r="M4845">
        <v>12.951127813274599</v>
      </c>
      <c r="N4845">
        <v>54.853561437474703</v>
      </c>
      <c r="O4845">
        <v>52.9979405658462</v>
      </c>
      <c r="P4845">
        <v>-5.6997765264505E-2</v>
      </c>
      <c r="Q4845">
        <v>6.7194200763916495E-2</v>
      </c>
      <c r="R4845">
        <v>0.89756130777120002</v>
      </c>
      <c r="S4845" t="s">
        <v>11651</v>
      </c>
      <c r="T4845" t="s">
        <v>13610</v>
      </c>
      <c r="U4845" t="s">
        <v>13610</v>
      </c>
      <c r="V4845" t="s">
        <v>13610</v>
      </c>
      <c r="W4845" t="s">
        <v>18393</v>
      </c>
      <c r="X4845">
        <v>3</v>
      </c>
      <c r="Y4845" t="s">
        <v>24968</v>
      </c>
      <c r="Z4845" t="s">
        <v>31700</v>
      </c>
      <c r="AA4845">
        <v>0.53220333917060658</v>
      </c>
      <c r="AB4845" t="str">
        <f>HYPERLINK("Melting_Curves/meltCurve_Q8WZ19_KCTD13.pdf", "Melting_Curves/meltCurve_Q8WZ19_KCTD13.pdf")</f>
        <v>Melting_Curves/meltCurve_Q8WZ19_KCTD13.pdf</v>
      </c>
    </row>
    <row r="4846" spans="1:28" x14ac:dyDescent="0.25">
      <c r="A4846" t="s">
        <v>4850</v>
      </c>
      <c r="B4846">
        <v>0.995954080203443</v>
      </c>
      <c r="C4846">
        <v>0.96491631217385099</v>
      </c>
      <c r="D4846">
        <v>1.1897142978808799</v>
      </c>
      <c r="E4846">
        <v>0.90817375932677102</v>
      </c>
      <c r="F4846">
        <v>0.76593982336414101</v>
      </c>
      <c r="G4846">
        <v>0.70377666985643506</v>
      </c>
      <c r="H4846">
        <v>0.41598699921768101</v>
      </c>
      <c r="I4846">
        <v>0.32748814031120699</v>
      </c>
      <c r="J4846">
        <v>0.15230120483912801</v>
      </c>
      <c r="K4846">
        <v>0.101329423380105</v>
      </c>
      <c r="L4846">
        <v>819.46146143601902</v>
      </c>
      <c r="M4846">
        <v>13.720905182871</v>
      </c>
      <c r="N4846">
        <v>59.723571642744098</v>
      </c>
      <c r="O4846">
        <v>58.497834788583901</v>
      </c>
      <c r="P4846">
        <v>-5.8646934267655298E-2</v>
      </c>
      <c r="Q4846">
        <v>0</v>
      </c>
      <c r="R4846">
        <v>0.95648083202206202</v>
      </c>
      <c r="S4846" t="s">
        <v>11652</v>
      </c>
      <c r="T4846" t="s">
        <v>13610</v>
      </c>
      <c r="U4846" t="s">
        <v>13610</v>
      </c>
      <c r="V4846" t="s">
        <v>13610</v>
      </c>
      <c r="W4846" t="s">
        <v>18394</v>
      </c>
      <c r="X4846">
        <v>8</v>
      </c>
      <c r="Y4846" t="s">
        <v>24969</v>
      </c>
      <c r="Z4846" t="s">
        <v>31701</v>
      </c>
      <c r="AA4846">
        <v>0.66421149936559476</v>
      </c>
      <c r="AB4846" t="str">
        <f>HYPERLINK("Melting_Curves/meltCurve_Q8WZ42_12_TTN.pdf", "Melting_Curves/meltCurve_Q8WZ42_12_TTN.pdf")</f>
        <v>Melting_Curves/meltCurve_Q8WZ42_12_TTN.pdf</v>
      </c>
    </row>
    <row r="4847" spans="1:28" x14ac:dyDescent="0.25">
      <c r="A4847" t="s">
        <v>4851</v>
      </c>
      <c r="B4847">
        <v>0.995954080203443</v>
      </c>
      <c r="C4847">
        <v>0.98777939504438705</v>
      </c>
      <c r="D4847">
        <v>1.1613720408318999</v>
      </c>
      <c r="E4847">
        <v>0.92484160432380202</v>
      </c>
      <c r="F4847">
        <v>0.67990794648168695</v>
      </c>
      <c r="G4847">
        <v>0.49895565216432602</v>
      </c>
      <c r="H4847">
        <v>0.33786448339359598</v>
      </c>
      <c r="I4847">
        <v>0.34255575853811598</v>
      </c>
      <c r="J4847">
        <v>0.48101657189367197</v>
      </c>
      <c r="K4847">
        <v>0.44785562516544503</v>
      </c>
      <c r="L4847">
        <v>1845.39590748255</v>
      </c>
      <c r="M4847">
        <v>34.915188494678098</v>
      </c>
      <c r="N4847">
        <v>55.583247757938999</v>
      </c>
      <c r="O4847">
        <v>52.681191540872703</v>
      </c>
      <c r="P4847">
        <v>-9.7760829805517299E-2</v>
      </c>
      <c r="Q4847">
        <v>0.40998300718550401</v>
      </c>
      <c r="R4847">
        <v>0.94464348604066894</v>
      </c>
      <c r="S4847" t="s">
        <v>11653</v>
      </c>
      <c r="T4847" t="s">
        <v>13610</v>
      </c>
      <c r="U4847" t="s">
        <v>13610</v>
      </c>
      <c r="V4847" t="s">
        <v>13610</v>
      </c>
      <c r="W4847" t="s">
        <v>18395</v>
      </c>
      <c r="X4847">
        <v>5</v>
      </c>
      <c r="Y4847" t="s">
        <v>24969</v>
      </c>
      <c r="Z4847" t="s">
        <v>31702</v>
      </c>
      <c r="AA4847">
        <v>0.66560631055960551</v>
      </c>
      <c r="AB4847" t="str">
        <f>HYPERLINK("Melting_Curves/meltCurve_Q8WZ42_5_TTN.pdf", "Melting_Curves/meltCurve_Q8WZ42_5_TTN.pdf")</f>
        <v>Melting_Curves/meltCurve_Q8WZ42_5_TTN.pdf</v>
      </c>
    </row>
    <row r="4848" spans="1:28" x14ac:dyDescent="0.25">
      <c r="A4848" t="s">
        <v>4852</v>
      </c>
      <c r="B4848">
        <v>0.995954080203443</v>
      </c>
      <c r="C4848">
        <v>0.96837819390472701</v>
      </c>
      <c r="D4848">
        <v>1.2618349625390699</v>
      </c>
      <c r="E4848">
        <v>1.0740211693297601</v>
      </c>
      <c r="F4848">
        <v>1.32021907345012</v>
      </c>
      <c r="G4848">
        <v>1.1748086117929399</v>
      </c>
      <c r="H4848">
        <v>1.09393900895701</v>
      </c>
      <c r="I4848">
        <v>1.0591581297194199</v>
      </c>
      <c r="J4848">
        <v>1.45552498429864</v>
      </c>
      <c r="K4848">
        <v>1.17441983261654</v>
      </c>
      <c r="L4848">
        <v>11086.2966153085</v>
      </c>
      <c r="M4848">
        <v>250</v>
      </c>
      <c r="O4848">
        <v>44.342348750598198</v>
      </c>
      <c r="P4848">
        <v>0.28435296030464802</v>
      </c>
      <c r="Q4848">
        <v>1.20174204951248</v>
      </c>
      <c r="R4848">
        <v>0.36547958830440302</v>
      </c>
      <c r="S4848" t="s">
        <v>11654</v>
      </c>
      <c r="T4848" t="s">
        <v>13610</v>
      </c>
      <c r="U4848" t="s">
        <v>13610</v>
      </c>
      <c r="V4848" t="s">
        <v>13610</v>
      </c>
      <c r="W4848" t="s">
        <v>18396</v>
      </c>
      <c r="X4848">
        <v>2</v>
      </c>
      <c r="Y4848" t="s">
        <v>24970</v>
      </c>
      <c r="Z4848" t="s">
        <v>31703</v>
      </c>
      <c r="AA4848">
        <v>1.172506121508091</v>
      </c>
      <c r="AB4848" t="str">
        <f>HYPERLINK("Melting_Curves/meltCurve_Q8WZ64_ARAP2.pdf", "Melting_Curves/meltCurve_Q8WZ64_ARAP2.pdf")</f>
        <v>Melting_Curves/meltCurve_Q8WZ64_ARAP2.pdf</v>
      </c>
    </row>
    <row r="4849" spans="1:28" x14ac:dyDescent="0.25">
      <c r="A4849" t="s">
        <v>4853</v>
      </c>
      <c r="B4849">
        <v>0.995954080203443</v>
      </c>
      <c r="C4849">
        <v>1.02914354893058</v>
      </c>
      <c r="D4849">
        <v>0.88304249690885095</v>
      </c>
      <c r="E4849">
        <v>0.470139580627846</v>
      </c>
      <c r="F4849">
        <v>0.20318451769524401</v>
      </c>
      <c r="G4849">
        <v>0.12143144286329099</v>
      </c>
      <c r="H4849">
        <v>8.0171823277792098E-2</v>
      </c>
      <c r="I4849">
        <v>8.8002217236835906E-2</v>
      </c>
      <c r="J4849">
        <v>8.3175233655440994E-2</v>
      </c>
      <c r="K4849">
        <v>7.3111060428238006E-2</v>
      </c>
      <c r="L4849">
        <v>1351.0412520633199</v>
      </c>
      <c r="M4849">
        <v>27.341799247631599</v>
      </c>
      <c r="N4849">
        <v>49.740257405685</v>
      </c>
      <c r="O4849">
        <v>49.1509771840837</v>
      </c>
      <c r="P4849">
        <v>-0.12762484881307201</v>
      </c>
      <c r="Q4849">
        <v>8.2309579399173494E-2</v>
      </c>
      <c r="R4849">
        <v>0.998404148184732</v>
      </c>
      <c r="S4849" t="s">
        <v>11655</v>
      </c>
      <c r="T4849" t="s">
        <v>13610</v>
      </c>
      <c r="U4849" t="s">
        <v>13610</v>
      </c>
      <c r="V4849" t="s">
        <v>13610</v>
      </c>
      <c r="W4849" t="s">
        <v>18397</v>
      </c>
      <c r="X4849">
        <v>4</v>
      </c>
      <c r="Y4849" t="s">
        <v>24971</v>
      </c>
      <c r="Z4849" t="s">
        <v>31704</v>
      </c>
      <c r="AA4849">
        <v>0.3770464317918768</v>
      </c>
      <c r="AB4849" t="str">
        <f>HYPERLINK("Melting_Curves/meltCurve_Q8WZ82_OVCA2.pdf", "Melting_Curves/meltCurve_Q8WZ82_OVCA2.pdf")</f>
        <v>Melting_Curves/meltCurve_Q8WZ82_OVCA2.pdf</v>
      </c>
    </row>
    <row r="4850" spans="1:28" x14ac:dyDescent="0.25">
      <c r="A4850" t="s">
        <v>4854</v>
      </c>
      <c r="B4850">
        <v>0.995954080203443</v>
      </c>
      <c r="C4850">
        <v>0.99099398392781501</v>
      </c>
      <c r="D4850">
        <v>1.0024792324743801</v>
      </c>
      <c r="E4850">
        <v>0.90040472677747296</v>
      </c>
      <c r="F4850">
        <v>0.92952153074466703</v>
      </c>
      <c r="G4850">
        <v>0.76726002860876596</v>
      </c>
      <c r="H4850">
        <v>0.722093163329659</v>
      </c>
      <c r="I4850">
        <v>0.85223887126388598</v>
      </c>
      <c r="J4850">
        <v>0.91019631002702095</v>
      </c>
      <c r="K4850">
        <v>1.0191583903474</v>
      </c>
      <c r="L4850">
        <v>1618.69894672635</v>
      </c>
      <c r="M4850">
        <v>32.749042459838201</v>
      </c>
      <c r="O4850">
        <v>49.244160171647302</v>
      </c>
      <c r="P4850">
        <v>-2.2963145300060502E-2</v>
      </c>
      <c r="Q4850">
        <v>0.86188352037432703</v>
      </c>
      <c r="R4850">
        <v>0.36573906890979302</v>
      </c>
      <c r="S4850" t="s">
        <v>11656</v>
      </c>
      <c r="T4850" t="s">
        <v>13610</v>
      </c>
      <c r="U4850" t="s">
        <v>13610</v>
      </c>
      <c r="V4850" t="s">
        <v>13610</v>
      </c>
      <c r="W4850" t="s">
        <v>18398</v>
      </c>
      <c r="X4850">
        <v>17</v>
      </c>
      <c r="Y4850" t="s">
        <v>24972</v>
      </c>
      <c r="Z4850" t="s">
        <v>31705</v>
      </c>
      <c r="AA4850">
        <v>0.90599422713057165</v>
      </c>
      <c r="AB4850" t="str">
        <f>HYPERLINK("Melting_Curves/meltCurve_Q8WZA0_LZIC.pdf", "Melting_Curves/meltCurve_Q8WZA0_LZIC.pdf")</f>
        <v>Melting_Curves/meltCurve_Q8WZA0_LZIC.pdf</v>
      </c>
    </row>
    <row r="4851" spans="1:28" x14ac:dyDescent="0.25">
      <c r="A4851" t="s">
        <v>4855</v>
      </c>
      <c r="B4851">
        <v>0.995954080203443</v>
      </c>
      <c r="C4851">
        <v>1.1050025102175101</v>
      </c>
      <c r="D4851">
        <v>1.11525586884624</v>
      </c>
      <c r="E4851">
        <v>0.93310572474408504</v>
      </c>
      <c r="F4851">
        <v>0.572423456108068</v>
      </c>
      <c r="G4851">
        <v>0.34427045526352901</v>
      </c>
      <c r="H4851">
        <v>0.265824616065307</v>
      </c>
      <c r="I4851">
        <v>0.268282017329176</v>
      </c>
      <c r="J4851">
        <v>0.30207055443187503</v>
      </c>
      <c r="K4851">
        <v>0.280973455087423</v>
      </c>
      <c r="L4851">
        <v>2247.3947566841198</v>
      </c>
      <c r="M4851">
        <v>42.7611759838354</v>
      </c>
      <c r="N4851">
        <v>53.620833237236504</v>
      </c>
      <c r="O4851">
        <v>52.4423439811913</v>
      </c>
      <c r="P4851">
        <v>-0.14555557687111501</v>
      </c>
      <c r="Q4851">
        <v>0.28596318518455099</v>
      </c>
      <c r="R4851">
        <v>0.97861178909449897</v>
      </c>
      <c r="S4851" t="s">
        <v>11657</v>
      </c>
      <c r="T4851" t="s">
        <v>13610</v>
      </c>
      <c r="U4851" t="s">
        <v>13610</v>
      </c>
      <c r="V4851" t="s">
        <v>13610</v>
      </c>
      <c r="W4851" t="s">
        <v>18399</v>
      </c>
      <c r="X4851">
        <v>20</v>
      </c>
      <c r="Y4851" t="s">
        <v>24973</v>
      </c>
      <c r="Z4851" t="s">
        <v>31706</v>
      </c>
      <c r="AA4851">
        <v>0.58709943813314525</v>
      </c>
      <c r="AB4851" t="str">
        <f>HYPERLINK("Melting_Curves/meltCurve_Q8WZA9_IRGQ.pdf", "Melting_Curves/meltCurve_Q8WZA9_IRGQ.pdf")</f>
        <v>Melting_Curves/meltCurve_Q8WZA9_IRGQ.pdf</v>
      </c>
    </row>
    <row r="4852" spans="1:28" x14ac:dyDescent="0.25">
      <c r="A4852" t="s">
        <v>4856</v>
      </c>
      <c r="B4852">
        <v>0.995954080203443</v>
      </c>
      <c r="C4852">
        <v>0.84397537021649705</v>
      </c>
      <c r="D4852">
        <v>0.69501636557559998</v>
      </c>
      <c r="E4852">
        <v>0.853577283697175</v>
      </c>
      <c r="F4852">
        <v>0.63795951588130095</v>
      </c>
      <c r="G4852">
        <v>0.48223025355348598</v>
      </c>
      <c r="H4852">
        <v>0.28989239705845798</v>
      </c>
      <c r="I4852">
        <v>0.20118865469105801</v>
      </c>
      <c r="J4852">
        <v>0.136336699971633</v>
      </c>
      <c r="K4852">
        <v>0.13159103539813299</v>
      </c>
      <c r="L4852">
        <v>491.67332550400698</v>
      </c>
      <c r="M4852">
        <v>8.8541577075181497</v>
      </c>
      <c r="N4852">
        <v>55.530220004336798</v>
      </c>
      <c r="O4852">
        <v>52.916496243099701</v>
      </c>
      <c r="P4852">
        <v>-4.1863135583599699E-2</v>
      </c>
      <c r="Q4852">
        <v>0</v>
      </c>
      <c r="R4852">
        <v>0.93761108412115801</v>
      </c>
      <c r="S4852" t="s">
        <v>11658</v>
      </c>
      <c r="T4852" t="s">
        <v>13610</v>
      </c>
      <c r="U4852" t="s">
        <v>13610</v>
      </c>
      <c r="V4852" t="s">
        <v>13610</v>
      </c>
      <c r="W4852" t="s">
        <v>18400</v>
      </c>
      <c r="X4852">
        <v>7</v>
      </c>
      <c r="Y4852" t="s">
        <v>24974</v>
      </c>
      <c r="Z4852" t="s">
        <v>31707</v>
      </c>
      <c r="AA4852">
        <v>0.54130397396734964</v>
      </c>
      <c r="AB4852" t="str">
        <f>HYPERLINK("Melting_Curves/meltCurve_Q92466_DDB2.pdf", "Melting_Curves/meltCurve_Q92466_DDB2.pdf")</f>
        <v>Melting_Curves/meltCurve_Q92466_DDB2.pdf</v>
      </c>
    </row>
    <row r="4853" spans="1:28" x14ac:dyDescent="0.25">
      <c r="A4853" t="s">
        <v>4857</v>
      </c>
      <c r="B4853">
        <v>0.995954080203443</v>
      </c>
      <c r="C4853">
        <v>1.0509932538022799</v>
      </c>
      <c r="D4853">
        <v>0.96103355878891294</v>
      </c>
      <c r="E4853">
        <v>0.92967953436731898</v>
      </c>
      <c r="F4853">
        <v>0.82324120160613401</v>
      </c>
      <c r="G4853">
        <v>0.72914922590619902</v>
      </c>
      <c r="H4853">
        <v>0.66078521926407396</v>
      </c>
      <c r="I4853">
        <v>0.71571395225642398</v>
      </c>
      <c r="J4853">
        <v>0.89771293992355805</v>
      </c>
      <c r="K4853">
        <v>0.93044741697822098</v>
      </c>
      <c r="L4853">
        <v>2241.8774358025198</v>
      </c>
      <c r="M4853">
        <v>44.1465208639748</v>
      </c>
      <c r="O4853">
        <v>50.678796230269299</v>
      </c>
      <c r="P4853">
        <v>-4.6250567110765799E-2</v>
      </c>
      <c r="Q4853">
        <v>0.78762366701900899</v>
      </c>
      <c r="R4853">
        <v>0.602184718280241</v>
      </c>
      <c r="S4853" t="s">
        <v>11659</v>
      </c>
      <c r="T4853" t="s">
        <v>13610</v>
      </c>
      <c r="U4853" t="s">
        <v>13610</v>
      </c>
      <c r="V4853" t="s">
        <v>13610</v>
      </c>
      <c r="W4853" t="s">
        <v>18401</v>
      </c>
      <c r="X4853">
        <v>1</v>
      </c>
      <c r="Y4853" t="s">
        <v>24975</v>
      </c>
      <c r="Z4853" t="s">
        <v>31708</v>
      </c>
      <c r="AA4853">
        <v>0.86456751415293287</v>
      </c>
      <c r="AB4853" t="str">
        <f>HYPERLINK("Melting_Curves/meltCurve_Q92481_TFAP2B.pdf", "Melting_Curves/meltCurve_Q92481_TFAP2B.pdf")</f>
        <v>Melting_Curves/meltCurve_Q92481_TFAP2B.pdf</v>
      </c>
    </row>
    <row r="4854" spans="1:28" x14ac:dyDescent="0.25">
      <c r="A4854" t="s">
        <v>4858</v>
      </c>
      <c r="B4854">
        <v>0.995954080203443</v>
      </c>
      <c r="C4854">
        <v>0.93836441990796904</v>
      </c>
      <c r="D4854">
        <v>0.83309222648714298</v>
      </c>
      <c r="E4854">
        <v>0.55164059381139996</v>
      </c>
      <c r="F4854">
        <v>0.155021537787568</v>
      </c>
      <c r="G4854">
        <v>8.8342826454559306E-2</v>
      </c>
      <c r="H4854">
        <v>6.2952667760796596E-2</v>
      </c>
      <c r="I4854">
        <v>5.5249480322116601E-2</v>
      </c>
      <c r="J4854">
        <v>7.3630348819505004E-2</v>
      </c>
      <c r="K4854">
        <v>6.1438857239856003E-2</v>
      </c>
      <c r="L4854">
        <v>1188.0079972196299</v>
      </c>
      <c r="M4854">
        <v>23.922396247426899</v>
      </c>
      <c r="N4854">
        <v>49.884717355306599</v>
      </c>
      <c r="O4854">
        <v>49.3177933638867</v>
      </c>
      <c r="P4854">
        <v>-0.11509787959432501</v>
      </c>
      <c r="Q4854">
        <v>5.0883965603385997E-2</v>
      </c>
      <c r="R4854">
        <v>0.99119164001017201</v>
      </c>
      <c r="S4854" t="s">
        <v>11660</v>
      </c>
      <c r="T4854" t="s">
        <v>13610</v>
      </c>
      <c r="U4854" t="s">
        <v>13610</v>
      </c>
      <c r="V4854" t="s">
        <v>13610</v>
      </c>
      <c r="W4854" t="s">
        <v>18402</v>
      </c>
      <c r="X4854">
        <v>41</v>
      </c>
      <c r="Y4854" t="s">
        <v>24976</v>
      </c>
      <c r="Z4854" t="s">
        <v>31709</v>
      </c>
      <c r="AA4854">
        <v>0.36577195638654197</v>
      </c>
      <c r="AB4854" t="str">
        <f>HYPERLINK("Melting_Curves/meltCurve_Q92499_DDX1.pdf", "Melting_Curves/meltCurve_Q92499_DDX1.pdf")</f>
        <v>Melting_Curves/meltCurve_Q92499_DDX1.pdf</v>
      </c>
    </row>
    <row r="4855" spans="1:28" x14ac:dyDescent="0.25">
      <c r="A4855" t="s">
        <v>4859</v>
      </c>
      <c r="B4855">
        <v>0.995954080203443</v>
      </c>
      <c r="C4855">
        <v>0.98574661148624998</v>
      </c>
      <c r="D4855">
        <v>0.86840463175941895</v>
      </c>
      <c r="E4855">
        <v>0.846560839902461</v>
      </c>
      <c r="F4855">
        <v>0.65821183891246504</v>
      </c>
      <c r="G4855">
        <v>0.50955643915299298</v>
      </c>
      <c r="H4855">
        <v>0.40952051139085299</v>
      </c>
      <c r="I4855">
        <v>0.38155999535766599</v>
      </c>
      <c r="J4855">
        <v>0.36483068014213499</v>
      </c>
      <c r="K4855">
        <v>0.234989320613574</v>
      </c>
      <c r="L4855">
        <v>589.45138149352499</v>
      </c>
      <c r="M4855">
        <v>10.750093507676</v>
      </c>
      <c r="N4855">
        <v>57.920954315977603</v>
      </c>
      <c r="O4855">
        <v>53.037009234622701</v>
      </c>
      <c r="P4855">
        <v>-3.9632469318629002E-2</v>
      </c>
      <c r="Q4855">
        <v>0.21816003606710799</v>
      </c>
      <c r="R4855">
        <v>0.98330075775381498</v>
      </c>
      <c r="S4855" t="s">
        <v>11661</v>
      </c>
      <c r="T4855" t="s">
        <v>13610</v>
      </c>
      <c r="U4855" t="s">
        <v>13610</v>
      </c>
      <c r="V4855" t="s">
        <v>13610</v>
      </c>
      <c r="W4855" t="s">
        <v>18403</v>
      </c>
      <c r="X4855">
        <v>5</v>
      </c>
      <c r="Y4855" t="s">
        <v>24977</v>
      </c>
      <c r="Z4855" t="s">
        <v>31710</v>
      </c>
      <c r="AA4855">
        <v>0.62478576466423597</v>
      </c>
      <c r="AB4855" t="str">
        <f>HYPERLINK("Melting_Curves/meltCurve_Q92506_HSD17B8.pdf", "Melting_Curves/meltCurve_Q92506_HSD17B8.pdf")</f>
        <v>Melting_Curves/meltCurve_Q92506_HSD17B8.pdf</v>
      </c>
    </row>
    <row r="4856" spans="1:28" x14ac:dyDescent="0.25">
      <c r="A4856" t="s">
        <v>4860</v>
      </c>
      <c r="B4856">
        <v>0.995954080203443</v>
      </c>
      <c r="C4856">
        <v>0.98428232732547205</v>
      </c>
      <c r="D4856">
        <v>0.91690935014233599</v>
      </c>
      <c r="E4856">
        <v>0.70066669845139296</v>
      </c>
      <c r="F4856">
        <v>0.515817426871232</v>
      </c>
      <c r="G4856">
        <v>0.33122384335580402</v>
      </c>
      <c r="H4856">
        <v>0.23654616571366499</v>
      </c>
      <c r="I4856">
        <v>0.25611952730339699</v>
      </c>
      <c r="J4856">
        <v>0.33273498327731899</v>
      </c>
      <c r="K4856">
        <v>0.33363162910892502</v>
      </c>
      <c r="L4856">
        <v>1102.2491209521199</v>
      </c>
      <c r="M4856">
        <v>21.688807512185999</v>
      </c>
      <c r="N4856">
        <v>52.849633314529598</v>
      </c>
      <c r="O4856">
        <v>50.3949827608239</v>
      </c>
      <c r="P4856">
        <v>-7.7199070607130105E-2</v>
      </c>
      <c r="Q4856">
        <v>0.28251402351959598</v>
      </c>
      <c r="R4856">
        <v>0.98732831699234402</v>
      </c>
      <c r="S4856" t="s">
        <v>11662</v>
      </c>
      <c r="T4856" t="s">
        <v>13610</v>
      </c>
      <c r="U4856" t="s">
        <v>13610</v>
      </c>
      <c r="V4856" t="s">
        <v>13610</v>
      </c>
      <c r="W4856" t="s">
        <v>18404</v>
      </c>
      <c r="X4856">
        <v>6</v>
      </c>
      <c r="Y4856" t="s">
        <v>24978</v>
      </c>
      <c r="Z4856" t="s">
        <v>31711</v>
      </c>
      <c r="AA4856">
        <v>0.54985098264419596</v>
      </c>
      <c r="AB4856" t="str">
        <f>HYPERLINK("Melting_Curves/meltCurve_Q92522_H1FX.pdf", "Melting_Curves/meltCurve_Q92522_H1FX.pdf")</f>
        <v>Melting_Curves/meltCurve_Q92522_H1FX.pdf</v>
      </c>
    </row>
    <row r="4857" spans="1:28" x14ac:dyDescent="0.25">
      <c r="A4857" t="s">
        <v>4861</v>
      </c>
      <c r="B4857">
        <v>0.995954080203443</v>
      </c>
      <c r="C4857">
        <v>1.0302551505183799</v>
      </c>
      <c r="D4857">
        <v>0.96171025046398895</v>
      </c>
      <c r="E4857">
        <v>0.73764756371401397</v>
      </c>
      <c r="F4857">
        <v>0.32196354922041798</v>
      </c>
      <c r="G4857">
        <v>0.15303689448767099</v>
      </c>
      <c r="H4857">
        <v>8.1305330324740993E-2</v>
      </c>
      <c r="I4857">
        <v>5.3958459924556001E-2</v>
      </c>
      <c r="J4857">
        <v>5.9841572154415802E-2</v>
      </c>
      <c r="K4857">
        <v>5.7206834781426498E-2</v>
      </c>
      <c r="L4857">
        <v>1535.3386364754799</v>
      </c>
      <c r="M4857">
        <v>29.834351692121601</v>
      </c>
      <c r="N4857">
        <v>51.708134351459698</v>
      </c>
      <c r="O4857">
        <v>51.232558208564498</v>
      </c>
      <c r="P4857">
        <v>-0.13595091402638901</v>
      </c>
      <c r="Q4857">
        <v>6.6168180041007302E-2</v>
      </c>
      <c r="R4857">
        <v>0.99781433666907504</v>
      </c>
      <c r="S4857" t="s">
        <v>11663</v>
      </c>
      <c r="T4857" t="s">
        <v>13610</v>
      </c>
      <c r="U4857" t="s">
        <v>13610</v>
      </c>
      <c r="V4857" t="s">
        <v>13610</v>
      </c>
      <c r="W4857" t="s">
        <v>18405</v>
      </c>
      <c r="X4857">
        <v>7</v>
      </c>
      <c r="Y4857" t="s">
        <v>24979</v>
      </c>
      <c r="Z4857" t="s">
        <v>31712</v>
      </c>
      <c r="AA4857">
        <v>0.42893899003647162</v>
      </c>
      <c r="AB4857" t="str">
        <f>HYPERLINK("Melting_Curves/meltCurve_Q92526_CCT6B.pdf", "Melting_Curves/meltCurve_Q92526_CCT6B.pdf")</f>
        <v>Melting_Curves/meltCurve_Q92526_CCT6B.pdf</v>
      </c>
    </row>
    <row r="4858" spans="1:28" x14ac:dyDescent="0.25">
      <c r="A4858" t="s">
        <v>4862</v>
      </c>
      <c r="B4858">
        <v>0.995954080203443</v>
      </c>
      <c r="C4858">
        <v>0.82414347880750005</v>
      </c>
      <c r="D4858">
        <v>0.59795339449007701</v>
      </c>
      <c r="E4858">
        <v>0.36898370694467197</v>
      </c>
      <c r="F4858">
        <v>0.17593950280565501</v>
      </c>
      <c r="G4858">
        <v>0.112486141257961</v>
      </c>
      <c r="H4858">
        <v>8.3944897318641007E-2</v>
      </c>
      <c r="I4858">
        <v>7.6831163581899703E-2</v>
      </c>
      <c r="J4858">
        <v>9.5543117839758995E-2</v>
      </c>
      <c r="K4858">
        <v>7.3623514507045101E-2</v>
      </c>
      <c r="L4858">
        <v>762.67202033184503</v>
      </c>
      <c r="M4858">
        <v>16.210053907495801</v>
      </c>
      <c r="N4858">
        <v>47.4850976188225</v>
      </c>
      <c r="O4858">
        <v>46.3507801885508</v>
      </c>
      <c r="P4858">
        <v>-8.1394906172098602E-2</v>
      </c>
      <c r="Q4858">
        <v>6.9112373202625102E-2</v>
      </c>
      <c r="R4858">
        <v>0.99476733618717605</v>
      </c>
      <c r="S4858" t="s">
        <v>11664</v>
      </c>
      <c r="T4858" t="s">
        <v>13610</v>
      </c>
      <c r="U4858" t="s">
        <v>13610</v>
      </c>
      <c r="V4858" t="s">
        <v>13610</v>
      </c>
      <c r="W4858" t="s">
        <v>18406</v>
      </c>
      <c r="X4858">
        <v>35</v>
      </c>
      <c r="Y4858" t="s">
        <v>24980</v>
      </c>
      <c r="Z4858" t="s">
        <v>31713</v>
      </c>
      <c r="AA4858">
        <v>0.30929879124825421</v>
      </c>
      <c r="AB4858" t="str">
        <f>HYPERLINK("Melting_Curves/meltCurve_Q92538_GBF1.pdf", "Melting_Curves/meltCurve_Q92538_GBF1.pdf")</f>
        <v>Melting_Curves/meltCurve_Q92538_GBF1.pdf</v>
      </c>
    </row>
    <row r="4859" spans="1:28" x14ac:dyDescent="0.25">
      <c r="A4859" t="s">
        <v>4863</v>
      </c>
      <c r="B4859">
        <v>0.995954080203443</v>
      </c>
      <c r="C4859">
        <v>0.98666627619869895</v>
      </c>
      <c r="D4859">
        <v>1.0079833159112801</v>
      </c>
      <c r="E4859">
        <v>0.815894175119528</v>
      </c>
      <c r="F4859">
        <v>0.68998756007844397</v>
      </c>
      <c r="G4859">
        <v>0.50001752621156104</v>
      </c>
      <c r="H4859">
        <v>0.49639844342372602</v>
      </c>
      <c r="I4859">
        <v>0.58083431430983501</v>
      </c>
      <c r="J4859">
        <v>0.77356253577697198</v>
      </c>
      <c r="K4859">
        <v>0.69350945179388201</v>
      </c>
      <c r="L4859">
        <v>1984.4307942151399</v>
      </c>
      <c r="M4859">
        <v>39.4859646053267</v>
      </c>
      <c r="O4859">
        <v>50.128227713551397</v>
      </c>
      <c r="P4859">
        <v>-7.6170759812815805E-2</v>
      </c>
      <c r="Q4859">
        <v>0.61319959645620803</v>
      </c>
      <c r="R4859">
        <v>0.82220544671609197</v>
      </c>
      <c r="S4859" t="s">
        <v>11665</v>
      </c>
      <c r="T4859" t="s">
        <v>13610</v>
      </c>
      <c r="U4859" t="s">
        <v>13610</v>
      </c>
      <c r="V4859" t="s">
        <v>13610</v>
      </c>
      <c r="W4859" t="s">
        <v>18407</v>
      </c>
      <c r="X4859">
        <v>37</v>
      </c>
      <c r="Y4859" t="s">
        <v>24981</v>
      </c>
      <c r="Z4859" t="s">
        <v>31714</v>
      </c>
      <c r="AA4859">
        <v>0.74682118067672321</v>
      </c>
      <c r="AB4859" t="str">
        <f>HYPERLINK("Melting_Curves/meltCurve_Q92541_RTF1.pdf", "Melting_Curves/meltCurve_Q92541_RTF1.pdf")</f>
        <v>Melting_Curves/meltCurve_Q92541_RTF1.pdf</v>
      </c>
    </row>
    <row r="4860" spans="1:28" x14ac:dyDescent="0.25">
      <c r="A4860" t="s">
        <v>4864</v>
      </c>
      <c r="B4860">
        <v>0.995954080203443</v>
      </c>
      <c r="C4860">
        <v>1.0655561801429301</v>
      </c>
      <c r="D4860">
        <v>1.4391842523795999</v>
      </c>
      <c r="E4860">
        <v>1.47359160953737</v>
      </c>
      <c r="F4860">
        <v>1.13674031717153</v>
      </c>
      <c r="G4860">
        <v>1.17464549907297</v>
      </c>
      <c r="H4860">
        <v>0.95333093732877106</v>
      </c>
      <c r="I4860">
        <v>0.717980675913934</v>
      </c>
      <c r="J4860">
        <v>0.30547632770530603</v>
      </c>
      <c r="K4860">
        <v>0.19512363689324799</v>
      </c>
      <c r="L4860">
        <v>3304.81942935082</v>
      </c>
      <c r="M4860">
        <v>50.996979549709998</v>
      </c>
      <c r="N4860">
        <v>65.361287701149195</v>
      </c>
      <c r="O4860">
        <v>64.704810721035599</v>
      </c>
      <c r="P4860">
        <v>-0.16230901037738801</v>
      </c>
      <c r="Q4860">
        <v>0.17625207368370099</v>
      </c>
      <c r="R4860">
        <v>0.71500015748745904</v>
      </c>
      <c r="S4860" t="s">
        <v>11666</v>
      </c>
      <c r="T4860" t="s">
        <v>13610</v>
      </c>
      <c r="U4860" t="s">
        <v>13610</v>
      </c>
      <c r="V4860" t="s">
        <v>13610</v>
      </c>
      <c r="W4860" t="s">
        <v>18408</v>
      </c>
      <c r="X4860">
        <v>2</v>
      </c>
      <c r="Y4860" t="s">
        <v>24982</v>
      </c>
      <c r="Z4860" t="s">
        <v>31715</v>
      </c>
      <c r="AA4860">
        <v>0.85864034404942613</v>
      </c>
      <c r="AB4860" t="str">
        <f>HYPERLINK("Melting_Curves/meltCurve_Q92544_TM9SF4.pdf", "Melting_Curves/meltCurve_Q92544_TM9SF4.pdf")</f>
        <v>Melting_Curves/meltCurve_Q92544_TM9SF4.pdf</v>
      </c>
    </row>
    <row r="4861" spans="1:28" x14ac:dyDescent="0.25">
      <c r="A4861" t="s">
        <v>4865</v>
      </c>
      <c r="B4861">
        <v>0.995954080203443</v>
      </c>
      <c r="C4861">
        <v>0.90295508511587896</v>
      </c>
      <c r="D4861">
        <v>0.69764917638152701</v>
      </c>
      <c r="E4861">
        <v>0.56203666703360999</v>
      </c>
      <c r="F4861">
        <v>0.24053828971551</v>
      </c>
      <c r="G4861">
        <v>9.2089315588126899E-2</v>
      </c>
      <c r="H4861">
        <v>4.0985449429631497E-2</v>
      </c>
      <c r="I4861">
        <v>3.3344860589531698E-2</v>
      </c>
      <c r="J4861">
        <v>3.06633394563799E-2</v>
      </c>
      <c r="K4861">
        <v>3.4510287333784299E-2</v>
      </c>
      <c r="L4861">
        <v>736.27605090014197</v>
      </c>
      <c r="M4861">
        <v>14.8491499398488</v>
      </c>
      <c r="N4861">
        <v>49.583716147947101</v>
      </c>
      <c r="O4861">
        <v>48.710512964280099</v>
      </c>
      <c r="P4861">
        <v>-7.6219231385894995E-2</v>
      </c>
      <c r="Q4861">
        <v>0</v>
      </c>
      <c r="R4861">
        <v>0.98778908741381999</v>
      </c>
      <c r="S4861" t="s">
        <v>11667</v>
      </c>
      <c r="T4861" t="s">
        <v>13610</v>
      </c>
      <c r="U4861" t="s">
        <v>13610</v>
      </c>
      <c r="V4861" t="s">
        <v>13610</v>
      </c>
      <c r="W4861" t="s">
        <v>18409</v>
      </c>
      <c r="X4861">
        <v>1</v>
      </c>
      <c r="Y4861" t="s">
        <v>24983</v>
      </c>
      <c r="Z4861" t="s">
        <v>31716</v>
      </c>
      <c r="AA4861">
        <v>0.34408034361174639</v>
      </c>
      <c r="AB4861" t="str">
        <f>HYPERLINK("Melting_Curves/meltCurve_Q92546_RGP1.pdf", "Melting_Curves/meltCurve_Q92546_RGP1.pdf")</f>
        <v>Melting_Curves/meltCurve_Q92546_RGP1.pdf</v>
      </c>
    </row>
    <row r="4862" spans="1:28" x14ac:dyDescent="0.25">
      <c r="A4862" t="s">
        <v>4866</v>
      </c>
      <c r="B4862">
        <v>0.995954080203443</v>
      </c>
      <c r="C4862">
        <v>1.0557976511770399</v>
      </c>
      <c r="D4862">
        <v>0.96637298440460595</v>
      </c>
      <c r="E4862">
        <v>0.69027532213810205</v>
      </c>
      <c r="F4862">
        <v>0.61559393582099498</v>
      </c>
      <c r="G4862">
        <v>0.42361402818973398</v>
      </c>
      <c r="H4862">
        <v>0.38247762559507897</v>
      </c>
      <c r="I4862">
        <v>0.43205349798428799</v>
      </c>
      <c r="J4862">
        <v>0.49094094503366498</v>
      </c>
      <c r="K4862">
        <v>0.49745016621379101</v>
      </c>
      <c r="L4862">
        <v>1310.8094001121899</v>
      </c>
      <c r="M4862">
        <v>26.179518464954</v>
      </c>
      <c r="N4862">
        <v>54.754857216109201</v>
      </c>
      <c r="O4862">
        <v>49.780621718061099</v>
      </c>
      <c r="P4862">
        <v>-7.2736901051182704E-2</v>
      </c>
      <c r="Q4862">
        <v>0.44676634323238901</v>
      </c>
      <c r="R4862">
        <v>0.96496546732148303</v>
      </c>
      <c r="S4862" t="s">
        <v>11668</v>
      </c>
      <c r="T4862" t="s">
        <v>13610</v>
      </c>
      <c r="U4862" t="s">
        <v>13610</v>
      </c>
      <c r="V4862" t="s">
        <v>13610</v>
      </c>
      <c r="W4862" t="s">
        <v>18410</v>
      </c>
      <c r="X4862">
        <v>12</v>
      </c>
      <c r="Y4862" t="s">
        <v>24984</v>
      </c>
      <c r="Z4862" t="s">
        <v>31717</v>
      </c>
      <c r="AA4862">
        <v>0.6369791887944537</v>
      </c>
      <c r="AB4862" t="str">
        <f>HYPERLINK("Melting_Curves/meltCurve_Q92547_TOPBP1.pdf", "Melting_Curves/meltCurve_Q92547_TOPBP1.pdf")</f>
        <v>Melting_Curves/meltCurve_Q92547_TOPBP1.pdf</v>
      </c>
    </row>
    <row r="4863" spans="1:28" x14ac:dyDescent="0.25">
      <c r="A4863" t="s">
        <v>4867</v>
      </c>
      <c r="B4863">
        <v>0.995954080203443</v>
      </c>
      <c r="C4863">
        <v>0.78829496407371102</v>
      </c>
      <c r="D4863">
        <v>0.81462737601815705</v>
      </c>
      <c r="E4863">
        <v>0.69670999049684801</v>
      </c>
      <c r="F4863">
        <v>0.78200385875391099</v>
      </c>
      <c r="G4863">
        <v>0.64050404887578205</v>
      </c>
      <c r="H4863">
        <v>0.56322184814419296</v>
      </c>
      <c r="I4863">
        <v>0.65023398313949399</v>
      </c>
      <c r="J4863">
        <v>0.82972889107541803</v>
      </c>
      <c r="K4863">
        <v>0.80385062891519299</v>
      </c>
      <c r="L4863">
        <v>1048.9209904422401</v>
      </c>
      <c r="M4863">
        <v>24.639882441360498</v>
      </c>
      <c r="O4863">
        <v>42.292617189047498</v>
      </c>
      <c r="P4863">
        <v>-4.1862825971032198E-2</v>
      </c>
      <c r="Q4863">
        <v>0.71258574671896402</v>
      </c>
      <c r="R4863">
        <v>0.50234764944464005</v>
      </c>
      <c r="S4863" t="s">
        <v>11669</v>
      </c>
      <c r="T4863" t="s">
        <v>13610</v>
      </c>
      <c r="U4863" t="s">
        <v>13610</v>
      </c>
      <c r="V4863" t="s">
        <v>13610</v>
      </c>
      <c r="W4863" t="s">
        <v>18411</v>
      </c>
      <c r="X4863">
        <v>4</v>
      </c>
      <c r="Y4863" t="s">
        <v>24985</v>
      </c>
      <c r="Z4863" t="s">
        <v>31718</v>
      </c>
      <c r="AA4863">
        <v>0.74200116647757475</v>
      </c>
      <c r="AB4863" t="str">
        <f>HYPERLINK("Melting_Curves/meltCurve_Q92551_IP6K1.pdf", "Melting_Curves/meltCurve_Q92551_IP6K1.pdf")</f>
        <v>Melting_Curves/meltCurve_Q92551_IP6K1.pdf</v>
      </c>
    </row>
    <row r="4864" spans="1:28" x14ac:dyDescent="0.25">
      <c r="A4864" t="s">
        <v>4868</v>
      </c>
      <c r="B4864">
        <v>0.995954080203443</v>
      </c>
      <c r="C4864">
        <v>1.1871082683676499</v>
      </c>
      <c r="D4864">
        <v>1.32291719797038</v>
      </c>
      <c r="E4864">
        <v>1.24527392082398</v>
      </c>
      <c r="F4864">
        <v>1.1318305400564399</v>
      </c>
      <c r="G4864">
        <v>0.96496474694421397</v>
      </c>
      <c r="H4864">
        <v>0.95194997365622203</v>
      </c>
      <c r="I4864">
        <v>0.94409029559039603</v>
      </c>
      <c r="J4864">
        <v>1.2755799786052699</v>
      </c>
      <c r="K4864">
        <v>1.28048907681214</v>
      </c>
      <c r="L4864">
        <v>10303.0340491099</v>
      </c>
      <c r="M4864">
        <v>250</v>
      </c>
      <c r="O4864">
        <v>41.209499146309497</v>
      </c>
      <c r="P4864">
        <v>0.219779321617634</v>
      </c>
      <c r="Q4864">
        <v>1.14491193120499</v>
      </c>
      <c r="R4864">
        <v>9.5427181324049398E-2</v>
      </c>
      <c r="S4864" t="s">
        <v>11670</v>
      </c>
      <c r="T4864" t="s">
        <v>13610</v>
      </c>
      <c r="U4864" t="s">
        <v>13610</v>
      </c>
      <c r="V4864" t="s">
        <v>13610</v>
      </c>
      <c r="W4864" t="s">
        <v>18412</v>
      </c>
      <c r="X4864">
        <v>6</v>
      </c>
      <c r="Y4864" t="s">
        <v>24986</v>
      </c>
      <c r="Z4864" t="s">
        <v>31719</v>
      </c>
      <c r="AA4864">
        <v>1.139045968775197</v>
      </c>
      <c r="AB4864" t="str">
        <f>HYPERLINK("Melting_Curves/meltCurve_Q92552_MRPS27.pdf", "Melting_Curves/meltCurve_Q92552_MRPS27.pdf")</f>
        <v>Melting_Curves/meltCurve_Q92552_MRPS27.pdf</v>
      </c>
    </row>
    <row r="4865" spans="1:28" x14ac:dyDescent="0.25">
      <c r="A4865" t="s">
        <v>4869</v>
      </c>
      <c r="B4865">
        <v>0.995954080203443</v>
      </c>
      <c r="C4865">
        <v>0.91436516078512597</v>
      </c>
      <c r="D4865">
        <v>0.70553146428910696</v>
      </c>
      <c r="E4865">
        <v>0.78482136173850203</v>
      </c>
      <c r="F4865">
        <v>0.45004348421252399</v>
      </c>
      <c r="G4865">
        <v>0.28015157542842001</v>
      </c>
      <c r="H4865">
        <v>0.19947501663648301</v>
      </c>
      <c r="I4865">
        <v>0.28888088194942901</v>
      </c>
      <c r="J4865">
        <v>0.353822844770038</v>
      </c>
      <c r="K4865">
        <v>0.24178937675141501</v>
      </c>
      <c r="L4865">
        <v>680.97058146315305</v>
      </c>
      <c r="M4865">
        <v>13.5843497509575</v>
      </c>
      <c r="N4865">
        <v>52.497101764737302</v>
      </c>
      <c r="O4865">
        <v>49.080138705671402</v>
      </c>
      <c r="P4865">
        <v>-5.3351870838303797E-2</v>
      </c>
      <c r="Q4865">
        <v>0.229075353204057</v>
      </c>
      <c r="R4865">
        <v>0.91744108858153794</v>
      </c>
      <c r="S4865" t="s">
        <v>11671</v>
      </c>
      <c r="T4865" t="s">
        <v>13610</v>
      </c>
      <c r="U4865" t="s">
        <v>13610</v>
      </c>
      <c r="V4865" t="s">
        <v>13610</v>
      </c>
      <c r="W4865" t="s">
        <v>18413</v>
      </c>
      <c r="X4865">
        <v>7</v>
      </c>
      <c r="Y4865" t="s">
        <v>24987</v>
      </c>
      <c r="Z4865" t="s">
        <v>31720</v>
      </c>
      <c r="AA4865">
        <v>0.51106337502159971</v>
      </c>
      <c r="AB4865" t="str">
        <f>HYPERLINK("Melting_Curves/meltCurve_Q92558_WASF1.pdf", "Melting_Curves/meltCurve_Q92558_WASF1.pdf")</f>
        <v>Melting_Curves/meltCurve_Q92558_WASF1.pdf</v>
      </c>
    </row>
    <row r="4866" spans="1:28" x14ac:dyDescent="0.25">
      <c r="A4866" t="s">
        <v>4870</v>
      </c>
      <c r="B4866">
        <v>0.995954080203443</v>
      </c>
      <c r="C4866">
        <v>0.98139071509943498</v>
      </c>
      <c r="D4866">
        <v>0.919747733775233</v>
      </c>
      <c r="E4866">
        <v>0.84114988802657498</v>
      </c>
      <c r="F4866">
        <v>0.54054446740366602</v>
      </c>
      <c r="G4866">
        <v>0.26769454492733002</v>
      </c>
      <c r="H4866">
        <v>0.204059593353136</v>
      </c>
      <c r="I4866">
        <v>0.20755679756510101</v>
      </c>
      <c r="J4866">
        <v>0.22653027947419799</v>
      </c>
      <c r="K4866">
        <v>0.23034227889123501</v>
      </c>
      <c r="L4866">
        <v>1477.9528553062801</v>
      </c>
      <c r="M4866">
        <v>28.243722128143599</v>
      </c>
      <c r="N4866">
        <v>53.357040618683897</v>
      </c>
      <c r="O4866">
        <v>52.0683242344859</v>
      </c>
      <c r="P4866">
        <v>-0.107144092448301</v>
      </c>
      <c r="Q4866">
        <v>0.209910532271638</v>
      </c>
      <c r="R4866">
        <v>0.99488085695681205</v>
      </c>
      <c r="S4866" t="s">
        <v>11672</v>
      </c>
      <c r="T4866" t="s">
        <v>13610</v>
      </c>
      <c r="U4866" t="s">
        <v>13610</v>
      </c>
      <c r="V4866" t="s">
        <v>13610</v>
      </c>
      <c r="W4866" t="s">
        <v>18414</v>
      </c>
      <c r="X4866">
        <v>16</v>
      </c>
      <c r="Y4866" t="s">
        <v>24988</v>
      </c>
      <c r="Z4866" t="s">
        <v>31721</v>
      </c>
      <c r="AA4866">
        <v>0.54031204109738262</v>
      </c>
      <c r="AB4866" t="str">
        <f>HYPERLINK("Melting_Curves/meltCurve_Q92560_BAP1.pdf", "Melting_Curves/meltCurve_Q92560_BAP1.pdf")</f>
        <v>Melting_Curves/meltCurve_Q92560_BAP1.pdf</v>
      </c>
    </row>
    <row r="4867" spans="1:28" x14ac:dyDescent="0.25">
      <c r="A4867" t="s">
        <v>4871</v>
      </c>
      <c r="B4867">
        <v>0.995954080203443</v>
      </c>
      <c r="C4867">
        <v>0.64822382803973499</v>
      </c>
      <c r="D4867">
        <v>0.57175526467735605</v>
      </c>
      <c r="E4867">
        <v>0.43221996500263699</v>
      </c>
      <c r="F4867">
        <v>0.410610553835906</v>
      </c>
      <c r="G4867">
        <v>0.361801820247451</v>
      </c>
      <c r="H4867">
        <v>0.37931013083565301</v>
      </c>
      <c r="I4867">
        <v>0.47091882122023598</v>
      </c>
      <c r="J4867">
        <v>0.49233432751753298</v>
      </c>
      <c r="K4867">
        <v>0.52738482141675203</v>
      </c>
      <c r="L4867">
        <v>1402.1338603004101</v>
      </c>
      <c r="M4867">
        <v>32.908973418668502</v>
      </c>
      <c r="N4867">
        <v>45.707629582651997</v>
      </c>
      <c r="O4867">
        <v>42.450012624474603</v>
      </c>
      <c r="P4867">
        <v>-0.10729614347185699</v>
      </c>
      <c r="Q4867">
        <v>0.44638763251712099</v>
      </c>
      <c r="R4867">
        <v>0.89135031121474895</v>
      </c>
      <c r="S4867" t="s">
        <v>11673</v>
      </c>
      <c r="T4867" t="s">
        <v>13610</v>
      </c>
      <c r="U4867" t="s">
        <v>13610</v>
      </c>
      <c r="V4867" t="s">
        <v>13610</v>
      </c>
      <c r="W4867" t="s">
        <v>18415</v>
      </c>
      <c r="X4867">
        <v>3</v>
      </c>
      <c r="Y4867" t="s">
        <v>24989</v>
      </c>
      <c r="Z4867" t="s">
        <v>31722</v>
      </c>
      <c r="AA4867">
        <v>0.49911215698655048</v>
      </c>
      <c r="AB4867" t="str">
        <f>HYPERLINK("Melting_Curves/meltCurve_Q92562_FIG4.pdf", "Melting_Curves/meltCurve_Q92562_FIG4.pdf")</f>
        <v>Melting_Curves/meltCurve_Q92562_FIG4.pdf</v>
      </c>
    </row>
    <row r="4868" spans="1:28" x14ac:dyDescent="0.25">
      <c r="A4868" t="s">
        <v>4872</v>
      </c>
      <c r="B4868">
        <v>0.995954080203443</v>
      </c>
      <c r="C4868">
        <v>0.89450238238116198</v>
      </c>
      <c r="D4868">
        <v>1.0914505320599901</v>
      </c>
      <c r="E4868">
        <v>0.81875241644542196</v>
      </c>
      <c r="F4868">
        <v>1.0646254450793899</v>
      </c>
      <c r="G4868">
        <v>0.84966160344703101</v>
      </c>
      <c r="H4868">
        <v>0.85657319520384601</v>
      </c>
      <c r="I4868">
        <v>1.06464889708685</v>
      </c>
      <c r="J4868">
        <v>1.2361179650815299</v>
      </c>
      <c r="K4868">
        <v>1.3583252522631499</v>
      </c>
      <c r="L4868">
        <v>3806.4277632049898</v>
      </c>
      <c r="M4868">
        <v>57.4268530558724</v>
      </c>
      <c r="O4868">
        <v>66.202830287926403</v>
      </c>
      <c r="P4868">
        <v>8.0847730334175805E-2</v>
      </c>
      <c r="Q4868">
        <v>1.37281137077451</v>
      </c>
      <c r="R4868">
        <v>0.64280023359197203</v>
      </c>
      <c r="S4868" t="s">
        <v>11674</v>
      </c>
      <c r="T4868" t="s">
        <v>13610</v>
      </c>
      <c r="U4868" t="s">
        <v>13610</v>
      </c>
      <c r="V4868" t="s">
        <v>13610</v>
      </c>
      <c r="W4868" t="s">
        <v>18416</v>
      </c>
      <c r="X4868">
        <v>1</v>
      </c>
      <c r="Y4868" t="s">
        <v>24990</v>
      </c>
      <c r="Z4868" t="s">
        <v>31723</v>
      </c>
      <c r="AA4868">
        <v>1.0461352823276251</v>
      </c>
      <c r="AB4868" t="str">
        <f>HYPERLINK("Melting_Curves/meltCurve_Q92567_2_FAM168A.pdf", "Melting_Curves/meltCurve_Q92567_2_FAM168A.pdf")</f>
        <v>Melting_Curves/meltCurve_Q92567_2_FAM168A.pdf</v>
      </c>
    </row>
    <row r="4869" spans="1:28" x14ac:dyDescent="0.25">
      <c r="A4869" t="s">
        <v>4873</v>
      </c>
      <c r="B4869">
        <v>0.995954080203443</v>
      </c>
      <c r="C4869">
        <v>0.83249112964490102</v>
      </c>
      <c r="D4869">
        <v>0.76083941134023503</v>
      </c>
      <c r="E4869">
        <v>0.49346234215308099</v>
      </c>
      <c r="F4869">
        <v>0.24009184465588901</v>
      </c>
      <c r="G4869">
        <v>0.176006585517857</v>
      </c>
      <c r="H4869">
        <v>0.13585252278146601</v>
      </c>
      <c r="I4869">
        <v>0.15559973553790701</v>
      </c>
      <c r="J4869">
        <v>0.124367736224289</v>
      </c>
      <c r="K4869">
        <v>0.13569396158470501</v>
      </c>
      <c r="L4869">
        <v>782.74399015654296</v>
      </c>
      <c r="M4869">
        <v>16.154364677789101</v>
      </c>
      <c r="N4869">
        <v>49.255077899890999</v>
      </c>
      <c r="O4869">
        <v>47.729762512591101</v>
      </c>
      <c r="P4869">
        <v>-7.4844511256805302E-2</v>
      </c>
      <c r="Q4869">
        <v>0.115523012363449</v>
      </c>
      <c r="R4869">
        <v>0.98864447304606595</v>
      </c>
      <c r="S4869" t="s">
        <v>11675</v>
      </c>
      <c r="T4869" t="s">
        <v>13610</v>
      </c>
      <c r="U4869" t="s">
        <v>13610</v>
      </c>
      <c r="V4869" t="s">
        <v>13610</v>
      </c>
      <c r="W4869" t="s">
        <v>18417</v>
      </c>
      <c r="X4869">
        <v>5</v>
      </c>
      <c r="Y4869" t="s">
        <v>24991</v>
      </c>
      <c r="Z4869" t="s">
        <v>31724</v>
      </c>
      <c r="AA4869">
        <v>0.38405334730322049</v>
      </c>
      <c r="AB4869" t="str">
        <f>HYPERLINK("Melting_Curves/meltCurve_Q92572_AP3S1.pdf", "Melting_Curves/meltCurve_Q92572_AP3S1.pdf")</f>
        <v>Melting_Curves/meltCurve_Q92572_AP3S1.pdf</v>
      </c>
    </row>
    <row r="4870" spans="1:28" x14ac:dyDescent="0.25">
      <c r="A4870" t="s">
        <v>4874</v>
      </c>
      <c r="B4870">
        <v>0.995954080203443</v>
      </c>
      <c r="C4870">
        <v>0.94361955685518595</v>
      </c>
      <c r="D4870">
        <v>0.880859558044367</v>
      </c>
      <c r="E4870">
        <v>0.79129168696215302</v>
      </c>
      <c r="F4870">
        <v>0.72580247037198597</v>
      </c>
      <c r="G4870">
        <v>0.49358809516937402</v>
      </c>
      <c r="H4870">
        <v>0.45970745383106598</v>
      </c>
      <c r="I4870">
        <v>0.51227167056217604</v>
      </c>
      <c r="J4870">
        <v>0.61497164469363197</v>
      </c>
      <c r="K4870">
        <v>0.54734672003101503</v>
      </c>
      <c r="L4870">
        <v>844.91069852807095</v>
      </c>
      <c r="M4870">
        <v>16.779388856754</v>
      </c>
      <c r="O4870">
        <v>49.655183162852197</v>
      </c>
      <c r="P4870">
        <v>-4.0937261900588502E-2</v>
      </c>
      <c r="Q4870">
        <v>0.51544958859950496</v>
      </c>
      <c r="R4870">
        <v>0.91681587534613596</v>
      </c>
      <c r="S4870" t="s">
        <v>11676</v>
      </c>
      <c r="T4870" t="s">
        <v>13610</v>
      </c>
      <c r="U4870" t="s">
        <v>13610</v>
      </c>
      <c r="V4870" t="s">
        <v>13610</v>
      </c>
      <c r="W4870" t="s">
        <v>18418</v>
      </c>
      <c r="X4870">
        <v>5</v>
      </c>
      <c r="Y4870" t="s">
        <v>24992</v>
      </c>
      <c r="Z4870" t="s">
        <v>31725</v>
      </c>
      <c r="AA4870">
        <v>0.69204825460759145</v>
      </c>
      <c r="AB4870" t="str">
        <f>HYPERLINK("Melting_Curves/meltCurve_Q92574_2_TSC1.pdf", "Melting_Curves/meltCurve_Q92574_2_TSC1.pdf")</f>
        <v>Melting_Curves/meltCurve_Q92574_2_TSC1.pdf</v>
      </c>
    </row>
    <row r="4871" spans="1:28" x14ac:dyDescent="0.25">
      <c r="A4871" t="s">
        <v>4875</v>
      </c>
      <c r="B4871">
        <v>0.995954080203443</v>
      </c>
      <c r="C4871">
        <v>0.852015948190329</v>
      </c>
      <c r="D4871">
        <v>1.1009568169127</v>
      </c>
      <c r="E4871">
        <v>0.80205176935679101</v>
      </c>
      <c r="F4871">
        <v>0.95857632151135597</v>
      </c>
      <c r="G4871">
        <v>0.63509847480500203</v>
      </c>
      <c r="H4871">
        <v>0.46021407862459901</v>
      </c>
      <c r="I4871">
        <v>0.46390828780485499</v>
      </c>
      <c r="J4871">
        <v>0.55288590454855402</v>
      </c>
      <c r="K4871">
        <v>0.49285857834677999</v>
      </c>
      <c r="L4871">
        <v>2044.13924624013</v>
      </c>
      <c r="M4871">
        <v>36.799576343754197</v>
      </c>
      <c r="N4871">
        <v>61.811931490248</v>
      </c>
      <c r="O4871">
        <v>55.3846406183631</v>
      </c>
      <c r="P4871">
        <v>-8.5048984693032306E-2</v>
      </c>
      <c r="Q4871">
        <v>0.48799487278424702</v>
      </c>
      <c r="R4871">
        <v>0.85372385950734697</v>
      </c>
      <c r="S4871" t="s">
        <v>11677</v>
      </c>
      <c r="T4871" t="s">
        <v>13610</v>
      </c>
      <c r="U4871" t="s">
        <v>13610</v>
      </c>
      <c r="V4871" t="s">
        <v>13610</v>
      </c>
      <c r="W4871" t="s">
        <v>18419</v>
      </c>
      <c r="X4871">
        <v>3</v>
      </c>
      <c r="Y4871" t="s">
        <v>24993</v>
      </c>
      <c r="Z4871" t="s">
        <v>31726</v>
      </c>
      <c r="AA4871">
        <v>0.75565346953672408</v>
      </c>
      <c r="AB4871" t="str">
        <f>HYPERLINK("Melting_Curves/meltCurve_Q92575_UBXN4.pdf", "Melting_Curves/meltCurve_Q92575_UBXN4.pdf")</f>
        <v>Melting_Curves/meltCurve_Q92575_UBXN4.pdf</v>
      </c>
    </row>
    <row r="4872" spans="1:28" x14ac:dyDescent="0.25">
      <c r="A4872" t="s">
        <v>4876</v>
      </c>
      <c r="B4872">
        <v>0.995954080203443</v>
      </c>
      <c r="C4872">
        <v>0.96458449422392001</v>
      </c>
      <c r="D4872">
        <v>1.0620547805653899</v>
      </c>
      <c r="E4872">
        <v>0.89628088729671196</v>
      </c>
      <c r="F4872">
        <v>0.90936662162984405</v>
      </c>
      <c r="G4872">
        <v>0.72842680337076504</v>
      </c>
      <c r="H4872">
        <v>0.67590732744068205</v>
      </c>
      <c r="I4872">
        <v>0.86122728211281396</v>
      </c>
      <c r="J4872">
        <v>0.89121899176644803</v>
      </c>
      <c r="K4872">
        <v>0.96772763639471204</v>
      </c>
      <c r="L4872">
        <v>1892.8847996198399</v>
      </c>
      <c r="M4872">
        <v>37.701018441191202</v>
      </c>
      <c r="O4872">
        <v>50.067154962132697</v>
      </c>
      <c r="P4872">
        <v>-3.15057440977842E-2</v>
      </c>
      <c r="Q4872">
        <v>0.83264125157329505</v>
      </c>
      <c r="R4872">
        <v>0.45712170060030299</v>
      </c>
      <c r="S4872" t="s">
        <v>11678</v>
      </c>
      <c r="T4872" t="s">
        <v>13610</v>
      </c>
      <c r="U4872" t="s">
        <v>13610</v>
      </c>
      <c r="V4872" t="s">
        <v>13610</v>
      </c>
      <c r="W4872" t="s">
        <v>18420</v>
      </c>
      <c r="X4872">
        <v>50</v>
      </c>
      <c r="Y4872" t="s">
        <v>24994</v>
      </c>
      <c r="Z4872" t="s">
        <v>31727</v>
      </c>
      <c r="AA4872">
        <v>0.89024135239617697</v>
      </c>
      <c r="AB4872" t="str">
        <f>HYPERLINK("Melting_Curves/meltCurve_Q92576_2_PHF3.pdf", "Melting_Curves/meltCurve_Q92576_2_PHF3.pdf")</f>
        <v>Melting_Curves/meltCurve_Q92576_2_PHF3.pdf</v>
      </c>
    </row>
    <row r="4873" spans="1:28" x14ac:dyDescent="0.25">
      <c r="A4873" t="s">
        <v>4877</v>
      </c>
      <c r="B4873">
        <v>0.995954080203443</v>
      </c>
      <c r="C4873">
        <v>0.97014275641974901</v>
      </c>
      <c r="D4873">
        <v>0.88357564430158597</v>
      </c>
      <c r="E4873">
        <v>0.83501438530976901</v>
      </c>
      <c r="F4873">
        <v>0.74107671440196698</v>
      </c>
      <c r="G4873">
        <v>0.32768705834218997</v>
      </c>
      <c r="H4873">
        <v>0.36933625622876498</v>
      </c>
      <c r="I4873">
        <v>0.36203629207695698</v>
      </c>
      <c r="J4873">
        <v>0.37591214203375301</v>
      </c>
      <c r="K4873">
        <v>0.28436222226020602</v>
      </c>
      <c r="L4873">
        <v>1271.8694083305199</v>
      </c>
      <c r="M4873">
        <v>23.997460445574301</v>
      </c>
      <c r="N4873">
        <v>55.392027532380197</v>
      </c>
      <c r="O4873">
        <v>52.636239093057497</v>
      </c>
      <c r="P4873">
        <v>-7.7209340658227807E-2</v>
      </c>
      <c r="Q4873">
        <v>0.322604164330622</v>
      </c>
      <c r="R4873">
        <v>0.95697216079251501</v>
      </c>
      <c r="S4873" t="s">
        <v>11679</v>
      </c>
      <c r="T4873" t="s">
        <v>13610</v>
      </c>
      <c r="U4873" t="s">
        <v>13610</v>
      </c>
      <c r="V4873" t="s">
        <v>13610</v>
      </c>
      <c r="W4873" t="s">
        <v>18421</v>
      </c>
      <c r="X4873">
        <v>1</v>
      </c>
      <c r="Y4873" t="s">
        <v>24995</v>
      </c>
      <c r="Z4873" t="s">
        <v>31728</v>
      </c>
      <c r="AA4873">
        <v>0.62287774700842857</v>
      </c>
      <c r="AB4873" t="str">
        <f>HYPERLINK("Melting_Curves/meltCurve_Q92581_3_SLC9A6.pdf", "Melting_Curves/meltCurve_Q92581_3_SLC9A6.pdf")</f>
        <v>Melting_Curves/meltCurve_Q92581_3_SLC9A6.pdf</v>
      </c>
    </row>
    <row r="4874" spans="1:28" x14ac:dyDescent="0.25">
      <c r="A4874" t="s">
        <v>4878</v>
      </c>
      <c r="B4874">
        <v>0.995954080203443</v>
      </c>
      <c r="C4874">
        <v>1.0085948501870701</v>
      </c>
      <c r="D4874">
        <v>1.0486916116754099</v>
      </c>
      <c r="E4874">
        <v>0.90492077807187599</v>
      </c>
      <c r="F4874">
        <v>0.95931004639949402</v>
      </c>
      <c r="G4874">
        <v>0.74780129014850405</v>
      </c>
      <c r="H4874">
        <v>0.70705593693116597</v>
      </c>
      <c r="I4874">
        <v>0.69900824298115205</v>
      </c>
      <c r="J4874">
        <v>0.90756405851826805</v>
      </c>
      <c r="K4874">
        <v>0.86020267347670198</v>
      </c>
      <c r="L4874">
        <v>11036.9566297655</v>
      </c>
      <c r="M4874">
        <v>206.78578372438901</v>
      </c>
      <c r="O4874">
        <v>53.368872655319599</v>
      </c>
      <c r="P4874">
        <v>-0.20891501543789601</v>
      </c>
      <c r="Q4874">
        <v>0.78432639211463895</v>
      </c>
      <c r="R4874">
        <v>0.678961369626078</v>
      </c>
      <c r="S4874" t="s">
        <v>11680</v>
      </c>
      <c r="T4874" t="s">
        <v>13610</v>
      </c>
      <c r="U4874" t="s">
        <v>13610</v>
      </c>
      <c r="V4874" t="s">
        <v>13610</v>
      </c>
      <c r="W4874" t="s">
        <v>18422</v>
      </c>
      <c r="X4874">
        <v>6</v>
      </c>
      <c r="Y4874" t="s">
        <v>24996</v>
      </c>
      <c r="Z4874" t="s">
        <v>31729</v>
      </c>
      <c r="AA4874">
        <v>0.88050225159493101</v>
      </c>
      <c r="AB4874" t="str">
        <f>HYPERLINK("Melting_Curves/meltCurve_Q92585_MAML1.pdf", "Melting_Curves/meltCurve_Q92585_MAML1.pdf")</f>
        <v>Melting_Curves/meltCurve_Q92585_MAML1.pdf</v>
      </c>
    </row>
    <row r="4875" spans="1:28" x14ac:dyDescent="0.25">
      <c r="A4875" t="s">
        <v>4879</v>
      </c>
      <c r="B4875">
        <v>0.995954080203443</v>
      </c>
      <c r="C4875">
        <v>0.94515382856352703</v>
      </c>
      <c r="D4875">
        <v>0.89304297900801199</v>
      </c>
      <c r="E4875">
        <v>0.47527704595801901</v>
      </c>
      <c r="F4875">
        <v>0.24798018340144301</v>
      </c>
      <c r="G4875">
        <v>0.16767971807385201</v>
      </c>
      <c r="H4875">
        <v>0.13628854526685899</v>
      </c>
      <c r="I4875">
        <v>0.141378819799372</v>
      </c>
      <c r="J4875">
        <v>0.18386266116215799</v>
      </c>
      <c r="K4875">
        <v>0.156915272042567</v>
      </c>
      <c r="L4875">
        <v>1350.45372027801</v>
      </c>
      <c r="M4875">
        <v>27.5002812948963</v>
      </c>
      <c r="N4875">
        <v>49.762608819500898</v>
      </c>
      <c r="O4875">
        <v>48.849444350469597</v>
      </c>
      <c r="P4875">
        <v>-0.119350602509596</v>
      </c>
      <c r="Q4875">
        <v>0.151985947340357</v>
      </c>
      <c r="R4875">
        <v>0.997385730775047</v>
      </c>
      <c r="S4875" t="s">
        <v>11681</v>
      </c>
      <c r="T4875" t="s">
        <v>13610</v>
      </c>
      <c r="U4875" t="s">
        <v>13610</v>
      </c>
      <c r="V4875" t="s">
        <v>13610</v>
      </c>
      <c r="W4875" t="s">
        <v>18423</v>
      </c>
      <c r="X4875">
        <v>50</v>
      </c>
      <c r="Y4875" t="s">
        <v>24997</v>
      </c>
      <c r="Z4875" t="s">
        <v>31730</v>
      </c>
      <c r="AA4875">
        <v>0.41559482619312937</v>
      </c>
      <c r="AB4875" t="str">
        <f>HYPERLINK("Melting_Curves/meltCurve_Q92598_2_HSPH1.pdf", "Melting_Curves/meltCurve_Q92598_2_HSPH1.pdf")</f>
        <v>Melting_Curves/meltCurve_Q92598_2_HSPH1.pdf</v>
      </c>
    </row>
    <row r="4876" spans="1:28" x14ac:dyDescent="0.25">
      <c r="A4876" t="s">
        <v>4880</v>
      </c>
      <c r="B4876">
        <v>0.995954080203443</v>
      </c>
      <c r="C4876">
        <v>0.883689704076279</v>
      </c>
      <c r="D4876">
        <v>0.81899264248357295</v>
      </c>
      <c r="E4876">
        <v>0.85993123268654803</v>
      </c>
      <c r="F4876">
        <v>0.661336805507175</v>
      </c>
      <c r="G4876">
        <v>0.31552315531415498</v>
      </c>
      <c r="H4876">
        <v>0.18151432982570401</v>
      </c>
      <c r="I4876">
        <v>0.109164783908049</v>
      </c>
      <c r="J4876">
        <v>0.11243791628278201</v>
      </c>
      <c r="K4876">
        <v>9.7152345635389006E-2</v>
      </c>
      <c r="L4876">
        <v>842.09736701888801</v>
      </c>
      <c r="M4876">
        <v>15.4892002283142</v>
      </c>
      <c r="N4876">
        <v>54.704110992151598</v>
      </c>
      <c r="O4876">
        <v>53.484718501816502</v>
      </c>
      <c r="P4876">
        <v>-6.9108336497642101E-2</v>
      </c>
      <c r="Q4876">
        <v>4.5551576657969502E-2</v>
      </c>
      <c r="R4876">
        <v>0.97210489860257798</v>
      </c>
      <c r="S4876" t="s">
        <v>11682</v>
      </c>
      <c r="T4876" t="s">
        <v>13610</v>
      </c>
      <c r="U4876" t="s">
        <v>13610</v>
      </c>
      <c r="V4876" t="s">
        <v>13610</v>
      </c>
      <c r="W4876" t="s">
        <v>18424</v>
      </c>
      <c r="X4876">
        <v>25</v>
      </c>
      <c r="Y4876" t="s">
        <v>24998</v>
      </c>
      <c r="Z4876" t="s">
        <v>31731</v>
      </c>
      <c r="AA4876">
        <v>0.52108313082899149</v>
      </c>
      <c r="AB4876" t="str">
        <f>HYPERLINK("Melting_Curves/meltCurve_Q92599_2_SEPT8.pdf", "Melting_Curves/meltCurve_Q92599_2_SEPT8.pdf")</f>
        <v>Melting_Curves/meltCurve_Q92599_2_SEPT8.pdf</v>
      </c>
    </row>
    <row r="4877" spans="1:28" x14ac:dyDescent="0.25">
      <c r="A4877" t="s">
        <v>4881</v>
      </c>
      <c r="B4877">
        <v>0.995954080203443</v>
      </c>
      <c r="C4877">
        <v>0.80420874338756099</v>
      </c>
      <c r="D4877">
        <v>0.57964231604872096</v>
      </c>
      <c r="E4877">
        <v>0.78955709125085605</v>
      </c>
      <c r="F4877">
        <v>0.37787894072568801</v>
      </c>
      <c r="G4877">
        <v>0.19106390144334501</v>
      </c>
      <c r="H4877">
        <v>0.111479854413674</v>
      </c>
      <c r="I4877">
        <v>8.4291210020834798E-2</v>
      </c>
      <c r="J4877">
        <v>8.9652312158571099E-2</v>
      </c>
      <c r="K4877">
        <v>8.2476321928374105E-2</v>
      </c>
      <c r="L4877">
        <v>511.00357919932401</v>
      </c>
      <c r="M4877">
        <v>10.0397019364702</v>
      </c>
      <c r="N4877">
        <v>50.898281880816398</v>
      </c>
      <c r="O4877">
        <v>49.002601037625702</v>
      </c>
      <c r="P4877">
        <v>-5.1244788345244797E-2</v>
      </c>
      <c r="Q4877">
        <v>0</v>
      </c>
      <c r="R4877">
        <v>0.90904036662279697</v>
      </c>
      <c r="S4877" t="s">
        <v>11683</v>
      </c>
      <c r="T4877" t="s">
        <v>13610</v>
      </c>
      <c r="U4877" t="s">
        <v>13610</v>
      </c>
      <c r="V4877" t="s">
        <v>13610</v>
      </c>
      <c r="W4877" t="s">
        <v>18425</v>
      </c>
      <c r="X4877">
        <v>8</v>
      </c>
      <c r="Y4877" t="s">
        <v>24999</v>
      </c>
      <c r="Z4877" t="s">
        <v>31732</v>
      </c>
      <c r="AA4877">
        <v>0.40502582528854791</v>
      </c>
      <c r="AB4877" t="str">
        <f>HYPERLINK("Melting_Curves/meltCurve_Q92600_RQCD1.pdf", "Melting_Curves/meltCurve_Q92600_RQCD1.pdf")</f>
        <v>Melting_Curves/meltCurve_Q92600_RQCD1.pdf</v>
      </c>
    </row>
    <row r="4878" spans="1:28" x14ac:dyDescent="0.25">
      <c r="A4878" t="s">
        <v>4882</v>
      </c>
      <c r="B4878">
        <v>0.995954080203443</v>
      </c>
      <c r="C4878">
        <v>0.743160851495688</v>
      </c>
      <c r="D4878">
        <v>0.47701171017072103</v>
      </c>
      <c r="E4878">
        <v>0.355974970592003</v>
      </c>
      <c r="F4878">
        <v>0.24662053234713199</v>
      </c>
      <c r="G4878">
        <v>0.180438686434781</v>
      </c>
      <c r="H4878">
        <v>0.14921708380257401</v>
      </c>
      <c r="I4878">
        <v>0.14549365423302699</v>
      </c>
      <c r="J4878">
        <v>0.16761489474810701</v>
      </c>
      <c r="K4878">
        <v>0.16816479968395001</v>
      </c>
      <c r="L4878">
        <v>774.393167927945</v>
      </c>
      <c r="M4878">
        <v>17.115653018490899</v>
      </c>
      <c r="N4878">
        <v>46.303314478187701</v>
      </c>
      <c r="O4878">
        <v>44.640644445432898</v>
      </c>
      <c r="P4878">
        <v>-8.0337782488781095E-2</v>
      </c>
      <c r="Q4878">
        <v>0.16190995601741701</v>
      </c>
      <c r="R4878">
        <v>0.98319601161485903</v>
      </c>
      <c r="S4878" t="s">
        <v>11684</v>
      </c>
      <c r="T4878" t="s">
        <v>13610</v>
      </c>
      <c r="U4878" t="s">
        <v>13610</v>
      </c>
      <c r="V4878" t="s">
        <v>13610</v>
      </c>
      <c r="W4878" t="s">
        <v>18426</v>
      </c>
      <c r="X4878">
        <v>10</v>
      </c>
      <c r="Y4878" t="s">
        <v>25000</v>
      </c>
      <c r="Z4878" t="s">
        <v>31733</v>
      </c>
      <c r="AA4878">
        <v>0.3281404373967699</v>
      </c>
      <c r="AB4878" t="str">
        <f>HYPERLINK("Melting_Curves/meltCurve_Q92608_DOCK2.pdf", "Melting_Curves/meltCurve_Q92608_DOCK2.pdf")</f>
        <v>Melting_Curves/meltCurve_Q92608_DOCK2.pdf</v>
      </c>
    </row>
    <row r="4879" spans="1:28" x14ac:dyDescent="0.25">
      <c r="A4879" t="s">
        <v>4883</v>
      </c>
      <c r="B4879">
        <v>0.995954080203443</v>
      </c>
      <c r="C4879">
        <v>0.94020799343902295</v>
      </c>
      <c r="D4879">
        <v>0.88544890333039095</v>
      </c>
      <c r="E4879">
        <v>0.79642228269607696</v>
      </c>
      <c r="F4879">
        <v>0.49591494500130201</v>
      </c>
      <c r="G4879">
        <v>0.25219299158380298</v>
      </c>
      <c r="H4879">
        <v>0.19385922853977999</v>
      </c>
      <c r="I4879">
        <v>0.215912904884239</v>
      </c>
      <c r="J4879">
        <v>0.227482661450021</v>
      </c>
      <c r="K4879">
        <v>0.24519207700318599</v>
      </c>
      <c r="L4879">
        <v>1302.6196949555001</v>
      </c>
      <c r="M4879">
        <v>25.163516029296201</v>
      </c>
      <c r="N4879">
        <v>52.905451635046198</v>
      </c>
      <c r="O4879">
        <v>51.442587149717497</v>
      </c>
      <c r="P4879">
        <v>-9.6711233704900104E-2</v>
      </c>
      <c r="Q4879">
        <v>0.20917069353006301</v>
      </c>
      <c r="R4879">
        <v>0.98669814818700496</v>
      </c>
      <c r="S4879" t="s">
        <v>11685</v>
      </c>
      <c r="T4879" t="s">
        <v>13610</v>
      </c>
      <c r="U4879" t="s">
        <v>13610</v>
      </c>
      <c r="V4879" t="s">
        <v>13610</v>
      </c>
      <c r="W4879" t="s">
        <v>18427</v>
      </c>
      <c r="X4879">
        <v>30</v>
      </c>
      <c r="Y4879" t="s">
        <v>25001</v>
      </c>
      <c r="Z4879" t="s">
        <v>31734</v>
      </c>
      <c r="AA4879">
        <v>0.52645165136287708</v>
      </c>
      <c r="AB4879" t="str">
        <f>HYPERLINK("Melting_Curves/meltCurve_Q92609_TBC1D5.pdf", "Melting_Curves/meltCurve_Q92609_TBC1D5.pdf")</f>
        <v>Melting_Curves/meltCurve_Q92609_TBC1D5.pdf</v>
      </c>
    </row>
    <row r="4880" spans="1:28" x14ac:dyDescent="0.25">
      <c r="A4880" t="s">
        <v>4884</v>
      </c>
      <c r="B4880">
        <v>0.995954080203443</v>
      </c>
      <c r="C4880">
        <v>0.87228692229909499</v>
      </c>
      <c r="D4880">
        <v>0.85702041242143201</v>
      </c>
      <c r="E4880">
        <v>0.72688654551718501</v>
      </c>
      <c r="F4880">
        <v>0.68503626759827896</v>
      </c>
      <c r="G4880">
        <v>0.496343997415986</v>
      </c>
      <c r="H4880">
        <v>0.44239247405258902</v>
      </c>
      <c r="I4880">
        <v>0.52770116317237203</v>
      </c>
      <c r="J4880">
        <v>0.63702249757943297</v>
      </c>
      <c r="K4880">
        <v>0.57702689031445598</v>
      </c>
      <c r="L4880">
        <v>694.75864418416097</v>
      </c>
      <c r="M4880">
        <v>14.401006587027</v>
      </c>
      <c r="O4880">
        <v>47.342113240057003</v>
      </c>
      <c r="P4880">
        <v>-3.5774566035058103E-2</v>
      </c>
      <c r="Q4880">
        <v>0.52963217333800205</v>
      </c>
      <c r="R4880">
        <v>0.872792913366228</v>
      </c>
      <c r="S4880" t="s">
        <v>11686</v>
      </c>
      <c r="T4880" t="s">
        <v>13610</v>
      </c>
      <c r="U4880" t="s">
        <v>13610</v>
      </c>
      <c r="V4880" t="s">
        <v>13610</v>
      </c>
      <c r="W4880" t="s">
        <v>18428</v>
      </c>
      <c r="X4880">
        <v>9</v>
      </c>
      <c r="Y4880" t="s">
        <v>25002</v>
      </c>
      <c r="Z4880" t="s">
        <v>31735</v>
      </c>
      <c r="AA4880">
        <v>0.67184054090461509</v>
      </c>
      <c r="AB4880" t="str">
        <f>HYPERLINK("Melting_Curves/meltCurve_Q92610_ZNF592.pdf", "Melting_Curves/meltCurve_Q92610_ZNF592.pdf")</f>
        <v>Melting_Curves/meltCurve_Q92610_ZNF592.pdf</v>
      </c>
    </row>
    <row r="4881" spans="1:28" x14ac:dyDescent="0.25">
      <c r="A4881" t="s">
        <v>4885</v>
      </c>
      <c r="B4881">
        <v>0.995954080203443</v>
      </c>
      <c r="C4881">
        <v>0.97832904488613504</v>
      </c>
      <c r="D4881">
        <v>0.914548439702495</v>
      </c>
      <c r="E4881">
        <v>0.67665050393378801</v>
      </c>
      <c r="F4881">
        <v>0.49812983969950497</v>
      </c>
      <c r="G4881">
        <v>0.35220532080422401</v>
      </c>
      <c r="H4881">
        <v>0.247946955617284</v>
      </c>
      <c r="I4881">
        <v>0.169755362971479</v>
      </c>
      <c r="J4881">
        <v>0.18274570177472299</v>
      </c>
      <c r="K4881">
        <v>0.12926731822030699</v>
      </c>
      <c r="L4881">
        <v>749.215210477136</v>
      </c>
      <c r="M4881">
        <v>14.366747736227399</v>
      </c>
      <c r="N4881">
        <v>53.278467754020298</v>
      </c>
      <c r="O4881">
        <v>51.1701029560042</v>
      </c>
      <c r="P4881">
        <v>-6.0985693446663498E-2</v>
      </c>
      <c r="Q4881">
        <v>0.131251956764115</v>
      </c>
      <c r="R4881">
        <v>0.99659174148299801</v>
      </c>
      <c r="S4881" t="s">
        <v>11687</v>
      </c>
      <c r="T4881" t="s">
        <v>13610</v>
      </c>
      <c r="U4881" t="s">
        <v>13610</v>
      </c>
      <c r="V4881" t="s">
        <v>13610</v>
      </c>
      <c r="W4881" t="s">
        <v>18429</v>
      </c>
      <c r="X4881">
        <v>3</v>
      </c>
      <c r="Y4881" t="s">
        <v>25003</v>
      </c>
      <c r="Z4881" t="s">
        <v>31736</v>
      </c>
      <c r="AA4881">
        <v>0.50367179409020713</v>
      </c>
      <c r="AB4881" t="str">
        <f>HYPERLINK("Melting_Curves/meltCurve_Q92613_PHF16.pdf", "Melting_Curves/meltCurve_Q92613_PHF16.pdf")</f>
        <v>Melting_Curves/meltCurve_Q92613_PHF16.pdf</v>
      </c>
    </row>
    <row r="4882" spans="1:28" x14ac:dyDescent="0.25">
      <c r="A4882" t="s">
        <v>4886</v>
      </c>
      <c r="B4882">
        <v>0.995954080203443</v>
      </c>
      <c r="C4882">
        <v>0.51828087538781498</v>
      </c>
      <c r="D4882">
        <v>0.46796939036787699</v>
      </c>
      <c r="E4882">
        <v>0.45697471971687098</v>
      </c>
      <c r="F4882">
        <v>0.18644108432798501</v>
      </c>
      <c r="G4882">
        <v>0.119700466668371</v>
      </c>
      <c r="H4882">
        <v>9.2869569079278194E-2</v>
      </c>
      <c r="I4882">
        <v>9.9306570910727907E-2</v>
      </c>
      <c r="J4882">
        <v>0.11407247229426</v>
      </c>
      <c r="K4882">
        <v>0.10468336610872001</v>
      </c>
      <c r="L4882">
        <v>525.17441856501102</v>
      </c>
      <c r="M4882">
        <v>11.607486713348599</v>
      </c>
      <c r="N4882">
        <v>45.914445187286503</v>
      </c>
      <c r="O4882">
        <v>43.9641198650245</v>
      </c>
      <c r="P4882">
        <v>-6.0879976617325998E-2</v>
      </c>
      <c r="Q4882">
        <v>7.7905103678715101E-2</v>
      </c>
      <c r="R4882">
        <v>0.89913190243002905</v>
      </c>
      <c r="S4882" t="s">
        <v>11688</v>
      </c>
      <c r="T4882" t="s">
        <v>13610</v>
      </c>
      <c r="U4882" t="s">
        <v>13610</v>
      </c>
      <c r="V4882" t="s">
        <v>13610</v>
      </c>
      <c r="W4882" t="s">
        <v>18430</v>
      </c>
      <c r="X4882">
        <v>56</v>
      </c>
      <c r="Y4882" t="s">
        <v>25004</v>
      </c>
      <c r="Z4882" t="s">
        <v>31737</v>
      </c>
      <c r="AA4882">
        <v>0.28689449530764549</v>
      </c>
      <c r="AB4882" t="str">
        <f>HYPERLINK("Melting_Curves/meltCurve_Q92614_4_MYO18A.pdf", "Melting_Curves/meltCurve_Q92614_4_MYO18A.pdf")</f>
        <v>Melting_Curves/meltCurve_Q92614_4_MYO18A.pdf</v>
      </c>
    </row>
    <row r="4883" spans="1:28" x14ac:dyDescent="0.25">
      <c r="A4883" t="s">
        <v>4887</v>
      </c>
      <c r="B4883">
        <v>0.995954080203443</v>
      </c>
      <c r="C4883">
        <v>0.972216754005094</v>
      </c>
      <c r="D4883">
        <v>0.98388948931686404</v>
      </c>
      <c r="E4883">
        <v>0.84008968779558102</v>
      </c>
      <c r="F4883">
        <v>0.81854362550033799</v>
      </c>
      <c r="G4883">
        <v>0.63003607835185804</v>
      </c>
      <c r="H4883">
        <v>0.57743303082604602</v>
      </c>
      <c r="I4883">
        <v>0.66842436946122397</v>
      </c>
      <c r="J4883">
        <v>0.74877724219601904</v>
      </c>
      <c r="K4883">
        <v>0.76637176908986804</v>
      </c>
      <c r="L4883">
        <v>1303.4777255172201</v>
      </c>
      <c r="M4883">
        <v>25.7394031843418</v>
      </c>
      <c r="O4883">
        <v>50.338648935616</v>
      </c>
      <c r="P4883">
        <v>-4.0720739014006899E-2</v>
      </c>
      <c r="Q4883">
        <v>0.68145315059043998</v>
      </c>
      <c r="R4883">
        <v>0.83677692425682104</v>
      </c>
      <c r="S4883" t="s">
        <v>11689</v>
      </c>
      <c r="T4883" t="s">
        <v>13610</v>
      </c>
      <c r="U4883" t="s">
        <v>13610</v>
      </c>
      <c r="V4883" t="s">
        <v>13610</v>
      </c>
      <c r="W4883" t="s">
        <v>18431</v>
      </c>
      <c r="X4883">
        <v>25</v>
      </c>
      <c r="Y4883" t="s">
        <v>21083</v>
      </c>
      <c r="Z4883" t="s">
        <v>31738</v>
      </c>
      <c r="AA4883">
        <v>0.79715054414690689</v>
      </c>
      <c r="AB4883" t="str">
        <f>HYPERLINK("Melting_Curves/meltCurve_Q92615_LARP4B.pdf", "Melting_Curves/meltCurve_Q92615_LARP4B.pdf")</f>
        <v>Melting_Curves/meltCurve_Q92615_LARP4B.pdf</v>
      </c>
    </row>
    <row r="4884" spans="1:28" x14ac:dyDescent="0.25">
      <c r="A4884" t="s">
        <v>4888</v>
      </c>
      <c r="B4884">
        <v>0.995954080203443</v>
      </c>
      <c r="C4884">
        <v>0.326463198677647</v>
      </c>
      <c r="D4884">
        <v>0.158382041295309</v>
      </c>
      <c r="E4884">
        <v>0.16792747840838601</v>
      </c>
      <c r="F4884">
        <v>0.102328936349984</v>
      </c>
      <c r="G4884">
        <v>5.3182748896130103E-2</v>
      </c>
      <c r="H4884">
        <v>3.4040039318422401E-2</v>
      </c>
      <c r="I4884">
        <v>2.6997464328825199E-2</v>
      </c>
      <c r="J4884">
        <v>3.0166524023781598E-2</v>
      </c>
      <c r="K4884">
        <v>2.6297801278155598E-2</v>
      </c>
      <c r="L4884">
        <v>2823.2287297613598</v>
      </c>
      <c r="M4884">
        <v>66.7720085705798</v>
      </c>
      <c r="N4884">
        <v>42.383404111418599</v>
      </c>
      <c r="O4884">
        <v>42.243744025443597</v>
      </c>
      <c r="P4884">
        <v>-0.36589000917098502</v>
      </c>
      <c r="Q4884">
        <v>7.4069511538114405E-2</v>
      </c>
      <c r="R4884">
        <v>0.96902412939164995</v>
      </c>
      <c r="S4884" t="s">
        <v>11690</v>
      </c>
      <c r="T4884" t="s">
        <v>13610</v>
      </c>
      <c r="U4884" t="s">
        <v>13610</v>
      </c>
      <c r="V4884" t="s">
        <v>13610</v>
      </c>
      <c r="W4884" t="s">
        <v>18432</v>
      </c>
      <c r="X4884">
        <v>86</v>
      </c>
      <c r="Y4884" t="s">
        <v>25005</v>
      </c>
      <c r="Z4884" t="s">
        <v>31739</v>
      </c>
      <c r="AA4884">
        <v>0.14582936896093349</v>
      </c>
      <c r="AB4884" t="str">
        <f>HYPERLINK("Melting_Curves/meltCurve_Q92616_GCN1L1.pdf", "Melting_Curves/meltCurve_Q92616_GCN1L1.pdf")</f>
        <v>Melting_Curves/meltCurve_Q92616_GCN1L1.pdf</v>
      </c>
    </row>
    <row r="4885" spans="1:28" x14ac:dyDescent="0.25">
      <c r="A4885" t="s">
        <v>4889</v>
      </c>
      <c r="B4885">
        <v>0.995954080203443</v>
      </c>
      <c r="C4885">
        <v>0.91351500965294896</v>
      </c>
      <c r="D4885">
        <v>0.99151135468018303</v>
      </c>
      <c r="E4885">
        <v>0.75455833207993706</v>
      </c>
      <c r="F4885">
        <v>0.71499845925857597</v>
      </c>
      <c r="G4885">
        <v>0.49485411478668001</v>
      </c>
      <c r="H4885">
        <v>0.49765329250388901</v>
      </c>
      <c r="I4885">
        <v>0.553437431221948</v>
      </c>
      <c r="J4885">
        <v>0.74811279587539403</v>
      </c>
      <c r="K4885">
        <v>0.64528154651699698</v>
      </c>
      <c r="L4885">
        <v>1445.11951688002</v>
      </c>
      <c r="M4885">
        <v>29.080585055832199</v>
      </c>
      <c r="O4885">
        <v>49.460408878200099</v>
      </c>
      <c r="P4885">
        <v>-5.95936599312595E-2</v>
      </c>
      <c r="Q4885">
        <v>0.59457417682617297</v>
      </c>
      <c r="R4885">
        <v>0.80808168641932998</v>
      </c>
      <c r="S4885" t="s">
        <v>11691</v>
      </c>
      <c r="T4885" t="s">
        <v>13610</v>
      </c>
      <c r="U4885" t="s">
        <v>13610</v>
      </c>
      <c r="V4885" t="s">
        <v>13610</v>
      </c>
      <c r="W4885" t="s">
        <v>18433</v>
      </c>
      <c r="X4885">
        <v>6</v>
      </c>
      <c r="Y4885" t="s">
        <v>25006</v>
      </c>
      <c r="Z4885" t="s">
        <v>31740</v>
      </c>
      <c r="AA4885">
        <v>0.72823381054918268</v>
      </c>
      <c r="AB4885" t="str">
        <f>HYPERLINK("Melting_Curves/meltCurve_Q92618_ZNF516.pdf", "Melting_Curves/meltCurve_Q92618_ZNF516.pdf")</f>
        <v>Melting_Curves/meltCurve_Q92618_ZNF516.pdf</v>
      </c>
    </row>
    <row r="4886" spans="1:28" x14ac:dyDescent="0.25">
      <c r="A4886" t="s">
        <v>4890</v>
      </c>
      <c r="B4886">
        <v>0.995954080203443</v>
      </c>
      <c r="C4886">
        <v>0.86967032142566503</v>
      </c>
      <c r="D4886">
        <v>0.77598189469594703</v>
      </c>
      <c r="E4886">
        <v>0.59398035147617101</v>
      </c>
      <c r="F4886">
        <v>0.27293211319825</v>
      </c>
      <c r="G4886">
        <v>0.12618956975574799</v>
      </c>
      <c r="H4886">
        <v>7.8715025860946003E-2</v>
      </c>
      <c r="I4886">
        <v>7.6368116096453303E-2</v>
      </c>
      <c r="J4886">
        <v>8.4813863980857093E-2</v>
      </c>
      <c r="K4886">
        <v>7.9027724604435703E-2</v>
      </c>
      <c r="L4886">
        <v>785.93898952508096</v>
      </c>
      <c r="M4886">
        <v>15.762564619681999</v>
      </c>
      <c r="N4886">
        <v>50.167843028308098</v>
      </c>
      <c r="O4886">
        <v>49.079277930262997</v>
      </c>
      <c r="P4886">
        <v>-7.6609302543938093E-2</v>
      </c>
      <c r="Q4886">
        <v>4.5937852604673403E-2</v>
      </c>
      <c r="R4886">
        <v>0.98753310676386596</v>
      </c>
      <c r="S4886" t="s">
        <v>11692</v>
      </c>
      <c r="T4886" t="s">
        <v>13610</v>
      </c>
      <c r="U4886" t="s">
        <v>13610</v>
      </c>
      <c r="V4886" t="s">
        <v>13610</v>
      </c>
      <c r="W4886" t="s">
        <v>18434</v>
      </c>
      <c r="X4886">
        <v>18</v>
      </c>
      <c r="Y4886" t="s">
        <v>25007</v>
      </c>
      <c r="Z4886" t="s">
        <v>31741</v>
      </c>
      <c r="AA4886">
        <v>0.38043697481147859</v>
      </c>
      <c r="AB4886" t="str">
        <f>HYPERLINK("Melting_Curves/meltCurve_Q92619_HMHA1.pdf", "Melting_Curves/meltCurve_Q92619_HMHA1.pdf")</f>
        <v>Melting_Curves/meltCurve_Q92619_HMHA1.pdf</v>
      </c>
    </row>
    <row r="4887" spans="1:28" x14ac:dyDescent="0.25">
      <c r="A4887" t="s">
        <v>4891</v>
      </c>
      <c r="B4887">
        <v>0.995954080203443</v>
      </c>
      <c r="C4887">
        <v>0.79501486879600503</v>
      </c>
      <c r="D4887">
        <v>0.58680786034212296</v>
      </c>
      <c r="E4887">
        <v>0.37166290180123401</v>
      </c>
      <c r="F4887">
        <v>0.12800491089948099</v>
      </c>
      <c r="G4887">
        <v>8.2694656719871404E-2</v>
      </c>
      <c r="H4887">
        <v>5.4276935153436102E-2</v>
      </c>
      <c r="I4887">
        <v>5.0374780258852302E-2</v>
      </c>
      <c r="J4887">
        <v>5.6128169484872099E-2</v>
      </c>
      <c r="K4887">
        <v>5.3312399688347903E-2</v>
      </c>
      <c r="L4887">
        <v>739.18228789293096</v>
      </c>
      <c r="M4887">
        <v>15.708314520760901</v>
      </c>
      <c r="N4887">
        <v>47.277858713033801</v>
      </c>
      <c r="O4887">
        <v>46.313934054635503</v>
      </c>
      <c r="P4887">
        <v>-8.1796593777452201E-2</v>
      </c>
      <c r="Q4887">
        <v>3.54148688763537E-2</v>
      </c>
      <c r="R4887">
        <v>0.99043807613974999</v>
      </c>
      <c r="S4887" t="s">
        <v>11693</v>
      </c>
      <c r="T4887" t="s">
        <v>13610</v>
      </c>
      <c r="U4887" t="s">
        <v>13610</v>
      </c>
      <c r="V4887" t="s">
        <v>13610</v>
      </c>
      <c r="W4887" t="s">
        <v>18435</v>
      </c>
      <c r="X4887">
        <v>28</v>
      </c>
      <c r="Y4887" t="s">
        <v>25008</v>
      </c>
      <c r="Z4887" t="s">
        <v>31742</v>
      </c>
      <c r="AA4887">
        <v>0.28604332689827622</v>
      </c>
      <c r="AB4887" t="str">
        <f>HYPERLINK("Melting_Curves/meltCurve_Q92621_NUP205.pdf", "Melting_Curves/meltCurve_Q92621_NUP205.pdf")</f>
        <v>Melting_Curves/meltCurve_Q92621_NUP205.pdf</v>
      </c>
    </row>
    <row r="4888" spans="1:28" x14ac:dyDescent="0.25">
      <c r="A4888" t="s">
        <v>4892</v>
      </c>
      <c r="B4888">
        <v>0.995954080203443</v>
      </c>
      <c r="C4888">
        <v>0.70993374531223996</v>
      </c>
      <c r="D4888">
        <v>0.37172063423636598</v>
      </c>
      <c r="E4888">
        <v>0.67916947971114605</v>
      </c>
      <c r="F4888">
        <v>0.51526848169649797</v>
      </c>
      <c r="G4888">
        <v>0.28430908350050899</v>
      </c>
      <c r="H4888">
        <v>0.21270082683327901</v>
      </c>
      <c r="I4888">
        <v>0.218315021581591</v>
      </c>
      <c r="J4888">
        <v>0.25434183801069798</v>
      </c>
      <c r="K4888">
        <v>0.25004914742729301</v>
      </c>
      <c r="L4888">
        <v>379.96885373828002</v>
      </c>
      <c r="M4888">
        <v>8.0179387325399194</v>
      </c>
      <c r="N4888">
        <v>49.8180022840913</v>
      </c>
      <c r="O4888">
        <v>44.714569068519999</v>
      </c>
      <c r="P4888">
        <v>-3.7619945780444697E-2</v>
      </c>
      <c r="Q4888">
        <v>0.161741829852074</v>
      </c>
      <c r="R4888">
        <v>0.77318956378696302</v>
      </c>
      <c r="S4888" t="s">
        <v>11694</v>
      </c>
      <c r="T4888" t="s">
        <v>13610</v>
      </c>
      <c r="U4888" t="s">
        <v>13610</v>
      </c>
      <c r="V4888" t="s">
        <v>13610</v>
      </c>
      <c r="W4888" t="s">
        <v>18436</v>
      </c>
      <c r="X4888">
        <v>23</v>
      </c>
      <c r="Y4888" t="s">
        <v>25009</v>
      </c>
      <c r="Z4888" t="s">
        <v>31743</v>
      </c>
      <c r="AA4888">
        <v>0.43246456266379679</v>
      </c>
      <c r="AB4888" t="str">
        <f>HYPERLINK("Melting_Curves/meltCurve_Q92625_ANKS1A.pdf", "Melting_Curves/meltCurve_Q92625_ANKS1A.pdf")</f>
        <v>Melting_Curves/meltCurve_Q92625_ANKS1A.pdf</v>
      </c>
    </row>
    <row r="4889" spans="1:28" x14ac:dyDescent="0.25">
      <c r="A4889" t="s">
        <v>4893</v>
      </c>
      <c r="B4889">
        <v>0.995954080203443</v>
      </c>
      <c r="C4889">
        <v>0.92811064575982005</v>
      </c>
      <c r="D4889">
        <v>0.938045012472983</v>
      </c>
      <c r="E4889">
        <v>0.79465898319739703</v>
      </c>
      <c r="F4889">
        <v>0.59875402359847996</v>
      </c>
      <c r="G4889">
        <v>0.27645174806391298</v>
      </c>
      <c r="H4889">
        <v>0.219006944656222</v>
      </c>
      <c r="I4889">
        <v>0.22020922699012499</v>
      </c>
      <c r="J4889">
        <v>0.229792943243431</v>
      </c>
      <c r="K4889">
        <v>0.160764537632334</v>
      </c>
      <c r="L4889">
        <v>1113.1673682749099</v>
      </c>
      <c r="M4889">
        <v>21.134356151243701</v>
      </c>
      <c r="N4889">
        <v>53.833870674779099</v>
      </c>
      <c r="O4889">
        <v>52.206220842079901</v>
      </c>
      <c r="P4889">
        <v>-8.2661118320871099E-2</v>
      </c>
      <c r="Q4889">
        <v>0.18326130090808801</v>
      </c>
      <c r="R4889">
        <v>0.99043763274754604</v>
      </c>
      <c r="S4889" t="s">
        <v>11695</v>
      </c>
      <c r="T4889" t="s">
        <v>13610</v>
      </c>
      <c r="U4889" t="s">
        <v>13610</v>
      </c>
      <c r="V4889" t="s">
        <v>13610</v>
      </c>
      <c r="W4889" t="s">
        <v>18437</v>
      </c>
      <c r="X4889">
        <v>14</v>
      </c>
      <c r="Y4889" t="s">
        <v>25010</v>
      </c>
      <c r="Z4889" t="s">
        <v>31744</v>
      </c>
      <c r="AA4889">
        <v>0.53844426458164996</v>
      </c>
      <c r="AB4889" t="str">
        <f>HYPERLINK("Melting_Curves/meltCurve_Q92636_NSMAF.pdf", "Melting_Curves/meltCurve_Q92636_NSMAF.pdf")</f>
        <v>Melting_Curves/meltCurve_Q92636_NSMAF.pdf</v>
      </c>
    </row>
    <row r="4890" spans="1:28" x14ac:dyDescent="0.25">
      <c r="A4890" t="s">
        <v>4894</v>
      </c>
      <c r="B4890">
        <v>0.995954080203443</v>
      </c>
      <c r="C4890">
        <v>0.75504690703715505</v>
      </c>
      <c r="D4890">
        <v>0.71732431891294701</v>
      </c>
      <c r="E4890">
        <v>0.55912720565446195</v>
      </c>
      <c r="F4890">
        <v>0.42075648238867502</v>
      </c>
      <c r="G4890">
        <v>0.30716100467476498</v>
      </c>
      <c r="H4890">
        <v>0.28494340895160603</v>
      </c>
      <c r="I4890">
        <v>0.17316030128278501</v>
      </c>
      <c r="J4890">
        <v>0.17338964423808201</v>
      </c>
      <c r="K4890">
        <v>0.138757491353804</v>
      </c>
      <c r="L4890">
        <v>441.52001383007098</v>
      </c>
      <c r="M4890">
        <v>8.8091298085372909</v>
      </c>
      <c r="N4890">
        <v>51.128257455577597</v>
      </c>
      <c r="O4890">
        <v>47.739290614599199</v>
      </c>
      <c r="P4890">
        <v>-4.2489128010048401E-2</v>
      </c>
      <c r="Q4890">
        <v>7.9679978648112507E-2</v>
      </c>
      <c r="R4890">
        <v>0.97896590601863298</v>
      </c>
      <c r="S4890" t="s">
        <v>11696</v>
      </c>
      <c r="T4890" t="s">
        <v>13610</v>
      </c>
      <c r="U4890" t="s">
        <v>13610</v>
      </c>
      <c r="V4890" t="s">
        <v>13610</v>
      </c>
      <c r="W4890" t="s">
        <v>18438</v>
      </c>
      <c r="X4890">
        <v>1</v>
      </c>
      <c r="Y4890" t="s">
        <v>25011</v>
      </c>
      <c r="Z4890" t="s">
        <v>31745</v>
      </c>
      <c r="AA4890">
        <v>0.43861937486848668</v>
      </c>
      <c r="AB4890" t="str">
        <f>HYPERLINK("Melting_Curves/meltCurve_Q92664_2_GTF3A.pdf", "Melting_Curves/meltCurve_Q92664_2_GTF3A.pdf")</f>
        <v>Melting_Curves/meltCurve_Q92664_2_GTF3A.pdf</v>
      </c>
    </row>
    <row r="4891" spans="1:28" x14ac:dyDescent="0.25">
      <c r="A4891" t="s">
        <v>4895</v>
      </c>
      <c r="B4891">
        <v>0.995954080203443</v>
      </c>
      <c r="C4891">
        <v>0.88374267175800802</v>
      </c>
      <c r="D4891">
        <v>0.95287273540330097</v>
      </c>
      <c r="E4891">
        <v>0.80625442840251305</v>
      </c>
      <c r="F4891">
        <v>0.99429176457241397</v>
      </c>
      <c r="G4891">
        <v>0.96800608281259704</v>
      </c>
      <c r="H4891">
        <v>1.1848471950758299</v>
      </c>
      <c r="I4891">
        <v>1.64254580348756</v>
      </c>
      <c r="J4891">
        <v>1.7161607766598901</v>
      </c>
      <c r="K4891">
        <v>1.8971496385797899</v>
      </c>
      <c r="L4891">
        <v>15000</v>
      </c>
      <c r="M4891">
        <v>245.368199509932</v>
      </c>
      <c r="O4891">
        <v>61.128555179135297</v>
      </c>
      <c r="P4891">
        <v>0.50174627701806396</v>
      </c>
      <c r="Q4891">
        <v>1.5</v>
      </c>
      <c r="R4891">
        <v>0.80094571522684499</v>
      </c>
      <c r="S4891" t="s">
        <v>11697</v>
      </c>
      <c r="T4891" t="s">
        <v>13610</v>
      </c>
      <c r="U4891" t="s">
        <v>13610</v>
      </c>
      <c r="V4891" t="s">
        <v>13610</v>
      </c>
      <c r="W4891" t="s">
        <v>18439</v>
      </c>
      <c r="X4891">
        <v>7</v>
      </c>
      <c r="Y4891" t="s">
        <v>25012</v>
      </c>
      <c r="Z4891" t="s">
        <v>31746</v>
      </c>
      <c r="AA4891">
        <v>1.1477340396224429</v>
      </c>
      <c r="AB4891" t="str">
        <f>HYPERLINK("Melting_Curves/meltCurve_Q92665_MRPS31.pdf", "Melting_Curves/meltCurve_Q92665_MRPS31.pdf")</f>
        <v>Melting_Curves/meltCurve_Q92665_MRPS31.pdf</v>
      </c>
    </row>
    <row r="4892" spans="1:28" x14ac:dyDescent="0.25">
      <c r="A4892" t="s">
        <v>4896</v>
      </c>
      <c r="B4892">
        <v>0.995954080203443</v>
      </c>
      <c r="C4892">
        <v>0.88208142251117105</v>
      </c>
      <c r="D4892">
        <v>0.86314353323020698</v>
      </c>
      <c r="E4892">
        <v>0.72895190232188201</v>
      </c>
      <c r="F4892">
        <v>0.67227974562612303</v>
      </c>
      <c r="G4892">
        <v>0.55137718162835503</v>
      </c>
      <c r="H4892">
        <v>0.50064318198216595</v>
      </c>
      <c r="I4892">
        <v>0.61052750390071697</v>
      </c>
      <c r="J4892">
        <v>0.664629106567031</v>
      </c>
      <c r="K4892">
        <v>0.70897431298578795</v>
      </c>
      <c r="L4892">
        <v>803.49385089203997</v>
      </c>
      <c r="M4892">
        <v>17.111409357270201</v>
      </c>
      <c r="O4892">
        <v>46.329345477333199</v>
      </c>
      <c r="P4892">
        <v>-3.6240458217678802E-2</v>
      </c>
      <c r="Q4892">
        <v>0.60753758228626298</v>
      </c>
      <c r="R4892">
        <v>0.83449268602064697</v>
      </c>
      <c r="S4892" t="s">
        <v>11698</v>
      </c>
      <c r="T4892" t="s">
        <v>13610</v>
      </c>
      <c r="U4892" t="s">
        <v>13610</v>
      </c>
      <c r="V4892" t="s">
        <v>13610</v>
      </c>
      <c r="W4892" t="s">
        <v>18440</v>
      </c>
      <c r="X4892">
        <v>26</v>
      </c>
      <c r="Y4892" t="s">
        <v>25013</v>
      </c>
      <c r="Z4892" t="s">
        <v>31747</v>
      </c>
      <c r="AA4892">
        <v>0.70664242044306491</v>
      </c>
      <c r="AB4892" t="str">
        <f>HYPERLINK("Melting_Curves/meltCurve_Q92667_AKAP1.pdf", "Melting_Curves/meltCurve_Q92667_AKAP1.pdf")</f>
        <v>Melting_Curves/meltCurve_Q92667_AKAP1.pdf</v>
      </c>
    </row>
    <row r="4893" spans="1:28" x14ac:dyDescent="0.25">
      <c r="A4893" t="s">
        <v>4897</v>
      </c>
      <c r="B4893">
        <v>0.995954080203443</v>
      </c>
      <c r="C4893">
        <v>0.77282238908893097</v>
      </c>
      <c r="D4893">
        <v>1.34335147647815</v>
      </c>
      <c r="E4893">
        <v>0.84981442026466902</v>
      </c>
      <c r="F4893">
        <v>1.7925257543531701</v>
      </c>
      <c r="G4893">
        <v>1.72202774227958</v>
      </c>
      <c r="H4893">
        <v>1.7956303254350501</v>
      </c>
      <c r="I4893">
        <v>2.2816195578950902</v>
      </c>
      <c r="J4893">
        <v>3.11441255991318</v>
      </c>
      <c r="K4893">
        <v>2.84852656633548</v>
      </c>
      <c r="L4893">
        <v>6256.64872512287</v>
      </c>
      <c r="M4893">
        <v>121.89055112350999</v>
      </c>
      <c r="O4893">
        <v>51.316242670886098</v>
      </c>
      <c r="P4893">
        <v>0.29691026992323</v>
      </c>
      <c r="Q4893">
        <v>1.5</v>
      </c>
      <c r="R4893">
        <v>6.7025925968581604E-2</v>
      </c>
      <c r="S4893" t="s">
        <v>11699</v>
      </c>
      <c r="T4893" t="s">
        <v>13610</v>
      </c>
      <c r="U4893" t="s">
        <v>13610</v>
      </c>
      <c r="V4893" t="s">
        <v>13610</v>
      </c>
      <c r="W4893" t="s">
        <v>18441</v>
      </c>
      <c r="X4893">
        <v>2</v>
      </c>
      <c r="Y4893" t="s">
        <v>25014</v>
      </c>
      <c r="Z4893" t="s">
        <v>31748</v>
      </c>
      <c r="AA4893">
        <v>1.3109761346614739</v>
      </c>
      <c r="AB4893" t="str">
        <f>HYPERLINK("Melting_Curves/meltCurve_Q92686_NRGN.pdf", "Melting_Curves/meltCurve_Q92686_NRGN.pdf")</f>
        <v>Melting_Curves/meltCurve_Q92686_NRGN.pdf</v>
      </c>
    </row>
    <row r="4894" spans="1:28" x14ac:dyDescent="0.25">
      <c r="A4894" t="s">
        <v>4898</v>
      </c>
      <c r="B4894">
        <v>0.995954080203443</v>
      </c>
      <c r="C4894">
        <v>0.94364832715640901</v>
      </c>
      <c r="D4894">
        <v>1.10743482472234</v>
      </c>
      <c r="E4894">
        <v>0.83152565013122104</v>
      </c>
      <c r="F4894">
        <v>0.98258105689210296</v>
      </c>
      <c r="G4894">
        <v>0.76512034927917805</v>
      </c>
      <c r="H4894">
        <v>0.230399980421746</v>
      </c>
      <c r="I4894">
        <v>0.11087578028603701</v>
      </c>
      <c r="J4894">
        <v>9.9474565815455399E-2</v>
      </c>
      <c r="K4894">
        <v>9.9606823939463296E-2</v>
      </c>
      <c r="L4894">
        <v>2389.65919107625</v>
      </c>
      <c r="M4894">
        <v>40.8880959502699</v>
      </c>
      <c r="N4894">
        <v>58.738976905770002</v>
      </c>
      <c r="O4894">
        <v>58.304614282931801</v>
      </c>
      <c r="P4894">
        <v>-0.15904377198706601</v>
      </c>
      <c r="Q4894">
        <v>9.2844301286408207E-2</v>
      </c>
      <c r="R4894">
        <v>0.97372097626797405</v>
      </c>
      <c r="S4894" t="s">
        <v>11700</v>
      </c>
      <c r="T4894" t="s">
        <v>13610</v>
      </c>
      <c r="U4894" t="s">
        <v>13610</v>
      </c>
      <c r="V4894" t="s">
        <v>13610</v>
      </c>
      <c r="W4894" t="s">
        <v>18442</v>
      </c>
      <c r="X4894">
        <v>10</v>
      </c>
      <c r="Y4894" t="s">
        <v>25015</v>
      </c>
      <c r="Z4894" t="s">
        <v>31749</v>
      </c>
      <c r="AA4894">
        <v>0.65398986759403999</v>
      </c>
      <c r="AB4894" t="str">
        <f>HYPERLINK("Melting_Curves/meltCurve_Q92688_2_ANP32B.pdf", "Melting_Curves/meltCurve_Q92688_2_ANP32B.pdf")</f>
        <v>Melting_Curves/meltCurve_Q92688_2_ANP32B.pdf</v>
      </c>
    </row>
    <row r="4895" spans="1:28" x14ac:dyDescent="0.25">
      <c r="A4895" t="s">
        <v>4899</v>
      </c>
      <c r="B4895">
        <v>0.995954080203443</v>
      </c>
      <c r="C4895">
        <v>0.99043848265157897</v>
      </c>
      <c r="D4895">
        <v>0.89054453198133698</v>
      </c>
      <c r="E4895">
        <v>0.89631449219736703</v>
      </c>
      <c r="F4895">
        <v>0.61394577284735896</v>
      </c>
      <c r="G4895">
        <v>0.426808427789932</v>
      </c>
      <c r="H4895">
        <v>0.34321672878771903</v>
      </c>
      <c r="I4895">
        <v>0.38650275232715697</v>
      </c>
      <c r="J4895">
        <v>0.47169132053285201</v>
      </c>
      <c r="K4895">
        <v>0.418584848777735</v>
      </c>
      <c r="L4895">
        <v>1811.5359890586799</v>
      </c>
      <c r="M4895">
        <v>34.785781617239202</v>
      </c>
      <c r="N4895">
        <v>54.6544639789415</v>
      </c>
      <c r="O4895">
        <v>51.905698323232002</v>
      </c>
      <c r="P4895">
        <v>-0.100013327471817</v>
      </c>
      <c r="Q4895">
        <v>0.40306146430859702</v>
      </c>
      <c r="R4895">
        <v>0.96911995426803399</v>
      </c>
      <c r="S4895" t="s">
        <v>11701</v>
      </c>
      <c r="T4895" t="s">
        <v>13610</v>
      </c>
      <c r="U4895" t="s">
        <v>13610</v>
      </c>
      <c r="V4895" t="s">
        <v>13610</v>
      </c>
      <c r="W4895" t="s">
        <v>18443</v>
      </c>
      <c r="X4895">
        <v>5</v>
      </c>
      <c r="Y4895" t="s">
        <v>25016</v>
      </c>
      <c r="Z4895" t="s">
        <v>31750</v>
      </c>
      <c r="AA4895">
        <v>0.64621005563449097</v>
      </c>
      <c r="AB4895" t="str">
        <f>HYPERLINK("Melting_Curves/meltCurve_Q92692_PVRL2.pdf", "Melting_Curves/meltCurve_Q92692_PVRL2.pdf")</f>
        <v>Melting_Curves/meltCurve_Q92692_PVRL2.pdf</v>
      </c>
    </row>
    <row r="4896" spans="1:28" x14ac:dyDescent="0.25">
      <c r="A4896" t="s">
        <v>4900</v>
      </c>
      <c r="B4896">
        <v>0.995954080203443</v>
      </c>
      <c r="C4896">
        <v>1.0245609056404701</v>
      </c>
      <c r="D4896">
        <v>0.99422026195416102</v>
      </c>
      <c r="E4896">
        <v>0.710415891934295</v>
      </c>
      <c r="F4896">
        <v>0.23588427018033101</v>
      </c>
      <c r="G4896">
        <v>0.118755646172268</v>
      </c>
      <c r="H4896">
        <v>7.6406607853931899E-2</v>
      </c>
      <c r="I4896">
        <v>6.3467637517511694E-2</v>
      </c>
      <c r="J4896">
        <v>6.8641278922965093E-2</v>
      </c>
      <c r="K4896">
        <v>6.4471356106153593E-2</v>
      </c>
      <c r="L4896">
        <v>2028.2759074584001</v>
      </c>
      <c r="M4896">
        <v>39.784376419936997</v>
      </c>
      <c r="N4896">
        <v>51.189027395839503</v>
      </c>
      <c r="O4896">
        <v>50.853419661502997</v>
      </c>
      <c r="P4896">
        <v>-0.181032008993851</v>
      </c>
      <c r="Q4896">
        <v>7.4402760803168697E-2</v>
      </c>
      <c r="R4896">
        <v>0.99889063668661005</v>
      </c>
      <c r="S4896" t="s">
        <v>11702</v>
      </c>
      <c r="T4896" t="s">
        <v>13610</v>
      </c>
      <c r="U4896" t="s">
        <v>13610</v>
      </c>
      <c r="V4896" t="s">
        <v>13610</v>
      </c>
      <c r="W4896" t="s">
        <v>18444</v>
      </c>
      <c r="X4896">
        <v>25</v>
      </c>
      <c r="Y4896" t="s">
        <v>25017</v>
      </c>
      <c r="Z4896" t="s">
        <v>31751</v>
      </c>
      <c r="AA4896">
        <v>0.41652172282874639</v>
      </c>
      <c r="AB4896" t="str">
        <f>HYPERLINK("Melting_Curves/meltCurve_Q92696_RABGGTA.pdf", "Melting_Curves/meltCurve_Q92696_RABGGTA.pdf")</f>
        <v>Melting_Curves/meltCurve_Q92696_RABGGTA.pdf</v>
      </c>
    </row>
    <row r="4897" spans="1:28" x14ac:dyDescent="0.25">
      <c r="A4897" t="s">
        <v>4901</v>
      </c>
      <c r="B4897">
        <v>0.995954080203443</v>
      </c>
      <c r="C4897">
        <v>1.06743376913888</v>
      </c>
      <c r="D4897">
        <v>0.98768405740763099</v>
      </c>
      <c r="E4897">
        <v>0.98459799338371301</v>
      </c>
      <c r="F4897">
        <v>0.77742116188778598</v>
      </c>
      <c r="G4897">
        <v>0.66216911212156404</v>
      </c>
      <c r="H4897">
        <v>0.53214175540976905</v>
      </c>
      <c r="I4897">
        <v>0.55262419973883503</v>
      </c>
      <c r="J4897">
        <v>0.54470992138892105</v>
      </c>
      <c r="K4897">
        <v>0.401581351128178</v>
      </c>
      <c r="L4897">
        <v>1041.74285229934</v>
      </c>
      <c r="M4897">
        <v>18.9604154336125</v>
      </c>
      <c r="N4897">
        <v>65.259747088628899</v>
      </c>
      <c r="O4897">
        <v>54.342805897953397</v>
      </c>
      <c r="P4897">
        <v>-4.5791855417779602E-2</v>
      </c>
      <c r="Q4897">
        <v>0.47504146516776802</v>
      </c>
      <c r="R4897">
        <v>0.95872362900211205</v>
      </c>
      <c r="S4897" t="s">
        <v>11703</v>
      </c>
      <c r="T4897" t="s">
        <v>13610</v>
      </c>
      <c r="U4897" t="s">
        <v>13610</v>
      </c>
      <c r="V4897" t="s">
        <v>13610</v>
      </c>
      <c r="W4897" t="s">
        <v>18445</v>
      </c>
      <c r="X4897">
        <v>14</v>
      </c>
      <c r="Y4897" t="s">
        <v>25018</v>
      </c>
      <c r="Z4897" t="s">
        <v>31752</v>
      </c>
      <c r="AA4897">
        <v>0.74409448263041778</v>
      </c>
      <c r="AB4897" t="str">
        <f>HYPERLINK("Melting_Curves/meltCurve_Q92734_2_TFG.pdf", "Melting_Curves/meltCurve_Q92734_2_TFG.pdf")</f>
        <v>Melting_Curves/meltCurve_Q92734_2_TFG.pdf</v>
      </c>
    </row>
    <row r="4898" spans="1:28" x14ac:dyDescent="0.25">
      <c r="A4898" t="s">
        <v>4902</v>
      </c>
      <c r="B4898">
        <v>0.995954080203443</v>
      </c>
      <c r="C4898">
        <v>1.1781345813111399</v>
      </c>
      <c r="D4898">
        <v>1.05833929268711</v>
      </c>
      <c r="E4898">
        <v>1.13244552704392</v>
      </c>
      <c r="F4898">
        <v>0.85899736062006005</v>
      </c>
      <c r="G4898">
        <v>0.612143845903656</v>
      </c>
      <c r="H4898">
        <v>0.30328004918008999</v>
      </c>
      <c r="I4898">
        <v>0.17324930933853999</v>
      </c>
      <c r="J4898">
        <v>0.17865255056430501</v>
      </c>
      <c r="K4898">
        <v>0.145642173505871</v>
      </c>
      <c r="L4898">
        <v>1534.9579452709099</v>
      </c>
      <c r="M4898">
        <v>26.762567807329301</v>
      </c>
      <c r="N4898">
        <v>58.098890250016296</v>
      </c>
      <c r="O4898">
        <v>57.037296671591903</v>
      </c>
      <c r="P4898">
        <v>-0.10028124495131401</v>
      </c>
      <c r="Q4898">
        <v>0.14511754111716799</v>
      </c>
      <c r="R4898">
        <v>0.96303799676898405</v>
      </c>
      <c r="S4898" t="s">
        <v>11704</v>
      </c>
      <c r="T4898" t="s">
        <v>13610</v>
      </c>
      <c r="U4898" t="s">
        <v>13610</v>
      </c>
      <c r="V4898" t="s">
        <v>13610</v>
      </c>
      <c r="W4898" t="s">
        <v>18446</v>
      </c>
      <c r="X4898">
        <v>10</v>
      </c>
      <c r="Y4898" t="s">
        <v>25019</v>
      </c>
      <c r="Z4898" t="s">
        <v>31753</v>
      </c>
      <c r="AA4898">
        <v>0.64651913241407177</v>
      </c>
      <c r="AB4898" t="str">
        <f>HYPERLINK("Melting_Curves/meltCurve_Q92747_ARPC1A.pdf", "Melting_Curves/meltCurve_Q92747_ARPC1A.pdf")</f>
        <v>Melting_Curves/meltCurve_Q92747_ARPC1A.pdf</v>
      </c>
    </row>
    <row r="4899" spans="1:28" x14ac:dyDescent="0.25">
      <c r="A4899" t="s">
        <v>4903</v>
      </c>
      <c r="B4899">
        <v>0.995954080203443</v>
      </c>
      <c r="C4899">
        <v>0.95085684693773798</v>
      </c>
      <c r="D4899">
        <v>0.87861185181645196</v>
      </c>
      <c r="E4899">
        <v>0.83639406774848302</v>
      </c>
      <c r="F4899">
        <v>0.68123771143696998</v>
      </c>
      <c r="G4899">
        <v>0.48203384750033801</v>
      </c>
      <c r="H4899">
        <v>0.41014392039534098</v>
      </c>
      <c r="I4899">
        <v>0.48306446376376699</v>
      </c>
      <c r="J4899">
        <v>0.46310851445106399</v>
      </c>
      <c r="K4899">
        <v>0.52149641417228898</v>
      </c>
      <c r="L4899">
        <v>988.80908996557196</v>
      </c>
      <c r="M4899">
        <v>19.2100827799086</v>
      </c>
      <c r="N4899">
        <v>58.770399590312998</v>
      </c>
      <c r="O4899">
        <v>50.9253792427712</v>
      </c>
      <c r="P4899">
        <v>-5.1496147797562002E-2</v>
      </c>
      <c r="Q4899">
        <v>0.45396158021281402</v>
      </c>
      <c r="R4899">
        <v>0.95704391637594599</v>
      </c>
      <c r="S4899" t="s">
        <v>11705</v>
      </c>
      <c r="T4899" t="s">
        <v>13610</v>
      </c>
      <c r="U4899" t="s">
        <v>13610</v>
      </c>
      <c r="V4899" t="s">
        <v>13610</v>
      </c>
      <c r="W4899" t="s">
        <v>18447</v>
      </c>
      <c r="X4899">
        <v>9</v>
      </c>
      <c r="Y4899" t="s">
        <v>25020</v>
      </c>
      <c r="Z4899" t="s">
        <v>31754</v>
      </c>
      <c r="AA4899">
        <v>0.67093967834498147</v>
      </c>
      <c r="AB4899" t="str">
        <f>HYPERLINK("Melting_Curves/meltCurve_Q92750_TAF4B.pdf", "Melting_Curves/meltCurve_Q92750_TAF4B.pdf")</f>
        <v>Melting_Curves/meltCurve_Q92750_TAF4B.pdf</v>
      </c>
    </row>
    <row r="4900" spans="1:28" x14ac:dyDescent="0.25">
      <c r="A4900" t="s">
        <v>4904</v>
      </c>
      <c r="B4900">
        <v>0.995954080203443</v>
      </c>
      <c r="C4900">
        <v>0.73585016341194198</v>
      </c>
      <c r="D4900">
        <v>0.41889953395267698</v>
      </c>
      <c r="E4900">
        <v>0.24836475479522099</v>
      </c>
      <c r="F4900">
        <v>0.11540067104002601</v>
      </c>
      <c r="G4900">
        <v>5.8338833098539697E-2</v>
      </c>
      <c r="H4900">
        <v>4.0497017871192399E-2</v>
      </c>
      <c r="I4900">
        <v>3.3744000572207701E-2</v>
      </c>
      <c r="J4900">
        <v>3.6613507922305902E-2</v>
      </c>
      <c r="K4900">
        <v>3.66373381220335E-2</v>
      </c>
      <c r="L4900">
        <v>820.70287941562003</v>
      </c>
      <c r="M4900">
        <v>18.084810762618201</v>
      </c>
      <c r="N4900">
        <v>45.589296867979002</v>
      </c>
      <c r="O4900">
        <v>44.836844131602497</v>
      </c>
      <c r="P4900">
        <v>-9.6838933869240307E-2</v>
      </c>
      <c r="Q4900">
        <v>3.9693601842984198E-2</v>
      </c>
      <c r="R4900">
        <v>0.98955106560087802</v>
      </c>
      <c r="S4900" t="s">
        <v>11706</v>
      </c>
      <c r="T4900" t="s">
        <v>13610</v>
      </c>
      <c r="U4900" t="s">
        <v>13610</v>
      </c>
      <c r="V4900" t="s">
        <v>13610</v>
      </c>
      <c r="W4900" t="s">
        <v>18448</v>
      </c>
      <c r="X4900">
        <v>9</v>
      </c>
      <c r="Y4900" t="s">
        <v>25021</v>
      </c>
      <c r="Z4900" t="s">
        <v>31755</v>
      </c>
      <c r="AA4900">
        <v>0.23162027130188539</v>
      </c>
      <c r="AB4900" t="str">
        <f>HYPERLINK("Melting_Curves/meltCurve_Q92759_GTF2H4.pdf", "Melting_Curves/meltCurve_Q92759_GTF2H4.pdf")</f>
        <v>Melting_Curves/meltCurve_Q92759_GTF2H4.pdf</v>
      </c>
    </row>
    <row r="4901" spans="1:28" x14ac:dyDescent="0.25">
      <c r="A4901" t="s">
        <v>4905</v>
      </c>
      <c r="B4901">
        <v>0.995954080203443</v>
      </c>
      <c r="C4901">
        <v>0.930063914449617</v>
      </c>
      <c r="D4901">
        <v>1.02815229173599</v>
      </c>
      <c r="E4901">
        <v>0.906467729572347</v>
      </c>
      <c r="F4901">
        <v>0.79412951743169602</v>
      </c>
      <c r="G4901">
        <v>0.48728167716738302</v>
      </c>
      <c r="H4901">
        <v>0.40993304195501801</v>
      </c>
      <c r="I4901">
        <v>0.46566029104969098</v>
      </c>
      <c r="J4901">
        <v>0.57200793013976903</v>
      </c>
      <c r="K4901">
        <v>0.53585342236718403</v>
      </c>
      <c r="L4901">
        <v>2140.4690673415498</v>
      </c>
      <c r="M4901">
        <v>40.1970826732516</v>
      </c>
      <c r="N4901">
        <v>58.7924929495695</v>
      </c>
      <c r="O4901">
        <v>53.118083938170201</v>
      </c>
      <c r="P4901">
        <v>-9.6731501546732906E-2</v>
      </c>
      <c r="Q4901">
        <v>0.48870104895917799</v>
      </c>
      <c r="R4901">
        <v>0.947729233317256</v>
      </c>
      <c r="S4901" t="s">
        <v>11707</v>
      </c>
      <c r="T4901" t="s">
        <v>13610</v>
      </c>
      <c r="U4901" t="s">
        <v>13610</v>
      </c>
      <c r="V4901" t="s">
        <v>13610</v>
      </c>
      <c r="W4901" t="s">
        <v>18449</v>
      </c>
      <c r="X4901">
        <v>31</v>
      </c>
      <c r="Y4901" t="s">
        <v>25022</v>
      </c>
      <c r="Z4901" t="s">
        <v>31756</v>
      </c>
      <c r="AA4901">
        <v>0.71637507192320882</v>
      </c>
      <c r="AB4901" t="str">
        <f>HYPERLINK("Melting_Curves/meltCurve_Q92766_RREB1.pdf", "Melting_Curves/meltCurve_Q92766_RREB1.pdf")</f>
        <v>Melting_Curves/meltCurve_Q92766_RREB1.pdf</v>
      </c>
    </row>
    <row r="4902" spans="1:28" x14ac:dyDescent="0.25">
      <c r="A4902" t="s">
        <v>4906</v>
      </c>
      <c r="B4902">
        <v>0.995954080203443</v>
      </c>
      <c r="C4902">
        <v>0.86060796151188701</v>
      </c>
      <c r="D4902">
        <v>0.70879820377242597</v>
      </c>
      <c r="E4902">
        <v>0.70752739211455695</v>
      </c>
      <c r="F4902">
        <v>0.34992377317396101</v>
      </c>
      <c r="G4902">
        <v>0.13714840492698599</v>
      </c>
      <c r="H4902">
        <v>9.0817591394090999E-2</v>
      </c>
      <c r="I4902">
        <v>8.1944281849671799E-2</v>
      </c>
      <c r="J4902">
        <v>9.1073390570073104E-2</v>
      </c>
      <c r="K4902">
        <v>7.7607334523728894E-2</v>
      </c>
      <c r="L4902">
        <v>653.71775675048104</v>
      </c>
      <c r="M4902">
        <v>12.8770125637171</v>
      </c>
      <c r="N4902">
        <v>50.917114765772801</v>
      </c>
      <c r="O4902">
        <v>49.588691511369397</v>
      </c>
      <c r="P4902">
        <v>-6.3715791959082099E-2</v>
      </c>
      <c r="Q4902">
        <v>1.8715355472579399E-2</v>
      </c>
      <c r="R4902">
        <v>0.96500254618843195</v>
      </c>
      <c r="S4902" t="s">
        <v>11708</v>
      </c>
      <c r="T4902" t="s">
        <v>13610</v>
      </c>
      <c r="U4902" t="s">
        <v>13610</v>
      </c>
      <c r="V4902" t="s">
        <v>13610</v>
      </c>
      <c r="W4902" t="s">
        <v>18450</v>
      </c>
      <c r="X4902">
        <v>17</v>
      </c>
      <c r="Y4902" t="s">
        <v>25023</v>
      </c>
      <c r="Z4902" t="s">
        <v>31757</v>
      </c>
      <c r="AA4902">
        <v>0.40007618255651778</v>
      </c>
      <c r="AB4902" t="str">
        <f>HYPERLINK("Melting_Curves/meltCurve_Q92769_HDAC2.pdf", "Melting_Curves/meltCurve_Q92769_HDAC2.pdf")</f>
        <v>Melting_Curves/meltCurve_Q92769_HDAC2.pdf</v>
      </c>
    </row>
    <row r="4903" spans="1:28" x14ac:dyDescent="0.25">
      <c r="A4903" t="s">
        <v>4907</v>
      </c>
      <c r="B4903">
        <v>0.995954080203443</v>
      </c>
      <c r="C4903">
        <v>0.87899459677613101</v>
      </c>
      <c r="D4903">
        <v>0.82999558415171504</v>
      </c>
      <c r="E4903">
        <v>0.89453005526298401</v>
      </c>
      <c r="F4903">
        <v>0.755968514297921</v>
      </c>
      <c r="G4903">
        <v>0.51958089764564996</v>
      </c>
      <c r="H4903">
        <v>0.34196074967950502</v>
      </c>
      <c r="I4903">
        <v>0.27971183830045698</v>
      </c>
      <c r="J4903">
        <v>0.273902127805561</v>
      </c>
      <c r="K4903">
        <v>0.25603997072644902</v>
      </c>
      <c r="L4903">
        <v>650.60836288112205</v>
      </c>
      <c r="M4903">
        <v>11.6292563043454</v>
      </c>
      <c r="N4903">
        <v>57.713931810612998</v>
      </c>
      <c r="O4903">
        <v>54.368312425577997</v>
      </c>
      <c r="P4903">
        <v>-4.5473212361229698E-2</v>
      </c>
      <c r="Q4903">
        <v>0.14985827245172401</v>
      </c>
      <c r="R4903">
        <v>0.960815931766831</v>
      </c>
      <c r="S4903" t="s">
        <v>11709</v>
      </c>
      <c r="T4903" t="s">
        <v>13610</v>
      </c>
      <c r="U4903" t="s">
        <v>13610</v>
      </c>
      <c r="V4903" t="s">
        <v>13610</v>
      </c>
      <c r="W4903" t="s">
        <v>18451</v>
      </c>
      <c r="X4903">
        <v>13</v>
      </c>
      <c r="Y4903" t="s">
        <v>25024</v>
      </c>
      <c r="Z4903" t="s">
        <v>31758</v>
      </c>
      <c r="AA4903">
        <v>0.61941964667453175</v>
      </c>
      <c r="AB4903" t="str">
        <f>HYPERLINK("Melting_Curves/meltCurve_Q92783_2_STAM.pdf", "Melting_Curves/meltCurve_Q92783_2_STAM.pdf")</f>
        <v>Melting_Curves/meltCurve_Q92783_2_STAM.pdf</v>
      </c>
    </row>
    <row r="4904" spans="1:28" x14ac:dyDescent="0.25">
      <c r="A4904" t="s">
        <v>4908</v>
      </c>
      <c r="B4904">
        <v>0.995954080203443</v>
      </c>
      <c r="C4904">
        <v>0.80279174259293995</v>
      </c>
      <c r="D4904">
        <v>0.56909251659169802</v>
      </c>
      <c r="E4904">
        <v>0.46304080236895101</v>
      </c>
      <c r="F4904">
        <v>0.32479590032125899</v>
      </c>
      <c r="G4904">
        <v>0.227978350593535</v>
      </c>
      <c r="H4904">
        <v>0.17546040839879601</v>
      </c>
      <c r="I4904">
        <v>0.190063069566064</v>
      </c>
      <c r="J4904">
        <v>0.17742676634055299</v>
      </c>
      <c r="K4904">
        <v>0.222331418775331</v>
      </c>
      <c r="L4904">
        <v>652.50888214543295</v>
      </c>
      <c r="M4904">
        <v>13.9923506568134</v>
      </c>
      <c r="N4904">
        <v>48.1655237459902</v>
      </c>
      <c r="O4904">
        <v>45.711734953385097</v>
      </c>
      <c r="P4904">
        <v>-6.2787073890903697E-2</v>
      </c>
      <c r="Q4904">
        <v>0.17963015220114301</v>
      </c>
      <c r="R4904">
        <v>0.98107514134444995</v>
      </c>
      <c r="S4904" t="s">
        <v>11710</v>
      </c>
      <c r="T4904" t="s">
        <v>13610</v>
      </c>
      <c r="U4904" t="s">
        <v>13610</v>
      </c>
      <c r="V4904" t="s">
        <v>13610</v>
      </c>
      <c r="W4904" t="s">
        <v>18452</v>
      </c>
      <c r="X4904">
        <v>8</v>
      </c>
      <c r="Y4904" t="s">
        <v>25025</v>
      </c>
      <c r="Z4904" t="s">
        <v>31759</v>
      </c>
      <c r="AA4904">
        <v>0.38734807425421469</v>
      </c>
      <c r="AB4904" t="str">
        <f>HYPERLINK("Melting_Curves/meltCurve_Q92784_DPF3.pdf", "Melting_Curves/meltCurve_Q92784_DPF3.pdf")</f>
        <v>Melting_Curves/meltCurve_Q92784_DPF3.pdf</v>
      </c>
    </row>
    <row r="4905" spans="1:28" x14ac:dyDescent="0.25">
      <c r="A4905" t="s">
        <v>4909</v>
      </c>
      <c r="B4905">
        <v>0.995954080203443</v>
      </c>
      <c r="C4905">
        <v>0.87349262169750097</v>
      </c>
      <c r="D4905">
        <v>0.75355575431472199</v>
      </c>
      <c r="E4905">
        <v>0.61745650799278695</v>
      </c>
      <c r="F4905">
        <v>0.45224624096232402</v>
      </c>
      <c r="G4905">
        <v>0.30978337716862198</v>
      </c>
      <c r="H4905">
        <v>0.219848320088844</v>
      </c>
      <c r="I4905">
        <v>0.23559404442002499</v>
      </c>
      <c r="J4905">
        <v>0.27260765724793401</v>
      </c>
      <c r="K4905">
        <v>0.27796393144624998</v>
      </c>
      <c r="L4905">
        <v>648.65203729147299</v>
      </c>
      <c r="M4905">
        <v>13.1646079832871</v>
      </c>
      <c r="N4905">
        <v>51.544289532725102</v>
      </c>
      <c r="O4905">
        <v>48.177070891782499</v>
      </c>
      <c r="P4905">
        <v>-5.3285487645780699E-2</v>
      </c>
      <c r="Q4905">
        <v>0.220118814236931</v>
      </c>
      <c r="R4905">
        <v>0.98456549892655898</v>
      </c>
      <c r="S4905" t="s">
        <v>11711</v>
      </c>
      <c r="T4905" t="s">
        <v>13610</v>
      </c>
      <c r="U4905" t="s">
        <v>13610</v>
      </c>
      <c r="V4905" t="s">
        <v>13610</v>
      </c>
      <c r="W4905" t="s">
        <v>18453</v>
      </c>
      <c r="X4905">
        <v>16</v>
      </c>
      <c r="Y4905" t="s">
        <v>25026</v>
      </c>
      <c r="Z4905" t="s">
        <v>31760</v>
      </c>
      <c r="AA4905">
        <v>0.48526055412085328</v>
      </c>
      <c r="AB4905" t="str">
        <f>HYPERLINK("Melting_Curves/meltCurve_Q92785_DPF2.pdf", "Melting_Curves/meltCurve_Q92785_DPF2.pdf")</f>
        <v>Melting_Curves/meltCurve_Q92785_DPF2.pdf</v>
      </c>
    </row>
    <row r="4906" spans="1:28" x14ac:dyDescent="0.25">
      <c r="A4906" t="s">
        <v>4910</v>
      </c>
      <c r="B4906">
        <v>0.995954080203443</v>
      </c>
      <c r="C4906">
        <v>0.98385482798637502</v>
      </c>
      <c r="D4906">
        <v>0.99025259653426301</v>
      </c>
      <c r="E4906">
        <v>0.92949156468095595</v>
      </c>
      <c r="F4906">
        <v>0.70789750662387596</v>
      </c>
      <c r="G4906">
        <v>0.27784614161136401</v>
      </c>
      <c r="H4906">
        <v>0.20000662362972699</v>
      </c>
      <c r="I4906">
        <v>0.19072701436376999</v>
      </c>
      <c r="J4906">
        <v>0.21972888262485599</v>
      </c>
      <c r="K4906">
        <v>0.18988269645101299</v>
      </c>
      <c r="L4906">
        <v>1936.83480575045</v>
      </c>
      <c r="M4906">
        <v>36.031087226469701</v>
      </c>
      <c r="N4906">
        <v>54.502740479363503</v>
      </c>
      <c r="O4906">
        <v>53.589774197306198</v>
      </c>
      <c r="P4906">
        <v>-0.135294167485844</v>
      </c>
      <c r="Q4906">
        <v>0.19509943544356401</v>
      </c>
      <c r="R4906">
        <v>0.99878280282475396</v>
      </c>
      <c r="S4906" t="s">
        <v>11712</v>
      </c>
      <c r="T4906" t="s">
        <v>13610</v>
      </c>
      <c r="U4906" t="s">
        <v>13610</v>
      </c>
      <c r="V4906" t="s">
        <v>13610</v>
      </c>
      <c r="W4906" t="s">
        <v>18454</v>
      </c>
      <c r="X4906">
        <v>33</v>
      </c>
      <c r="Y4906" t="s">
        <v>25027</v>
      </c>
      <c r="Z4906" t="s">
        <v>31761</v>
      </c>
      <c r="AA4906">
        <v>0.56781180651063301</v>
      </c>
      <c r="AB4906" t="str">
        <f>HYPERLINK("Melting_Curves/meltCurve_Q92793_CREBBP.pdf", "Melting_Curves/meltCurve_Q92793_CREBBP.pdf")</f>
        <v>Melting_Curves/meltCurve_Q92793_CREBBP.pdf</v>
      </c>
    </row>
    <row r="4907" spans="1:28" x14ac:dyDescent="0.25">
      <c r="A4907" t="s">
        <v>4911</v>
      </c>
      <c r="B4907">
        <v>0.995954080203443</v>
      </c>
      <c r="C4907">
        <v>1.0821807119122899</v>
      </c>
      <c r="D4907">
        <v>1.04766892605977</v>
      </c>
      <c r="E4907">
        <v>1.0056827789945799</v>
      </c>
      <c r="F4907">
        <v>0.93056108138027804</v>
      </c>
      <c r="G4907">
        <v>0.73608472222631605</v>
      </c>
      <c r="H4907">
        <v>0.64234726224713801</v>
      </c>
      <c r="I4907">
        <v>0.74852400887007298</v>
      </c>
      <c r="J4907">
        <v>0.28878056056773999</v>
      </c>
      <c r="K4907">
        <v>0.87106507059409899</v>
      </c>
      <c r="L4907">
        <v>1888.2964158079701</v>
      </c>
      <c r="M4907">
        <v>34.076725678666499</v>
      </c>
      <c r="O4907">
        <v>55.2232927348186</v>
      </c>
      <c r="P4907">
        <v>-5.6687322159246503E-2</v>
      </c>
      <c r="Q4907">
        <v>0.63254118382833102</v>
      </c>
      <c r="R4907">
        <v>0.62335129973257497</v>
      </c>
      <c r="S4907" t="s">
        <v>11713</v>
      </c>
      <c r="T4907" t="s">
        <v>13610</v>
      </c>
      <c r="U4907" t="s">
        <v>13610</v>
      </c>
      <c r="V4907" t="s">
        <v>13610</v>
      </c>
      <c r="W4907" t="s">
        <v>18455</v>
      </c>
      <c r="X4907">
        <v>6</v>
      </c>
      <c r="Y4907" t="s">
        <v>25028</v>
      </c>
      <c r="Z4907" t="s">
        <v>31762</v>
      </c>
      <c r="AA4907">
        <v>0.82324837683566054</v>
      </c>
      <c r="AB4907" t="str">
        <f>HYPERLINK("Melting_Curves/meltCurve_Q92794_KAT6A.pdf", "Melting_Curves/meltCurve_Q92794_KAT6A.pdf")</f>
        <v>Melting_Curves/meltCurve_Q92794_KAT6A.pdf</v>
      </c>
    </row>
    <row r="4908" spans="1:28" x14ac:dyDescent="0.25">
      <c r="A4908" t="s">
        <v>4912</v>
      </c>
      <c r="B4908">
        <v>0.995954080203443</v>
      </c>
      <c r="C4908">
        <v>1.0309203326304699</v>
      </c>
      <c r="D4908">
        <v>0.98211371120221003</v>
      </c>
      <c r="E4908">
        <v>0.80191639917304902</v>
      </c>
      <c r="F4908">
        <v>0.491671797975756</v>
      </c>
      <c r="G4908">
        <v>0.26992161108006901</v>
      </c>
      <c r="H4908">
        <v>0.172916454529391</v>
      </c>
      <c r="I4908">
        <v>0.16241896711435799</v>
      </c>
      <c r="J4908">
        <v>0.169169782055656</v>
      </c>
      <c r="K4908">
        <v>0.160765212463367</v>
      </c>
      <c r="L4908">
        <v>1345.5460533073599</v>
      </c>
      <c r="M4908">
        <v>25.763809244667701</v>
      </c>
      <c r="N4908">
        <v>53.031609262397097</v>
      </c>
      <c r="O4908">
        <v>51.914609763109702</v>
      </c>
      <c r="P4908">
        <v>-0.103982216217316</v>
      </c>
      <c r="Q4908">
        <v>0.16190471635039799</v>
      </c>
      <c r="R4908">
        <v>0.99853750558832</v>
      </c>
      <c r="S4908" t="s">
        <v>11714</v>
      </c>
      <c r="T4908" t="s">
        <v>13610</v>
      </c>
      <c r="U4908" t="s">
        <v>13610</v>
      </c>
      <c r="V4908" t="s">
        <v>13610</v>
      </c>
      <c r="W4908" t="s">
        <v>18456</v>
      </c>
      <c r="X4908">
        <v>7</v>
      </c>
      <c r="Y4908" t="s">
        <v>25029</v>
      </c>
      <c r="Z4908" t="s">
        <v>31763</v>
      </c>
      <c r="AA4908">
        <v>0.51069895607364801</v>
      </c>
      <c r="AB4908" t="str">
        <f>HYPERLINK("Melting_Curves/meltCurve_Q92796_3_DLG3.pdf", "Melting_Curves/meltCurve_Q92796_3_DLG3.pdf")</f>
        <v>Melting_Curves/meltCurve_Q92796_3_DLG3.pdf</v>
      </c>
    </row>
    <row r="4909" spans="1:28" x14ac:dyDescent="0.25">
      <c r="A4909" t="s">
        <v>4913</v>
      </c>
      <c r="B4909">
        <v>0.995954080203443</v>
      </c>
      <c r="C4909">
        <v>0.87421242863041404</v>
      </c>
      <c r="D4909">
        <v>0.65869607923867401</v>
      </c>
      <c r="E4909">
        <v>0.37488736961855501</v>
      </c>
      <c r="F4909">
        <v>0.23021915066551801</v>
      </c>
      <c r="G4909">
        <v>0.15206254091222501</v>
      </c>
      <c r="H4909">
        <v>0.120805910403139</v>
      </c>
      <c r="I4909">
        <v>0.130014960069219</v>
      </c>
      <c r="J4909">
        <v>0.14416009410910299</v>
      </c>
      <c r="K4909">
        <v>0.14536557357307001</v>
      </c>
      <c r="L4909">
        <v>864.80129375712704</v>
      </c>
      <c r="M4909">
        <v>18.311065560696399</v>
      </c>
      <c r="N4909">
        <v>47.998115399076298</v>
      </c>
      <c r="O4909">
        <v>46.675871391510398</v>
      </c>
      <c r="P4909">
        <v>-8.5600772265881003E-2</v>
      </c>
      <c r="Q4909">
        <v>0.12723672546315801</v>
      </c>
      <c r="R4909">
        <v>0.99795788982163003</v>
      </c>
      <c r="S4909" t="s">
        <v>11715</v>
      </c>
      <c r="T4909" t="s">
        <v>13610</v>
      </c>
      <c r="U4909" t="s">
        <v>13610</v>
      </c>
      <c r="V4909" t="s">
        <v>13610</v>
      </c>
      <c r="W4909" t="s">
        <v>18457</v>
      </c>
      <c r="X4909">
        <v>38</v>
      </c>
      <c r="Y4909" t="s">
        <v>25030</v>
      </c>
      <c r="Z4909" t="s">
        <v>31764</v>
      </c>
      <c r="AA4909">
        <v>0.35287698653153732</v>
      </c>
      <c r="AB4909" t="str">
        <f>HYPERLINK("Melting_Curves/meltCurve_Q92797_SYMPK.pdf", "Melting_Curves/meltCurve_Q92797_SYMPK.pdf")</f>
        <v>Melting_Curves/meltCurve_Q92797_SYMPK.pdf</v>
      </c>
    </row>
    <row r="4910" spans="1:28" x14ac:dyDescent="0.25">
      <c r="A4910" t="s">
        <v>4914</v>
      </c>
      <c r="B4910">
        <v>0.995954080203443</v>
      </c>
      <c r="C4910">
        <v>1.04074009364475</v>
      </c>
      <c r="D4910">
        <v>0.98755031549058203</v>
      </c>
      <c r="E4910">
        <v>0.94718776546799399</v>
      </c>
      <c r="F4910">
        <v>0.90323500491907205</v>
      </c>
      <c r="G4910">
        <v>0.64958401461043702</v>
      </c>
      <c r="H4910">
        <v>0.56816810663524298</v>
      </c>
      <c r="I4910">
        <v>0.68920021006770504</v>
      </c>
      <c r="J4910">
        <v>0.79751293454338101</v>
      </c>
      <c r="K4910">
        <v>0.87926296526370495</v>
      </c>
      <c r="L4910">
        <v>8908.7451977266501</v>
      </c>
      <c r="M4910">
        <v>167.43359072347201</v>
      </c>
      <c r="O4910">
        <v>53.200043859079599</v>
      </c>
      <c r="P4910">
        <v>-0.222867891919309</v>
      </c>
      <c r="Q4910">
        <v>0.71674545142838197</v>
      </c>
      <c r="R4910">
        <v>0.72705169119053004</v>
      </c>
      <c r="S4910" t="s">
        <v>11716</v>
      </c>
      <c r="T4910" t="s">
        <v>13610</v>
      </c>
      <c r="U4910" t="s">
        <v>13610</v>
      </c>
      <c r="V4910" t="s">
        <v>13610</v>
      </c>
      <c r="W4910" t="s">
        <v>18458</v>
      </c>
      <c r="X4910">
        <v>13</v>
      </c>
      <c r="Y4910" t="s">
        <v>25031</v>
      </c>
      <c r="Z4910" t="s">
        <v>31765</v>
      </c>
      <c r="AA4910">
        <v>0.84150851508942714</v>
      </c>
      <c r="AB4910" t="str">
        <f>HYPERLINK("Melting_Curves/meltCurve_Q92804_2_TAF15.pdf", "Melting_Curves/meltCurve_Q92804_2_TAF15.pdf")</f>
        <v>Melting_Curves/meltCurve_Q92804_2_TAF15.pdf</v>
      </c>
    </row>
    <row r="4911" spans="1:28" x14ac:dyDescent="0.25">
      <c r="A4911" t="s">
        <v>4915</v>
      </c>
      <c r="B4911">
        <v>0.995954080203443</v>
      </c>
      <c r="C4911">
        <v>0.93492224034408999</v>
      </c>
      <c r="D4911">
        <v>0.85455108632814702</v>
      </c>
      <c r="E4911">
        <v>0.66142584790328596</v>
      </c>
      <c r="F4911">
        <v>0.55051658320627395</v>
      </c>
      <c r="G4911">
        <v>0.403995231268932</v>
      </c>
      <c r="H4911">
        <v>0.31974079270189998</v>
      </c>
      <c r="I4911">
        <v>0.34937417901060902</v>
      </c>
      <c r="J4911">
        <v>0.41049376942528698</v>
      </c>
      <c r="K4911">
        <v>0.37661875944012901</v>
      </c>
      <c r="L4911">
        <v>805.53479827384001</v>
      </c>
      <c r="M4911">
        <v>16.2113349365295</v>
      </c>
      <c r="N4911">
        <v>53.668483830661003</v>
      </c>
      <c r="O4911">
        <v>48.951936543834698</v>
      </c>
      <c r="P4911">
        <v>-5.3844916972473102E-2</v>
      </c>
      <c r="Q4911">
        <v>0.34968523473337898</v>
      </c>
      <c r="R4911">
        <v>0.98579380712841402</v>
      </c>
      <c r="S4911" t="s">
        <v>11717</v>
      </c>
      <c r="T4911" t="s">
        <v>13610</v>
      </c>
      <c r="U4911" t="s">
        <v>13610</v>
      </c>
      <c r="V4911" t="s">
        <v>13610</v>
      </c>
      <c r="W4911" t="s">
        <v>18459</v>
      </c>
      <c r="X4911">
        <v>14</v>
      </c>
      <c r="Y4911" t="s">
        <v>25032</v>
      </c>
      <c r="Z4911" t="s">
        <v>31766</v>
      </c>
      <c r="AA4911">
        <v>0.57331263753778883</v>
      </c>
      <c r="AB4911" t="str">
        <f>HYPERLINK("Melting_Curves/meltCurve_Q92805_GOLGA1.pdf", "Melting_Curves/meltCurve_Q92805_GOLGA1.pdf")</f>
        <v>Melting_Curves/meltCurve_Q92805_GOLGA1.pdf</v>
      </c>
    </row>
    <row r="4912" spans="1:28" x14ac:dyDescent="0.25">
      <c r="A4912" t="s">
        <v>4916</v>
      </c>
      <c r="B4912">
        <v>0.995954080203443</v>
      </c>
      <c r="C4912">
        <v>1.05423774839641</v>
      </c>
      <c r="D4912">
        <v>1.0198361655972099</v>
      </c>
      <c r="E4912">
        <v>0.96491650726804801</v>
      </c>
      <c r="F4912">
        <v>0.81085248025228496</v>
      </c>
      <c r="G4912">
        <v>0.66793075548373204</v>
      </c>
      <c r="H4912">
        <v>0.497335280489139</v>
      </c>
      <c r="I4912">
        <v>0.38405628074846798</v>
      </c>
      <c r="J4912">
        <v>0.17312194113215801</v>
      </c>
      <c r="K4912">
        <v>9.3230843296859905E-2</v>
      </c>
      <c r="L4912">
        <v>801.75766012756196</v>
      </c>
      <c r="M4912">
        <v>13.2722363882627</v>
      </c>
      <c r="N4912">
        <v>60.408633342690997</v>
      </c>
      <c r="O4912">
        <v>59.086648674062602</v>
      </c>
      <c r="P4912">
        <v>-5.6164970002267202E-2</v>
      </c>
      <c r="Q4912">
        <v>0</v>
      </c>
      <c r="R4912">
        <v>0.98543986696351504</v>
      </c>
      <c r="S4912" t="s">
        <v>11718</v>
      </c>
      <c r="T4912" t="s">
        <v>13610</v>
      </c>
      <c r="U4912" t="s">
        <v>13610</v>
      </c>
      <c r="V4912" t="s">
        <v>13610</v>
      </c>
      <c r="W4912" t="s">
        <v>18460</v>
      </c>
      <c r="X4912">
        <v>12</v>
      </c>
      <c r="Y4912" t="s">
        <v>25033</v>
      </c>
      <c r="Z4912" t="s">
        <v>31767</v>
      </c>
      <c r="AA4912">
        <v>0.68299189062708598</v>
      </c>
      <c r="AB4912" t="str">
        <f>HYPERLINK("Melting_Curves/meltCurve_Q92820_GGH.pdf", "Melting_Curves/meltCurve_Q92820_GGH.pdf")</f>
        <v>Melting_Curves/meltCurve_Q92820_GGH.pdf</v>
      </c>
    </row>
    <row r="4913" spans="1:28" x14ac:dyDescent="0.25">
      <c r="A4913" t="s">
        <v>4917</v>
      </c>
      <c r="B4913">
        <v>0.995954080203443</v>
      </c>
      <c r="C4913">
        <v>0.86056308230874501</v>
      </c>
      <c r="D4913">
        <v>0.74089872575916105</v>
      </c>
      <c r="E4913">
        <v>0.61881710876924001</v>
      </c>
      <c r="F4913">
        <v>0.61906998958488502</v>
      </c>
      <c r="G4913">
        <v>0.39283384690205297</v>
      </c>
      <c r="H4913">
        <v>0.36037308171792198</v>
      </c>
      <c r="I4913">
        <v>0.36671706632910001</v>
      </c>
      <c r="J4913">
        <v>0.75553789364069102</v>
      </c>
      <c r="K4913">
        <v>0.43877702781461297</v>
      </c>
      <c r="L4913">
        <v>726.446145557514</v>
      </c>
      <c r="M4913">
        <v>15.6379365757138</v>
      </c>
      <c r="N4913">
        <v>56.476930230231403</v>
      </c>
      <c r="O4913">
        <v>45.714332085181397</v>
      </c>
      <c r="P4913">
        <v>-4.5429282275205998E-2</v>
      </c>
      <c r="Q4913">
        <v>0.46883245133970403</v>
      </c>
      <c r="R4913">
        <v>0.71544578990218</v>
      </c>
      <c r="S4913" t="s">
        <v>11719</v>
      </c>
      <c r="T4913" t="s">
        <v>13610</v>
      </c>
      <c r="U4913" t="s">
        <v>13610</v>
      </c>
      <c r="V4913" t="s">
        <v>13610</v>
      </c>
      <c r="W4913" t="s">
        <v>18461</v>
      </c>
      <c r="X4913">
        <v>3</v>
      </c>
      <c r="Y4913" t="s">
        <v>25034</v>
      </c>
      <c r="Z4913" t="s">
        <v>31768</v>
      </c>
      <c r="AA4913">
        <v>0.59682234775472431</v>
      </c>
      <c r="AB4913" t="str">
        <f>HYPERLINK("Melting_Curves/meltCurve_Q92828_CORO2A.pdf", "Melting_Curves/meltCurve_Q92828_CORO2A.pdf")</f>
        <v>Melting_Curves/meltCurve_Q92828_CORO2A.pdf</v>
      </c>
    </row>
    <row r="4914" spans="1:28" x14ac:dyDescent="0.25">
      <c r="A4914" t="s">
        <v>4918</v>
      </c>
      <c r="B4914">
        <v>0.995954080203443</v>
      </c>
      <c r="C4914">
        <v>0.69057113191594799</v>
      </c>
      <c r="D4914">
        <v>0.38776541858251301</v>
      </c>
      <c r="E4914">
        <v>0.27794837948405399</v>
      </c>
      <c r="F4914">
        <v>0.110992936891798</v>
      </c>
      <c r="G4914">
        <v>5.6757130733304302E-2</v>
      </c>
      <c r="H4914">
        <v>3.1162051522895098E-2</v>
      </c>
      <c r="I4914">
        <v>2.9326255007020598E-2</v>
      </c>
      <c r="J4914">
        <v>2.83319990144234E-2</v>
      </c>
      <c r="K4914">
        <v>3.1071694230438599E-2</v>
      </c>
      <c r="L4914">
        <v>758.55333965968305</v>
      </c>
      <c r="M4914">
        <v>16.785522513209798</v>
      </c>
      <c r="N4914">
        <v>45.3740293806948</v>
      </c>
      <c r="O4914">
        <v>44.564140005347703</v>
      </c>
      <c r="P4914">
        <v>-9.1087017341531101E-2</v>
      </c>
      <c r="Q4914">
        <v>3.2749585813898002E-2</v>
      </c>
      <c r="R4914">
        <v>0.97970605732202198</v>
      </c>
      <c r="S4914" t="s">
        <v>11720</v>
      </c>
      <c r="T4914" t="s">
        <v>13610</v>
      </c>
      <c r="U4914" t="s">
        <v>13610</v>
      </c>
      <c r="V4914" t="s">
        <v>13610</v>
      </c>
      <c r="W4914" t="s">
        <v>18462</v>
      </c>
      <c r="X4914">
        <v>2</v>
      </c>
      <c r="Y4914" t="s">
        <v>25035</v>
      </c>
      <c r="Z4914" t="s">
        <v>31769</v>
      </c>
      <c r="AA4914">
        <v>0.2240007795759677</v>
      </c>
      <c r="AB4914" t="str">
        <f>HYPERLINK("Melting_Curves/meltCurve_Q92830_KAT2A.pdf", "Melting_Curves/meltCurve_Q92830_KAT2A.pdf")</f>
        <v>Melting_Curves/meltCurve_Q92830_KAT2A.pdf</v>
      </c>
    </row>
    <row r="4915" spans="1:28" x14ac:dyDescent="0.25">
      <c r="A4915" t="s">
        <v>4919</v>
      </c>
      <c r="B4915">
        <v>0.995954080203443</v>
      </c>
      <c r="C4915">
        <v>1.00248780546162</v>
      </c>
      <c r="D4915">
        <v>1.0170101911926901</v>
      </c>
      <c r="E4915">
        <v>0.85341750824636498</v>
      </c>
      <c r="F4915">
        <v>0.64644200597062795</v>
      </c>
      <c r="G4915">
        <v>0.35522099226760401</v>
      </c>
      <c r="H4915">
        <v>0.27016629334527797</v>
      </c>
      <c r="I4915">
        <v>0.34282245912723602</v>
      </c>
      <c r="J4915">
        <v>0.38538013930536102</v>
      </c>
      <c r="K4915">
        <v>0.41485811902943098</v>
      </c>
      <c r="L4915">
        <v>1709.0341177534201</v>
      </c>
      <c r="M4915">
        <v>32.606449185562496</v>
      </c>
      <c r="N4915">
        <v>54.3808790869791</v>
      </c>
      <c r="O4915">
        <v>52.218023518743102</v>
      </c>
      <c r="P4915">
        <v>-0.102054076244444</v>
      </c>
      <c r="Q4915">
        <v>0.346259757649241</v>
      </c>
      <c r="R4915">
        <v>0.98031564076108102</v>
      </c>
      <c r="S4915" t="s">
        <v>11721</v>
      </c>
      <c r="T4915" t="s">
        <v>13610</v>
      </c>
      <c r="U4915" t="s">
        <v>13610</v>
      </c>
      <c r="V4915" t="s">
        <v>13610</v>
      </c>
      <c r="W4915" t="s">
        <v>18463</v>
      </c>
      <c r="X4915">
        <v>5</v>
      </c>
      <c r="Y4915" t="s">
        <v>25036</v>
      </c>
      <c r="Z4915" t="s">
        <v>31770</v>
      </c>
      <c r="AA4915">
        <v>0.62034077435771429</v>
      </c>
      <c r="AB4915" t="str">
        <f>HYPERLINK("Melting_Curves/meltCurve_Q92834_RPGR.pdf", "Melting_Curves/meltCurve_Q92834_RPGR.pdf")</f>
        <v>Melting_Curves/meltCurve_Q92834_RPGR.pdf</v>
      </c>
    </row>
    <row r="4916" spans="1:28" x14ac:dyDescent="0.25">
      <c r="A4916" t="s">
        <v>4920</v>
      </c>
      <c r="B4916">
        <v>0.995954080203443</v>
      </c>
      <c r="C4916">
        <v>1.0074077354044799</v>
      </c>
      <c r="D4916">
        <v>0.95171403110064101</v>
      </c>
      <c r="E4916">
        <v>0.73381740710749199</v>
      </c>
      <c r="F4916">
        <v>0.194772431396391</v>
      </c>
      <c r="G4916">
        <v>0.121626038440243</v>
      </c>
      <c r="H4916">
        <v>9.3463352161193503E-2</v>
      </c>
      <c r="I4916">
        <v>8.9694726269046496E-2</v>
      </c>
      <c r="J4916">
        <v>0.112282852720099</v>
      </c>
      <c r="K4916">
        <v>0.102054253546947</v>
      </c>
      <c r="L4916">
        <v>2617.1877323297199</v>
      </c>
      <c r="M4916">
        <v>51.494350267412102</v>
      </c>
      <c r="N4916">
        <v>51.052011075939703</v>
      </c>
      <c r="O4916">
        <v>50.748279079285098</v>
      </c>
      <c r="P4916">
        <v>-0.22769096078264101</v>
      </c>
      <c r="Q4916">
        <v>0.102432359365315</v>
      </c>
      <c r="R4916">
        <v>0.99834844555650903</v>
      </c>
      <c r="S4916" t="s">
        <v>11722</v>
      </c>
      <c r="T4916" t="s">
        <v>13610</v>
      </c>
      <c r="U4916" t="s">
        <v>13610</v>
      </c>
      <c r="V4916" t="s">
        <v>13610</v>
      </c>
      <c r="W4916" t="s">
        <v>18464</v>
      </c>
      <c r="X4916">
        <v>39</v>
      </c>
      <c r="Y4916" t="s">
        <v>25037</v>
      </c>
      <c r="Z4916" t="s">
        <v>31771</v>
      </c>
      <c r="AA4916">
        <v>0.42819387428158701</v>
      </c>
      <c r="AB4916" t="str">
        <f>HYPERLINK("Melting_Curves/meltCurve_Q92841_DDX17.pdf", "Melting_Curves/meltCurve_Q92841_DDX17.pdf")</f>
        <v>Melting_Curves/meltCurve_Q92841_DDX17.pdf</v>
      </c>
    </row>
    <row r="4917" spans="1:28" x14ac:dyDescent="0.25">
      <c r="A4917" t="s">
        <v>4921</v>
      </c>
      <c r="B4917">
        <v>0.995954080203443</v>
      </c>
      <c r="C4917">
        <v>0.99213883643968204</v>
      </c>
      <c r="D4917">
        <v>1.07267155891191</v>
      </c>
      <c r="E4917">
        <v>0.92433249068557299</v>
      </c>
      <c r="F4917">
        <v>0.91514638694372097</v>
      </c>
      <c r="G4917">
        <v>0.67867059811994301</v>
      </c>
      <c r="H4917">
        <v>0.55309929771835098</v>
      </c>
      <c r="I4917">
        <v>0.60396278020382599</v>
      </c>
      <c r="J4917">
        <v>0.69486184233472803</v>
      </c>
      <c r="K4917">
        <v>0.73436356460936203</v>
      </c>
      <c r="L4917">
        <v>2458.6023878762198</v>
      </c>
      <c r="M4917">
        <v>45.397043595403801</v>
      </c>
      <c r="O4917">
        <v>54.052987898685402</v>
      </c>
      <c r="P4917">
        <v>-7.4276590954418201E-2</v>
      </c>
      <c r="Q4917">
        <v>0.64624421907288998</v>
      </c>
      <c r="R4917">
        <v>0.89806800081009897</v>
      </c>
      <c r="S4917" t="s">
        <v>11723</v>
      </c>
      <c r="T4917" t="s">
        <v>13610</v>
      </c>
      <c r="U4917" t="s">
        <v>13610</v>
      </c>
      <c r="V4917" t="s">
        <v>13610</v>
      </c>
      <c r="W4917" t="s">
        <v>18465</v>
      </c>
      <c r="X4917">
        <v>14</v>
      </c>
      <c r="Y4917" t="s">
        <v>25038</v>
      </c>
      <c r="Z4917" t="s">
        <v>31772</v>
      </c>
      <c r="AA4917">
        <v>0.81421611642515213</v>
      </c>
      <c r="AB4917" t="str">
        <f>HYPERLINK("Melting_Curves/meltCurve_Q92843_2_BCL2L2.pdf", "Melting_Curves/meltCurve_Q92843_2_BCL2L2.pdf")</f>
        <v>Melting_Curves/meltCurve_Q92843_2_BCL2L2.pdf</v>
      </c>
    </row>
    <row r="4918" spans="1:28" x14ac:dyDescent="0.25">
      <c r="A4918" t="s">
        <v>4922</v>
      </c>
      <c r="B4918">
        <v>0.995954080203443</v>
      </c>
      <c r="C4918">
        <v>0.94754252020213803</v>
      </c>
      <c r="D4918">
        <v>0.96368316466894699</v>
      </c>
      <c r="E4918">
        <v>0.77916503979617902</v>
      </c>
      <c r="F4918">
        <v>0.79144505998621895</v>
      </c>
      <c r="G4918">
        <v>0.67002014211432204</v>
      </c>
      <c r="H4918">
        <v>0.64265411856411803</v>
      </c>
      <c r="I4918">
        <v>0.79204242014259396</v>
      </c>
      <c r="J4918">
        <v>0.76998706962008101</v>
      </c>
      <c r="K4918">
        <v>0.926785590063952</v>
      </c>
      <c r="L4918">
        <v>2227.6760515545202</v>
      </c>
      <c r="M4918">
        <v>46.870552264678999</v>
      </c>
      <c r="O4918">
        <v>47.4419891715456</v>
      </c>
      <c r="P4918">
        <v>-5.8222608236041702E-2</v>
      </c>
      <c r="Q4918">
        <v>0.76427047515287905</v>
      </c>
      <c r="R4918">
        <v>0.60807995605199605</v>
      </c>
      <c r="S4918" t="s">
        <v>11724</v>
      </c>
      <c r="T4918" t="s">
        <v>13610</v>
      </c>
      <c r="U4918" t="s">
        <v>13610</v>
      </c>
      <c r="V4918" t="s">
        <v>13610</v>
      </c>
      <c r="W4918" t="s">
        <v>18466</v>
      </c>
      <c r="X4918">
        <v>9</v>
      </c>
      <c r="Y4918" t="s">
        <v>25039</v>
      </c>
      <c r="Z4918" t="s">
        <v>31773</v>
      </c>
      <c r="AA4918">
        <v>0.82398859647271594</v>
      </c>
      <c r="AB4918" t="str">
        <f>HYPERLINK("Melting_Curves/meltCurve_Q92844_TANK.pdf", "Melting_Curves/meltCurve_Q92844_TANK.pdf")</f>
        <v>Melting_Curves/meltCurve_Q92844_TANK.pdf</v>
      </c>
    </row>
    <row r="4919" spans="1:28" x14ac:dyDescent="0.25">
      <c r="A4919" t="s">
        <v>4923</v>
      </c>
      <c r="B4919">
        <v>0.995954080203443</v>
      </c>
      <c r="C4919">
        <v>0.82388443239994003</v>
      </c>
      <c r="D4919">
        <v>0.36996239785045698</v>
      </c>
      <c r="E4919">
        <v>0.29879369435137398</v>
      </c>
      <c r="F4919">
        <v>0.18189952854357</v>
      </c>
      <c r="G4919">
        <v>0.121617944373206</v>
      </c>
      <c r="H4919">
        <v>8.2151007587805497E-2</v>
      </c>
      <c r="I4919">
        <v>6.7420703738637094E-2</v>
      </c>
      <c r="J4919">
        <v>7.1419142889744297E-2</v>
      </c>
      <c r="K4919">
        <v>7.5224118288978903E-2</v>
      </c>
      <c r="L4919">
        <v>959.77701894586505</v>
      </c>
      <c r="M4919">
        <v>21.244121089760998</v>
      </c>
      <c r="N4919">
        <v>45.646468469704402</v>
      </c>
      <c r="O4919">
        <v>44.7838745620246</v>
      </c>
      <c r="P4919">
        <v>-0.106990052191919</v>
      </c>
      <c r="Q4919">
        <v>9.7857495040019102E-2</v>
      </c>
      <c r="R4919">
        <v>0.97235684194690197</v>
      </c>
      <c r="S4919" t="s">
        <v>11725</v>
      </c>
      <c r="T4919" t="s">
        <v>13610</v>
      </c>
      <c r="U4919" t="s">
        <v>13610</v>
      </c>
      <c r="V4919" t="s">
        <v>13610</v>
      </c>
      <c r="W4919" t="s">
        <v>18467</v>
      </c>
      <c r="X4919">
        <v>9</v>
      </c>
      <c r="Y4919" t="s">
        <v>25040</v>
      </c>
      <c r="Z4919" t="s">
        <v>31774</v>
      </c>
      <c r="AA4919">
        <v>0.26658578900735252</v>
      </c>
      <c r="AB4919" t="str">
        <f>HYPERLINK("Melting_Curves/meltCurve_Q92845_4_KIFAP3.pdf", "Melting_Curves/meltCurve_Q92845_4_KIFAP3.pdf")</f>
        <v>Melting_Curves/meltCurve_Q92845_4_KIFAP3.pdf</v>
      </c>
    </row>
    <row r="4920" spans="1:28" x14ac:dyDescent="0.25">
      <c r="A4920" t="s">
        <v>4924</v>
      </c>
      <c r="B4920">
        <v>0.995954080203443</v>
      </c>
      <c r="C4920">
        <v>1.04017909300157</v>
      </c>
      <c r="D4920">
        <v>0.92035332796441205</v>
      </c>
      <c r="E4920">
        <v>0.66499364319422605</v>
      </c>
      <c r="F4920">
        <v>0.23604675600452699</v>
      </c>
      <c r="G4920">
        <v>0.112225880523268</v>
      </c>
      <c r="H4920">
        <v>7.4193995715572905E-2</v>
      </c>
      <c r="I4920">
        <v>6.6279472574832798E-2</v>
      </c>
      <c r="J4920">
        <v>7.7624809184024396E-2</v>
      </c>
      <c r="K4920">
        <v>6.8382175645535406E-2</v>
      </c>
      <c r="L4920">
        <v>1676.80561388364</v>
      </c>
      <c r="M4920">
        <v>33.043174325497198</v>
      </c>
      <c r="N4920">
        <v>50.985256262873698</v>
      </c>
      <c r="O4920">
        <v>50.561118942682398</v>
      </c>
      <c r="P4920">
        <v>-0.15164510828754099</v>
      </c>
      <c r="Q4920">
        <v>7.1843118692779095E-2</v>
      </c>
      <c r="R4920">
        <v>0.99677448106685895</v>
      </c>
      <c r="S4920" t="s">
        <v>11726</v>
      </c>
      <c r="T4920" t="s">
        <v>13610</v>
      </c>
      <c r="U4920" t="s">
        <v>13610</v>
      </c>
      <c r="V4920" t="s">
        <v>13610</v>
      </c>
      <c r="W4920" t="s">
        <v>18468</v>
      </c>
      <c r="X4920">
        <v>10</v>
      </c>
      <c r="Y4920" t="s">
        <v>25041</v>
      </c>
      <c r="Z4920" t="s">
        <v>31775</v>
      </c>
      <c r="AA4920">
        <v>0.40909083265543678</v>
      </c>
      <c r="AB4920" t="str">
        <f>HYPERLINK("Melting_Curves/meltCurve_Q92851_6_CASP10.pdf", "Melting_Curves/meltCurve_Q92851_6_CASP10.pdf")</f>
        <v>Melting_Curves/meltCurve_Q92851_6_CASP10.pdf</v>
      </c>
    </row>
    <row r="4921" spans="1:28" x14ac:dyDescent="0.25">
      <c r="A4921" t="s">
        <v>4925</v>
      </c>
      <c r="B4921">
        <v>0.995954080203443</v>
      </c>
      <c r="C4921">
        <v>0.91712051638964198</v>
      </c>
      <c r="D4921">
        <v>0.97105459094975899</v>
      </c>
      <c r="E4921">
        <v>0.76551892583436398</v>
      </c>
      <c r="F4921">
        <v>0.47952089460694203</v>
      </c>
      <c r="G4921">
        <v>0.35769374446216801</v>
      </c>
      <c r="H4921">
        <v>0.14555367192167201</v>
      </c>
      <c r="I4921">
        <v>0.119857689322341</v>
      </c>
      <c r="J4921">
        <v>0.14461380841562199</v>
      </c>
      <c r="K4921">
        <v>6.0866028167117302E-2</v>
      </c>
      <c r="L4921">
        <v>848.88713861721499</v>
      </c>
      <c r="M4921">
        <v>16.011842779069202</v>
      </c>
      <c r="N4921">
        <v>53.536607028716901</v>
      </c>
      <c r="O4921">
        <v>52.209957021973203</v>
      </c>
      <c r="P4921">
        <v>-7.1150580668545599E-2</v>
      </c>
      <c r="Q4921">
        <v>7.2067638912172605E-2</v>
      </c>
      <c r="R4921">
        <v>0.98761395574820998</v>
      </c>
      <c r="S4921" t="s">
        <v>11727</v>
      </c>
      <c r="T4921" t="s">
        <v>13610</v>
      </c>
      <c r="U4921" t="s">
        <v>13610</v>
      </c>
      <c r="V4921" t="s">
        <v>13610</v>
      </c>
      <c r="W4921" t="s">
        <v>18469</v>
      </c>
      <c r="X4921">
        <v>3</v>
      </c>
      <c r="Y4921" t="s">
        <v>25042</v>
      </c>
      <c r="Z4921" t="s">
        <v>31776</v>
      </c>
      <c r="AA4921">
        <v>0.49285026368472779</v>
      </c>
      <c r="AB4921" t="str">
        <f>HYPERLINK("Melting_Curves/meltCurve_Q92854_SEMA4D.pdf", "Melting_Curves/meltCurve_Q92854_SEMA4D.pdf")</f>
        <v>Melting_Curves/meltCurve_Q92854_SEMA4D.pdf</v>
      </c>
    </row>
    <row r="4922" spans="1:28" x14ac:dyDescent="0.25">
      <c r="A4922" t="s">
        <v>4926</v>
      </c>
      <c r="B4922">
        <v>0.995954080203443</v>
      </c>
      <c r="C4922">
        <v>0.576769768502432</v>
      </c>
      <c r="D4922">
        <v>0.28980091619727599</v>
      </c>
      <c r="E4922">
        <v>0.27312521709334397</v>
      </c>
      <c r="F4922">
        <v>0.16529998220939701</v>
      </c>
      <c r="G4922">
        <v>8.4944426168229503E-2</v>
      </c>
      <c r="H4922">
        <v>5.2535308487817199E-2</v>
      </c>
      <c r="I4922">
        <v>4.0856011697507903E-2</v>
      </c>
      <c r="J4922">
        <v>4.5797094732433201E-2</v>
      </c>
      <c r="K4922">
        <v>3.9898050783019098E-2</v>
      </c>
      <c r="L4922">
        <v>876.18681965192502</v>
      </c>
      <c r="M4922">
        <v>19.9909129060004</v>
      </c>
      <c r="N4922">
        <v>44.195099020337402</v>
      </c>
      <c r="O4922">
        <v>43.397744290430403</v>
      </c>
      <c r="P4922">
        <v>-0.10638253260005601</v>
      </c>
      <c r="Q4922">
        <v>7.6258013754559206E-2</v>
      </c>
      <c r="R4922">
        <v>0.95105285713769605</v>
      </c>
      <c r="S4922" t="s">
        <v>11728</v>
      </c>
      <c r="T4922" t="s">
        <v>13610</v>
      </c>
      <c r="U4922" t="s">
        <v>13610</v>
      </c>
      <c r="V4922" t="s">
        <v>13610</v>
      </c>
      <c r="W4922" t="s">
        <v>18470</v>
      </c>
      <c r="X4922">
        <v>66</v>
      </c>
      <c r="Y4922" t="s">
        <v>25043</v>
      </c>
      <c r="Z4922" t="s">
        <v>31777</v>
      </c>
      <c r="AA4922">
        <v>0.21266933640164659</v>
      </c>
      <c r="AB4922" t="str">
        <f>HYPERLINK("Melting_Curves/meltCurve_Q92878_RAD50.pdf", "Melting_Curves/meltCurve_Q92878_RAD50.pdf")</f>
        <v>Melting_Curves/meltCurve_Q92878_RAD50.pdf</v>
      </c>
    </row>
    <row r="4923" spans="1:28" x14ac:dyDescent="0.25">
      <c r="A4923" t="s">
        <v>4927</v>
      </c>
      <c r="B4923">
        <v>0.995954080203443</v>
      </c>
      <c r="C4923">
        <v>0.81698228710180798</v>
      </c>
      <c r="D4923">
        <v>0.67452744006170395</v>
      </c>
      <c r="E4923">
        <v>0.40953648841724599</v>
      </c>
      <c r="F4923">
        <v>0.23693618943334299</v>
      </c>
      <c r="G4923">
        <v>0.144113563058688</v>
      </c>
      <c r="H4923">
        <v>0.10546263036791</v>
      </c>
      <c r="I4923">
        <v>9.5477401242992505E-2</v>
      </c>
      <c r="J4923">
        <v>0.11997976978550599</v>
      </c>
      <c r="K4923">
        <v>9.8993114182676395E-2</v>
      </c>
      <c r="L4923">
        <v>724.59496057991396</v>
      </c>
      <c r="M4923">
        <v>15.1931299670347</v>
      </c>
      <c r="N4923">
        <v>48.288274764996501</v>
      </c>
      <c r="O4923">
        <v>46.8889346334728</v>
      </c>
      <c r="P4923">
        <v>-7.4087497624713297E-2</v>
      </c>
      <c r="Q4923">
        <v>8.5494548107325097E-2</v>
      </c>
      <c r="R4923">
        <v>0.99505651991724997</v>
      </c>
      <c r="S4923" t="s">
        <v>11729</v>
      </c>
      <c r="T4923" t="s">
        <v>13610</v>
      </c>
      <c r="U4923" t="s">
        <v>13610</v>
      </c>
      <c r="V4923" t="s">
        <v>13610</v>
      </c>
      <c r="W4923" t="s">
        <v>18471</v>
      </c>
      <c r="X4923">
        <v>11</v>
      </c>
      <c r="Y4923" t="s">
        <v>25044</v>
      </c>
      <c r="Z4923" t="s">
        <v>31778</v>
      </c>
      <c r="AA4923">
        <v>0.34326740664030259</v>
      </c>
      <c r="AB4923" t="str">
        <f>HYPERLINK("Melting_Curves/meltCurve_Q92879_2_CELF1.pdf", "Melting_Curves/meltCurve_Q92879_2_CELF1.pdf")</f>
        <v>Melting_Curves/meltCurve_Q92879_2_CELF1.pdf</v>
      </c>
    </row>
    <row r="4924" spans="1:28" x14ac:dyDescent="0.25">
      <c r="A4924" t="s">
        <v>4928</v>
      </c>
      <c r="B4924">
        <v>0.995954080203443</v>
      </c>
      <c r="C4924">
        <v>1.047406589285</v>
      </c>
      <c r="D4924">
        <v>1.0078469571465201</v>
      </c>
      <c r="E4924">
        <v>0.684563614453227</v>
      </c>
      <c r="F4924">
        <v>0.28844628518510601</v>
      </c>
      <c r="G4924">
        <v>0.17061495650694</v>
      </c>
      <c r="H4924">
        <v>0.12038881273007999</v>
      </c>
      <c r="I4924">
        <v>0.111951312519187</v>
      </c>
      <c r="J4924">
        <v>0.13880060609309899</v>
      </c>
      <c r="K4924">
        <v>0.12907242300042299</v>
      </c>
      <c r="L4924">
        <v>1858.04085171722</v>
      </c>
      <c r="M4924">
        <v>36.571051068052903</v>
      </c>
      <c r="N4924">
        <v>51.229324030532297</v>
      </c>
      <c r="O4924">
        <v>50.655137115391099</v>
      </c>
      <c r="P4924">
        <v>-0.15696959390687401</v>
      </c>
      <c r="Q4924">
        <v>0.13031847661281601</v>
      </c>
      <c r="R4924">
        <v>0.99724998661393105</v>
      </c>
      <c r="S4924" t="s">
        <v>11730</v>
      </c>
      <c r="T4924" t="s">
        <v>13610</v>
      </c>
      <c r="U4924" t="s">
        <v>13610</v>
      </c>
      <c r="V4924" t="s">
        <v>13610</v>
      </c>
      <c r="W4924" t="s">
        <v>18472</v>
      </c>
      <c r="X4924">
        <v>8</v>
      </c>
      <c r="Y4924" t="s">
        <v>25045</v>
      </c>
      <c r="Z4924" t="s">
        <v>31779</v>
      </c>
      <c r="AA4924">
        <v>0.44724613639196892</v>
      </c>
      <c r="AB4924" t="str">
        <f>HYPERLINK("Melting_Curves/meltCurve_Q92882_OSTF1.pdf", "Melting_Curves/meltCurve_Q92882_OSTF1.pdf")</f>
        <v>Melting_Curves/meltCurve_Q92882_OSTF1.pdf</v>
      </c>
    </row>
    <row r="4925" spans="1:28" x14ac:dyDescent="0.25">
      <c r="A4925" t="s">
        <v>4929</v>
      </c>
      <c r="B4925">
        <v>0.995954080203443</v>
      </c>
      <c r="C4925">
        <v>0.90136286684418299</v>
      </c>
      <c r="D4925">
        <v>1.26621756207115</v>
      </c>
      <c r="E4925">
        <v>0.851614935788506</v>
      </c>
      <c r="F4925">
        <v>0.72675562470400701</v>
      </c>
      <c r="G4925">
        <v>0.39982280294136202</v>
      </c>
      <c r="H4925">
        <v>0.42683772609034398</v>
      </c>
      <c r="I4925">
        <v>0.64418170029983401</v>
      </c>
      <c r="J4925">
        <v>0.63406765177256397</v>
      </c>
      <c r="K4925">
        <v>0.767132167123172</v>
      </c>
      <c r="L4925">
        <v>2163.4977354073899</v>
      </c>
      <c r="M4925">
        <v>42.134701532097601</v>
      </c>
      <c r="O4925">
        <v>51.231916912972899</v>
      </c>
      <c r="P4925">
        <v>-8.6198639740200103E-2</v>
      </c>
      <c r="Q4925">
        <v>0.58076230089731595</v>
      </c>
      <c r="R4925">
        <v>0.69221664452625498</v>
      </c>
      <c r="S4925" t="s">
        <v>11731</v>
      </c>
      <c r="T4925" t="s">
        <v>13610</v>
      </c>
      <c r="U4925" t="s">
        <v>13610</v>
      </c>
      <c r="V4925" t="s">
        <v>13610</v>
      </c>
      <c r="W4925" t="s">
        <v>18473</v>
      </c>
      <c r="X4925">
        <v>45</v>
      </c>
      <c r="Y4925" t="s">
        <v>21377</v>
      </c>
      <c r="Z4925" t="s">
        <v>31780</v>
      </c>
      <c r="AA4925">
        <v>0.74067421842016556</v>
      </c>
      <c r="AB4925" t="str">
        <f>HYPERLINK("Melting_Curves/meltCurve_Q92888_3_ARHGEF1.pdf", "Melting_Curves/meltCurve_Q92888_3_ARHGEF1.pdf")</f>
        <v>Melting_Curves/meltCurve_Q92888_3_ARHGEF1.pdf</v>
      </c>
    </row>
    <row r="4926" spans="1:28" x14ac:dyDescent="0.25">
      <c r="A4926" t="s">
        <v>4930</v>
      </c>
      <c r="B4926">
        <v>0.995954080203443</v>
      </c>
      <c r="C4926">
        <v>0.94942869821420195</v>
      </c>
      <c r="D4926">
        <v>0.81120477683137104</v>
      </c>
      <c r="E4926">
        <v>0.52866523577806901</v>
      </c>
      <c r="F4926">
        <v>0.23589777516329799</v>
      </c>
      <c r="G4926">
        <v>0.128978485512734</v>
      </c>
      <c r="H4926">
        <v>9.0953372023205498E-2</v>
      </c>
      <c r="I4926">
        <v>8.0300408768998202E-2</v>
      </c>
      <c r="J4926">
        <v>9.2279268446864404E-2</v>
      </c>
      <c r="K4926">
        <v>8.2485408851867503E-2</v>
      </c>
      <c r="L4926">
        <v>990.00760012805097</v>
      </c>
      <c r="M4926">
        <v>20.000795850162302</v>
      </c>
      <c r="N4926">
        <v>49.8932384651619</v>
      </c>
      <c r="O4926">
        <v>49.011558247515303</v>
      </c>
      <c r="P4926">
        <v>-9.4556722960579598E-2</v>
      </c>
      <c r="Q4926">
        <v>7.3192566094936795E-2</v>
      </c>
      <c r="R4926">
        <v>0.99741685633002197</v>
      </c>
      <c r="S4926" t="s">
        <v>11732</v>
      </c>
      <c r="T4926" t="s">
        <v>13610</v>
      </c>
      <c r="U4926" t="s">
        <v>13610</v>
      </c>
      <c r="V4926" t="s">
        <v>13610</v>
      </c>
      <c r="W4926" t="s">
        <v>18474</v>
      </c>
      <c r="X4926">
        <v>14</v>
      </c>
      <c r="Y4926" t="s">
        <v>25046</v>
      </c>
      <c r="Z4926" t="s">
        <v>31781</v>
      </c>
      <c r="AA4926">
        <v>0.37956509437075669</v>
      </c>
      <c r="AB4926" t="str">
        <f>HYPERLINK("Melting_Curves/meltCurve_Q92889_ERCC4.pdf", "Melting_Curves/meltCurve_Q92889_ERCC4.pdf")</f>
        <v>Melting_Curves/meltCurve_Q92889_ERCC4.pdf</v>
      </c>
    </row>
    <row r="4927" spans="1:28" x14ac:dyDescent="0.25">
      <c r="A4927" t="s">
        <v>4931</v>
      </c>
      <c r="B4927">
        <v>0.995954080203443</v>
      </c>
      <c r="C4927">
        <v>1.0568075021005101</v>
      </c>
      <c r="D4927">
        <v>1.0088510136103801</v>
      </c>
      <c r="E4927">
        <v>0.99489993915865205</v>
      </c>
      <c r="F4927">
        <v>0.91017616113430999</v>
      </c>
      <c r="G4927">
        <v>0.74621395670753299</v>
      </c>
      <c r="H4927">
        <v>0.57924891193817696</v>
      </c>
      <c r="I4927">
        <v>0.43709492051846399</v>
      </c>
      <c r="J4927">
        <v>0.199146420056973</v>
      </c>
      <c r="K4927">
        <v>0.121779094908744</v>
      </c>
      <c r="L4927">
        <v>938.91083653495298</v>
      </c>
      <c r="M4927">
        <v>15.158840136069999</v>
      </c>
      <c r="N4927">
        <v>61.9381712808175</v>
      </c>
      <c r="O4927">
        <v>60.8902818378806</v>
      </c>
      <c r="P4927">
        <v>-6.2244381488119699E-2</v>
      </c>
      <c r="Q4927">
        <v>0</v>
      </c>
      <c r="R4927">
        <v>0.98897239436690498</v>
      </c>
      <c r="S4927" t="s">
        <v>11733</v>
      </c>
      <c r="T4927" t="s">
        <v>13610</v>
      </c>
      <c r="U4927" t="s">
        <v>13610</v>
      </c>
      <c r="V4927" t="s">
        <v>13610</v>
      </c>
      <c r="W4927" t="s">
        <v>18475</v>
      </c>
      <c r="X4927">
        <v>17</v>
      </c>
      <c r="Y4927" t="s">
        <v>20608</v>
      </c>
      <c r="Z4927" t="s">
        <v>31782</v>
      </c>
      <c r="AA4927">
        <v>0.72911780367658374</v>
      </c>
      <c r="AB4927" t="str">
        <f>HYPERLINK("Melting_Curves/meltCurve_Q92890_UFD1L.pdf", "Melting_Curves/meltCurve_Q92890_UFD1L.pdf")</f>
        <v>Melting_Curves/meltCurve_Q92890_UFD1L.pdf</v>
      </c>
    </row>
    <row r="4928" spans="1:28" x14ac:dyDescent="0.25">
      <c r="A4928" t="s">
        <v>4932</v>
      </c>
      <c r="B4928">
        <v>0.995954080203443</v>
      </c>
      <c r="C4928">
        <v>0.87817865051308897</v>
      </c>
      <c r="D4928">
        <v>0.80576736772272095</v>
      </c>
      <c r="E4928">
        <v>0.77886204061776698</v>
      </c>
      <c r="F4928">
        <v>0.43872654308581099</v>
      </c>
      <c r="G4928">
        <v>0.22637086069051399</v>
      </c>
      <c r="H4928">
        <v>0.18483809166324799</v>
      </c>
      <c r="I4928">
        <v>0.199843350073479</v>
      </c>
      <c r="J4928">
        <v>0.22343846611443499</v>
      </c>
      <c r="K4928">
        <v>0.20127775248320801</v>
      </c>
      <c r="L4928">
        <v>872.18126876470501</v>
      </c>
      <c r="M4928">
        <v>17.051835346347701</v>
      </c>
      <c r="N4928">
        <v>52.406820602457202</v>
      </c>
      <c r="O4928">
        <v>50.460895557094801</v>
      </c>
      <c r="P4928">
        <v>-7.0296497982796899E-2</v>
      </c>
      <c r="Q4928">
        <v>0.167947020720361</v>
      </c>
      <c r="R4928">
        <v>0.96250294252423596</v>
      </c>
      <c r="S4928" t="s">
        <v>11734</v>
      </c>
      <c r="T4928" t="s">
        <v>13610</v>
      </c>
      <c r="U4928" t="s">
        <v>13610</v>
      </c>
      <c r="V4928" t="s">
        <v>13610</v>
      </c>
      <c r="W4928" t="s">
        <v>18476</v>
      </c>
      <c r="X4928">
        <v>5</v>
      </c>
      <c r="Y4928" t="s">
        <v>25047</v>
      </c>
      <c r="Z4928" t="s">
        <v>31783</v>
      </c>
      <c r="AA4928">
        <v>0.49256150975570062</v>
      </c>
      <c r="AB4928" t="str">
        <f>HYPERLINK("Melting_Curves/meltCurve_Q92896_GLG1.pdf", "Melting_Curves/meltCurve_Q92896_GLG1.pdf")</f>
        <v>Melting_Curves/meltCurve_Q92896_GLG1.pdf</v>
      </c>
    </row>
    <row r="4929" spans="1:28" x14ac:dyDescent="0.25">
      <c r="A4929" t="s">
        <v>4933</v>
      </c>
      <c r="B4929">
        <v>0.995954080203443</v>
      </c>
      <c r="C4929">
        <v>0.97874319500510198</v>
      </c>
      <c r="D4929">
        <v>0.91622965270277601</v>
      </c>
      <c r="E4929">
        <v>0.805566616244629</v>
      </c>
      <c r="F4929">
        <v>0.54170251928504398</v>
      </c>
      <c r="G4929">
        <v>0.23229602020677201</v>
      </c>
      <c r="H4929">
        <v>0.13108440727523099</v>
      </c>
      <c r="I4929">
        <v>0.111067561439366</v>
      </c>
      <c r="J4929">
        <v>0.110940275744054</v>
      </c>
      <c r="K4929">
        <v>0.104087802863991</v>
      </c>
      <c r="L4929">
        <v>1143.20865933502</v>
      </c>
      <c r="M4929">
        <v>21.6336861145016</v>
      </c>
      <c r="N4929">
        <v>53.3463056575537</v>
      </c>
      <c r="O4929">
        <v>52.398601292141102</v>
      </c>
      <c r="P4929">
        <v>-9.3706548705621007E-2</v>
      </c>
      <c r="Q4929">
        <v>9.2161172625403104E-2</v>
      </c>
      <c r="R4929">
        <v>0.99765645966082905</v>
      </c>
      <c r="S4929" t="s">
        <v>11735</v>
      </c>
      <c r="T4929" t="s">
        <v>13610</v>
      </c>
      <c r="U4929" t="s">
        <v>13610</v>
      </c>
      <c r="V4929" t="s">
        <v>13610</v>
      </c>
      <c r="W4929" t="s">
        <v>18477</v>
      </c>
      <c r="X4929">
        <v>60</v>
      </c>
      <c r="Y4929" t="s">
        <v>25048</v>
      </c>
      <c r="Z4929" t="s">
        <v>31784</v>
      </c>
      <c r="AA4929">
        <v>0.4917276813378762</v>
      </c>
      <c r="AB4929" t="str">
        <f>HYPERLINK("Melting_Curves/meltCurve_Q92900_UPF1.pdf", "Melting_Curves/meltCurve_Q92900_UPF1.pdf")</f>
        <v>Melting_Curves/meltCurve_Q92900_UPF1.pdf</v>
      </c>
    </row>
    <row r="4930" spans="1:28" x14ac:dyDescent="0.25">
      <c r="A4930" t="s">
        <v>4934</v>
      </c>
      <c r="B4930">
        <v>0.995954080203443</v>
      </c>
      <c r="C4930">
        <v>1.00361951113465</v>
      </c>
      <c r="D4930">
        <v>0.90387191317601301</v>
      </c>
      <c r="E4930">
        <v>0.77613189127877102</v>
      </c>
      <c r="F4930">
        <v>0.34180864017160301</v>
      </c>
      <c r="G4930">
        <v>0.124747016599146</v>
      </c>
      <c r="H4930">
        <v>8.0055981580481106E-2</v>
      </c>
      <c r="I4930">
        <v>5.4983612399884897E-2</v>
      </c>
      <c r="J4930">
        <v>5.3195357302620101E-2</v>
      </c>
      <c r="K4930">
        <v>4.02847677321478E-2</v>
      </c>
      <c r="L4930">
        <v>1529.6465468035001</v>
      </c>
      <c r="M4930">
        <v>29.5832336030753</v>
      </c>
      <c r="N4930">
        <v>51.908302044872002</v>
      </c>
      <c r="O4930">
        <v>51.471993841800199</v>
      </c>
      <c r="P4930">
        <v>-0.13588339737336699</v>
      </c>
      <c r="Q4930">
        <v>5.4310116147604899E-2</v>
      </c>
      <c r="R4930">
        <v>0.99560505568427804</v>
      </c>
      <c r="S4930" t="s">
        <v>11736</v>
      </c>
      <c r="T4930" t="s">
        <v>13610</v>
      </c>
      <c r="U4930" t="s">
        <v>13610</v>
      </c>
      <c r="V4930" t="s">
        <v>13610</v>
      </c>
      <c r="W4930" t="s">
        <v>18478</v>
      </c>
      <c r="X4930">
        <v>6</v>
      </c>
      <c r="Y4930" t="s">
        <v>25049</v>
      </c>
      <c r="Z4930" t="s">
        <v>31785</v>
      </c>
      <c r="AA4930">
        <v>0.42951921938805482</v>
      </c>
      <c r="AB4930" t="str">
        <f>HYPERLINK("Melting_Curves/meltCurve_Q92902_2_HPS1.pdf", "Melting_Curves/meltCurve_Q92902_2_HPS1.pdf")</f>
        <v>Melting_Curves/meltCurve_Q92902_2_HPS1.pdf</v>
      </c>
    </row>
    <row r="4931" spans="1:28" x14ac:dyDescent="0.25">
      <c r="A4931" t="s">
        <v>4935</v>
      </c>
      <c r="B4931">
        <v>0.995954080203443</v>
      </c>
      <c r="C4931">
        <v>0.84547576490639498</v>
      </c>
      <c r="D4931">
        <v>0.70185281675955202</v>
      </c>
      <c r="E4931">
        <v>0.90616047727285798</v>
      </c>
      <c r="F4931">
        <v>0.64616412187929895</v>
      </c>
      <c r="G4931">
        <v>0.30194214694093702</v>
      </c>
      <c r="H4931">
        <v>0.108347330436932</v>
      </c>
      <c r="I4931">
        <v>8.6067171711605703E-2</v>
      </c>
      <c r="J4931">
        <v>0.17924538179242999</v>
      </c>
      <c r="K4931">
        <v>9.0488166206417295E-2</v>
      </c>
      <c r="S4931" t="s">
        <v>11737</v>
      </c>
      <c r="T4931" t="s">
        <v>13610</v>
      </c>
      <c r="U4931" t="s">
        <v>13611</v>
      </c>
      <c r="V4931" t="s">
        <v>13610</v>
      </c>
      <c r="W4931" t="s">
        <v>18479</v>
      </c>
      <c r="X4931">
        <v>14</v>
      </c>
      <c r="Y4931" t="s">
        <v>25050</v>
      </c>
      <c r="Z4931" t="s">
        <v>31786</v>
      </c>
      <c r="AB4931" t="str">
        <f>HYPERLINK("Melting_Curves/meltCurve_Q92905_COPS5.pdf", "Melting_Curves/meltCurve_Q92905_COPS5.pdf")</f>
        <v>Melting_Curves/meltCurve_Q92905_COPS5.pdf</v>
      </c>
    </row>
    <row r="4932" spans="1:28" x14ac:dyDescent="0.25">
      <c r="A4932" t="s">
        <v>4936</v>
      </c>
      <c r="B4932">
        <v>0.995954080203443</v>
      </c>
      <c r="C4932">
        <v>0.98142126607216496</v>
      </c>
      <c r="D4932">
        <v>0.97049914497537504</v>
      </c>
      <c r="E4932">
        <v>0.80191820675427605</v>
      </c>
      <c r="F4932">
        <v>0.67359875563818306</v>
      </c>
      <c r="G4932">
        <v>0.44480654964953498</v>
      </c>
      <c r="H4932">
        <v>0.36687952696392001</v>
      </c>
      <c r="I4932">
        <v>0.400231605313974</v>
      </c>
      <c r="J4932">
        <v>0.456285132381686</v>
      </c>
      <c r="K4932">
        <v>0.46235855647267898</v>
      </c>
      <c r="L4932">
        <v>1244.3031463708401</v>
      </c>
      <c r="M4932">
        <v>24.004480190416899</v>
      </c>
      <c r="N4932">
        <v>55.930012258080701</v>
      </c>
      <c r="O4932">
        <v>51.480556532173701</v>
      </c>
      <c r="P4932">
        <v>-6.8344354748807207E-2</v>
      </c>
      <c r="Q4932">
        <v>0.41371780494993898</v>
      </c>
      <c r="R4932">
        <v>0.98096471938510399</v>
      </c>
      <c r="S4932" t="s">
        <v>11738</v>
      </c>
      <c r="T4932" t="s">
        <v>13610</v>
      </c>
      <c r="U4932" t="s">
        <v>13610</v>
      </c>
      <c r="V4932" t="s">
        <v>13610</v>
      </c>
      <c r="W4932" t="s">
        <v>18480</v>
      </c>
      <c r="X4932">
        <v>23</v>
      </c>
      <c r="Y4932" t="s">
        <v>25051</v>
      </c>
      <c r="Z4932" t="s">
        <v>31787</v>
      </c>
      <c r="AA4932">
        <v>0.6508091509511772</v>
      </c>
      <c r="AB4932" t="str">
        <f>HYPERLINK("Melting_Curves/meltCurve_Q92917_GPKOW.pdf", "Melting_Curves/meltCurve_Q92917_GPKOW.pdf")</f>
        <v>Melting_Curves/meltCurve_Q92917_GPKOW.pdf</v>
      </c>
    </row>
    <row r="4933" spans="1:28" x14ac:dyDescent="0.25">
      <c r="A4933" t="s">
        <v>4937</v>
      </c>
      <c r="B4933">
        <v>0.995954080203443</v>
      </c>
      <c r="C4933">
        <v>0.85133621894358802</v>
      </c>
      <c r="D4933">
        <v>0.66101327113578501</v>
      </c>
      <c r="E4933">
        <v>0.48010080525430499</v>
      </c>
      <c r="F4933">
        <v>0.271365246917945</v>
      </c>
      <c r="G4933">
        <v>0.17291366568532399</v>
      </c>
      <c r="H4933">
        <v>0.126695440953983</v>
      </c>
      <c r="I4933">
        <v>0.120678848774206</v>
      </c>
      <c r="J4933">
        <v>0.14435730522442899</v>
      </c>
      <c r="K4933">
        <v>0.12058920939040001</v>
      </c>
      <c r="L4933">
        <v>692.64883929049302</v>
      </c>
      <c r="M4933">
        <v>14.410754191140301</v>
      </c>
      <c r="N4933">
        <v>48.8553506575904</v>
      </c>
      <c r="O4933">
        <v>47.167589304645198</v>
      </c>
      <c r="P4933">
        <v>-6.8444784270776202E-2</v>
      </c>
      <c r="Q4933">
        <v>0.10400414786095299</v>
      </c>
      <c r="R4933">
        <v>0.99288282439332498</v>
      </c>
      <c r="S4933" t="s">
        <v>11739</v>
      </c>
      <c r="T4933" t="s">
        <v>13610</v>
      </c>
      <c r="U4933" t="s">
        <v>13610</v>
      </c>
      <c r="V4933" t="s">
        <v>13610</v>
      </c>
      <c r="W4933" t="s">
        <v>18481</v>
      </c>
      <c r="X4933">
        <v>39</v>
      </c>
      <c r="Y4933" t="s">
        <v>25052</v>
      </c>
      <c r="Z4933" t="s">
        <v>31788</v>
      </c>
      <c r="AA4933">
        <v>0.36973231173596272</v>
      </c>
      <c r="AB4933" t="str">
        <f>HYPERLINK("Melting_Curves/meltCurve_Q92922_SMARCC1.pdf", "Melting_Curves/meltCurve_Q92922_SMARCC1.pdf")</f>
        <v>Melting_Curves/meltCurve_Q92922_SMARCC1.pdf</v>
      </c>
    </row>
    <row r="4934" spans="1:28" x14ac:dyDescent="0.25">
      <c r="A4934" t="s">
        <v>4938</v>
      </c>
      <c r="B4934">
        <v>0.995954080203443</v>
      </c>
      <c r="C4934">
        <v>0.75524159757571796</v>
      </c>
      <c r="D4934">
        <v>0.48255022790635399</v>
      </c>
      <c r="E4934">
        <v>0.31376552777028599</v>
      </c>
      <c r="F4934">
        <v>0.150096189536986</v>
      </c>
      <c r="G4934">
        <v>8.8280102945193104E-2</v>
      </c>
      <c r="H4934">
        <v>5.9271511150776002E-2</v>
      </c>
      <c r="I4934">
        <v>5.64646780808414E-2</v>
      </c>
      <c r="J4934">
        <v>5.9052534439247503E-2</v>
      </c>
      <c r="K4934">
        <v>5.51855594716507E-2</v>
      </c>
      <c r="L4934">
        <v>736.946726910959</v>
      </c>
      <c r="M4934">
        <v>16.0184548013621</v>
      </c>
      <c r="N4934">
        <v>46.322086521130203</v>
      </c>
      <c r="O4934">
        <v>45.307009207961897</v>
      </c>
      <c r="P4934">
        <v>-8.3820397252503606E-2</v>
      </c>
      <c r="Q4934">
        <v>5.1754975158779901E-2</v>
      </c>
      <c r="R4934">
        <v>0.98921594881076103</v>
      </c>
      <c r="S4934" t="s">
        <v>11740</v>
      </c>
      <c r="T4934" t="s">
        <v>13610</v>
      </c>
      <c r="U4934" t="s">
        <v>13610</v>
      </c>
      <c r="V4934" t="s">
        <v>13610</v>
      </c>
      <c r="W4934" t="s">
        <v>18482</v>
      </c>
      <c r="X4934">
        <v>20</v>
      </c>
      <c r="Y4934" t="s">
        <v>25053</v>
      </c>
      <c r="Z4934" t="s">
        <v>31789</v>
      </c>
      <c r="AA4934">
        <v>0.26565817613284021</v>
      </c>
      <c r="AB4934" t="str">
        <f>HYPERLINK("Melting_Curves/meltCurve_Q92925_SMARCD2.pdf", "Melting_Curves/meltCurve_Q92925_SMARCD2.pdf")</f>
        <v>Melting_Curves/meltCurve_Q92925_SMARCD2.pdf</v>
      </c>
    </row>
    <row r="4935" spans="1:28" x14ac:dyDescent="0.25">
      <c r="A4935" t="s">
        <v>4939</v>
      </c>
      <c r="B4935">
        <v>0.995954080203443</v>
      </c>
      <c r="C4935">
        <v>1.0194660849791799</v>
      </c>
      <c r="D4935">
        <v>1.0548279917009999</v>
      </c>
      <c r="E4935">
        <v>0.96633633232619198</v>
      </c>
      <c r="F4935">
        <v>0.94305028016719095</v>
      </c>
      <c r="G4935">
        <v>0.75155205767194</v>
      </c>
      <c r="H4935">
        <v>0.630387749920439</v>
      </c>
      <c r="I4935">
        <v>0.668986014557166</v>
      </c>
      <c r="J4935">
        <v>0.831057866787412</v>
      </c>
      <c r="K4935">
        <v>0.78870508212504498</v>
      </c>
      <c r="L4935">
        <v>2972.1126072628799</v>
      </c>
      <c r="M4935">
        <v>54.802206561725797</v>
      </c>
      <c r="O4935">
        <v>54.161389786954501</v>
      </c>
      <c r="P4935">
        <v>-6.8171382979005393E-2</v>
      </c>
      <c r="Q4935">
        <v>0.73050328265883202</v>
      </c>
      <c r="R4935">
        <v>0.84606329104611699</v>
      </c>
      <c r="S4935" t="s">
        <v>11741</v>
      </c>
      <c r="T4935" t="s">
        <v>13610</v>
      </c>
      <c r="U4935" t="s">
        <v>13610</v>
      </c>
      <c r="V4935" t="s">
        <v>13610</v>
      </c>
      <c r="W4935" t="s">
        <v>18483</v>
      </c>
      <c r="X4935">
        <v>46</v>
      </c>
      <c r="Y4935" t="s">
        <v>25054</v>
      </c>
      <c r="Z4935" t="s">
        <v>31790</v>
      </c>
      <c r="AA4935">
        <v>0.85890162569394968</v>
      </c>
      <c r="AB4935" t="str">
        <f>HYPERLINK("Melting_Curves/meltCurve_Q92945_KHSRP.pdf", "Melting_Curves/meltCurve_Q92945_KHSRP.pdf")</f>
        <v>Melting_Curves/meltCurve_Q92945_KHSRP.pdf</v>
      </c>
    </row>
    <row r="4936" spans="1:28" x14ac:dyDescent="0.25">
      <c r="A4936" t="s">
        <v>4940</v>
      </c>
      <c r="B4936">
        <v>0.995954080203443</v>
      </c>
      <c r="C4936">
        <v>0.65173285661063696</v>
      </c>
      <c r="D4936">
        <v>0.34844065652689998</v>
      </c>
      <c r="E4936">
        <v>0.25572239219117798</v>
      </c>
      <c r="F4936">
        <v>0.13332300266225999</v>
      </c>
      <c r="G4936">
        <v>7.0773328217703907E-2</v>
      </c>
      <c r="H4936">
        <v>4.5192396002608798E-2</v>
      </c>
      <c r="I4936">
        <v>4.7511950965965201E-2</v>
      </c>
      <c r="J4936">
        <v>4.5809568691536497E-2</v>
      </c>
      <c r="K4936">
        <v>3.8687367068885703E-2</v>
      </c>
      <c r="L4936">
        <v>820.73459424133102</v>
      </c>
      <c r="M4936">
        <v>18.417350679186601</v>
      </c>
      <c r="N4936">
        <v>44.861244144929501</v>
      </c>
      <c r="O4936">
        <v>44.047687967147098</v>
      </c>
      <c r="P4936">
        <v>-9.8514420871662803E-2</v>
      </c>
      <c r="Q4936">
        <v>5.7597582074655498E-2</v>
      </c>
      <c r="R4936">
        <v>0.97565686984194699</v>
      </c>
      <c r="S4936" t="s">
        <v>11742</v>
      </c>
      <c r="T4936" t="s">
        <v>13610</v>
      </c>
      <c r="U4936" t="s">
        <v>13610</v>
      </c>
      <c r="V4936" t="s">
        <v>13610</v>
      </c>
      <c r="W4936" t="s">
        <v>18484</v>
      </c>
      <c r="X4936">
        <v>6</v>
      </c>
      <c r="Y4936" t="s">
        <v>25055</v>
      </c>
      <c r="Z4936" t="s">
        <v>31791</v>
      </c>
      <c r="AA4936">
        <v>0.22129242649154329</v>
      </c>
      <c r="AB4936" t="str">
        <f>HYPERLINK("Melting_Curves/meltCurve_Q92947_2_GCDH.pdf", "Melting_Curves/meltCurve_Q92947_2_GCDH.pdf")</f>
        <v>Melting_Curves/meltCurve_Q92947_2_GCDH.pdf</v>
      </c>
    </row>
    <row r="4937" spans="1:28" x14ac:dyDescent="0.25">
      <c r="A4937" t="s">
        <v>4941</v>
      </c>
      <c r="B4937">
        <v>0.995954080203443</v>
      </c>
      <c r="C4937">
        <v>0.94937209814632595</v>
      </c>
      <c r="D4937">
        <v>0.86963663387342904</v>
      </c>
      <c r="E4937">
        <v>0.77363113263730598</v>
      </c>
      <c r="F4937">
        <v>0.40714845781081299</v>
      </c>
      <c r="G4937">
        <v>0.14769049663949399</v>
      </c>
      <c r="H4937">
        <v>7.7278488502352402E-2</v>
      </c>
      <c r="I4937">
        <v>5.4073270082773003E-2</v>
      </c>
      <c r="J4937">
        <v>6.4427209617964901E-2</v>
      </c>
      <c r="K4937">
        <v>5.3973446773995903E-2</v>
      </c>
      <c r="L4937">
        <v>1177.21911762062</v>
      </c>
      <c r="M4937">
        <v>22.632641454061801</v>
      </c>
      <c r="N4937">
        <v>52.233972005030701</v>
      </c>
      <c r="O4937">
        <v>51.613251520632602</v>
      </c>
      <c r="P4937">
        <v>-0.104649771180233</v>
      </c>
      <c r="Q4937">
        <v>4.5412846469583198E-2</v>
      </c>
      <c r="R4937">
        <v>0.99230673430526795</v>
      </c>
      <c r="S4937" t="s">
        <v>11743</v>
      </c>
      <c r="T4937" t="s">
        <v>13610</v>
      </c>
      <c r="U4937" t="s">
        <v>13610</v>
      </c>
      <c r="V4937" t="s">
        <v>13610</v>
      </c>
      <c r="W4937" t="s">
        <v>18485</v>
      </c>
      <c r="X4937">
        <v>31</v>
      </c>
      <c r="Y4937" t="s">
        <v>25056</v>
      </c>
      <c r="Z4937" t="s">
        <v>31792</v>
      </c>
      <c r="AA4937">
        <v>0.43822912391047641</v>
      </c>
      <c r="AB4937" t="str">
        <f>HYPERLINK("Melting_Curves/meltCurve_Q92973_2_TNPO1.pdf", "Melting_Curves/meltCurve_Q92973_2_TNPO1.pdf")</f>
        <v>Melting_Curves/meltCurve_Q92973_2_TNPO1.pdf</v>
      </c>
    </row>
    <row r="4938" spans="1:28" x14ac:dyDescent="0.25">
      <c r="A4938" t="s">
        <v>4942</v>
      </c>
      <c r="B4938">
        <v>0.995954080203443</v>
      </c>
      <c r="C4938">
        <v>0.78730306223372204</v>
      </c>
      <c r="D4938">
        <v>0.44776763546180698</v>
      </c>
      <c r="E4938">
        <v>0.32171841433878701</v>
      </c>
      <c r="F4938">
        <v>0.26665113753983599</v>
      </c>
      <c r="G4938">
        <v>0.19308230695064199</v>
      </c>
      <c r="H4938">
        <v>0.16630087345327599</v>
      </c>
      <c r="I4938">
        <v>0.19204882355330499</v>
      </c>
      <c r="J4938">
        <v>0.21217266535504101</v>
      </c>
      <c r="K4938">
        <v>0.21083623744067001</v>
      </c>
      <c r="L4938">
        <v>1043.1377686068399</v>
      </c>
      <c r="M4938">
        <v>23.321316307244398</v>
      </c>
      <c r="N4938">
        <v>45.777968664778697</v>
      </c>
      <c r="O4938">
        <v>44.403966191755501</v>
      </c>
      <c r="P4938">
        <v>-0.104124933048789</v>
      </c>
      <c r="Q4938">
        <v>0.206995508670998</v>
      </c>
      <c r="R4938">
        <v>0.98697424845473203</v>
      </c>
      <c r="S4938" t="s">
        <v>11744</v>
      </c>
      <c r="T4938" t="s">
        <v>13610</v>
      </c>
      <c r="U4938" t="s">
        <v>13610</v>
      </c>
      <c r="V4938" t="s">
        <v>13610</v>
      </c>
      <c r="W4938" t="s">
        <v>18486</v>
      </c>
      <c r="X4938">
        <v>47</v>
      </c>
      <c r="Y4938" t="s">
        <v>25057</v>
      </c>
      <c r="Z4938" t="s">
        <v>31793</v>
      </c>
      <c r="AA4938">
        <v>0.34163143936038981</v>
      </c>
      <c r="AB4938" t="str">
        <f>HYPERLINK("Melting_Curves/meltCurve_Q92974_3_ARHGEF2.pdf", "Melting_Curves/meltCurve_Q92974_3_ARHGEF2.pdf")</f>
        <v>Melting_Curves/meltCurve_Q92974_3_ARHGEF2.pdf</v>
      </c>
    </row>
    <row r="4939" spans="1:28" x14ac:dyDescent="0.25">
      <c r="A4939" t="s">
        <v>4943</v>
      </c>
      <c r="B4939">
        <v>0.995954080203443</v>
      </c>
      <c r="C4939">
        <v>0.93584227393437802</v>
      </c>
      <c r="D4939">
        <v>0.90124553998784396</v>
      </c>
      <c r="E4939">
        <v>0.68431712857869897</v>
      </c>
      <c r="F4939">
        <v>0.38692915760133001</v>
      </c>
      <c r="G4939">
        <v>0.23313373859931699</v>
      </c>
      <c r="H4939">
        <v>0.18449358462746901</v>
      </c>
      <c r="I4939">
        <v>0.20072321173287</v>
      </c>
      <c r="J4939">
        <v>0.228697100163018</v>
      </c>
      <c r="K4939">
        <v>0.22904742304265099</v>
      </c>
      <c r="L4939">
        <v>1219.1309167535801</v>
      </c>
      <c r="M4939">
        <v>24.1059329058033</v>
      </c>
      <c r="N4939">
        <v>51.677876048853797</v>
      </c>
      <c r="O4939">
        <v>50.229709204639398</v>
      </c>
      <c r="P4939">
        <v>-9.5835453966504697E-2</v>
      </c>
      <c r="Q4939">
        <v>0.20124025881246699</v>
      </c>
      <c r="R4939">
        <v>0.992876222972505</v>
      </c>
      <c r="S4939" t="s">
        <v>11745</v>
      </c>
      <c r="T4939" t="s">
        <v>13610</v>
      </c>
      <c r="U4939" t="s">
        <v>13610</v>
      </c>
      <c r="V4939" t="s">
        <v>13610</v>
      </c>
      <c r="W4939" t="s">
        <v>18487</v>
      </c>
      <c r="X4939">
        <v>8</v>
      </c>
      <c r="Y4939" t="s">
        <v>25058</v>
      </c>
      <c r="Z4939" t="s">
        <v>31794</v>
      </c>
      <c r="AA4939">
        <v>0.49049353138755308</v>
      </c>
      <c r="AB4939" t="str">
        <f>HYPERLINK("Melting_Curves/meltCurve_Q92979_EMG1.pdf", "Melting_Curves/meltCurve_Q92979_EMG1.pdf")</f>
        <v>Melting_Curves/meltCurve_Q92979_EMG1.pdf</v>
      </c>
    </row>
    <row r="4940" spans="1:28" x14ac:dyDescent="0.25">
      <c r="A4940" t="s">
        <v>4944</v>
      </c>
      <c r="B4940">
        <v>0.995954080203443</v>
      </c>
      <c r="C4940">
        <v>0.86571800208667105</v>
      </c>
      <c r="D4940">
        <v>0.89878075712549499</v>
      </c>
      <c r="E4940">
        <v>0.75310668570984096</v>
      </c>
      <c r="F4940">
        <v>0.68147290277133699</v>
      </c>
      <c r="G4940">
        <v>0.33089780324263202</v>
      </c>
      <c r="H4940">
        <v>9.1296710258218394E-2</v>
      </c>
      <c r="I4940">
        <v>7.2367294311815503E-2</v>
      </c>
      <c r="J4940">
        <v>6.9698883700907197E-2</v>
      </c>
      <c r="K4940">
        <v>7.6279323579833497E-2</v>
      </c>
      <c r="L4940">
        <v>816.83149409254099</v>
      </c>
      <c r="M4940">
        <v>15.0219000719941</v>
      </c>
      <c r="N4940">
        <v>54.376043744621803</v>
      </c>
      <c r="O4940">
        <v>53.439715558520902</v>
      </c>
      <c r="P4940">
        <v>-7.0282040568796098E-2</v>
      </c>
      <c r="Q4940">
        <v>0</v>
      </c>
      <c r="R4940">
        <v>0.97714189887547898</v>
      </c>
      <c r="S4940" t="s">
        <v>11746</v>
      </c>
      <c r="T4940" t="s">
        <v>13610</v>
      </c>
      <c r="U4940" t="s">
        <v>13610</v>
      </c>
      <c r="V4940" t="s">
        <v>13610</v>
      </c>
      <c r="W4940" t="s">
        <v>18488</v>
      </c>
      <c r="X4940">
        <v>12</v>
      </c>
      <c r="Y4940" t="s">
        <v>25059</v>
      </c>
      <c r="Z4940" t="s">
        <v>31795</v>
      </c>
      <c r="AA4940">
        <v>0.49925134354537498</v>
      </c>
      <c r="AB4940" t="str">
        <f>HYPERLINK("Melting_Curves/meltCurve_Q92989_CLP1.pdf", "Melting_Curves/meltCurve_Q92989_CLP1.pdf")</f>
        <v>Melting_Curves/meltCurve_Q92989_CLP1.pdf</v>
      </c>
    </row>
    <row r="4941" spans="1:28" x14ac:dyDescent="0.25">
      <c r="A4941" t="s">
        <v>4945</v>
      </c>
      <c r="B4941">
        <v>0.995954080203443</v>
      </c>
      <c r="C4941">
        <v>0.95481554905904797</v>
      </c>
      <c r="D4941">
        <v>0.645659395608145</v>
      </c>
      <c r="E4941">
        <v>0.58886964503625505</v>
      </c>
      <c r="F4941">
        <v>0.215599021233817</v>
      </c>
      <c r="G4941">
        <v>0.11941371670921801</v>
      </c>
      <c r="H4941">
        <v>6.6946982818232401E-2</v>
      </c>
      <c r="I4941">
        <v>5.32527417038847E-2</v>
      </c>
      <c r="J4941">
        <v>6.2079769724468999E-2</v>
      </c>
      <c r="K4941">
        <v>5.2354485948671002E-2</v>
      </c>
      <c r="L4941">
        <v>741.43501649121094</v>
      </c>
      <c r="M4941">
        <v>15.025894360925999</v>
      </c>
      <c r="N4941">
        <v>49.516781496650403</v>
      </c>
      <c r="O4941">
        <v>48.494581126282299</v>
      </c>
      <c r="P4941">
        <v>-7.54889089839339E-2</v>
      </c>
      <c r="Q4941">
        <v>2.55659405981782E-2</v>
      </c>
      <c r="R4941">
        <v>0.97332219063546999</v>
      </c>
      <c r="S4941" t="s">
        <v>11747</v>
      </c>
      <c r="T4941" t="s">
        <v>13610</v>
      </c>
      <c r="U4941" t="s">
        <v>13610</v>
      </c>
      <c r="V4941" t="s">
        <v>13610</v>
      </c>
      <c r="W4941" t="s">
        <v>18489</v>
      </c>
      <c r="X4941">
        <v>15</v>
      </c>
      <c r="Y4941" t="s">
        <v>25060</v>
      </c>
      <c r="Z4941" t="s">
        <v>31796</v>
      </c>
      <c r="AA4941">
        <v>0.35274117506462038</v>
      </c>
      <c r="AB4941" t="str">
        <f>HYPERLINK("Melting_Curves/meltCurve_Q92990_GLMN.pdf", "Melting_Curves/meltCurve_Q92990_GLMN.pdf")</f>
        <v>Melting_Curves/meltCurve_Q92990_GLMN.pdf</v>
      </c>
    </row>
    <row r="4942" spans="1:28" x14ac:dyDescent="0.25">
      <c r="A4942" t="s">
        <v>4946</v>
      </c>
      <c r="B4942">
        <v>0.995954080203443</v>
      </c>
      <c r="C4942">
        <v>1.0565198024212801</v>
      </c>
      <c r="D4942">
        <v>0.88703563298371302</v>
      </c>
      <c r="E4942">
        <v>0.81362453302743998</v>
      </c>
      <c r="F4942">
        <v>0.58672322291290102</v>
      </c>
      <c r="G4942">
        <v>0.39529047860605898</v>
      </c>
      <c r="H4942">
        <v>0.27898724031066502</v>
      </c>
      <c r="I4942">
        <v>0.28551150037124701</v>
      </c>
      <c r="J4942">
        <v>0.27378659198679201</v>
      </c>
      <c r="K4942">
        <v>0.21635540478763701</v>
      </c>
      <c r="L4942">
        <v>931.24729229537195</v>
      </c>
      <c r="M4942">
        <v>17.670373944367999</v>
      </c>
      <c r="N4942">
        <v>54.643095171338899</v>
      </c>
      <c r="O4942">
        <v>52.0399843398447</v>
      </c>
      <c r="P4942">
        <v>-6.5098052249033506E-2</v>
      </c>
      <c r="Q4942">
        <v>0.233174747383565</v>
      </c>
      <c r="R4942">
        <v>0.98873884282011604</v>
      </c>
      <c r="S4942" t="s">
        <v>11748</v>
      </c>
      <c r="T4942" t="s">
        <v>13610</v>
      </c>
      <c r="U4942" t="s">
        <v>13610</v>
      </c>
      <c r="V4942" t="s">
        <v>13610</v>
      </c>
      <c r="W4942" t="s">
        <v>18490</v>
      </c>
      <c r="X4942">
        <v>7</v>
      </c>
      <c r="Y4942" t="s">
        <v>25061</v>
      </c>
      <c r="Z4942" t="s">
        <v>31797</v>
      </c>
      <c r="AA4942">
        <v>0.5708330488829565</v>
      </c>
      <c r="AB4942" t="str">
        <f>HYPERLINK("Melting_Curves/meltCurve_Q92993_KAT5.pdf", "Melting_Curves/meltCurve_Q92993_KAT5.pdf")</f>
        <v>Melting_Curves/meltCurve_Q92993_KAT5.pdf</v>
      </c>
    </row>
    <row r="4943" spans="1:28" x14ac:dyDescent="0.25">
      <c r="A4943" t="s">
        <v>4947</v>
      </c>
      <c r="B4943">
        <v>0.995954080203443</v>
      </c>
      <c r="C4943">
        <v>0.88194610554575303</v>
      </c>
      <c r="D4943">
        <v>0.77083578981247503</v>
      </c>
      <c r="E4943">
        <v>0.62780006635041097</v>
      </c>
      <c r="F4943">
        <v>0.55029407850230005</v>
      </c>
      <c r="G4943">
        <v>0.44996239489295897</v>
      </c>
      <c r="H4943">
        <v>0.40623580970540002</v>
      </c>
      <c r="I4943">
        <v>0.44254896874168198</v>
      </c>
      <c r="J4943">
        <v>0.44900636782033498</v>
      </c>
      <c r="K4943">
        <v>0.49207281558129501</v>
      </c>
      <c r="L4943">
        <v>715.12010766091998</v>
      </c>
      <c r="M4943">
        <v>15.1088035538646</v>
      </c>
      <c r="N4943">
        <v>54.8641287691188</v>
      </c>
      <c r="O4943">
        <v>46.5254310727694</v>
      </c>
      <c r="P4943">
        <v>-4.5697024238789699E-2</v>
      </c>
      <c r="Q4943">
        <v>0.43718526851792699</v>
      </c>
      <c r="R4943">
        <v>0.97978228746766505</v>
      </c>
      <c r="S4943" t="s">
        <v>11749</v>
      </c>
      <c r="T4943" t="s">
        <v>13610</v>
      </c>
      <c r="U4943" t="s">
        <v>13610</v>
      </c>
      <c r="V4943" t="s">
        <v>13610</v>
      </c>
      <c r="W4943" t="s">
        <v>18491</v>
      </c>
      <c r="X4943">
        <v>4</v>
      </c>
      <c r="Y4943" t="s">
        <v>25062</v>
      </c>
      <c r="Z4943" t="s">
        <v>31798</v>
      </c>
      <c r="AA4943">
        <v>0.58949876645199129</v>
      </c>
      <c r="AB4943" t="str">
        <f>HYPERLINK("Melting_Curves/meltCurve_Q92994_5_BRF1.pdf", "Melting_Curves/meltCurve_Q92994_5_BRF1.pdf")</f>
        <v>Melting_Curves/meltCurve_Q92994_5_BRF1.pdf</v>
      </c>
    </row>
    <row r="4944" spans="1:28" x14ac:dyDescent="0.25">
      <c r="A4944" t="s">
        <v>4948</v>
      </c>
      <c r="B4944">
        <v>0.995954080203443</v>
      </c>
      <c r="C4944">
        <v>0.89703789537395495</v>
      </c>
      <c r="D4944">
        <v>0.749499137423145</v>
      </c>
      <c r="E4944">
        <v>0.51285494323327296</v>
      </c>
      <c r="F4944">
        <v>0.29159920087628499</v>
      </c>
      <c r="G4944">
        <v>0.18087410482157901</v>
      </c>
      <c r="H4944">
        <v>9.7074739004416696E-2</v>
      </c>
      <c r="I4944">
        <v>8.9473722497446506E-2</v>
      </c>
      <c r="J4944">
        <v>8.4924490034570393E-2</v>
      </c>
      <c r="K4944">
        <v>8.1573665224940001E-2</v>
      </c>
      <c r="L4944">
        <v>732.70120836250396</v>
      </c>
      <c r="M4944">
        <v>14.8419838024186</v>
      </c>
      <c r="N4944">
        <v>49.802604263654302</v>
      </c>
      <c r="O4944">
        <v>48.496594401524398</v>
      </c>
      <c r="P4944">
        <v>-7.1858638388649504E-2</v>
      </c>
      <c r="Q4944">
        <v>6.0898479720529503E-2</v>
      </c>
      <c r="R4944">
        <v>0.99798708974717798</v>
      </c>
      <c r="S4944" t="s">
        <v>11750</v>
      </c>
      <c r="T4944" t="s">
        <v>13610</v>
      </c>
      <c r="U4944" t="s">
        <v>13610</v>
      </c>
      <c r="V4944" t="s">
        <v>13610</v>
      </c>
      <c r="W4944" t="s">
        <v>18492</v>
      </c>
      <c r="X4944">
        <v>4</v>
      </c>
      <c r="Y4944" t="s">
        <v>25063</v>
      </c>
      <c r="Z4944" t="s">
        <v>31799</v>
      </c>
      <c r="AA4944">
        <v>0.37743360208599852</v>
      </c>
      <c r="AB4944" t="str">
        <f>HYPERLINK("Melting_Curves/meltCurve_Q92995_2_USP13.pdf", "Melting_Curves/meltCurve_Q92995_2_USP13.pdf")</f>
        <v>Melting_Curves/meltCurve_Q92995_2_USP13.pdf</v>
      </c>
    </row>
    <row r="4945" spans="1:28" x14ac:dyDescent="0.25">
      <c r="A4945" t="s">
        <v>4949</v>
      </c>
      <c r="B4945">
        <v>0.995954080203443</v>
      </c>
      <c r="C4945">
        <v>0.74701316658855799</v>
      </c>
      <c r="D4945">
        <v>0.52249303935906899</v>
      </c>
      <c r="E4945">
        <v>0.494651457963868</v>
      </c>
      <c r="F4945">
        <v>0.15587672539342401</v>
      </c>
      <c r="G4945">
        <v>9.9431825603797305E-2</v>
      </c>
      <c r="H4945">
        <v>6.9491207235757704E-2</v>
      </c>
      <c r="I4945">
        <v>6.5620612604527506E-2</v>
      </c>
      <c r="J4945">
        <v>7.8967862551087398E-2</v>
      </c>
      <c r="K4945">
        <v>7.0674439485008705E-2</v>
      </c>
      <c r="L4945">
        <v>604.47827850495401</v>
      </c>
      <c r="M4945">
        <v>12.821424443359501</v>
      </c>
      <c r="N4945">
        <v>47.432176746182598</v>
      </c>
      <c r="O4945">
        <v>46.043228055751896</v>
      </c>
      <c r="P4945">
        <v>-6.7036990689439496E-2</v>
      </c>
      <c r="Q4945">
        <v>3.7228993576348401E-2</v>
      </c>
      <c r="R4945">
        <v>0.95933051725263196</v>
      </c>
      <c r="S4945" t="s">
        <v>11751</v>
      </c>
      <c r="T4945" t="s">
        <v>13610</v>
      </c>
      <c r="U4945" t="s">
        <v>13610</v>
      </c>
      <c r="V4945" t="s">
        <v>13610</v>
      </c>
      <c r="W4945" t="s">
        <v>18493</v>
      </c>
      <c r="X4945">
        <v>66</v>
      </c>
      <c r="Y4945" t="s">
        <v>25064</v>
      </c>
      <c r="Z4945" t="s">
        <v>31800</v>
      </c>
      <c r="AA4945">
        <v>0.30190949380747439</v>
      </c>
      <c r="AB4945" t="str">
        <f>HYPERLINK("Melting_Curves/meltCurve_Q93008_USP9X.pdf", "Melting_Curves/meltCurve_Q93008_USP9X.pdf")</f>
        <v>Melting_Curves/meltCurve_Q93008_USP9X.pdf</v>
      </c>
    </row>
    <row r="4946" spans="1:28" x14ac:dyDescent="0.25">
      <c r="A4946" t="s">
        <v>4950</v>
      </c>
      <c r="B4946">
        <v>0.995954080203443</v>
      </c>
      <c r="C4946">
        <v>0.79245418591690897</v>
      </c>
      <c r="D4946">
        <v>0.63460148817952899</v>
      </c>
      <c r="E4946">
        <v>0.53603968340371799</v>
      </c>
      <c r="F4946">
        <v>0.48290162317611901</v>
      </c>
      <c r="G4946">
        <v>0.35108368656349298</v>
      </c>
      <c r="H4946">
        <v>0.319331312934092</v>
      </c>
      <c r="I4946">
        <v>0.390507170830735</v>
      </c>
      <c r="J4946">
        <v>0.479180434013463</v>
      </c>
      <c r="K4946">
        <v>0.430382993517121</v>
      </c>
      <c r="L4946">
        <v>770.20718107496396</v>
      </c>
      <c r="M4946">
        <v>17.069112727294002</v>
      </c>
      <c r="N4946">
        <v>49.813455412895401</v>
      </c>
      <c r="O4946">
        <v>44.517180805815499</v>
      </c>
      <c r="P4946">
        <v>-5.7538310683953202E-2</v>
      </c>
      <c r="Q4946">
        <v>0.39978424407980601</v>
      </c>
      <c r="R4946">
        <v>0.93452912591426995</v>
      </c>
      <c r="S4946" t="s">
        <v>11752</v>
      </c>
      <c r="T4946" t="s">
        <v>13610</v>
      </c>
      <c r="U4946" t="s">
        <v>13610</v>
      </c>
      <c r="V4946" t="s">
        <v>13610</v>
      </c>
      <c r="W4946" t="s">
        <v>18494</v>
      </c>
      <c r="X4946">
        <v>3</v>
      </c>
      <c r="Y4946" t="s">
        <v>25065</v>
      </c>
      <c r="Z4946" t="s">
        <v>31801</v>
      </c>
      <c r="AA4946">
        <v>0.5166644205651737</v>
      </c>
      <c r="AB4946" t="str">
        <f>HYPERLINK("Melting_Curves/meltCurve_Q93015_2_NAT6.pdf", "Melting_Curves/meltCurve_Q93015_2_NAT6.pdf")</f>
        <v>Melting_Curves/meltCurve_Q93015_2_NAT6.pdf</v>
      </c>
    </row>
    <row r="4947" spans="1:28" x14ac:dyDescent="0.25">
      <c r="A4947" t="s">
        <v>4951</v>
      </c>
      <c r="B4947">
        <v>0.995954080203443</v>
      </c>
      <c r="C4947">
        <v>0.97037195367828499</v>
      </c>
      <c r="D4947">
        <v>0.95147761645804296</v>
      </c>
      <c r="E4947">
        <v>0.90773449924684801</v>
      </c>
      <c r="F4947">
        <v>0.67501680841626899</v>
      </c>
      <c r="G4947">
        <v>0.38935655670653802</v>
      </c>
      <c r="H4947">
        <v>9.2847900514106796E-2</v>
      </c>
      <c r="I4947">
        <v>8.7292154613021103E-2</v>
      </c>
      <c r="J4947">
        <v>9.2797669070435795E-2</v>
      </c>
      <c r="K4947">
        <v>8.4328662528342202E-2</v>
      </c>
      <c r="L4947">
        <v>1175.68033230266</v>
      </c>
      <c r="M4947">
        <v>21.4364085127797</v>
      </c>
      <c r="N4947">
        <v>55.144732431924801</v>
      </c>
      <c r="O4947">
        <v>54.374424372746503</v>
      </c>
      <c r="P4947">
        <v>-9.3142026823221702E-2</v>
      </c>
      <c r="Q4947">
        <v>5.4987444240613602E-2</v>
      </c>
      <c r="R4947">
        <v>0.99432461089722501</v>
      </c>
      <c r="S4947" t="s">
        <v>11753</v>
      </c>
      <c r="T4947" t="s">
        <v>13610</v>
      </c>
      <c r="U4947" t="s">
        <v>13610</v>
      </c>
      <c r="V4947" t="s">
        <v>13610</v>
      </c>
      <c r="W4947" t="s">
        <v>18495</v>
      </c>
      <c r="X4947">
        <v>38</v>
      </c>
      <c r="Y4947" t="s">
        <v>25066</v>
      </c>
      <c r="Z4947" t="s">
        <v>31802</v>
      </c>
      <c r="AA4947">
        <v>0.53394840474704308</v>
      </c>
      <c r="AB4947" t="str">
        <f>HYPERLINK("Melting_Curves/meltCurve_Q93034_CUL5.pdf", "Melting_Curves/meltCurve_Q93034_CUL5.pdf")</f>
        <v>Melting_Curves/meltCurve_Q93034_CUL5.pdf</v>
      </c>
    </row>
    <row r="4948" spans="1:28" x14ac:dyDescent="0.25">
      <c r="A4948" t="s">
        <v>4952</v>
      </c>
      <c r="B4948">
        <v>0.995954080203443</v>
      </c>
      <c r="C4948">
        <v>1.07065836918229</v>
      </c>
      <c r="D4948">
        <v>0.71048006939573705</v>
      </c>
      <c r="E4948">
        <v>0.71684985756392305</v>
      </c>
      <c r="F4948">
        <v>0.41695513633764097</v>
      </c>
      <c r="G4948">
        <v>0.241576859006367</v>
      </c>
      <c r="H4948">
        <v>9.9701123706931905E-2</v>
      </c>
      <c r="I4948">
        <v>0.107011079448847</v>
      </c>
      <c r="J4948">
        <v>4.6244460117545898E-2</v>
      </c>
      <c r="K4948">
        <v>4.17354502999671E-2</v>
      </c>
      <c r="L4948">
        <v>704.48777187129804</v>
      </c>
      <c r="M4948">
        <v>13.5438573422422</v>
      </c>
      <c r="N4948">
        <v>52.0763104479215</v>
      </c>
      <c r="O4948">
        <v>50.920624142763799</v>
      </c>
      <c r="P4948">
        <v>-6.5981476866988395E-2</v>
      </c>
      <c r="Q4948">
        <v>7.8713895250877297E-3</v>
      </c>
      <c r="R4948">
        <v>0.96856993050449203</v>
      </c>
      <c r="S4948" t="s">
        <v>11754</v>
      </c>
      <c r="T4948" t="s">
        <v>13610</v>
      </c>
      <c r="U4948" t="s">
        <v>13610</v>
      </c>
      <c r="V4948" t="s">
        <v>13610</v>
      </c>
      <c r="W4948" t="s">
        <v>18496</v>
      </c>
      <c r="X4948">
        <v>3</v>
      </c>
      <c r="Y4948" t="s">
        <v>25067</v>
      </c>
      <c r="Z4948" t="s">
        <v>31803</v>
      </c>
      <c r="AA4948">
        <v>0.43099187109423981</v>
      </c>
      <c r="AB4948" t="str">
        <f>HYPERLINK("Melting_Curves/meltCurve_Q93073_2_SECISBP2L.pdf", "Melting_Curves/meltCurve_Q93073_2_SECISBP2L.pdf")</f>
        <v>Melting_Curves/meltCurve_Q93073_2_SECISBP2L.pdf</v>
      </c>
    </row>
    <row r="4949" spans="1:28" x14ac:dyDescent="0.25">
      <c r="A4949" t="s">
        <v>4953</v>
      </c>
      <c r="B4949">
        <v>0.995954080203443</v>
      </c>
      <c r="C4949">
        <v>0.77460502456441405</v>
      </c>
      <c r="D4949">
        <v>0.78841661091083703</v>
      </c>
      <c r="E4949">
        <v>0.64580624145069099</v>
      </c>
      <c r="F4949">
        <v>0.712494721115142</v>
      </c>
      <c r="G4949">
        <v>0.61393112265702798</v>
      </c>
      <c r="H4949">
        <v>0.57758351937320196</v>
      </c>
      <c r="I4949">
        <v>0.67286026359997197</v>
      </c>
      <c r="J4949">
        <v>0.83680101997601497</v>
      </c>
      <c r="K4949">
        <v>0.83169764163055004</v>
      </c>
      <c r="L4949">
        <v>2399.1814183527299</v>
      </c>
      <c r="M4949">
        <v>57.049694976932898</v>
      </c>
      <c r="O4949">
        <v>42.002672631286501</v>
      </c>
      <c r="P4949">
        <v>-9.8770718107777294E-2</v>
      </c>
      <c r="Q4949">
        <v>0.70912162563441195</v>
      </c>
      <c r="R4949">
        <v>0.51656044950429403</v>
      </c>
      <c r="S4949" t="s">
        <v>11755</v>
      </c>
      <c r="T4949" t="s">
        <v>13610</v>
      </c>
      <c r="U4949" t="s">
        <v>13610</v>
      </c>
      <c r="V4949" t="s">
        <v>13610</v>
      </c>
      <c r="W4949" t="s">
        <v>18497</v>
      </c>
      <c r="X4949">
        <v>7</v>
      </c>
      <c r="Y4949" t="s">
        <v>25068</v>
      </c>
      <c r="Z4949" t="s">
        <v>31804</v>
      </c>
      <c r="AA4949">
        <v>0.72977892895035601</v>
      </c>
      <c r="AB4949" t="str">
        <f>HYPERLINK("Melting_Curves/meltCurve_Q93074_3_MED12.pdf", "Melting_Curves/meltCurve_Q93074_3_MED12.pdf")</f>
        <v>Melting_Curves/meltCurve_Q93074_3_MED12.pdf</v>
      </c>
    </row>
    <row r="4950" spans="1:28" x14ac:dyDescent="0.25">
      <c r="A4950" t="s">
        <v>4954</v>
      </c>
      <c r="B4950">
        <v>0.995954080203443</v>
      </c>
      <c r="C4950">
        <v>1.04519865870071</v>
      </c>
      <c r="D4950">
        <v>5.4401244602497401E-2</v>
      </c>
      <c r="E4950">
        <v>0.84260644011100305</v>
      </c>
      <c r="F4950">
        <v>0.49241119514317</v>
      </c>
      <c r="G4950">
        <v>0.34933128023048798</v>
      </c>
      <c r="H4950">
        <v>0.30365822997025399</v>
      </c>
      <c r="I4950">
        <v>0.38226320700800298</v>
      </c>
      <c r="J4950">
        <v>0.52199110787973801</v>
      </c>
      <c r="K4950">
        <v>0.41599943669375999</v>
      </c>
      <c r="L4950">
        <v>11054.232487174901</v>
      </c>
      <c r="M4950">
        <v>250</v>
      </c>
      <c r="N4950">
        <v>44.544213796856297</v>
      </c>
      <c r="O4950">
        <v>44.214120261962798</v>
      </c>
      <c r="P4950">
        <v>-0.81940240764577399</v>
      </c>
      <c r="Q4950">
        <v>0.420333754275448</v>
      </c>
      <c r="R4950">
        <v>0.62186634457192203</v>
      </c>
      <c r="S4950" t="s">
        <v>11756</v>
      </c>
      <c r="T4950" t="s">
        <v>13610</v>
      </c>
      <c r="U4950" t="s">
        <v>13610</v>
      </c>
      <c r="V4950" t="s">
        <v>13610</v>
      </c>
      <c r="W4950" t="s">
        <v>18498</v>
      </c>
      <c r="X4950">
        <v>3</v>
      </c>
      <c r="Y4950" t="s">
        <v>25069</v>
      </c>
      <c r="Z4950" t="s">
        <v>31805</v>
      </c>
      <c r="AA4950">
        <v>0.50185913478484667</v>
      </c>
      <c r="AB4950" t="str">
        <f>HYPERLINK("Melting_Curves/meltCurve_Q93075_TATDN2.pdf", "Melting_Curves/meltCurve_Q93075_TATDN2.pdf")</f>
        <v>Melting_Curves/meltCurve_Q93075_TATDN2.pdf</v>
      </c>
    </row>
    <row r="4951" spans="1:28" x14ac:dyDescent="0.25">
      <c r="A4951" t="s">
        <v>4955</v>
      </c>
      <c r="B4951">
        <v>0.995954080203443</v>
      </c>
      <c r="C4951">
        <v>0.88046576960565304</v>
      </c>
      <c r="D4951">
        <v>0.75728877299622499</v>
      </c>
      <c r="E4951">
        <v>0.47922060201508199</v>
      </c>
      <c r="F4951">
        <v>0.21574710651446199</v>
      </c>
      <c r="G4951">
        <v>9.5945460395300497E-2</v>
      </c>
      <c r="H4951">
        <v>6.7706492268838098E-2</v>
      </c>
      <c r="I4951">
        <v>4.2058875613879602E-2</v>
      </c>
      <c r="J4951">
        <v>5.1816380689303103E-2</v>
      </c>
      <c r="K4951">
        <v>5.4641171446919899E-2</v>
      </c>
      <c r="L4951">
        <v>823.87286301248798</v>
      </c>
      <c r="M4951">
        <v>16.797393269599301</v>
      </c>
      <c r="N4951">
        <v>49.234695413553098</v>
      </c>
      <c r="O4951">
        <v>48.368319045574701</v>
      </c>
      <c r="P4951">
        <v>-8.4142189866055803E-2</v>
      </c>
      <c r="Q4951">
        <v>3.09084935392787E-2</v>
      </c>
      <c r="R4951">
        <v>0.99595534786203699</v>
      </c>
      <c r="S4951" t="s">
        <v>11757</v>
      </c>
      <c r="T4951" t="s">
        <v>13610</v>
      </c>
      <c r="U4951" t="s">
        <v>13610</v>
      </c>
      <c r="V4951" t="s">
        <v>13610</v>
      </c>
      <c r="W4951" t="s">
        <v>18499</v>
      </c>
      <c r="X4951">
        <v>6</v>
      </c>
      <c r="Y4951" t="s">
        <v>25070</v>
      </c>
      <c r="Z4951" t="s">
        <v>31806</v>
      </c>
      <c r="AA4951">
        <v>0.34239606720047538</v>
      </c>
      <c r="AB4951" t="str">
        <f>HYPERLINK("Melting_Curves/meltCurve_Q93077_HIST1H2AC.pdf", "Melting_Curves/meltCurve_Q93077_HIST1H2AC.pdf")</f>
        <v>Melting_Curves/meltCurve_Q93077_HIST1H2AC.pdf</v>
      </c>
    </row>
    <row r="4952" spans="1:28" x14ac:dyDescent="0.25">
      <c r="A4952" t="s">
        <v>4956</v>
      </c>
      <c r="B4952">
        <v>0.995954080203443</v>
      </c>
      <c r="C4952">
        <v>0.90811834625562904</v>
      </c>
      <c r="D4952">
        <v>0.951584409968945</v>
      </c>
      <c r="E4952">
        <v>0.740623716972441</v>
      </c>
      <c r="F4952">
        <v>0.61939137445792802</v>
      </c>
      <c r="G4952">
        <v>0.31142842418026501</v>
      </c>
      <c r="H4952">
        <v>0.126219524855754</v>
      </c>
      <c r="I4952">
        <v>8.4843492068798501E-2</v>
      </c>
      <c r="J4952">
        <v>7.5562326216949402E-2</v>
      </c>
      <c r="K4952">
        <v>6.9000982278275294E-2</v>
      </c>
      <c r="L4952">
        <v>830.60770987806097</v>
      </c>
      <c r="M4952">
        <v>15.406530891070201</v>
      </c>
      <c r="N4952">
        <v>54.047283783266202</v>
      </c>
      <c r="O4952">
        <v>53.028887235578999</v>
      </c>
      <c r="P4952">
        <v>-7.1272394475131395E-2</v>
      </c>
      <c r="Q4952">
        <v>1.8818191045362E-2</v>
      </c>
      <c r="R4952">
        <v>0.99234397653120598</v>
      </c>
      <c r="S4952" t="s">
        <v>11758</v>
      </c>
      <c r="T4952" t="s">
        <v>13610</v>
      </c>
      <c r="U4952" t="s">
        <v>13610</v>
      </c>
      <c r="V4952" t="s">
        <v>13610</v>
      </c>
      <c r="W4952" t="s">
        <v>18500</v>
      </c>
      <c r="X4952">
        <v>6</v>
      </c>
      <c r="Y4952" t="s">
        <v>25071</v>
      </c>
      <c r="Z4952" t="s">
        <v>31807</v>
      </c>
      <c r="AA4952">
        <v>0.49339673202559547</v>
      </c>
      <c r="AB4952" t="str">
        <f>HYPERLINK("Melting_Curves/meltCurve_Q93096_PTP4A1.pdf", "Melting_Curves/meltCurve_Q93096_PTP4A1.pdf")</f>
        <v>Melting_Curves/meltCurve_Q93096_PTP4A1.pdf</v>
      </c>
    </row>
    <row r="4953" spans="1:28" x14ac:dyDescent="0.25">
      <c r="A4953" t="s">
        <v>4957</v>
      </c>
      <c r="B4953">
        <v>0.995954080203443</v>
      </c>
      <c r="C4953">
        <v>0.58745515865942799</v>
      </c>
      <c r="D4953">
        <v>0.26499606111183299</v>
      </c>
      <c r="E4953">
        <v>0.268762605945706</v>
      </c>
      <c r="F4953">
        <v>0.12585808165887799</v>
      </c>
      <c r="G4953">
        <v>7.3605577284925394E-2</v>
      </c>
      <c r="H4953">
        <v>5.0001077010363E-2</v>
      </c>
      <c r="I4953">
        <v>3.9905320222748897E-2</v>
      </c>
      <c r="J4953">
        <v>4.6751147644945E-2</v>
      </c>
      <c r="K4953">
        <v>4.3410471093104197E-2</v>
      </c>
      <c r="L4953">
        <v>996.07554385085302</v>
      </c>
      <c r="M4953">
        <v>22.802107773760401</v>
      </c>
      <c r="N4953">
        <v>44.003248182225299</v>
      </c>
      <c r="O4953">
        <v>43.351664213496903</v>
      </c>
      <c r="P4953">
        <v>-0.121457867660535</v>
      </c>
      <c r="Q4953">
        <v>7.6348782032401794E-2</v>
      </c>
      <c r="R4953">
        <v>0.95663417177758103</v>
      </c>
      <c r="S4953" t="s">
        <v>11759</v>
      </c>
      <c r="T4953" t="s">
        <v>13610</v>
      </c>
      <c r="U4953" t="s">
        <v>13610</v>
      </c>
      <c r="V4953" t="s">
        <v>13610</v>
      </c>
      <c r="W4953" t="s">
        <v>18501</v>
      </c>
      <c r="X4953">
        <v>7</v>
      </c>
      <c r="Y4953" t="s">
        <v>25072</v>
      </c>
      <c r="Z4953" t="s">
        <v>31808</v>
      </c>
      <c r="AA4953">
        <v>0.20376682416548389</v>
      </c>
      <c r="AB4953" t="str">
        <f>HYPERLINK("Melting_Curves/meltCurve_Q93100_4_PHKB.pdf", "Melting_Curves/meltCurve_Q93100_4_PHKB.pdf")</f>
        <v>Melting_Curves/meltCurve_Q93100_4_PHKB.pdf</v>
      </c>
    </row>
    <row r="4954" spans="1:28" x14ac:dyDescent="0.25">
      <c r="A4954" t="s">
        <v>4958</v>
      </c>
      <c r="B4954">
        <v>0.995954080203443</v>
      </c>
      <c r="C4954">
        <v>0.96280069715263705</v>
      </c>
      <c r="D4954">
        <v>1.0531902748257</v>
      </c>
      <c r="E4954">
        <v>0.813167511737381</v>
      </c>
      <c r="F4954">
        <v>0.77057328520781698</v>
      </c>
      <c r="G4954">
        <v>0.58591472337357897</v>
      </c>
      <c r="H4954">
        <v>0.51722285788849898</v>
      </c>
      <c r="I4954">
        <v>0.63156850126668496</v>
      </c>
      <c r="J4954">
        <v>0.77841459731155704</v>
      </c>
      <c r="K4954">
        <v>0.73820589567671802</v>
      </c>
      <c r="L4954">
        <v>1695.7013020706299</v>
      </c>
      <c r="M4954">
        <v>33.6846930557669</v>
      </c>
      <c r="O4954">
        <v>50.163982508909903</v>
      </c>
      <c r="P4954">
        <v>-5.7632208705768101E-2</v>
      </c>
      <c r="Q4954">
        <v>0.65669282196684198</v>
      </c>
      <c r="R4954">
        <v>0.79574875200380202</v>
      </c>
      <c r="S4954" t="s">
        <v>11760</v>
      </c>
      <c r="T4954" t="s">
        <v>13610</v>
      </c>
      <c r="U4954" t="s">
        <v>13610</v>
      </c>
      <c r="V4954" t="s">
        <v>13610</v>
      </c>
      <c r="W4954" t="s">
        <v>18502</v>
      </c>
      <c r="X4954">
        <v>2</v>
      </c>
      <c r="Y4954" t="s">
        <v>25073</v>
      </c>
      <c r="Z4954" t="s">
        <v>31809</v>
      </c>
      <c r="AA4954">
        <v>0.77671417483573368</v>
      </c>
      <c r="AB4954" t="str">
        <f>HYPERLINK("Melting_Curves/meltCurve_Q969E8_TSR2.pdf", "Melting_Curves/meltCurve_Q969E8_TSR2.pdf")</f>
        <v>Melting_Curves/meltCurve_Q969E8_TSR2.pdf</v>
      </c>
    </row>
    <row r="4955" spans="1:28" x14ac:dyDescent="0.25">
      <c r="A4955" t="s">
        <v>4959</v>
      </c>
      <c r="B4955">
        <v>0.995954080203443</v>
      </c>
      <c r="C4955">
        <v>0.84526489129788995</v>
      </c>
      <c r="D4955">
        <v>0.61942899274817098</v>
      </c>
      <c r="E4955">
        <v>0.649913551390364</v>
      </c>
      <c r="F4955">
        <v>0.51616101681164595</v>
      </c>
      <c r="G4955">
        <v>0.40987489472028699</v>
      </c>
      <c r="H4955">
        <v>0.457735170147124</v>
      </c>
      <c r="I4955">
        <v>0.58035179884827803</v>
      </c>
      <c r="J4955">
        <v>0.66760543507211501</v>
      </c>
      <c r="K4955">
        <v>0.70520303420907904</v>
      </c>
      <c r="L4955">
        <v>1565.6676665514501</v>
      </c>
      <c r="M4955">
        <v>35.897891631341103</v>
      </c>
      <c r="O4955">
        <v>43.479796930227799</v>
      </c>
      <c r="P4955">
        <v>-8.9190586809837394E-2</v>
      </c>
      <c r="Q4955">
        <v>0.56788819316259498</v>
      </c>
      <c r="R4955">
        <v>0.73115312042938396</v>
      </c>
      <c r="S4955" t="s">
        <v>11761</v>
      </c>
      <c r="T4955" t="s">
        <v>13610</v>
      </c>
      <c r="U4955" t="s">
        <v>13610</v>
      </c>
      <c r="V4955" t="s">
        <v>13610</v>
      </c>
      <c r="W4955" t="s">
        <v>18503</v>
      </c>
      <c r="X4955">
        <v>2</v>
      </c>
      <c r="Y4955" t="s">
        <v>25074</v>
      </c>
      <c r="Z4955" t="s">
        <v>31810</v>
      </c>
      <c r="AA4955">
        <v>0.6221077843079702</v>
      </c>
      <c r="AB4955" t="str">
        <f>HYPERLINK("Melting_Curves/meltCurve_Q969F1_GTF3C6.pdf", "Melting_Curves/meltCurve_Q969F1_GTF3C6.pdf")</f>
        <v>Melting_Curves/meltCurve_Q969F1_GTF3C6.pdf</v>
      </c>
    </row>
    <row r="4956" spans="1:28" x14ac:dyDescent="0.25">
      <c r="A4956" t="s">
        <v>4960</v>
      </c>
      <c r="B4956">
        <v>0.995954080203443</v>
      </c>
      <c r="C4956">
        <v>0.844605933363205</v>
      </c>
      <c r="D4956">
        <v>0.49659731078727898</v>
      </c>
      <c r="E4956">
        <v>0.390788662550971</v>
      </c>
      <c r="F4956">
        <v>0.27120322492635701</v>
      </c>
      <c r="G4956">
        <v>0.16147502996155999</v>
      </c>
      <c r="H4956">
        <v>7.8736717451800498E-2</v>
      </c>
      <c r="I4956">
        <v>6.4326932661554301E-2</v>
      </c>
      <c r="J4956">
        <v>6.1415196269250398E-2</v>
      </c>
      <c r="K4956">
        <v>5.9361467915044402E-2</v>
      </c>
      <c r="L4956">
        <v>628.06461510029101</v>
      </c>
      <c r="M4956">
        <v>13.308318500895201</v>
      </c>
      <c r="N4956">
        <v>47.585978823459897</v>
      </c>
      <c r="O4956">
        <v>46.165996415566703</v>
      </c>
      <c r="P4956">
        <v>-6.8331857945475902E-2</v>
      </c>
      <c r="Q4956">
        <v>5.1991521023785001E-2</v>
      </c>
      <c r="R4956">
        <v>0.97749759733950703</v>
      </c>
      <c r="S4956" t="s">
        <v>11762</v>
      </c>
      <c r="T4956" t="s">
        <v>13610</v>
      </c>
      <c r="U4956" t="s">
        <v>13610</v>
      </c>
      <c r="V4956" t="s">
        <v>13610</v>
      </c>
      <c r="W4956" t="s">
        <v>18504</v>
      </c>
      <c r="X4956">
        <v>9</v>
      </c>
      <c r="Y4956" t="s">
        <v>25075</v>
      </c>
      <c r="Z4956" t="s">
        <v>31811</v>
      </c>
      <c r="AA4956">
        <v>0.31160930112464719</v>
      </c>
      <c r="AB4956" t="str">
        <f>HYPERLINK("Melting_Curves/meltCurve_Q969F9_HPS3.pdf", "Melting_Curves/meltCurve_Q969F9_HPS3.pdf")</f>
        <v>Melting_Curves/meltCurve_Q969F9_HPS3.pdf</v>
      </c>
    </row>
    <row r="4957" spans="1:28" x14ac:dyDescent="0.25">
      <c r="A4957" t="s">
        <v>4961</v>
      </c>
      <c r="B4957">
        <v>0.995954080203443</v>
      </c>
      <c r="C4957">
        <v>0.74108568899267502</v>
      </c>
      <c r="D4957">
        <v>0.490202406729983</v>
      </c>
      <c r="E4957">
        <v>0.33371366280673698</v>
      </c>
      <c r="F4957">
        <v>0.17366581215983901</v>
      </c>
      <c r="G4957">
        <v>8.6736786247885E-2</v>
      </c>
      <c r="H4957">
        <v>5.8479183822964201E-2</v>
      </c>
      <c r="I4957">
        <v>4.5803928154700503E-2</v>
      </c>
      <c r="J4957">
        <v>5.3110343142304402E-2</v>
      </c>
      <c r="K4957">
        <v>5.0361043030673798E-2</v>
      </c>
      <c r="L4957">
        <v>679.81518819282496</v>
      </c>
      <c r="M4957">
        <v>14.704414761672201</v>
      </c>
      <c r="N4957">
        <v>46.501983603747298</v>
      </c>
      <c r="O4957">
        <v>45.402236373098702</v>
      </c>
      <c r="P4957">
        <v>-7.7663743936654095E-2</v>
      </c>
      <c r="Q4957">
        <v>4.0907747129720999E-2</v>
      </c>
      <c r="R4957">
        <v>0.98686731770825797</v>
      </c>
      <c r="S4957" t="s">
        <v>11763</v>
      </c>
      <c r="T4957" t="s">
        <v>13610</v>
      </c>
      <c r="U4957" t="s">
        <v>13610</v>
      </c>
      <c r="V4957" t="s">
        <v>13610</v>
      </c>
      <c r="W4957" t="s">
        <v>18505</v>
      </c>
      <c r="X4957">
        <v>17</v>
      </c>
      <c r="Y4957" t="s">
        <v>25076</v>
      </c>
      <c r="Z4957" t="s">
        <v>31812</v>
      </c>
      <c r="AA4957">
        <v>0.26880412115490238</v>
      </c>
      <c r="AB4957" t="str">
        <f>HYPERLINK("Melting_Curves/meltCurve_Q969G3_2_SMARCE1.pdf", "Melting_Curves/meltCurve_Q969G3_2_SMARCE1.pdf")</f>
        <v>Melting_Curves/meltCurve_Q969G3_2_SMARCE1.pdf</v>
      </c>
    </row>
    <row r="4958" spans="1:28" x14ac:dyDescent="0.25">
      <c r="A4958" t="s">
        <v>4962</v>
      </c>
      <c r="B4958">
        <v>0.995954080203443</v>
      </c>
      <c r="C4958">
        <v>0.96619105827734497</v>
      </c>
      <c r="D4958">
        <v>0.93874884645124901</v>
      </c>
      <c r="E4958">
        <v>0.51994850337516096</v>
      </c>
      <c r="F4958">
        <v>0.14036678905872699</v>
      </c>
      <c r="G4958">
        <v>6.6515064722378503E-2</v>
      </c>
      <c r="H4958">
        <v>4.0836353736419299E-2</v>
      </c>
      <c r="I4958">
        <v>3.4853740106372398E-2</v>
      </c>
      <c r="J4958">
        <v>3.5852408158459699E-2</v>
      </c>
      <c r="K4958">
        <v>3.5386091307242601E-2</v>
      </c>
      <c r="L4958">
        <v>1702.3626727393801</v>
      </c>
      <c r="M4958">
        <v>34.078521196285898</v>
      </c>
      <c r="N4958">
        <v>50.067850190728201</v>
      </c>
      <c r="O4958">
        <v>49.783038076860798</v>
      </c>
      <c r="P4958">
        <v>-0.16476223784678901</v>
      </c>
      <c r="Q4958">
        <v>3.72429167288039E-2</v>
      </c>
      <c r="R4958">
        <v>0.99900950278087497</v>
      </c>
      <c r="S4958" t="s">
        <v>11764</v>
      </c>
      <c r="T4958" t="s">
        <v>13610</v>
      </c>
      <c r="U4958" t="s">
        <v>13610</v>
      </c>
      <c r="V4958" t="s">
        <v>13610</v>
      </c>
      <c r="W4958" t="s">
        <v>18506</v>
      </c>
      <c r="X4958">
        <v>5</v>
      </c>
      <c r="Y4958" t="s">
        <v>25077</v>
      </c>
      <c r="Z4958" t="s">
        <v>31813</v>
      </c>
      <c r="AA4958">
        <v>0.36128673645524301</v>
      </c>
      <c r="AB4958" t="str">
        <f>HYPERLINK("Melting_Curves/meltCurve_Q969G6_RFK.pdf", "Melting_Curves/meltCurve_Q969G6_RFK.pdf")</f>
        <v>Melting_Curves/meltCurve_Q969G6_RFK.pdf</v>
      </c>
    </row>
    <row r="4959" spans="1:28" x14ac:dyDescent="0.25">
      <c r="A4959" t="s">
        <v>4963</v>
      </c>
      <c r="B4959">
        <v>0.995954080203443</v>
      </c>
      <c r="C4959">
        <v>1.0671447956837099</v>
      </c>
      <c r="D4959">
        <v>1.17047767609416</v>
      </c>
      <c r="E4959">
        <v>0.99929845970488995</v>
      </c>
      <c r="F4959">
        <v>0.99335706787367795</v>
      </c>
      <c r="G4959">
        <v>0.807575664580786</v>
      </c>
      <c r="H4959">
        <v>0.79716242632379897</v>
      </c>
      <c r="I4959">
        <v>1.0751733287806899</v>
      </c>
      <c r="J4959">
        <v>1.1254511787980099</v>
      </c>
      <c r="K4959">
        <v>1.20178243000468</v>
      </c>
      <c r="L4959">
        <v>3560.0619056655701</v>
      </c>
      <c r="M4959">
        <v>53.991989495484702</v>
      </c>
      <c r="O4959">
        <v>65.846584923481799</v>
      </c>
      <c r="P4959">
        <v>4.1504494202436702E-2</v>
      </c>
      <c r="Q4959">
        <v>1.2024691077831799</v>
      </c>
      <c r="R4959">
        <v>0.31756619491538002</v>
      </c>
      <c r="S4959" t="s">
        <v>11765</v>
      </c>
      <c r="T4959" t="s">
        <v>13610</v>
      </c>
      <c r="U4959" t="s">
        <v>13610</v>
      </c>
      <c r="V4959" t="s">
        <v>13610</v>
      </c>
      <c r="W4959" t="s">
        <v>18507</v>
      </c>
      <c r="X4959">
        <v>2</v>
      </c>
      <c r="Y4959" t="s">
        <v>25078</v>
      </c>
      <c r="Z4959" t="s">
        <v>31814</v>
      </c>
      <c r="AA4959">
        <v>1.027330125834244</v>
      </c>
      <c r="AB4959" t="str">
        <f>HYPERLINK("Melting_Curves/meltCurve_Q969H0_FBXW7.pdf", "Melting_Curves/meltCurve_Q969H0_FBXW7.pdf")</f>
        <v>Melting_Curves/meltCurve_Q969H0_FBXW7.pdf</v>
      </c>
    </row>
    <row r="4960" spans="1:28" x14ac:dyDescent="0.25">
      <c r="A4960" t="s">
        <v>4964</v>
      </c>
      <c r="B4960">
        <v>0.995954080203443</v>
      </c>
      <c r="C4960">
        <v>0.86055950589646302</v>
      </c>
      <c r="D4960">
        <v>0.64188474478847002</v>
      </c>
      <c r="E4960">
        <v>0.64709047343603199</v>
      </c>
      <c r="F4960">
        <v>0.44178707841591902</v>
      </c>
      <c r="G4960">
        <v>0.28051523560638397</v>
      </c>
      <c r="H4960">
        <v>0.17141568174143801</v>
      </c>
      <c r="I4960">
        <v>0.17284907583523901</v>
      </c>
      <c r="J4960">
        <v>0.12622044047373099</v>
      </c>
      <c r="K4960">
        <v>0.116542865407333</v>
      </c>
      <c r="L4960">
        <v>476.430528613832</v>
      </c>
      <c r="M4960">
        <v>9.3270071056387103</v>
      </c>
      <c r="N4960">
        <v>51.442570717114499</v>
      </c>
      <c r="O4960">
        <v>48.897492869219803</v>
      </c>
      <c r="P4960">
        <v>-4.6201930767048399E-2</v>
      </c>
      <c r="Q4960">
        <v>3.1746636982204403E-2</v>
      </c>
      <c r="R4960">
        <v>0.97504286447368105</v>
      </c>
      <c r="S4960" t="s">
        <v>11766</v>
      </c>
      <c r="T4960" t="s">
        <v>13610</v>
      </c>
      <c r="U4960" t="s">
        <v>13610</v>
      </c>
      <c r="V4960" t="s">
        <v>13610</v>
      </c>
      <c r="W4960" t="s">
        <v>18508</v>
      </c>
      <c r="X4960">
        <v>3</v>
      </c>
      <c r="Y4960" t="s">
        <v>25079</v>
      </c>
      <c r="Z4960" t="s">
        <v>31815</v>
      </c>
      <c r="AA4960">
        <v>0.43281734888321072</v>
      </c>
      <c r="AB4960" t="str">
        <f>HYPERLINK("Melting_Curves/meltCurve_Q969H6_2_POP5.pdf", "Melting_Curves/meltCurve_Q969H6_2_POP5.pdf")</f>
        <v>Melting_Curves/meltCurve_Q969H6_2_POP5.pdf</v>
      </c>
    </row>
    <row r="4961" spans="1:28" x14ac:dyDescent="0.25">
      <c r="A4961" t="s">
        <v>4965</v>
      </c>
      <c r="B4961">
        <v>0.995954080203443</v>
      </c>
      <c r="C4961">
        <v>0.74360979881536904</v>
      </c>
      <c r="D4961">
        <v>0.872355232131658</v>
      </c>
      <c r="E4961">
        <v>0.43736348510229001</v>
      </c>
      <c r="F4961">
        <v>1.27819042659542</v>
      </c>
      <c r="G4961">
        <v>0.84160367409660497</v>
      </c>
      <c r="H4961">
        <v>0.67374760138870804</v>
      </c>
      <c r="I4961">
        <v>0.40946491667616502</v>
      </c>
      <c r="J4961">
        <v>0.121169897220557</v>
      </c>
      <c r="K4961">
        <v>8.3217744941879404E-2</v>
      </c>
      <c r="L4961">
        <v>1537.5547734783399</v>
      </c>
      <c r="M4961">
        <v>24.527446720103899</v>
      </c>
      <c r="N4961">
        <v>62.687121428513997</v>
      </c>
      <c r="O4961">
        <v>62.274850061534202</v>
      </c>
      <c r="P4961">
        <v>-9.8465898218396103E-2</v>
      </c>
      <c r="Q4961">
        <v>0</v>
      </c>
      <c r="R4961">
        <v>0.62692379408237497</v>
      </c>
      <c r="S4961" t="s">
        <v>11767</v>
      </c>
      <c r="T4961" t="s">
        <v>13610</v>
      </c>
      <c r="U4961" t="s">
        <v>13610</v>
      </c>
      <c r="V4961" t="s">
        <v>13610</v>
      </c>
      <c r="W4961" t="s">
        <v>18509</v>
      </c>
      <c r="X4961">
        <v>4</v>
      </c>
      <c r="Y4961" t="s">
        <v>25080</v>
      </c>
      <c r="Z4961" t="s">
        <v>31816</v>
      </c>
      <c r="AA4961">
        <v>0.75919225464317808</v>
      </c>
      <c r="AB4961" t="str">
        <f>HYPERLINK("Melting_Curves/meltCurve_Q969H8_C19orf10.pdf", "Melting_Curves/meltCurve_Q969H8_C19orf10.pdf")</f>
        <v>Melting_Curves/meltCurve_Q969H8_C19orf10.pdf</v>
      </c>
    </row>
    <row r="4962" spans="1:28" x14ac:dyDescent="0.25">
      <c r="A4962" t="s">
        <v>4966</v>
      </c>
      <c r="B4962">
        <v>0.995954080203443</v>
      </c>
      <c r="C4962">
        <v>0.98944085813412497</v>
      </c>
      <c r="D4962">
        <v>1.0744336639869401</v>
      </c>
      <c r="E4962">
        <v>0.90283590223893895</v>
      </c>
      <c r="F4962">
        <v>0.77634851775514502</v>
      </c>
      <c r="G4962">
        <v>0.441724061044031</v>
      </c>
      <c r="H4962">
        <v>0.33546041492839601</v>
      </c>
      <c r="I4962">
        <v>0.33197211696833201</v>
      </c>
      <c r="J4962">
        <v>0.47974455302525199</v>
      </c>
      <c r="K4962">
        <v>0.38395107925259597</v>
      </c>
      <c r="L4962">
        <v>1865.4231203391701</v>
      </c>
      <c r="M4962">
        <v>34.767019296443998</v>
      </c>
      <c r="N4962">
        <v>55.939825507174703</v>
      </c>
      <c r="O4962">
        <v>53.478385237824298</v>
      </c>
      <c r="P4962">
        <v>-0.100906088240011</v>
      </c>
      <c r="Q4962">
        <v>0.37915016191951401</v>
      </c>
      <c r="R4962">
        <v>0.97069414359114303</v>
      </c>
      <c r="S4962" t="s">
        <v>11768</v>
      </c>
      <c r="T4962" t="s">
        <v>13610</v>
      </c>
      <c r="U4962" t="s">
        <v>13610</v>
      </c>
      <c r="V4962" t="s">
        <v>13610</v>
      </c>
      <c r="W4962" t="s">
        <v>18510</v>
      </c>
      <c r="X4962">
        <v>7</v>
      </c>
      <c r="Y4962" t="s">
        <v>25081</v>
      </c>
      <c r="Z4962" t="s">
        <v>31817</v>
      </c>
      <c r="AA4962">
        <v>0.66477973231951093</v>
      </c>
      <c r="AB4962" t="str">
        <f>HYPERLINK("Melting_Curves/meltCurve_Q969J2_ZKSCAN4.pdf", "Melting_Curves/meltCurve_Q969J2_ZKSCAN4.pdf")</f>
        <v>Melting_Curves/meltCurve_Q969J2_ZKSCAN4.pdf</v>
      </c>
    </row>
    <row r="4963" spans="1:28" x14ac:dyDescent="0.25">
      <c r="A4963" t="s">
        <v>4967</v>
      </c>
      <c r="B4963">
        <v>0.995954080203443</v>
      </c>
      <c r="C4963">
        <v>1.0407759245563799</v>
      </c>
      <c r="D4963">
        <v>1.02823634107989</v>
      </c>
      <c r="E4963">
        <v>0.87757111621472805</v>
      </c>
      <c r="F4963">
        <v>0.700398089428797</v>
      </c>
      <c r="G4963">
        <v>0.41171405746651102</v>
      </c>
      <c r="H4963">
        <v>0.23785514788248399</v>
      </c>
      <c r="I4963">
        <v>0.18757679709604699</v>
      </c>
      <c r="J4963">
        <v>0.153104236305874</v>
      </c>
      <c r="K4963">
        <v>0.15229103576140701</v>
      </c>
      <c r="L4963">
        <v>1106.21583711987</v>
      </c>
      <c r="M4963">
        <v>20.216359241958301</v>
      </c>
      <c r="N4963">
        <v>55.628368010664303</v>
      </c>
      <c r="O4963">
        <v>54.191880681911798</v>
      </c>
      <c r="P4963">
        <v>-8.0140374591529701E-2</v>
      </c>
      <c r="Q4963">
        <v>0.14073110082326001</v>
      </c>
      <c r="R4963">
        <v>0.99675015365790398</v>
      </c>
      <c r="S4963" t="s">
        <v>11769</v>
      </c>
      <c r="T4963" t="s">
        <v>13610</v>
      </c>
      <c r="U4963" t="s">
        <v>13610</v>
      </c>
      <c r="V4963" t="s">
        <v>13610</v>
      </c>
      <c r="W4963" t="s">
        <v>18511</v>
      </c>
      <c r="X4963">
        <v>12</v>
      </c>
      <c r="Y4963" t="s">
        <v>25082</v>
      </c>
      <c r="Z4963" t="s">
        <v>31818</v>
      </c>
      <c r="AA4963">
        <v>0.57364321192305634</v>
      </c>
      <c r="AB4963" t="str">
        <f>HYPERLINK("Melting_Curves/meltCurve_Q969J3_LOH12CR1.pdf", "Melting_Curves/meltCurve_Q969J3_LOH12CR1.pdf")</f>
        <v>Melting_Curves/meltCurve_Q969J3_LOH12CR1.pdf</v>
      </c>
    </row>
    <row r="4964" spans="1:28" x14ac:dyDescent="0.25">
      <c r="A4964" t="s">
        <v>4968</v>
      </c>
      <c r="B4964">
        <v>0.995954080203443</v>
      </c>
      <c r="C4964">
        <v>0.947764532851744</v>
      </c>
      <c r="D4964">
        <v>0.95496522167424902</v>
      </c>
      <c r="E4964">
        <v>0.76320155993509198</v>
      </c>
      <c r="F4964">
        <v>0.72071482897271699</v>
      </c>
      <c r="G4964">
        <v>0.49688091236368698</v>
      </c>
      <c r="H4964">
        <v>0.43505220968324898</v>
      </c>
      <c r="I4964">
        <v>0.45782460548195197</v>
      </c>
      <c r="J4964">
        <v>0.49768822112552602</v>
      </c>
      <c r="K4964">
        <v>0.43036912860405402</v>
      </c>
      <c r="L4964">
        <v>876.97458062345697</v>
      </c>
      <c r="M4964">
        <v>16.9474911780698</v>
      </c>
      <c r="N4964">
        <v>58.7868803716133</v>
      </c>
      <c r="O4964">
        <v>51.0422044719312</v>
      </c>
      <c r="P4964">
        <v>-4.6959495771279898E-2</v>
      </c>
      <c r="Q4964">
        <v>0.43430771497876097</v>
      </c>
      <c r="R4964">
        <v>0.97585714984125604</v>
      </c>
      <c r="S4964" t="s">
        <v>11770</v>
      </c>
      <c r="T4964" t="s">
        <v>13610</v>
      </c>
      <c r="U4964" t="s">
        <v>13610</v>
      </c>
      <c r="V4964" t="s">
        <v>13610</v>
      </c>
      <c r="W4964" t="s">
        <v>18512</v>
      </c>
      <c r="X4964">
        <v>8</v>
      </c>
      <c r="Y4964" t="s">
        <v>25083</v>
      </c>
      <c r="Z4964" t="s">
        <v>31819</v>
      </c>
      <c r="AA4964">
        <v>0.6662733352727942</v>
      </c>
      <c r="AB4964" t="str">
        <f>HYPERLINK("Melting_Curves/meltCurve_Q969K3_RNF34.pdf", "Melting_Curves/meltCurve_Q969K3_RNF34.pdf")</f>
        <v>Melting_Curves/meltCurve_Q969K3_RNF34.pdf</v>
      </c>
    </row>
    <row r="4965" spans="1:28" x14ac:dyDescent="0.25">
      <c r="A4965" t="s">
        <v>4969</v>
      </c>
      <c r="B4965">
        <v>0.995954080203443</v>
      </c>
      <c r="C4965">
        <v>0.85661980572133001</v>
      </c>
      <c r="D4965">
        <v>0.68432405267419005</v>
      </c>
      <c r="E4965">
        <v>0.74327795307472899</v>
      </c>
      <c r="F4965">
        <v>0.50773867071659395</v>
      </c>
      <c r="G4965">
        <v>0.347390036285052</v>
      </c>
      <c r="H4965">
        <v>0.240458145140937</v>
      </c>
      <c r="I4965">
        <v>0.20563043810318901</v>
      </c>
      <c r="J4965">
        <v>0.11388289577215301</v>
      </c>
      <c r="K4965">
        <v>4.26240694082472E-2</v>
      </c>
      <c r="L4965">
        <v>473.553836224988</v>
      </c>
      <c r="M4965">
        <v>8.9142107092462606</v>
      </c>
      <c r="N4965">
        <v>53.1234726255827</v>
      </c>
      <c r="O4965">
        <v>50.654045628353998</v>
      </c>
      <c r="P4965">
        <v>-4.4028682524580101E-2</v>
      </c>
      <c r="Q4965">
        <v>0</v>
      </c>
      <c r="R4965">
        <v>0.96655829993766595</v>
      </c>
      <c r="S4965" t="s">
        <v>11771</v>
      </c>
      <c r="T4965" t="s">
        <v>13610</v>
      </c>
      <c r="U4965" t="s">
        <v>13610</v>
      </c>
      <c r="V4965" t="s">
        <v>13610</v>
      </c>
      <c r="W4965" t="s">
        <v>18513</v>
      </c>
      <c r="X4965">
        <v>5</v>
      </c>
      <c r="Y4965" t="s">
        <v>25084</v>
      </c>
      <c r="Z4965" t="s">
        <v>31820</v>
      </c>
      <c r="AA4965">
        <v>0.47447717394315858</v>
      </c>
      <c r="AB4965" t="str">
        <f>HYPERLINK("Melting_Curves/meltCurve_Q969L4_LSM10.pdf", "Melting_Curves/meltCurve_Q969L4_LSM10.pdf")</f>
        <v>Melting_Curves/meltCurve_Q969L4_LSM10.pdf</v>
      </c>
    </row>
    <row r="4966" spans="1:28" x14ac:dyDescent="0.25">
      <c r="A4966" t="s">
        <v>4970</v>
      </c>
      <c r="B4966">
        <v>0.995954080203443</v>
      </c>
      <c r="C4966">
        <v>0.88925544355762398</v>
      </c>
      <c r="D4966">
        <v>0.83404239683431702</v>
      </c>
      <c r="E4966">
        <v>0.83709744951621901</v>
      </c>
      <c r="F4966">
        <v>0.84083138737558605</v>
      </c>
      <c r="G4966">
        <v>0.54184453372991104</v>
      </c>
      <c r="H4966">
        <v>0.62131647909019205</v>
      </c>
      <c r="I4966">
        <v>0.67968654374938497</v>
      </c>
      <c r="J4966">
        <v>0.804526479069128</v>
      </c>
      <c r="K4966">
        <v>0.77586311973608202</v>
      </c>
      <c r="L4966">
        <v>623.43420379453505</v>
      </c>
      <c r="M4966">
        <v>13.4487123306602</v>
      </c>
      <c r="O4966">
        <v>45.367476986379401</v>
      </c>
      <c r="P4966">
        <v>-2.2333852287973199E-2</v>
      </c>
      <c r="Q4966">
        <v>0.69868529092529497</v>
      </c>
      <c r="R4966">
        <v>0.55784542636547196</v>
      </c>
      <c r="S4966" t="s">
        <v>11772</v>
      </c>
      <c r="T4966" t="s">
        <v>13610</v>
      </c>
      <c r="U4966" t="s">
        <v>13610</v>
      </c>
      <c r="V4966" t="s">
        <v>13610</v>
      </c>
      <c r="W4966" t="s">
        <v>18514</v>
      </c>
      <c r="X4966">
        <v>2</v>
      </c>
      <c r="Y4966" t="s">
        <v>25085</v>
      </c>
      <c r="Z4966" t="s">
        <v>31821</v>
      </c>
      <c r="AA4966">
        <v>0.77321746820295978</v>
      </c>
      <c r="AB4966" t="str">
        <f>HYPERLINK("Melting_Curves/meltCurve_Q969M3_YIPF5.pdf", "Melting_Curves/meltCurve_Q969M3_YIPF5.pdf")</f>
        <v>Melting_Curves/meltCurve_Q969M3_YIPF5.pdf</v>
      </c>
    </row>
    <row r="4967" spans="1:28" x14ac:dyDescent="0.25">
      <c r="A4967" t="s">
        <v>4971</v>
      </c>
      <c r="B4967">
        <v>0.995954080203443</v>
      </c>
      <c r="C4967">
        <v>0.99107866153818203</v>
      </c>
      <c r="D4967">
        <v>0.84108414602715298</v>
      </c>
      <c r="E4967">
        <v>0.69079258908373697</v>
      </c>
      <c r="F4967">
        <v>0.59040552536522595</v>
      </c>
      <c r="G4967">
        <v>0.43526045340182201</v>
      </c>
      <c r="H4967">
        <v>0.38367963783011</v>
      </c>
      <c r="I4967">
        <v>0.40657148239920499</v>
      </c>
      <c r="J4967">
        <v>0.48562304020248498</v>
      </c>
      <c r="K4967">
        <v>0.46533112544663502</v>
      </c>
      <c r="L4967">
        <v>884.88308350993805</v>
      </c>
      <c r="M4967">
        <v>17.927203727236101</v>
      </c>
      <c r="N4967">
        <v>55.206712366849999</v>
      </c>
      <c r="O4967">
        <v>48.757901505246203</v>
      </c>
      <c r="P4967">
        <v>-5.2845726436806101E-2</v>
      </c>
      <c r="Q4967">
        <v>0.42511557567942498</v>
      </c>
      <c r="R4967">
        <v>0.97317405854811601</v>
      </c>
      <c r="S4967" t="s">
        <v>11773</v>
      </c>
      <c r="T4967" t="s">
        <v>13610</v>
      </c>
      <c r="U4967" t="s">
        <v>13610</v>
      </c>
      <c r="V4967" t="s">
        <v>13610</v>
      </c>
      <c r="W4967" t="s">
        <v>18515</v>
      </c>
      <c r="X4967">
        <v>9</v>
      </c>
      <c r="Y4967" t="s">
        <v>25086</v>
      </c>
      <c r="Z4967" t="s">
        <v>31822</v>
      </c>
      <c r="AA4967">
        <v>0.61444949950411654</v>
      </c>
      <c r="AB4967" t="str">
        <f>HYPERLINK("Melting_Curves/meltCurve_Q969R5_L3MBTL2.pdf", "Melting_Curves/meltCurve_Q969R5_L3MBTL2.pdf")</f>
        <v>Melting_Curves/meltCurve_Q969R5_L3MBTL2.pdf</v>
      </c>
    </row>
    <row r="4968" spans="1:28" x14ac:dyDescent="0.25">
      <c r="A4968" t="s">
        <v>4972</v>
      </c>
      <c r="B4968">
        <v>0.995954080203443</v>
      </c>
      <c r="C4968">
        <v>0.87690990861470697</v>
      </c>
      <c r="D4968">
        <v>0.60900000383356101</v>
      </c>
      <c r="E4968">
        <v>0.54794477937056496</v>
      </c>
      <c r="F4968">
        <v>0.37507020573708799</v>
      </c>
      <c r="G4968">
        <v>0.21325457281578</v>
      </c>
      <c r="H4968">
        <v>0.13241804592547901</v>
      </c>
      <c r="I4968">
        <v>0.13782814503683299</v>
      </c>
      <c r="J4968">
        <v>0.15092412835194199</v>
      </c>
      <c r="K4968">
        <v>0.11581685982402699</v>
      </c>
      <c r="L4968">
        <v>570.806160830301</v>
      </c>
      <c r="M4968">
        <v>11.6566349007079</v>
      </c>
      <c r="N4968">
        <v>49.773992779969198</v>
      </c>
      <c r="O4968">
        <v>47.593758231858999</v>
      </c>
      <c r="P4968">
        <v>-5.5980885609931003E-2</v>
      </c>
      <c r="Q4968">
        <v>8.5972139631234207E-2</v>
      </c>
      <c r="R4968">
        <v>0.97900559123968001</v>
      </c>
      <c r="S4968" t="s">
        <v>11774</v>
      </c>
      <c r="T4968" t="s">
        <v>13610</v>
      </c>
      <c r="U4968" t="s">
        <v>13610</v>
      </c>
      <c r="V4968" t="s">
        <v>13610</v>
      </c>
      <c r="W4968" t="s">
        <v>18516</v>
      </c>
      <c r="X4968">
        <v>5</v>
      </c>
      <c r="Y4968" t="s">
        <v>25087</v>
      </c>
      <c r="Z4968" t="s">
        <v>31823</v>
      </c>
      <c r="AA4968">
        <v>0.39452317798766151</v>
      </c>
      <c r="AB4968" t="str">
        <f>HYPERLINK("Melting_Curves/meltCurve_Q969S3_ZNF622.pdf", "Melting_Curves/meltCurve_Q969S3_ZNF622.pdf")</f>
        <v>Melting_Curves/meltCurve_Q969S3_ZNF622.pdf</v>
      </c>
    </row>
    <row r="4969" spans="1:28" x14ac:dyDescent="0.25">
      <c r="A4969" t="s">
        <v>4973</v>
      </c>
      <c r="B4969">
        <v>0.995954080203443</v>
      </c>
      <c r="C4969">
        <v>0.709683868000203</v>
      </c>
      <c r="D4969">
        <v>0.446913982522671</v>
      </c>
      <c r="E4969">
        <v>0.34524519954747801</v>
      </c>
      <c r="F4969">
        <v>0.187962300687671</v>
      </c>
      <c r="G4969">
        <v>0.11386168874092201</v>
      </c>
      <c r="H4969">
        <v>6.4524112976004105E-2</v>
      </c>
      <c r="I4969">
        <v>5.11947408439547E-2</v>
      </c>
      <c r="J4969">
        <v>5.4579502284596799E-2</v>
      </c>
      <c r="K4969">
        <v>6.4140103625958095E-2</v>
      </c>
      <c r="L4969">
        <v>651.56636481326098</v>
      </c>
      <c r="M4969">
        <v>14.2094032450595</v>
      </c>
      <c r="N4969">
        <v>46.218294099032001</v>
      </c>
      <c r="O4969">
        <v>44.975079079897597</v>
      </c>
      <c r="P4969">
        <v>-7.4816238715890299E-2</v>
      </c>
      <c r="Q4969">
        <v>5.28962803823919E-2</v>
      </c>
      <c r="R4969">
        <v>0.97732875985185796</v>
      </c>
      <c r="S4969" t="s">
        <v>11775</v>
      </c>
      <c r="T4969" t="s">
        <v>13610</v>
      </c>
      <c r="U4969" t="s">
        <v>13610</v>
      </c>
      <c r="V4969" t="s">
        <v>13610</v>
      </c>
      <c r="W4969" t="s">
        <v>18517</v>
      </c>
      <c r="X4969">
        <v>7</v>
      </c>
      <c r="Y4969" t="s">
        <v>25088</v>
      </c>
      <c r="Z4969" t="s">
        <v>31824</v>
      </c>
      <c r="AA4969">
        <v>0.26906775168748071</v>
      </c>
      <c r="AB4969" t="str">
        <f>HYPERLINK("Melting_Curves/meltCurve_Q969S9_2_GFM2.pdf", "Melting_Curves/meltCurve_Q969S9_2_GFM2.pdf")</f>
        <v>Melting_Curves/meltCurve_Q969S9_2_GFM2.pdf</v>
      </c>
    </row>
    <row r="4970" spans="1:28" x14ac:dyDescent="0.25">
      <c r="A4970" t="s">
        <v>4974</v>
      </c>
      <c r="B4970">
        <v>0.995954080203443</v>
      </c>
      <c r="C4970">
        <v>1.0982251607915801</v>
      </c>
      <c r="D4970">
        <v>1.0760185811924601</v>
      </c>
      <c r="E4970">
        <v>0.80529297016777202</v>
      </c>
      <c r="F4970">
        <v>0.29785032368132103</v>
      </c>
      <c r="G4970">
        <v>0.130660649466951</v>
      </c>
      <c r="H4970">
        <v>7.55991882314207E-2</v>
      </c>
      <c r="I4970">
        <v>5.3222337894775699E-2</v>
      </c>
      <c r="J4970">
        <v>6.7589380374567701E-2</v>
      </c>
      <c r="K4970">
        <v>5.09259732073368E-2</v>
      </c>
      <c r="L4970">
        <v>2161.54780489208</v>
      </c>
      <c r="M4970">
        <v>41.886691681930301</v>
      </c>
      <c r="N4970">
        <v>51.793791973139498</v>
      </c>
      <c r="O4970">
        <v>51.487423343718604</v>
      </c>
      <c r="P4970">
        <v>-0.18895917548074201</v>
      </c>
      <c r="Q4970">
        <v>7.0921420778039507E-2</v>
      </c>
      <c r="R4970">
        <v>0.99034842504377396</v>
      </c>
      <c r="S4970" t="s">
        <v>11776</v>
      </c>
      <c r="T4970" t="s">
        <v>13610</v>
      </c>
      <c r="U4970" t="s">
        <v>13610</v>
      </c>
      <c r="V4970" t="s">
        <v>13610</v>
      </c>
      <c r="W4970" t="s">
        <v>18518</v>
      </c>
      <c r="X4970">
        <v>8</v>
      </c>
      <c r="Y4970" t="s">
        <v>25089</v>
      </c>
      <c r="Z4970" t="s">
        <v>31825</v>
      </c>
      <c r="AA4970">
        <v>0.43332857887944071</v>
      </c>
      <c r="AB4970" t="str">
        <f>HYPERLINK("Melting_Curves/meltCurve_Q969T7_2_NT5C3B.pdf", "Melting_Curves/meltCurve_Q969T7_2_NT5C3B.pdf")</f>
        <v>Melting_Curves/meltCurve_Q969T7_2_NT5C3B.pdf</v>
      </c>
    </row>
    <row r="4971" spans="1:28" x14ac:dyDescent="0.25">
      <c r="A4971" t="s">
        <v>4975</v>
      </c>
      <c r="B4971">
        <v>0.995954080203443</v>
      </c>
      <c r="C4971">
        <v>0.94138736131621803</v>
      </c>
      <c r="D4971">
        <v>1.0055647404880701</v>
      </c>
      <c r="E4971">
        <v>0.77081010070242795</v>
      </c>
      <c r="F4971">
        <v>0.60549925321914899</v>
      </c>
      <c r="G4971">
        <v>0.352447550972526</v>
      </c>
      <c r="H4971">
        <v>0.229949231032677</v>
      </c>
      <c r="I4971">
        <v>0.192627804645085</v>
      </c>
      <c r="J4971">
        <v>0.201943949799397</v>
      </c>
      <c r="K4971">
        <v>0.16548390822405901</v>
      </c>
      <c r="L4971">
        <v>974.46153741958301</v>
      </c>
      <c r="M4971">
        <v>18.339444486321199</v>
      </c>
      <c r="N4971">
        <v>54.315779629745002</v>
      </c>
      <c r="O4971">
        <v>52.5150562185582</v>
      </c>
      <c r="P4971">
        <v>-7.2953214169448305E-2</v>
      </c>
      <c r="Q4971">
        <v>0.164431275829344</v>
      </c>
      <c r="R4971">
        <v>0.99434423798931404</v>
      </c>
      <c r="S4971" t="s">
        <v>11777</v>
      </c>
      <c r="T4971" t="s">
        <v>13610</v>
      </c>
      <c r="U4971" t="s">
        <v>13610</v>
      </c>
      <c r="V4971" t="s">
        <v>13610</v>
      </c>
      <c r="W4971" t="s">
        <v>18519</v>
      </c>
      <c r="X4971">
        <v>3</v>
      </c>
      <c r="Y4971" t="s">
        <v>25090</v>
      </c>
      <c r="Z4971" t="s">
        <v>31826</v>
      </c>
      <c r="AA4971">
        <v>0.54350835149245968</v>
      </c>
      <c r="AB4971" t="str">
        <f>HYPERLINK("Melting_Curves/meltCurve_Q969U6_FBXW5.pdf", "Melting_Curves/meltCurve_Q969U6_FBXW5.pdf")</f>
        <v>Melting_Curves/meltCurve_Q969U6_FBXW5.pdf</v>
      </c>
    </row>
    <row r="4972" spans="1:28" x14ac:dyDescent="0.25">
      <c r="A4972" t="s">
        <v>4976</v>
      </c>
      <c r="B4972">
        <v>0.995954080203443</v>
      </c>
      <c r="C4972">
        <v>0.92653458046278903</v>
      </c>
      <c r="D4972">
        <v>0.76419307397805702</v>
      </c>
      <c r="E4972">
        <v>0.41436570306276199</v>
      </c>
      <c r="F4972">
        <v>0.21962370088923699</v>
      </c>
      <c r="G4972">
        <v>0.11368508836039699</v>
      </c>
      <c r="H4972">
        <v>7.5881066842245395E-2</v>
      </c>
      <c r="I4972">
        <v>5.7506770558047503E-2</v>
      </c>
      <c r="J4972">
        <v>6.0198247439373999E-2</v>
      </c>
      <c r="K4972">
        <v>4.0213359448556203E-2</v>
      </c>
      <c r="L4972">
        <v>905.85069456364602</v>
      </c>
      <c r="M4972">
        <v>18.585986816163</v>
      </c>
      <c r="N4972">
        <v>49.006357466427602</v>
      </c>
      <c r="O4972">
        <v>48.184657164513901</v>
      </c>
      <c r="P4972">
        <v>-9.1775390828457995E-2</v>
      </c>
      <c r="Q4972">
        <v>4.8320913778422098E-2</v>
      </c>
      <c r="R4972">
        <v>0.99970677690829202</v>
      </c>
      <c r="S4972" t="s">
        <v>11778</v>
      </c>
      <c r="T4972" t="s">
        <v>13610</v>
      </c>
      <c r="U4972" t="s">
        <v>13610</v>
      </c>
      <c r="V4972" t="s">
        <v>13610</v>
      </c>
      <c r="W4972" t="s">
        <v>18520</v>
      </c>
      <c r="X4972">
        <v>6</v>
      </c>
      <c r="Y4972" t="s">
        <v>25091</v>
      </c>
      <c r="Z4972" t="s">
        <v>31827</v>
      </c>
      <c r="AA4972">
        <v>0.34105428876493482</v>
      </c>
      <c r="AB4972" t="str">
        <f>HYPERLINK("Melting_Curves/meltCurve_Q969X6_CIRH1A.pdf", "Melting_Curves/meltCurve_Q969X6_CIRH1A.pdf")</f>
        <v>Melting_Curves/meltCurve_Q969X6_CIRH1A.pdf</v>
      </c>
    </row>
    <row r="4973" spans="1:28" x14ac:dyDescent="0.25">
      <c r="A4973" t="s">
        <v>4977</v>
      </c>
      <c r="B4973">
        <v>0.995954080203443</v>
      </c>
      <c r="C4973">
        <v>1.0410263566933999</v>
      </c>
      <c r="D4973">
        <v>0.92649703301564501</v>
      </c>
      <c r="E4973">
        <v>0.53822297495528904</v>
      </c>
      <c r="F4973">
        <v>0.224970004480191</v>
      </c>
      <c r="G4973">
        <v>0.152221918417107</v>
      </c>
      <c r="H4973">
        <v>0.118156972284956</v>
      </c>
      <c r="I4973">
        <v>0.122283969548255</v>
      </c>
      <c r="J4973">
        <v>0.155504622870622</v>
      </c>
      <c r="K4973">
        <v>0.125445003094766</v>
      </c>
      <c r="L4973">
        <v>1621.37687979989</v>
      </c>
      <c r="M4973">
        <v>32.583287148930701</v>
      </c>
      <c r="N4973">
        <v>50.226086973874999</v>
      </c>
      <c r="O4973">
        <v>49.574684830478397</v>
      </c>
      <c r="P4973">
        <v>-0.14291671047035001</v>
      </c>
      <c r="Q4973">
        <v>0.13022678037711299</v>
      </c>
      <c r="R4973">
        <v>0.99753122459739996</v>
      </c>
      <c r="S4973" t="s">
        <v>11779</v>
      </c>
      <c r="T4973" t="s">
        <v>13610</v>
      </c>
      <c r="U4973" t="s">
        <v>13610</v>
      </c>
      <c r="V4973" t="s">
        <v>13610</v>
      </c>
      <c r="W4973" t="s">
        <v>18521</v>
      </c>
      <c r="X4973">
        <v>10</v>
      </c>
      <c r="Y4973" t="s">
        <v>25092</v>
      </c>
      <c r="Z4973" t="s">
        <v>31828</v>
      </c>
      <c r="AA4973">
        <v>0.41775429443200629</v>
      </c>
      <c r="AB4973" t="str">
        <f>HYPERLINK("Melting_Curves/meltCurve_Q969Y2_3_GTPBP3.pdf", "Melting_Curves/meltCurve_Q969Y2_3_GTPBP3.pdf")</f>
        <v>Melting_Curves/meltCurve_Q969Y2_3_GTPBP3.pdf</v>
      </c>
    </row>
    <row r="4974" spans="1:28" x14ac:dyDescent="0.25">
      <c r="A4974" t="s">
        <v>4978</v>
      </c>
      <c r="B4974">
        <v>0.995954080203443</v>
      </c>
      <c r="C4974">
        <v>0.68378310525072705</v>
      </c>
      <c r="D4974">
        <v>0.348177668847793</v>
      </c>
      <c r="E4974">
        <v>0.27028111404689198</v>
      </c>
      <c r="F4974">
        <v>0.16639415464913601</v>
      </c>
      <c r="G4974">
        <v>9.9164401226092894E-2</v>
      </c>
      <c r="H4974">
        <v>5.8990204088783603E-2</v>
      </c>
      <c r="I4974">
        <v>4.5110997446515103E-2</v>
      </c>
      <c r="J4974">
        <v>5.0169481965229502E-2</v>
      </c>
      <c r="K4974">
        <v>4.4752472020109998E-2</v>
      </c>
      <c r="L4974">
        <v>814.30482246360998</v>
      </c>
      <c r="M4974">
        <v>18.218346503908101</v>
      </c>
      <c r="N4974">
        <v>45.063072758974897</v>
      </c>
      <c r="O4974">
        <v>44.168875046363397</v>
      </c>
      <c r="P4974">
        <v>-9.60284887665733E-2</v>
      </c>
      <c r="Q4974">
        <v>6.8791283043121501E-2</v>
      </c>
      <c r="R4974">
        <v>0.97288214687060404</v>
      </c>
      <c r="S4974" t="s">
        <v>11780</v>
      </c>
      <c r="T4974" t="s">
        <v>13610</v>
      </c>
      <c r="U4974" t="s">
        <v>13610</v>
      </c>
      <c r="V4974" t="s">
        <v>13610</v>
      </c>
      <c r="W4974" t="s">
        <v>18522</v>
      </c>
      <c r="X4974">
        <v>12</v>
      </c>
      <c r="Y4974" t="s">
        <v>25093</v>
      </c>
      <c r="Z4974" t="s">
        <v>31829</v>
      </c>
      <c r="AA4974">
        <v>0.23484622201869071</v>
      </c>
      <c r="AB4974" t="str">
        <f>HYPERLINK("Melting_Curves/meltCurve_Q969Z0_TBRG4.pdf", "Melting_Curves/meltCurve_Q969Z0_TBRG4.pdf")</f>
        <v>Melting_Curves/meltCurve_Q969Z0_TBRG4.pdf</v>
      </c>
    </row>
    <row r="4975" spans="1:28" x14ac:dyDescent="0.25">
      <c r="A4975" t="s">
        <v>4979</v>
      </c>
      <c r="B4975">
        <v>0.995954080203443</v>
      </c>
      <c r="C4975">
        <v>0.87811219977235599</v>
      </c>
      <c r="D4975">
        <v>0.82289128544021495</v>
      </c>
      <c r="E4975">
        <v>0.71899997920089798</v>
      </c>
      <c r="F4975">
        <v>0.75789417331152298</v>
      </c>
      <c r="G4975">
        <v>0.57568844875469105</v>
      </c>
      <c r="H4975">
        <v>0.536473977490312</v>
      </c>
      <c r="I4975">
        <v>0.72932008296648698</v>
      </c>
      <c r="J4975">
        <v>0.86772701660747797</v>
      </c>
      <c r="K4975">
        <v>0.67011050478089196</v>
      </c>
      <c r="L4975">
        <v>860.41720783247001</v>
      </c>
      <c r="M4975">
        <v>19.191245366108699</v>
      </c>
      <c r="O4975">
        <v>44.355550965921999</v>
      </c>
      <c r="P4975">
        <v>-3.4021765568906098E-2</v>
      </c>
      <c r="Q4975">
        <v>0.68548235294705995</v>
      </c>
      <c r="R4975">
        <v>0.57651077197817002</v>
      </c>
      <c r="S4975" t="s">
        <v>11781</v>
      </c>
      <c r="T4975" t="s">
        <v>13610</v>
      </c>
      <c r="U4975" t="s">
        <v>13610</v>
      </c>
      <c r="V4975" t="s">
        <v>13610</v>
      </c>
      <c r="W4975" t="s">
        <v>18523</v>
      </c>
      <c r="X4975">
        <v>6</v>
      </c>
      <c r="Y4975" t="s">
        <v>25094</v>
      </c>
      <c r="Z4975" t="s">
        <v>31830</v>
      </c>
      <c r="AA4975">
        <v>0.74213411203786228</v>
      </c>
      <c r="AB4975" t="str">
        <f>HYPERLINK("Melting_Curves/meltCurve_Q96A00_2_PPP1R14A.pdf", "Melting_Curves/meltCurve_Q96A00_2_PPP1R14A.pdf")</f>
        <v>Melting_Curves/meltCurve_Q96A00_2_PPP1R14A.pdf</v>
      </c>
    </row>
    <row r="4976" spans="1:28" x14ac:dyDescent="0.25">
      <c r="A4976" t="s">
        <v>4980</v>
      </c>
      <c r="B4976">
        <v>0.995954080203443</v>
      </c>
      <c r="C4976">
        <v>0.960973801724475</v>
      </c>
      <c r="D4976">
        <v>0.80557125258441298</v>
      </c>
      <c r="E4976">
        <v>0.74163964425168205</v>
      </c>
      <c r="F4976">
        <v>0.43963253634654298</v>
      </c>
      <c r="G4976">
        <v>0.25718339141479701</v>
      </c>
      <c r="H4976">
        <v>0.217050833748516</v>
      </c>
      <c r="I4976">
        <v>0.200677850482256</v>
      </c>
      <c r="J4976">
        <v>0.34606951700879501</v>
      </c>
      <c r="K4976">
        <v>0.225098054064828</v>
      </c>
      <c r="L4976">
        <v>946.98815845691104</v>
      </c>
      <c r="M4976">
        <v>18.7094746554924</v>
      </c>
      <c r="N4976">
        <v>52.279792559508799</v>
      </c>
      <c r="O4976">
        <v>50.047823561882403</v>
      </c>
      <c r="P4976">
        <v>-7.24898524989709E-2</v>
      </c>
      <c r="Q4976">
        <v>0.22439176216569801</v>
      </c>
      <c r="R4976">
        <v>0.96295764903160397</v>
      </c>
      <c r="S4976" t="s">
        <v>11782</v>
      </c>
      <c r="T4976" t="s">
        <v>13610</v>
      </c>
      <c r="U4976" t="s">
        <v>13610</v>
      </c>
      <c r="V4976" t="s">
        <v>13610</v>
      </c>
      <c r="W4976" t="s">
        <v>18524</v>
      </c>
      <c r="X4976">
        <v>6</v>
      </c>
      <c r="Y4976" t="s">
        <v>25095</v>
      </c>
      <c r="Z4976" t="s">
        <v>31831</v>
      </c>
      <c r="AA4976">
        <v>0.51105891884750276</v>
      </c>
      <c r="AB4976" t="str">
        <f>HYPERLINK("Melting_Curves/meltCurve_Q96A33_CCDC47.pdf", "Melting_Curves/meltCurve_Q96A33_CCDC47.pdf")</f>
        <v>Melting_Curves/meltCurve_Q96A33_CCDC47.pdf</v>
      </c>
    </row>
    <row r="4977" spans="1:28" x14ac:dyDescent="0.25">
      <c r="A4977" t="s">
        <v>4981</v>
      </c>
      <c r="B4977">
        <v>0.995954080203443</v>
      </c>
      <c r="C4977">
        <v>1.0128991690852001</v>
      </c>
      <c r="D4977">
        <v>0.87562148127287698</v>
      </c>
      <c r="E4977">
        <v>0.74670484681184202</v>
      </c>
      <c r="F4977">
        <v>0.68506831406614299</v>
      </c>
      <c r="G4977">
        <v>0.49057871247357898</v>
      </c>
      <c r="H4977">
        <v>0.28731444977436599</v>
      </c>
      <c r="I4977">
        <v>0.25745719435750802</v>
      </c>
      <c r="J4977">
        <v>0.21273981804011699</v>
      </c>
      <c r="K4977">
        <v>0.158180417746522</v>
      </c>
      <c r="L4977">
        <v>591.20605041112299</v>
      </c>
      <c r="M4977">
        <v>10.6405802175234</v>
      </c>
      <c r="N4977">
        <v>56.330508319150198</v>
      </c>
      <c r="O4977">
        <v>53.706795478610204</v>
      </c>
      <c r="P4977">
        <v>-4.6199981650587099E-2</v>
      </c>
      <c r="Q4977">
        <v>6.76064567313482E-2</v>
      </c>
      <c r="R4977">
        <v>0.99152692923639896</v>
      </c>
      <c r="S4977" t="s">
        <v>11783</v>
      </c>
      <c r="T4977" t="s">
        <v>13610</v>
      </c>
      <c r="U4977" t="s">
        <v>13610</v>
      </c>
      <c r="V4977" t="s">
        <v>13610</v>
      </c>
      <c r="W4977" t="s">
        <v>18525</v>
      </c>
      <c r="X4977">
        <v>2</v>
      </c>
      <c r="Y4977" t="s">
        <v>25096</v>
      </c>
      <c r="Z4977" t="s">
        <v>31832</v>
      </c>
      <c r="AA4977">
        <v>0.57260853425442337</v>
      </c>
      <c r="AB4977" t="str">
        <f>HYPERLINK("Melting_Curves/meltCurve_Q96A37_2_RNF166.pdf", "Melting_Curves/meltCurve_Q96A37_2_RNF166.pdf")</f>
        <v>Melting_Curves/meltCurve_Q96A37_2_RNF166.pdf</v>
      </c>
    </row>
    <row r="4978" spans="1:28" x14ac:dyDescent="0.25">
      <c r="A4978" t="s">
        <v>4982</v>
      </c>
      <c r="B4978">
        <v>0.995954080203443</v>
      </c>
      <c r="C4978">
        <v>1.15230649915595</v>
      </c>
      <c r="D4978">
        <v>1.13159015898411</v>
      </c>
      <c r="E4978">
        <v>1.1106090849185699</v>
      </c>
      <c r="F4978">
        <v>1.0260839089703</v>
      </c>
      <c r="G4978">
        <v>0.77460113342954995</v>
      </c>
      <c r="H4978">
        <v>0.54396716564088798</v>
      </c>
      <c r="I4978">
        <v>0.47821897023100002</v>
      </c>
      <c r="J4978">
        <v>0.39974102504815301</v>
      </c>
      <c r="K4978">
        <v>0.44132590013275402</v>
      </c>
      <c r="L4978">
        <v>1957.7136101475901</v>
      </c>
      <c r="M4978">
        <v>33.7474718122415</v>
      </c>
      <c r="N4978">
        <v>61.679830366322697</v>
      </c>
      <c r="O4978">
        <v>57.808116891611498</v>
      </c>
      <c r="P4978">
        <v>-8.2775023725500094E-2</v>
      </c>
      <c r="Q4978">
        <v>0.43284064469776501</v>
      </c>
      <c r="R4978">
        <v>0.93309233361231703</v>
      </c>
      <c r="S4978" t="s">
        <v>11784</v>
      </c>
      <c r="T4978" t="s">
        <v>13610</v>
      </c>
      <c r="U4978" t="s">
        <v>13610</v>
      </c>
      <c r="V4978" t="s">
        <v>13610</v>
      </c>
      <c r="W4978" t="s">
        <v>18526</v>
      </c>
      <c r="X4978">
        <v>19</v>
      </c>
      <c r="Y4978" t="s">
        <v>25097</v>
      </c>
      <c r="Z4978" t="s">
        <v>31833</v>
      </c>
      <c r="AA4978">
        <v>0.77638796726320158</v>
      </c>
      <c r="AB4978" t="str">
        <f>HYPERLINK("Melting_Curves/meltCurve_Q96A49_SYAP1.pdf", "Melting_Curves/meltCurve_Q96A49_SYAP1.pdf")</f>
        <v>Melting_Curves/meltCurve_Q96A49_SYAP1.pdf</v>
      </c>
    </row>
    <row r="4979" spans="1:28" x14ac:dyDescent="0.25">
      <c r="A4979" t="s">
        <v>4983</v>
      </c>
      <c r="B4979">
        <v>0.995954080203443</v>
      </c>
      <c r="C4979">
        <v>0.72016188447580298</v>
      </c>
      <c r="D4979">
        <v>0.44922051438912503</v>
      </c>
      <c r="E4979">
        <v>0.21272242157930599</v>
      </c>
      <c r="F4979">
        <v>0.109678866649272</v>
      </c>
      <c r="G4979">
        <v>6.3254331344310105E-2</v>
      </c>
      <c r="H4979">
        <v>4.5966706180084797E-2</v>
      </c>
      <c r="I4979">
        <v>4.4335663516851198E-2</v>
      </c>
      <c r="J4979">
        <v>4.9137473253137803E-2</v>
      </c>
      <c r="K4979">
        <v>4.4602539418839397E-2</v>
      </c>
      <c r="L4979">
        <v>850.31195738327494</v>
      </c>
      <c r="M4979">
        <v>18.765550094608201</v>
      </c>
      <c r="N4979">
        <v>45.548315206810599</v>
      </c>
      <c r="O4979">
        <v>44.807228936395298</v>
      </c>
      <c r="P4979">
        <v>-9.98567417582443E-2</v>
      </c>
      <c r="Q4979">
        <v>4.6312747967811797E-2</v>
      </c>
      <c r="R4979">
        <v>0.99347244042546401</v>
      </c>
      <c r="S4979" t="s">
        <v>11785</v>
      </c>
      <c r="T4979" t="s">
        <v>13610</v>
      </c>
      <c r="U4979" t="s">
        <v>13610</v>
      </c>
      <c r="V4979" t="s">
        <v>13610</v>
      </c>
      <c r="W4979" t="s">
        <v>18527</v>
      </c>
      <c r="X4979">
        <v>28</v>
      </c>
      <c r="Y4979" t="s">
        <v>25098</v>
      </c>
      <c r="Z4979" t="s">
        <v>31834</v>
      </c>
      <c r="AA4979">
        <v>0.23328634540338891</v>
      </c>
      <c r="AB4979" t="str">
        <f>HYPERLINK("Melting_Curves/meltCurve_Q96A65_EXOC4.pdf", "Melting_Curves/meltCurve_Q96A65_EXOC4.pdf")</f>
        <v>Melting_Curves/meltCurve_Q96A65_EXOC4.pdf</v>
      </c>
    </row>
    <row r="4980" spans="1:28" x14ac:dyDescent="0.25">
      <c r="A4980" t="s">
        <v>4984</v>
      </c>
      <c r="B4980">
        <v>0.995954080203443</v>
      </c>
      <c r="C4980">
        <v>0.93401738712837001</v>
      </c>
      <c r="D4980">
        <v>0.77609118187397397</v>
      </c>
      <c r="E4980">
        <v>0.63639152459038295</v>
      </c>
      <c r="F4980">
        <v>0.43768110835576102</v>
      </c>
      <c r="G4980">
        <v>0.266981875790607</v>
      </c>
      <c r="H4980">
        <v>0.172163943061241</v>
      </c>
      <c r="I4980">
        <v>0.148951435900782</v>
      </c>
      <c r="J4980">
        <v>0.15938442017108601</v>
      </c>
      <c r="K4980">
        <v>0.127291210668463</v>
      </c>
      <c r="L4980">
        <v>662.14731379873695</v>
      </c>
      <c r="M4980">
        <v>13.0080521387884</v>
      </c>
      <c r="N4980">
        <v>51.775371263982102</v>
      </c>
      <c r="O4980">
        <v>49.744918350297503</v>
      </c>
      <c r="P4980">
        <v>-5.8949975281327699E-2</v>
      </c>
      <c r="Q4980">
        <v>9.8421383691395498E-2</v>
      </c>
      <c r="R4980">
        <v>0.99553864739236997</v>
      </c>
      <c r="S4980" t="s">
        <v>11786</v>
      </c>
      <c r="T4980" t="s">
        <v>13610</v>
      </c>
      <c r="U4980" t="s">
        <v>13610</v>
      </c>
      <c r="V4980" t="s">
        <v>13610</v>
      </c>
      <c r="W4980" t="s">
        <v>18528</v>
      </c>
      <c r="X4980">
        <v>5</v>
      </c>
      <c r="Y4980" t="s">
        <v>25099</v>
      </c>
      <c r="Z4980" t="s">
        <v>31835</v>
      </c>
      <c r="AA4980">
        <v>0.45231829461236028</v>
      </c>
      <c r="AB4980" t="str">
        <f>HYPERLINK("Melting_Curves/meltCurve_Q96AB3_ISOC2.pdf", "Melting_Curves/meltCurve_Q96AB3_ISOC2.pdf")</f>
        <v>Melting_Curves/meltCurve_Q96AB3_ISOC2.pdf</v>
      </c>
    </row>
    <row r="4981" spans="1:28" x14ac:dyDescent="0.25">
      <c r="A4981" t="s">
        <v>4985</v>
      </c>
      <c r="B4981">
        <v>0.995954080203443</v>
      </c>
      <c r="C4981">
        <v>0.93768452971328697</v>
      </c>
      <c r="D4981">
        <v>0.77815542648565705</v>
      </c>
      <c r="E4981">
        <v>0.60903625896729296</v>
      </c>
      <c r="F4981">
        <v>0.27723476142938902</v>
      </c>
      <c r="G4981">
        <v>0.160092360550492</v>
      </c>
      <c r="H4981">
        <v>0.11897091164832101</v>
      </c>
      <c r="I4981">
        <v>0.13226362120158</v>
      </c>
      <c r="J4981">
        <v>0.12461382564653301</v>
      </c>
      <c r="K4981">
        <v>0.118512994839096</v>
      </c>
      <c r="L4981">
        <v>883.95267772777095</v>
      </c>
      <c r="M4981">
        <v>17.769904114137201</v>
      </c>
      <c r="N4981">
        <v>50.380387006133603</v>
      </c>
      <c r="O4981">
        <v>49.127222679465</v>
      </c>
      <c r="P4981">
        <v>-8.1346446513992796E-2</v>
      </c>
      <c r="Q4981">
        <v>0.100475154196561</v>
      </c>
      <c r="R4981">
        <v>0.98926566669154603</v>
      </c>
      <c r="S4981" t="s">
        <v>11787</v>
      </c>
      <c r="T4981" t="s">
        <v>13610</v>
      </c>
      <c r="U4981" t="s">
        <v>13610</v>
      </c>
      <c r="V4981" t="s">
        <v>13610</v>
      </c>
      <c r="W4981" t="s">
        <v>18529</v>
      </c>
      <c r="X4981">
        <v>4</v>
      </c>
      <c r="Y4981" t="s">
        <v>25100</v>
      </c>
      <c r="Z4981" t="s">
        <v>31836</v>
      </c>
      <c r="AA4981">
        <v>0.40843014190909521</v>
      </c>
      <c r="AB4981" t="str">
        <f>HYPERLINK("Melting_Curves/meltCurve_Q96AB6_NTAN1.pdf", "Melting_Curves/meltCurve_Q96AB6_NTAN1.pdf")</f>
        <v>Melting_Curves/meltCurve_Q96AB6_NTAN1.pdf</v>
      </c>
    </row>
    <row r="4982" spans="1:28" x14ac:dyDescent="0.25">
      <c r="A4982" t="s">
        <v>4986</v>
      </c>
      <c r="B4982">
        <v>0.995954080203443</v>
      </c>
      <c r="C4982">
        <v>0.94653057503415405</v>
      </c>
      <c r="D4982">
        <v>1.0570583189812299</v>
      </c>
      <c r="E4982">
        <v>0.85358450250765805</v>
      </c>
      <c r="F4982">
        <v>0.85131885726519496</v>
      </c>
      <c r="G4982">
        <v>0.44144116974054598</v>
      </c>
      <c r="H4982">
        <v>0.125365872302271</v>
      </c>
      <c r="I4982">
        <v>0.12173236996780799</v>
      </c>
      <c r="J4982">
        <v>0.123258685887147</v>
      </c>
      <c r="K4982">
        <v>0.11752024297599301</v>
      </c>
      <c r="L4982">
        <v>1497.6923321023801</v>
      </c>
      <c r="M4982">
        <v>26.836573322761801</v>
      </c>
      <c r="N4982">
        <v>56.248061471364899</v>
      </c>
      <c r="O4982">
        <v>55.500764693754697</v>
      </c>
      <c r="P4982">
        <v>-0.109435566134061</v>
      </c>
      <c r="Q4982">
        <v>9.4713638611987894E-2</v>
      </c>
      <c r="R4982">
        <v>0.98525565481510002</v>
      </c>
      <c r="S4982" t="s">
        <v>11788</v>
      </c>
      <c r="T4982" t="s">
        <v>13610</v>
      </c>
      <c r="U4982" t="s">
        <v>13610</v>
      </c>
      <c r="V4982" t="s">
        <v>13610</v>
      </c>
      <c r="W4982" t="s">
        <v>18530</v>
      </c>
      <c r="X4982">
        <v>11</v>
      </c>
      <c r="Y4982" t="s">
        <v>25101</v>
      </c>
      <c r="Z4982" t="s">
        <v>31837</v>
      </c>
      <c r="AA4982">
        <v>0.57910972753579193</v>
      </c>
      <c r="AB4982" t="str">
        <f>HYPERLINK("Melting_Curves/meltCurve_Q96AC1_FERMT2.pdf", "Melting_Curves/meltCurve_Q96AC1_FERMT2.pdf")</f>
        <v>Melting_Curves/meltCurve_Q96AC1_FERMT2.pdf</v>
      </c>
    </row>
    <row r="4983" spans="1:28" x14ac:dyDescent="0.25">
      <c r="A4983" t="s">
        <v>4987</v>
      </c>
      <c r="B4983">
        <v>0.995954080203443</v>
      </c>
      <c r="C4983">
        <v>0.83617619309445901</v>
      </c>
      <c r="D4983">
        <v>0.59667633502236195</v>
      </c>
      <c r="E4983">
        <v>0.47589732167173898</v>
      </c>
      <c r="F4983">
        <v>0.23723523132310301</v>
      </c>
      <c r="G4983">
        <v>0.13463934322107701</v>
      </c>
      <c r="H4983">
        <v>7.8206771031111802E-2</v>
      </c>
      <c r="I4983">
        <v>7.0806704649552493E-2</v>
      </c>
      <c r="J4983">
        <v>8.1662622346029307E-2</v>
      </c>
      <c r="K4983">
        <v>7.0143612083374704E-2</v>
      </c>
      <c r="L4983">
        <v>639.34508576787596</v>
      </c>
      <c r="M4983">
        <v>13.3029993249183</v>
      </c>
      <c r="N4983">
        <v>48.394549183981198</v>
      </c>
      <c r="O4983">
        <v>47.013146106929099</v>
      </c>
      <c r="P4983">
        <v>-6.7646096605441297E-2</v>
      </c>
      <c r="Q4983">
        <v>4.3901997243618901E-2</v>
      </c>
      <c r="R4983">
        <v>0.98680629890848004</v>
      </c>
      <c r="S4983" t="s">
        <v>11789</v>
      </c>
      <c r="T4983" t="s">
        <v>13610</v>
      </c>
      <c r="U4983" t="s">
        <v>13610</v>
      </c>
      <c r="V4983" t="s">
        <v>13610</v>
      </c>
      <c r="W4983" t="s">
        <v>18531</v>
      </c>
      <c r="X4983">
        <v>5</v>
      </c>
      <c r="Y4983" t="s">
        <v>25102</v>
      </c>
      <c r="Z4983" t="s">
        <v>31838</v>
      </c>
      <c r="AA4983">
        <v>0.33168626837641751</v>
      </c>
      <c r="AB4983" t="str">
        <f>HYPERLINK("Melting_Curves/meltCurve_Q96AD5_PNPLA2.pdf", "Melting_Curves/meltCurve_Q96AD5_PNPLA2.pdf")</f>
        <v>Melting_Curves/meltCurve_Q96AD5_PNPLA2.pdf</v>
      </c>
    </row>
    <row r="4984" spans="1:28" x14ac:dyDescent="0.25">
      <c r="A4984" t="s">
        <v>4988</v>
      </c>
      <c r="B4984">
        <v>0.995954080203443</v>
      </c>
      <c r="C4984">
        <v>0.82654335142448199</v>
      </c>
      <c r="D4984">
        <v>1.16139919237278</v>
      </c>
      <c r="E4984">
        <v>0.88100423956605201</v>
      </c>
      <c r="F4984">
        <v>0.90824247888549603</v>
      </c>
      <c r="G4984">
        <v>0.747344458328001</v>
      </c>
      <c r="H4984">
        <v>0.70474103284502099</v>
      </c>
      <c r="I4984">
        <v>0.78084482673864497</v>
      </c>
      <c r="J4984">
        <v>1.10401964370151</v>
      </c>
      <c r="K4984">
        <v>0.94076539240675605</v>
      </c>
      <c r="L4984">
        <v>9329.3417207890307</v>
      </c>
      <c r="M4984">
        <v>188.55164214568799</v>
      </c>
      <c r="O4984">
        <v>49.4733936323222</v>
      </c>
      <c r="P4984">
        <v>-0.129269357477656</v>
      </c>
      <c r="Q4984">
        <v>0.86432585740602197</v>
      </c>
      <c r="R4984">
        <v>0.17086341827978099</v>
      </c>
      <c r="S4984" t="s">
        <v>11790</v>
      </c>
      <c r="T4984" t="s">
        <v>13610</v>
      </c>
      <c r="U4984" t="s">
        <v>13610</v>
      </c>
      <c r="V4984" t="s">
        <v>13610</v>
      </c>
      <c r="W4984" t="s">
        <v>18532</v>
      </c>
      <c r="X4984">
        <v>38</v>
      </c>
      <c r="Y4984" t="s">
        <v>25103</v>
      </c>
      <c r="Z4984" t="s">
        <v>31839</v>
      </c>
      <c r="AA4984">
        <v>0.90721495944550479</v>
      </c>
      <c r="AB4984" t="str">
        <f>HYPERLINK("Melting_Curves/meltCurve_Q96AE4_FUBP1.pdf", "Melting_Curves/meltCurve_Q96AE4_FUBP1.pdf")</f>
        <v>Melting_Curves/meltCurve_Q96AE4_FUBP1.pdf</v>
      </c>
    </row>
    <row r="4985" spans="1:28" x14ac:dyDescent="0.25">
      <c r="A4985" t="s">
        <v>4989</v>
      </c>
      <c r="B4985">
        <v>0.995954080203443</v>
      </c>
      <c r="C4985">
        <v>0.97462929553427702</v>
      </c>
      <c r="D4985">
        <v>0.93313094098816496</v>
      </c>
      <c r="E4985">
        <v>0.79640476116183601</v>
      </c>
      <c r="F4985">
        <v>0.73501167226105302</v>
      </c>
      <c r="G4985">
        <v>0.54779022212293704</v>
      </c>
      <c r="H4985">
        <v>0.495565188711797</v>
      </c>
      <c r="I4985">
        <v>0.51624782557334603</v>
      </c>
      <c r="J4985">
        <v>0.50616670595407298</v>
      </c>
      <c r="K4985">
        <v>0.61573118455699505</v>
      </c>
      <c r="L4985">
        <v>966.51150442218704</v>
      </c>
      <c r="M4985">
        <v>18.904140282028202</v>
      </c>
      <c r="O4985">
        <v>50.565185812834201</v>
      </c>
      <c r="P4985">
        <v>-4.4605006848797299E-2</v>
      </c>
      <c r="Q4985">
        <v>0.52277804492588997</v>
      </c>
      <c r="R4985">
        <v>0.95780228458376404</v>
      </c>
      <c r="S4985" t="s">
        <v>11791</v>
      </c>
      <c r="T4985" t="s">
        <v>13610</v>
      </c>
      <c r="U4985" t="s">
        <v>13610</v>
      </c>
      <c r="V4985" t="s">
        <v>13610</v>
      </c>
      <c r="W4985" t="s">
        <v>18533</v>
      </c>
      <c r="X4985">
        <v>37</v>
      </c>
      <c r="Y4985" t="s">
        <v>25103</v>
      </c>
      <c r="Z4985" t="s">
        <v>31840</v>
      </c>
      <c r="AA4985">
        <v>0.70712704747083488</v>
      </c>
      <c r="AB4985" t="str">
        <f>HYPERLINK("Melting_Curves/meltCurve_Q96AE4_2_FUBP1.pdf", "Melting_Curves/meltCurve_Q96AE4_2_FUBP1.pdf")</f>
        <v>Melting_Curves/meltCurve_Q96AE4_2_FUBP1.pdf</v>
      </c>
    </row>
    <row r="4986" spans="1:28" x14ac:dyDescent="0.25">
      <c r="A4986" t="s">
        <v>4990</v>
      </c>
      <c r="B4986">
        <v>0.995954080203443</v>
      </c>
      <c r="C4986">
        <v>0.94543992819345501</v>
      </c>
      <c r="D4986">
        <v>0.87331023560457799</v>
      </c>
      <c r="E4986">
        <v>0.87881022260257202</v>
      </c>
      <c r="F4986">
        <v>0.49809787789698501</v>
      </c>
      <c r="G4986">
        <v>0.19670685835738899</v>
      </c>
      <c r="H4986">
        <v>0.112389119541041</v>
      </c>
      <c r="I4986">
        <v>0.10939961198609301</v>
      </c>
      <c r="J4986">
        <v>9.67524359177203E-2</v>
      </c>
      <c r="K4986">
        <v>0.113923372238176</v>
      </c>
      <c r="L4986">
        <v>1547.7663218559901</v>
      </c>
      <c r="M4986">
        <v>29.379385966881301</v>
      </c>
      <c r="N4986">
        <v>53.098316897790703</v>
      </c>
      <c r="O4986">
        <v>52.439786047495701</v>
      </c>
      <c r="P4986">
        <v>-0.12565668455281401</v>
      </c>
      <c r="Q4986">
        <v>0.10285906935192</v>
      </c>
      <c r="R4986">
        <v>0.98780543579225399</v>
      </c>
      <c r="S4986" t="s">
        <v>11792</v>
      </c>
      <c r="T4986" t="s">
        <v>13610</v>
      </c>
      <c r="U4986" t="s">
        <v>13610</v>
      </c>
      <c r="V4986" t="s">
        <v>13610</v>
      </c>
      <c r="W4986" t="s">
        <v>18534</v>
      </c>
      <c r="X4986">
        <v>7</v>
      </c>
      <c r="Y4986" t="s">
        <v>25104</v>
      </c>
      <c r="Z4986" t="s">
        <v>31841</v>
      </c>
      <c r="AA4986">
        <v>0.48814628911509378</v>
      </c>
      <c r="AB4986" t="str">
        <f>HYPERLINK("Melting_Curves/meltCurve_Q96AG4_LRRC59.pdf", "Melting_Curves/meltCurve_Q96AG4_LRRC59.pdf")</f>
        <v>Melting_Curves/meltCurve_Q96AG4_LRRC59.pdf</v>
      </c>
    </row>
    <row r="4987" spans="1:28" x14ac:dyDescent="0.25">
      <c r="A4987" t="s">
        <v>4991</v>
      </c>
      <c r="B4987">
        <v>0.995954080203443</v>
      </c>
      <c r="C4987">
        <v>0.89191531745085495</v>
      </c>
      <c r="D4987">
        <v>1.17370397115884</v>
      </c>
      <c r="E4987">
        <v>0.81890871291622003</v>
      </c>
      <c r="F4987">
        <v>1.0076654098803699</v>
      </c>
      <c r="G4987">
        <v>0.95914830758222003</v>
      </c>
      <c r="H4987">
        <v>0.89796821063726895</v>
      </c>
      <c r="I4987">
        <v>1.21607945159328</v>
      </c>
      <c r="J4987">
        <v>1.0705625915686099</v>
      </c>
      <c r="K4987">
        <v>1.4257673963378901</v>
      </c>
      <c r="L4987">
        <v>4682.0378373581198</v>
      </c>
      <c r="M4987">
        <v>68.432817163873807</v>
      </c>
      <c r="O4987">
        <v>68.359664124043803</v>
      </c>
      <c r="P4987">
        <v>0.12513379563843499</v>
      </c>
      <c r="Q4987">
        <v>1.5</v>
      </c>
      <c r="R4987">
        <v>0.55682084064784199</v>
      </c>
      <c r="S4987" t="s">
        <v>11793</v>
      </c>
      <c r="T4987" t="s">
        <v>13610</v>
      </c>
      <c r="U4987" t="s">
        <v>13610</v>
      </c>
      <c r="V4987" t="s">
        <v>13610</v>
      </c>
      <c r="W4987" t="s">
        <v>18535</v>
      </c>
      <c r="X4987">
        <v>8</v>
      </c>
      <c r="Y4987" t="s">
        <v>25105</v>
      </c>
      <c r="Z4987" t="s">
        <v>31842</v>
      </c>
      <c r="AA4987">
        <v>1.029041526792863</v>
      </c>
      <c r="AB4987" t="str">
        <f>HYPERLINK("Melting_Curves/meltCurve_Q96AJ9_1_VTI1A.pdf", "Melting_Curves/meltCurve_Q96AJ9_1_VTI1A.pdf")</f>
        <v>Melting_Curves/meltCurve_Q96AJ9_1_VTI1A.pdf</v>
      </c>
    </row>
    <row r="4988" spans="1:28" x14ac:dyDescent="0.25">
      <c r="A4988" t="s">
        <v>4992</v>
      </c>
      <c r="B4988">
        <v>0.995954080203443</v>
      </c>
      <c r="C4988">
        <v>0.84069659269728902</v>
      </c>
      <c r="D4988">
        <v>1.31529233430057</v>
      </c>
      <c r="E4988">
        <v>0.98117676349887395</v>
      </c>
      <c r="F4988">
        <v>1.50444158158809</v>
      </c>
      <c r="G4988">
        <v>1.32155016889503</v>
      </c>
      <c r="H4988">
        <v>1.4532877066013901</v>
      </c>
      <c r="I4988">
        <v>1.9561873225344999</v>
      </c>
      <c r="J4988">
        <v>2.49527912040667</v>
      </c>
      <c r="K4988">
        <v>2.27709685210678</v>
      </c>
      <c r="L4988">
        <v>12899.4053840572</v>
      </c>
      <c r="M4988">
        <v>250</v>
      </c>
      <c r="O4988">
        <v>51.594319636822199</v>
      </c>
      <c r="P4988">
        <v>0.60568683258768496</v>
      </c>
      <c r="Q4988">
        <v>1.5</v>
      </c>
      <c r="R4988">
        <v>0.305972149691004</v>
      </c>
      <c r="S4988" t="s">
        <v>11794</v>
      </c>
      <c r="T4988" t="s">
        <v>13610</v>
      </c>
      <c r="U4988" t="s">
        <v>13610</v>
      </c>
      <c r="V4988" t="s">
        <v>13610</v>
      </c>
      <c r="W4988" t="s">
        <v>18536</v>
      </c>
      <c r="X4988">
        <v>6</v>
      </c>
      <c r="Y4988" t="s">
        <v>25106</v>
      </c>
      <c r="Z4988" t="s">
        <v>31843</v>
      </c>
      <c r="AA4988">
        <v>1.306661031218141</v>
      </c>
      <c r="AB4988" t="str">
        <f>HYPERLINK("Melting_Curves/meltCurve_Q96AT1_KIAA1143.pdf", "Melting_Curves/meltCurve_Q96AT1_KIAA1143.pdf")</f>
        <v>Melting_Curves/meltCurve_Q96AT1_KIAA1143.pdf</v>
      </c>
    </row>
    <row r="4989" spans="1:28" x14ac:dyDescent="0.25">
      <c r="A4989" t="s">
        <v>4993</v>
      </c>
      <c r="B4989">
        <v>0.995954080203443</v>
      </c>
      <c r="C4989">
        <v>1.00080841815871</v>
      </c>
      <c r="D4989">
        <v>0.98849775743022406</v>
      </c>
      <c r="E4989">
        <v>1.01335730913518</v>
      </c>
      <c r="F4989">
        <v>0.94786966244675597</v>
      </c>
      <c r="G4989">
        <v>0.49156771645496999</v>
      </c>
      <c r="H4989">
        <v>0.19098161901432201</v>
      </c>
      <c r="I4989">
        <v>0.10767040760277601</v>
      </c>
      <c r="J4989">
        <v>8.6152383645909505E-2</v>
      </c>
      <c r="K4989">
        <v>8.5436942034172E-2</v>
      </c>
      <c r="L4989">
        <v>2009.2572508871201</v>
      </c>
      <c r="M4989">
        <v>35.432334293278799</v>
      </c>
      <c r="N4989">
        <v>57.038449887978999</v>
      </c>
      <c r="O4989">
        <v>56.5271638851831</v>
      </c>
      <c r="P4989">
        <v>-0.14212066937975801</v>
      </c>
      <c r="Q4989">
        <v>9.3071185344920898E-2</v>
      </c>
      <c r="R4989">
        <v>0.99875734402744398</v>
      </c>
      <c r="S4989" t="s">
        <v>11795</v>
      </c>
      <c r="T4989" t="s">
        <v>13610</v>
      </c>
      <c r="U4989" t="s">
        <v>13610</v>
      </c>
      <c r="V4989" t="s">
        <v>13610</v>
      </c>
      <c r="W4989" t="s">
        <v>18537</v>
      </c>
      <c r="X4989">
        <v>9</v>
      </c>
      <c r="Y4989" t="s">
        <v>25107</v>
      </c>
      <c r="Z4989" t="s">
        <v>31844</v>
      </c>
      <c r="AA4989">
        <v>0.60258431106807564</v>
      </c>
      <c r="AB4989" t="str">
        <f>HYPERLINK("Melting_Curves/meltCurve_Q96AT9_RPE.pdf", "Melting_Curves/meltCurve_Q96AT9_RPE.pdf")</f>
        <v>Melting_Curves/meltCurve_Q96AT9_RPE.pdf</v>
      </c>
    </row>
    <row r="4990" spans="1:28" x14ac:dyDescent="0.25">
      <c r="A4990" t="s">
        <v>4994</v>
      </c>
      <c r="B4990">
        <v>0.995954080203443</v>
      </c>
      <c r="C4990">
        <v>0.78605941960452497</v>
      </c>
      <c r="D4990">
        <v>0.59255671970763402</v>
      </c>
      <c r="E4990">
        <v>0.41533835058804502</v>
      </c>
      <c r="F4990">
        <v>0.20623619239525101</v>
      </c>
      <c r="G4990">
        <v>0.138232075478776</v>
      </c>
      <c r="H4990">
        <v>9.2099798057165005E-2</v>
      </c>
      <c r="I4990">
        <v>8.9697939319517098E-2</v>
      </c>
      <c r="J4990">
        <v>0.103150255713158</v>
      </c>
      <c r="K4990">
        <v>9.2397056065993605E-2</v>
      </c>
      <c r="L4990">
        <v>672.69498404265198</v>
      </c>
      <c r="M4990">
        <v>14.2673049203194</v>
      </c>
      <c r="N4990">
        <v>47.685877189616697</v>
      </c>
      <c r="O4990">
        <v>46.252139307819299</v>
      </c>
      <c r="P4990">
        <v>-7.1407894169152594E-2</v>
      </c>
      <c r="Q4990">
        <v>7.4145575248113701E-2</v>
      </c>
      <c r="R4990">
        <v>0.98958267057024596</v>
      </c>
      <c r="S4990" t="s">
        <v>11796</v>
      </c>
      <c r="T4990" t="s">
        <v>13610</v>
      </c>
      <c r="U4990" t="s">
        <v>13610</v>
      </c>
      <c r="V4990" t="s">
        <v>13610</v>
      </c>
      <c r="W4990" t="s">
        <v>18538</v>
      </c>
      <c r="X4990">
        <v>13</v>
      </c>
      <c r="Y4990" t="s">
        <v>25108</v>
      </c>
      <c r="Z4990" t="s">
        <v>31845</v>
      </c>
      <c r="AA4990">
        <v>0.32237798572916149</v>
      </c>
      <c r="AB4990" t="str">
        <f>HYPERLINK("Melting_Curves/meltCurve_Q96AX1_VPS33A.pdf", "Melting_Curves/meltCurve_Q96AX1_VPS33A.pdf")</f>
        <v>Melting_Curves/meltCurve_Q96AX1_VPS33A.pdf</v>
      </c>
    </row>
    <row r="4991" spans="1:28" x14ac:dyDescent="0.25">
      <c r="A4991" t="s">
        <v>4995</v>
      </c>
      <c r="B4991">
        <v>0.995954080203443</v>
      </c>
      <c r="C4991">
        <v>0.96205948333134705</v>
      </c>
      <c r="D4991">
        <v>1.06275905095639</v>
      </c>
      <c r="E4991">
        <v>0.93949285839699004</v>
      </c>
      <c r="F4991">
        <v>0.93790916710269401</v>
      </c>
      <c r="G4991">
        <v>0.661099252600864</v>
      </c>
      <c r="H4991">
        <v>0.65549466019223401</v>
      </c>
      <c r="I4991">
        <v>0.69037447994092604</v>
      </c>
      <c r="J4991">
        <v>0.84904367125719904</v>
      </c>
      <c r="K4991">
        <v>0.82523603487967701</v>
      </c>
      <c r="L4991">
        <v>13312.4330070407</v>
      </c>
      <c r="M4991">
        <v>250</v>
      </c>
      <c r="O4991">
        <v>53.246324414236803</v>
      </c>
      <c r="P4991">
        <v>-0.30958754481498302</v>
      </c>
      <c r="Q4991">
        <v>0.73624961885383799</v>
      </c>
      <c r="R4991">
        <v>0.77316563304944597</v>
      </c>
      <c r="S4991" t="s">
        <v>11797</v>
      </c>
      <c r="T4991" t="s">
        <v>13610</v>
      </c>
      <c r="U4991" t="s">
        <v>13610</v>
      </c>
      <c r="V4991" t="s">
        <v>13610</v>
      </c>
      <c r="W4991" t="s">
        <v>18539</v>
      </c>
      <c r="X4991">
        <v>3</v>
      </c>
      <c r="Y4991" t="s">
        <v>25109</v>
      </c>
      <c r="Z4991" t="s">
        <v>31846</v>
      </c>
      <c r="AA4991">
        <v>0.85276166272381282</v>
      </c>
      <c r="AB4991" t="str">
        <f>HYPERLINK("Melting_Curves/meltCurve_Q96AY2_EME1.pdf", "Melting_Curves/meltCurve_Q96AY2_EME1.pdf")</f>
        <v>Melting_Curves/meltCurve_Q96AY2_EME1.pdf</v>
      </c>
    </row>
    <row r="4992" spans="1:28" x14ac:dyDescent="0.25">
      <c r="A4992" t="s">
        <v>4996</v>
      </c>
      <c r="B4992">
        <v>0.995954080203443</v>
      </c>
      <c r="C4992">
        <v>0.91534477933946701</v>
      </c>
      <c r="D4992">
        <v>0.80575521019116203</v>
      </c>
      <c r="E4992">
        <v>0.70863470230085002</v>
      </c>
      <c r="F4992">
        <v>0.60091553545438803</v>
      </c>
      <c r="G4992">
        <v>0.46392842640892701</v>
      </c>
      <c r="H4992">
        <v>0.408745384793886</v>
      </c>
      <c r="I4992">
        <v>0.46401402998730801</v>
      </c>
      <c r="J4992">
        <v>0.53715624550233099</v>
      </c>
      <c r="K4992">
        <v>0.56275288975054105</v>
      </c>
      <c r="L4992">
        <v>759.09028114974103</v>
      </c>
      <c r="M4992">
        <v>15.7750569443361</v>
      </c>
      <c r="N4992">
        <v>60.497519021380199</v>
      </c>
      <c r="O4992">
        <v>47.366294526002001</v>
      </c>
      <c r="P4992">
        <v>-4.3284837569867202E-2</v>
      </c>
      <c r="Q4992">
        <v>0.480173738500633</v>
      </c>
      <c r="R4992">
        <v>0.93375932601419098</v>
      </c>
      <c r="S4992" t="s">
        <v>11798</v>
      </c>
      <c r="T4992" t="s">
        <v>13610</v>
      </c>
      <c r="U4992" t="s">
        <v>13610</v>
      </c>
      <c r="V4992" t="s">
        <v>13610</v>
      </c>
      <c r="W4992" t="s">
        <v>18540</v>
      </c>
      <c r="X4992">
        <v>13</v>
      </c>
      <c r="Y4992" t="s">
        <v>25110</v>
      </c>
      <c r="Z4992" t="s">
        <v>31847</v>
      </c>
      <c r="AA4992">
        <v>0.63290304183610313</v>
      </c>
      <c r="AB4992" t="str">
        <f>HYPERLINK("Melting_Curves/meltCurve_Q96AY4_TTC28.pdf", "Melting_Curves/meltCurve_Q96AY4_TTC28.pdf")</f>
        <v>Melting_Curves/meltCurve_Q96AY4_TTC28.pdf</v>
      </c>
    </row>
    <row r="4993" spans="1:28" x14ac:dyDescent="0.25">
      <c r="A4993" t="s">
        <v>4997</v>
      </c>
      <c r="B4993">
        <v>0.995954080203443</v>
      </c>
      <c r="C4993">
        <v>0.95550239799373804</v>
      </c>
      <c r="D4993">
        <v>0.97855050277669298</v>
      </c>
      <c r="E4993">
        <v>0.72166308222794795</v>
      </c>
      <c r="F4993">
        <v>0.348396849280807</v>
      </c>
      <c r="G4993">
        <v>0.184970843283847</v>
      </c>
      <c r="H4993">
        <v>0.148232244120654</v>
      </c>
      <c r="I4993">
        <v>0.17010475318617099</v>
      </c>
      <c r="J4993">
        <v>0.17525994517573401</v>
      </c>
      <c r="K4993">
        <v>0.163673217659699</v>
      </c>
      <c r="L4993">
        <v>1722.6303721880799</v>
      </c>
      <c r="M4993">
        <v>33.759853836834402</v>
      </c>
      <c r="N4993">
        <v>51.6288007905274</v>
      </c>
      <c r="O4993">
        <v>50.8479613505027</v>
      </c>
      <c r="P4993">
        <v>-0.13894930724527199</v>
      </c>
      <c r="Q4993">
        <v>0.162880236026648</v>
      </c>
      <c r="R4993">
        <v>0.99816620817836998</v>
      </c>
      <c r="S4993" t="s">
        <v>11799</v>
      </c>
      <c r="T4993" t="s">
        <v>13610</v>
      </c>
      <c r="U4993" t="s">
        <v>13610</v>
      </c>
      <c r="V4993" t="s">
        <v>13610</v>
      </c>
      <c r="W4993" t="s">
        <v>18541</v>
      </c>
      <c r="X4993">
        <v>2</v>
      </c>
      <c r="Y4993" t="s">
        <v>25111</v>
      </c>
      <c r="Z4993" t="s">
        <v>31848</v>
      </c>
      <c r="AA4993">
        <v>0.47470395910628083</v>
      </c>
      <c r="AB4993" t="str">
        <f>HYPERLINK("Melting_Curves/meltCurve_Q96B02_UBE2W.pdf", "Melting_Curves/meltCurve_Q96B02_UBE2W.pdf")</f>
        <v>Melting_Curves/meltCurve_Q96B02_UBE2W.pdf</v>
      </c>
    </row>
    <row r="4994" spans="1:28" x14ac:dyDescent="0.25">
      <c r="A4994" t="s">
        <v>4998</v>
      </c>
      <c r="B4994">
        <v>0.995954080203443</v>
      </c>
      <c r="C4994">
        <v>1.0294185242379199</v>
      </c>
      <c r="D4994">
        <v>1.0952404465560499</v>
      </c>
      <c r="E4994">
        <v>1.0499460876573501</v>
      </c>
      <c r="F4994">
        <v>0.94877363245631496</v>
      </c>
      <c r="G4994">
        <v>0.81389265199407101</v>
      </c>
      <c r="H4994">
        <v>0.78481106133537104</v>
      </c>
      <c r="I4994">
        <v>0.99288001995473396</v>
      </c>
      <c r="J4994">
        <v>0.99771526196371596</v>
      </c>
      <c r="K4994">
        <v>1.1131584578388001</v>
      </c>
      <c r="L4994">
        <v>13153.4336891366</v>
      </c>
      <c r="M4994">
        <v>250</v>
      </c>
      <c r="O4994">
        <v>52.610367791481302</v>
      </c>
      <c r="P4994">
        <v>-7.0695010446292006E-2</v>
      </c>
      <c r="Q4994">
        <v>0.94049135202050704</v>
      </c>
      <c r="R4994">
        <v>0.16229731418052301</v>
      </c>
      <c r="S4994" t="s">
        <v>11800</v>
      </c>
      <c r="T4994" t="s">
        <v>13610</v>
      </c>
      <c r="U4994" t="s">
        <v>13610</v>
      </c>
      <c r="V4994" t="s">
        <v>13610</v>
      </c>
      <c r="W4994" t="s">
        <v>18542</v>
      </c>
      <c r="X4994">
        <v>6</v>
      </c>
      <c r="Y4994" t="s">
        <v>25112</v>
      </c>
      <c r="Z4994" t="s">
        <v>31849</v>
      </c>
      <c r="AA4994">
        <v>0.9655177235391581</v>
      </c>
      <c r="AB4994" t="str">
        <f>HYPERLINK("Melting_Curves/meltCurve_Q96B23_2_C18orf25.pdf", "Melting_Curves/meltCurve_Q96B23_2_C18orf25.pdf")</f>
        <v>Melting_Curves/meltCurve_Q96B23_2_C18orf25.pdf</v>
      </c>
    </row>
    <row r="4995" spans="1:28" x14ac:dyDescent="0.25">
      <c r="A4995" t="s">
        <v>4999</v>
      </c>
      <c r="B4995">
        <v>0.995954080203443</v>
      </c>
      <c r="C4995">
        <v>0.87959900513506795</v>
      </c>
      <c r="D4995">
        <v>0.80981116334397496</v>
      </c>
      <c r="E4995">
        <v>0.85770578548667697</v>
      </c>
      <c r="F4995">
        <v>0.66359893293857997</v>
      </c>
      <c r="G4995">
        <v>0.39912454307654299</v>
      </c>
      <c r="H4995">
        <v>0.13197535219721299</v>
      </c>
      <c r="I4995">
        <v>8.8834018866161907E-2</v>
      </c>
      <c r="J4995">
        <v>7.8894458254061703E-2</v>
      </c>
      <c r="K4995">
        <v>8.2634785215474099E-2</v>
      </c>
      <c r="L4995">
        <v>786.33937421446296</v>
      </c>
      <c r="M4995">
        <v>14.2951285601708</v>
      </c>
      <c r="N4995">
        <v>55.007488344681498</v>
      </c>
      <c r="O4995">
        <v>53.964636296857201</v>
      </c>
      <c r="P4995">
        <v>-6.6232597521746803E-2</v>
      </c>
      <c r="Q4995">
        <v>0</v>
      </c>
      <c r="R4995">
        <v>0.97026521327428605</v>
      </c>
      <c r="S4995" t="s">
        <v>11801</v>
      </c>
      <c r="T4995" t="s">
        <v>13610</v>
      </c>
      <c r="U4995" t="s">
        <v>13610</v>
      </c>
      <c r="V4995" t="s">
        <v>13610</v>
      </c>
      <c r="W4995" t="s">
        <v>18543</v>
      </c>
      <c r="X4995">
        <v>15</v>
      </c>
      <c r="Y4995" t="s">
        <v>25113</v>
      </c>
      <c r="Z4995" t="s">
        <v>31850</v>
      </c>
      <c r="AA4995">
        <v>0.52049399575836008</v>
      </c>
      <c r="AB4995" t="str">
        <f>HYPERLINK("Melting_Curves/meltCurve_Q96B26_EXOSC8.pdf", "Melting_Curves/meltCurve_Q96B26_EXOSC8.pdf")</f>
        <v>Melting_Curves/meltCurve_Q96B26_EXOSC8.pdf</v>
      </c>
    </row>
    <row r="4996" spans="1:28" x14ac:dyDescent="0.25">
      <c r="A4996" t="s">
        <v>5000</v>
      </c>
      <c r="B4996">
        <v>0.995954080203443</v>
      </c>
      <c r="C4996">
        <v>0.913390602398364</v>
      </c>
      <c r="D4996">
        <v>0.82485058389682298</v>
      </c>
      <c r="E4996">
        <v>0.89980449899579196</v>
      </c>
      <c r="F4996">
        <v>0.80379645702724201</v>
      </c>
      <c r="G4996">
        <v>0.56343830429919295</v>
      </c>
      <c r="H4996">
        <v>0.48734048344658598</v>
      </c>
      <c r="I4996">
        <v>0.56181725835962604</v>
      </c>
      <c r="J4996">
        <v>0.65053042604578204</v>
      </c>
      <c r="K4996">
        <v>0.62064585952799201</v>
      </c>
      <c r="L4996">
        <v>665.20132132058905</v>
      </c>
      <c r="M4996">
        <v>12.982653563536999</v>
      </c>
      <c r="O4996">
        <v>50.067715687291198</v>
      </c>
      <c r="P4996">
        <v>-2.9009288924630498E-2</v>
      </c>
      <c r="Q4996">
        <v>0.55258097043015797</v>
      </c>
      <c r="R4996">
        <v>0.80569363150360895</v>
      </c>
      <c r="S4996" t="s">
        <v>11802</v>
      </c>
      <c r="T4996" t="s">
        <v>13610</v>
      </c>
      <c r="U4996" t="s">
        <v>13610</v>
      </c>
      <c r="V4996" t="s">
        <v>13610</v>
      </c>
      <c r="W4996" t="s">
        <v>18544</v>
      </c>
      <c r="X4996">
        <v>7</v>
      </c>
      <c r="Y4996" t="s">
        <v>25114</v>
      </c>
      <c r="Z4996" t="s">
        <v>31851</v>
      </c>
      <c r="AA4996">
        <v>0.73302048198500713</v>
      </c>
      <c r="AB4996" t="str">
        <f>HYPERLINK("Melting_Curves/meltCurve_Q96B36_AKT1S1.pdf", "Melting_Curves/meltCurve_Q96B36_AKT1S1.pdf")</f>
        <v>Melting_Curves/meltCurve_Q96B36_AKT1S1.pdf</v>
      </c>
    </row>
    <row r="4997" spans="1:28" x14ac:dyDescent="0.25">
      <c r="A4997" t="s">
        <v>5001</v>
      </c>
      <c r="B4997">
        <v>0.995954080203443</v>
      </c>
      <c r="C4997">
        <v>0.97647147731165895</v>
      </c>
      <c r="D4997">
        <v>0.90539318712558003</v>
      </c>
      <c r="E4997">
        <v>0.84796825598834102</v>
      </c>
      <c r="F4997">
        <v>0.75295980848035704</v>
      </c>
      <c r="G4997">
        <v>0.49785402144644397</v>
      </c>
      <c r="H4997">
        <v>0.36013579676191798</v>
      </c>
      <c r="I4997">
        <v>0.35777036050067801</v>
      </c>
      <c r="J4997">
        <v>0.41111455181978401</v>
      </c>
      <c r="K4997">
        <v>0.41016206976768999</v>
      </c>
      <c r="L4997">
        <v>1040.1901108623499</v>
      </c>
      <c r="M4997">
        <v>19.482149381010199</v>
      </c>
      <c r="N4997">
        <v>57.225636656455102</v>
      </c>
      <c r="O4997">
        <v>52.838962980361899</v>
      </c>
      <c r="P4997">
        <v>-5.8586629948712499E-2</v>
      </c>
      <c r="Q4997">
        <v>0.36443457744968899</v>
      </c>
      <c r="R4997">
        <v>0.97760906796646496</v>
      </c>
      <c r="S4997" t="s">
        <v>11803</v>
      </c>
      <c r="T4997" t="s">
        <v>13610</v>
      </c>
      <c r="U4997" t="s">
        <v>13610</v>
      </c>
      <c r="V4997" t="s">
        <v>13610</v>
      </c>
      <c r="W4997" t="s">
        <v>18545</v>
      </c>
      <c r="X4997">
        <v>4</v>
      </c>
      <c r="Y4997" t="s">
        <v>25115</v>
      </c>
      <c r="Z4997" t="s">
        <v>31852</v>
      </c>
      <c r="AA4997">
        <v>0.65724512019649362</v>
      </c>
      <c r="AB4997" t="str">
        <f>HYPERLINK("Melting_Curves/meltCurve_Q96B45_C10orf32.pdf", "Melting_Curves/meltCurve_Q96B45_C10orf32.pdf")</f>
        <v>Melting_Curves/meltCurve_Q96B45_C10orf32.pdf</v>
      </c>
    </row>
    <row r="4998" spans="1:28" x14ac:dyDescent="0.25">
      <c r="A4998" t="s">
        <v>5002</v>
      </c>
      <c r="B4998">
        <v>0.995954080203443</v>
      </c>
      <c r="C4998">
        <v>1.02227570834757</v>
      </c>
      <c r="D4998">
        <v>1.0847602652469299</v>
      </c>
      <c r="E4998">
        <v>1.01052143027875</v>
      </c>
      <c r="F4998">
        <v>1.01768911326795</v>
      </c>
      <c r="G4998">
        <v>0.79960232225594097</v>
      </c>
      <c r="H4998">
        <v>0.77299369954395103</v>
      </c>
      <c r="I4998">
        <v>0.95922782006323004</v>
      </c>
      <c r="J4998">
        <v>1.19253297041115</v>
      </c>
      <c r="K4998">
        <v>1.1571138878301701</v>
      </c>
      <c r="L4998">
        <v>8803.6310359538693</v>
      </c>
      <c r="M4998">
        <v>134.115791245238</v>
      </c>
      <c r="O4998">
        <v>65.627414420363493</v>
      </c>
      <c r="P4998">
        <v>9.0845732475278607E-2</v>
      </c>
      <c r="Q4998">
        <v>1.1778156416507799</v>
      </c>
      <c r="R4998">
        <v>0.36863537656466699</v>
      </c>
      <c r="S4998" t="s">
        <v>11804</v>
      </c>
      <c r="T4998" t="s">
        <v>13610</v>
      </c>
      <c r="U4998" t="s">
        <v>13610</v>
      </c>
      <c r="V4998" t="s">
        <v>13610</v>
      </c>
      <c r="W4998" t="s">
        <v>18546</v>
      </c>
      <c r="X4998">
        <v>6</v>
      </c>
      <c r="Y4998" t="s">
        <v>25116</v>
      </c>
      <c r="Z4998" t="s">
        <v>31853</v>
      </c>
      <c r="AA4998">
        <v>1.0257601611842411</v>
      </c>
      <c r="AB4998" t="str">
        <f>HYPERLINK("Melting_Curves/meltCurve_Q96B54_ZNF428.pdf", "Melting_Curves/meltCurve_Q96B54_ZNF428.pdf")</f>
        <v>Melting_Curves/meltCurve_Q96B54_ZNF428.pdf</v>
      </c>
    </row>
    <row r="4999" spans="1:28" x14ac:dyDescent="0.25">
      <c r="A4999" t="s">
        <v>5003</v>
      </c>
      <c r="B4999">
        <v>0.995954080203443</v>
      </c>
      <c r="C4999">
        <v>0.94303309199455299</v>
      </c>
      <c r="D4999">
        <v>0.88345809597207003</v>
      </c>
      <c r="E4999">
        <v>0.85331154268518095</v>
      </c>
      <c r="F4999">
        <v>0.73869225437035901</v>
      </c>
      <c r="G4999">
        <v>0.52699614162413799</v>
      </c>
      <c r="H4999">
        <v>0.472120553805082</v>
      </c>
      <c r="I4999">
        <v>0.561324256214628</v>
      </c>
      <c r="J4999">
        <v>0.68634500951078203</v>
      </c>
      <c r="K4999">
        <v>0.60873635186431496</v>
      </c>
      <c r="L4999">
        <v>1046.1451421127299</v>
      </c>
      <c r="M4999">
        <v>20.5954692132083</v>
      </c>
      <c r="O4999">
        <v>50.323324156452003</v>
      </c>
      <c r="P4999">
        <v>-4.42779247912247E-2</v>
      </c>
      <c r="Q4999">
        <v>0.567254890618765</v>
      </c>
      <c r="R4999">
        <v>0.85687340404784595</v>
      </c>
      <c r="S4999" t="s">
        <v>11805</v>
      </c>
      <c r="T4999" t="s">
        <v>13610</v>
      </c>
      <c r="U4999" t="s">
        <v>13610</v>
      </c>
      <c r="V4999" t="s">
        <v>13610</v>
      </c>
      <c r="W4999" t="s">
        <v>18547</v>
      </c>
      <c r="X4999">
        <v>8</v>
      </c>
      <c r="Y4999" t="s">
        <v>25117</v>
      </c>
      <c r="Z4999" t="s">
        <v>31854</v>
      </c>
      <c r="AA4999">
        <v>0.7286548569833694</v>
      </c>
      <c r="AB4999" t="str">
        <f>HYPERLINK("Melting_Curves/meltCurve_Q96B97_SH3KBP1.pdf", "Melting_Curves/meltCurve_Q96B97_SH3KBP1.pdf")</f>
        <v>Melting_Curves/meltCurve_Q96B97_SH3KBP1.pdf</v>
      </c>
    </row>
    <row r="5000" spans="1:28" x14ac:dyDescent="0.25">
      <c r="A5000" t="s">
        <v>5004</v>
      </c>
      <c r="B5000">
        <v>0.995954080203443</v>
      </c>
      <c r="C5000">
        <v>0.99659654843043799</v>
      </c>
      <c r="D5000">
        <v>1.0018933078524199</v>
      </c>
      <c r="E5000">
        <v>0.83963451548544799</v>
      </c>
      <c r="F5000">
        <v>0.74746296029098602</v>
      </c>
      <c r="G5000">
        <v>0.49417452828963099</v>
      </c>
      <c r="H5000">
        <v>0.37299522737962898</v>
      </c>
      <c r="I5000">
        <v>0.39387143813286102</v>
      </c>
      <c r="J5000">
        <v>0.478288437593756</v>
      </c>
      <c r="K5000">
        <v>0.44690878930841599</v>
      </c>
      <c r="L5000">
        <v>1288.19140594439</v>
      </c>
      <c r="M5000">
        <v>24.3288422180112</v>
      </c>
      <c r="N5000">
        <v>57.130970187476599</v>
      </c>
      <c r="O5000">
        <v>52.595294486004597</v>
      </c>
      <c r="P5000">
        <v>-6.7564857520491198E-2</v>
      </c>
      <c r="Q5000">
        <v>0.41574854486705498</v>
      </c>
      <c r="R5000">
        <v>0.97795254690119005</v>
      </c>
      <c r="S5000" t="s">
        <v>11806</v>
      </c>
      <c r="T5000" t="s">
        <v>13610</v>
      </c>
      <c r="U5000" t="s">
        <v>13610</v>
      </c>
      <c r="V5000" t="s">
        <v>13610</v>
      </c>
      <c r="W5000" t="s">
        <v>18548</v>
      </c>
      <c r="X5000">
        <v>13</v>
      </c>
      <c r="Y5000" t="s">
        <v>25118</v>
      </c>
      <c r="Z5000" t="s">
        <v>31855</v>
      </c>
      <c r="AA5000">
        <v>0.67359217625491774</v>
      </c>
      <c r="AB5000" t="str">
        <f>HYPERLINK("Melting_Curves/meltCurve_Q96BD5_2_PHF21A.pdf", "Melting_Curves/meltCurve_Q96BD5_2_PHF21A.pdf")</f>
        <v>Melting_Curves/meltCurve_Q96BD5_2_PHF21A.pdf</v>
      </c>
    </row>
    <row r="5001" spans="1:28" x14ac:dyDescent="0.25">
      <c r="A5001" t="s">
        <v>5005</v>
      </c>
      <c r="B5001">
        <v>0.995954080203443</v>
      </c>
      <c r="C5001">
        <v>0.74330404916662296</v>
      </c>
      <c r="D5001">
        <v>0.52766733219182405</v>
      </c>
      <c r="E5001">
        <v>0.35909415447659299</v>
      </c>
      <c r="F5001">
        <v>0.34092167977590199</v>
      </c>
      <c r="G5001">
        <v>0.25012417567103001</v>
      </c>
      <c r="H5001">
        <v>0.218249263948113</v>
      </c>
      <c r="I5001">
        <v>0.27848677928673099</v>
      </c>
      <c r="J5001">
        <v>0.27431349278997103</v>
      </c>
      <c r="K5001">
        <v>0.30374869466750398</v>
      </c>
      <c r="L5001">
        <v>911.27246759452396</v>
      </c>
      <c r="M5001">
        <v>20.427006169267901</v>
      </c>
      <c r="N5001">
        <v>46.393764441675799</v>
      </c>
      <c r="O5001">
        <v>44.190215230561599</v>
      </c>
      <c r="P5001">
        <v>-8.4142722044778503E-2</v>
      </c>
      <c r="Q5001">
        <v>0.27191020920397602</v>
      </c>
      <c r="R5001">
        <v>0.97993211304086103</v>
      </c>
      <c r="S5001" t="s">
        <v>11807</v>
      </c>
      <c r="T5001" t="s">
        <v>13610</v>
      </c>
      <c r="U5001" t="s">
        <v>13610</v>
      </c>
      <c r="V5001" t="s">
        <v>13610</v>
      </c>
      <c r="W5001" t="s">
        <v>18549</v>
      </c>
      <c r="X5001">
        <v>2</v>
      </c>
      <c r="Y5001" t="s">
        <v>25119</v>
      </c>
      <c r="Z5001" t="s">
        <v>31856</v>
      </c>
      <c r="AA5001">
        <v>0.39612643694144589</v>
      </c>
      <c r="AB5001" t="str">
        <f>HYPERLINK("Melting_Curves/meltCurve_Q96BD8_2_SKA1.pdf", "Melting_Curves/meltCurve_Q96BD8_2_SKA1.pdf")</f>
        <v>Melting_Curves/meltCurve_Q96BD8_2_SKA1.pdf</v>
      </c>
    </row>
    <row r="5002" spans="1:28" x14ac:dyDescent="0.25">
      <c r="A5002" t="s">
        <v>5006</v>
      </c>
      <c r="B5002">
        <v>0.995954080203443</v>
      </c>
      <c r="C5002">
        <v>0.89863461315736304</v>
      </c>
      <c r="D5002">
        <v>1.20783177707672</v>
      </c>
      <c r="E5002">
        <v>0.90952218587092704</v>
      </c>
      <c r="F5002">
        <v>1.0295995932433599</v>
      </c>
      <c r="G5002">
        <v>0.86353554133938704</v>
      </c>
      <c r="H5002">
        <v>0.73236758036353</v>
      </c>
      <c r="I5002">
        <v>0.79832360750047604</v>
      </c>
      <c r="J5002">
        <v>0.89715344002906094</v>
      </c>
      <c r="K5002">
        <v>0.80219096400884704</v>
      </c>
      <c r="L5002">
        <v>14199.256486300101</v>
      </c>
      <c r="M5002">
        <v>250</v>
      </c>
      <c r="O5002">
        <v>56.793372705567798</v>
      </c>
      <c r="P5002">
        <v>-0.211832636764307</v>
      </c>
      <c r="Q5002">
        <v>0.80750889858294195</v>
      </c>
      <c r="R5002">
        <v>0.54658749115069805</v>
      </c>
      <c r="S5002" t="s">
        <v>11808</v>
      </c>
      <c r="T5002" t="s">
        <v>13610</v>
      </c>
      <c r="U5002" t="s">
        <v>13610</v>
      </c>
      <c r="V5002" t="s">
        <v>13610</v>
      </c>
      <c r="W5002" t="s">
        <v>18550</v>
      </c>
      <c r="X5002">
        <v>3</v>
      </c>
      <c r="Y5002" t="s">
        <v>25120</v>
      </c>
      <c r="Z5002" t="s">
        <v>31857</v>
      </c>
      <c r="AA5002">
        <v>0.91530401984845844</v>
      </c>
      <c r="AB5002" t="str">
        <f>HYPERLINK("Melting_Curves/meltCurve_Q96BF6_NACC2.pdf", "Melting_Curves/meltCurve_Q96BF6_NACC2.pdf")</f>
        <v>Melting_Curves/meltCurve_Q96BF6_NACC2.pdf</v>
      </c>
    </row>
    <row r="5003" spans="1:28" x14ac:dyDescent="0.25">
      <c r="A5003" t="s">
        <v>5007</v>
      </c>
      <c r="B5003">
        <v>0.995954080203443</v>
      </c>
      <c r="C5003">
        <v>1.02837640788167</v>
      </c>
      <c r="D5003">
        <v>0.96366975795228405</v>
      </c>
      <c r="E5003">
        <v>0.81475419840818597</v>
      </c>
      <c r="F5003">
        <v>0.67534460384802097</v>
      </c>
      <c r="G5003">
        <v>0.38917634844570898</v>
      </c>
      <c r="H5003">
        <v>0.23283529427266</v>
      </c>
      <c r="I5003">
        <v>0.197689260639349</v>
      </c>
      <c r="J5003">
        <v>0.21442357044959601</v>
      </c>
      <c r="K5003">
        <v>0.18168270098404399</v>
      </c>
      <c r="L5003">
        <v>1009.79898117375</v>
      </c>
      <c r="M5003">
        <v>18.735383394112901</v>
      </c>
      <c r="N5003">
        <v>55.113159642216701</v>
      </c>
      <c r="O5003">
        <v>53.295181863219099</v>
      </c>
      <c r="P5003">
        <v>-7.3017827500065399E-2</v>
      </c>
      <c r="Q5003">
        <v>0.16920100665636201</v>
      </c>
      <c r="R5003">
        <v>0.99668187882191195</v>
      </c>
      <c r="S5003" t="s">
        <v>11809</v>
      </c>
      <c r="T5003" t="s">
        <v>13610</v>
      </c>
      <c r="U5003" t="s">
        <v>13610</v>
      </c>
      <c r="V5003" t="s">
        <v>13610</v>
      </c>
      <c r="W5003" t="s">
        <v>18551</v>
      </c>
      <c r="X5003">
        <v>8</v>
      </c>
      <c r="Y5003" t="s">
        <v>25121</v>
      </c>
      <c r="Z5003" t="s">
        <v>31858</v>
      </c>
      <c r="AA5003">
        <v>0.56662325147675019</v>
      </c>
      <c r="AB5003" t="str">
        <f>HYPERLINK("Melting_Curves/meltCurve_Q96BH1_RNF25.pdf", "Melting_Curves/meltCurve_Q96BH1_RNF25.pdf")</f>
        <v>Melting_Curves/meltCurve_Q96BH1_RNF25.pdf</v>
      </c>
    </row>
    <row r="5004" spans="1:28" x14ac:dyDescent="0.25">
      <c r="A5004" t="s">
        <v>5008</v>
      </c>
      <c r="B5004">
        <v>0.995954080203443</v>
      </c>
      <c r="C5004">
        <v>1.04437719996307</v>
      </c>
      <c r="D5004">
        <v>1.0414309600110001</v>
      </c>
      <c r="E5004">
        <v>0.85170034615446799</v>
      </c>
      <c r="F5004">
        <v>0.55227227836918602</v>
      </c>
      <c r="G5004">
        <v>0.21492994425269901</v>
      </c>
      <c r="H5004">
        <v>9.6762994543774003E-2</v>
      </c>
      <c r="I5004">
        <v>7.92799382360595E-2</v>
      </c>
      <c r="J5004">
        <v>8.5819592865449601E-2</v>
      </c>
      <c r="K5004">
        <v>8.6754195266573894E-2</v>
      </c>
      <c r="L5004">
        <v>1462.8251073183801</v>
      </c>
      <c r="M5004">
        <v>27.533199112077298</v>
      </c>
      <c r="N5004">
        <v>53.4670237846628</v>
      </c>
      <c r="O5004">
        <v>52.851601747527297</v>
      </c>
      <c r="P5004">
        <v>-0.11985001007512699</v>
      </c>
      <c r="Q5004">
        <v>7.9771729412382794E-2</v>
      </c>
      <c r="R5004">
        <v>0.99682846423841298</v>
      </c>
      <c r="S5004" t="s">
        <v>11810</v>
      </c>
      <c r="T5004" t="s">
        <v>13610</v>
      </c>
      <c r="U5004" t="s">
        <v>13610</v>
      </c>
      <c r="V5004" t="s">
        <v>13610</v>
      </c>
      <c r="W5004" t="s">
        <v>14222</v>
      </c>
      <c r="X5004">
        <v>12</v>
      </c>
      <c r="Y5004" t="s">
        <v>20947</v>
      </c>
      <c r="Z5004" t="s">
        <v>31859</v>
      </c>
      <c r="AA5004">
        <v>0.48957061375843081</v>
      </c>
      <c r="AB5004" t="str">
        <f>HYPERLINK("Melting_Curves/meltCurve_Q96BJ3_AIDA.pdf", "Melting_Curves/meltCurve_Q96BJ3_AIDA.pdf")</f>
        <v>Melting_Curves/meltCurve_Q96BJ3_AIDA.pdf</v>
      </c>
    </row>
    <row r="5005" spans="1:28" x14ac:dyDescent="0.25">
      <c r="A5005" t="s">
        <v>5009</v>
      </c>
      <c r="B5005">
        <v>0.995954080203443</v>
      </c>
      <c r="C5005">
        <v>0.95506648604413003</v>
      </c>
      <c r="D5005">
        <v>1.0169092492651599</v>
      </c>
      <c r="E5005">
        <v>0.911521558948855</v>
      </c>
      <c r="F5005">
        <v>0.89371921344850302</v>
      </c>
      <c r="G5005">
        <v>0.68265514710363595</v>
      </c>
      <c r="H5005">
        <v>0.65683307246168099</v>
      </c>
      <c r="I5005">
        <v>0.74537787643597198</v>
      </c>
      <c r="J5005">
        <v>0.96207693580914599</v>
      </c>
      <c r="K5005">
        <v>0.89724314283135198</v>
      </c>
      <c r="L5005">
        <v>1781.99509820558</v>
      </c>
      <c r="M5005">
        <v>34.784369695342299</v>
      </c>
      <c r="O5005">
        <v>51.061331534442701</v>
      </c>
      <c r="P5005">
        <v>-3.50247039220076E-2</v>
      </c>
      <c r="Q5005">
        <v>0.79434423386794795</v>
      </c>
      <c r="R5005">
        <v>0.47587209983638201</v>
      </c>
      <c r="S5005" t="s">
        <v>11811</v>
      </c>
      <c r="T5005" t="s">
        <v>13610</v>
      </c>
      <c r="U5005" t="s">
        <v>13610</v>
      </c>
      <c r="V5005" t="s">
        <v>13610</v>
      </c>
      <c r="W5005" t="s">
        <v>18552</v>
      </c>
      <c r="X5005">
        <v>14</v>
      </c>
      <c r="Y5005" t="s">
        <v>25122</v>
      </c>
      <c r="Z5005" t="s">
        <v>31860</v>
      </c>
      <c r="AA5005">
        <v>0.87229103292936805</v>
      </c>
      <c r="AB5005" t="str">
        <f>HYPERLINK("Melting_Curves/meltCurve_Q96BK5_PINX1.pdf", "Melting_Curves/meltCurve_Q96BK5_PINX1.pdf")</f>
        <v>Melting_Curves/meltCurve_Q96BK5_PINX1.pdf</v>
      </c>
    </row>
    <row r="5006" spans="1:28" x14ac:dyDescent="0.25">
      <c r="A5006" t="s">
        <v>5010</v>
      </c>
      <c r="B5006">
        <v>0.995954080203443</v>
      </c>
      <c r="C5006">
        <v>0.69179007200199605</v>
      </c>
      <c r="D5006">
        <v>0.45910058788841301</v>
      </c>
      <c r="E5006">
        <v>0.482149762681709</v>
      </c>
      <c r="F5006">
        <v>0.226025532443277</v>
      </c>
      <c r="G5006">
        <v>0.11927750801312</v>
      </c>
      <c r="H5006">
        <v>8.3472444997574502E-2</v>
      </c>
      <c r="I5006">
        <v>7.6655440447012502E-2</v>
      </c>
      <c r="J5006">
        <v>8.4783888022109899E-2</v>
      </c>
      <c r="K5006">
        <v>0.103819957380772</v>
      </c>
      <c r="L5006">
        <v>548.28872015461695</v>
      </c>
      <c r="M5006">
        <v>11.784079456512799</v>
      </c>
      <c r="N5006">
        <v>47.004619573819198</v>
      </c>
      <c r="O5006">
        <v>45.248649252247098</v>
      </c>
      <c r="P5006">
        <v>-6.1456262925920199E-2</v>
      </c>
      <c r="Q5006">
        <v>5.6321768869255003E-2</v>
      </c>
      <c r="R5006">
        <v>0.94640737684961895</v>
      </c>
      <c r="S5006" t="s">
        <v>11812</v>
      </c>
      <c r="T5006" t="s">
        <v>13610</v>
      </c>
      <c r="U5006" t="s">
        <v>13610</v>
      </c>
      <c r="V5006" t="s">
        <v>13610</v>
      </c>
      <c r="W5006" t="s">
        <v>18553</v>
      </c>
      <c r="X5006">
        <v>2</v>
      </c>
      <c r="Y5006" t="s">
        <v>25123</v>
      </c>
      <c r="Z5006" t="s">
        <v>31861</v>
      </c>
      <c r="AA5006">
        <v>0.30415195501710268</v>
      </c>
      <c r="AB5006" t="str">
        <f>HYPERLINK("Melting_Curves/meltCurve_Q96BN2_TADA1.pdf", "Melting_Curves/meltCurve_Q96BN2_TADA1.pdf")</f>
        <v>Melting_Curves/meltCurve_Q96BN2_TADA1.pdf</v>
      </c>
    </row>
    <row r="5007" spans="1:28" x14ac:dyDescent="0.25">
      <c r="A5007" t="s">
        <v>5011</v>
      </c>
      <c r="B5007">
        <v>0.995954080203443</v>
      </c>
      <c r="C5007">
        <v>1.01357171791102</v>
      </c>
      <c r="D5007">
        <v>1.1219042477393</v>
      </c>
      <c r="E5007">
        <v>0.77349308131180505</v>
      </c>
      <c r="F5007">
        <v>0.28011723093673302</v>
      </c>
      <c r="G5007">
        <v>0.13385486097749699</v>
      </c>
      <c r="H5007">
        <v>9.93266918892068E-2</v>
      </c>
      <c r="I5007">
        <v>9.4572298377921998E-2</v>
      </c>
      <c r="J5007">
        <v>0.115134717151424</v>
      </c>
      <c r="K5007">
        <v>0.10496590006364</v>
      </c>
      <c r="L5007">
        <v>2298.9005440324199</v>
      </c>
      <c r="M5007">
        <v>44.844593605633001</v>
      </c>
      <c r="N5007">
        <v>51.5433593458703</v>
      </c>
      <c r="O5007">
        <v>51.162093796104102</v>
      </c>
      <c r="P5007">
        <v>-0.19546717100376801</v>
      </c>
      <c r="Q5007">
        <v>0.1079865086452</v>
      </c>
      <c r="R5007">
        <v>0.99038315056193404</v>
      </c>
      <c r="S5007" t="s">
        <v>11813</v>
      </c>
      <c r="T5007" t="s">
        <v>13610</v>
      </c>
      <c r="U5007" t="s">
        <v>13610</v>
      </c>
      <c r="V5007" t="s">
        <v>13610</v>
      </c>
      <c r="W5007" t="s">
        <v>18554</v>
      </c>
      <c r="X5007">
        <v>20</v>
      </c>
      <c r="Y5007" t="s">
        <v>25124</v>
      </c>
      <c r="Z5007" t="s">
        <v>31862</v>
      </c>
      <c r="AA5007">
        <v>0.44541002919337608</v>
      </c>
      <c r="AB5007" t="str">
        <f>HYPERLINK("Melting_Curves/meltCurve_Q96BN8_FAM105B.pdf", "Melting_Curves/meltCurve_Q96BN8_FAM105B.pdf")</f>
        <v>Melting_Curves/meltCurve_Q96BN8_FAM105B.pdf</v>
      </c>
    </row>
    <row r="5008" spans="1:28" x14ac:dyDescent="0.25">
      <c r="A5008" t="s">
        <v>5012</v>
      </c>
      <c r="B5008">
        <v>0.995954080203443</v>
      </c>
      <c r="C5008">
        <v>0.95985660806973505</v>
      </c>
      <c r="D5008">
        <v>0.83976213853374004</v>
      </c>
      <c r="E5008">
        <v>0.59517997632209696</v>
      </c>
      <c r="F5008">
        <v>0.188515511200882</v>
      </c>
      <c r="G5008">
        <v>0.117776064028481</v>
      </c>
      <c r="H5008">
        <v>7.6808631119474405E-2</v>
      </c>
      <c r="I5008">
        <v>0.105377057523822</v>
      </c>
      <c r="J5008">
        <v>0.12338841161521601</v>
      </c>
      <c r="K5008">
        <v>9.9337705099673004E-2</v>
      </c>
      <c r="L5008">
        <v>1273.0759941029701</v>
      </c>
      <c r="M5008">
        <v>25.531242762827201</v>
      </c>
      <c r="N5008">
        <v>50.2512484053835</v>
      </c>
      <c r="O5008">
        <v>49.560567314220897</v>
      </c>
      <c r="P5008">
        <v>-0.117274081403366</v>
      </c>
      <c r="Q5008">
        <v>8.9414034521863306E-2</v>
      </c>
      <c r="R5008">
        <v>0.98886575518971698</v>
      </c>
      <c r="S5008" t="s">
        <v>11814</v>
      </c>
      <c r="T5008" t="s">
        <v>13610</v>
      </c>
      <c r="U5008" t="s">
        <v>13610</v>
      </c>
      <c r="V5008" t="s">
        <v>13610</v>
      </c>
      <c r="W5008" t="s">
        <v>18555</v>
      </c>
      <c r="X5008">
        <v>26</v>
      </c>
      <c r="Y5008" t="s">
        <v>25125</v>
      </c>
      <c r="Z5008" t="s">
        <v>31863</v>
      </c>
      <c r="AA5008">
        <v>0.39658797637207321</v>
      </c>
      <c r="AB5008" t="str">
        <f>HYPERLINK("Melting_Curves/meltCurve_Q96BP3_PPWD1.pdf", "Melting_Curves/meltCurve_Q96BP3_PPWD1.pdf")</f>
        <v>Melting_Curves/meltCurve_Q96BP3_PPWD1.pdf</v>
      </c>
    </row>
    <row r="5009" spans="1:28" x14ac:dyDescent="0.25">
      <c r="A5009" t="s">
        <v>5013</v>
      </c>
      <c r="B5009">
        <v>0.995954080203443</v>
      </c>
      <c r="C5009">
        <v>0.86363220856916501</v>
      </c>
      <c r="D5009">
        <v>0.81952199063793596</v>
      </c>
      <c r="E5009">
        <v>0.57424369057677704</v>
      </c>
      <c r="F5009">
        <v>0.53411241223660499</v>
      </c>
      <c r="G5009">
        <v>0.384614727289466</v>
      </c>
      <c r="H5009">
        <v>0.31853891954586899</v>
      </c>
      <c r="I5009">
        <v>0.36231570833294702</v>
      </c>
      <c r="J5009">
        <v>0.43342814742956098</v>
      </c>
      <c r="K5009">
        <v>0.42514090147760097</v>
      </c>
      <c r="L5009">
        <v>757.68493250678603</v>
      </c>
      <c r="M5009">
        <v>15.788590921041701</v>
      </c>
      <c r="N5009">
        <v>52.565247566848697</v>
      </c>
      <c r="O5009">
        <v>47.239325417802398</v>
      </c>
      <c r="P5009">
        <v>-5.2351919824758703E-2</v>
      </c>
      <c r="Q5009">
        <v>0.37350582864841098</v>
      </c>
      <c r="R5009">
        <v>0.96254708869905004</v>
      </c>
      <c r="S5009" t="s">
        <v>11815</v>
      </c>
      <c r="T5009" t="s">
        <v>13610</v>
      </c>
      <c r="U5009" t="s">
        <v>13610</v>
      </c>
      <c r="V5009" t="s">
        <v>13610</v>
      </c>
      <c r="W5009" t="s">
        <v>18556</v>
      </c>
      <c r="X5009">
        <v>12</v>
      </c>
      <c r="Y5009" t="s">
        <v>25126</v>
      </c>
      <c r="Z5009" t="s">
        <v>31864</v>
      </c>
      <c r="AA5009">
        <v>0.55490892243884993</v>
      </c>
      <c r="AB5009" t="str">
        <f>HYPERLINK("Melting_Curves/meltCurve_Q96BR5_SELRC1.pdf", "Melting_Curves/meltCurve_Q96BR5_SELRC1.pdf")</f>
        <v>Melting_Curves/meltCurve_Q96BR5_SELRC1.pdf</v>
      </c>
    </row>
    <row r="5010" spans="1:28" x14ac:dyDescent="0.25">
      <c r="A5010" t="s">
        <v>5014</v>
      </c>
      <c r="B5010">
        <v>0.995954080203443</v>
      </c>
      <c r="C5010">
        <v>1.0151142702806499</v>
      </c>
      <c r="D5010">
        <v>1.05896532877418</v>
      </c>
      <c r="E5010">
        <v>0.98718400529346895</v>
      </c>
      <c r="F5010">
        <v>0.93087326872445697</v>
      </c>
      <c r="G5010">
        <v>0.72958730236207203</v>
      </c>
      <c r="H5010">
        <v>0.49908881842147101</v>
      </c>
      <c r="I5010">
        <v>0.452459366303471</v>
      </c>
      <c r="J5010">
        <v>0.37291604618378199</v>
      </c>
      <c r="K5010">
        <v>0.47683077771861099</v>
      </c>
      <c r="L5010">
        <v>1633.7348825536401</v>
      </c>
      <c r="M5010">
        <v>28.586364800464999</v>
      </c>
      <c r="N5010">
        <v>61.104815835941899</v>
      </c>
      <c r="O5010">
        <v>56.873340648702502</v>
      </c>
      <c r="P5010">
        <v>-7.2710954387474699E-2</v>
      </c>
      <c r="Q5010">
        <v>0.42136279686870898</v>
      </c>
      <c r="R5010">
        <v>0.98525619202085801</v>
      </c>
      <c r="S5010" t="s">
        <v>11816</v>
      </c>
      <c r="T5010" t="s">
        <v>13610</v>
      </c>
      <c r="U5010" t="s">
        <v>13610</v>
      </c>
      <c r="V5010" t="s">
        <v>13610</v>
      </c>
      <c r="W5010" t="s">
        <v>18557</v>
      </c>
      <c r="X5010">
        <v>1</v>
      </c>
      <c r="Y5010" t="s">
        <v>25127</v>
      </c>
      <c r="Z5010" t="s">
        <v>31865</v>
      </c>
      <c r="AA5010">
        <v>0.75634896847786337</v>
      </c>
      <c r="AB5010" t="str">
        <f>HYPERLINK("Melting_Curves/meltCurve_Q96BR6_2_ZNF669.pdf", "Melting_Curves/meltCurve_Q96BR6_2_ZNF669.pdf")</f>
        <v>Melting_Curves/meltCurve_Q96BR6_2_ZNF669.pdf</v>
      </c>
    </row>
    <row r="5011" spans="1:28" x14ac:dyDescent="0.25">
      <c r="A5011" t="s">
        <v>5015</v>
      </c>
      <c r="B5011">
        <v>0.995954080203443</v>
      </c>
      <c r="C5011">
        <v>1.0242952070671001</v>
      </c>
      <c r="D5011">
        <v>0.95787257213211197</v>
      </c>
      <c r="E5011">
        <v>0.845058865320511</v>
      </c>
      <c r="F5011">
        <v>0.65166114214089199</v>
      </c>
      <c r="G5011">
        <v>0.33017395915772901</v>
      </c>
      <c r="H5011">
        <v>0.15986279546584301</v>
      </c>
      <c r="I5011">
        <v>0.11884978713701901</v>
      </c>
      <c r="J5011">
        <v>0.12684306136924101</v>
      </c>
      <c r="K5011">
        <v>0.113858517193223</v>
      </c>
      <c r="L5011">
        <v>1116.7848618195901</v>
      </c>
      <c r="M5011">
        <v>20.661942814362899</v>
      </c>
      <c r="N5011">
        <v>54.6197339936042</v>
      </c>
      <c r="O5011">
        <v>53.551675240604503</v>
      </c>
      <c r="P5011">
        <v>-8.7114689239357598E-2</v>
      </c>
      <c r="Q5011">
        <v>9.6889580488074695E-2</v>
      </c>
      <c r="R5011">
        <v>0.99851664150850195</v>
      </c>
      <c r="S5011" t="s">
        <v>11817</v>
      </c>
      <c r="T5011" t="s">
        <v>13610</v>
      </c>
      <c r="U5011" t="s">
        <v>13610</v>
      </c>
      <c r="V5011" t="s">
        <v>13610</v>
      </c>
      <c r="W5011" t="s">
        <v>18558</v>
      </c>
      <c r="X5011">
        <v>8</v>
      </c>
      <c r="Y5011" t="s">
        <v>25128</v>
      </c>
      <c r="Z5011" t="s">
        <v>31866</v>
      </c>
      <c r="AA5011">
        <v>0.53148955335499481</v>
      </c>
      <c r="AB5011" t="str">
        <f>HYPERLINK("Melting_Curves/meltCurve_Q96BS2_TESC.pdf", "Melting_Curves/meltCurve_Q96BS2_TESC.pdf")</f>
        <v>Melting_Curves/meltCurve_Q96BS2_TESC.pdf</v>
      </c>
    </row>
    <row r="5012" spans="1:28" x14ac:dyDescent="0.25">
      <c r="A5012" t="s">
        <v>5016</v>
      </c>
      <c r="B5012">
        <v>0.995954080203443</v>
      </c>
      <c r="C5012">
        <v>0.87394959280331996</v>
      </c>
      <c r="D5012">
        <v>0.65630629916683103</v>
      </c>
      <c r="E5012">
        <v>0.31219001918317002</v>
      </c>
      <c r="F5012">
        <v>0.153862352033628</v>
      </c>
      <c r="G5012">
        <v>0.100801872833096</v>
      </c>
      <c r="H5012">
        <v>6.9059548195610096E-2</v>
      </c>
      <c r="I5012">
        <v>7.5872210762756603E-2</v>
      </c>
      <c r="J5012">
        <v>8.6992727058035096E-2</v>
      </c>
      <c r="K5012">
        <v>8.0008164265281206E-2</v>
      </c>
      <c r="L5012">
        <v>938.35482345487799</v>
      </c>
      <c r="M5012">
        <v>19.876882919590901</v>
      </c>
      <c r="N5012">
        <v>47.5799528097237</v>
      </c>
      <c r="O5012">
        <v>46.738310343818398</v>
      </c>
      <c r="P5012">
        <v>-9.8679033412191003E-2</v>
      </c>
      <c r="Q5012">
        <v>7.1899255926161199E-2</v>
      </c>
      <c r="R5012">
        <v>0.99888409093581698</v>
      </c>
      <c r="S5012" t="s">
        <v>11818</v>
      </c>
      <c r="T5012" t="s">
        <v>13610</v>
      </c>
      <c r="U5012" t="s">
        <v>13610</v>
      </c>
      <c r="V5012" t="s">
        <v>13610</v>
      </c>
      <c r="W5012" t="s">
        <v>18559</v>
      </c>
      <c r="X5012">
        <v>6</v>
      </c>
      <c r="Y5012" t="s">
        <v>25129</v>
      </c>
      <c r="Z5012" t="s">
        <v>31867</v>
      </c>
      <c r="AA5012">
        <v>0.30856568929662709</v>
      </c>
      <c r="AB5012" t="str">
        <f>HYPERLINK("Melting_Curves/meltCurve_Q96BT7_ALKBH8.pdf", "Melting_Curves/meltCurve_Q96BT7_ALKBH8.pdf")</f>
        <v>Melting_Curves/meltCurve_Q96BT7_ALKBH8.pdf</v>
      </c>
    </row>
    <row r="5013" spans="1:28" x14ac:dyDescent="0.25">
      <c r="A5013" t="s">
        <v>5017</v>
      </c>
      <c r="B5013">
        <v>0.995954080203443</v>
      </c>
      <c r="C5013">
        <v>0.98688436909715505</v>
      </c>
      <c r="D5013">
        <v>0.98267016423733999</v>
      </c>
      <c r="E5013">
        <v>0.90097208834799003</v>
      </c>
      <c r="F5013">
        <v>0.83280720735185298</v>
      </c>
      <c r="G5013">
        <v>0.656500039069982</v>
      </c>
      <c r="H5013">
        <v>0.47612718175427199</v>
      </c>
      <c r="I5013">
        <v>0.34126397540464698</v>
      </c>
      <c r="J5013">
        <v>0.24548985611915899</v>
      </c>
      <c r="K5013">
        <v>0.242213699756927</v>
      </c>
      <c r="L5013">
        <v>755.26367484501304</v>
      </c>
      <c r="M5013">
        <v>12.821261545509801</v>
      </c>
      <c r="N5013">
        <v>60.160202259383702</v>
      </c>
      <c r="O5013">
        <v>57.529275881493199</v>
      </c>
      <c r="P5013">
        <v>-4.9196435089970902E-2</v>
      </c>
      <c r="Q5013">
        <v>0.117182767687775</v>
      </c>
      <c r="R5013">
        <v>0.99787860240047099</v>
      </c>
      <c r="S5013" t="s">
        <v>11819</v>
      </c>
      <c r="T5013" t="s">
        <v>13610</v>
      </c>
      <c r="U5013" t="s">
        <v>13610</v>
      </c>
      <c r="V5013" t="s">
        <v>13610</v>
      </c>
      <c r="W5013" t="s">
        <v>18560</v>
      </c>
      <c r="X5013">
        <v>16</v>
      </c>
      <c r="Y5013" t="s">
        <v>25130</v>
      </c>
      <c r="Z5013" t="s">
        <v>31868</v>
      </c>
      <c r="AA5013">
        <v>0.68188598940333767</v>
      </c>
      <c r="AB5013" t="str">
        <f>HYPERLINK("Melting_Curves/meltCurve_Q96BW5_2_PTER.pdf", "Melting_Curves/meltCurve_Q96BW5_2_PTER.pdf")</f>
        <v>Melting_Curves/meltCurve_Q96BW5_2_PTER.pdf</v>
      </c>
    </row>
    <row r="5014" spans="1:28" x14ac:dyDescent="0.25">
      <c r="A5014" t="s">
        <v>5018</v>
      </c>
      <c r="B5014">
        <v>0.995954080203443</v>
      </c>
      <c r="C5014">
        <v>1.08638398108228</v>
      </c>
      <c r="D5014">
        <v>1.04878663354942</v>
      </c>
      <c r="E5014">
        <v>0.91456028785037702</v>
      </c>
      <c r="F5014">
        <v>0.55214658070411904</v>
      </c>
      <c r="G5014">
        <v>0.180530174877709</v>
      </c>
      <c r="H5014">
        <v>0.115152628564788</v>
      </c>
      <c r="I5014">
        <v>0.10292668044779101</v>
      </c>
      <c r="J5014">
        <v>9.9374580364830697E-2</v>
      </c>
      <c r="K5014">
        <v>8.75327236114124E-2</v>
      </c>
      <c r="L5014">
        <v>1906.66788598776</v>
      </c>
      <c r="M5014">
        <v>35.939761527216397</v>
      </c>
      <c r="N5014">
        <v>53.3851944068645</v>
      </c>
      <c r="O5014">
        <v>52.888327540122901</v>
      </c>
      <c r="P5014">
        <v>-0.15280717402228999</v>
      </c>
      <c r="Q5014">
        <v>0.100529447009096</v>
      </c>
      <c r="R5014">
        <v>0.99408218779498103</v>
      </c>
      <c r="S5014" t="s">
        <v>11820</v>
      </c>
      <c r="T5014" t="s">
        <v>13610</v>
      </c>
      <c r="U5014" t="s">
        <v>13610</v>
      </c>
      <c r="V5014" t="s">
        <v>13610</v>
      </c>
      <c r="W5014" t="s">
        <v>18561</v>
      </c>
      <c r="X5014">
        <v>5</v>
      </c>
      <c r="Y5014" t="s">
        <v>25131</v>
      </c>
      <c r="Z5014" t="s">
        <v>31869</v>
      </c>
      <c r="AA5014">
        <v>0.49593418897211028</v>
      </c>
      <c r="AB5014" t="str">
        <f>HYPERLINK("Melting_Curves/meltCurve_Q96BX8_MOB3A.pdf", "Melting_Curves/meltCurve_Q96BX8_MOB3A.pdf")</f>
        <v>Melting_Curves/meltCurve_Q96BX8_MOB3A.pdf</v>
      </c>
    </row>
    <row r="5015" spans="1:28" x14ac:dyDescent="0.25">
      <c r="A5015" t="s">
        <v>5019</v>
      </c>
      <c r="B5015">
        <v>0.995954080203443</v>
      </c>
      <c r="C5015">
        <v>0.90561911352771796</v>
      </c>
      <c r="D5015">
        <v>0.73352069304853795</v>
      </c>
      <c r="E5015">
        <v>0.71091930824564797</v>
      </c>
      <c r="F5015">
        <v>0.50567867023380297</v>
      </c>
      <c r="G5015">
        <v>0.33468811010028698</v>
      </c>
      <c r="H5015">
        <v>0.157880664726297</v>
      </c>
      <c r="I5015">
        <v>0.13244769073547499</v>
      </c>
      <c r="J5015">
        <v>0.162804164602038</v>
      </c>
      <c r="K5015">
        <v>0.14016322416332599</v>
      </c>
      <c r="L5015">
        <v>551.095258125275</v>
      </c>
      <c r="M5015">
        <v>10.5239156201784</v>
      </c>
      <c r="N5015">
        <v>52.832837875544797</v>
      </c>
      <c r="O5015">
        <v>50.581232028198002</v>
      </c>
      <c r="P5015">
        <v>-4.9725274401308299E-2</v>
      </c>
      <c r="Q5015">
        <v>4.4401732555852003E-2</v>
      </c>
      <c r="R5015">
        <v>0.97954716422410704</v>
      </c>
      <c r="S5015" t="s">
        <v>11821</v>
      </c>
      <c r="T5015" t="s">
        <v>13610</v>
      </c>
      <c r="U5015" t="s">
        <v>13610</v>
      </c>
      <c r="V5015" t="s">
        <v>13610</v>
      </c>
      <c r="W5015" t="s">
        <v>18562</v>
      </c>
      <c r="X5015">
        <v>16</v>
      </c>
      <c r="Y5015" t="s">
        <v>25132</v>
      </c>
      <c r="Z5015" t="s">
        <v>31870</v>
      </c>
      <c r="AA5015">
        <v>0.47146337819044021</v>
      </c>
      <c r="AB5015" t="str">
        <f>HYPERLINK("Melting_Curves/meltCurve_Q96BY7_ATG2B.pdf", "Melting_Curves/meltCurve_Q96BY7_ATG2B.pdf")</f>
        <v>Melting_Curves/meltCurve_Q96BY7_ATG2B.pdf</v>
      </c>
    </row>
    <row r="5016" spans="1:28" x14ac:dyDescent="0.25">
      <c r="A5016" t="s">
        <v>5020</v>
      </c>
      <c r="B5016">
        <v>0.995954080203443</v>
      </c>
      <c r="C5016">
        <v>0.95589371403366197</v>
      </c>
      <c r="D5016">
        <v>1.08554537918872</v>
      </c>
      <c r="E5016">
        <v>0.97600485187785702</v>
      </c>
      <c r="F5016">
        <v>1.07174916855867</v>
      </c>
      <c r="G5016">
        <v>0.88979909710626004</v>
      </c>
      <c r="H5016">
        <v>0.897940849451343</v>
      </c>
      <c r="I5016">
        <v>1.06205387389337</v>
      </c>
      <c r="J5016">
        <v>1.16251382204302</v>
      </c>
      <c r="K5016">
        <v>1.27243709641227</v>
      </c>
      <c r="L5016">
        <v>3243.0393379299499</v>
      </c>
      <c r="M5016">
        <v>48.704830845829299</v>
      </c>
      <c r="O5016">
        <v>66.473613340409898</v>
      </c>
      <c r="P5016">
        <v>5.4067742536570797E-2</v>
      </c>
      <c r="Q5016">
        <v>1.2951719431609201</v>
      </c>
      <c r="R5016">
        <v>0.69612604333457495</v>
      </c>
      <c r="S5016" t="s">
        <v>11822</v>
      </c>
      <c r="T5016" t="s">
        <v>13610</v>
      </c>
      <c r="U5016" t="s">
        <v>13610</v>
      </c>
      <c r="V5016" t="s">
        <v>13610</v>
      </c>
      <c r="W5016" t="s">
        <v>18563</v>
      </c>
      <c r="X5016">
        <v>8</v>
      </c>
      <c r="Y5016" t="s">
        <v>25133</v>
      </c>
      <c r="Z5016" t="s">
        <v>31871</v>
      </c>
      <c r="AA5016">
        <v>1.034064574115187</v>
      </c>
      <c r="AB5016" t="str">
        <f>HYPERLINK("Melting_Curves/meltCurve_Q96BZ8_LENG1.pdf", "Melting_Curves/meltCurve_Q96BZ8_LENG1.pdf")</f>
        <v>Melting_Curves/meltCurve_Q96BZ8_LENG1.pdf</v>
      </c>
    </row>
    <row r="5017" spans="1:28" x14ac:dyDescent="0.25">
      <c r="A5017" t="s">
        <v>5021</v>
      </c>
      <c r="B5017">
        <v>0.995954080203443</v>
      </c>
      <c r="C5017">
        <v>1.0037077583732401</v>
      </c>
      <c r="D5017">
        <v>0.85304211931256901</v>
      </c>
      <c r="E5017">
        <v>0.77471158827385</v>
      </c>
      <c r="F5017">
        <v>0.36318121850616802</v>
      </c>
      <c r="G5017">
        <v>0.16398469709709601</v>
      </c>
      <c r="H5017">
        <v>0.108714452034786</v>
      </c>
      <c r="I5017">
        <v>9.1727963145378399E-2</v>
      </c>
      <c r="J5017">
        <v>0.10302447344778</v>
      </c>
      <c r="K5017">
        <v>8.5769565388324101E-2</v>
      </c>
      <c r="L5017">
        <v>1327.0954395523199</v>
      </c>
      <c r="M5017">
        <v>25.7198064437287</v>
      </c>
      <c r="N5017">
        <v>51.993008536403103</v>
      </c>
      <c r="O5017">
        <v>51.289302282919003</v>
      </c>
      <c r="P5017">
        <v>-0.11424652681938401</v>
      </c>
      <c r="Q5017">
        <v>8.8709573604964703E-2</v>
      </c>
      <c r="R5017">
        <v>0.989090470567908</v>
      </c>
      <c r="S5017" t="s">
        <v>11823</v>
      </c>
      <c r="T5017" t="s">
        <v>13610</v>
      </c>
      <c r="U5017" t="s">
        <v>13610</v>
      </c>
      <c r="V5017" t="s">
        <v>13610</v>
      </c>
      <c r="W5017" t="s">
        <v>18564</v>
      </c>
      <c r="X5017">
        <v>4</v>
      </c>
      <c r="Y5017" t="s">
        <v>25134</v>
      </c>
      <c r="Z5017" t="s">
        <v>31872</v>
      </c>
      <c r="AA5017">
        <v>0.44886010294745993</v>
      </c>
      <c r="AB5017" t="str">
        <f>HYPERLINK("Melting_Curves/meltCurve_Q96BZ9_TBC1D20.pdf", "Melting_Curves/meltCurve_Q96BZ9_TBC1D20.pdf")</f>
        <v>Melting_Curves/meltCurve_Q96BZ9_TBC1D20.pdf</v>
      </c>
    </row>
    <row r="5018" spans="1:28" x14ac:dyDescent="0.25">
      <c r="A5018" t="s">
        <v>5022</v>
      </c>
      <c r="B5018">
        <v>0.995954080203443</v>
      </c>
      <c r="C5018">
        <v>1.0170228808803401</v>
      </c>
      <c r="D5018">
        <v>1.0965222008067199</v>
      </c>
      <c r="E5018">
        <v>1.0027166518831601</v>
      </c>
      <c r="F5018">
        <v>0.92549553379976501</v>
      </c>
      <c r="G5018">
        <v>0.71766342182704501</v>
      </c>
      <c r="H5018">
        <v>0.65048721827095202</v>
      </c>
      <c r="I5018">
        <v>0.73481821458196295</v>
      </c>
      <c r="J5018">
        <v>0.77203148011832001</v>
      </c>
      <c r="K5018">
        <v>0.53414707516211202</v>
      </c>
      <c r="L5018">
        <v>2402.8992523448401</v>
      </c>
      <c r="M5018">
        <v>44.0734829834336</v>
      </c>
      <c r="O5018">
        <v>54.408408002415896</v>
      </c>
      <c r="P5018">
        <v>-6.63034551239748E-2</v>
      </c>
      <c r="Q5018">
        <v>0.67259584535933403</v>
      </c>
      <c r="R5018">
        <v>0.86286075263716999</v>
      </c>
      <c r="S5018" t="s">
        <v>11824</v>
      </c>
      <c r="T5018" t="s">
        <v>13610</v>
      </c>
      <c r="U5018" t="s">
        <v>13610</v>
      </c>
      <c r="V5018" t="s">
        <v>13610</v>
      </c>
      <c r="W5018" t="s">
        <v>18565</v>
      </c>
      <c r="X5018">
        <v>5</v>
      </c>
      <c r="Y5018" t="s">
        <v>25135</v>
      </c>
      <c r="Z5018" t="s">
        <v>31873</v>
      </c>
      <c r="AA5018">
        <v>0.83207629937230521</v>
      </c>
      <c r="AB5018" t="str">
        <f>HYPERLINK("Melting_Curves/meltCurve_Q96C00_ZBTB9.pdf", "Melting_Curves/meltCurve_Q96C00_ZBTB9.pdf")</f>
        <v>Melting_Curves/meltCurve_Q96C00_ZBTB9.pdf</v>
      </c>
    </row>
    <row r="5019" spans="1:28" x14ac:dyDescent="0.25">
      <c r="A5019" t="s">
        <v>5023</v>
      </c>
      <c r="B5019">
        <v>0.995954080203443</v>
      </c>
      <c r="C5019">
        <v>0.98618506123740501</v>
      </c>
      <c r="D5019">
        <v>0.97979460095419102</v>
      </c>
      <c r="E5019">
        <v>0.75425284612316001</v>
      </c>
      <c r="F5019">
        <v>0.65526209982647299</v>
      </c>
      <c r="G5019">
        <v>0.50098869209320296</v>
      </c>
      <c r="H5019">
        <v>0.46108879783544199</v>
      </c>
      <c r="I5019">
        <v>0.54115933419533202</v>
      </c>
      <c r="J5019">
        <v>0.92736411459158197</v>
      </c>
      <c r="K5019">
        <v>0.71538457983688897</v>
      </c>
      <c r="L5019">
        <v>2205.8523869801202</v>
      </c>
      <c r="M5019">
        <v>44.816049129527897</v>
      </c>
      <c r="O5019">
        <v>49.122436378916902</v>
      </c>
      <c r="P5019">
        <v>-8.4160903353625999E-2</v>
      </c>
      <c r="Q5019">
        <v>0.63100863715020195</v>
      </c>
      <c r="R5019">
        <v>0.62644704242023797</v>
      </c>
      <c r="S5019" t="s">
        <v>11825</v>
      </c>
      <c r="T5019" t="s">
        <v>13610</v>
      </c>
      <c r="U5019" t="s">
        <v>13610</v>
      </c>
      <c r="V5019" t="s">
        <v>13610</v>
      </c>
      <c r="W5019" t="s">
        <v>18566</v>
      </c>
      <c r="X5019">
        <v>14</v>
      </c>
      <c r="Y5019" t="s">
        <v>25136</v>
      </c>
      <c r="Z5019" t="s">
        <v>31874</v>
      </c>
      <c r="AA5019">
        <v>0.74541254489916786</v>
      </c>
      <c r="AB5019" t="str">
        <f>HYPERLINK("Melting_Curves/meltCurve_Q96C01_FAM136A.pdf", "Melting_Curves/meltCurve_Q96C01_FAM136A.pdf")</f>
        <v>Melting_Curves/meltCurve_Q96C01_FAM136A.pdf</v>
      </c>
    </row>
    <row r="5020" spans="1:28" x14ac:dyDescent="0.25">
      <c r="A5020" t="s">
        <v>5024</v>
      </c>
      <c r="B5020">
        <v>0.995954080203443</v>
      </c>
      <c r="C5020">
        <v>0.98784898983075298</v>
      </c>
      <c r="D5020">
        <v>0.99183951386154501</v>
      </c>
      <c r="E5020">
        <v>0.71205346634742395</v>
      </c>
      <c r="F5020">
        <v>0.47196233365544299</v>
      </c>
      <c r="G5020">
        <v>0.23194862768133101</v>
      </c>
      <c r="H5020">
        <v>0.15252597397108</v>
      </c>
      <c r="I5020">
        <v>0.16291426243201901</v>
      </c>
      <c r="J5020">
        <v>0.17796763476508201</v>
      </c>
      <c r="K5020">
        <v>0.17978934911974701</v>
      </c>
      <c r="L5020">
        <v>1260.5045826102801</v>
      </c>
      <c r="M5020">
        <v>24.427647482176301</v>
      </c>
      <c r="N5020">
        <v>52.439628529689699</v>
      </c>
      <c r="O5020">
        <v>51.259463982382798</v>
      </c>
      <c r="P5020">
        <v>-9.9885489965282806E-2</v>
      </c>
      <c r="Q5020">
        <v>0.16160553773698599</v>
      </c>
      <c r="R5020">
        <v>0.99726162911928495</v>
      </c>
      <c r="S5020" t="s">
        <v>11826</v>
      </c>
      <c r="T5020" t="s">
        <v>13610</v>
      </c>
      <c r="U5020" t="s">
        <v>13610</v>
      </c>
      <c r="V5020" t="s">
        <v>13610</v>
      </c>
      <c r="W5020" t="s">
        <v>18567</v>
      </c>
      <c r="X5020">
        <v>20</v>
      </c>
      <c r="Y5020" t="s">
        <v>25137</v>
      </c>
      <c r="Z5020" t="s">
        <v>31875</v>
      </c>
      <c r="AA5020">
        <v>0.49380101498602191</v>
      </c>
      <c r="AB5020" t="str">
        <f>HYPERLINK("Melting_Curves/meltCurve_Q96C19_EFHD2.pdf", "Melting_Curves/meltCurve_Q96C19_EFHD2.pdf")</f>
        <v>Melting_Curves/meltCurve_Q96C19_EFHD2.pdf</v>
      </c>
    </row>
    <row r="5021" spans="1:28" x14ac:dyDescent="0.25">
      <c r="A5021" t="s">
        <v>5025</v>
      </c>
      <c r="B5021">
        <v>0.995954080203443</v>
      </c>
      <c r="C5021">
        <v>1.01585341081156</v>
      </c>
      <c r="D5021">
        <v>0.92060081811618399</v>
      </c>
      <c r="E5021">
        <v>0.71767817777972798</v>
      </c>
      <c r="F5021">
        <v>0.34887514684266502</v>
      </c>
      <c r="G5021">
        <v>0.115979070679522</v>
      </c>
      <c r="H5021">
        <v>7.3242873599265498E-2</v>
      </c>
      <c r="I5021">
        <v>6.2662875395182199E-2</v>
      </c>
      <c r="J5021">
        <v>7.7520467513215494E-2</v>
      </c>
      <c r="K5021">
        <v>6.2990928638287494E-2</v>
      </c>
      <c r="L5021">
        <v>1386.1041712885699</v>
      </c>
      <c r="M5021">
        <v>26.949609601728302</v>
      </c>
      <c r="N5021">
        <v>51.686290781552103</v>
      </c>
      <c r="O5021">
        <v>51.152506325089497</v>
      </c>
      <c r="P5021">
        <v>-0.123570486943439</v>
      </c>
      <c r="Q5021">
        <v>6.1823209932334401E-2</v>
      </c>
      <c r="R5021">
        <v>0.99832545650592397</v>
      </c>
      <c r="S5021" t="s">
        <v>11827</v>
      </c>
      <c r="T5021" t="s">
        <v>13610</v>
      </c>
      <c r="U5021" t="s">
        <v>13610</v>
      </c>
      <c r="V5021" t="s">
        <v>13610</v>
      </c>
      <c r="W5021" t="s">
        <v>18568</v>
      </c>
      <c r="X5021">
        <v>13</v>
      </c>
      <c r="Y5021" t="s">
        <v>25138</v>
      </c>
      <c r="Z5021" t="s">
        <v>31876</v>
      </c>
      <c r="AA5021">
        <v>0.42671708237833178</v>
      </c>
      <c r="AB5021" t="str">
        <f>HYPERLINK("Melting_Curves/meltCurve_Q96C23_GALM.pdf", "Melting_Curves/meltCurve_Q96C23_GALM.pdf")</f>
        <v>Melting_Curves/meltCurve_Q96C23_GALM.pdf</v>
      </c>
    </row>
    <row r="5022" spans="1:28" x14ac:dyDescent="0.25">
      <c r="A5022" t="s">
        <v>5026</v>
      </c>
      <c r="B5022">
        <v>0.995954080203443</v>
      </c>
      <c r="C5022">
        <v>0.82330800568152396</v>
      </c>
      <c r="D5022">
        <v>0.71874846547303095</v>
      </c>
      <c r="E5022">
        <v>0.52793943142282496</v>
      </c>
      <c r="F5022">
        <v>0.37578638821252103</v>
      </c>
      <c r="G5022">
        <v>0.26553716619846701</v>
      </c>
      <c r="H5022">
        <v>0.218012996705787</v>
      </c>
      <c r="I5022">
        <v>0.23968997236845099</v>
      </c>
      <c r="J5022">
        <v>0.28476538948240498</v>
      </c>
      <c r="K5022">
        <v>0.266863646936363</v>
      </c>
      <c r="L5022">
        <v>687.89641948630003</v>
      </c>
      <c r="M5022">
        <v>14.4233965987861</v>
      </c>
      <c r="N5022">
        <v>49.845330918680197</v>
      </c>
      <c r="O5022">
        <v>46.804414575248302</v>
      </c>
      <c r="P5022">
        <v>-5.91916913471877E-2</v>
      </c>
      <c r="Q5022">
        <v>0.231774245980613</v>
      </c>
      <c r="R5022">
        <v>0.98442275655038303</v>
      </c>
      <c r="S5022" t="s">
        <v>11828</v>
      </c>
      <c r="T5022" t="s">
        <v>13610</v>
      </c>
      <c r="U5022" t="s">
        <v>13610</v>
      </c>
      <c r="V5022" t="s">
        <v>13610</v>
      </c>
      <c r="W5022" t="s">
        <v>18569</v>
      </c>
      <c r="X5022">
        <v>6</v>
      </c>
      <c r="Y5022" t="s">
        <v>25139</v>
      </c>
      <c r="Z5022" t="s">
        <v>31877</v>
      </c>
      <c r="AA5022">
        <v>0.45047298855179102</v>
      </c>
      <c r="AB5022" t="str">
        <f>HYPERLINK("Melting_Curves/meltCurve_Q96C24_SYTL4.pdf", "Melting_Curves/meltCurve_Q96C24_SYTL4.pdf")</f>
        <v>Melting_Curves/meltCurve_Q96C24_SYTL4.pdf</v>
      </c>
    </row>
    <row r="5023" spans="1:28" x14ac:dyDescent="0.25">
      <c r="A5023" t="s">
        <v>5027</v>
      </c>
      <c r="B5023">
        <v>0.995954080203443</v>
      </c>
      <c r="C5023">
        <v>0.75544546178512395</v>
      </c>
      <c r="D5023">
        <v>0.63741744925156496</v>
      </c>
      <c r="E5023">
        <v>0.57858169309377006</v>
      </c>
      <c r="F5023">
        <v>0.54097634378973403</v>
      </c>
      <c r="G5023">
        <v>0.44257104866824598</v>
      </c>
      <c r="H5023">
        <v>0.20418033920079301</v>
      </c>
      <c r="I5023">
        <v>0.130856266812273</v>
      </c>
      <c r="J5023">
        <v>0.105226637031341</v>
      </c>
      <c r="K5023">
        <v>8.6635515981985406E-2</v>
      </c>
      <c r="L5023">
        <v>398.95481343899502</v>
      </c>
      <c r="M5023">
        <v>7.6899836791088898</v>
      </c>
      <c r="N5023">
        <v>51.8797977746258</v>
      </c>
      <c r="O5023">
        <v>48.721073355849299</v>
      </c>
      <c r="P5023">
        <v>-3.9510935250503497E-2</v>
      </c>
      <c r="Q5023">
        <v>0</v>
      </c>
      <c r="R5023">
        <v>0.94404046146805898</v>
      </c>
      <c r="S5023" t="s">
        <v>11829</v>
      </c>
      <c r="T5023" t="s">
        <v>13610</v>
      </c>
      <c r="U5023" t="s">
        <v>13610</v>
      </c>
      <c r="V5023" t="s">
        <v>13610</v>
      </c>
      <c r="W5023" t="s">
        <v>18570</v>
      </c>
      <c r="X5023">
        <v>11</v>
      </c>
      <c r="Y5023" t="s">
        <v>25140</v>
      </c>
      <c r="Z5023" t="s">
        <v>31878</v>
      </c>
      <c r="AA5023">
        <v>0.44551507034053262</v>
      </c>
      <c r="AB5023" t="str">
        <f>HYPERLINK("Melting_Curves/meltCurve_Q96C36_PYCR2.pdf", "Melting_Curves/meltCurve_Q96C36_PYCR2.pdf")</f>
        <v>Melting_Curves/meltCurve_Q96C36_PYCR2.pdf</v>
      </c>
    </row>
    <row r="5024" spans="1:28" x14ac:dyDescent="0.25">
      <c r="A5024" t="s">
        <v>5028</v>
      </c>
      <c r="B5024">
        <v>0.995954080203443</v>
      </c>
      <c r="C5024">
        <v>1.0838738809308901</v>
      </c>
      <c r="D5024">
        <v>1.0603548809888399</v>
      </c>
      <c r="E5024">
        <v>1.0271621602707</v>
      </c>
      <c r="F5024">
        <v>0.92087075901456406</v>
      </c>
      <c r="G5024">
        <v>0.58580621494494201</v>
      </c>
      <c r="H5024">
        <v>0.18720449666997299</v>
      </c>
      <c r="I5024">
        <v>9.5327393436471106E-2</v>
      </c>
      <c r="J5024">
        <v>7.4173636390735403E-2</v>
      </c>
      <c r="K5024">
        <v>6.7524240731472701E-2</v>
      </c>
      <c r="L5024">
        <v>1807.7346768633299</v>
      </c>
      <c r="M5024">
        <v>31.4962341184557</v>
      </c>
      <c r="N5024">
        <v>57.640623354060097</v>
      </c>
      <c r="O5024">
        <v>57.165377302197399</v>
      </c>
      <c r="P5024">
        <v>-0.129100833475808</v>
      </c>
      <c r="Q5024">
        <v>6.2737684932794996E-2</v>
      </c>
      <c r="R5024">
        <v>0.99343783932637597</v>
      </c>
      <c r="S5024" t="s">
        <v>11830</v>
      </c>
      <c r="T5024" t="s">
        <v>13610</v>
      </c>
      <c r="U5024" t="s">
        <v>13610</v>
      </c>
      <c r="V5024" t="s">
        <v>13610</v>
      </c>
      <c r="W5024" t="s">
        <v>18571</v>
      </c>
      <c r="X5024">
        <v>16</v>
      </c>
      <c r="Y5024" t="s">
        <v>25141</v>
      </c>
      <c r="Z5024" t="s">
        <v>31879</v>
      </c>
      <c r="AA5024">
        <v>0.61191747008952513</v>
      </c>
      <c r="AB5024" t="str">
        <f>HYPERLINK("Melting_Curves/meltCurve_Q96C86_DCPS.pdf", "Melting_Curves/meltCurve_Q96C86_DCPS.pdf")</f>
        <v>Melting_Curves/meltCurve_Q96C86_DCPS.pdf</v>
      </c>
    </row>
    <row r="5025" spans="1:28" x14ac:dyDescent="0.25">
      <c r="A5025" t="s">
        <v>5029</v>
      </c>
      <c r="B5025">
        <v>0.995954080203443</v>
      </c>
      <c r="C5025">
        <v>0.97728421139684196</v>
      </c>
      <c r="D5025">
        <v>0.98569336179771405</v>
      </c>
      <c r="E5025">
        <v>0.903539674695922</v>
      </c>
      <c r="F5025">
        <v>0.83366983096987601</v>
      </c>
      <c r="G5025">
        <v>0.67458190223460002</v>
      </c>
      <c r="H5025">
        <v>0.72527144975195801</v>
      </c>
      <c r="I5025">
        <v>0.83062780387792201</v>
      </c>
      <c r="J5025">
        <v>1.33513552898778</v>
      </c>
      <c r="K5025">
        <v>1.05602525644735</v>
      </c>
      <c r="L5025">
        <v>2177.0642022799002</v>
      </c>
      <c r="M5025">
        <v>32.566526249025003</v>
      </c>
      <c r="O5025">
        <v>66.599213965675006</v>
      </c>
      <c r="P5025">
        <v>2.1902902304386102E-2</v>
      </c>
      <c r="Q5025">
        <v>1.1791666574308901</v>
      </c>
      <c r="R5025">
        <v>-4.7782313672060102E-2</v>
      </c>
      <c r="S5025" t="s">
        <v>11831</v>
      </c>
      <c r="T5025" t="s">
        <v>13610</v>
      </c>
      <c r="U5025" t="s">
        <v>13610</v>
      </c>
      <c r="V5025" t="s">
        <v>13610</v>
      </c>
      <c r="W5025" t="s">
        <v>18572</v>
      </c>
      <c r="X5025">
        <v>4</v>
      </c>
      <c r="Y5025" t="s">
        <v>25142</v>
      </c>
      <c r="Z5025" t="s">
        <v>31880</v>
      </c>
      <c r="AA5025">
        <v>1.0205626366729841</v>
      </c>
      <c r="AB5025" t="str">
        <f>HYPERLINK("Melting_Curves/meltCurve_Q96C90_PPP1R14B.pdf", "Melting_Curves/meltCurve_Q96C90_PPP1R14B.pdf")</f>
        <v>Melting_Curves/meltCurve_Q96C90_PPP1R14B.pdf</v>
      </c>
    </row>
    <row r="5026" spans="1:28" x14ac:dyDescent="0.25">
      <c r="A5026" t="s">
        <v>5030</v>
      </c>
      <c r="B5026">
        <v>0.995954080203443</v>
      </c>
      <c r="C5026">
        <v>0.97048303359094901</v>
      </c>
      <c r="D5026">
        <v>0.989876528071999</v>
      </c>
      <c r="E5026">
        <v>0.80265144959801205</v>
      </c>
      <c r="F5026">
        <v>0.64609717694184599</v>
      </c>
      <c r="G5026">
        <v>0.400452252688618</v>
      </c>
      <c r="H5026">
        <v>0.36312180532604499</v>
      </c>
      <c r="I5026">
        <v>0.39161915635417899</v>
      </c>
      <c r="J5026">
        <v>0.51647515566702895</v>
      </c>
      <c r="K5026">
        <v>0.46942625062869497</v>
      </c>
      <c r="L5026">
        <v>1479.06520932429</v>
      </c>
      <c r="M5026">
        <v>28.718013706376599</v>
      </c>
      <c r="N5026">
        <v>55.143753697212503</v>
      </c>
      <c r="O5026">
        <v>51.255252353103003</v>
      </c>
      <c r="P5026">
        <v>-8.0554397309795994E-2</v>
      </c>
      <c r="Q5026">
        <v>0.42491789239212902</v>
      </c>
      <c r="R5026">
        <v>0.96299358651099998</v>
      </c>
      <c r="S5026" t="s">
        <v>11832</v>
      </c>
      <c r="T5026" t="s">
        <v>13610</v>
      </c>
      <c r="U5026" t="s">
        <v>13610</v>
      </c>
      <c r="V5026" t="s">
        <v>13610</v>
      </c>
      <c r="W5026" t="s">
        <v>18573</v>
      </c>
      <c r="X5026">
        <v>4</v>
      </c>
      <c r="Y5026" t="s">
        <v>25143</v>
      </c>
      <c r="Z5026" t="s">
        <v>31881</v>
      </c>
      <c r="AA5026">
        <v>0.64940081512167891</v>
      </c>
      <c r="AB5026" t="str">
        <f>HYPERLINK("Melting_Curves/meltCurve_Q96C92_2_SDCCAG3.pdf", "Melting_Curves/meltCurve_Q96C92_2_SDCCAG3.pdf")</f>
        <v>Melting_Curves/meltCurve_Q96C92_2_SDCCAG3.pdf</v>
      </c>
    </row>
    <row r="5027" spans="1:28" x14ac:dyDescent="0.25">
      <c r="A5027" t="s">
        <v>5031</v>
      </c>
      <c r="B5027">
        <v>0.995954080203443</v>
      </c>
      <c r="C5027">
        <v>0.92835435103293096</v>
      </c>
      <c r="D5027">
        <v>1.0612695465126001</v>
      </c>
      <c r="E5027">
        <v>0.92769915309330697</v>
      </c>
      <c r="F5027">
        <v>0.98000063845142105</v>
      </c>
      <c r="G5027">
        <v>0.70728992771153498</v>
      </c>
      <c r="H5027">
        <v>0.65219706103894903</v>
      </c>
      <c r="I5027">
        <v>0.78738753658236404</v>
      </c>
      <c r="J5027">
        <v>0.79781989186237701</v>
      </c>
      <c r="K5027">
        <v>0.90054124112888501</v>
      </c>
      <c r="L5027">
        <v>13374.864160490401</v>
      </c>
      <c r="M5027">
        <v>250</v>
      </c>
      <c r="O5027">
        <v>53.496033052657999</v>
      </c>
      <c r="P5027">
        <v>-0.26982476562450702</v>
      </c>
      <c r="Q5027">
        <v>0.76904712707727096</v>
      </c>
      <c r="R5027">
        <v>0.68323453664100497</v>
      </c>
      <c r="S5027" t="s">
        <v>11833</v>
      </c>
      <c r="T5027" t="s">
        <v>13610</v>
      </c>
      <c r="U5027" t="s">
        <v>13610</v>
      </c>
      <c r="V5027" t="s">
        <v>13610</v>
      </c>
      <c r="W5027" t="s">
        <v>18574</v>
      </c>
      <c r="X5027">
        <v>10</v>
      </c>
      <c r="Y5027" t="s">
        <v>25144</v>
      </c>
      <c r="Z5027" t="s">
        <v>31882</v>
      </c>
      <c r="AA5027">
        <v>0.87299342121925128</v>
      </c>
      <c r="AB5027" t="str">
        <f>HYPERLINK("Melting_Curves/meltCurve_Q96CB8_INTS12.pdf", "Melting_Curves/meltCurve_Q96CB8_INTS12.pdf")</f>
        <v>Melting_Curves/meltCurve_Q96CB8_INTS12.pdf</v>
      </c>
    </row>
    <row r="5028" spans="1:28" x14ac:dyDescent="0.25">
      <c r="A5028" t="s">
        <v>5032</v>
      </c>
      <c r="B5028">
        <v>0.995954080203443</v>
      </c>
      <c r="C5028">
        <v>0.82053855399007003</v>
      </c>
      <c r="D5028">
        <v>0.56120546817539496</v>
      </c>
      <c r="E5028">
        <v>0.38324275172935501</v>
      </c>
      <c r="F5028">
        <v>0.20571286474912001</v>
      </c>
      <c r="G5028">
        <v>0.11725344009364499</v>
      </c>
      <c r="H5028">
        <v>7.2101964795006898E-2</v>
      </c>
      <c r="I5028">
        <v>5.6842782676675203E-2</v>
      </c>
      <c r="J5028">
        <v>7.7676225722037404E-2</v>
      </c>
      <c r="K5028">
        <v>6.4677585117484504E-2</v>
      </c>
      <c r="L5028">
        <v>694.97686136657501</v>
      </c>
      <c r="M5028">
        <v>14.7437847901409</v>
      </c>
      <c r="N5028">
        <v>47.496028377294998</v>
      </c>
      <c r="O5028">
        <v>46.295269869453598</v>
      </c>
      <c r="P5028">
        <v>-7.5427245499723405E-2</v>
      </c>
      <c r="Q5028">
        <v>5.2740671945320998E-2</v>
      </c>
      <c r="R5028">
        <v>0.991828882754205</v>
      </c>
      <c r="S5028" t="s">
        <v>11834</v>
      </c>
      <c r="T5028" t="s">
        <v>13610</v>
      </c>
      <c r="U5028" t="s">
        <v>13610</v>
      </c>
      <c r="V5028" t="s">
        <v>13610</v>
      </c>
      <c r="W5028" t="s">
        <v>18575</v>
      </c>
      <c r="X5028">
        <v>3</v>
      </c>
      <c r="Y5028" t="s">
        <v>25145</v>
      </c>
      <c r="Z5028" t="s">
        <v>31883</v>
      </c>
      <c r="AA5028">
        <v>0.30452718064717832</v>
      </c>
      <c r="AB5028" t="str">
        <f>HYPERLINK("Melting_Curves/meltCurve_Q96CB9_4_NSUN4.pdf", "Melting_Curves/meltCurve_Q96CB9_4_NSUN4.pdf")</f>
        <v>Melting_Curves/meltCurve_Q96CB9_4_NSUN4.pdf</v>
      </c>
    </row>
    <row r="5029" spans="1:28" x14ac:dyDescent="0.25">
      <c r="A5029" t="s">
        <v>5033</v>
      </c>
      <c r="B5029">
        <v>0.995954080203443</v>
      </c>
      <c r="C5029">
        <v>0.94778622868231499</v>
      </c>
      <c r="D5029">
        <v>0.84368571013551996</v>
      </c>
      <c r="E5029">
        <v>0.75016702271124702</v>
      </c>
      <c r="F5029">
        <v>0.44396313304386298</v>
      </c>
      <c r="G5029">
        <v>0.17448518228764501</v>
      </c>
      <c r="H5029">
        <v>8.9154477963864401E-2</v>
      </c>
      <c r="I5029">
        <v>6.8129882259305899E-2</v>
      </c>
      <c r="J5029">
        <v>6.8850623138600395E-2</v>
      </c>
      <c r="K5029">
        <v>6.7208426805410101E-2</v>
      </c>
      <c r="L5029">
        <v>953.71079403065096</v>
      </c>
      <c r="M5029">
        <v>18.305774221323102</v>
      </c>
      <c r="N5029">
        <v>52.337248358585299</v>
      </c>
      <c r="O5029">
        <v>51.489114574380899</v>
      </c>
      <c r="P5029">
        <v>-8.5331150275981205E-2</v>
      </c>
      <c r="Q5029">
        <v>3.9992021908325702E-2</v>
      </c>
      <c r="R5029">
        <v>0.99175327794628199</v>
      </c>
      <c r="S5029" t="s">
        <v>11835</v>
      </c>
      <c r="T5029" t="s">
        <v>13610</v>
      </c>
      <c r="U5029" t="s">
        <v>13610</v>
      </c>
      <c r="V5029" t="s">
        <v>13610</v>
      </c>
      <c r="W5029" t="s">
        <v>18576</v>
      </c>
      <c r="X5029">
        <v>11</v>
      </c>
      <c r="Y5029" t="s">
        <v>25146</v>
      </c>
      <c r="Z5029" t="s">
        <v>31884</v>
      </c>
      <c r="AA5029">
        <v>0.44266228713592981</v>
      </c>
      <c r="AB5029" t="str">
        <f>HYPERLINK("Melting_Curves/meltCurve_Q96CD0_FBXL8.pdf", "Melting_Curves/meltCurve_Q96CD0_FBXL8.pdf")</f>
        <v>Melting_Curves/meltCurve_Q96CD0_FBXL8.pdf</v>
      </c>
    </row>
    <row r="5030" spans="1:28" x14ac:dyDescent="0.25">
      <c r="A5030" t="s">
        <v>5034</v>
      </c>
      <c r="B5030">
        <v>0.995954080203443</v>
      </c>
      <c r="C5030">
        <v>1.0417852425843299</v>
      </c>
      <c r="D5030">
        <v>0.95821022516934495</v>
      </c>
      <c r="E5030">
        <v>0.89714739544755595</v>
      </c>
      <c r="F5030">
        <v>0.79465336159796596</v>
      </c>
      <c r="G5030">
        <v>0.60768519763784201</v>
      </c>
      <c r="H5030">
        <v>0.47206468869929802</v>
      </c>
      <c r="I5030">
        <v>0.49167925984392602</v>
      </c>
      <c r="J5030">
        <v>0.56424881234032698</v>
      </c>
      <c r="K5030">
        <v>0.496540629602024</v>
      </c>
      <c r="L5030">
        <v>1219.6997161325401</v>
      </c>
      <c r="M5030">
        <v>22.789458181769898</v>
      </c>
      <c r="O5030">
        <v>53.113338306020999</v>
      </c>
      <c r="P5030">
        <v>-5.3864672070931201E-2</v>
      </c>
      <c r="Q5030">
        <v>0.49785939026559101</v>
      </c>
      <c r="R5030">
        <v>0.977420006565906</v>
      </c>
      <c r="S5030" t="s">
        <v>11836</v>
      </c>
      <c r="T5030" t="s">
        <v>13610</v>
      </c>
      <c r="U5030" t="s">
        <v>13610</v>
      </c>
      <c r="V5030" t="s">
        <v>13610</v>
      </c>
      <c r="W5030" t="s">
        <v>18577</v>
      </c>
      <c r="X5030">
        <v>11</v>
      </c>
      <c r="Y5030" t="s">
        <v>25147</v>
      </c>
      <c r="Z5030" t="s">
        <v>31885</v>
      </c>
      <c r="AA5030">
        <v>0.72965031452570417</v>
      </c>
      <c r="AB5030" t="str">
        <f>HYPERLINK("Melting_Curves/meltCurve_Q96CD2_PPCDC.pdf", "Melting_Curves/meltCurve_Q96CD2_PPCDC.pdf")</f>
        <v>Melting_Curves/meltCurve_Q96CD2_PPCDC.pdf</v>
      </c>
    </row>
    <row r="5031" spans="1:28" x14ac:dyDescent="0.25">
      <c r="A5031" t="s">
        <v>5035</v>
      </c>
      <c r="B5031">
        <v>0.995954080203443</v>
      </c>
      <c r="C5031">
        <v>0.95819544897714204</v>
      </c>
      <c r="D5031">
        <v>0.90356204235306603</v>
      </c>
      <c r="E5031">
        <v>0.818095199217311</v>
      </c>
      <c r="F5031">
        <v>0.75724029549445204</v>
      </c>
      <c r="G5031">
        <v>0.55756023508084196</v>
      </c>
      <c r="H5031">
        <v>0.50961795989782499</v>
      </c>
      <c r="I5031">
        <v>0.46732681891850297</v>
      </c>
      <c r="J5031">
        <v>0.60223535246011795</v>
      </c>
      <c r="K5031">
        <v>0.53164256792662201</v>
      </c>
      <c r="L5031">
        <v>818.53218594825796</v>
      </c>
      <c r="M5031">
        <v>15.8582623677257</v>
      </c>
      <c r="O5031">
        <v>50.815650934487401</v>
      </c>
      <c r="P5031">
        <v>-3.84551465202937E-2</v>
      </c>
      <c r="Q5031">
        <v>0.50714283964343998</v>
      </c>
      <c r="R5031">
        <v>0.94876121869310803</v>
      </c>
      <c r="S5031" t="s">
        <v>11837</v>
      </c>
      <c r="T5031" t="s">
        <v>13610</v>
      </c>
      <c r="U5031" t="s">
        <v>13610</v>
      </c>
      <c r="V5031" t="s">
        <v>13610</v>
      </c>
      <c r="W5031" t="s">
        <v>18578</v>
      </c>
      <c r="X5031">
        <v>8</v>
      </c>
      <c r="Y5031" t="s">
        <v>25148</v>
      </c>
      <c r="Z5031" t="s">
        <v>31886</v>
      </c>
      <c r="AA5031">
        <v>0.70817893226227124</v>
      </c>
      <c r="AB5031" t="str">
        <f>HYPERLINK("Melting_Curves/meltCurve_Q96CF2_CHMP4C.pdf", "Melting_Curves/meltCurve_Q96CF2_CHMP4C.pdf")</f>
        <v>Melting_Curves/meltCurve_Q96CF2_CHMP4C.pdf</v>
      </c>
    </row>
    <row r="5032" spans="1:28" x14ac:dyDescent="0.25">
      <c r="A5032" t="s">
        <v>5036</v>
      </c>
      <c r="B5032">
        <v>0.995954080203443</v>
      </c>
      <c r="C5032">
        <v>1.0805240316342399</v>
      </c>
      <c r="D5032">
        <v>1.12341981278405</v>
      </c>
      <c r="E5032">
        <v>1.06361437821427</v>
      </c>
      <c r="F5032">
        <v>0.94989052744209301</v>
      </c>
      <c r="G5032">
        <v>0.90898901882336103</v>
      </c>
      <c r="H5032">
        <v>0.84187085430203201</v>
      </c>
      <c r="I5032">
        <v>0.85345011938592996</v>
      </c>
      <c r="J5032">
        <v>1.0633260465715999</v>
      </c>
      <c r="K5032">
        <v>1.1801957373585299</v>
      </c>
      <c r="L5032">
        <v>15000</v>
      </c>
      <c r="M5032">
        <v>223.267395388078</v>
      </c>
      <c r="O5032">
        <v>67.178624483526306</v>
      </c>
      <c r="P5032">
        <v>0.149739429674907</v>
      </c>
      <c r="Q5032">
        <v>1.1802195770589099</v>
      </c>
      <c r="R5032">
        <v>0.30299259110025401</v>
      </c>
      <c r="S5032" t="s">
        <v>11838</v>
      </c>
      <c r="T5032" t="s">
        <v>13610</v>
      </c>
      <c r="U5032" t="s">
        <v>13610</v>
      </c>
      <c r="V5032" t="s">
        <v>13610</v>
      </c>
      <c r="W5032" t="s">
        <v>18579</v>
      </c>
      <c r="X5032">
        <v>6</v>
      </c>
      <c r="Y5032" t="s">
        <v>25149</v>
      </c>
      <c r="Z5032" t="s">
        <v>31887</v>
      </c>
      <c r="AA5032">
        <v>1.0168901272010611</v>
      </c>
      <c r="AB5032" t="str">
        <f>HYPERLINK("Melting_Curves/meltCurve_Q96CN4_EVI5L.pdf", "Melting_Curves/meltCurve_Q96CN4_EVI5L.pdf")</f>
        <v>Melting_Curves/meltCurve_Q96CN4_EVI5L.pdf</v>
      </c>
    </row>
    <row r="5033" spans="1:28" x14ac:dyDescent="0.25">
      <c r="A5033" t="s">
        <v>5037</v>
      </c>
      <c r="B5033">
        <v>0.995954080203443</v>
      </c>
      <c r="C5033">
        <v>1.01897106254128</v>
      </c>
      <c r="D5033">
        <v>0.986430025052493</v>
      </c>
      <c r="E5033">
        <v>0.95599372637985003</v>
      </c>
      <c r="F5033">
        <v>0.82363244273678404</v>
      </c>
      <c r="G5033">
        <v>0.48428326275936201</v>
      </c>
      <c r="H5033">
        <v>0.10148856195598301</v>
      </c>
      <c r="I5033">
        <v>7.7950133847405706E-2</v>
      </c>
      <c r="J5033">
        <v>6.9788266015397102E-2</v>
      </c>
      <c r="K5033">
        <v>6.5361895120193497E-2</v>
      </c>
      <c r="L5033">
        <v>1496.2652299331601</v>
      </c>
      <c r="M5033">
        <v>26.5577590339993</v>
      </c>
      <c r="N5033">
        <v>56.5270081972592</v>
      </c>
      <c r="O5033">
        <v>56.0235357600979</v>
      </c>
      <c r="P5033">
        <v>-0.113529785916963</v>
      </c>
      <c r="Q5033">
        <v>4.2047191232194803E-2</v>
      </c>
      <c r="R5033">
        <v>0.99666065958917605</v>
      </c>
      <c r="S5033" t="s">
        <v>11839</v>
      </c>
      <c r="T5033" t="s">
        <v>13610</v>
      </c>
      <c r="U5033" t="s">
        <v>13610</v>
      </c>
      <c r="V5033" t="s">
        <v>13610</v>
      </c>
      <c r="W5033" t="s">
        <v>18580</v>
      </c>
      <c r="X5033">
        <v>13</v>
      </c>
      <c r="Y5033" t="s">
        <v>25150</v>
      </c>
      <c r="Z5033" t="s">
        <v>31888</v>
      </c>
      <c r="AA5033">
        <v>0.57172799206362257</v>
      </c>
      <c r="AB5033" t="str">
        <f>HYPERLINK("Melting_Curves/meltCurve_Q96CN7_ISOC1.pdf", "Melting_Curves/meltCurve_Q96CN7_ISOC1.pdf")</f>
        <v>Melting_Curves/meltCurve_Q96CN7_ISOC1.pdf</v>
      </c>
    </row>
    <row r="5034" spans="1:28" x14ac:dyDescent="0.25">
      <c r="A5034" t="s">
        <v>5038</v>
      </c>
      <c r="B5034">
        <v>0.995954080203443</v>
      </c>
      <c r="C5034">
        <v>0.85729010191890398</v>
      </c>
      <c r="D5034">
        <v>0.57233623431886405</v>
      </c>
      <c r="E5034">
        <v>0.39568889236320598</v>
      </c>
      <c r="F5034">
        <v>0.27622496406796099</v>
      </c>
      <c r="G5034">
        <v>0.19053246889424</v>
      </c>
      <c r="H5034">
        <v>0.142132275131168</v>
      </c>
      <c r="I5034">
        <v>0.13850272818106901</v>
      </c>
      <c r="J5034">
        <v>0.17002180894298899</v>
      </c>
      <c r="K5034">
        <v>0.15626987134492001</v>
      </c>
      <c r="L5034">
        <v>763.49801290121502</v>
      </c>
      <c r="M5034">
        <v>16.350772896052302</v>
      </c>
      <c r="N5034">
        <v>47.724315791205001</v>
      </c>
      <c r="O5034">
        <v>46.013215526370601</v>
      </c>
      <c r="P5034">
        <v>-7.5641662625279396E-2</v>
      </c>
      <c r="Q5034">
        <v>0.148599160519234</v>
      </c>
      <c r="R5034">
        <v>0.99076766583097997</v>
      </c>
      <c r="S5034" t="s">
        <v>11840</v>
      </c>
      <c r="T5034" t="s">
        <v>13610</v>
      </c>
      <c r="U5034" t="s">
        <v>13610</v>
      </c>
      <c r="V5034" t="s">
        <v>13610</v>
      </c>
      <c r="W5034" t="s">
        <v>18581</v>
      </c>
      <c r="X5034">
        <v>15</v>
      </c>
      <c r="Y5034" t="s">
        <v>25151</v>
      </c>
      <c r="Z5034" t="s">
        <v>31889</v>
      </c>
      <c r="AA5034">
        <v>0.35827147437328521</v>
      </c>
      <c r="AB5034" t="str">
        <f>HYPERLINK("Melting_Curves/meltCurve_Q96CN9_GCC1.pdf", "Melting_Curves/meltCurve_Q96CN9_GCC1.pdf")</f>
        <v>Melting_Curves/meltCurve_Q96CN9_GCC1.pdf</v>
      </c>
    </row>
    <row r="5035" spans="1:28" x14ac:dyDescent="0.25">
      <c r="A5035" t="s">
        <v>5039</v>
      </c>
      <c r="B5035">
        <v>0.995954080203443</v>
      </c>
      <c r="C5035">
        <v>1.0272205284984399</v>
      </c>
      <c r="D5035">
        <v>1.10792420496938</v>
      </c>
      <c r="E5035">
        <v>1.0084625513858501</v>
      </c>
      <c r="F5035">
        <v>1.09864376659164</v>
      </c>
      <c r="G5035">
        <v>0.867165772332261</v>
      </c>
      <c r="H5035">
        <v>0.83336595327470697</v>
      </c>
      <c r="I5035">
        <v>1.0817590804430299</v>
      </c>
      <c r="J5035">
        <v>1.4809587998151501</v>
      </c>
      <c r="K5035">
        <v>1.36950712566755</v>
      </c>
      <c r="L5035">
        <v>15000</v>
      </c>
      <c r="M5035">
        <v>232.940208246113</v>
      </c>
      <c r="O5035">
        <v>64.389472688163806</v>
      </c>
      <c r="P5035">
        <v>0.38460461429367099</v>
      </c>
      <c r="Q5035">
        <v>1.4252504765981699</v>
      </c>
      <c r="R5035">
        <v>0.79843028038477004</v>
      </c>
      <c r="S5035" t="s">
        <v>11841</v>
      </c>
      <c r="T5035" t="s">
        <v>13610</v>
      </c>
      <c r="U5035" t="s">
        <v>13610</v>
      </c>
      <c r="V5035" t="s">
        <v>13610</v>
      </c>
      <c r="W5035" t="s">
        <v>18582</v>
      </c>
      <c r="X5035">
        <v>6</v>
      </c>
      <c r="Y5035" t="s">
        <v>25152</v>
      </c>
      <c r="Z5035" t="s">
        <v>31890</v>
      </c>
      <c r="AA5035">
        <v>1.079406847416768</v>
      </c>
      <c r="AB5035" t="str">
        <f>HYPERLINK("Melting_Curves/meltCurve_Q96CP2_FLYWCH2.pdf", "Melting_Curves/meltCurve_Q96CP2_FLYWCH2.pdf")</f>
        <v>Melting_Curves/meltCurve_Q96CP2_FLYWCH2.pdf</v>
      </c>
    </row>
    <row r="5036" spans="1:28" x14ac:dyDescent="0.25">
      <c r="A5036" t="s">
        <v>5040</v>
      </c>
      <c r="B5036">
        <v>0.995954080203443</v>
      </c>
      <c r="C5036">
        <v>0.86723540658092102</v>
      </c>
      <c r="D5036">
        <v>0.60171900555126301</v>
      </c>
      <c r="E5036">
        <v>0.41527710933758899</v>
      </c>
      <c r="F5036">
        <v>0.228880699280503</v>
      </c>
      <c r="G5036">
        <v>0.13849582083081899</v>
      </c>
      <c r="H5036">
        <v>9.2791164088881301E-2</v>
      </c>
      <c r="I5036">
        <v>8.4320128643231795E-2</v>
      </c>
      <c r="J5036">
        <v>0.114483537585749</v>
      </c>
      <c r="K5036">
        <v>9.4462816190965498E-2</v>
      </c>
      <c r="L5036">
        <v>737.17198228943005</v>
      </c>
      <c r="M5036">
        <v>15.528327546396</v>
      </c>
      <c r="N5036">
        <v>48.031277138004299</v>
      </c>
      <c r="O5036">
        <v>46.706333667355402</v>
      </c>
      <c r="P5036">
        <v>-7.6257583461719597E-2</v>
      </c>
      <c r="Q5036">
        <v>8.2606493513349394E-2</v>
      </c>
      <c r="R5036">
        <v>0.99254416701612502</v>
      </c>
      <c r="S5036" t="s">
        <v>11842</v>
      </c>
      <c r="T5036" t="s">
        <v>13610</v>
      </c>
      <c r="U5036" t="s">
        <v>13610</v>
      </c>
      <c r="V5036" t="s">
        <v>13610</v>
      </c>
      <c r="W5036" t="s">
        <v>18583</v>
      </c>
      <c r="X5036">
        <v>13</v>
      </c>
      <c r="Y5036" t="s">
        <v>25153</v>
      </c>
      <c r="Z5036" t="s">
        <v>31891</v>
      </c>
      <c r="AA5036">
        <v>0.33371687462504512</v>
      </c>
      <c r="AB5036" t="str">
        <f>HYPERLINK("Melting_Curves/meltCurve_Q96CS2_HAUS1.pdf", "Melting_Curves/meltCurve_Q96CS2_HAUS1.pdf")</f>
        <v>Melting_Curves/meltCurve_Q96CS2_HAUS1.pdf</v>
      </c>
    </row>
    <row r="5037" spans="1:28" x14ac:dyDescent="0.25">
      <c r="A5037" t="s">
        <v>5041</v>
      </c>
      <c r="B5037">
        <v>0.995954080203443</v>
      </c>
      <c r="C5037">
        <v>0.92350469917024303</v>
      </c>
      <c r="D5037">
        <v>0.892650572710456</v>
      </c>
      <c r="E5037">
        <v>0.753842252180289</v>
      </c>
      <c r="F5037">
        <v>0.78656004351453501</v>
      </c>
      <c r="G5037">
        <v>0.59901253028203605</v>
      </c>
      <c r="H5037">
        <v>0.61988077716099499</v>
      </c>
      <c r="I5037">
        <v>0.78837885441090505</v>
      </c>
      <c r="J5037">
        <v>0.74699088564036698</v>
      </c>
      <c r="K5037">
        <v>0.892275473604077</v>
      </c>
      <c r="L5037">
        <v>1047.8030871892199</v>
      </c>
      <c r="M5037">
        <v>22.796085757532602</v>
      </c>
      <c r="O5037">
        <v>45.6148313689933</v>
      </c>
      <c r="P5037">
        <v>-3.3127126407697001E-2</v>
      </c>
      <c r="Q5037">
        <v>0.73485637044656804</v>
      </c>
      <c r="R5037">
        <v>0.56909947814850503</v>
      </c>
      <c r="S5037" t="s">
        <v>11843</v>
      </c>
      <c r="T5037" t="s">
        <v>13610</v>
      </c>
      <c r="U5037" t="s">
        <v>13610</v>
      </c>
      <c r="V5037" t="s">
        <v>13610</v>
      </c>
      <c r="W5037" t="s">
        <v>18584</v>
      </c>
      <c r="X5037">
        <v>6</v>
      </c>
      <c r="Y5037" t="s">
        <v>25154</v>
      </c>
      <c r="Z5037" t="s">
        <v>31892</v>
      </c>
      <c r="AA5037">
        <v>0.79060670866756166</v>
      </c>
      <c r="AB5037" t="str">
        <f>HYPERLINK("Melting_Curves/meltCurve_Q96CS3_FAF2.pdf", "Melting_Curves/meltCurve_Q96CS3_FAF2.pdf")</f>
        <v>Melting_Curves/meltCurve_Q96CS3_FAF2.pdf</v>
      </c>
    </row>
    <row r="5038" spans="1:28" x14ac:dyDescent="0.25">
      <c r="A5038" t="s">
        <v>5042</v>
      </c>
      <c r="B5038">
        <v>0.995954080203443</v>
      </c>
      <c r="C5038">
        <v>0.92778755112871203</v>
      </c>
      <c r="D5038">
        <v>0.98772199115714698</v>
      </c>
      <c r="E5038">
        <v>0.79457095914173803</v>
      </c>
      <c r="F5038">
        <v>0.81989955094402001</v>
      </c>
      <c r="G5038">
        <v>0.59795636193069002</v>
      </c>
      <c r="H5038">
        <v>0.65809871255213703</v>
      </c>
      <c r="I5038">
        <v>0.86109064907145805</v>
      </c>
      <c r="J5038">
        <v>0.97773452889205703</v>
      </c>
      <c r="K5038">
        <v>1.0119794181651101</v>
      </c>
      <c r="L5038">
        <v>11620.992612088499</v>
      </c>
      <c r="M5038">
        <v>250</v>
      </c>
      <c r="O5038">
        <v>46.481017088203899</v>
      </c>
      <c r="P5038">
        <v>-0.24562070209464701</v>
      </c>
      <c r="Q5038">
        <v>0.81733288252410297</v>
      </c>
      <c r="R5038">
        <v>0.244285495775664</v>
      </c>
      <c r="S5038" t="s">
        <v>11844</v>
      </c>
      <c r="T5038" t="s">
        <v>13610</v>
      </c>
      <c r="U5038" t="s">
        <v>13610</v>
      </c>
      <c r="V5038" t="s">
        <v>13610</v>
      </c>
      <c r="W5038" t="s">
        <v>18585</v>
      </c>
      <c r="X5038">
        <v>16</v>
      </c>
      <c r="Y5038" t="s">
        <v>25155</v>
      </c>
      <c r="Z5038" t="s">
        <v>31893</v>
      </c>
      <c r="AA5038">
        <v>0.85682805731329947</v>
      </c>
      <c r="AB5038" t="str">
        <f>HYPERLINK("Melting_Curves/meltCurve_Q96CT7_CCDC124.pdf", "Melting_Curves/meltCurve_Q96CT7_CCDC124.pdf")</f>
        <v>Melting_Curves/meltCurve_Q96CT7_CCDC124.pdf</v>
      </c>
    </row>
    <row r="5039" spans="1:28" x14ac:dyDescent="0.25">
      <c r="A5039" t="s">
        <v>5043</v>
      </c>
      <c r="B5039">
        <v>0.995954080203443</v>
      </c>
      <c r="C5039">
        <v>0.934261375529439</v>
      </c>
      <c r="D5039">
        <v>0.71053018515039401</v>
      </c>
      <c r="E5039">
        <v>0.50702692786678205</v>
      </c>
      <c r="F5039">
        <v>0.25776843897007801</v>
      </c>
      <c r="G5039">
        <v>0.156271122303628</v>
      </c>
      <c r="H5039">
        <v>0.10679437733326699</v>
      </c>
      <c r="I5039">
        <v>6.9765513887104197E-2</v>
      </c>
      <c r="J5039">
        <v>7.8534462571976396E-2</v>
      </c>
      <c r="K5039">
        <v>6.9762141995050403E-2</v>
      </c>
      <c r="L5039">
        <v>764.60420650727201</v>
      </c>
      <c r="M5039">
        <v>15.572477982602599</v>
      </c>
      <c r="N5039">
        <v>49.488668719696697</v>
      </c>
      <c r="O5039">
        <v>48.311409910691602</v>
      </c>
      <c r="P5039">
        <v>-7.5948918943431101E-2</v>
      </c>
      <c r="Q5039">
        <v>5.7599082338327001E-2</v>
      </c>
      <c r="R5039">
        <v>0.99512489105447899</v>
      </c>
      <c r="S5039" t="s">
        <v>11845</v>
      </c>
      <c r="T5039" t="s">
        <v>13610</v>
      </c>
      <c r="U5039" t="s">
        <v>13610</v>
      </c>
      <c r="V5039" t="s">
        <v>13610</v>
      </c>
      <c r="W5039" t="s">
        <v>18586</v>
      </c>
      <c r="X5039">
        <v>5</v>
      </c>
      <c r="Y5039" t="s">
        <v>25156</v>
      </c>
      <c r="Z5039" t="s">
        <v>31894</v>
      </c>
      <c r="AA5039">
        <v>0.3650458190144531</v>
      </c>
      <c r="AB5039" t="str">
        <f>HYPERLINK("Melting_Curves/meltCurve_Q96CU9_3_FOXRED1.pdf", "Melting_Curves/meltCurve_Q96CU9_3_FOXRED1.pdf")</f>
        <v>Melting_Curves/meltCurve_Q96CU9_3_FOXRED1.pdf</v>
      </c>
    </row>
    <row r="5040" spans="1:28" x14ac:dyDescent="0.25">
      <c r="A5040" t="s">
        <v>5044</v>
      </c>
      <c r="B5040">
        <v>0.995954080203443</v>
      </c>
      <c r="C5040">
        <v>0.94201156469537795</v>
      </c>
      <c r="D5040">
        <v>0.94694706816704799</v>
      </c>
      <c r="E5040">
        <v>0.75627396355881205</v>
      </c>
      <c r="F5040">
        <v>0.69490252280746601</v>
      </c>
      <c r="G5040">
        <v>0.502496120330855</v>
      </c>
      <c r="H5040">
        <v>0.447214493206333</v>
      </c>
      <c r="I5040">
        <v>0.49852746950131699</v>
      </c>
      <c r="J5040">
        <v>0.65998283571153205</v>
      </c>
      <c r="K5040">
        <v>0.63866212381408305</v>
      </c>
      <c r="L5040">
        <v>1174.2085293525499</v>
      </c>
      <c r="M5040">
        <v>23.547513732354499</v>
      </c>
      <c r="O5040">
        <v>49.510041455223103</v>
      </c>
      <c r="P5040">
        <v>-5.33687463091592E-2</v>
      </c>
      <c r="Q5040">
        <v>0.55116386694226005</v>
      </c>
      <c r="R5040">
        <v>0.87500596240969197</v>
      </c>
      <c r="S5040" t="s">
        <v>11846</v>
      </c>
      <c r="T5040" t="s">
        <v>13610</v>
      </c>
      <c r="U5040" t="s">
        <v>13610</v>
      </c>
      <c r="V5040" t="s">
        <v>13610</v>
      </c>
      <c r="W5040" t="s">
        <v>18587</v>
      </c>
      <c r="X5040">
        <v>14</v>
      </c>
      <c r="Y5040" t="s">
        <v>25157</v>
      </c>
      <c r="Z5040" t="s">
        <v>31895</v>
      </c>
      <c r="AA5040">
        <v>0.70328274434867877</v>
      </c>
      <c r="AB5040" t="str">
        <f>HYPERLINK("Melting_Curves/meltCurve_Q96CV9_2_OPTN.pdf", "Melting_Curves/meltCurve_Q96CV9_2_OPTN.pdf")</f>
        <v>Melting_Curves/meltCurve_Q96CV9_2_OPTN.pdf</v>
      </c>
    </row>
    <row r="5041" spans="1:28" x14ac:dyDescent="0.25">
      <c r="A5041" t="s">
        <v>5045</v>
      </c>
      <c r="B5041">
        <v>0.995954080203443</v>
      </c>
      <c r="C5041">
        <v>0.87885531220184199</v>
      </c>
      <c r="D5041">
        <v>0.79303139220944396</v>
      </c>
      <c r="E5041">
        <v>0.80307631010852298</v>
      </c>
      <c r="F5041">
        <v>0.57992501048240097</v>
      </c>
      <c r="G5041">
        <v>0.34217185842074799</v>
      </c>
      <c r="H5041">
        <v>0.165528450878001</v>
      </c>
      <c r="I5041">
        <v>8.8492355202706097E-2</v>
      </c>
      <c r="J5041">
        <v>8.8323722581760397E-2</v>
      </c>
      <c r="K5041">
        <v>7.9266946451811607E-2</v>
      </c>
      <c r="L5041">
        <v>655.58845634514796</v>
      </c>
      <c r="M5041">
        <v>12.1451282302578</v>
      </c>
      <c r="N5041">
        <v>53.9795414527416</v>
      </c>
      <c r="O5041">
        <v>52.578626161699297</v>
      </c>
      <c r="P5041">
        <v>-5.7760745970647599E-2</v>
      </c>
      <c r="Q5041">
        <v>0</v>
      </c>
      <c r="R5041">
        <v>0.97863864686385704</v>
      </c>
      <c r="S5041" t="s">
        <v>11847</v>
      </c>
      <c r="T5041" t="s">
        <v>13610</v>
      </c>
      <c r="U5041" t="s">
        <v>13610</v>
      </c>
      <c r="V5041" t="s">
        <v>13610</v>
      </c>
      <c r="W5041" t="s">
        <v>18588</v>
      </c>
      <c r="X5041">
        <v>21</v>
      </c>
      <c r="Y5041" t="s">
        <v>25158</v>
      </c>
      <c r="Z5041" t="s">
        <v>31896</v>
      </c>
      <c r="AA5041">
        <v>0.49186040265981951</v>
      </c>
      <c r="AB5041" t="str">
        <f>HYPERLINK("Melting_Curves/meltCurve_Q96CW1_2_AP2M1.pdf", "Melting_Curves/meltCurve_Q96CW1_2_AP2M1.pdf")</f>
        <v>Melting_Curves/meltCurve_Q96CW1_2_AP2M1.pdf</v>
      </c>
    </row>
    <row r="5042" spans="1:28" x14ac:dyDescent="0.25">
      <c r="A5042" t="s">
        <v>5046</v>
      </c>
      <c r="B5042">
        <v>0.995954080203443</v>
      </c>
      <c r="C5042">
        <v>0.89234521447361803</v>
      </c>
      <c r="D5042">
        <v>0.770659161598514</v>
      </c>
      <c r="E5042">
        <v>0.78091902667770396</v>
      </c>
      <c r="F5042">
        <v>0.66684825916938695</v>
      </c>
      <c r="G5042">
        <v>0.43008270602527898</v>
      </c>
      <c r="H5042">
        <v>0.254032057987985</v>
      </c>
      <c r="I5042">
        <v>0.14170769656275201</v>
      </c>
      <c r="J5042">
        <v>8.8578072251075293E-2</v>
      </c>
      <c r="K5042">
        <v>9.6695005901887801E-2</v>
      </c>
      <c r="L5042">
        <v>585.44482584080697</v>
      </c>
      <c r="M5042">
        <v>10.6317074590348</v>
      </c>
      <c r="N5042">
        <v>55.065926895813703</v>
      </c>
      <c r="O5042">
        <v>53.224913247193903</v>
      </c>
      <c r="P5042">
        <v>-4.9956852181792001E-2</v>
      </c>
      <c r="Q5042">
        <v>0</v>
      </c>
      <c r="R5042">
        <v>0.97486889242242702</v>
      </c>
      <c r="S5042" t="s">
        <v>11848</v>
      </c>
      <c r="T5042" t="s">
        <v>13610</v>
      </c>
      <c r="U5042" t="s">
        <v>13610</v>
      </c>
      <c r="V5042" t="s">
        <v>13610</v>
      </c>
      <c r="W5042" t="s">
        <v>18589</v>
      </c>
      <c r="X5042">
        <v>12</v>
      </c>
      <c r="Y5042" t="s">
        <v>25159</v>
      </c>
      <c r="Z5042" t="s">
        <v>31897</v>
      </c>
      <c r="AA5042">
        <v>0.52712231626423645</v>
      </c>
      <c r="AB5042" t="str">
        <f>HYPERLINK("Melting_Curves/meltCurve_Q96CW5_TUBGCP3.pdf", "Melting_Curves/meltCurve_Q96CW5_TUBGCP3.pdf")</f>
        <v>Melting_Curves/meltCurve_Q96CW5_TUBGCP3.pdf</v>
      </c>
    </row>
    <row r="5043" spans="1:28" x14ac:dyDescent="0.25">
      <c r="A5043" t="s">
        <v>5047</v>
      </c>
      <c r="B5043">
        <v>0.995954080203443</v>
      </c>
      <c r="C5043">
        <v>0.83715135918905303</v>
      </c>
      <c r="D5043">
        <v>1.09429439909677</v>
      </c>
      <c r="E5043">
        <v>0.80919015778737202</v>
      </c>
      <c r="F5043">
        <v>1.0351788095660699</v>
      </c>
      <c r="G5043">
        <v>0.79933181028067102</v>
      </c>
      <c r="H5043">
        <v>0.79136962027494695</v>
      </c>
      <c r="I5043">
        <v>0.85633610951828898</v>
      </c>
      <c r="J5043">
        <v>1.2279387838420901</v>
      </c>
      <c r="K5043">
        <v>1.0729561992583001</v>
      </c>
      <c r="L5043">
        <v>3446.7673986857599</v>
      </c>
      <c r="M5043">
        <v>52.2008683717712</v>
      </c>
      <c r="O5043">
        <v>65.932240461478898</v>
      </c>
      <c r="P5043">
        <v>2.5770278601807702E-2</v>
      </c>
      <c r="Q5043">
        <v>1.1301963748308901</v>
      </c>
      <c r="R5043">
        <v>2.3778801198989601E-2</v>
      </c>
      <c r="S5043" t="s">
        <v>11849</v>
      </c>
      <c r="T5043" t="s">
        <v>13610</v>
      </c>
      <c r="U5043" t="s">
        <v>13610</v>
      </c>
      <c r="V5043" t="s">
        <v>13610</v>
      </c>
      <c r="W5043" t="s">
        <v>18590</v>
      </c>
      <c r="X5043">
        <v>5</v>
      </c>
      <c r="Y5043" t="s">
        <v>25160</v>
      </c>
      <c r="Z5043" t="s">
        <v>31898</v>
      </c>
      <c r="AA5043">
        <v>1.017211182157076</v>
      </c>
      <c r="AB5043" t="str">
        <f>HYPERLINK("Melting_Curves/meltCurve_Q96CW6_SLC7A6OS.pdf", "Melting_Curves/meltCurve_Q96CW6_SLC7A6OS.pdf")</f>
        <v>Melting_Curves/meltCurve_Q96CW6_SLC7A6OS.pdf</v>
      </c>
    </row>
    <row r="5044" spans="1:28" x14ac:dyDescent="0.25">
      <c r="A5044" t="s">
        <v>5048</v>
      </c>
      <c r="B5044">
        <v>0.995954080203443</v>
      </c>
      <c r="C5044">
        <v>0.91485327639160297</v>
      </c>
      <c r="D5044">
        <v>0.86057731887139999</v>
      </c>
      <c r="E5044">
        <v>0.56145338942752498</v>
      </c>
      <c r="F5044">
        <v>0.20449696477256299</v>
      </c>
      <c r="G5044">
        <v>0.10850862838045</v>
      </c>
      <c r="H5044">
        <v>6.8701321090191406E-2</v>
      </c>
      <c r="I5044">
        <v>6.3264336462098697E-2</v>
      </c>
      <c r="J5044">
        <v>7.3630920482236295E-2</v>
      </c>
      <c r="K5044">
        <v>6.6710984269657297E-2</v>
      </c>
      <c r="L5044">
        <v>1142.3892524932401</v>
      </c>
      <c r="M5044">
        <v>22.902830852661999</v>
      </c>
      <c r="N5044">
        <v>50.1472659948274</v>
      </c>
      <c r="O5044">
        <v>49.504222140059902</v>
      </c>
      <c r="P5044">
        <v>-0.109013875782383</v>
      </c>
      <c r="Q5044">
        <v>5.7488674201033797E-2</v>
      </c>
      <c r="R5044">
        <v>0.99370607949073197</v>
      </c>
      <c r="S5044" t="s">
        <v>11850</v>
      </c>
      <c r="T5044" t="s">
        <v>13610</v>
      </c>
      <c r="U5044" t="s">
        <v>13610</v>
      </c>
      <c r="V5044" t="s">
        <v>13610</v>
      </c>
      <c r="W5044" t="s">
        <v>18591</v>
      </c>
      <c r="X5044">
        <v>22</v>
      </c>
      <c r="Y5044" t="s">
        <v>25161</v>
      </c>
      <c r="Z5044" t="s">
        <v>31899</v>
      </c>
      <c r="AA5044">
        <v>0.37791734237029789</v>
      </c>
      <c r="AB5044" t="str">
        <f>HYPERLINK("Melting_Curves/meltCurve_Q96D46_NMD3.pdf", "Melting_Curves/meltCurve_Q96D46_NMD3.pdf")</f>
        <v>Melting_Curves/meltCurve_Q96D46_NMD3.pdf</v>
      </c>
    </row>
    <row r="5045" spans="1:28" x14ac:dyDescent="0.25">
      <c r="A5045" t="s">
        <v>5049</v>
      </c>
      <c r="B5045">
        <v>0.995954080203443</v>
      </c>
      <c r="C5045">
        <v>0.97340387956297603</v>
      </c>
      <c r="D5045">
        <v>0.87242533178059101</v>
      </c>
      <c r="E5045">
        <v>0.68387999442190806</v>
      </c>
      <c r="F5045">
        <v>0.56138346144060103</v>
      </c>
      <c r="G5045">
        <v>0.365602353760205</v>
      </c>
      <c r="H5045">
        <v>0.34225040980198901</v>
      </c>
      <c r="I5045">
        <v>0.43709092302276398</v>
      </c>
      <c r="J5045">
        <v>0.46606675021912097</v>
      </c>
      <c r="K5045">
        <v>0.49683883593633599</v>
      </c>
      <c r="L5045">
        <v>1064.1018697024899</v>
      </c>
      <c r="M5045">
        <v>21.573694869427399</v>
      </c>
      <c r="N5045">
        <v>53.902773591981003</v>
      </c>
      <c r="O5045">
        <v>48.9061094369602</v>
      </c>
      <c r="P5045">
        <v>-6.3964825996253999E-2</v>
      </c>
      <c r="Q5045">
        <v>0.41999820549751798</v>
      </c>
      <c r="R5045">
        <v>0.95504716255892597</v>
      </c>
      <c r="S5045" t="s">
        <v>11851</v>
      </c>
      <c r="T5045" t="s">
        <v>13610</v>
      </c>
      <c r="U5045" t="s">
        <v>13610</v>
      </c>
      <c r="V5045" t="s">
        <v>13610</v>
      </c>
      <c r="W5045" t="s">
        <v>18592</v>
      </c>
      <c r="X5045">
        <v>26</v>
      </c>
      <c r="Y5045" t="s">
        <v>25162</v>
      </c>
      <c r="Z5045" t="s">
        <v>31900</v>
      </c>
      <c r="AA5045">
        <v>0.60721904931097181</v>
      </c>
      <c r="AB5045" t="str">
        <f>HYPERLINK("Melting_Curves/meltCurve_Q96D71_3_REPS1.pdf", "Melting_Curves/meltCurve_Q96D71_3_REPS1.pdf")</f>
        <v>Melting_Curves/meltCurve_Q96D71_3_REPS1.pdf</v>
      </c>
    </row>
    <row r="5046" spans="1:28" x14ac:dyDescent="0.25">
      <c r="A5046" t="s">
        <v>5050</v>
      </c>
      <c r="B5046">
        <v>0.995954080203443</v>
      </c>
      <c r="C5046">
        <v>0.87034659329143405</v>
      </c>
      <c r="D5046">
        <v>0.84838455665670398</v>
      </c>
      <c r="E5046">
        <v>0.68034728945135903</v>
      </c>
      <c r="F5046">
        <v>0.44944922805545301</v>
      </c>
      <c r="G5046">
        <v>0.217412964111626</v>
      </c>
      <c r="H5046">
        <v>0.160449303176707</v>
      </c>
      <c r="I5046">
        <v>0.134084784351053</v>
      </c>
      <c r="J5046">
        <v>0.151642827065332</v>
      </c>
      <c r="K5046">
        <v>0.154312253789473</v>
      </c>
      <c r="L5046">
        <v>776.64719406353595</v>
      </c>
      <c r="M5046">
        <v>15.1738811712498</v>
      </c>
      <c r="N5046">
        <v>52.014259460199</v>
      </c>
      <c r="O5046">
        <v>50.318888879280003</v>
      </c>
      <c r="P5046">
        <v>-6.7279623276544798E-2</v>
      </c>
      <c r="Q5046">
        <v>0.107648476644134</v>
      </c>
      <c r="R5046">
        <v>0.98736422064380702</v>
      </c>
      <c r="S5046" t="s">
        <v>11852</v>
      </c>
      <c r="T5046" t="s">
        <v>13610</v>
      </c>
      <c r="U5046" t="s">
        <v>13610</v>
      </c>
      <c r="V5046" t="s">
        <v>13610</v>
      </c>
      <c r="W5046" t="s">
        <v>18593</v>
      </c>
      <c r="X5046">
        <v>1</v>
      </c>
      <c r="Y5046" t="s">
        <v>25163</v>
      </c>
      <c r="Z5046" t="s">
        <v>31901</v>
      </c>
      <c r="AA5046">
        <v>0.46040723087231789</v>
      </c>
      <c r="AB5046" t="str">
        <f>HYPERLINK("Melting_Curves/meltCurve_Q96DA6_2_DNAJC19.pdf", "Melting_Curves/meltCurve_Q96DA6_2_DNAJC19.pdf")</f>
        <v>Melting_Curves/meltCurve_Q96DA6_2_DNAJC19.pdf</v>
      </c>
    </row>
    <row r="5047" spans="1:28" x14ac:dyDescent="0.25">
      <c r="A5047" t="s">
        <v>5051</v>
      </c>
      <c r="B5047">
        <v>0.995954080203443</v>
      </c>
      <c r="C5047">
        <v>0.966742583428572</v>
      </c>
      <c r="D5047">
        <v>0.93400788648521804</v>
      </c>
      <c r="E5047">
        <v>0.73774976516513402</v>
      </c>
      <c r="F5047">
        <v>0.13798445144533</v>
      </c>
      <c r="G5047">
        <v>7.5043940781119103E-2</v>
      </c>
      <c r="H5047">
        <v>4.1992260411328003E-2</v>
      </c>
      <c r="I5047">
        <v>2.7573020341854101E-2</v>
      </c>
      <c r="J5047">
        <v>3.1953371124743002E-2</v>
      </c>
      <c r="K5047">
        <v>2.9851133497179799E-2</v>
      </c>
      <c r="L5047">
        <v>2710.0593461114499</v>
      </c>
      <c r="M5047">
        <v>53.239773128763701</v>
      </c>
      <c r="N5047">
        <v>50.982097409434303</v>
      </c>
      <c r="O5047">
        <v>50.831244821957199</v>
      </c>
      <c r="P5047">
        <v>-0.25145482988929302</v>
      </c>
      <c r="Q5047">
        <v>3.9683863080829801E-2</v>
      </c>
      <c r="R5047">
        <v>0.99640134400596703</v>
      </c>
      <c r="S5047" t="s">
        <v>11853</v>
      </c>
      <c r="T5047" t="s">
        <v>13610</v>
      </c>
      <c r="U5047" t="s">
        <v>13610</v>
      </c>
      <c r="V5047" t="s">
        <v>13610</v>
      </c>
      <c r="W5047" t="s">
        <v>18594</v>
      </c>
      <c r="X5047">
        <v>7</v>
      </c>
      <c r="Y5047" t="s">
        <v>25164</v>
      </c>
      <c r="Z5047" t="s">
        <v>31902</v>
      </c>
      <c r="AA5047">
        <v>0.39059237681347642</v>
      </c>
      <c r="AB5047" t="str">
        <f>HYPERLINK("Melting_Curves/meltCurve_Q96DB5_RMDN1.pdf", "Melting_Curves/meltCurve_Q96DB5_RMDN1.pdf")</f>
        <v>Melting_Curves/meltCurve_Q96DB5_RMDN1.pdf</v>
      </c>
    </row>
    <row r="5048" spans="1:28" x14ac:dyDescent="0.25">
      <c r="A5048" t="s">
        <v>5052</v>
      </c>
      <c r="B5048">
        <v>0.995954080203443</v>
      </c>
      <c r="C5048">
        <v>0.98112440384412802</v>
      </c>
      <c r="D5048">
        <v>0.65926815956395302</v>
      </c>
      <c r="E5048">
        <v>0.43016128840019902</v>
      </c>
      <c r="F5048">
        <v>0.16589326670263799</v>
      </c>
      <c r="G5048">
        <v>8.1651427483382902E-2</v>
      </c>
      <c r="H5048">
        <v>4.9118698329371997E-2</v>
      </c>
      <c r="I5048">
        <v>2.8992115906752301E-2</v>
      </c>
      <c r="J5048">
        <v>3.5426416421235597E-2</v>
      </c>
      <c r="K5048">
        <v>3.1391268266162599E-2</v>
      </c>
      <c r="L5048">
        <v>877.50662977674097</v>
      </c>
      <c r="M5048">
        <v>18.119113870925698</v>
      </c>
      <c r="N5048">
        <v>48.562187573762301</v>
      </c>
      <c r="O5048">
        <v>47.8515309393946</v>
      </c>
      <c r="P5048">
        <v>-9.2387928431373306E-2</v>
      </c>
      <c r="Q5048">
        <v>2.4082236513508801E-2</v>
      </c>
      <c r="R5048">
        <v>0.99055803080101101</v>
      </c>
      <c r="S5048" t="s">
        <v>11854</v>
      </c>
      <c r="T5048" t="s">
        <v>13610</v>
      </c>
      <c r="U5048" t="s">
        <v>13610</v>
      </c>
      <c r="V5048" t="s">
        <v>13610</v>
      </c>
      <c r="W5048" t="s">
        <v>18595</v>
      </c>
      <c r="X5048">
        <v>3</v>
      </c>
      <c r="Y5048" t="s">
        <v>25165</v>
      </c>
      <c r="Z5048" t="s">
        <v>31903</v>
      </c>
      <c r="AA5048">
        <v>0.315194433622009</v>
      </c>
      <c r="AB5048" t="str">
        <f>HYPERLINK("Melting_Curves/meltCurve_Q96DC7_TMCO6.pdf", "Melting_Curves/meltCurve_Q96DC7_TMCO6.pdf")</f>
        <v>Melting_Curves/meltCurve_Q96DC7_TMCO6.pdf</v>
      </c>
    </row>
    <row r="5049" spans="1:28" x14ac:dyDescent="0.25">
      <c r="A5049" t="s">
        <v>5053</v>
      </c>
      <c r="B5049">
        <v>0.995954080203443</v>
      </c>
      <c r="C5049">
        <v>1.0266767562746899</v>
      </c>
      <c r="D5049">
        <v>0.99626358824130601</v>
      </c>
      <c r="E5049">
        <v>0.91982069825364599</v>
      </c>
      <c r="F5049">
        <v>0.67840357323889799</v>
      </c>
      <c r="G5049">
        <v>0.40935544863963302</v>
      </c>
      <c r="H5049">
        <v>0.19638336586594801</v>
      </c>
      <c r="I5049">
        <v>0.11178642538844499</v>
      </c>
      <c r="J5049">
        <v>0.17822103709758999</v>
      </c>
      <c r="K5049">
        <v>0.104735257477478</v>
      </c>
      <c r="L5049">
        <v>1162.5283984083401</v>
      </c>
      <c r="M5049">
        <v>21.215885508977799</v>
      </c>
      <c r="N5049">
        <v>55.452790155816402</v>
      </c>
      <c r="O5049">
        <v>54.315348426537902</v>
      </c>
      <c r="P5049">
        <v>-8.6792566393388407E-2</v>
      </c>
      <c r="Q5049">
        <v>0.111223409590717</v>
      </c>
      <c r="R5049">
        <v>0.99493410698196705</v>
      </c>
      <c r="S5049" t="s">
        <v>11855</v>
      </c>
      <c r="T5049" t="s">
        <v>13610</v>
      </c>
      <c r="U5049" t="s">
        <v>13610</v>
      </c>
      <c r="V5049" t="s">
        <v>13610</v>
      </c>
      <c r="W5049" t="s">
        <v>18596</v>
      </c>
      <c r="X5049">
        <v>6</v>
      </c>
      <c r="Y5049" t="s">
        <v>25166</v>
      </c>
      <c r="Z5049" t="s">
        <v>31904</v>
      </c>
      <c r="AA5049">
        <v>0.5603925208957895</v>
      </c>
      <c r="AB5049" t="str">
        <f>HYPERLINK("Melting_Curves/meltCurve_Q96DC8_ECHDC3.pdf", "Melting_Curves/meltCurve_Q96DC8_ECHDC3.pdf")</f>
        <v>Melting_Curves/meltCurve_Q96DC8_ECHDC3.pdf</v>
      </c>
    </row>
    <row r="5050" spans="1:28" x14ac:dyDescent="0.25">
      <c r="A5050" t="s">
        <v>5054</v>
      </c>
      <c r="B5050">
        <v>0.995954080203443</v>
      </c>
      <c r="C5050">
        <v>0.95286381751712901</v>
      </c>
      <c r="D5050">
        <v>0.89935148142138599</v>
      </c>
      <c r="E5050">
        <v>0.79642944733740395</v>
      </c>
      <c r="F5050">
        <v>0.67246945649799705</v>
      </c>
      <c r="G5050">
        <v>0.484334360082885</v>
      </c>
      <c r="H5050">
        <v>0.336135356317463</v>
      </c>
      <c r="I5050">
        <v>0.21667944372213499</v>
      </c>
      <c r="J5050">
        <v>7.9951305411330401E-2</v>
      </c>
      <c r="K5050">
        <v>7.2248644329852202E-2</v>
      </c>
      <c r="L5050">
        <v>637.74576104013397</v>
      </c>
      <c r="M5050">
        <v>11.316456466210999</v>
      </c>
      <c r="N5050">
        <v>56.355606442019997</v>
      </c>
      <c r="O5050">
        <v>54.681819684830401</v>
      </c>
      <c r="P5050">
        <v>-5.1753394427273502E-2</v>
      </c>
      <c r="Q5050">
        <v>0</v>
      </c>
      <c r="R5050">
        <v>0.99329682821437204</v>
      </c>
      <c r="S5050" t="s">
        <v>11856</v>
      </c>
      <c r="T5050" t="s">
        <v>13610</v>
      </c>
      <c r="U5050" t="s">
        <v>13610</v>
      </c>
      <c r="V5050" t="s">
        <v>13610</v>
      </c>
      <c r="W5050" t="s">
        <v>18597</v>
      </c>
      <c r="X5050">
        <v>12</v>
      </c>
      <c r="Y5050" t="s">
        <v>25167</v>
      </c>
      <c r="Z5050" t="s">
        <v>31905</v>
      </c>
      <c r="AA5050">
        <v>0.56457741183537891</v>
      </c>
      <c r="AB5050" t="str">
        <f>HYPERLINK("Melting_Curves/meltCurve_Q96DE0_NUDT16.pdf", "Melting_Curves/meltCurve_Q96DE0_NUDT16.pdf")</f>
        <v>Melting_Curves/meltCurve_Q96DE0_NUDT16.pdf</v>
      </c>
    </row>
    <row r="5051" spans="1:28" x14ac:dyDescent="0.25">
      <c r="A5051" t="s">
        <v>5055</v>
      </c>
      <c r="B5051">
        <v>0.995954080203443</v>
      </c>
      <c r="C5051">
        <v>0.71252200548950895</v>
      </c>
      <c r="D5051">
        <v>0.61485581750890095</v>
      </c>
      <c r="E5051">
        <v>0.854827510613129</v>
      </c>
      <c r="F5051">
        <v>0.82397635291969396</v>
      </c>
      <c r="G5051">
        <v>0.70903335692302405</v>
      </c>
      <c r="H5051">
        <v>0.70519526090312901</v>
      </c>
      <c r="I5051">
        <v>0.831883754377441</v>
      </c>
      <c r="J5051">
        <v>0.97078393017061104</v>
      </c>
      <c r="K5051">
        <v>0.95220875708994601</v>
      </c>
      <c r="L5051">
        <v>10155.693403814301</v>
      </c>
      <c r="M5051">
        <v>250</v>
      </c>
      <c r="O5051">
        <v>40.620174281585399</v>
      </c>
      <c r="P5051">
        <v>-0.31195386487670002</v>
      </c>
      <c r="Q5051">
        <v>0.79725407576158902</v>
      </c>
      <c r="R5051">
        <v>0.234402806082775</v>
      </c>
      <c r="S5051" t="s">
        <v>11857</v>
      </c>
      <c r="T5051" t="s">
        <v>13610</v>
      </c>
      <c r="U5051" t="s">
        <v>13610</v>
      </c>
      <c r="V5051" t="s">
        <v>13610</v>
      </c>
      <c r="W5051" t="s">
        <v>18598</v>
      </c>
      <c r="X5051">
        <v>1</v>
      </c>
      <c r="Y5051" t="s">
        <v>25168</v>
      </c>
      <c r="Z5051" t="s">
        <v>31906</v>
      </c>
      <c r="AA5051">
        <v>0.80149868839204452</v>
      </c>
      <c r="AB5051" t="str">
        <f>HYPERLINK("Melting_Curves/meltCurve_Q96DE5_ANAPC16.pdf", "Melting_Curves/meltCurve_Q96DE5_ANAPC16.pdf")</f>
        <v>Melting_Curves/meltCurve_Q96DE5_ANAPC16.pdf</v>
      </c>
    </row>
    <row r="5052" spans="1:28" x14ac:dyDescent="0.25">
      <c r="A5052" t="s">
        <v>5056</v>
      </c>
      <c r="B5052">
        <v>0.995954080203443</v>
      </c>
      <c r="C5052">
        <v>0.95951125022404005</v>
      </c>
      <c r="D5052">
        <v>0.94472027145154303</v>
      </c>
      <c r="E5052">
        <v>0.84164427162011102</v>
      </c>
      <c r="F5052">
        <v>0.83255031828429205</v>
      </c>
      <c r="G5052">
        <v>0.66215982362322801</v>
      </c>
      <c r="H5052">
        <v>0.62431787606838096</v>
      </c>
      <c r="I5052">
        <v>0.774603987141261</v>
      </c>
      <c r="J5052">
        <v>0.84874849909564398</v>
      </c>
      <c r="K5052">
        <v>0.88596694888340899</v>
      </c>
      <c r="L5052">
        <v>1152.40183282524</v>
      </c>
      <c r="M5052">
        <v>23.8706091778215</v>
      </c>
      <c r="O5052">
        <v>47.942041780016702</v>
      </c>
      <c r="P5052">
        <v>-2.91403803464442E-2</v>
      </c>
      <c r="Q5052">
        <v>0.765900168586923</v>
      </c>
      <c r="R5052">
        <v>0.57950770314858402</v>
      </c>
      <c r="S5052" t="s">
        <v>11858</v>
      </c>
      <c r="T5052" t="s">
        <v>13610</v>
      </c>
      <c r="U5052" t="s">
        <v>13610</v>
      </c>
      <c r="V5052" t="s">
        <v>13610</v>
      </c>
      <c r="W5052" t="s">
        <v>18599</v>
      </c>
      <c r="X5052">
        <v>21</v>
      </c>
      <c r="Y5052" t="s">
        <v>25169</v>
      </c>
      <c r="Z5052" t="s">
        <v>31907</v>
      </c>
      <c r="AA5052">
        <v>0.83276872685614978</v>
      </c>
      <c r="AB5052" t="str">
        <f>HYPERLINK("Melting_Curves/meltCurve_Q96DF8_DGCR14.pdf", "Melting_Curves/meltCurve_Q96DF8_DGCR14.pdf")</f>
        <v>Melting_Curves/meltCurve_Q96DF8_DGCR14.pdf</v>
      </c>
    </row>
    <row r="5053" spans="1:28" x14ac:dyDescent="0.25">
      <c r="A5053" t="s">
        <v>5057</v>
      </c>
      <c r="B5053">
        <v>0.995954080203443</v>
      </c>
      <c r="C5053">
        <v>1.04831652409403</v>
      </c>
      <c r="D5053">
        <v>1.1188609293037299</v>
      </c>
      <c r="E5053">
        <v>0.94704465391499204</v>
      </c>
      <c r="F5053">
        <v>0.75896907457963803</v>
      </c>
      <c r="G5053">
        <v>0.30679919842195003</v>
      </c>
      <c r="H5053">
        <v>0.16389215050558301</v>
      </c>
      <c r="I5053">
        <v>0.174443152629984</v>
      </c>
      <c r="J5053">
        <v>0.20166590267433701</v>
      </c>
      <c r="K5053">
        <v>0.166607476873087</v>
      </c>
      <c r="L5053">
        <v>1938.2111103330101</v>
      </c>
      <c r="M5053">
        <v>35.689358109992703</v>
      </c>
      <c r="N5053">
        <v>54.959404841393699</v>
      </c>
      <c r="O5053">
        <v>54.1381583332006</v>
      </c>
      <c r="P5053">
        <v>-0.13637778557065799</v>
      </c>
      <c r="Q5053">
        <v>0.17250203481031701</v>
      </c>
      <c r="R5053">
        <v>0.98822589235389002</v>
      </c>
      <c r="S5053" t="s">
        <v>11859</v>
      </c>
      <c r="T5053" t="s">
        <v>13610</v>
      </c>
      <c r="U5053" t="s">
        <v>13610</v>
      </c>
      <c r="V5053" t="s">
        <v>13610</v>
      </c>
      <c r="W5053" t="s">
        <v>18600</v>
      </c>
      <c r="X5053">
        <v>21</v>
      </c>
      <c r="Y5053" t="s">
        <v>25170</v>
      </c>
      <c r="Z5053" t="s">
        <v>31908</v>
      </c>
      <c r="AA5053">
        <v>0.57104526147252799</v>
      </c>
      <c r="AB5053" t="str">
        <f>HYPERLINK("Melting_Curves/meltCurve_Q96DG6_CMBL.pdf", "Melting_Curves/meltCurve_Q96DG6_CMBL.pdf")</f>
        <v>Melting_Curves/meltCurve_Q96DG6_CMBL.pdf</v>
      </c>
    </row>
    <row r="5054" spans="1:28" x14ac:dyDescent="0.25">
      <c r="A5054" t="s">
        <v>5058</v>
      </c>
      <c r="B5054">
        <v>0.995954080203443</v>
      </c>
      <c r="C5054">
        <v>0.73365971879733005</v>
      </c>
      <c r="D5054">
        <v>0.53354806155825396</v>
      </c>
      <c r="E5054">
        <v>0.56757953936305805</v>
      </c>
      <c r="F5054">
        <v>0.43648723442626097</v>
      </c>
      <c r="G5054">
        <v>0.325285956550318</v>
      </c>
      <c r="H5054">
        <v>0.32282003000917397</v>
      </c>
      <c r="I5054">
        <v>0.40842603979908998</v>
      </c>
      <c r="J5054">
        <v>0.45948920786713399</v>
      </c>
      <c r="K5054">
        <v>0.45323589542893</v>
      </c>
      <c r="L5054">
        <v>952.87352860371504</v>
      </c>
      <c r="M5054">
        <v>21.7971607540123</v>
      </c>
      <c r="N5054">
        <v>47.510681801516803</v>
      </c>
      <c r="O5054">
        <v>43.352530221130401</v>
      </c>
      <c r="P5054">
        <v>-7.3868553606185106E-2</v>
      </c>
      <c r="Q5054">
        <v>0.412342813310351</v>
      </c>
      <c r="R5054">
        <v>0.89246362475082197</v>
      </c>
      <c r="S5054" t="s">
        <v>11860</v>
      </c>
      <c r="T5054" t="s">
        <v>13610</v>
      </c>
      <c r="U5054" t="s">
        <v>13610</v>
      </c>
      <c r="V5054" t="s">
        <v>13610</v>
      </c>
      <c r="W5054" t="s">
        <v>18601</v>
      </c>
      <c r="X5054">
        <v>4</v>
      </c>
      <c r="Y5054" t="s">
        <v>25171</v>
      </c>
      <c r="Z5054" t="s">
        <v>31909</v>
      </c>
      <c r="AA5054">
        <v>0.49497009979721007</v>
      </c>
      <c r="AB5054" t="str">
        <f>HYPERLINK("Melting_Curves/meltCurve_Q96DH6_2_MSI2.pdf", "Melting_Curves/meltCurve_Q96DH6_2_MSI2.pdf")</f>
        <v>Melting_Curves/meltCurve_Q96DH6_2_MSI2.pdf</v>
      </c>
    </row>
    <row r="5055" spans="1:28" x14ac:dyDescent="0.25">
      <c r="A5055" t="s">
        <v>5059</v>
      </c>
      <c r="B5055">
        <v>0.995954080203443</v>
      </c>
      <c r="C5055">
        <v>0.864343301306154</v>
      </c>
      <c r="D5055">
        <v>0.80388734821391294</v>
      </c>
      <c r="E5055">
        <v>0.72565721273900097</v>
      </c>
      <c r="F5055">
        <v>0.38604989552693902</v>
      </c>
      <c r="G5055">
        <v>0.17216164365643599</v>
      </c>
      <c r="H5055">
        <v>0.11079848484843401</v>
      </c>
      <c r="I5055">
        <v>0.12405301101305399</v>
      </c>
      <c r="J5055">
        <v>0.15744374234297601</v>
      </c>
      <c r="K5055">
        <v>0.15598339898097099</v>
      </c>
      <c r="L5055">
        <v>853.22070156134305</v>
      </c>
      <c r="M5055">
        <v>16.7584568714095</v>
      </c>
      <c r="N5055">
        <v>51.619758341861697</v>
      </c>
      <c r="O5055">
        <v>50.204477436692002</v>
      </c>
      <c r="P5055">
        <v>-7.4899288865654307E-2</v>
      </c>
      <c r="Q5055">
        <v>0.102534830301898</v>
      </c>
      <c r="R5055">
        <v>0.96944830093386303</v>
      </c>
      <c r="S5055" t="s">
        <v>11861</v>
      </c>
      <c r="T5055" t="s">
        <v>13610</v>
      </c>
      <c r="U5055" t="s">
        <v>13610</v>
      </c>
      <c r="V5055" t="s">
        <v>13610</v>
      </c>
      <c r="W5055" t="s">
        <v>18602</v>
      </c>
      <c r="X5055">
        <v>13</v>
      </c>
      <c r="Y5055" t="s">
        <v>25172</v>
      </c>
      <c r="Z5055" t="s">
        <v>31910</v>
      </c>
      <c r="AA5055">
        <v>0.44619579257755682</v>
      </c>
      <c r="AB5055" t="str">
        <f>HYPERLINK("Melting_Curves/meltCurve_Q96DI7_SNRNP40.pdf", "Melting_Curves/meltCurve_Q96DI7_SNRNP40.pdf")</f>
        <v>Melting_Curves/meltCurve_Q96DI7_SNRNP40.pdf</v>
      </c>
    </row>
    <row r="5056" spans="1:28" x14ac:dyDescent="0.25">
      <c r="A5056" t="s">
        <v>5060</v>
      </c>
      <c r="B5056">
        <v>0.995954080203443</v>
      </c>
      <c r="C5056">
        <v>0.95428045294396502</v>
      </c>
      <c r="D5056">
        <v>0.85483370697441996</v>
      </c>
      <c r="E5056">
        <v>0.63668258357366903</v>
      </c>
      <c r="F5056">
        <v>0.30381176002511601</v>
      </c>
      <c r="G5056">
        <v>0.34055056805469902</v>
      </c>
      <c r="H5056">
        <v>0.27385989034543301</v>
      </c>
      <c r="I5056">
        <v>0.32319912617699598</v>
      </c>
      <c r="J5056">
        <v>0.39187435545952598</v>
      </c>
      <c r="K5056">
        <v>0.34899129739340201</v>
      </c>
      <c r="L5056">
        <v>1304.7245796408799</v>
      </c>
      <c r="M5056">
        <v>26.658238003207799</v>
      </c>
      <c r="N5056">
        <v>50.914473177147698</v>
      </c>
      <c r="O5056">
        <v>48.669733284563797</v>
      </c>
      <c r="P5056">
        <v>-9.2851985723703997E-2</v>
      </c>
      <c r="Q5056">
        <v>0.32193070035501797</v>
      </c>
      <c r="R5056">
        <v>0.96739783240757404</v>
      </c>
      <c r="S5056" t="s">
        <v>11862</v>
      </c>
      <c r="T5056" t="s">
        <v>13610</v>
      </c>
      <c r="U5056" t="s">
        <v>13610</v>
      </c>
      <c r="V5056" t="s">
        <v>13610</v>
      </c>
      <c r="W5056" t="s">
        <v>18603</v>
      </c>
      <c r="X5056">
        <v>4</v>
      </c>
      <c r="Y5056" t="s">
        <v>25173</v>
      </c>
      <c r="Z5056" t="s">
        <v>31911</v>
      </c>
      <c r="AA5056">
        <v>0.52931626082193495</v>
      </c>
      <c r="AB5056" t="str">
        <f>HYPERLINK("Melting_Curves/meltCurve_Q96DN6_MBD6.pdf", "Melting_Curves/meltCurve_Q96DN6_MBD6.pdf")</f>
        <v>Melting_Curves/meltCurve_Q96DN6_MBD6.pdf</v>
      </c>
    </row>
    <row r="5057" spans="1:28" x14ac:dyDescent="0.25">
      <c r="A5057" t="s">
        <v>5061</v>
      </c>
      <c r="B5057">
        <v>0.995954080203443</v>
      </c>
      <c r="C5057">
        <v>0.84415405558741696</v>
      </c>
      <c r="D5057">
        <v>0.68449197317271904</v>
      </c>
      <c r="E5057">
        <v>0.62227696435163504</v>
      </c>
      <c r="F5057">
        <v>0.206770319949625</v>
      </c>
      <c r="G5057">
        <v>9.5844197844649204E-2</v>
      </c>
      <c r="H5057">
        <v>5.3454809122283502E-2</v>
      </c>
      <c r="I5057">
        <v>3.5952492138337497E-2</v>
      </c>
      <c r="J5057">
        <v>4.7522687054920201E-2</v>
      </c>
      <c r="K5057">
        <v>4.0742953058040501E-2</v>
      </c>
      <c r="L5057">
        <v>690.20712500543198</v>
      </c>
      <c r="M5057">
        <v>13.924669489275701</v>
      </c>
      <c r="N5057">
        <v>49.567217425562802</v>
      </c>
      <c r="O5057">
        <v>48.578488289622101</v>
      </c>
      <c r="P5057">
        <v>-7.1670360816456197E-2</v>
      </c>
      <c r="Q5057">
        <v>0</v>
      </c>
      <c r="R5057">
        <v>0.96879013121262303</v>
      </c>
      <c r="S5057" t="s">
        <v>11863</v>
      </c>
      <c r="T5057" t="s">
        <v>13610</v>
      </c>
      <c r="U5057" t="s">
        <v>13610</v>
      </c>
      <c r="V5057" t="s">
        <v>13610</v>
      </c>
      <c r="W5057" t="s">
        <v>18604</v>
      </c>
      <c r="X5057">
        <v>1</v>
      </c>
      <c r="Y5057" t="s">
        <v>25174</v>
      </c>
      <c r="Z5057" t="s">
        <v>31912</v>
      </c>
      <c r="AA5057">
        <v>0.34653959008799018</v>
      </c>
      <c r="AB5057" t="str">
        <f>HYPERLINK("Melting_Curves/meltCurve_Q96DT0_3_LGALS12.pdf", "Melting_Curves/meltCurve_Q96DT0_3_LGALS12.pdf")</f>
        <v>Melting_Curves/meltCurve_Q96DT0_3_LGALS12.pdf</v>
      </c>
    </row>
    <row r="5058" spans="1:28" x14ac:dyDescent="0.25">
      <c r="A5058" t="s">
        <v>5062</v>
      </c>
      <c r="B5058">
        <v>0.995954080203443</v>
      </c>
      <c r="C5058">
        <v>1.07881987139244</v>
      </c>
      <c r="D5058">
        <v>1.09870310583514</v>
      </c>
      <c r="E5058">
        <v>0.83238260331691805</v>
      </c>
      <c r="F5058">
        <v>0.56027517953106698</v>
      </c>
      <c r="G5058">
        <v>0.37191290024739299</v>
      </c>
      <c r="H5058">
        <v>0.241303469240394</v>
      </c>
      <c r="I5058">
        <v>0.20694308297846001</v>
      </c>
      <c r="J5058">
        <v>0.17456216918721501</v>
      </c>
      <c r="K5058">
        <v>0.22888583731430001</v>
      </c>
      <c r="L5058">
        <v>1304.84515803965</v>
      </c>
      <c r="M5058">
        <v>24.695623283743899</v>
      </c>
      <c r="N5058">
        <v>54.022535984399902</v>
      </c>
      <c r="O5058">
        <v>52.4942805267399</v>
      </c>
      <c r="P5058">
        <v>-9.3010406760996103E-2</v>
      </c>
      <c r="Q5058">
        <v>0.209180176709131</v>
      </c>
      <c r="R5058">
        <v>0.98042054951159996</v>
      </c>
      <c r="S5058" t="s">
        <v>11864</v>
      </c>
      <c r="T5058" t="s">
        <v>13610</v>
      </c>
      <c r="U5058" t="s">
        <v>13610</v>
      </c>
      <c r="V5058" t="s">
        <v>13610</v>
      </c>
      <c r="W5058" t="s">
        <v>18605</v>
      </c>
      <c r="X5058">
        <v>3</v>
      </c>
      <c r="Y5058" t="s">
        <v>25175</v>
      </c>
      <c r="Z5058" t="s">
        <v>31913</v>
      </c>
      <c r="AA5058">
        <v>0.55501683347316522</v>
      </c>
      <c r="AB5058" t="str">
        <f>HYPERLINK("Melting_Curves/meltCurve_Q96DT5_DNAH11.pdf", "Melting_Curves/meltCurve_Q96DT5_DNAH11.pdf")</f>
        <v>Melting_Curves/meltCurve_Q96DT5_DNAH11.pdf</v>
      </c>
    </row>
    <row r="5059" spans="1:28" x14ac:dyDescent="0.25">
      <c r="A5059" t="s">
        <v>5063</v>
      </c>
      <c r="B5059">
        <v>0.995954080203443</v>
      </c>
      <c r="C5059">
        <v>1.13920686796534</v>
      </c>
      <c r="D5059">
        <v>1.1130451583124199</v>
      </c>
      <c r="E5059">
        <v>0.831475279977406</v>
      </c>
      <c r="F5059">
        <v>0.375293915795962</v>
      </c>
      <c r="G5059">
        <v>0.178982323352294</v>
      </c>
      <c r="H5059">
        <v>7.6333822421907394E-2</v>
      </c>
      <c r="I5059">
        <v>3.2780447844318397E-2</v>
      </c>
      <c r="J5059">
        <v>2.1013604657555099E-2</v>
      </c>
      <c r="K5059">
        <v>3.3884617526967899E-2</v>
      </c>
      <c r="L5059">
        <v>1786.15423878877</v>
      </c>
      <c r="M5059">
        <v>34.241722272867001</v>
      </c>
      <c r="N5059">
        <v>52.335624143866497</v>
      </c>
      <c r="O5059">
        <v>51.9861488749467</v>
      </c>
      <c r="P5059">
        <v>-0.15588064427291901</v>
      </c>
      <c r="Q5059">
        <v>5.3365065463876003E-2</v>
      </c>
      <c r="R5059">
        <v>0.97932071287743205</v>
      </c>
      <c r="S5059" t="s">
        <v>11865</v>
      </c>
      <c r="T5059" t="s">
        <v>13610</v>
      </c>
      <c r="U5059" t="s">
        <v>13610</v>
      </c>
      <c r="V5059" t="s">
        <v>13610</v>
      </c>
      <c r="W5059" t="s">
        <v>18606</v>
      </c>
      <c r="X5059">
        <v>6</v>
      </c>
      <c r="Y5059" t="s">
        <v>25176</v>
      </c>
      <c r="Z5059" t="s">
        <v>31914</v>
      </c>
      <c r="AA5059">
        <v>0.44182529738339238</v>
      </c>
      <c r="AB5059" t="str">
        <f>HYPERLINK("Melting_Curves/meltCurve_Q96DT6_ATG4C.pdf", "Melting_Curves/meltCurve_Q96DT6_ATG4C.pdf")</f>
        <v>Melting_Curves/meltCurve_Q96DT6_ATG4C.pdf</v>
      </c>
    </row>
    <row r="5060" spans="1:28" x14ac:dyDescent="0.25">
      <c r="A5060" t="s">
        <v>5064</v>
      </c>
      <c r="B5060">
        <v>0.995954080203443</v>
      </c>
      <c r="C5060">
        <v>1.0048384142261799</v>
      </c>
      <c r="D5060">
        <v>0.84681907849386495</v>
      </c>
      <c r="E5060">
        <v>0.81170157339988502</v>
      </c>
      <c r="F5060">
        <v>0.57720443180501702</v>
      </c>
      <c r="G5060">
        <v>0.429436170625979</v>
      </c>
      <c r="H5060">
        <v>0.36278505911582498</v>
      </c>
      <c r="I5060">
        <v>0.39952494984460901</v>
      </c>
      <c r="J5060">
        <v>0.412301023373215</v>
      </c>
      <c r="K5060">
        <v>0.41364041529941298</v>
      </c>
      <c r="L5060">
        <v>983.75914672669603</v>
      </c>
      <c r="M5060">
        <v>19.263219153068899</v>
      </c>
      <c r="N5060">
        <v>55.201867092294499</v>
      </c>
      <c r="O5060">
        <v>50.528487479511803</v>
      </c>
      <c r="P5060">
        <v>-5.8923640763882103E-2</v>
      </c>
      <c r="Q5060">
        <v>0.38178351246658598</v>
      </c>
      <c r="R5060">
        <v>0.97476054268551704</v>
      </c>
      <c r="S5060" t="s">
        <v>11866</v>
      </c>
      <c r="T5060" t="s">
        <v>13610</v>
      </c>
      <c r="U5060" t="s">
        <v>13610</v>
      </c>
      <c r="V5060" t="s">
        <v>13610</v>
      </c>
      <c r="W5060" t="s">
        <v>18607</v>
      </c>
      <c r="X5060">
        <v>6</v>
      </c>
      <c r="Y5060" t="s">
        <v>25177</v>
      </c>
      <c r="Z5060" t="s">
        <v>31915</v>
      </c>
      <c r="AA5060">
        <v>0.61909005214959678</v>
      </c>
      <c r="AB5060" t="str">
        <f>HYPERLINK("Melting_Curves/meltCurve_Q96DT7_ZBTB10.pdf", "Melting_Curves/meltCurve_Q96DT7_ZBTB10.pdf")</f>
        <v>Melting_Curves/meltCurve_Q96DT7_ZBTB10.pdf</v>
      </c>
    </row>
    <row r="5061" spans="1:28" x14ac:dyDescent="0.25">
      <c r="A5061" t="s">
        <v>5065</v>
      </c>
      <c r="B5061">
        <v>0.995954080203443</v>
      </c>
      <c r="C5061">
        <v>1.0494434000621999</v>
      </c>
      <c r="D5061">
        <v>1.0277199682218601</v>
      </c>
      <c r="E5061">
        <v>0.89572021580247996</v>
      </c>
      <c r="F5061">
        <v>0.99106398729454004</v>
      </c>
      <c r="G5061">
        <v>0.70780569181673902</v>
      </c>
      <c r="H5061">
        <v>0.68414058106946196</v>
      </c>
      <c r="I5061">
        <v>0.93050590293679902</v>
      </c>
      <c r="J5061">
        <v>1.08085998899769</v>
      </c>
      <c r="K5061">
        <v>1.1538628798586601</v>
      </c>
      <c r="L5061">
        <v>15000</v>
      </c>
      <c r="M5061">
        <v>223.98243248753101</v>
      </c>
      <c r="O5061">
        <v>66.964185412458605</v>
      </c>
      <c r="P5061">
        <v>0.12867035717837899</v>
      </c>
      <c r="Q5061">
        <v>1.1538746997854199</v>
      </c>
      <c r="R5061">
        <v>3.2646443591201897E-2</v>
      </c>
      <c r="S5061" t="s">
        <v>11867</v>
      </c>
      <c r="T5061" t="s">
        <v>13610</v>
      </c>
      <c r="U5061" t="s">
        <v>13610</v>
      </c>
      <c r="V5061" t="s">
        <v>13610</v>
      </c>
      <c r="W5061" t="s">
        <v>18608</v>
      </c>
      <c r="X5061">
        <v>7</v>
      </c>
      <c r="Y5061" t="s">
        <v>25178</v>
      </c>
      <c r="Z5061" t="s">
        <v>31916</v>
      </c>
      <c r="AA5061">
        <v>1.015521287208504</v>
      </c>
      <c r="AB5061" t="str">
        <f>HYPERLINK("Melting_Curves/meltCurve_Q96DU7_ITPKC.pdf", "Melting_Curves/meltCurve_Q96DU7_ITPKC.pdf")</f>
        <v>Melting_Curves/meltCurve_Q96DU7_ITPKC.pdf</v>
      </c>
    </row>
    <row r="5062" spans="1:28" x14ac:dyDescent="0.25">
      <c r="A5062" t="s">
        <v>5066</v>
      </c>
      <c r="B5062">
        <v>0.995954080203443</v>
      </c>
      <c r="C5062">
        <v>1.1935286559409599</v>
      </c>
      <c r="D5062">
        <v>1.11169757783587</v>
      </c>
      <c r="E5062">
        <v>0.999518810222355</v>
      </c>
      <c r="F5062">
        <v>1.0482368537875799</v>
      </c>
      <c r="G5062">
        <v>0.88819516734326298</v>
      </c>
      <c r="H5062">
        <v>0.50787375878545105</v>
      </c>
      <c r="I5062">
        <v>0.33083296270618201</v>
      </c>
      <c r="J5062">
        <v>0</v>
      </c>
      <c r="K5062">
        <v>0.104277471880481</v>
      </c>
      <c r="L5062">
        <v>1685.62578178067</v>
      </c>
      <c r="M5062">
        <v>27.5103988682751</v>
      </c>
      <c r="N5062">
        <v>61.366722159910204</v>
      </c>
      <c r="O5062">
        <v>60.951292170101098</v>
      </c>
      <c r="P5062">
        <v>-0.110500654420226</v>
      </c>
      <c r="Q5062">
        <v>2.0719931057779799E-2</v>
      </c>
      <c r="R5062">
        <v>0.95744333567904105</v>
      </c>
      <c r="S5062" t="s">
        <v>11868</v>
      </c>
      <c r="T5062" t="s">
        <v>13610</v>
      </c>
      <c r="U5062" t="s">
        <v>13610</v>
      </c>
      <c r="V5062" t="s">
        <v>13610</v>
      </c>
      <c r="W5062" t="s">
        <v>18609</v>
      </c>
      <c r="X5062">
        <v>3</v>
      </c>
      <c r="Y5062" t="s">
        <v>25179</v>
      </c>
      <c r="Z5062" t="s">
        <v>31917</v>
      </c>
      <c r="AA5062">
        <v>0.72064914888283904</v>
      </c>
      <c r="AB5062" t="str">
        <f>HYPERLINK("Melting_Curves/meltCurve_Q96DX4_RSPRY1.pdf", "Melting_Curves/meltCurve_Q96DX4_RSPRY1.pdf")</f>
        <v>Melting_Curves/meltCurve_Q96DX4_RSPRY1.pdf</v>
      </c>
    </row>
    <row r="5063" spans="1:28" x14ac:dyDescent="0.25">
      <c r="A5063" t="s">
        <v>5067</v>
      </c>
      <c r="B5063">
        <v>0.995954080203443</v>
      </c>
      <c r="C5063">
        <v>0.95093301521680895</v>
      </c>
      <c r="D5063">
        <v>0.87756824542195899</v>
      </c>
      <c r="E5063">
        <v>0.78456117075791798</v>
      </c>
      <c r="F5063">
        <v>0.67321321634530895</v>
      </c>
      <c r="G5063">
        <v>0.50064453322940905</v>
      </c>
      <c r="H5063">
        <v>0.43934226824328398</v>
      </c>
      <c r="I5063">
        <v>0.50825637436627302</v>
      </c>
      <c r="J5063">
        <v>0.60473286381524305</v>
      </c>
      <c r="K5063">
        <v>0.54464800510729605</v>
      </c>
      <c r="L5063">
        <v>890.47672984507801</v>
      </c>
      <c r="M5063">
        <v>17.820542734551399</v>
      </c>
      <c r="O5063">
        <v>49.352619056302103</v>
      </c>
      <c r="P5063">
        <v>-4.4189095355351898E-2</v>
      </c>
      <c r="Q5063">
        <v>0.51051189560134003</v>
      </c>
      <c r="R5063">
        <v>0.93314379891203802</v>
      </c>
      <c r="S5063" t="s">
        <v>11869</v>
      </c>
      <c r="T5063" t="s">
        <v>13610</v>
      </c>
      <c r="U5063" t="s">
        <v>13610</v>
      </c>
      <c r="V5063" t="s">
        <v>13610</v>
      </c>
      <c r="W5063" t="s">
        <v>18610</v>
      </c>
      <c r="X5063">
        <v>4</v>
      </c>
      <c r="Y5063" t="s">
        <v>25180</v>
      </c>
      <c r="Z5063" t="s">
        <v>31918</v>
      </c>
      <c r="AA5063">
        <v>0.68168195677966203</v>
      </c>
      <c r="AB5063" t="str">
        <f>HYPERLINK("Melting_Curves/meltCurve_Q96DX7_TRIM44.pdf", "Melting_Curves/meltCurve_Q96DX7_TRIM44.pdf")</f>
        <v>Melting_Curves/meltCurve_Q96DX7_TRIM44.pdf</v>
      </c>
    </row>
    <row r="5064" spans="1:28" x14ac:dyDescent="0.25">
      <c r="A5064" t="s">
        <v>5068</v>
      </c>
      <c r="B5064">
        <v>0.995954080203443</v>
      </c>
      <c r="C5064">
        <v>0.85535336459307298</v>
      </c>
      <c r="D5064">
        <v>0.71710886931138196</v>
      </c>
      <c r="E5064">
        <v>0.74208663690404797</v>
      </c>
      <c r="F5064">
        <v>0.40861319437344601</v>
      </c>
      <c r="G5064">
        <v>0.229755532988003</v>
      </c>
      <c r="H5064">
        <v>0.10985862804613999</v>
      </c>
      <c r="I5064">
        <v>7.5604059816220606E-2</v>
      </c>
      <c r="J5064">
        <v>8.6120894975666301E-2</v>
      </c>
      <c r="K5064">
        <v>7.5024786043145206E-2</v>
      </c>
      <c r="L5064">
        <v>594.28694151766194</v>
      </c>
      <c r="M5064">
        <v>11.4815077967608</v>
      </c>
      <c r="N5064">
        <v>51.7603505096452</v>
      </c>
      <c r="O5064">
        <v>50.264850162104402</v>
      </c>
      <c r="P5064">
        <v>-5.7121384953719399E-2</v>
      </c>
      <c r="Q5064">
        <v>0</v>
      </c>
      <c r="R5064">
        <v>0.96855307278561498</v>
      </c>
      <c r="S5064" t="s">
        <v>11870</v>
      </c>
      <c r="T5064" t="s">
        <v>13610</v>
      </c>
      <c r="U5064" t="s">
        <v>13610</v>
      </c>
      <c r="V5064" t="s">
        <v>13610</v>
      </c>
      <c r="W5064" t="s">
        <v>18611</v>
      </c>
      <c r="X5064">
        <v>1</v>
      </c>
      <c r="Y5064" t="s">
        <v>25181</v>
      </c>
      <c r="Z5064" t="s">
        <v>31919</v>
      </c>
      <c r="AA5064">
        <v>0.42493648797126049</v>
      </c>
      <c r="AB5064" t="str">
        <f>HYPERLINK("Melting_Curves/meltCurve_Q96DZ1_2_ERLEC1.pdf", "Melting_Curves/meltCurve_Q96DZ1_2_ERLEC1.pdf")</f>
        <v>Melting_Curves/meltCurve_Q96DZ1_2_ERLEC1.pdf</v>
      </c>
    </row>
    <row r="5065" spans="1:28" x14ac:dyDescent="0.25">
      <c r="A5065" t="s">
        <v>5069</v>
      </c>
      <c r="B5065">
        <v>0.995954080203443</v>
      </c>
      <c r="C5065">
        <v>0.97510411456486801</v>
      </c>
      <c r="D5065">
        <v>1.0147216224668201</v>
      </c>
      <c r="E5065">
        <v>0.88007384214944195</v>
      </c>
      <c r="F5065">
        <v>0.85929988545825697</v>
      </c>
      <c r="G5065">
        <v>0.67742203650285404</v>
      </c>
      <c r="H5065">
        <v>0.61990125820716002</v>
      </c>
      <c r="I5065">
        <v>0.79638754390184197</v>
      </c>
      <c r="J5065">
        <v>0.84137084647984195</v>
      </c>
      <c r="K5065">
        <v>0.90352322183914402</v>
      </c>
      <c r="L5065">
        <v>1691.06890750104</v>
      </c>
      <c r="M5065">
        <v>33.574414640093302</v>
      </c>
      <c r="O5065">
        <v>50.190088509621603</v>
      </c>
      <c r="P5065">
        <v>-3.78253124472437E-2</v>
      </c>
      <c r="Q5065">
        <v>0.77382199481909697</v>
      </c>
      <c r="R5065">
        <v>0.608454641477294</v>
      </c>
      <c r="S5065" t="s">
        <v>11871</v>
      </c>
      <c r="T5065" t="s">
        <v>13610</v>
      </c>
      <c r="U5065" t="s">
        <v>13610</v>
      </c>
      <c r="V5065" t="s">
        <v>13610</v>
      </c>
      <c r="W5065" t="s">
        <v>18612</v>
      </c>
      <c r="X5065">
        <v>8</v>
      </c>
      <c r="Y5065" t="s">
        <v>25182</v>
      </c>
      <c r="Z5065" t="s">
        <v>31920</v>
      </c>
      <c r="AA5065">
        <v>0.85310892692383589</v>
      </c>
      <c r="AB5065" t="str">
        <f>HYPERLINK("Melting_Curves/meltCurve_Q96E09_FAM122A.pdf", "Melting_Curves/meltCurve_Q96E09_FAM122A.pdf")</f>
        <v>Melting_Curves/meltCurve_Q96E09_FAM122A.pdf</v>
      </c>
    </row>
    <row r="5066" spans="1:28" x14ac:dyDescent="0.25">
      <c r="A5066" t="s">
        <v>5070</v>
      </c>
      <c r="B5066">
        <v>0.995954080203443</v>
      </c>
      <c r="C5066">
        <v>0.96067359501471605</v>
      </c>
      <c r="D5066">
        <v>1.2175218599008599</v>
      </c>
      <c r="E5066">
        <v>0.75510855085228601</v>
      </c>
      <c r="F5066">
        <v>0.59199822154334003</v>
      </c>
      <c r="G5066">
        <v>0.33976422288199598</v>
      </c>
      <c r="H5066">
        <v>0.235219900178647</v>
      </c>
      <c r="I5066">
        <v>0.22754415436695499</v>
      </c>
      <c r="J5066">
        <v>0.24636818517224701</v>
      </c>
      <c r="K5066">
        <v>0.248067917108138</v>
      </c>
      <c r="L5066">
        <v>1374.0331542835499</v>
      </c>
      <c r="M5066">
        <v>26.205542634574901</v>
      </c>
      <c r="N5066">
        <v>53.753890651726202</v>
      </c>
      <c r="O5066">
        <v>52.130448579936498</v>
      </c>
      <c r="P5066">
        <v>-9.5838936710162401E-2</v>
      </c>
      <c r="Q5066">
        <v>0.23740241033214901</v>
      </c>
      <c r="R5066">
        <v>0.94880463217269295</v>
      </c>
      <c r="S5066" t="s">
        <v>11872</v>
      </c>
      <c r="T5066" t="s">
        <v>13610</v>
      </c>
      <c r="U5066" t="s">
        <v>13610</v>
      </c>
      <c r="V5066" t="s">
        <v>13610</v>
      </c>
      <c r="W5066" t="s">
        <v>18613</v>
      </c>
      <c r="X5066">
        <v>7</v>
      </c>
      <c r="Y5066" t="s">
        <v>25183</v>
      </c>
      <c r="Z5066" t="s">
        <v>31921</v>
      </c>
      <c r="AA5066">
        <v>0.55983286839429602</v>
      </c>
      <c r="AB5066" t="str">
        <f>HYPERLINK("Melting_Curves/meltCurve_Q96E11_8_MRRF.pdf", "Melting_Curves/meltCurve_Q96E11_8_MRRF.pdf")</f>
        <v>Melting_Curves/meltCurve_Q96E11_8_MRRF.pdf</v>
      </c>
    </row>
    <row r="5067" spans="1:28" x14ac:dyDescent="0.25">
      <c r="A5067" t="s">
        <v>5071</v>
      </c>
      <c r="B5067">
        <v>0.995954080203443</v>
      </c>
      <c r="C5067">
        <v>0.89395929290196396</v>
      </c>
      <c r="D5067">
        <v>0.91623120985976603</v>
      </c>
      <c r="E5067">
        <v>0.57110469358952798</v>
      </c>
      <c r="F5067">
        <v>0.50523452974789396</v>
      </c>
      <c r="G5067">
        <v>0.29937818329515098</v>
      </c>
      <c r="H5067">
        <v>0.22893203542381699</v>
      </c>
      <c r="I5067">
        <v>0.20413552645270899</v>
      </c>
      <c r="J5067">
        <v>0.212665428197852</v>
      </c>
      <c r="K5067">
        <v>0.20253580452667599</v>
      </c>
      <c r="L5067">
        <v>768.942298956228</v>
      </c>
      <c r="M5067">
        <v>15.1900897232661</v>
      </c>
      <c r="N5067">
        <v>52.1875783001638</v>
      </c>
      <c r="O5067">
        <v>49.768302052271103</v>
      </c>
      <c r="P5067">
        <v>-6.2342151162730799E-2</v>
      </c>
      <c r="Q5067">
        <v>0.183055603892612</v>
      </c>
      <c r="R5067">
        <v>0.98592743542342898</v>
      </c>
      <c r="S5067" t="s">
        <v>11873</v>
      </c>
      <c r="T5067" t="s">
        <v>13610</v>
      </c>
      <c r="U5067" t="s">
        <v>13610</v>
      </c>
      <c r="V5067" t="s">
        <v>13610</v>
      </c>
      <c r="W5067" t="s">
        <v>18614</v>
      </c>
      <c r="X5067">
        <v>5</v>
      </c>
      <c r="Y5067" t="s">
        <v>25184</v>
      </c>
      <c r="Z5067" t="s">
        <v>31922</v>
      </c>
      <c r="AA5067">
        <v>0.49098542116676458</v>
      </c>
      <c r="AB5067" t="str">
        <f>HYPERLINK("Melting_Curves/meltCurve_Q96E14_RMI2.pdf", "Melting_Curves/meltCurve_Q96E14_RMI2.pdf")</f>
        <v>Melting_Curves/meltCurve_Q96E14_RMI2.pdf</v>
      </c>
    </row>
    <row r="5068" spans="1:28" x14ac:dyDescent="0.25">
      <c r="A5068" t="s">
        <v>5072</v>
      </c>
      <c r="B5068">
        <v>0.995954080203443</v>
      </c>
      <c r="C5068">
        <v>1.0469892072582301</v>
      </c>
      <c r="D5068">
        <v>1.09698804278505</v>
      </c>
      <c r="E5068">
        <v>0.89802209969304903</v>
      </c>
      <c r="F5068">
        <v>0.85539157326539705</v>
      </c>
      <c r="G5068">
        <v>0.56124753010708095</v>
      </c>
      <c r="H5068">
        <v>0.43783075248917902</v>
      </c>
      <c r="I5068">
        <v>0.42545526292095198</v>
      </c>
      <c r="J5068">
        <v>0.50559372689154303</v>
      </c>
      <c r="K5068">
        <v>0.50969431704956303</v>
      </c>
      <c r="L5068">
        <v>1739.67257768839</v>
      </c>
      <c r="M5068">
        <v>32.044384505644501</v>
      </c>
      <c r="N5068">
        <v>59.238857366146199</v>
      </c>
      <c r="O5068">
        <v>54.079351445139302</v>
      </c>
      <c r="P5068">
        <v>-7.9160409208865204E-2</v>
      </c>
      <c r="Q5068">
        <v>0.46562593869910401</v>
      </c>
      <c r="R5068">
        <v>0.96243373410327804</v>
      </c>
      <c r="S5068" t="s">
        <v>11874</v>
      </c>
      <c r="T5068" t="s">
        <v>13610</v>
      </c>
      <c r="U5068" t="s">
        <v>13610</v>
      </c>
      <c r="V5068" t="s">
        <v>13610</v>
      </c>
      <c r="W5068" t="s">
        <v>18615</v>
      </c>
      <c r="X5068">
        <v>20</v>
      </c>
      <c r="Y5068" t="s">
        <v>25185</v>
      </c>
      <c r="Z5068" t="s">
        <v>31923</v>
      </c>
      <c r="AA5068">
        <v>0.72325684564562465</v>
      </c>
      <c r="AB5068" t="str">
        <f>HYPERLINK("Melting_Curves/meltCurve_Q96E39_RBMXL1.pdf", "Melting_Curves/meltCurve_Q96E39_RBMXL1.pdf")</f>
        <v>Melting_Curves/meltCurve_Q96E39_RBMXL1.pdf</v>
      </c>
    </row>
    <row r="5069" spans="1:28" x14ac:dyDescent="0.25">
      <c r="A5069" t="s">
        <v>5073</v>
      </c>
      <c r="B5069">
        <v>0.995954080203443</v>
      </c>
      <c r="C5069">
        <v>1.03079128939641</v>
      </c>
      <c r="D5069">
        <v>0.85994923998488304</v>
      </c>
      <c r="E5069">
        <v>0.56416536280163798</v>
      </c>
      <c r="F5069">
        <v>0.268833892178787</v>
      </c>
      <c r="G5069">
        <v>0.153871387834632</v>
      </c>
      <c r="H5069">
        <v>0.103908244290871</v>
      </c>
      <c r="I5069">
        <v>0.10947501684048799</v>
      </c>
      <c r="J5069">
        <v>0.12733997338855299</v>
      </c>
      <c r="K5069">
        <v>0.117469250065384</v>
      </c>
      <c r="L5069">
        <v>1192.02085164456</v>
      </c>
      <c r="M5069">
        <v>23.893946014957599</v>
      </c>
      <c r="N5069">
        <v>50.407097284771098</v>
      </c>
      <c r="O5069">
        <v>49.542487404822097</v>
      </c>
      <c r="P5069">
        <v>-0.107424631427116</v>
      </c>
      <c r="Q5069">
        <v>0.109063397470546</v>
      </c>
      <c r="R5069">
        <v>0.99640874403451896</v>
      </c>
      <c r="S5069" t="s">
        <v>11875</v>
      </c>
      <c r="T5069" t="s">
        <v>13610</v>
      </c>
      <c r="U5069" t="s">
        <v>13610</v>
      </c>
      <c r="V5069" t="s">
        <v>13610</v>
      </c>
      <c r="W5069" t="s">
        <v>18616</v>
      </c>
      <c r="X5069">
        <v>15</v>
      </c>
      <c r="Y5069" t="s">
        <v>25186</v>
      </c>
      <c r="Z5069" t="s">
        <v>31924</v>
      </c>
      <c r="AA5069">
        <v>0.41142821032221849</v>
      </c>
      <c r="AB5069" t="str">
        <f>HYPERLINK("Melting_Curves/meltCurve_Q96EA4_SPDL1.pdf", "Melting_Curves/meltCurve_Q96EA4_SPDL1.pdf")</f>
        <v>Melting_Curves/meltCurve_Q96EA4_SPDL1.pdf</v>
      </c>
    </row>
    <row r="5070" spans="1:28" x14ac:dyDescent="0.25">
      <c r="A5070" t="s">
        <v>5074</v>
      </c>
      <c r="B5070">
        <v>0.995954080203443</v>
      </c>
      <c r="C5070">
        <v>0.86326418580130804</v>
      </c>
      <c r="D5070">
        <v>0.758768493581371</v>
      </c>
      <c r="E5070">
        <v>0.84302068180650702</v>
      </c>
      <c r="F5070">
        <v>0.61911357657686705</v>
      </c>
      <c r="G5070">
        <v>0.44268391001958302</v>
      </c>
      <c r="H5070">
        <v>0.27889255344111702</v>
      </c>
      <c r="I5070">
        <v>0.24227903666581899</v>
      </c>
      <c r="J5070">
        <v>0.161511568517541</v>
      </c>
      <c r="K5070">
        <v>0.157051040347464</v>
      </c>
      <c r="L5070">
        <v>488.41764060119101</v>
      </c>
      <c r="M5070">
        <v>8.7824668167456004</v>
      </c>
      <c r="N5070">
        <v>55.612807967257901</v>
      </c>
      <c r="O5070">
        <v>52.955617995462397</v>
      </c>
      <c r="P5070">
        <v>-4.1494493864262197E-2</v>
      </c>
      <c r="Q5070">
        <v>0</v>
      </c>
      <c r="R5070">
        <v>0.96557060367185898</v>
      </c>
      <c r="S5070" t="s">
        <v>11876</v>
      </c>
      <c r="T5070" t="s">
        <v>13610</v>
      </c>
      <c r="U5070" t="s">
        <v>13610</v>
      </c>
      <c r="V5070" t="s">
        <v>13610</v>
      </c>
      <c r="W5070" t="s">
        <v>13805</v>
      </c>
      <c r="X5070">
        <v>19</v>
      </c>
      <c r="Y5070" t="s">
        <v>20528</v>
      </c>
      <c r="Z5070" t="s">
        <v>31925</v>
      </c>
      <c r="AA5070">
        <v>0.54353313357522348</v>
      </c>
      <c r="AB5070" t="str">
        <f>HYPERLINK("Melting_Curves/meltCurve_Q96EB1_ELP4.pdf", "Melting_Curves/meltCurve_Q96EB1_ELP4.pdf")</f>
        <v>Melting_Curves/meltCurve_Q96EB1_ELP4.pdf</v>
      </c>
    </row>
    <row r="5071" spans="1:28" x14ac:dyDescent="0.25">
      <c r="A5071" t="s">
        <v>5075</v>
      </c>
      <c r="B5071">
        <v>0.995954080203443</v>
      </c>
      <c r="C5071">
        <v>0.88883796036086904</v>
      </c>
      <c r="D5071">
        <v>0.85737589095301603</v>
      </c>
      <c r="E5071">
        <v>0.634443031488234</v>
      </c>
      <c r="F5071">
        <v>0.39869629236611498</v>
      </c>
      <c r="G5071">
        <v>0.26304758699310099</v>
      </c>
      <c r="H5071">
        <v>0.21051198029427401</v>
      </c>
      <c r="I5071">
        <v>0.22600472674451499</v>
      </c>
      <c r="J5071">
        <v>0.25192674821368299</v>
      </c>
      <c r="K5071">
        <v>0.25647469552959801</v>
      </c>
      <c r="L5071">
        <v>905.14706393651602</v>
      </c>
      <c r="M5071">
        <v>18.170568262663799</v>
      </c>
      <c r="N5071">
        <v>51.438449679582497</v>
      </c>
      <c r="O5071">
        <v>49.222322684679</v>
      </c>
      <c r="P5071">
        <v>-7.2142527763789002E-2</v>
      </c>
      <c r="Q5071">
        <v>0.218328437470279</v>
      </c>
      <c r="R5071">
        <v>0.98796624576821601</v>
      </c>
      <c r="S5071" t="s">
        <v>11877</v>
      </c>
      <c r="T5071" t="s">
        <v>13610</v>
      </c>
      <c r="U5071" t="s">
        <v>13610</v>
      </c>
      <c r="V5071" t="s">
        <v>13610</v>
      </c>
      <c r="W5071" t="s">
        <v>18617</v>
      </c>
      <c r="X5071">
        <v>21</v>
      </c>
      <c r="Y5071" t="s">
        <v>25187</v>
      </c>
      <c r="Z5071" t="s">
        <v>31926</v>
      </c>
      <c r="AA5071">
        <v>0.48716082763716873</v>
      </c>
      <c r="AB5071" t="str">
        <f>HYPERLINK("Melting_Curves/meltCurve_Q96EB6_SIRT1.pdf", "Melting_Curves/meltCurve_Q96EB6_SIRT1.pdf")</f>
        <v>Melting_Curves/meltCurve_Q96EB6_SIRT1.pdf</v>
      </c>
    </row>
    <row r="5072" spans="1:28" x14ac:dyDescent="0.25">
      <c r="A5072" t="s">
        <v>5076</v>
      </c>
      <c r="B5072">
        <v>0.995954080203443</v>
      </c>
      <c r="C5072">
        <v>0.59197878842110496</v>
      </c>
      <c r="D5072">
        <v>0.70522728377006105</v>
      </c>
      <c r="E5072">
        <v>0.52140928180727497</v>
      </c>
      <c r="F5072">
        <v>0.372756096199445</v>
      </c>
      <c r="G5072">
        <v>0.21697943391770599</v>
      </c>
      <c r="H5072">
        <v>0.159325626591728</v>
      </c>
      <c r="I5072">
        <v>0.180217103754651</v>
      </c>
      <c r="J5072">
        <v>0.17618033021680399</v>
      </c>
      <c r="K5072">
        <v>0.17031141037005501</v>
      </c>
      <c r="L5072">
        <v>447.228824294368</v>
      </c>
      <c r="M5072">
        <v>9.3087445426037192</v>
      </c>
      <c r="N5072">
        <v>49.176232842523603</v>
      </c>
      <c r="O5072">
        <v>45.982985087277697</v>
      </c>
      <c r="P5072">
        <v>-4.5757169687130499E-2</v>
      </c>
      <c r="Q5072">
        <v>9.6459254432625305E-2</v>
      </c>
      <c r="R5072">
        <v>0.91799932856400501</v>
      </c>
      <c r="S5072" t="s">
        <v>11878</v>
      </c>
      <c r="T5072" t="s">
        <v>13610</v>
      </c>
      <c r="U5072" t="s">
        <v>13610</v>
      </c>
      <c r="V5072" t="s">
        <v>13610</v>
      </c>
      <c r="W5072" t="s">
        <v>18618</v>
      </c>
      <c r="X5072">
        <v>7</v>
      </c>
      <c r="Y5072" t="s">
        <v>25188</v>
      </c>
      <c r="Z5072" t="s">
        <v>31927</v>
      </c>
      <c r="AA5072">
        <v>0.39184795647788789</v>
      </c>
      <c r="AB5072" t="str">
        <f>HYPERLINK("Melting_Curves/meltCurve_Q96ED9_2_HOOK2.pdf", "Melting_Curves/meltCurve_Q96ED9_2_HOOK2.pdf")</f>
        <v>Melting_Curves/meltCurve_Q96ED9_2_HOOK2.pdf</v>
      </c>
    </row>
    <row r="5073" spans="1:28" x14ac:dyDescent="0.25">
      <c r="A5073" t="s">
        <v>5077</v>
      </c>
      <c r="B5073">
        <v>0.995954080203443</v>
      </c>
      <c r="C5073">
        <v>0.86752672044518198</v>
      </c>
      <c r="D5073">
        <v>0.73775009231905198</v>
      </c>
      <c r="E5073">
        <v>0.69829426996196997</v>
      </c>
      <c r="F5073">
        <v>0.39582217829967198</v>
      </c>
      <c r="G5073">
        <v>0.20256273688911</v>
      </c>
      <c r="H5073">
        <v>0.110016824914158</v>
      </c>
      <c r="I5073">
        <v>9.2904599220031595E-2</v>
      </c>
      <c r="J5073">
        <v>0.104543295534303</v>
      </c>
      <c r="K5073">
        <v>7.9679813898332397E-2</v>
      </c>
      <c r="L5073">
        <v>621.95710877496504</v>
      </c>
      <c r="M5073">
        <v>12.130726461451401</v>
      </c>
      <c r="N5073">
        <v>51.451038115214203</v>
      </c>
      <c r="O5073">
        <v>49.937564406253102</v>
      </c>
      <c r="P5073">
        <v>-5.9482753698349398E-2</v>
      </c>
      <c r="Q5073">
        <v>2.07553157885834E-2</v>
      </c>
      <c r="R5073">
        <v>0.97867330431940502</v>
      </c>
      <c r="S5073" t="s">
        <v>11879</v>
      </c>
      <c r="T5073" t="s">
        <v>13610</v>
      </c>
      <c r="U5073" t="s">
        <v>13610</v>
      </c>
      <c r="V5073" t="s">
        <v>13610</v>
      </c>
      <c r="W5073" t="s">
        <v>18619</v>
      </c>
      <c r="X5073">
        <v>10</v>
      </c>
      <c r="Y5073" t="s">
        <v>25189</v>
      </c>
      <c r="Z5073" t="s">
        <v>31928</v>
      </c>
      <c r="AA5073">
        <v>0.41960158017104848</v>
      </c>
      <c r="AB5073" t="str">
        <f>HYPERLINK("Melting_Curves/meltCurve_Q96EE3_SEH1L.pdf", "Melting_Curves/meltCurve_Q96EE3_SEH1L.pdf")</f>
        <v>Melting_Curves/meltCurve_Q96EE3_SEH1L.pdf</v>
      </c>
    </row>
    <row r="5074" spans="1:28" x14ac:dyDescent="0.25">
      <c r="A5074" t="s">
        <v>5078</v>
      </c>
      <c r="B5074">
        <v>0.995954080203443</v>
      </c>
      <c r="C5074">
        <v>0.89071268537012005</v>
      </c>
      <c r="D5074">
        <v>0.88576920285993399</v>
      </c>
      <c r="E5074">
        <v>0.80246099296476103</v>
      </c>
      <c r="F5074">
        <v>0.59289094374934603</v>
      </c>
      <c r="G5074">
        <v>0.392130209391718</v>
      </c>
      <c r="H5074">
        <v>0.272030006233204</v>
      </c>
      <c r="I5074">
        <v>0.241649264911762</v>
      </c>
      <c r="J5074">
        <v>0.25793027071396701</v>
      </c>
      <c r="K5074">
        <v>0.23473342526734101</v>
      </c>
      <c r="L5074">
        <v>758.985752246169</v>
      </c>
      <c r="M5074">
        <v>14.357856499545701</v>
      </c>
      <c r="N5074">
        <v>54.762349502212899</v>
      </c>
      <c r="O5074">
        <v>51.868323560774002</v>
      </c>
      <c r="P5074">
        <v>-5.5632520850953597E-2</v>
      </c>
      <c r="Q5074">
        <v>0.19619766565295299</v>
      </c>
      <c r="R5074">
        <v>0.98641561132150501</v>
      </c>
      <c r="S5074" t="s">
        <v>11880</v>
      </c>
      <c r="T5074" t="s">
        <v>13610</v>
      </c>
      <c r="U5074" t="s">
        <v>13610</v>
      </c>
      <c r="V5074" t="s">
        <v>13610</v>
      </c>
      <c r="W5074" t="s">
        <v>18620</v>
      </c>
      <c r="X5074">
        <v>1</v>
      </c>
      <c r="Y5074" t="s">
        <v>25190</v>
      </c>
      <c r="Z5074" t="s">
        <v>31929</v>
      </c>
      <c r="AA5074">
        <v>0.55929918240025922</v>
      </c>
      <c r="AB5074" t="str">
        <f>HYPERLINK("Melting_Curves/meltCurve_Q96EH3_MALSU1.pdf", "Melting_Curves/meltCurve_Q96EH3_MALSU1.pdf")</f>
        <v>Melting_Curves/meltCurve_Q96EH3_MALSU1.pdf</v>
      </c>
    </row>
    <row r="5075" spans="1:28" x14ac:dyDescent="0.25">
      <c r="A5075" t="s">
        <v>5079</v>
      </c>
      <c r="B5075">
        <v>0.995954080203443</v>
      </c>
      <c r="C5075">
        <v>0.98613402705597497</v>
      </c>
      <c r="D5075">
        <v>0.93610732651938999</v>
      </c>
      <c r="E5075">
        <v>0.90747478942093396</v>
      </c>
      <c r="F5075">
        <v>0.63762795792529203</v>
      </c>
      <c r="G5075">
        <v>0.42542667973532799</v>
      </c>
      <c r="H5075">
        <v>0.34148737803984502</v>
      </c>
      <c r="I5075">
        <v>0.33786574442366502</v>
      </c>
      <c r="J5075">
        <v>0.47367364506668103</v>
      </c>
      <c r="K5075">
        <v>0.42699390753856298</v>
      </c>
      <c r="L5075">
        <v>1870.2416453964699</v>
      </c>
      <c r="M5075">
        <v>35.7053700907964</v>
      </c>
      <c r="N5075">
        <v>54.760302007460297</v>
      </c>
      <c r="O5075">
        <v>52.216370879646597</v>
      </c>
      <c r="P5075">
        <v>-0.103578106044678</v>
      </c>
      <c r="Q5075">
        <v>0.394101994097799</v>
      </c>
      <c r="R5075">
        <v>0.97503090706601903</v>
      </c>
      <c r="S5075" t="s">
        <v>11881</v>
      </c>
      <c r="T5075" t="s">
        <v>13610</v>
      </c>
      <c r="U5075" t="s">
        <v>13610</v>
      </c>
      <c r="V5075" t="s">
        <v>13610</v>
      </c>
      <c r="W5075" t="s">
        <v>18621</v>
      </c>
      <c r="X5075">
        <v>4</v>
      </c>
      <c r="Y5075" t="s">
        <v>25191</v>
      </c>
      <c r="Z5075" t="s">
        <v>31930</v>
      </c>
      <c r="AA5075">
        <v>0.64688609774513373</v>
      </c>
      <c r="AB5075" t="str">
        <f>HYPERLINK("Melting_Curves/meltCurve_Q96EK4_THAP11.pdf", "Melting_Curves/meltCurve_Q96EK4_THAP11.pdf")</f>
        <v>Melting_Curves/meltCurve_Q96EK4_THAP11.pdf</v>
      </c>
    </row>
    <row r="5076" spans="1:28" x14ac:dyDescent="0.25">
      <c r="A5076" t="s">
        <v>5080</v>
      </c>
      <c r="B5076">
        <v>0.995954080203443</v>
      </c>
      <c r="C5076">
        <v>0.88990917339451803</v>
      </c>
      <c r="D5076">
        <v>0.51938648545071997</v>
      </c>
      <c r="E5076">
        <v>0.26600833426176601</v>
      </c>
      <c r="F5076">
        <v>0.13510148913953801</v>
      </c>
      <c r="G5076">
        <v>8.7070904830464299E-2</v>
      </c>
      <c r="H5076">
        <v>6.2402559279221698E-2</v>
      </c>
      <c r="I5076">
        <v>6.1910839476118897E-2</v>
      </c>
      <c r="J5076">
        <v>7.1692544449502502E-2</v>
      </c>
      <c r="K5076">
        <v>6.6532412386456199E-2</v>
      </c>
      <c r="L5076">
        <v>989.11799325773904</v>
      </c>
      <c r="M5076">
        <v>21.371839178696199</v>
      </c>
      <c r="N5076">
        <v>46.608063401960898</v>
      </c>
      <c r="O5076">
        <v>45.881880891260202</v>
      </c>
      <c r="P5076">
        <v>-0.10835266905544801</v>
      </c>
      <c r="Q5076">
        <v>6.95606655311264E-2</v>
      </c>
      <c r="R5076">
        <v>0.99493385894691699</v>
      </c>
      <c r="S5076" t="s">
        <v>11882</v>
      </c>
      <c r="T5076" t="s">
        <v>13610</v>
      </c>
      <c r="U5076" t="s">
        <v>13610</v>
      </c>
      <c r="V5076" t="s">
        <v>13610</v>
      </c>
      <c r="W5076" t="s">
        <v>18622</v>
      </c>
      <c r="X5076">
        <v>18</v>
      </c>
      <c r="Y5076" t="s">
        <v>25192</v>
      </c>
      <c r="Z5076" t="s">
        <v>31931</v>
      </c>
      <c r="AA5076">
        <v>0.27651510233675719</v>
      </c>
      <c r="AB5076" t="str">
        <f>HYPERLINK("Melting_Curves/meltCurve_Q96EK5_KIAA1279.pdf", "Melting_Curves/meltCurve_Q96EK5_KIAA1279.pdf")</f>
        <v>Melting_Curves/meltCurve_Q96EK5_KIAA1279.pdf</v>
      </c>
    </row>
    <row r="5077" spans="1:28" x14ac:dyDescent="0.25">
      <c r="A5077" t="s">
        <v>5081</v>
      </c>
      <c r="B5077">
        <v>0.995954080203443</v>
      </c>
      <c r="C5077">
        <v>1.0648476207711</v>
      </c>
      <c r="D5077">
        <v>1.0032016143176501</v>
      </c>
      <c r="E5077">
        <v>0.94619806411965102</v>
      </c>
      <c r="F5077">
        <v>0.87243308846200496</v>
      </c>
      <c r="G5077">
        <v>0.63488144492849496</v>
      </c>
      <c r="H5077">
        <v>0.239519332875233</v>
      </c>
      <c r="I5077">
        <v>0.109613027758435</v>
      </c>
      <c r="J5077">
        <v>9.6874249868582701E-2</v>
      </c>
      <c r="K5077">
        <v>8.6115532111761095E-2</v>
      </c>
      <c r="L5077">
        <v>1410.77429088848</v>
      </c>
      <c r="M5077">
        <v>24.432093218601299</v>
      </c>
      <c r="N5077">
        <v>58.022260340466197</v>
      </c>
      <c r="O5077">
        <v>57.360003253347301</v>
      </c>
      <c r="P5077">
        <v>-0.100573787612387</v>
      </c>
      <c r="Q5077">
        <v>5.5532772188552397E-2</v>
      </c>
      <c r="R5077">
        <v>0.99455670266546903</v>
      </c>
      <c r="S5077" t="s">
        <v>11883</v>
      </c>
      <c r="T5077" t="s">
        <v>13610</v>
      </c>
      <c r="U5077" t="s">
        <v>13610</v>
      </c>
      <c r="V5077" t="s">
        <v>13610</v>
      </c>
      <c r="W5077" t="s">
        <v>18623</v>
      </c>
      <c r="X5077">
        <v>7</v>
      </c>
      <c r="Y5077" t="s">
        <v>25193</v>
      </c>
      <c r="Z5077" t="s">
        <v>31932</v>
      </c>
      <c r="AA5077">
        <v>0.62269236516739868</v>
      </c>
      <c r="AB5077" t="str">
        <f>HYPERLINK("Melting_Curves/meltCurve_Q96EK6_GNPNAT1.pdf", "Melting_Curves/meltCurve_Q96EK6_GNPNAT1.pdf")</f>
        <v>Melting_Curves/meltCurve_Q96EK6_GNPNAT1.pdf</v>
      </c>
    </row>
    <row r="5078" spans="1:28" x14ac:dyDescent="0.25">
      <c r="A5078" t="s">
        <v>5082</v>
      </c>
      <c r="B5078">
        <v>0.995954080203443</v>
      </c>
      <c r="C5078">
        <v>0.62355546539377604</v>
      </c>
      <c r="D5078">
        <v>0.33475714650916499</v>
      </c>
      <c r="E5078">
        <v>0.28011408508736102</v>
      </c>
      <c r="F5078">
        <v>0.21547984062803399</v>
      </c>
      <c r="G5078">
        <v>0.123086136884671</v>
      </c>
      <c r="H5078">
        <v>9.3193856440227096E-2</v>
      </c>
      <c r="I5078">
        <v>0.10353848212410401</v>
      </c>
      <c r="J5078">
        <v>9.7315426821934004E-2</v>
      </c>
      <c r="K5078">
        <v>0.118887105670617</v>
      </c>
      <c r="L5078">
        <v>947.73439788654196</v>
      </c>
      <c r="M5078">
        <v>21.608401690755901</v>
      </c>
      <c r="N5078">
        <v>44.4788334984434</v>
      </c>
      <c r="O5078">
        <v>43.489091489729098</v>
      </c>
      <c r="P5078">
        <v>-0.10808249768238801</v>
      </c>
      <c r="Q5078">
        <v>0.12991333950702</v>
      </c>
      <c r="R5078">
        <v>0.96456656439848698</v>
      </c>
      <c r="S5078" t="s">
        <v>11884</v>
      </c>
      <c r="T5078" t="s">
        <v>13610</v>
      </c>
      <c r="U5078" t="s">
        <v>13610</v>
      </c>
      <c r="V5078" t="s">
        <v>13610</v>
      </c>
      <c r="W5078" t="s">
        <v>18624</v>
      </c>
      <c r="X5078">
        <v>8</v>
      </c>
      <c r="Y5078" t="s">
        <v>25194</v>
      </c>
      <c r="Z5078" t="s">
        <v>31933</v>
      </c>
      <c r="AA5078">
        <v>0.25633670862447461</v>
      </c>
      <c r="AB5078" t="str">
        <f>HYPERLINK("Melting_Curves/meltCurve_Q96EK9_KTI12.pdf", "Melting_Curves/meltCurve_Q96EK9_KTI12.pdf")</f>
        <v>Melting_Curves/meltCurve_Q96EK9_KTI12.pdf</v>
      </c>
    </row>
    <row r="5079" spans="1:28" x14ac:dyDescent="0.25">
      <c r="A5079" t="s">
        <v>5083</v>
      </c>
      <c r="B5079">
        <v>0.995954080203443</v>
      </c>
      <c r="C5079">
        <v>0.90454845841173104</v>
      </c>
      <c r="D5079">
        <v>0.80416846621248295</v>
      </c>
      <c r="E5079">
        <v>0.56809116196559695</v>
      </c>
      <c r="F5079">
        <v>0.32518530247086003</v>
      </c>
      <c r="G5079">
        <v>0.17405521268307</v>
      </c>
      <c r="H5079">
        <v>0.13350511267371501</v>
      </c>
      <c r="I5079">
        <v>0.13650005019375699</v>
      </c>
      <c r="J5079">
        <v>0.17393457243295801</v>
      </c>
      <c r="K5079">
        <v>0.142009331691548</v>
      </c>
      <c r="L5079">
        <v>856.01648456736496</v>
      </c>
      <c r="M5079">
        <v>17.278937668492102</v>
      </c>
      <c r="N5079">
        <v>50.375658224307202</v>
      </c>
      <c r="O5079">
        <v>48.8917368403133</v>
      </c>
      <c r="P5079">
        <v>-7.7360004846922306E-2</v>
      </c>
      <c r="Q5079">
        <v>0.124472256559051</v>
      </c>
      <c r="R5079">
        <v>0.99363620707211997</v>
      </c>
      <c r="S5079" t="s">
        <v>11885</v>
      </c>
      <c r="T5079" t="s">
        <v>13610</v>
      </c>
      <c r="U5079" t="s">
        <v>13610</v>
      </c>
      <c r="V5079" t="s">
        <v>13610</v>
      </c>
      <c r="W5079" t="s">
        <v>18625</v>
      </c>
      <c r="X5079">
        <v>2</v>
      </c>
      <c r="Y5079" t="s">
        <v>25195</v>
      </c>
      <c r="Z5079" t="s">
        <v>31934</v>
      </c>
      <c r="AA5079">
        <v>0.41918224980273372</v>
      </c>
      <c r="AB5079" t="str">
        <f>HYPERLINK("Melting_Curves/meltCurve_Q96EL3_MRPL53.pdf", "Melting_Curves/meltCurve_Q96EL3_MRPL53.pdf")</f>
        <v>Melting_Curves/meltCurve_Q96EL3_MRPL53.pdf</v>
      </c>
    </row>
    <row r="5080" spans="1:28" x14ac:dyDescent="0.25">
      <c r="A5080" t="s">
        <v>5084</v>
      </c>
      <c r="B5080">
        <v>0.995954080203443</v>
      </c>
      <c r="C5080">
        <v>1.0133751059895</v>
      </c>
      <c r="D5080">
        <v>1.0572397129120299</v>
      </c>
      <c r="E5080">
        <v>0.57886682655438704</v>
      </c>
      <c r="F5080">
        <v>0.35039761764517302</v>
      </c>
      <c r="G5080">
        <v>0.14307353796653899</v>
      </c>
      <c r="H5080">
        <v>5.1507697226451897E-2</v>
      </c>
      <c r="I5080">
        <v>4.17375809246033E-2</v>
      </c>
      <c r="J5080">
        <v>3.9844623624925898E-2</v>
      </c>
      <c r="K5080">
        <v>4.2509589262635199E-2</v>
      </c>
      <c r="L5080">
        <v>1284.4153641616699</v>
      </c>
      <c r="M5080">
        <v>25.1692856225295</v>
      </c>
      <c r="N5080">
        <v>51.232864515913299</v>
      </c>
      <c r="O5080">
        <v>50.712193310585299</v>
      </c>
      <c r="P5080">
        <v>-0.11822509960531299</v>
      </c>
      <c r="Q5080">
        <v>4.71918009603427E-2</v>
      </c>
      <c r="R5080">
        <v>0.98838429250567805</v>
      </c>
      <c r="S5080" t="s">
        <v>11886</v>
      </c>
      <c r="T5080" t="s">
        <v>13610</v>
      </c>
      <c r="U5080" t="s">
        <v>13610</v>
      </c>
      <c r="V5080" t="s">
        <v>13610</v>
      </c>
      <c r="W5080" t="s">
        <v>18626</v>
      </c>
      <c r="X5080">
        <v>8</v>
      </c>
      <c r="Y5080" t="s">
        <v>25196</v>
      </c>
      <c r="Z5080" t="s">
        <v>31935</v>
      </c>
      <c r="AA5080">
        <v>0.4060383175608433</v>
      </c>
      <c r="AB5080" t="str">
        <f>HYPERLINK("Melting_Curves/meltCurve_Q96EM0_L3HYPDH.pdf", "Melting_Curves/meltCurve_Q96EM0_L3HYPDH.pdf")</f>
        <v>Melting_Curves/meltCurve_Q96EM0_L3HYPDH.pdf</v>
      </c>
    </row>
    <row r="5081" spans="1:28" x14ac:dyDescent="0.25">
      <c r="A5081" t="s">
        <v>5085</v>
      </c>
      <c r="B5081">
        <v>0.995954080203443</v>
      </c>
      <c r="C5081">
        <v>0.93930405169202902</v>
      </c>
      <c r="D5081">
        <v>0.95183992023723396</v>
      </c>
      <c r="E5081">
        <v>0.92980905603581299</v>
      </c>
      <c r="F5081">
        <v>0.77191627114633499</v>
      </c>
      <c r="G5081">
        <v>0.53370248563159794</v>
      </c>
      <c r="H5081">
        <v>0.27514889453406799</v>
      </c>
      <c r="I5081">
        <v>0.19207084210979</v>
      </c>
      <c r="J5081">
        <v>0.172470770915261</v>
      </c>
      <c r="K5081">
        <v>0.15961855023932001</v>
      </c>
      <c r="L5081">
        <v>1024.5954422611001</v>
      </c>
      <c r="M5081">
        <v>18.208076411936599</v>
      </c>
      <c r="N5081">
        <v>57.143674612667397</v>
      </c>
      <c r="O5081">
        <v>55.6059029106842</v>
      </c>
      <c r="P5081">
        <v>-7.1933975324357399E-2</v>
      </c>
      <c r="Q5081">
        <v>0.121320682124338</v>
      </c>
      <c r="R5081">
        <v>0.99479785166144796</v>
      </c>
      <c r="S5081" t="s">
        <v>11887</v>
      </c>
      <c r="T5081" t="s">
        <v>13610</v>
      </c>
      <c r="U5081" t="s">
        <v>13610</v>
      </c>
      <c r="V5081" t="s">
        <v>13610</v>
      </c>
      <c r="W5081" t="s">
        <v>18627</v>
      </c>
      <c r="X5081">
        <v>10</v>
      </c>
      <c r="Y5081" t="s">
        <v>25197</v>
      </c>
      <c r="Z5081" t="s">
        <v>31936</v>
      </c>
      <c r="AA5081">
        <v>0.61046410135817697</v>
      </c>
      <c r="AB5081" t="str">
        <f>HYPERLINK("Melting_Curves/meltCurve_Q96EN8_MOCOS.pdf", "Melting_Curves/meltCurve_Q96EN8_MOCOS.pdf")</f>
        <v>Melting_Curves/meltCurve_Q96EN8_MOCOS.pdf</v>
      </c>
    </row>
    <row r="5082" spans="1:28" x14ac:dyDescent="0.25">
      <c r="A5082" t="s">
        <v>5086</v>
      </c>
      <c r="B5082">
        <v>0.995954080203443</v>
      </c>
      <c r="C5082">
        <v>0.83427317697681502</v>
      </c>
      <c r="D5082">
        <v>0.66453535125191299</v>
      </c>
      <c r="E5082">
        <v>0.44179235095592501</v>
      </c>
      <c r="F5082">
        <v>0.27911281723591302</v>
      </c>
      <c r="G5082">
        <v>0.15076385916615601</v>
      </c>
      <c r="H5082">
        <v>0.11620875460395701</v>
      </c>
      <c r="I5082">
        <v>0.104080599543747</v>
      </c>
      <c r="J5082">
        <v>0.115707929136142</v>
      </c>
      <c r="K5082">
        <v>9.5490047600613401E-2</v>
      </c>
      <c r="L5082">
        <v>678.17627363612905</v>
      </c>
      <c r="M5082">
        <v>14.1149143995288</v>
      </c>
      <c r="N5082">
        <v>48.661965756631403</v>
      </c>
      <c r="O5082">
        <v>47.113222027210597</v>
      </c>
      <c r="P5082">
        <v>-6.8787342211769298E-2</v>
      </c>
      <c r="Q5082">
        <v>8.1715108739458406E-2</v>
      </c>
      <c r="R5082">
        <v>0.99569578303325101</v>
      </c>
      <c r="S5082" t="s">
        <v>11888</v>
      </c>
      <c r="T5082" t="s">
        <v>13610</v>
      </c>
      <c r="U5082" t="s">
        <v>13610</v>
      </c>
      <c r="V5082" t="s">
        <v>13610</v>
      </c>
      <c r="W5082" t="s">
        <v>18628</v>
      </c>
      <c r="X5082">
        <v>25</v>
      </c>
      <c r="Y5082" t="s">
        <v>25198</v>
      </c>
      <c r="Z5082" t="s">
        <v>31937</v>
      </c>
      <c r="AA5082">
        <v>0.35457120611643739</v>
      </c>
      <c r="AB5082" t="str">
        <f>HYPERLINK("Melting_Curves/meltCurve_Q96EP0_RNF31.pdf", "Melting_Curves/meltCurve_Q96EP0_RNF31.pdf")</f>
        <v>Melting_Curves/meltCurve_Q96EP0_RNF31.pdf</v>
      </c>
    </row>
    <row r="5083" spans="1:28" x14ac:dyDescent="0.25">
      <c r="A5083" t="s">
        <v>5087</v>
      </c>
      <c r="B5083">
        <v>0.995954080203443</v>
      </c>
      <c r="C5083">
        <v>0.96367260398687404</v>
      </c>
      <c r="D5083">
        <v>0.82871167313133598</v>
      </c>
      <c r="E5083">
        <v>0.65310286399814599</v>
      </c>
      <c r="F5083">
        <v>0.43753532951802498</v>
      </c>
      <c r="G5083">
        <v>0.299003826608221</v>
      </c>
      <c r="H5083">
        <v>0.262905875464303</v>
      </c>
      <c r="I5083">
        <v>0.29686157974240901</v>
      </c>
      <c r="J5083">
        <v>0.38528778205599601</v>
      </c>
      <c r="K5083">
        <v>0.347385412685216</v>
      </c>
      <c r="L5083">
        <v>995.658851794307</v>
      </c>
      <c r="M5083">
        <v>20.1883151075386</v>
      </c>
      <c r="N5083">
        <v>51.772361378529197</v>
      </c>
      <c r="O5083">
        <v>48.842333198041203</v>
      </c>
      <c r="P5083">
        <v>-7.1514949927383803E-2</v>
      </c>
      <c r="Q5083">
        <v>0.30794698233958201</v>
      </c>
      <c r="R5083">
        <v>0.97694603474858999</v>
      </c>
      <c r="S5083" t="s">
        <v>11889</v>
      </c>
      <c r="T5083" t="s">
        <v>13610</v>
      </c>
      <c r="U5083" t="s">
        <v>13610</v>
      </c>
      <c r="V5083" t="s">
        <v>13610</v>
      </c>
      <c r="W5083" t="s">
        <v>18629</v>
      </c>
      <c r="X5083">
        <v>20</v>
      </c>
      <c r="Y5083" t="s">
        <v>25199</v>
      </c>
      <c r="Z5083" t="s">
        <v>31938</v>
      </c>
      <c r="AA5083">
        <v>0.53240054851598195</v>
      </c>
      <c r="AB5083" t="str">
        <f>HYPERLINK("Melting_Curves/meltCurve_Q96EP1_2_CHFR.pdf", "Melting_Curves/meltCurve_Q96EP1_2_CHFR.pdf")</f>
        <v>Melting_Curves/meltCurve_Q96EP1_2_CHFR.pdf</v>
      </c>
    </row>
    <row r="5084" spans="1:28" x14ac:dyDescent="0.25">
      <c r="A5084" t="s">
        <v>5088</v>
      </c>
      <c r="B5084">
        <v>0.995954080203443</v>
      </c>
      <c r="C5084">
        <v>0.95452338976080797</v>
      </c>
      <c r="D5084">
        <v>0.88477276193006305</v>
      </c>
      <c r="E5084">
        <v>0.85637178015590398</v>
      </c>
      <c r="F5084">
        <v>0.729627488979395</v>
      </c>
      <c r="G5084">
        <v>0.44388183735000503</v>
      </c>
      <c r="H5084">
        <v>0.26250984718303799</v>
      </c>
      <c r="I5084">
        <v>0.19159346145133399</v>
      </c>
      <c r="J5084">
        <v>0.179143851343847</v>
      </c>
      <c r="K5084">
        <v>0.14961212634481499</v>
      </c>
      <c r="L5084">
        <v>824.162413284433</v>
      </c>
      <c r="M5084">
        <v>14.892043880708499</v>
      </c>
      <c r="N5084">
        <v>56.192083184695697</v>
      </c>
      <c r="O5084">
        <v>54.373286036497397</v>
      </c>
      <c r="P5084">
        <v>-6.1575256594980698E-2</v>
      </c>
      <c r="Q5084">
        <v>0.100808143294792</v>
      </c>
      <c r="R5084">
        <v>0.99195603317163195</v>
      </c>
      <c r="S5084" t="s">
        <v>11890</v>
      </c>
      <c r="T5084" t="s">
        <v>13610</v>
      </c>
      <c r="U5084" t="s">
        <v>13610</v>
      </c>
      <c r="V5084" t="s">
        <v>13610</v>
      </c>
      <c r="W5084" t="s">
        <v>18630</v>
      </c>
      <c r="X5084">
        <v>10</v>
      </c>
      <c r="Y5084" t="s">
        <v>25200</v>
      </c>
      <c r="Z5084" t="s">
        <v>31939</v>
      </c>
      <c r="AA5084">
        <v>0.57768852134602988</v>
      </c>
      <c r="AB5084" t="str">
        <f>HYPERLINK("Melting_Curves/meltCurve_Q96EP5_DAZAP1.pdf", "Melting_Curves/meltCurve_Q96EP5_DAZAP1.pdf")</f>
        <v>Melting_Curves/meltCurve_Q96EP5_DAZAP1.pdf</v>
      </c>
    </row>
    <row r="5085" spans="1:28" x14ac:dyDescent="0.25">
      <c r="A5085" t="s">
        <v>5089</v>
      </c>
      <c r="B5085">
        <v>0.995954080203443</v>
      </c>
      <c r="C5085">
        <v>1.1865535240759599</v>
      </c>
      <c r="D5085">
        <v>1.0685285019342701</v>
      </c>
      <c r="E5085">
        <v>0.98355893797840899</v>
      </c>
      <c r="F5085">
        <v>0.71615082775560801</v>
      </c>
      <c r="G5085">
        <v>0.36056550090661199</v>
      </c>
      <c r="H5085">
        <v>0.216332369231273</v>
      </c>
      <c r="I5085">
        <v>0.18275488351153299</v>
      </c>
      <c r="J5085">
        <v>0.21015608511151199</v>
      </c>
      <c r="K5085">
        <v>0.205025899531491</v>
      </c>
      <c r="L5085">
        <v>1722.0815006186201</v>
      </c>
      <c r="M5085">
        <v>31.760839509671101</v>
      </c>
      <c r="N5085">
        <v>55.099987259264402</v>
      </c>
      <c r="O5085">
        <v>54.006688421047201</v>
      </c>
      <c r="P5085">
        <v>-0.117784100994535</v>
      </c>
      <c r="Q5085">
        <v>0.19887557739483999</v>
      </c>
      <c r="R5085">
        <v>0.97264355993341001</v>
      </c>
      <c r="S5085" t="s">
        <v>11891</v>
      </c>
      <c r="T5085" t="s">
        <v>13610</v>
      </c>
      <c r="U5085" t="s">
        <v>13610</v>
      </c>
      <c r="V5085" t="s">
        <v>13610</v>
      </c>
      <c r="W5085" t="s">
        <v>18631</v>
      </c>
      <c r="X5085">
        <v>5</v>
      </c>
      <c r="Y5085" t="s">
        <v>25201</v>
      </c>
      <c r="Z5085" t="s">
        <v>31940</v>
      </c>
      <c r="AA5085">
        <v>0.58334059188043252</v>
      </c>
      <c r="AB5085" t="str">
        <f>HYPERLINK("Melting_Curves/meltCurve_Q96EQ0_SGTB.pdf", "Melting_Curves/meltCurve_Q96EQ0_SGTB.pdf")</f>
        <v>Melting_Curves/meltCurve_Q96EQ0_SGTB.pdf</v>
      </c>
    </row>
    <row r="5086" spans="1:28" x14ac:dyDescent="0.25">
      <c r="A5086" t="s">
        <v>5090</v>
      </c>
      <c r="B5086">
        <v>0.995954080203443</v>
      </c>
      <c r="C5086">
        <v>1.05343150562685</v>
      </c>
      <c r="D5086">
        <v>1.03119811855174</v>
      </c>
      <c r="E5086">
        <v>0.86814580704765398</v>
      </c>
      <c r="F5086">
        <v>0.52302521646356204</v>
      </c>
      <c r="G5086">
        <v>0.17279865767010499</v>
      </c>
      <c r="H5086">
        <v>8.6850708827613102E-2</v>
      </c>
      <c r="I5086">
        <v>5.9261850900763198E-2</v>
      </c>
      <c r="J5086">
        <v>6.6271628854164599E-2</v>
      </c>
      <c r="K5086">
        <v>6.3935308238136396E-2</v>
      </c>
      <c r="L5086">
        <v>1610.35132105754</v>
      </c>
      <c r="M5086">
        <v>30.399546032193701</v>
      </c>
      <c r="N5086">
        <v>53.215734549451703</v>
      </c>
      <c r="O5086">
        <v>52.745228362611101</v>
      </c>
      <c r="P5086">
        <v>-0.134754984597033</v>
      </c>
      <c r="Q5086">
        <v>6.4770456937587997E-2</v>
      </c>
      <c r="R5086">
        <v>0.99732856210118803</v>
      </c>
      <c r="S5086" t="s">
        <v>11892</v>
      </c>
      <c r="T5086" t="s">
        <v>13610</v>
      </c>
      <c r="U5086" t="s">
        <v>13610</v>
      </c>
      <c r="V5086" t="s">
        <v>13610</v>
      </c>
      <c r="W5086" t="s">
        <v>14537</v>
      </c>
      <c r="X5086">
        <v>13</v>
      </c>
      <c r="Y5086" t="s">
        <v>21252</v>
      </c>
      <c r="Z5086" t="s">
        <v>31941</v>
      </c>
      <c r="AA5086">
        <v>0.47509829541697551</v>
      </c>
      <c r="AB5086" t="str">
        <f>HYPERLINK("Melting_Curves/meltCurve_Q96ER3_SAAL1.pdf", "Melting_Curves/meltCurve_Q96ER3_SAAL1.pdf")</f>
        <v>Melting_Curves/meltCurve_Q96ER3_SAAL1.pdf</v>
      </c>
    </row>
    <row r="5087" spans="1:28" x14ac:dyDescent="0.25">
      <c r="A5087" t="s">
        <v>5091</v>
      </c>
      <c r="B5087">
        <v>0.995954080203443</v>
      </c>
      <c r="C5087">
        <v>1.0161944360890001</v>
      </c>
      <c r="D5087">
        <v>1.04256232498303</v>
      </c>
      <c r="E5087">
        <v>0.852920511780903</v>
      </c>
      <c r="F5087">
        <v>0.59259120971968404</v>
      </c>
      <c r="G5087">
        <v>0.12782206158742301</v>
      </c>
      <c r="H5087">
        <v>7.3540350898861101E-2</v>
      </c>
      <c r="I5087">
        <v>6.1830819131751598E-2</v>
      </c>
      <c r="J5087">
        <v>9.8786737170905595E-2</v>
      </c>
      <c r="K5087">
        <v>6.3369025443581306E-2</v>
      </c>
      <c r="L5087">
        <v>1737.57410628252</v>
      </c>
      <c r="M5087">
        <v>32.649350821149</v>
      </c>
      <c r="N5087">
        <v>53.4447529100309</v>
      </c>
      <c r="O5087">
        <v>53.020793416087102</v>
      </c>
      <c r="P5087">
        <v>-0.14404095654045801</v>
      </c>
      <c r="Q5087">
        <v>6.4345218026936699E-2</v>
      </c>
      <c r="R5087">
        <v>0.99571214012034104</v>
      </c>
      <c r="S5087" t="s">
        <v>11893</v>
      </c>
      <c r="T5087" t="s">
        <v>13610</v>
      </c>
      <c r="U5087" t="s">
        <v>13610</v>
      </c>
      <c r="V5087" t="s">
        <v>13610</v>
      </c>
      <c r="W5087" t="s">
        <v>18632</v>
      </c>
      <c r="X5087">
        <v>8</v>
      </c>
      <c r="Y5087" t="s">
        <v>25202</v>
      </c>
      <c r="Z5087" t="s">
        <v>31942</v>
      </c>
      <c r="AA5087">
        <v>0.48178717367648899</v>
      </c>
      <c r="AB5087" t="str">
        <f>HYPERLINK("Melting_Curves/meltCurve_Q96ES7_CCDC101.pdf", "Melting_Curves/meltCurve_Q96ES7_CCDC101.pdf")</f>
        <v>Melting_Curves/meltCurve_Q96ES7_CCDC101.pdf</v>
      </c>
    </row>
    <row r="5088" spans="1:28" x14ac:dyDescent="0.25">
      <c r="A5088" t="s">
        <v>5092</v>
      </c>
      <c r="B5088">
        <v>0.995954080203443</v>
      </c>
      <c r="C5088">
        <v>0.92619004982909203</v>
      </c>
      <c r="D5088">
        <v>0.90765808500713596</v>
      </c>
      <c r="E5088">
        <v>0.80436815125721295</v>
      </c>
      <c r="F5088">
        <v>0.79016640600496202</v>
      </c>
      <c r="G5088">
        <v>0.57784519915944199</v>
      </c>
      <c r="H5088">
        <v>0.58413649134226497</v>
      </c>
      <c r="I5088">
        <v>0.67371368779771601</v>
      </c>
      <c r="J5088">
        <v>0.761348853956201</v>
      </c>
      <c r="K5088">
        <v>0.78067556233336399</v>
      </c>
      <c r="L5088">
        <v>879.33798251838903</v>
      </c>
      <c r="M5088">
        <v>18.261147479265201</v>
      </c>
      <c r="O5088">
        <v>47.587171967366501</v>
      </c>
      <c r="P5088">
        <v>-3.0498667857022401E-2</v>
      </c>
      <c r="Q5088">
        <v>0.68210591390753195</v>
      </c>
      <c r="R5088">
        <v>0.73348978748852101</v>
      </c>
      <c r="S5088" t="s">
        <v>11894</v>
      </c>
      <c r="T5088" t="s">
        <v>13610</v>
      </c>
      <c r="U5088" t="s">
        <v>13610</v>
      </c>
      <c r="V5088" t="s">
        <v>13610</v>
      </c>
      <c r="W5088" t="s">
        <v>18633</v>
      </c>
      <c r="X5088">
        <v>6</v>
      </c>
      <c r="Y5088" t="s">
        <v>25203</v>
      </c>
      <c r="Z5088" t="s">
        <v>31943</v>
      </c>
      <c r="AA5088">
        <v>0.77395362605058582</v>
      </c>
      <c r="AB5088" t="str">
        <f>HYPERLINK("Melting_Curves/meltCurve_Q96EU6_2_RRP36.pdf", "Melting_Curves/meltCurve_Q96EU6_2_RRP36.pdf")</f>
        <v>Melting_Curves/meltCurve_Q96EU6_2_RRP36.pdf</v>
      </c>
    </row>
    <row r="5089" spans="1:28" x14ac:dyDescent="0.25">
      <c r="A5089" t="s">
        <v>5093</v>
      </c>
      <c r="B5089">
        <v>0.995954080203443</v>
      </c>
      <c r="C5089">
        <v>0.94729856254101197</v>
      </c>
      <c r="D5089">
        <v>0.91326549774379895</v>
      </c>
      <c r="E5089">
        <v>0.80537003180591904</v>
      </c>
      <c r="F5089">
        <v>0.72300340324179502</v>
      </c>
      <c r="G5089">
        <v>0.47911712415636998</v>
      </c>
      <c r="H5089">
        <v>0.425950681586728</v>
      </c>
      <c r="I5089">
        <v>0.47223004813900898</v>
      </c>
      <c r="J5089">
        <v>0.61629088518429898</v>
      </c>
      <c r="K5089">
        <v>0.53621361145602198</v>
      </c>
      <c r="L5089">
        <v>1070.592511827</v>
      </c>
      <c r="M5089">
        <v>20.944832917005598</v>
      </c>
      <c r="O5089">
        <v>50.655760023886202</v>
      </c>
      <c r="P5089">
        <v>-5.1758049156355602E-2</v>
      </c>
      <c r="Q5089">
        <v>0.49929944021707801</v>
      </c>
      <c r="R5089">
        <v>0.91291054409434702</v>
      </c>
      <c r="S5089" t="s">
        <v>11895</v>
      </c>
      <c r="T5089" t="s">
        <v>13610</v>
      </c>
      <c r="U5089" t="s">
        <v>13610</v>
      </c>
      <c r="V5089" t="s">
        <v>13610</v>
      </c>
      <c r="W5089" t="s">
        <v>18634</v>
      </c>
      <c r="X5089">
        <v>17</v>
      </c>
      <c r="Y5089" t="s">
        <v>25204</v>
      </c>
      <c r="Z5089" t="s">
        <v>31944</v>
      </c>
      <c r="AA5089">
        <v>0.69117900627188145</v>
      </c>
      <c r="AB5089" t="str">
        <f>HYPERLINK("Melting_Curves/meltCurve_Q96EV2_RBM33.pdf", "Melting_Curves/meltCurve_Q96EV2_RBM33.pdf")</f>
        <v>Melting_Curves/meltCurve_Q96EV2_RBM33.pdf</v>
      </c>
    </row>
    <row r="5090" spans="1:28" x14ac:dyDescent="0.25">
      <c r="A5090" t="s">
        <v>5094</v>
      </c>
      <c r="B5090">
        <v>0.995954080203443</v>
      </c>
      <c r="C5090">
        <v>0.89866150096250097</v>
      </c>
      <c r="D5090">
        <v>0.93687957544357403</v>
      </c>
      <c r="E5090">
        <v>0.81331298037018096</v>
      </c>
      <c r="F5090">
        <v>0.75302270399190596</v>
      </c>
      <c r="G5090">
        <v>0.53500626673039098</v>
      </c>
      <c r="H5090">
        <v>0.36483362742102898</v>
      </c>
      <c r="I5090">
        <v>0.400606691780788</v>
      </c>
      <c r="J5090">
        <v>0.40245668045213101</v>
      </c>
      <c r="K5090">
        <v>0.463295316381103</v>
      </c>
      <c r="L5090">
        <v>871.82217436495603</v>
      </c>
      <c r="M5090">
        <v>16.4220921274562</v>
      </c>
      <c r="N5090">
        <v>58.207442426424699</v>
      </c>
      <c r="O5090">
        <v>52.319888627258599</v>
      </c>
      <c r="P5090">
        <v>-4.8494702875253697E-2</v>
      </c>
      <c r="Q5090">
        <v>0.38203785560471498</v>
      </c>
      <c r="R5090">
        <v>0.95646953760513298</v>
      </c>
      <c r="S5090" t="s">
        <v>11896</v>
      </c>
      <c r="T5090" t="s">
        <v>13610</v>
      </c>
      <c r="U5090" t="s">
        <v>13610</v>
      </c>
      <c r="V5090" t="s">
        <v>13610</v>
      </c>
      <c r="W5090" t="s">
        <v>18635</v>
      </c>
      <c r="X5090">
        <v>13</v>
      </c>
      <c r="Y5090" t="s">
        <v>25205</v>
      </c>
      <c r="Z5090" t="s">
        <v>31945</v>
      </c>
      <c r="AA5090">
        <v>0.66327609603744198</v>
      </c>
      <c r="AB5090" t="str">
        <f>HYPERLINK("Melting_Curves/meltCurve_Q96EV8_DTNBP1.pdf", "Melting_Curves/meltCurve_Q96EV8_DTNBP1.pdf")</f>
        <v>Melting_Curves/meltCurve_Q96EV8_DTNBP1.pdf</v>
      </c>
    </row>
    <row r="5091" spans="1:28" x14ac:dyDescent="0.25">
      <c r="A5091" t="s">
        <v>5095</v>
      </c>
      <c r="B5091">
        <v>0.995954080203443</v>
      </c>
      <c r="C5091">
        <v>0.94971654410150796</v>
      </c>
      <c r="D5091">
        <v>0.77601517901106498</v>
      </c>
      <c r="E5091">
        <v>0.46374756959817198</v>
      </c>
      <c r="F5091">
        <v>0.22448437591475201</v>
      </c>
      <c r="G5091">
        <v>0.14796649731110001</v>
      </c>
      <c r="H5091">
        <v>8.8963289719450805E-2</v>
      </c>
      <c r="I5091">
        <v>8.6240750144134307E-2</v>
      </c>
      <c r="J5091">
        <v>8.4503261606879806E-2</v>
      </c>
      <c r="K5091">
        <v>7.7772531629995298E-2</v>
      </c>
      <c r="L5091">
        <v>941.47129416141502</v>
      </c>
      <c r="M5091">
        <v>19.241627659977699</v>
      </c>
      <c r="N5091">
        <v>49.352069707383698</v>
      </c>
      <c r="O5091">
        <v>48.409591300130799</v>
      </c>
      <c r="P5091">
        <v>-9.1815260115176101E-2</v>
      </c>
      <c r="Q5091">
        <v>7.6051064358421905E-2</v>
      </c>
      <c r="R5091">
        <v>0.998808111124739</v>
      </c>
      <c r="S5091" t="s">
        <v>11897</v>
      </c>
      <c r="T5091" t="s">
        <v>13610</v>
      </c>
      <c r="U5091" t="s">
        <v>13610</v>
      </c>
      <c r="V5091" t="s">
        <v>13610</v>
      </c>
      <c r="W5091" t="s">
        <v>18636</v>
      </c>
      <c r="X5091">
        <v>3</v>
      </c>
      <c r="Y5091" t="s">
        <v>25206</v>
      </c>
      <c r="Z5091" t="s">
        <v>31946</v>
      </c>
      <c r="AA5091">
        <v>0.36505566384778032</v>
      </c>
      <c r="AB5091" t="str">
        <f>HYPERLINK("Melting_Curves/meltCurve_Q96EW2_HSPBAP1.pdf", "Melting_Curves/meltCurve_Q96EW2_HSPBAP1.pdf")</f>
        <v>Melting_Curves/meltCurve_Q96EW2_HSPBAP1.pdf</v>
      </c>
    </row>
    <row r="5092" spans="1:28" x14ac:dyDescent="0.25">
      <c r="A5092" t="s">
        <v>5096</v>
      </c>
      <c r="B5092">
        <v>0.995954080203443</v>
      </c>
      <c r="C5092">
        <v>0.65561218203857397</v>
      </c>
      <c r="D5092">
        <v>0.51198924096670795</v>
      </c>
      <c r="E5092">
        <v>0.64445556874182397</v>
      </c>
      <c r="F5092">
        <v>0.37168852976828598</v>
      </c>
      <c r="G5092">
        <v>0.208575133728126</v>
      </c>
      <c r="H5092">
        <v>0.152857137986976</v>
      </c>
      <c r="I5092">
        <v>0.147681453306478</v>
      </c>
      <c r="J5092">
        <v>0.16945085459090001</v>
      </c>
      <c r="K5092">
        <v>0.16017018788200299</v>
      </c>
      <c r="L5092">
        <v>409.98614469769501</v>
      </c>
      <c r="M5092">
        <v>8.4903682964928109</v>
      </c>
      <c r="N5092">
        <v>49.0998598788157</v>
      </c>
      <c r="O5092">
        <v>45.832998910055103</v>
      </c>
      <c r="P5092">
        <v>-4.3319052559983001E-2</v>
      </c>
      <c r="Q5092">
        <v>6.5460066759334204E-2</v>
      </c>
      <c r="R5092">
        <v>0.89213243024884503</v>
      </c>
      <c r="S5092" t="s">
        <v>11898</v>
      </c>
      <c r="T5092" t="s">
        <v>13610</v>
      </c>
      <c r="U5092" t="s">
        <v>13610</v>
      </c>
      <c r="V5092" t="s">
        <v>13610</v>
      </c>
      <c r="W5092" t="s">
        <v>18637</v>
      </c>
      <c r="X5092">
        <v>4</v>
      </c>
      <c r="Y5092" t="s">
        <v>25207</v>
      </c>
      <c r="Z5092" t="s">
        <v>31947</v>
      </c>
      <c r="AA5092">
        <v>0.38481099513458028</v>
      </c>
      <c r="AB5092" t="str">
        <f>HYPERLINK("Melting_Curves/meltCurve_Q96EY1_2_DNAJA3.pdf", "Melting_Curves/meltCurve_Q96EY1_2_DNAJA3.pdf")</f>
        <v>Melting_Curves/meltCurve_Q96EY1_2_DNAJA3.pdf</v>
      </c>
    </row>
    <row r="5093" spans="1:28" x14ac:dyDescent="0.25">
      <c r="A5093" t="s">
        <v>5097</v>
      </c>
      <c r="B5093">
        <v>0.995954080203443</v>
      </c>
      <c r="C5093">
        <v>0.99707778133315605</v>
      </c>
      <c r="D5093">
        <v>0.94407721035024705</v>
      </c>
      <c r="E5093">
        <v>0.73124036200711995</v>
      </c>
      <c r="F5093">
        <v>0.47478551050614998</v>
      </c>
      <c r="G5093">
        <v>0.26264730532670799</v>
      </c>
      <c r="H5093">
        <v>0.185029699886638</v>
      </c>
      <c r="I5093">
        <v>0.19143381399708401</v>
      </c>
      <c r="J5093">
        <v>0.24840486890924399</v>
      </c>
      <c r="K5093">
        <v>0.25923283344708598</v>
      </c>
      <c r="L5093">
        <v>1294.03684191259</v>
      </c>
      <c r="M5093">
        <v>25.207278806389901</v>
      </c>
      <c r="N5093">
        <v>52.506531501402002</v>
      </c>
      <c r="O5093">
        <v>51.016022396659203</v>
      </c>
      <c r="P5093">
        <v>-9.6972657466331602E-2</v>
      </c>
      <c r="Q5093">
        <v>0.21497359231032201</v>
      </c>
      <c r="R5093">
        <v>0.99433162022937804</v>
      </c>
      <c r="S5093" t="s">
        <v>11899</v>
      </c>
      <c r="T5093" t="s">
        <v>13610</v>
      </c>
      <c r="U5093" t="s">
        <v>13610</v>
      </c>
      <c r="V5093" t="s">
        <v>13610</v>
      </c>
      <c r="W5093" t="s">
        <v>18638</v>
      </c>
      <c r="X5093">
        <v>7</v>
      </c>
      <c r="Y5093" t="s">
        <v>25208</v>
      </c>
      <c r="Z5093" t="s">
        <v>31948</v>
      </c>
      <c r="AA5093">
        <v>0.51860848457960129</v>
      </c>
      <c r="AB5093" t="str">
        <f>HYPERLINK("Melting_Curves/meltCurve_Q96EY4_TMA16.pdf", "Melting_Curves/meltCurve_Q96EY4_TMA16.pdf")</f>
        <v>Melting_Curves/meltCurve_Q96EY4_TMA16.pdf</v>
      </c>
    </row>
    <row r="5094" spans="1:28" x14ac:dyDescent="0.25">
      <c r="A5094" t="s">
        <v>5098</v>
      </c>
      <c r="B5094">
        <v>0.995954080203443</v>
      </c>
      <c r="C5094">
        <v>1.0075010212276401</v>
      </c>
      <c r="D5094">
        <v>0.88792441000238997</v>
      </c>
      <c r="E5094">
        <v>0.61934171832572205</v>
      </c>
      <c r="F5094">
        <v>0.26045608792446001</v>
      </c>
      <c r="G5094">
        <v>0.13773760594783699</v>
      </c>
      <c r="H5094">
        <v>9.7504996409851899E-2</v>
      </c>
      <c r="I5094">
        <v>9.8314464422699394E-2</v>
      </c>
      <c r="J5094">
        <v>9.6581916745727706E-2</v>
      </c>
      <c r="K5094">
        <v>9.6209982909390299E-2</v>
      </c>
      <c r="L5094">
        <v>1317.29518781366</v>
      </c>
      <c r="M5094">
        <v>26.149062872435</v>
      </c>
      <c r="N5094">
        <v>50.770025173288197</v>
      </c>
      <c r="O5094">
        <v>50.084531097544101</v>
      </c>
      <c r="P5094">
        <v>-0.118549551306214</v>
      </c>
      <c r="Q5094">
        <v>9.1756139803328196E-2</v>
      </c>
      <c r="R5094">
        <v>0.99745288683260103</v>
      </c>
      <c r="S5094" t="s">
        <v>11900</v>
      </c>
      <c r="T5094" t="s">
        <v>13610</v>
      </c>
      <c r="U5094" t="s">
        <v>13610</v>
      </c>
      <c r="V5094" t="s">
        <v>13610</v>
      </c>
      <c r="W5094" t="s">
        <v>18639</v>
      </c>
      <c r="X5094">
        <v>9</v>
      </c>
      <c r="Y5094" t="s">
        <v>25209</v>
      </c>
      <c r="Z5094" t="s">
        <v>31949</v>
      </c>
      <c r="AA5094">
        <v>0.41334871439727972</v>
      </c>
      <c r="AB5094" t="str">
        <f>HYPERLINK("Melting_Curves/meltCurve_Q96EY5_MVB12A.pdf", "Melting_Curves/meltCurve_Q96EY5_MVB12A.pdf")</f>
        <v>Melting_Curves/meltCurve_Q96EY5_MVB12A.pdf</v>
      </c>
    </row>
    <row r="5095" spans="1:28" x14ac:dyDescent="0.25">
      <c r="A5095" t="s">
        <v>5099</v>
      </c>
      <c r="B5095">
        <v>0.995954080203443</v>
      </c>
      <c r="C5095">
        <v>0.70247370775796103</v>
      </c>
      <c r="D5095">
        <v>0.46912955871498702</v>
      </c>
      <c r="E5095">
        <v>0.50183974955227595</v>
      </c>
      <c r="F5095">
        <v>0.37148429441623898</v>
      </c>
      <c r="G5095">
        <v>0.195316967225935</v>
      </c>
      <c r="H5095">
        <v>0.16123006173328799</v>
      </c>
      <c r="I5095">
        <v>0.19478921759811399</v>
      </c>
      <c r="J5095">
        <v>0.13788681321377499</v>
      </c>
      <c r="K5095">
        <v>0.129959380117143</v>
      </c>
      <c r="L5095">
        <v>482.97065444735199</v>
      </c>
      <c r="M5095">
        <v>10.3307023125366</v>
      </c>
      <c r="N5095">
        <v>47.943764166257203</v>
      </c>
      <c r="O5095">
        <v>45.100888994326702</v>
      </c>
      <c r="P5095">
        <v>-5.0796961489528301E-2</v>
      </c>
      <c r="Q5095">
        <v>0.113320388750467</v>
      </c>
      <c r="R5095">
        <v>0.93505085378792296</v>
      </c>
      <c r="S5095" t="s">
        <v>11901</v>
      </c>
      <c r="T5095" t="s">
        <v>13610</v>
      </c>
      <c r="U5095" t="s">
        <v>13610</v>
      </c>
      <c r="V5095" t="s">
        <v>13610</v>
      </c>
      <c r="W5095" t="s">
        <v>18640</v>
      </c>
      <c r="X5095">
        <v>3</v>
      </c>
      <c r="Y5095" t="s">
        <v>25210</v>
      </c>
      <c r="Z5095" t="s">
        <v>31950</v>
      </c>
      <c r="AA5095">
        <v>0.3621635884376892</v>
      </c>
      <c r="AB5095" t="str">
        <f>HYPERLINK("Melting_Curves/meltCurve_Q96EY7_PTCD3.pdf", "Melting_Curves/meltCurve_Q96EY7_PTCD3.pdf")</f>
        <v>Melting_Curves/meltCurve_Q96EY7_PTCD3.pdf</v>
      </c>
    </row>
    <row r="5096" spans="1:28" x14ac:dyDescent="0.25">
      <c r="A5096" t="s">
        <v>5100</v>
      </c>
      <c r="B5096">
        <v>0.995954080203443</v>
      </c>
      <c r="C5096">
        <v>1.03224482449638</v>
      </c>
      <c r="D5096">
        <v>1.0535373329818101</v>
      </c>
      <c r="E5096">
        <v>0.90033306840716698</v>
      </c>
      <c r="F5096">
        <v>0.86406445936445098</v>
      </c>
      <c r="G5096">
        <v>0.58935291812804003</v>
      </c>
      <c r="H5096">
        <v>0.38765359435527202</v>
      </c>
      <c r="I5096">
        <v>0.30631681967119301</v>
      </c>
      <c r="J5096">
        <v>0.29104802487679299</v>
      </c>
      <c r="K5096">
        <v>0.22537209783560999</v>
      </c>
      <c r="L5096">
        <v>1080.53651689103</v>
      </c>
      <c r="M5096">
        <v>19.035956706912401</v>
      </c>
      <c r="N5096">
        <v>58.614691801704097</v>
      </c>
      <c r="O5096">
        <v>56.147645365028801</v>
      </c>
      <c r="P5096">
        <v>-6.5607664011531105E-2</v>
      </c>
      <c r="Q5096">
        <v>0.22597655003436101</v>
      </c>
      <c r="R5096">
        <v>0.99153307096499799</v>
      </c>
      <c r="S5096" t="s">
        <v>11902</v>
      </c>
      <c r="T5096" t="s">
        <v>13610</v>
      </c>
      <c r="U5096" t="s">
        <v>13610</v>
      </c>
      <c r="V5096" t="s">
        <v>13610</v>
      </c>
      <c r="W5096" t="s">
        <v>18641</v>
      </c>
      <c r="X5096">
        <v>10</v>
      </c>
      <c r="Y5096" t="s">
        <v>25211</v>
      </c>
      <c r="Z5096" t="s">
        <v>31951</v>
      </c>
      <c r="AA5096">
        <v>0.66866209997563708</v>
      </c>
      <c r="AB5096" t="str">
        <f>HYPERLINK("Melting_Curves/meltCurve_Q96EY8_MMAB.pdf", "Melting_Curves/meltCurve_Q96EY8_MMAB.pdf")</f>
        <v>Melting_Curves/meltCurve_Q96EY8_MMAB.pdf</v>
      </c>
    </row>
    <row r="5097" spans="1:28" x14ac:dyDescent="0.25">
      <c r="A5097" t="s">
        <v>5101</v>
      </c>
      <c r="B5097">
        <v>0.995954080203443</v>
      </c>
      <c r="C5097">
        <v>0.98943150522785095</v>
      </c>
      <c r="D5097">
        <v>0.88468736880958299</v>
      </c>
      <c r="E5097">
        <v>0.75288149842778096</v>
      </c>
      <c r="F5097">
        <v>0.50957406223178303</v>
      </c>
      <c r="G5097">
        <v>0.29103938643855498</v>
      </c>
      <c r="H5097">
        <v>0.141353500585046</v>
      </c>
      <c r="I5097">
        <v>7.3310739353106197E-2</v>
      </c>
      <c r="J5097">
        <v>5.9558806742332798E-2</v>
      </c>
      <c r="K5097">
        <v>4.8417971800396302E-2</v>
      </c>
      <c r="L5097">
        <v>796.34243566583802</v>
      </c>
      <c r="M5097">
        <v>14.953354075264301</v>
      </c>
      <c r="N5097">
        <v>53.352121771436302</v>
      </c>
      <c r="O5097">
        <v>52.329893965583999</v>
      </c>
      <c r="P5097">
        <v>-7.0487024463044501E-2</v>
      </c>
      <c r="Q5097">
        <v>1.34116238851365E-2</v>
      </c>
      <c r="R5097">
        <v>0.99842566887155904</v>
      </c>
      <c r="S5097" t="s">
        <v>11903</v>
      </c>
      <c r="T5097" t="s">
        <v>13610</v>
      </c>
      <c r="U5097" t="s">
        <v>13610</v>
      </c>
      <c r="V5097" t="s">
        <v>13610</v>
      </c>
      <c r="W5097" t="s">
        <v>18642</v>
      </c>
      <c r="X5097">
        <v>11</v>
      </c>
      <c r="Y5097" t="s">
        <v>25212</v>
      </c>
      <c r="Z5097" t="s">
        <v>31952</v>
      </c>
      <c r="AA5097">
        <v>0.4704075820379105</v>
      </c>
      <c r="AB5097" t="str">
        <f>HYPERLINK("Melting_Curves/meltCurve_Q96EY9_ADAT3.pdf", "Melting_Curves/meltCurve_Q96EY9_ADAT3.pdf")</f>
        <v>Melting_Curves/meltCurve_Q96EY9_ADAT3.pdf</v>
      </c>
    </row>
    <row r="5098" spans="1:28" x14ac:dyDescent="0.25">
      <c r="A5098" t="s">
        <v>5102</v>
      </c>
      <c r="B5098">
        <v>0.995954080203443</v>
      </c>
      <c r="C5098">
        <v>0.832934751306597</v>
      </c>
      <c r="D5098">
        <v>0.62157213074210604</v>
      </c>
      <c r="E5098">
        <v>0.423970057456794</v>
      </c>
      <c r="F5098">
        <v>0.29745597307834198</v>
      </c>
      <c r="G5098">
        <v>0.19333886685707899</v>
      </c>
      <c r="H5098">
        <v>0.15991281396594501</v>
      </c>
      <c r="I5098">
        <v>0.17971468912861799</v>
      </c>
      <c r="J5098">
        <v>0.15675365495750801</v>
      </c>
      <c r="K5098">
        <v>0.203196982394175</v>
      </c>
      <c r="L5098">
        <v>731.38824634189905</v>
      </c>
      <c r="M5098">
        <v>15.5771450508225</v>
      </c>
      <c r="N5098">
        <v>48.175535106879003</v>
      </c>
      <c r="O5098">
        <v>46.199263557040197</v>
      </c>
      <c r="P5098">
        <v>-7.0534503147333297E-2</v>
      </c>
      <c r="Q5098">
        <v>0.163297802190598</v>
      </c>
      <c r="R5098">
        <v>0.99220324376121705</v>
      </c>
      <c r="S5098" t="s">
        <v>11904</v>
      </c>
      <c r="T5098" t="s">
        <v>13610</v>
      </c>
      <c r="U5098" t="s">
        <v>13610</v>
      </c>
      <c r="V5098" t="s">
        <v>13610</v>
      </c>
      <c r="W5098" t="s">
        <v>18643</v>
      </c>
      <c r="X5098">
        <v>7</v>
      </c>
      <c r="Y5098" t="s">
        <v>25213</v>
      </c>
      <c r="Z5098" t="s">
        <v>31953</v>
      </c>
      <c r="AA5098">
        <v>0.37828926201149782</v>
      </c>
      <c r="AB5098" t="str">
        <f>HYPERLINK("Melting_Curves/meltCurve_Q96EZ8_3_MCRS1.pdf", "Melting_Curves/meltCurve_Q96EZ8_3_MCRS1.pdf")</f>
        <v>Melting_Curves/meltCurve_Q96EZ8_3_MCRS1.pdf</v>
      </c>
    </row>
    <row r="5099" spans="1:28" x14ac:dyDescent="0.25">
      <c r="A5099" t="s">
        <v>5103</v>
      </c>
      <c r="B5099">
        <v>0.995954080203443</v>
      </c>
      <c r="C5099">
        <v>0.94279259814823502</v>
      </c>
      <c r="D5099">
        <v>0.924401052912459</v>
      </c>
      <c r="E5099">
        <v>0.608243813214566</v>
      </c>
      <c r="F5099">
        <v>0.77081671358969805</v>
      </c>
      <c r="G5099">
        <v>0.58460376038318995</v>
      </c>
      <c r="H5099">
        <v>0.47680702337856201</v>
      </c>
      <c r="I5099">
        <v>0.52788227067148696</v>
      </c>
      <c r="J5099">
        <v>0.58992386645226902</v>
      </c>
      <c r="K5099">
        <v>0.59426452246022998</v>
      </c>
      <c r="L5099">
        <v>829.73451497710801</v>
      </c>
      <c r="M5099">
        <v>17.093635203630399</v>
      </c>
      <c r="O5099">
        <v>47.8908259610931</v>
      </c>
      <c r="P5099">
        <v>-3.9881027241396701E-2</v>
      </c>
      <c r="Q5099">
        <v>0.55309217562235502</v>
      </c>
      <c r="R5099">
        <v>0.86300853272509503</v>
      </c>
      <c r="S5099" t="s">
        <v>11905</v>
      </c>
      <c r="T5099" t="s">
        <v>13610</v>
      </c>
      <c r="U5099" t="s">
        <v>13610</v>
      </c>
      <c r="V5099" t="s">
        <v>13610</v>
      </c>
      <c r="W5099" t="s">
        <v>18644</v>
      </c>
      <c r="X5099">
        <v>8</v>
      </c>
      <c r="Y5099" t="s">
        <v>25214</v>
      </c>
      <c r="Z5099" t="s">
        <v>31954</v>
      </c>
      <c r="AA5099">
        <v>0.68899830471885481</v>
      </c>
      <c r="AB5099" t="str">
        <f>HYPERLINK("Melting_Curves/meltCurve_Q96F24_2_NRBF2.pdf", "Melting_Curves/meltCurve_Q96F24_2_NRBF2.pdf")</f>
        <v>Melting_Curves/meltCurve_Q96F24_2_NRBF2.pdf</v>
      </c>
    </row>
    <row r="5100" spans="1:28" x14ac:dyDescent="0.25">
      <c r="A5100" t="s">
        <v>5104</v>
      </c>
      <c r="B5100">
        <v>0.995954080203443</v>
      </c>
      <c r="C5100">
        <v>0.94536859276355401</v>
      </c>
      <c r="D5100">
        <v>0.83656571121778101</v>
      </c>
      <c r="E5100">
        <v>0.54204862656626396</v>
      </c>
      <c r="F5100">
        <v>0.26714446014020499</v>
      </c>
      <c r="G5100">
        <v>0.16537980047668599</v>
      </c>
      <c r="H5100">
        <v>0.113569232634016</v>
      </c>
      <c r="I5100">
        <v>0.115085745956115</v>
      </c>
      <c r="J5100">
        <v>0.14056342135129199</v>
      </c>
      <c r="K5100">
        <v>0.12907283181189799</v>
      </c>
      <c r="L5100">
        <v>1035.37300524291</v>
      </c>
      <c r="M5100">
        <v>20.9113088154912</v>
      </c>
      <c r="N5100">
        <v>50.136561981237001</v>
      </c>
      <c r="O5100">
        <v>49.066444637784898</v>
      </c>
      <c r="P5100">
        <v>-9.4341409992350203E-2</v>
      </c>
      <c r="Q5100">
        <v>0.114570414336175</v>
      </c>
      <c r="R5100">
        <v>0.99738281676962504</v>
      </c>
      <c r="S5100" t="s">
        <v>11906</v>
      </c>
      <c r="T5100" t="s">
        <v>13610</v>
      </c>
      <c r="U5100" t="s">
        <v>13610</v>
      </c>
      <c r="V5100" t="s">
        <v>13610</v>
      </c>
      <c r="W5100" t="s">
        <v>18645</v>
      </c>
      <c r="X5100">
        <v>17</v>
      </c>
      <c r="Y5100" t="s">
        <v>25215</v>
      </c>
      <c r="Z5100" t="s">
        <v>31955</v>
      </c>
      <c r="AA5100">
        <v>0.40663106575877112</v>
      </c>
      <c r="AB5100" t="str">
        <f>HYPERLINK("Melting_Curves/meltCurve_Q96F44_3_TRIM11.pdf", "Melting_Curves/meltCurve_Q96F44_3_TRIM11.pdf")</f>
        <v>Melting_Curves/meltCurve_Q96F44_3_TRIM11.pdf</v>
      </c>
    </row>
    <row r="5101" spans="1:28" x14ac:dyDescent="0.25">
      <c r="A5101" t="s">
        <v>5105</v>
      </c>
      <c r="B5101">
        <v>0.995954080203443</v>
      </c>
      <c r="C5101">
        <v>0.838763189155738</v>
      </c>
      <c r="D5101">
        <v>0.70791723733454803</v>
      </c>
      <c r="E5101">
        <v>0.78840526510563402</v>
      </c>
      <c r="F5101">
        <v>0.614329686573857</v>
      </c>
      <c r="G5101">
        <v>0.39542063997219001</v>
      </c>
      <c r="H5101">
        <v>0.36207997496487898</v>
      </c>
      <c r="I5101">
        <v>0.42466722705809601</v>
      </c>
      <c r="J5101">
        <v>0.66502776165051503</v>
      </c>
      <c r="K5101">
        <v>0.56762910963512303</v>
      </c>
      <c r="L5101">
        <v>602.85078288121997</v>
      </c>
      <c r="M5101">
        <v>12.849399987971101</v>
      </c>
      <c r="N5101">
        <v>63.854432006825803</v>
      </c>
      <c r="O5101">
        <v>45.823893717680697</v>
      </c>
      <c r="P5101">
        <v>-3.6217747144374798E-2</v>
      </c>
      <c r="Q5101">
        <v>0.48345269492159099</v>
      </c>
      <c r="R5101">
        <v>0.70968925307088804</v>
      </c>
      <c r="S5101" t="s">
        <v>11907</v>
      </c>
      <c r="T5101" t="s">
        <v>13610</v>
      </c>
      <c r="U5101" t="s">
        <v>13610</v>
      </c>
      <c r="V5101" t="s">
        <v>13610</v>
      </c>
      <c r="W5101" t="s">
        <v>18646</v>
      </c>
      <c r="X5101">
        <v>9</v>
      </c>
      <c r="Y5101" t="s">
        <v>25216</v>
      </c>
      <c r="Z5101" t="s">
        <v>31956</v>
      </c>
      <c r="AA5101">
        <v>0.62174327552994191</v>
      </c>
      <c r="AB5101" t="str">
        <f>HYPERLINK("Melting_Curves/meltCurve_Q96F63_CCDC97.pdf", "Melting_Curves/meltCurve_Q96F63_CCDC97.pdf")</f>
        <v>Melting_Curves/meltCurve_Q96F63_CCDC97.pdf</v>
      </c>
    </row>
    <row r="5102" spans="1:28" x14ac:dyDescent="0.25">
      <c r="A5102" t="s">
        <v>5106</v>
      </c>
      <c r="B5102">
        <v>0.995954080203443</v>
      </c>
      <c r="C5102">
        <v>0.89730367391091503</v>
      </c>
      <c r="D5102">
        <v>0.93187535321668702</v>
      </c>
      <c r="E5102">
        <v>0.69666115445530197</v>
      </c>
      <c r="F5102">
        <v>0.47111765061854799</v>
      </c>
      <c r="G5102">
        <v>0.42626992836251199</v>
      </c>
      <c r="H5102">
        <v>0.43993348259088</v>
      </c>
      <c r="I5102">
        <v>0.50671094479845902</v>
      </c>
      <c r="J5102">
        <v>0.44752329490788301</v>
      </c>
      <c r="K5102">
        <v>0.29538422313174201</v>
      </c>
      <c r="L5102">
        <v>1236.4113753490401</v>
      </c>
      <c r="M5102">
        <v>24.963864334055799</v>
      </c>
      <c r="N5102">
        <v>53.266978927117798</v>
      </c>
      <c r="O5102">
        <v>49.213505834381401</v>
      </c>
      <c r="P5102">
        <v>-7.4401601884853799E-2</v>
      </c>
      <c r="Q5102">
        <v>0.41330971956837598</v>
      </c>
      <c r="R5102">
        <v>0.93887404325218005</v>
      </c>
      <c r="S5102" t="s">
        <v>11908</v>
      </c>
      <c r="T5102" t="s">
        <v>13610</v>
      </c>
      <c r="U5102" t="s">
        <v>13610</v>
      </c>
      <c r="V5102" t="s">
        <v>13610</v>
      </c>
      <c r="W5102" t="s">
        <v>18647</v>
      </c>
      <c r="X5102">
        <v>22</v>
      </c>
      <c r="Y5102" t="s">
        <v>25217</v>
      </c>
      <c r="Z5102" t="s">
        <v>31957</v>
      </c>
      <c r="AA5102">
        <v>0.6048789221600086</v>
      </c>
      <c r="AB5102" t="str">
        <f>HYPERLINK("Melting_Curves/meltCurve_Q96F86_EDC3.pdf", "Melting_Curves/meltCurve_Q96F86_EDC3.pdf")</f>
        <v>Melting_Curves/meltCurve_Q96F86_EDC3.pdf</v>
      </c>
    </row>
    <row r="5103" spans="1:28" x14ac:dyDescent="0.25">
      <c r="A5103" t="s">
        <v>5107</v>
      </c>
      <c r="B5103">
        <v>0.995954080203443</v>
      </c>
      <c r="C5103">
        <v>0.86023837090678501</v>
      </c>
      <c r="D5103">
        <v>0.54539095456741404</v>
      </c>
      <c r="E5103">
        <v>0.32928048006758598</v>
      </c>
      <c r="F5103">
        <v>0.15328542429165801</v>
      </c>
      <c r="G5103">
        <v>8.9841687942835202E-2</v>
      </c>
      <c r="H5103">
        <v>6.2520170475158995E-2</v>
      </c>
      <c r="I5103">
        <v>5.1586189596895302E-2</v>
      </c>
      <c r="J5103">
        <v>4.63403812689029E-2</v>
      </c>
      <c r="K5103">
        <v>5.1457344738236599E-2</v>
      </c>
      <c r="L5103">
        <v>809.113627667728</v>
      </c>
      <c r="M5103">
        <v>17.278199513298901</v>
      </c>
      <c r="N5103">
        <v>47.099653579616998</v>
      </c>
      <c r="O5103">
        <v>46.214822968695401</v>
      </c>
      <c r="P5103">
        <v>-8.9048762149894406E-2</v>
      </c>
      <c r="Q5103">
        <v>4.7323792123612499E-2</v>
      </c>
      <c r="R5103">
        <v>0.99394424152011696</v>
      </c>
      <c r="S5103" t="s">
        <v>11909</v>
      </c>
      <c r="T5103" t="s">
        <v>13610</v>
      </c>
      <c r="U5103" t="s">
        <v>13610</v>
      </c>
      <c r="V5103" t="s">
        <v>13610</v>
      </c>
      <c r="W5103" t="s">
        <v>18648</v>
      </c>
      <c r="X5103">
        <v>5</v>
      </c>
      <c r="Y5103" t="s">
        <v>25218</v>
      </c>
      <c r="Z5103" t="s">
        <v>31958</v>
      </c>
      <c r="AA5103">
        <v>0.28355702239383068</v>
      </c>
      <c r="AB5103" t="str">
        <f>HYPERLINK("Melting_Curves/meltCurve_Q96FC9_4_DDX11.pdf", "Melting_Curves/meltCurve_Q96FC9_4_DDX11.pdf")</f>
        <v>Melting_Curves/meltCurve_Q96FC9_4_DDX11.pdf</v>
      </c>
    </row>
    <row r="5104" spans="1:28" x14ac:dyDescent="0.25">
      <c r="A5104" t="s">
        <v>5108</v>
      </c>
      <c r="B5104">
        <v>0.995954080203443</v>
      </c>
      <c r="C5104">
        <v>0.97753129722534804</v>
      </c>
      <c r="D5104">
        <v>1.01190362491663</v>
      </c>
      <c r="E5104">
        <v>0.87043687268749603</v>
      </c>
      <c r="F5104">
        <v>0.75743499491348698</v>
      </c>
      <c r="G5104">
        <v>0.59831845620102797</v>
      </c>
      <c r="H5104">
        <v>0.54294311432827802</v>
      </c>
      <c r="I5104">
        <v>0.64212653754967297</v>
      </c>
      <c r="J5104">
        <v>0.63646210755994403</v>
      </c>
      <c r="K5104">
        <v>0.75796947217878297</v>
      </c>
      <c r="L5104">
        <v>1692.89925146161</v>
      </c>
      <c r="M5104">
        <v>33.038119523430602</v>
      </c>
      <c r="O5104">
        <v>51.054148049737798</v>
      </c>
      <c r="P5104">
        <v>-5.8814871132771403E-2</v>
      </c>
      <c r="Q5104">
        <v>0.63645269800355797</v>
      </c>
      <c r="R5104">
        <v>0.89702412409114096</v>
      </c>
      <c r="S5104" t="s">
        <v>11910</v>
      </c>
      <c r="T5104" t="s">
        <v>13610</v>
      </c>
      <c r="U5104" t="s">
        <v>13610</v>
      </c>
      <c r="V5104" t="s">
        <v>13610</v>
      </c>
      <c r="W5104" t="s">
        <v>18649</v>
      </c>
      <c r="X5104">
        <v>8</v>
      </c>
      <c r="Y5104" t="s">
        <v>25219</v>
      </c>
      <c r="Z5104" t="s">
        <v>31959</v>
      </c>
      <c r="AA5104">
        <v>0.77456278970965586</v>
      </c>
      <c r="AB5104" t="str">
        <f>HYPERLINK("Melting_Curves/meltCurve_Q96FF9_CDCA5.pdf", "Melting_Curves/meltCurve_Q96FF9_CDCA5.pdf")</f>
        <v>Melting_Curves/meltCurve_Q96FF9_CDCA5.pdf</v>
      </c>
    </row>
    <row r="5105" spans="1:28" x14ac:dyDescent="0.25">
      <c r="A5105" t="s">
        <v>5109</v>
      </c>
      <c r="B5105">
        <v>0.995954080203443</v>
      </c>
      <c r="C5105">
        <v>0.89297380988916597</v>
      </c>
      <c r="D5105">
        <v>0.77299951233689501</v>
      </c>
      <c r="E5105">
        <v>0.66778436323998702</v>
      </c>
      <c r="F5105">
        <v>0.44607310561079599</v>
      </c>
      <c r="G5105">
        <v>0.29239663310583902</v>
      </c>
      <c r="H5105">
        <v>0.16600255643574199</v>
      </c>
      <c r="I5105">
        <v>0.118575022700052</v>
      </c>
      <c r="J5105">
        <v>0.101500538676895</v>
      </c>
      <c r="K5105">
        <v>8.1067117143765702E-2</v>
      </c>
      <c r="L5105">
        <v>564.44224383376297</v>
      </c>
      <c r="M5105">
        <v>10.829950804744</v>
      </c>
      <c r="N5105">
        <v>52.233582587781697</v>
      </c>
      <c r="O5105">
        <v>50.436037001028801</v>
      </c>
      <c r="P5105">
        <v>-5.3068432617632499E-2</v>
      </c>
      <c r="Q5105">
        <v>1.17768335845487E-2</v>
      </c>
      <c r="R5105">
        <v>0.994553198881728</v>
      </c>
      <c r="S5105" t="s">
        <v>11911</v>
      </c>
      <c r="T5105" t="s">
        <v>13610</v>
      </c>
      <c r="U5105" t="s">
        <v>13610</v>
      </c>
      <c r="V5105" t="s">
        <v>13610</v>
      </c>
      <c r="W5105" t="s">
        <v>18650</v>
      </c>
      <c r="X5105">
        <v>8</v>
      </c>
      <c r="Y5105" t="s">
        <v>25220</v>
      </c>
      <c r="Z5105" t="s">
        <v>31960</v>
      </c>
      <c r="AA5105">
        <v>0.44493111119547291</v>
      </c>
      <c r="AB5105" t="str">
        <f>HYPERLINK("Melting_Curves/meltCurve_Q96FJ2_DYNLL2.pdf", "Melting_Curves/meltCurve_Q96FJ2_DYNLL2.pdf")</f>
        <v>Melting_Curves/meltCurve_Q96FJ2_DYNLL2.pdf</v>
      </c>
    </row>
    <row r="5106" spans="1:28" x14ac:dyDescent="0.25">
      <c r="A5106" t="s">
        <v>5110</v>
      </c>
      <c r="B5106">
        <v>0.995954080203443</v>
      </c>
      <c r="C5106">
        <v>0.93177848076393599</v>
      </c>
      <c r="D5106">
        <v>0.83275439440313004</v>
      </c>
      <c r="E5106">
        <v>0.80182387003239097</v>
      </c>
      <c r="F5106">
        <v>0.61771633477131904</v>
      </c>
      <c r="G5106">
        <v>0.324080440772617</v>
      </c>
      <c r="H5106">
        <v>0.12935319838495299</v>
      </c>
      <c r="I5106">
        <v>9.9076404206658197E-2</v>
      </c>
      <c r="J5106">
        <v>0.10084039117390101</v>
      </c>
      <c r="K5106">
        <v>8.4088813828426298E-2</v>
      </c>
      <c r="L5106">
        <v>774.80172323142403</v>
      </c>
      <c r="M5106">
        <v>14.3392894148627</v>
      </c>
      <c r="N5106">
        <v>54.193590393804698</v>
      </c>
      <c r="O5106">
        <v>53.015181324157801</v>
      </c>
      <c r="P5106">
        <v>-6.6224394944469994E-2</v>
      </c>
      <c r="Q5106">
        <v>2.0739406542914701E-2</v>
      </c>
      <c r="R5106">
        <v>0.98636738471517804</v>
      </c>
      <c r="S5106" t="s">
        <v>11912</v>
      </c>
      <c r="T5106" t="s">
        <v>13610</v>
      </c>
      <c r="U5106" t="s">
        <v>13610</v>
      </c>
      <c r="V5106" t="s">
        <v>13610</v>
      </c>
      <c r="W5106" t="s">
        <v>18651</v>
      </c>
      <c r="X5106">
        <v>6</v>
      </c>
      <c r="Y5106" t="s">
        <v>25221</v>
      </c>
      <c r="Z5106" t="s">
        <v>31961</v>
      </c>
      <c r="AA5106">
        <v>0.49999233020319273</v>
      </c>
      <c r="AB5106" t="str">
        <f>HYPERLINK("Melting_Curves/meltCurve_Q96FK6_WDR89.pdf", "Melting_Curves/meltCurve_Q96FK6_WDR89.pdf")</f>
        <v>Melting_Curves/meltCurve_Q96FK6_WDR89.pdf</v>
      </c>
    </row>
    <row r="5107" spans="1:28" x14ac:dyDescent="0.25">
      <c r="A5107" t="s">
        <v>5111</v>
      </c>
      <c r="B5107">
        <v>0.995954080203443</v>
      </c>
      <c r="C5107">
        <v>0.98466964022180103</v>
      </c>
      <c r="D5107">
        <v>0.84457097886622501</v>
      </c>
      <c r="E5107">
        <v>0.58174860620733304</v>
      </c>
      <c r="F5107">
        <v>0.21458537824142601</v>
      </c>
      <c r="G5107">
        <v>0.105497628303776</v>
      </c>
      <c r="H5107">
        <v>6.7003313804466599E-2</v>
      </c>
      <c r="I5107">
        <v>5.7773645221384499E-2</v>
      </c>
      <c r="J5107">
        <v>7.1032944949718194E-2</v>
      </c>
      <c r="K5107">
        <v>5.07067978243574E-2</v>
      </c>
      <c r="L5107">
        <v>1159.5927523654</v>
      </c>
      <c r="M5107">
        <v>23.158575389807002</v>
      </c>
      <c r="N5107">
        <v>50.308316836093802</v>
      </c>
      <c r="O5107">
        <v>49.702980266993301</v>
      </c>
      <c r="P5107">
        <v>-0.11047987954812399</v>
      </c>
      <c r="Q5107">
        <v>5.1568728775440602E-2</v>
      </c>
      <c r="R5107">
        <v>0.99553325915652202</v>
      </c>
      <c r="S5107" t="s">
        <v>11913</v>
      </c>
      <c r="T5107" t="s">
        <v>13610</v>
      </c>
      <c r="U5107" t="s">
        <v>13610</v>
      </c>
      <c r="V5107" t="s">
        <v>13610</v>
      </c>
      <c r="W5107" t="s">
        <v>18652</v>
      </c>
      <c r="X5107">
        <v>5</v>
      </c>
      <c r="Y5107" t="s">
        <v>25222</v>
      </c>
      <c r="Z5107" t="s">
        <v>31962</v>
      </c>
      <c r="AA5107">
        <v>0.37987033274758131</v>
      </c>
      <c r="AB5107" t="str">
        <f>HYPERLINK("Melting_Curves/meltCurve_Q96FN4_CPNE2.pdf", "Melting_Curves/meltCurve_Q96FN4_CPNE2.pdf")</f>
        <v>Melting_Curves/meltCurve_Q96FN4_CPNE2.pdf</v>
      </c>
    </row>
    <row r="5108" spans="1:28" x14ac:dyDescent="0.25">
      <c r="A5108" t="s">
        <v>5112</v>
      </c>
      <c r="B5108">
        <v>0.995954080203443</v>
      </c>
      <c r="C5108">
        <v>0.95442805528778096</v>
      </c>
      <c r="D5108">
        <v>1.19065559733238</v>
      </c>
      <c r="E5108">
        <v>0.94413737942048004</v>
      </c>
      <c r="F5108">
        <v>1.0662021350061199</v>
      </c>
      <c r="G5108">
        <v>0.99705822322280402</v>
      </c>
      <c r="H5108">
        <v>0.75383214646076002</v>
      </c>
      <c r="I5108">
        <v>0.513023447559116</v>
      </c>
      <c r="J5108">
        <v>0.273321329567416</v>
      </c>
      <c r="K5108">
        <v>0.24025327493219301</v>
      </c>
      <c r="L5108">
        <v>1994.52431563236</v>
      </c>
      <c r="M5108">
        <v>31.740750450153101</v>
      </c>
      <c r="N5108">
        <v>63.863012560790402</v>
      </c>
      <c r="O5108">
        <v>62.590121064860199</v>
      </c>
      <c r="P5108">
        <v>-0.101476671976128</v>
      </c>
      <c r="Q5108">
        <v>0.19958992104947701</v>
      </c>
      <c r="R5108">
        <v>0.95209747410686096</v>
      </c>
      <c r="S5108" t="s">
        <v>11914</v>
      </c>
      <c r="T5108" t="s">
        <v>13610</v>
      </c>
      <c r="U5108" t="s">
        <v>13610</v>
      </c>
      <c r="V5108" t="s">
        <v>13610</v>
      </c>
      <c r="W5108" t="s">
        <v>18653</v>
      </c>
      <c r="X5108">
        <v>3</v>
      </c>
      <c r="Y5108" t="s">
        <v>25223</v>
      </c>
      <c r="Z5108" t="s">
        <v>31963</v>
      </c>
      <c r="AA5108">
        <v>0.81176827115002126</v>
      </c>
      <c r="AB5108" t="str">
        <f>HYPERLINK("Melting_Curves/meltCurve_Q96FN9_DTD2.pdf", "Melting_Curves/meltCurve_Q96FN9_DTD2.pdf")</f>
        <v>Melting_Curves/meltCurve_Q96FN9_DTD2.pdf</v>
      </c>
    </row>
    <row r="5109" spans="1:28" x14ac:dyDescent="0.25">
      <c r="A5109" t="s">
        <v>5113</v>
      </c>
      <c r="B5109">
        <v>0.995954080203443</v>
      </c>
      <c r="C5109">
        <v>0.94931749781341201</v>
      </c>
      <c r="D5109">
        <v>0.878895774655997</v>
      </c>
      <c r="E5109">
        <v>0.59784542369294602</v>
      </c>
      <c r="F5109">
        <v>0.42189157547247902</v>
      </c>
      <c r="G5109">
        <v>0.29109104254653201</v>
      </c>
      <c r="H5109">
        <v>0.24550825862786901</v>
      </c>
      <c r="I5109">
        <v>0.274043926706246</v>
      </c>
      <c r="J5109">
        <v>0.31681207859291999</v>
      </c>
      <c r="K5109">
        <v>0.31170727001357401</v>
      </c>
      <c r="L5109">
        <v>1079.3350490284099</v>
      </c>
      <c r="M5109">
        <v>21.849745381235799</v>
      </c>
      <c r="N5109">
        <v>51.314345306203698</v>
      </c>
      <c r="O5109">
        <v>48.989844889459199</v>
      </c>
      <c r="P5109">
        <v>-8.0406512307755099E-2</v>
      </c>
      <c r="Q5109">
        <v>0.27889064796428098</v>
      </c>
      <c r="R5109">
        <v>0.99307030632006699</v>
      </c>
      <c r="S5109" t="s">
        <v>11915</v>
      </c>
      <c r="T5109" t="s">
        <v>13610</v>
      </c>
      <c r="U5109" t="s">
        <v>13610</v>
      </c>
      <c r="V5109" t="s">
        <v>13610</v>
      </c>
      <c r="W5109" t="s">
        <v>18654</v>
      </c>
      <c r="X5109">
        <v>21</v>
      </c>
      <c r="Y5109" t="s">
        <v>25224</v>
      </c>
      <c r="Z5109" t="s">
        <v>31964</v>
      </c>
      <c r="AA5109">
        <v>0.51321923244870216</v>
      </c>
      <c r="AB5109" t="str">
        <f>HYPERLINK("Melting_Curves/meltCurve_Q96FS4_SIPA1.pdf", "Melting_Curves/meltCurve_Q96FS4_SIPA1.pdf")</f>
        <v>Melting_Curves/meltCurve_Q96FS4_SIPA1.pdf</v>
      </c>
    </row>
    <row r="5110" spans="1:28" x14ac:dyDescent="0.25">
      <c r="A5110" t="s">
        <v>5114</v>
      </c>
      <c r="B5110">
        <v>0.995954080203443</v>
      </c>
      <c r="C5110">
        <v>1.00600415445552</v>
      </c>
      <c r="D5110">
        <v>0.93020317639041605</v>
      </c>
      <c r="E5110">
        <v>1.1048075213926201</v>
      </c>
      <c r="F5110">
        <v>1.0581412139258199</v>
      </c>
      <c r="G5110">
        <v>0.84627252401575004</v>
      </c>
      <c r="H5110">
        <v>0.83904272554374204</v>
      </c>
      <c r="I5110">
        <v>0.89426642596116301</v>
      </c>
      <c r="J5110">
        <v>0.98809459948453005</v>
      </c>
      <c r="K5110">
        <v>1.1671284004724101</v>
      </c>
      <c r="L5110">
        <v>15000</v>
      </c>
      <c r="M5110">
        <v>213.59670337828899</v>
      </c>
      <c r="Q5110">
        <v>1.5</v>
      </c>
      <c r="R5110">
        <v>0.23803495029903399</v>
      </c>
      <c r="S5110" t="s">
        <v>11916</v>
      </c>
      <c r="T5110" t="s">
        <v>13610</v>
      </c>
      <c r="U5110" t="s">
        <v>13610</v>
      </c>
      <c r="V5110" t="s">
        <v>13610</v>
      </c>
      <c r="W5110" t="s">
        <v>18655</v>
      </c>
      <c r="X5110">
        <v>4</v>
      </c>
      <c r="Y5110" t="s">
        <v>25225</v>
      </c>
      <c r="Z5110" t="s">
        <v>31965</v>
      </c>
      <c r="AA5110">
        <v>1.002192508931889</v>
      </c>
      <c r="AB5110" t="str">
        <f>HYPERLINK("Melting_Curves/meltCurve_Q96FT9_IFT43.pdf", "Melting_Curves/meltCurve_Q96FT9_IFT43.pdf")</f>
        <v>Melting_Curves/meltCurve_Q96FT9_IFT43.pdf</v>
      </c>
    </row>
    <row r="5111" spans="1:28" x14ac:dyDescent="0.25">
      <c r="A5111" t="s">
        <v>5115</v>
      </c>
      <c r="B5111">
        <v>0.995954080203443</v>
      </c>
      <c r="C5111">
        <v>0.96870911494647605</v>
      </c>
      <c r="D5111">
        <v>1.02650280355454</v>
      </c>
      <c r="E5111">
        <v>0.803667214737803</v>
      </c>
      <c r="F5111">
        <v>0.47429549345583</v>
      </c>
      <c r="G5111">
        <v>0.30699264307376201</v>
      </c>
      <c r="H5111">
        <v>0.21102255967672301</v>
      </c>
      <c r="I5111">
        <v>0.14954009675334401</v>
      </c>
      <c r="J5111">
        <v>0.21761363756261601</v>
      </c>
      <c r="K5111">
        <v>0.134748959704973</v>
      </c>
      <c r="L5111">
        <v>1344.49936267678</v>
      </c>
      <c r="M5111">
        <v>25.7831855185091</v>
      </c>
      <c r="N5111">
        <v>53.049457262909002</v>
      </c>
      <c r="O5111">
        <v>51.835704611903999</v>
      </c>
      <c r="P5111">
        <v>-0.102262517653693</v>
      </c>
      <c r="Q5111">
        <v>0.17763666744366799</v>
      </c>
      <c r="R5111">
        <v>0.99108151348315199</v>
      </c>
      <c r="S5111" t="s">
        <v>11917</v>
      </c>
      <c r="T5111" t="s">
        <v>13610</v>
      </c>
      <c r="U5111" t="s">
        <v>13610</v>
      </c>
      <c r="V5111" t="s">
        <v>13610</v>
      </c>
      <c r="W5111" t="s">
        <v>18656</v>
      </c>
      <c r="X5111">
        <v>9</v>
      </c>
      <c r="Y5111" t="s">
        <v>25226</v>
      </c>
      <c r="Z5111" t="s">
        <v>31966</v>
      </c>
      <c r="AA5111">
        <v>0.51767862910681472</v>
      </c>
      <c r="AB5111" t="str">
        <f>HYPERLINK("Melting_Curves/meltCurve_Q96FV2_2_SCRN2.pdf", "Melting_Curves/meltCurve_Q96FV2_2_SCRN2.pdf")</f>
        <v>Melting_Curves/meltCurve_Q96FV2_2_SCRN2.pdf</v>
      </c>
    </row>
    <row r="5112" spans="1:28" x14ac:dyDescent="0.25">
      <c r="A5112" t="s">
        <v>5116</v>
      </c>
      <c r="B5112">
        <v>0.995954080203443</v>
      </c>
      <c r="C5112">
        <v>0.73985075216718899</v>
      </c>
      <c r="D5112">
        <v>0.512848182574835</v>
      </c>
      <c r="E5112">
        <v>0.456669019374635</v>
      </c>
      <c r="F5112">
        <v>0.217443269623432</v>
      </c>
      <c r="G5112">
        <v>0.13904658983361301</v>
      </c>
      <c r="H5112">
        <v>0.102945115873063</v>
      </c>
      <c r="I5112">
        <v>0.100375299363893</v>
      </c>
      <c r="J5112">
        <v>0.127049930543817</v>
      </c>
      <c r="K5112">
        <v>0.119456061122668</v>
      </c>
      <c r="L5112">
        <v>616.15799702584104</v>
      </c>
      <c r="M5112">
        <v>13.2386023637783</v>
      </c>
      <c r="N5112">
        <v>47.258120081651299</v>
      </c>
      <c r="O5112">
        <v>45.518993727132198</v>
      </c>
      <c r="P5112">
        <v>-6.6116425475692797E-2</v>
      </c>
      <c r="Q5112">
        <v>9.08230901640735E-2</v>
      </c>
      <c r="R5112">
        <v>0.96862709449627404</v>
      </c>
      <c r="S5112" t="s">
        <v>11918</v>
      </c>
      <c r="T5112" t="s">
        <v>13610</v>
      </c>
      <c r="U5112" t="s">
        <v>13610</v>
      </c>
      <c r="V5112" t="s">
        <v>13610</v>
      </c>
      <c r="W5112" t="s">
        <v>18657</v>
      </c>
      <c r="X5112">
        <v>15</v>
      </c>
      <c r="Y5112" t="s">
        <v>25227</v>
      </c>
      <c r="Z5112" t="s">
        <v>31967</v>
      </c>
      <c r="AA5112">
        <v>0.32189383256420467</v>
      </c>
      <c r="AB5112" t="str">
        <f>HYPERLINK("Melting_Curves/meltCurve_Q96FV9_THOC1.pdf", "Melting_Curves/meltCurve_Q96FV9_THOC1.pdf")</f>
        <v>Melting_Curves/meltCurve_Q96FV9_THOC1.pdf</v>
      </c>
    </row>
    <row r="5113" spans="1:28" x14ac:dyDescent="0.25">
      <c r="A5113" t="s">
        <v>5117</v>
      </c>
      <c r="B5113">
        <v>0.995954080203443</v>
      </c>
      <c r="C5113">
        <v>1.04701863253327</v>
      </c>
      <c r="D5113">
        <v>1.0484441817846599</v>
      </c>
      <c r="E5113">
        <v>1.0167003907816301</v>
      </c>
      <c r="F5113">
        <v>0.99356337834068498</v>
      </c>
      <c r="G5113">
        <v>0.69326489140626402</v>
      </c>
      <c r="H5113">
        <v>0.77228902305435099</v>
      </c>
      <c r="I5113">
        <v>0.89169985057354295</v>
      </c>
      <c r="J5113">
        <v>0.95877991215759995</v>
      </c>
      <c r="K5113">
        <v>1.0517966757735799</v>
      </c>
      <c r="L5113">
        <v>13405.0387356666</v>
      </c>
      <c r="M5113">
        <v>250</v>
      </c>
      <c r="O5113">
        <v>53.616723935338499</v>
      </c>
      <c r="P5113">
        <v>-0.14738161923774401</v>
      </c>
      <c r="Q5113">
        <v>0.87356608745006104</v>
      </c>
      <c r="R5113">
        <v>0.37338961215274302</v>
      </c>
      <c r="S5113" t="s">
        <v>11919</v>
      </c>
      <c r="T5113" t="s">
        <v>13610</v>
      </c>
      <c r="U5113" t="s">
        <v>13610</v>
      </c>
      <c r="V5113" t="s">
        <v>13610</v>
      </c>
      <c r="W5113" t="s">
        <v>18658</v>
      </c>
      <c r="X5113">
        <v>1</v>
      </c>
      <c r="Y5113" t="s">
        <v>25228</v>
      </c>
      <c r="Z5113" t="s">
        <v>31968</v>
      </c>
      <c r="AA5113">
        <v>0.93097963449997134</v>
      </c>
      <c r="AB5113" t="str">
        <f>HYPERLINK("Melting_Curves/meltCurve_Q96FX2_DPH3.pdf", "Melting_Curves/meltCurve_Q96FX2_DPH3.pdf")</f>
        <v>Melting_Curves/meltCurve_Q96FX2_DPH3.pdf</v>
      </c>
    </row>
    <row r="5114" spans="1:28" x14ac:dyDescent="0.25">
      <c r="A5114" t="s">
        <v>5118</v>
      </c>
      <c r="B5114">
        <v>0.995954080203443</v>
      </c>
      <c r="C5114">
        <v>0.87091567711673801</v>
      </c>
      <c r="D5114">
        <v>0.74101162694047595</v>
      </c>
      <c r="E5114">
        <v>0.86756785446033902</v>
      </c>
      <c r="F5114">
        <v>0.63152168609311499</v>
      </c>
      <c r="G5114">
        <v>0.40502702439578597</v>
      </c>
      <c r="H5114">
        <v>0.10793370252297101</v>
      </c>
      <c r="I5114">
        <v>6.1402530148853302E-2</v>
      </c>
      <c r="J5114">
        <v>4.69598776478009E-2</v>
      </c>
      <c r="K5114">
        <v>4.6132399553559099E-2</v>
      </c>
      <c r="L5114">
        <v>792.27775553030801</v>
      </c>
      <c r="M5114">
        <v>14.5031053720309</v>
      </c>
      <c r="N5114">
        <v>54.628145876813598</v>
      </c>
      <c r="O5114">
        <v>53.6210610592723</v>
      </c>
      <c r="P5114">
        <v>-6.7626306152891905E-2</v>
      </c>
      <c r="Q5114">
        <v>0</v>
      </c>
      <c r="R5114">
        <v>0.950248747017155</v>
      </c>
      <c r="S5114" t="s">
        <v>11920</v>
      </c>
      <c r="T5114" t="s">
        <v>13610</v>
      </c>
      <c r="U5114" t="s">
        <v>13610</v>
      </c>
      <c r="V5114" t="s">
        <v>13610</v>
      </c>
      <c r="W5114" t="s">
        <v>18659</v>
      </c>
      <c r="X5114">
        <v>6</v>
      </c>
      <c r="Y5114" t="s">
        <v>25229</v>
      </c>
      <c r="Z5114" t="s">
        <v>31969</v>
      </c>
      <c r="AA5114">
        <v>0.50812915435632222</v>
      </c>
      <c r="AB5114" t="str">
        <f>HYPERLINK("Melting_Curves/meltCurve_Q96FX7_TRMT61A.pdf", "Melting_Curves/meltCurve_Q96FX7_TRMT61A.pdf")</f>
        <v>Melting_Curves/meltCurve_Q96FX7_TRMT61A.pdf</v>
      </c>
    </row>
    <row r="5115" spans="1:28" x14ac:dyDescent="0.25">
      <c r="A5115" t="s">
        <v>5119</v>
      </c>
      <c r="B5115">
        <v>0.995954080203443</v>
      </c>
      <c r="C5115">
        <v>1.0079850500808101</v>
      </c>
      <c r="D5115">
        <v>1.01480251637514</v>
      </c>
      <c r="E5115">
        <v>0.91392664735277696</v>
      </c>
      <c r="F5115">
        <v>0.82893935648914996</v>
      </c>
      <c r="G5115">
        <v>0.53366070414775602</v>
      </c>
      <c r="H5115">
        <v>0.20682538674590201</v>
      </c>
      <c r="I5115">
        <v>0.106686423211398</v>
      </c>
      <c r="J5115">
        <v>0.105597619686408</v>
      </c>
      <c r="K5115">
        <v>8.6938507676585702E-2</v>
      </c>
      <c r="L5115">
        <v>1234.39158016378</v>
      </c>
      <c r="M5115">
        <v>21.747551664787</v>
      </c>
      <c r="N5115">
        <v>57.080309090845901</v>
      </c>
      <c r="O5115">
        <v>56.286638847711203</v>
      </c>
      <c r="P5115">
        <v>-9.1046873856823501E-2</v>
      </c>
      <c r="Q5115">
        <v>5.7438218385428598E-2</v>
      </c>
      <c r="R5115">
        <v>0.99726255930222596</v>
      </c>
      <c r="S5115" t="s">
        <v>11921</v>
      </c>
      <c r="T5115" t="s">
        <v>13610</v>
      </c>
      <c r="U5115" t="s">
        <v>13610</v>
      </c>
      <c r="V5115" t="s">
        <v>13610</v>
      </c>
      <c r="W5115" t="s">
        <v>18660</v>
      </c>
      <c r="X5115">
        <v>37</v>
      </c>
      <c r="Y5115" t="s">
        <v>25230</v>
      </c>
      <c r="Z5115" t="s">
        <v>31970</v>
      </c>
      <c r="AA5115">
        <v>0.59451027116311761</v>
      </c>
      <c r="AB5115" t="str">
        <f>HYPERLINK("Melting_Curves/meltCurve_Q96G03_PGM2.pdf", "Melting_Curves/meltCurve_Q96G03_PGM2.pdf")</f>
        <v>Melting_Curves/meltCurve_Q96G03_PGM2.pdf</v>
      </c>
    </row>
    <row r="5116" spans="1:28" x14ac:dyDescent="0.25">
      <c r="A5116" t="s">
        <v>5120</v>
      </c>
      <c r="B5116">
        <v>0.995954080203443</v>
      </c>
      <c r="C5116">
        <v>0.74373922974024698</v>
      </c>
      <c r="D5116">
        <v>0.85651799874085899</v>
      </c>
      <c r="E5116">
        <v>0.76578251854469204</v>
      </c>
      <c r="F5116">
        <v>0.68364129656546002</v>
      </c>
      <c r="G5116">
        <v>0.50388308079729804</v>
      </c>
      <c r="H5116">
        <v>0.46277153749401301</v>
      </c>
      <c r="I5116">
        <v>0.542682484446803</v>
      </c>
      <c r="J5116">
        <v>0.71961416068708695</v>
      </c>
      <c r="K5116">
        <v>0.64055585147952299</v>
      </c>
      <c r="L5116">
        <v>531.12046029900205</v>
      </c>
      <c r="M5116">
        <v>11.4722263234199</v>
      </c>
      <c r="O5116">
        <v>44.956525186111598</v>
      </c>
      <c r="P5116">
        <v>-2.7432061855791001E-2</v>
      </c>
      <c r="Q5116">
        <v>0.57012845927051103</v>
      </c>
      <c r="R5116">
        <v>0.64771524111800005</v>
      </c>
      <c r="S5116" t="s">
        <v>11922</v>
      </c>
      <c r="T5116" t="s">
        <v>13610</v>
      </c>
      <c r="U5116" t="s">
        <v>13610</v>
      </c>
      <c r="V5116" t="s">
        <v>13610</v>
      </c>
      <c r="W5116" t="s">
        <v>18661</v>
      </c>
      <c r="X5116">
        <v>4</v>
      </c>
      <c r="Y5116" t="s">
        <v>25231</v>
      </c>
      <c r="Z5116" t="s">
        <v>31971</v>
      </c>
      <c r="AA5116">
        <v>0.68105806719747863</v>
      </c>
      <c r="AB5116" t="str">
        <f>HYPERLINK("Melting_Curves/meltCurve_Q96G25_MED8.pdf", "Melting_Curves/meltCurve_Q96G25_MED8.pdf")</f>
        <v>Melting_Curves/meltCurve_Q96G25_MED8.pdf</v>
      </c>
    </row>
    <row r="5117" spans="1:28" x14ac:dyDescent="0.25">
      <c r="A5117" t="s">
        <v>5121</v>
      </c>
      <c r="B5117">
        <v>0.995954080203443</v>
      </c>
      <c r="C5117">
        <v>0.929827008875585</v>
      </c>
      <c r="D5117">
        <v>0.96691776236767901</v>
      </c>
      <c r="E5117">
        <v>0.68533706516350601</v>
      </c>
      <c r="F5117">
        <v>0.52868735069247796</v>
      </c>
      <c r="G5117">
        <v>0.368831542261289</v>
      </c>
      <c r="H5117">
        <v>0.35070939334968798</v>
      </c>
      <c r="I5117">
        <v>0.47127925141750998</v>
      </c>
      <c r="J5117">
        <v>0.47269131076856202</v>
      </c>
      <c r="K5117">
        <v>0.52358193602486003</v>
      </c>
      <c r="L5117">
        <v>1614.4005358146801</v>
      </c>
      <c r="M5117">
        <v>32.501146239584003</v>
      </c>
      <c r="N5117">
        <v>53.123888026599701</v>
      </c>
      <c r="O5117">
        <v>49.4851960838647</v>
      </c>
      <c r="P5117">
        <v>-9.2034103395414499E-2</v>
      </c>
      <c r="Q5117">
        <v>0.43949004603677999</v>
      </c>
      <c r="R5117">
        <v>0.94861278224740397</v>
      </c>
      <c r="S5117" t="s">
        <v>11923</v>
      </c>
      <c r="T5117" t="s">
        <v>13610</v>
      </c>
      <c r="U5117" t="s">
        <v>13610</v>
      </c>
      <c r="V5117" t="s">
        <v>13610</v>
      </c>
      <c r="W5117" t="s">
        <v>18662</v>
      </c>
      <c r="X5117">
        <v>14</v>
      </c>
      <c r="Y5117" t="s">
        <v>25232</v>
      </c>
      <c r="Z5117" t="s">
        <v>31972</v>
      </c>
      <c r="AA5117">
        <v>0.62313175470088167</v>
      </c>
      <c r="AB5117" t="str">
        <f>HYPERLINK("Melting_Curves/meltCurve_Q96G28_CCDC104.pdf", "Melting_Curves/meltCurve_Q96G28_CCDC104.pdf")</f>
        <v>Melting_Curves/meltCurve_Q96G28_CCDC104.pdf</v>
      </c>
    </row>
    <row r="5118" spans="1:28" x14ac:dyDescent="0.25">
      <c r="A5118" t="s">
        <v>5122</v>
      </c>
      <c r="B5118">
        <v>0.995954080203443</v>
      </c>
      <c r="C5118">
        <v>0.92626867166815796</v>
      </c>
      <c r="D5118">
        <v>0.89347247384556805</v>
      </c>
      <c r="E5118">
        <v>0.74980395082305795</v>
      </c>
      <c r="F5118">
        <v>0.58584397925852305</v>
      </c>
      <c r="G5118">
        <v>0.29467675399927901</v>
      </c>
      <c r="H5118">
        <v>0.18436198144094201</v>
      </c>
      <c r="I5118">
        <v>0.139966979402083</v>
      </c>
      <c r="J5118">
        <v>0.14677936102279099</v>
      </c>
      <c r="K5118">
        <v>0.13138512438370201</v>
      </c>
      <c r="L5118">
        <v>814.44969252552801</v>
      </c>
      <c r="M5118">
        <v>15.3601951978223</v>
      </c>
      <c r="N5118">
        <v>53.748078243416302</v>
      </c>
      <c r="O5118">
        <v>52.149049680623001</v>
      </c>
      <c r="P5118">
        <v>-6.6754904871545895E-2</v>
      </c>
      <c r="Q5118">
        <v>9.3531204225413805E-2</v>
      </c>
      <c r="R5118">
        <v>0.99435084113279104</v>
      </c>
      <c r="S5118" t="s">
        <v>11924</v>
      </c>
      <c r="T5118" t="s">
        <v>13610</v>
      </c>
      <c r="U5118" t="s">
        <v>13610</v>
      </c>
      <c r="V5118" t="s">
        <v>13610</v>
      </c>
      <c r="W5118" t="s">
        <v>18663</v>
      </c>
      <c r="X5118">
        <v>24</v>
      </c>
      <c r="Y5118" t="s">
        <v>25233</v>
      </c>
      <c r="Z5118" t="s">
        <v>31973</v>
      </c>
      <c r="AA5118">
        <v>0.50588999054942996</v>
      </c>
      <c r="AB5118" t="str">
        <f>HYPERLINK("Melting_Curves/meltCurve_Q96G46_DUS3L.pdf", "Melting_Curves/meltCurve_Q96G46_DUS3L.pdf")</f>
        <v>Melting_Curves/meltCurve_Q96G46_DUS3L.pdf</v>
      </c>
    </row>
    <row r="5119" spans="1:28" x14ac:dyDescent="0.25">
      <c r="A5119" t="s">
        <v>5123</v>
      </c>
      <c r="B5119">
        <v>0.995954080203443</v>
      </c>
      <c r="C5119">
        <v>0.99487685351060995</v>
      </c>
      <c r="D5119">
        <v>0.89877331431894902</v>
      </c>
      <c r="E5119">
        <v>0.891331496564992</v>
      </c>
      <c r="F5119">
        <v>0.74235398399053198</v>
      </c>
      <c r="G5119">
        <v>0.50444265110349396</v>
      </c>
      <c r="H5119">
        <v>0.42107275635677999</v>
      </c>
      <c r="I5119">
        <v>0.44920397153747998</v>
      </c>
      <c r="J5119">
        <v>0.55361781093208196</v>
      </c>
      <c r="K5119">
        <v>0.51576881838640498</v>
      </c>
      <c r="L5119">
        <v>1487.74344156095</v>
      </c>
      <c r="M5119">
        <v>28.2708496096711</v>
      </c>
      <c r="N5119">
        <v>59.192560413959399</v>
      </c>
      <c r="O5119">
        <v>52.363445804575697</v>
      </c>
      <c r="P5119">
        <v>-7.0417806231434801E-2</v>
      </c>
      <c r="Q5119">
        <v>0.47829105997034499</v>
      </c>
      <c r="R5119">
        <v>0.95305332430471501</v>
      </c>
      <c r="S5119" t="s">
        <v>11925</v>
      </c>
      <c r="T5119" t="s">
        <v>13610</v>
      </c>
      <c r="U5119" t="s">
        <v>13610</v>
      </c>
      <c r="V5119" t="s">
        <v>13610</v>
      </c>
      <c r="W5119" t="s">
        <v>18664</v>
      </c>
      <c r="X5119">
        <v>14</v>
      </c>
      <c r="Y5119" t="s">
        <v>25234</v>
      </c>
      <c r="Z5119" t="s">
        <v>31974</v>
      </c>
      <c r="AA5119">
        <v>0.70161767432024646</v>
      </c>
      <c r="AB5119" t="str">
        <f>HYPERLINK("Melting_Curves/meltCurve_Q96G74_3_OTUD5.pdf", "Melting_Curves/meltCurve_Q96G74_3_OTUD5.pdf")</f>
        <v>Melting_Curves/meltCurve_Q96G74_3_OTUD5.pdf</v>
      </c>
    </row>
    <row r="5120" spans="1:28" x14ac:dyDescent="0.25">
      <c r="A5120" t="s">
        <v>5124</v>
      </c>
      <c r="B5120">
        <v>0.995954080203443</v>
      </c>
      <c r="C5120">
        <v>0.97926284400353303</v>
      </c>
      <c r="D5120">
        <v>0.94265187220563795</v>
      </c>
      <c r="E5120">
        <v>0.82640679531191497</v>
      </c>
      <c r="F5120">
        <v>0.76911399854762696</v>
      </c>
      <c r="G5120">
        <v>0.59023985785000299</v>
      </c>
      <c r="H5120">
        <v>0.56856754825262801</v>
      </c>
      <c r="I5120">
        <v>0.67952760660766298</v>
      </c>
      <c r="J5120">
        <v>0.80827655768725404</v>
      </c>
      <c r="K5120">
        <v>0.72662182612035997</v>
      </c>
      <c r="L5120">
        <v>1275.6051856066599</v>
      </c>
      <c r="M5120">
        <v>25.728162499330999</v>
      </c>
      <c r="O5120">
        <v>49.283491491264598</v>
      </c>
      <c r="P5120">
        <v>-4.1900847982655101E-2</v>
      </c>
      <c r="Q5120">
        <v>0.67895177469349499</v>
      </c>
      <c r="R5120">
        <v>0.79072570708662504</v>
      </c>
      <c r="S5120" t="s">
        <v>11926</v>
      </c>
      <c r="T5120" t="s">
        <v>13610</v>
      </c>
      <c r="U5120" t="s">
        <v>13610</v>
      </c>
      <c r="V5120" t="s">
        <v>13610</v>
      </c>
      <c r="W5120" t="s">
        <v>18665</v>
      </c>
      <c r="X5120">
        <v>14</v>
      </c>
      <c r="Y5120" t="s">
        <v>25235</v>
      </c>
      <c r="Z5120" t="s">
        <v>31975</v>
      </c>
      <c r="AA5120">
        <v>0.78417033631650346</v>
      </c>
      <c r="AB5120" t="str">
        <f>HYPERLINK("Melting_Curves/meltCurve_Q96GA3_LTV1.pdf", "Melting_Curves/meltCurve_Q96GA3_LTV1.pdf")</f>
        <v>Melting_Curves/meltCurve_Q96GA3_LTV1.pdf</v>
      </c>
    </row>
    <row r="5121" spans="1:28" x14ac:dyDescent="0.25">
      <c r="A5121" t="s">
        <v>5125</v>
      </c>
      <c r="B5121">
        <v>0.995954080203443</v>
      </c>
      <c r="C5121">
        <v>0.97399520829230501</v>
      </c>
      <c r="D5121">
        <v>0.99067897420053597</v>
      </c>
      <c r="E5121">
        <v>0.86839605910995199</v>
      </c>
      <c r="F5121">
        <v>0.80574247677854705</v>
      </c>
      <c r="G5121">
        <v>0.60522981466536696</v>
      </c>
      <c r="H5121">
        <v>0.44041160548219299</v>
      </c>
      <c r="I5121">
        <v>0.36807514599716701</v>
      </c>
      <c r="J5121">
        <v>0.28125142905277001</v>
      </c>
      <c r="K5121">
        <v>0.14264396454888101</v>
      </c>
      <c r="L5121">
        <v>616.888440246806</v>
      </c>
      <c r="M5121">
        <v>10.3042800218709</v>
      </c>
      <c r="N5121">
        <v>59.867228479283497</v>
      </c>
      <c r="O5121">
        <v>57.743954382727203</v>
      </c>
      <c r="P5121">
        <v>-4.4631289475719697E-2</v>
      </c>
      <c r="Q5121">
        <v>0</v>
      </c>
      <c r="R5121">
        <v>0.99385286705740805</v>
      </c>
      <c r="S5121" t="s">
        <v>11927</v>
      </c>
      <c r="T5121" t="s">
        <v>13610</v>
      </c>
      <c r="U5121" t="s">
        <v>13610</v>
      </c>
      <c r="V5121" t="s">
        <v>13610</v>
      </c>
      <c r="W5121" t="s">
        <v>18666</v>
      </c>
      <c r="X5121">
        <v>12</v>
      </c>
      <c r="Y5121" t="s">
        <v>25236</v>
      </c>
      <c r="Z5121" t="s">
        <v>31976</v>
      </c>
      <c r="AA5121">
        <v>0.6604465396118504</v>
      </c>
      <c r="AB5121" t="str">
        <f>HYPERLINK("Melting_Curves/meltCurve_Q96GA7_SDSL.pdf", "Melting_Curves/meltCurve_Q96GA7_SDSL.pdf")</f>
        <v>Melting_Curves/meltCurve_Q96GA7_SDSL.pdf</v>
      </c>
    </row>
    <row r="5122" spans="1:28" x14ac:dyDescent="0.25">
      <c r="A5122" t="s">
        <v>5126</v>
      </c>
      <c r="B5122">
        <v>0.995954080203443</v>
      </c>
      <c r="C5122">
        <v>1.0352216577992499</v>
      </c>
      <c r="D5122">
        <v>1.0332657757227</v>
      </c>
      <c r="E5122">
        <v>0.93291103025978095</v>
      </c>
      <c r="F5122">
        <v>0.86827820040262105</v>
      </c>
      <c r="G5122">
        <v>0.65406727635346895</v>
      </c>
      <c r="H5122">
        <v>0.52326790921520205</v>
      </c>
      <c r="I5122">
        <v>0.52256411004124204</v>
      </c>
      <c r="J5122">
        <v>0.54287471318201497</v>
      </c>
      <c r="K5122">
        <v>0.35590845143899402</v>
      </c>
      <c r="L5122">
        <v>1020.10955522104</v>
      </c>
      <c r="M5122">
        <v>18.195738510717799</v>
      </c>
      <c r="N5122">
        <v>63.034852531815297</v>
      </c>
      <c r="O5122">
        <v>55.3991065706131</v>
      </c>
      <c r="P5122">
        <v>-4.6545653424729001E-2</v>
      </c>
      <c r="Q5122">
        <v>0.433171521275378</v>
      </c>
      <c r="R5122">
        <v>0.96415067440178204</v>
      </c>
      <c r="S5122" t="s">
        <v>11928</v>
      </c>
      <c r="T5122" t="s">
        <v>13610</v>
      </c>
      <c r="U5122" t="s">
        <v>13610</v>
      </c>
      <c r="V5122" t="s">
        <v>13610</v>
      </c>
      <c r="W5122" t="s">
        <v>13690</v>
      </c>
      <c r="X5122">
        <v>21</v>
      </c>
      <c r="Y5122" t="s">
        <v>20410</v>
      </c>
      <c r="Z5122" t="s">
        <v>31977</v>
      </c>
      <c r="AA5122">
        <v>0.74488548733199123</v>
      </c>
      <c r="AB5122" t="str">
        <f>HYPERLINK("Melting_Curves/meltCurve_Q96GD0_PDXP.pdf", "Melting_Curves/meltCurve_Q96GD0_PDXP.pdf")</f>
        <v>Melting_Curves/meltCurve_Q96GD0_PDXP.pdf</v>
      </c>
    </row>
    <row r="5123" spans="1:28" x14ac:dyDescent="0.25">
      <c r="A5123" t="s">
        <v>5127</v>
      </c>
      <c r="B5123">
        <v>0.995954080203443</v>
      </c>
      <c r="C5123">
        <v>1.0050346540170101</v>
      </c>
      <c r="D5123">
        <v>0.99538640467461603</v>
      </c>
      <c r="E5123">
        <v>0.809718523999018</v>
      </c>
      <c r="F5123">
        <v>0.47662868126042301</v>
      </c>
      <c r="G5123">
        <v>0.217917904845423</v>
      </c>
      <c r="H5123">
        <v>0.11943795100037299</v>
      </c>
      <c r="I5123">
        <v>8.1099478374207307E-2</v>
      </c>
      <c r="J5123">
        <v>8.9624850328739306E-2</v>
      </c>
      <c r="K5123">
        <v>6.8811984281414301E-2</v>
      </c>
      <c r="L5123">
        <v>1312.39391228608</v>
      </c>
      <c r="M5123">
        <v>24.961613047247798</v>
      </c>
      <c r="N5123">
        <v>52.952177060119297</v>
      </c>
      <c r="O5123">
        <v>52.242517191901499</v>
      </c>
      <c r="P5123">
        <v>-0.109758463425077</v>
      </c>
      <c r="Q5123">
        <v>8.1151992644559495E-2</v>
      </c>
      <c r="R5123">
        <v>0.99887962136030894</v>
      </c>
      <c r="S5123" t="s">
        <v>11929</v>
      </c>
      <c r="T5123" t="s">
        <v>13610</v>
      </c>
      <c r="U5123" t="s">
        <v>13610</v>
      </c>
      <c r="V5123" t="s">
        <v>13610</v>
      </c>
      <c r="W5123" t="s">
        <v>18667</v>
      </c>
      <c r="X5123">
        <v>4</v>
      </c>
      <c r="Y5123" t="s">
        <v>25237</v>
      </c>
      <c r="Z5123" t="s">
        <v>31978</v>
      </c>
      <c r="AA5123">
        <v>0.47480494315057448</v>
      </c>
      <c r="AB5123" t="str">
        <f>HYPERLINK("Melting_Curves/meltCurve_Q96GE4_CEP95.pdf", "Melting_Curves/meltCurve_Q96GE4_CEP95.pdf")</f>
        <v>Melting_Curves/meltCurve_Q96GE4_CEP95.pdf</v>
      </c>
    </row>
    <row r="5124" spans="1:28" x14ac:dyDescent="0.25">
      <c r="A5124" t="s">
        <v>5128</v>
      </c>
      <c r="B5124">
        <v>0.995954080203443</v>
      </c>
      <c r="C5124">
        <v>0.89829278351680597</v>
      </c>
      <c r="D5124">
        <v>0.82596237506693204</v>
      </c>
      <c r="E5124">
        <v>0.88491740966624499</v>
      </c>
      <c r="F5124">
        <v>0.479059122192799</v>
      </c>
      <c r="G5124">
        <v>0.127161649900871</v>
      </c>
      <c r="H5124">
        <v>7.7412189416186106E-2</v>
      </c>
      <c r="I5124">
        <v>6.63521300048176E-2</v>
      </c>
      <c r="J5124">
        <v>7.9841933570988399E-2</v>
      </c>
      <c r="K5124">
        <v>7.2791772829573595E-2</v>
      </c>
      <c r="L5124">
        <v>1744.1603527038701</v>
      </c>
      <c r="M5124">
        <v>33.133224139044103</v>
      </c>
      <c r="N5124">
        <v>52.876020250897</v>
      </c>
      <c r="O5124">
        <v>52.450181676275697</v>
      </c>
      <c r="P5124">
        <v>-0.14710731412973199</v>
      </c>
      <c r="Q5124">
        <v>6.8515460482314106E-2</v>
      </c>
      <c r="R5124">
        <v>0.97420165018403504</v>
      </c>
      <c r="S5124" t="s">
        <v>11930</v>
      </c>
      <c r="T5124" t="s">
        <v>13610</v>
      </c>
      <c r="U5124" t="s">
        <v>13610</v>
      </c>
      <c r="V5124" t="s">
        <v>13610</v>
      </c>
      <c r="W5124" t="s">
        <v>18668</v>
      </c>
      <c r="X5124">
        <v>11</v>
      </c>
      <c r="Y5124" t="s">
        <v>25238</v>
      </c>
      <c r="Z5124" t="s">
        <v>31979</v>
      </c>
      <c r="AA5124">
        <v>0.46594331128731797</v>
      </c>
      <c r="AB5124" t="str">
        <f>HYPERLINK("Melting_Curves/meltCurve_Q96GG9_DCUN1D1.pdf", "Melting_Curves/meltCurve_Q96GG9_DCUN1D1.pdf")</f>
        <v>Melting_Curves/meltCurve_Q96GG9_DCUN1D1.pdf</v>
      </c>
    </row>
    <row r="5125" spans="1:28" x14ac:dyDescent="0.25">
      <c r="A5125" t="s">
        <v>5129</v>
      </c>
      <c r="B5125">
        <v>0.995954080203443</v>
      </c>
      <c r="C5125">
        <v>1.03588026479236</v>
      </c>
      <c r="D5125">
        <v>0.90249445461403199</v>
      </c>
      <c r="E5125">
        <v>0.58395130103835002</v>
      </c>
      <c r="F5125">
        <v>0.21611071611695401</v>
      </c>
      <c r="G5125">
        <v>9.1485321318603596E-2</v>
      </c>
      <c r="H5125">
        <v>6.7475439273961393E-2</v>
      </c>
      <c r="I5125">
        <v>5.7971553522053E-2</v>
      </c>
      <c r="J5125">
        <v>9.8185970395196998E-2</v>
      </c>
      <c r="K5125">
        <v>6.8536797563663807E-2</v>
      </c>
      <c r="L5125">
        <v>1480.51656274275</v>
      </c>
      <c r="M5125">
        <v>29.475635681817899</v>
      </c>
      <c r="N5125">
        <v>50.4802783176765</v>
      </c>
      <c r="O5125">
        <v>49.9990012952155</v>
      </c>
      <c r="P5125">
        <v>-0.13730674075801899</v>
      </c>
      <c r="Q5125">
        <v>6.8362626360563394E-2</v>
      </c>
      <c r="R5125">
        <v>0.996889101454842</v>
      </c>
      <c r="S5125" t="s">
        <v>11931</v>
      </c>
      <c r="T5125" t="s">
        <v>13610</v>
      </c>
      <c r="U5125" t="s">
        <v>13610</v>
      </c>
      <c r="V5125" t="s">
        <v>13610</v>
      </c>
      <c r="W5125" t="s">
        <v>18669</v>
      </c>
      <c r="X5125">
        <v>3</v>
      </c>
      <c r="Y5125" t="s">
        <v>25239</v>
      </c>
      <c r="Z5125" t="s">
        <v>31980</v>
      </c>
      <c r="AA5125">
        <v>0.39199729987482179</v>
      </c>
      <c r="AB5125" t="str">
        <f>HYPERLINK("Melting_Curves/meltCurve_Q96GJ1_3_TRMT2B.pdf", "Melting_Curves/meltCurve_Q96GJ1_3_TRMT2B.pdf")</f>
        <v>Melting_Curves/meltCurve_Q96GJ1_3_TRMT2B.pdf</v>
      </c>
    </row>
    <row r="5126" spans="1:28" x14ac:dyDescent="0.25">
      <c r="A5126" t="s">
        <v>5130</v>
      </c>
      <c r="B5126">
        <v>0.995954080203443</v>
      </c>
      <c r="C5126">
        <v>1.0297005829458701</v>
      </c>
      <c r="D5126">
        <v>1.05036309760274</v>
      </c>
      <c r="E5126">
        <v>0.83239510081392598</v>
      </c>
      <c r="F5126">
        <v>0.654756067043756</v>
      </c>
      <c r="G5126">
        <v>0.35281499020712997</v>
      </c>
      <c r="H5126">
        <v>0.21450524326880799</v>
      </c>
      <c r="I5126">
        <v>0.20868125109954</v>
      </c>
      <c r="J5126">
        <v>0.198516986413737</v>
      </c>
      <c r="K5126">
        <v>0.14392701882419701</v>
      </c>
      <c r="L5126">
        <v>1179.4171885642199</v>
      </c>
      <c r="M5126">
        <v>21.956018961437199</v>
      </c>
      <c r="N5126">
        <v>54.738106399588403</v>
      </c>
      <c r="O5126">
        <v>53.277603371374198</v>
      </c>
      <c r="P5126">
        <v>-8.5720235519938306E-2</v>
      </c>
      <c r="Q5126">
        <v>0.16799744987364201</v>
      </c>
      <c r="R5126">
        <v>0.99333225700066197</v>
      </c>
      <c r="S5126" t="s">
        <v>11932</v>
      </c>
      <c r="T5126" t="s">
        <v>13610</v>
      </c>
      <c r="U5126" t="s">
        <v>13610</v>
      </c>
      <c r="V5126" t="s">
        <v>13610</v>
      </c>
      <c r="W5126" t="s">
        <v>18670</v>
      </c>
      <c r="X5126">
        <v>14</v>
      </c>
      <c r="Y5126" t="s">
        <v>25240</v>
      </c>
      <c r="Z5126" t="s">
        <v>31981</v>
      </c>
      <c r="AA5126">
        <v>0.55812497760391855</v>
      </c>
      <c r="AB5126" t="str">
        <f>HYPERLINK("Melting_Curves/meltCurve_Q96GK7_FAHD2A.pdf", "Melting_Curves/meltCurve_Q96GK7_FAHD2A.pdf")</f>
        <v>Melting_Curves/meltCurve_Q96GK7_FAHD2A.pdf</v>
      </c>
    </row>
    <row r="5127" spans="1:28" x14ac:dyDescent="0.25">
      <c r="A5127" t="s">
        <v>5131</v>
      </c>
      <c r="B5127">
        <v>0.995954080203443</v>
      </c>
      <c r="C5127">
        <v>0.78071902603018295</v>
      </c>
      <c r="D5127">
        <v>0.50990242111111395</v>
      </c>
      <c r="E5127">
        <v>0.31670788906063402</v>
      </c>
      <c r="F5127">
        <v>0.13253146998568799</v>
      </c>
      <c r="G5127">
        <v>6.6985613724336202E-2</v>
      </c>
      <c r="H5127">
        <v>3.9104722483502399E-2</v>
      </c>
      <c r="I5127">
        <v>3.3568205509144897E-2</v>
      </c>
      <c r="J5127">
        <v>3.4031617739015203E-2</v>
      </c>
      <c r="K5127">
        <v>3.08143971874291E-2</v>
      </c>
      <c r="L5127">
        <v>736.67237171420504</v>
      </c>
      <c r="M5127">
        <v>15.855614756244799</v>
      </c>
      <c r="N5127">
        <v>46.607263869576997</v>
      </c>
      <c r="O5127">
        <v>45.741077457882099</v>
      </c>
      <c r="P5127">
        <v>-8.4567333744531598E-2</v>
      </c>
      <c r="Q5127">
        <v>2.4222861526469502E-2</v>
      </c>
      <c r="R5127">
        <v>0.991776492499299</v>
      </c>
      <c r="S5127" t="s">
        <v>11933</v>
      </c>
      <c r="T5127" t="s">
        <v>13610</v>
      </c>
      <c r="U5127" t="s">
        <v>13610</v>
      </c>
      <c r="V5127" t="s">
        <v>13610</v>
      </c>
      <c r="W5127" t="s">
        <v>18671</v>
      </c>
      <c r="X5127">
        <v>18</v>
      </c>
      <c r="Y5127" t="s">
        <v>25241</v>
      </c>
      <c r="Z5127" t="s">
        <v>31982</v>
      </c>
      <c r="AA5127">
        <v>0.25883684319176009</v>
      </c>
      <c r="AB5127" t="str">
        <f>HYPERLINK("Melting_Curves/meltCurve_Q96GM5_SMARCD1.pdf", "Melting_Curves/meltCurve_Q96GM5_SMARCD1.pdf")</f>
        <v>Melting_Curves/meltCurve_Q96GM5_SMARCD1.pdf</v>
      </c>
    </row>
    <row r="5128" spans="1:28" x14ac:dyDescent="0.25">
      <c r="A5128" t="s">
        <v>5132</v>
      </c>
      <c r="B5128">
        <v>0.995954080203443</v>
      </c>
      <c r="C5128">
        <v>0.84299859749001005</v>
      </c>
      <c r="D5128">
        <v>0.87340977231680506</v>
      </c>
      <c r="E5128">
        <v>0.70196919547371295</v>
      </c>
      <c r="F5128">
        <v>0.52267577114157104</v>
      </c>
      <c r="G5128">
        <v>0.342340718945084</v>
      </c>
      <c r="H5128">
        <v>0.294146038842936</v>
      </c>
      <c r="I5128">
        <v>0.33177973131898397</v>
      </c>
      <c r="J5128">
        <v>0.40005656729171901</v>
      </c>
      <c r="K5128">
        <v>0.40381663942697499</v>
      </c>
      <c r="L5128">
        <v>821.94638460844703</v>
      </c>
      <c r="M5128">
        <v>16.516522126728901</v>
      </c>
      <c r="N5128">
        <v>53.341310817544198</v>
      </c>
      <c r="O5128">
        <v>49.052740366955597</v>
      </c>
      <c r="P5128">
        <v>-5.6000326473524403E-2</v>
      </c>
      <c r="Q5128">
        <v>0.334780214959772</v>
      </c>
      <c r="R5128">
        <v>0.94733232745765705</v>
      </c>
      <c r="S5128" t="s">
        <v>11934</v>
      </c>
      <c r="T5128" t="s">
        <v>13610</v>
      </c>
      <c r="U5128" t="s">
        <v>13610</v>
      </c>
      <c r="V5128" t="s">
        <v>13610</v>
      </c>
      <c r="W5128" t="s">
        <v>18672</v>
      </c>
      <c r="X5128">
        <v>8</v>
      </c>
      <c r="Y5128" t="s">
        <v>25242</v>
      </c>
      <c r="Z5128" t="s">
        <v>31983</v>
      </c>
      <c r="AA5128">
        <v>0.56470770283796579</v>
      </c>
      <c r="AB5128" t="str">
        <f>HYPERLINK("Melting_Curves/meltCurve_Q96GM8_TOE1.pdf", "Melting_Curves/meltCurve_Q96GM8_TOE1.pdf")</f>
        <v>Melting_Curves/meltCurve_Q96GM8_TOE1.pdf</v>
      </c>
    </row>
    <row r="5129" spans="1:28" x14ac:dyDescent="0.25">
      <c r="A5129" t="s">
        <v>5133</v>
      </c>
      <c r="B5129">
        <v>0.995954080203443</v>
      </c>
      <c r="C5129">
        <v>0.93869062217226495</v>
      </c>
      <c r="D5129">
        <v>0.82967884908069001</v>
      </c>
      <c r="E5129">
        <v>0.62662559558618003</v>
      </c>
      <c r="F5129">
        <v>0.46874136487498103</v>
      </c>
      <c r="G5129">
        <v>0.35556745956776098</v>
      </c>
      <c r="H5129">
        <v>0.30169536193706398</v>
      </c>
      <c r="I5129">
        <v>0.33822896385325202</v>
      </c>
      <c r="J5129">
        <v>0.41403046607792898</v>
      </c>
      <c r="K5129">
        <v>0.41163578587606198</v>
      </c>
      <c r="L5129">
        <v>942.89562912776603</v>
      </c>
      <c r="M5129">
        <v>19.356004932204801</v>
      </c>
      <c r="N5129">
        <v>52.0524887455122</v>
      </c>
      <c r="O5129">
        <v>48.202320977026503</v>
      </c>
      <c r="P5129">
        <v>-6.4698234507898106E-2</v>
      </c>
      <c r="Q5129">
        <v>0.35555100165530301</v>
      </c>
      <c r="R5129">
        <v>0.97798876363336695</v>
      </c>
      <c r="S5129" t="s">
        <v>11935</v>
      </c>
      <c r="T5129" t="s">
        <v>13610</v>
      </c>
      <c r="U5129" t="s">
        <v>13610</v>
      </c>
      <c r="V5129" t="s">
        <v>13610</v>
      </c>
      <c r="W5129" t="s">
        <v>18673</v>
      </c>
      <c r="X5129">
        <v>20</v>
      </c>
      <c r="Y5129" t="s">
        <v>25243</v>
      </c>
      <c r="Z5129" t="s">
        <v>31984</v>
      </c>
      <c r="AA5129">
        <v>0.55241175961885647</v>
      </c>
      <c r="AB5129" t="str">
        <f>HYPERLINK("Melting_Curves/meltCurve_Q96GQ7_DDX27.pdf", "Melting_Curves/meltCurve_Q96GQ7_DDX27.pdf")</f>
        <v>Melting_Curves/meltCurve_Q96GQ7_DDX27.pdf</v>
      </c>
    </row>
    <row r="5130" spans="1:28" x14ac:dyDescent="0.25">
      <c r="A5130" t="s">
        <v>5134</v>
      </c>
      <c r="B5130">
        <v>0.995954080203443</v>
      </c>
      <c r="C5130">
        <v>0.94929204429910696</v>
      </c>
      <c r="D5130">
        <v>1.0004720037113399</v>
      </c>
      <c r="E5130">
        <v>0.88249120317473195</v>
      </c>
      <c r="F5130">
        <v>0.88412340737720596</v>
      </c>
      <c r="G5130">
        <v>0.64463670059010802</v>
      </c>
      <c r="H5130">
        <v>0.56893399389599497</v>
      </c>
      <c r="I5130">
        <v>0.65613502456585604</v>
      </c>
      <c r="J5130">
        <v>0.85622758354780304</v>
      </c>
      <c r="K5130">
        <v>0.78200493996885301</v>
      </c>
      <c r="L5130">
        <v>1599.51066241989</v>
      </c>
      <c r="M5130">
        <v>30.6621155315121</v>
      </c>
      <c r="O5130">
        <v>51.945316484056399</v>
      </c>
      <c r="P5130">
        <v>-4.3692448724795302E-2</v>
      </c>
      <c r="Q5130">
        <v>0.70392068747946002</v>
      </c>
      <c r="R5130">
        <v>0.68219988274285603</v>
      </c>
      <c r="S5130" t="s">
        <v>11936</v>
      </c>
      <c r="T5130" t="s">
        <v>13610</v>
      </c>
      <c r="U5130" t="s">
        <v>13610</v>
      </c>
      <c r="V5130" t="s">
        <v>13610</v>
      </c>
      <c r="W5130" t="s">
        <v>18674</v>
      </c>
      <c r="X5130">
        <v>17</v>
      </c>
      <c r="Y5130" t="s">
        <v>25244</v>
      </c>
      <c r="Z5130" t="s">
        <v>31985</v>
      </c>
      <c r="AA5130">
        <v>0.82580405938381696</v>
      </c>
      <c r="AB5130" t="str">
        <f>HYPERLINK("Melting_Curves/meltCurve_Q96GS4_C17orf59.pdf", "Melting_Curves/meltCurve_Q96GS4_C17orf59.pdf")</f>
        <v>Melting_Curves/meltCurve_Q96GS4_C17orf59.pdf</v>
      </c>
    </row>
    <row r="5131" spans="1:28" x14ac:dyDescent="0.25">
      <c r="A5131" t="s">
        <v>5135</v>
      </c>
      <c r="B5131">
        <v>0.995954080203443</v>
      </c>
      <c r="C5131">
        <v>1.06884417263469</v>
      </c>
      <c r="D5131">
        <v>1.1257750915385201</v>
      </c>
      <c r="E5131">
        <v>0.89445897394734797</v>
      </c>
      <c r="F5131">
        <v>0.90683414205107604</v>
      </c>
      <c r="G5131">
        <v>0.65672203656644601</v>
      </c>
      <c r="H5131">
        <v>0.59101339870396996</v>
      </c>
      <c r="I5131">
        <v>0.73070882801394199</v>
      </c>
      <c r="J5131">
        <v>0.81407818866431902</v>
      </c>
      <c r="K5131">
        <v>0.858188262385853</v>
      </c>
      <c r="L5131">
        <v>5510.0753718341202</v>
      </c>
      <c r="M5131">
        <v>103.338269428141</v>
      </c>
      <c r="O5131">
        <v>53.300791791265901</v>
      </c>
      <c r="P5131">
        <v>-0.13080290219257601</v>
      </c>
      <c r="Q5131">
        <v>0.73013291516721202</v>
      </c>
      <c r="R5131">
        <v>0.70237328085806505</v>
      </c>
      <c r="S5131" t="s">
        <v>11937</v>
      </c>
      <c r="T5131" t="s">
        <v>13610</v>
      </c>
      <c r="U5131" t="s">
        <v>13610</v>
      </c>
      <c r="V5131" t="s">
        <v>13610</v>
      </c>
      <c r="W5131" t="s">
        <v>18675</v>
      </c>
      <c r="X5131">
        <v>2</v>
      </c>
      <c r="Y5131" t="s">
        <v>25245</v>
      </c>
      <c r="Z5131" t="s">
        <v>31986</v>
      </c>
      <c r="AA5131">
        <v>0.85010872436503881</v>
      </c>
      <c r="AB5131" t="str">
        <f>HYPERLINK("Melting_Curves/meltCurve_Q96GV9_C5orf30.pdf", "Melting_Curves/meltCurve_Q96GV9_C5orf30.pdf")</f>
        <v>Melting_Curves/meltCurve_Q96GV9_C5orf30.pdf</v>
      </c>
    </row>
    <row r="5132" spans="1:28" x14ac:dyDescent="0.25">
      <c r="A5132" t="s">
        <v>5136</v>
      </c>
      <c r="B5132">
        <v>0.995954080203443</v>
      </c>
      <c r="C5132">
        <v>0.97815495778773598</v>
      </c>
      <c r="D5132">
        <v>0.91209177269143205</v>
      </c>
      <c r="E5132">
        <v>0.86115739753598297</v>
      </c>
      <c r="F5132">
        <v>0.847967638445428</v>
      </c>
      <c r="G5132">
        <v>0.61072878559914701</v>
      </c>
      <c r="H5132">
        <v>0.31359605398354701</v>
      </c>
      <c r="I5132">
        <v>0.19238499955232999</v>
      </c>
      <c r="J5132">
        <v>0.21245901359330699</v>
      </c>
      <c r="K5132">
        <v>0.18654340071254799</v>
      </c>
      <c r="L5132">
        <v>976.27946835414502</v>
      </c>
      <c r="M5132">
        <v>17.092477248909098</v>
      </c>
      <c r="N5132">
        <v>58.082873313680999</v>
      </c>
      <c r="O5132">
        <v>56.352860625606397</v>
      </c>
      <c r="P5132">
        <v>-6.6455956285036893E-2</v>
      </c>
      <c r="Q5132">
        <v>0.123647988336145</v>
      </c>
      <c r="R5132">
        <v>0.98349707105033102</v>
      </c>
      <c r="S5132" t="s">
        <v>11938</v>
      </c>
      <c r="T5132" t="s">
        <v>13610</v>
      </c>
      <c r="U5132" t="s">
        <v>13610</v>
      </c>
      <c r="V5132" t="s">
        <v>13610</v>
      </c>
      <c r="W5132" t="s">
        <v>18676</v>
      </c>
      <c r="X5132">
        <v>11</v>
      </c>
      <c r="Y5132" t="s">
        <v>25246</v>
      </c>
      <c r="Z5132" t="s">
        <v>31987</v>
      </c>
      <c r="AA5132">
        <v>0.63614728935219422</v>
      </c>
      <c r="AB5132" t="str">
        <f>HYPERLINK("Melting_Curves/meltCurve_Q96GW9_MARS2.pdf", "Melting_Curves/meltCurve_Q96GW9_MARS2.pdf")</f>
        <v>Melting_Curves/meltCurve_Q96GW9_MARS2.pdf</v>
      </c>
    </row>
    <row r="5133" spans="1:28" x14ac:dyDescent="0.25">
      <c r="A5133" t="s">
        <v>5137</v>
      </c>
      <c r="B5133">
        <v>0.995954080203443</v>
      </c>
      <c r="C5133">
        <v>1.0417153585704499</v>
      </c>
      <c r="D5133">
        <v>0.96332278239003399</v>
      </c>
      <c r="E5133">
        <v>0.87072667130185499</v>
      </c>
      <c r="F5133">
        <v>0.70094089301997098</v>
      </c>
      <c r="G5133">
        <v>0.44346496734819202</v>
      </c>
      <c r="H5133">
        <v>0.21697615673311599</v>
      </c>
      <c r="I5133">
        <v>0.124854247202997</v>
      </c>
      <c r="J5133">
        <v>6.6976980751845897E-2</v>
      </c>
      <c r="K5133">
        <v>5.6449058424977001E-2</v>
      </c>
      <c r="L5133">
        <v>889.43194055001595</v>
      </c>
      <c r="M5133">
        <v>15.893950050467801</v>
      </c>
      <c r="N5133">
        <v>56.021164184146201</v>
      </c>
      <c r="O5133">
        <v>55.097015716149897</v>
      </c>
      <c r="P5133">
        <v>-7.1507640565840802E-2</v>
      </c>
      <c r="Q5133">
        <v>8.5433981105067103E-3</v>
      </c>
      <c r="R5133">
        <v>0.99811231138665901</v>
      </c>
      <c r="S5133" t="s">
        <v>11939</v>
      </c>
      <c r="T5133" t="s">
        <v>13610</v>
      </c>
      <c r="U5133" t="s">
        <v>13610</v>
      </c>
      <c r="V5133" t="s">
        <v>13610</v>
      </c>
      <c r="W5133" t="s">
        <v>18677</v>
      </c>
      <c r="X5133">
        <v>4</v>
      </c>
      <c r="Y5133" t="s">
        <v>25247</v>
      </c>
      <c r="Z5133" t="s">
        <v>31988</v>
      </c>
      <c r="AA5133">
        <v>0.55276041818529942</v>
      </c>
      <c r="AB5133" t="str">
        <f>HYPERLINK("Melting_Curves/meltCurve_Q96GX2_ATXN7L3B.pdf", "Melting_Curves/meltCurve_Q96GX2_ATXN7L3B.pdf")</f>
        <v>Melting_Curves/meltCurve_Q96GX2_ATXN7L3B.pdf</v>
      </c>
    </row>
    <row r="5134" spans="1:28" x14ac:dyDescent="0.25">
      <c r="A5134" t="s">
        <v>5138</v>
      </c>
      <c r="B5134">
        <v>0.995954080203443</v>
      </c>
      <c r="C5134">
        <v>1.00507305976355</v>
      </c>
      <c r="D5134">
        <v>0.81121845713960805</v>
      </c>
      <c r="E5134">
        <v>0.581919547533157</v>
      </c>
      <c r="F5134">
        <v>0.42335706325008898</v>
      </c>
      <c r="G5134">
        <v>0.30708852270047998</v>
      </c>
      <c r="H5134">
        <v>0.26467311590535803</v>
      </c>
      <c r="I5134">
        <v>0.311241352430563</v>
      </c>
      <c r="J5134">
        <v>0.36489140202916398</v>
      </c>
      <c r="K5134">
        <v>0.35454386903773499</v>
      </c>
      <c r="L5134">
        <v>1053.5277524896101</v>
      </c>
      <c r="M5134">
        <v>21.658314397122101</v>
      </c>
      <c r="N5134">
        <v>50.991796774623801</v>
      </c>
      <c r="O5134">
        <v>48.2341297218045</v>
      </c>
      <c r="P5134">
        <v>-7.6828283834363603E-2</v>
      </c>
      <c r="Q5134">
        <v>0.31561500805389298</v>
      </c>
      <c r="R5134">
        <v>0.98411082984974696</v>
      </c>
      <c r="S5134" t="s">
        <v>11940</v>
      </c>
      <c r="T5134" t="s">
        <v>13610</v>
      </c>
      <c r="U5134" t="s">
        <v>13610</v>
      </c>
      <c r="V5134" t="s">
        <v>13610</v>
      </c>
      <c r="W5134" t="s">
        <v>18678</v>
      </c>
      <c r="X5134">
        <v>12</v>
      </c>
      <c r="Y5134" t="s">
        <v>25248</v>
      </c>
      <c r="Z5134" t="s">
        <v>31989</v>
      </c>
      <c r="AA5134">
        <v>0.52094893586420343</v>
      </c>
      <c r="AB5134" t="str">
        <f>HYPERLINK("Melting_Curves/meltCurve_Q96GX5_2_MASTL.pdf", "Melting_Curves/meltCurve_Q96GX5_2_MASTL.pdf")</f>
        <v>Melting_Curves/meltCurve_Q96GX5_2_MASTL.pdf</v>
      </c>
    </row>
    <row r="5135" spans="1:28" x14ac:dyDescent="0.25">
      <c r="A5135" t="s">
        <v>5139</v>
      </c>
      <c r="B5135">
        <v>0.995954080203443</v>
      </c>
      <c r="C5135">
        <v>0.96851737472265098</v>
      </c>
      <c r="D5135">
        <v>0.90814885421518898</v>
      </c>
      <c r="E5135">
        <v>0.86861791399331101</v>
      </c>
      <c r="F5135">
        <v>0.74802398869602904</v>
      </c>
      <c r="G5135">
        <v>0.55670143868965405</v>
      </c>
      <c r="H5135">
        <v>0.47188583649284899</v>
      </c>
      <c r="I5135">
        <v>0.55276969282298705</v>
      </c>
      <c r="J5135">
        <v>0.62985501274945199</v>
      </c>
      <c r="K5135">
        <v>0.57197307629663097</v>
      </c>
      <c r="L5135">
        <v>1212.78798656769</v>
      </c>
      <c r="M5135">
        <v>23.426531362157199</v>
      </c>
      <c r="O5135">
        <v>51.397043215561297</v>
      </c>
      <c r="P5135">
        <v>-5.14897759483414E-2</v>
      </c>
      <c r="Q5135">
        <v>0.54814036109326103</v>
      </c>
      <c r="R5135">
        <v>0.93271977925072802</v>
      </c>
      <c r="S5135" t="s">
        <v>11941</v>
      </c>
      <c r="T5135" t="s">
        <v>13610</v>
      </c>
      <c r="U5135" t="s">
        <v>13610</v>
      </c>
      <c r="V5135" t="s">
        <v>13610</v>
      </c>
      <c r="W5135" t="s">
        <v>18679</v>
      </c>
      <c r="X5135">
        <v>19</v>
      </c>
      <c r="Y5135" t="s">
        <v>25249</v>
      </c>
      <c r="Z5135" t="s">
        <v>31990</v>
      </c>
      <c r="AA5135">
        <v>0.730080624081197</v>
      </c>
      <c r="AB5135" t="str">
        <f>HYPERLINK("Melting_Curves/meltCurve_Q96GX9_APIP.pdf", "Melting_Curves/meltCurve_Q96GX9_APIP.pdf")</f>
        <v>Melting_Curves/meltCurve_Q96GX9_APIP.pdf</v>
      </c>
    </row>
    <row r="5136" spans="1:28" x14ac:dyDescent="0.25">
      <c r="A5136" t="s">
        <v>5140</v>
      </c>
      <c r="B5136">
        <v>0.995954080203443</v>
      </c>
      <c r="C5136">
        <v>0.90227193287976404</v>
      </c>
      <c r="D5136">
        <v>0.88710669930700004</v>
      </c>
      <c r="E5136">
        <v>0.64783961388088995</v>
      </c>
      <c r="F5136">
        <v>0.40476355400713998</v>
      </c>
      <c r="G5136">
        <v>0.21354848649593999</v>
      </c>
      <c r="H5136">
        <v>0.128255150135486</v>
      </c>
      <c r="I5136">
        <v>0.114970887379565</v>
      </c>
      <c r="J5136">
        <v>0.105212796605444</v>
      </c>
      <c r="K5136">
        <v>0.105234521745577</v>
      </c>
      <c r="L5136">
        <v>859.88853700693505</v>
      </c>
      <c r="M5136">
        <v>16.810579788152602</v>
      </c>
      <c r="N5136">
        <v>51.715247078776997</v>
      </c>
      <c r="O5136">
        <v>50.444233140419797</v>
      </c>
      <c r="P5136">
        <v>-7.6344075575467796E-2</v>
      </c>
      <c r="Q5136">
        <v>8.3703330522426803E-2</v>
      </c>
      <c r="R5136">
        <v>0.996125247898622</v>
      </c>
      <c r="S5136" t="s">
        <v>11942</v>
      </c>
      <c r="T5136" t="s">
        <v>13610</v>
      </c>
      <c r="U5136" t="s">
        <v>13610</v>
      </c>
      <c r="V5136" t="s">
        <v>13610</v>
      </c>
      <c r="W5136" t="s">
        <v>18680</v>
      </c>
      <c r="X5136">
        <v>2</v>
      </c>
      <c r="Y5136" t="s">
        <v>25250</v>
      </c>
      <c r="Z5136" t="s">
        <v>31991</v>
      </c>
      <c r="AA5136">
        <v>0.44169542656281591</v>
      </c>
      <c r="AB5136" t="str">
        <f>HYPERLINK("Melting_Curves/meltCurve_Q96GY0_ZC2HC1A.pdf", "Melting_Curves/meltCurve_Q96GY0_ZC2HC1A.pdf")</f>
        <v>Melting_Curves/meltCurve_Q96GY0_ZC2HC1A.pdf</v>
      </c>
    </row>
    <row r="5137" spans="1:28" x14ac:dyDescent="0.25">
      <c r="A5137" t="s">
        <v>5141</v>
      </c>
      <c r="B5137">
        <v>0.995954080203443</v>
      </c>
      <c r="C5137">
        <v>0.93939060384262496</v>
      </c>
      <c r="D5137">
        <v>0.89434010987947898</v>
      </c>
      <c r="E5137">
        <v>0.845182420949808</v>
      </c>
      <c r="F5137">
        <v>0.53994839847985798</v>
      </c>
      <c r="G5137">
        <v>0.27922375598937699</v>
      </c>
      <c r="H5137">
        <v>0.14764599195661601</v>
      </c>
      <c r="I5137">
        <v>0.106763074653482</v>
      </c>
      <c r="J5137">
        <v>0.15020138934998301</v>
      </c>
      <c r="K5137">
        <v>0.15684729349989901</v>
      </c>
      <c r="L5137">
        <v>1173.0843955293101</v>
      </c>
      <c r="M5137">
        <v>22.178932385919399</v>
      </c>
      <c r="N5137">
        <v>53.577826048186601</v>
      </c>
      <c r="O5137">
        <v>52.467480139183898</v>
      </c>
      <c r="P5137">
        <v>-9.2618949031526301E-2</v>
      </c>
      <c r="Q5137">
        <v>0.12360482512661899</v>
      </c>
      <c r="R5137">
        <v>0.98983006861972</v>
      </c>
      <c r="S5137" t="s">
        <v>11943</v>
      </c>
      <c r="T5137" t="s">
        <v>13610</v>
      </c>
      <c r="U5137" t="s">
        <v>13610</v>
      </c>
      <c r="V5137" t="s">
        <v>13610</v>
      </c>
      <c r="W5137" t="s">
        <v>18681</v>
      </c>
      <c r="X5137">
        <v>5</v>
      </c>
      <c r="Y5137" t="s">
        <v>25251</v>
      </c>
      <c r="Z5137" t="s">
        <v>31992</v>
      </c>
      <c r="AA5137">
        <v>0.51027210643859633</v>
      </c>
      <c r="AB5137" t="str">
        <f>HYPERLINK("Melting_Curves/meltCurve_Q96GY3_LIN37.pdf", "Melting_Curves/meltCurve_Q96GY3_LIN37.pdf")</f>
        <v>Melting_Curves/meltCurve_Q96GY3_LIN37.pdf</v>
      </c>
    </row>
    <row r="5138" spans="1:28" x14ac:dyDescent="0.25">
      <c r="A5138" t="s">
        <v>5142</v>
      </c>
      <c r="B5138">
        <v>0.995954080203443</v>
      </c>
      <c r="C5138">
        <v>1.1584863668334699</v>
      </c>
      <c r="D5138">
        <v>1.15909659052679</v>
      </c>
      <c r="E5138">
        <v>0.99856256726945403</v>
      </c>
      <c r="F5138">
        <v>0.63006254580753696</v>
      </c>
      <c r="G5138">
        <v>0.15611714581243399</v>
      </c>
      <c r="H5138">
        <v>5.4216084628328602E-2</v>
      </c>
      <c r="I5138">
        <v>3.8637443976299098E-2</v>
      </c>
      <c r="J5138">
        <v>3.6611766011009898E-2</v>
      </c>
      <c r="K5138">
        <v>3.7385485199849598E-2</v>
      </c>
      <c r="L5138">
        <v>2162.3168930043198</v>
      </c>
      <c r="M5138">
        <v>40.2549803369496</v>
      </c>
      <c r="N5138">
        <v>53.839192769315197</v>
      </c>
      <c r="O5138">
        <v>53.583476171705101</v>
      </c>
      <c r="P5138">
        <v>-0.17952022933679401</v>
      </c>
      <c r="Q5138">
        <v>4.4163386695557499E-2</v>
      </c>
      <c r="R5138">
        <v>0.97683981845730405</v>
      </c>
      <c r="S5138" t="s">
        <v>11944</v>
      </c>
      <c r="T5138" t="s">
        <v>13610</v>
      </c>
      <c r="U5138" t="s">
        <v>13610</v>
      </c>
      <c r="V5138" t="s">
        <v>13610</v>
      </c>
      <c r="W5138" t="s">
        <v>18682</v>
      </c>
      <c r="X5138">
        <v>10</v>
      </c>
      <c r="Y5138" t="s">
        <v>25252</v>
      </c>
      <c r="Z5138" t="s">
        <v>31993</v>
      </c>
      <c r="AA5138">
        <v>0.48465453117452473</v>
      </c>
      <c r="AB5138" t="str">
        <f>HYPERLINK("Melting_Curves/meltCurve_Q96H20_SNF8.pdf", "Melting_Curves/meltCurve_Q96H20_SNF8.pdf")</f>
        <v>Melting_Curves/meltCurve_Q96H20_SNF8.pdf</v>
      </c>
    </row>
    <row r="5139" spans="1:28" x14ac:dyDescent="0.25">
      <c r="A5139" t="s">
        <v>5143</v>
      </c>
      <c r="B5139">
        <v>0.995954080203443</v>
      </c>
      <c r="C5139">
        <v>0.93577945861001299</v>
      </c>
      <c r="D5139">
        <v>0.87884570836812803</v>
      </c>
      <c r="E5139">
        <v>0.66132859511394204</v>
      </c>
      <c r="F5139">
        <v>0.34334440098685698</v>
      </c>
      <c r="G5139">
        <v>0.173431117654158</v>
      </c>
      <c r="H5139">
        <v>0.109688621846286</v>
      </c>
      <c r="I5139">
        <v>8.0418615727611401E-2</v>
      </c>
      <c r="J5139">
        <v>9.9956422183899496E-2</v>
      </c>
      <c r="K5139">
        <v>9.0178655619740297E-2</v>
      </c>
      <c r="L5139">
        <v>1015.68647663441</v>
      </c>
      <c r="M5139">
        <v>19.941120403639001</v>
      </c>
      <c r="N5139">
        <v>51.371033904268302</v>
      </c>
      <c r="O5139">
        <v>50.430346158050703</v>
      </c>
      <c r="P5139">
        <v>-9.1149676582872499E-2</v>
      </c>
      <c r="Q5139">
        <v>7.7973912807603601E-2</v>
      </c>
      <c r="R5139">
        <v>0.99639351644516305</v>
      </c>
      <c r="S5139" t="s">
        <v>11945</v>
      </c>
      <c r="T5139" t="s">
        <v>13610</v>
      </c>
      <c r="U5139" t="s">
        <v>13610</v>
      </c>
      <c r="V5139" t="s">
        <v>13610</v>
      </c>
      <c r="W5139" t="s">
        <v>18683</v>
      </c>
      <c r="X5139">
        <v>3</v>
      </c>
      <c r="Y5139" t="s">
        <v>25253</v>
      </c>
      <c r="Z5139" t="s">
        <v>31994</v>
      </c>
      <c r="AA5139">
        <v>0.42690231182704952</v>
      </c>
      <c r="AB5139" t="str">
        <f>HYPERLINK("Melting_Curves/meltCurve_Q96H35_RBM18.pdf", "Melting_Curves/meltCurve_Q96H35_RBM18.pdf")</f>
        <v>Melting_Curves/meltCurve_Q96H35_RBM18.pdf</v>
      </c>
    </row>
    <row r="5140" spans="1:28" x14ac:dyDescent="0.25">
      <c r="A5140" t="s">
        <v>5144</v>
      </c>
      <c r="B5140">
        <v>0.995954080203443</v>
      </c>
      <c r="C5140">
        <v>0.82805887044674398</v>
      </c>
      <c r="D5140">
        <v>0.77748840305627698</v>
      </c>
      <c r="E5140">
        <v>0.746259464671303</v>
      </c>
      <c r="F5140">
        <v>0.242779566580555</v>
      </c>
      <c r="G5140">
        <v>0.100632610451471</v>
      </c>
      <c r="H5140">
        <v>6.60499480110842E-2</v>
      </c>
      <c r="I5140">
        <v>5.8730012393976003E-2</v>
      </c>
      <c r="J5140">
        <v>7.3337867098893506E-2</v>
      </c>
      <c r="K5140">
        <v>5.8055878183611402E-2</v>
      </c>
      <c r="L5140">
        <v>903.73267764851698</v>
      </c>
      <c r="M5140">
        <v>17.8077567084589</v>
      </c>
      <c r="N5140">
        <v>50.916312479603</v>
      </c>
      <c r="O5140">
        <v>50.122387296977699</v>
      </c>
      <c r="P5140">
        <v>-8.6307237804282094E-2</v>
      </c>
      <c r="Q5140">
        <v>2.83555172022299E-2</v>
      </c>
      <c r="R5140">
        <v>0.95039687147030605</v>
      </c>
      <c r="S5140" t="s">
        <v>11946</v>
      </c>
      <c r="T5140" t="s">
        <v>13610</v>
      </c>
      <c r="U5140" t="s">
        <v>13610</v>
      </c>
      <c r="V5140" t="s">
        <v>13610</v>
      </c>
      <c r="W5140" t="s">
        <v>18684</v>
      </c>
      <c r="X5140">
        <v>10</v>
      </c>
      <c r="Y5140" t="s">
        <v>25254</v>
      </c>
      <c r="Z5140" t="s">
        <v>31995</v>
      </c>
      <c r="AA5140">
        <v>0.39325233403008819</v>
      </c>
      <c r="AB5140" t="str">
        <f>HYPERLINK("Melting_Curves/meltCurve_Q96H79_ZC3HAV1L.pdf", "Melting_Curves/meltCurve_Q96H79_ZC3HAV1L.pdf")</f>
        <v>Melting_Curves/meltCurve_Q96H79_ZC3HAV1L.pdf</v>
      </c>
    </row>
    <row r="5141" spans="1:28" x14ac:dyDescent="0.25">
      <c r="A5141" t="s">
        <v>5145</v>
      </c>
      <c r="B5141">
        <v>0.995954080203443</v>
      </c>
      <c r="C5141">
        <v>0.83084133454815301</v>
      </c>
      <c r="D5141">
        <v>0.57578286131158596</v>
      </c>
      <c r="E5141">
        <v>0.44060298879371002</v>
      </c>
      <c r="F5141">
        <v>0.257128979650594</v>
      </c>
      <c r="G5141">
        <v>0.160032937991088</v>
      </c>
      <c r="H5141">
        <v>0.12011577797050201</v>
      </c>
      <c r="I5141">
        <v>0.11250797869170701</v>
      </c>
      <c r="J5141">
        <v>0.126072395074629</v>
      </c>
      <c r="K5141">
        <v>0.124623744290046</v>
      </c>
      <c r="L5141">
        <v>674.615237621657</v>
      </c>
      <c r="M5141">
        <v>14.2827240211647</v>
      </c>
      <c r="N5141">
        <v>48.007923160234</v>
      </c>
      <c r="O5141">
        <v>46.335975935445198</v>
      </c>
      <c r="P5141">
        <v>-6.9135319529151501E-2</v>
      </c>
      <c r="Q5141">
        <v>0.102955382419346</v>
      </c>
      <c r="R5141">
        <v>0.98810189313733898</v>
      </c>
      <c r="S5141" t="s">
        <v>11947</v>
      </c>
      <c r="T5141" t="s">
        <v>13610</v>
      </c>
      <c r="U5141" t="s">
        <v>13610</v>
      </c>
      <c r="V5141" t="s">
        <v>13610</v>
      </c>
      <c r="W5141" t="s">
        <v>18685</v>
      </c>
      <c r="X5141">
        <v>14</v>
      </c>
      <c r="Y5141" t="s">
        <v>25255</v>
      </c>
      <c r="Z5141" t="s">
        <v>31996</v>
      </c>
      <c r="AA5141">
        <v>0.34576513600215891</v>
      </c>
      <c r="AB5141" t="str">
        <f>HYPERLINK("Melting_Curves/meltCurve_Q96HA7_2_TONSL.pdf", "Melting_Curves/meltCurve_Q96HA7_2_TONSL.pdf")</f>
        <v>Melting_Curves/meltCurve_Q96HA7_2_TONSL.pdf</v>
      </c>
    </row>
    <row r="5142" spans="1:28" x14ac:dyDescent="0.25">
      <c r="A5142" t="s">
        <v>5146</v>
      </c>
      <c r="B5142">
        <v>0.995954080203443</v>
      </c>
      <c r="C5142">
        <v>1.0022643851412301</v>
      </c>
      <c r="D5142">
        <v>0.91694387424007395</v>
      </c>
      <c r="E5142">
        <v>0.82327999872309399</v>
      </c>
      <c r="F5142">
        <v>0.56290014607944605</v>
      </c>
      <c r="G5142">
        <v>0.359456304123765</v>
      </c>
      <c r="H5142">
        <v>0.27511506714044198</v>
      </c>
      <c r="I5142">
        <v>0.26841995192632301</v>
      </c>
      <c r="J5142">
        <v>0.21413267413777101</v>
      </c>
      <c r="K5142">
        <v>0.185458340448864</v>
      </c>
      <c r="L5142">
        <v>974.93380700435102</v>
      </c>
      <c r="M5142">
        <v>18.481108089793999</v>
      </c>
      <c r="N5142">
        <v>54.300562425163903</v>
      </c>
      <c r="O5142">
        <v>52.146984730715999</v>
      </c>
      <c r="P5142">
        <v>-7.0465036293298797E-2</v>
      </c>
      <c r="Q5142">
        <v>0.204728252063023</v>
      </c>
      <c r="R5142">
        <v>0.99516045080214799</v>
      </c>
      <c r="S5142" t="s">
        <v>11948</v>
      </c>
      <c r="T5142" t="s">
        <v>13610</v>
      </c>
      <c r="U5142" t="s">
        <v>13610</v>
      </c>
      <c r="V5142" t="s">
        <v>13610</v>
      </c>
      <c r="W5142" t="s">
        <v>18686</v>
      </c>
      <c r="X5142">
        <v>1</v>
      </c>
      <c r="Y5142" t="s">
        <v>25256</v>
      </c>
      <c r="Z5142" t="s">
        <v>31997</v>
      </c>
      <c r="AA5142">
        <v>0.55532460040134235</v>
      </c>
      <c r="AB5142" t="str">
        <f>HYPERLINK("Melting_Curves/meltCurve_Q96HB5_2_CCDC120.pdf", "Melting_Curves/meltCurve_Q96HB5_2_CCDC120.pdf")</f>
        <v>Melting_Curves/meltCurve_Q96HB5_2_CCDC120.pdf</v>
      </c>
    </row>
    <row r="5143" spans="1:28" x14ac:dyDescent="0.25">
      <c r="A5143" t="s">
        <v>5147</v>
      </c>
      <c r="B5143">
        <v>0.995954080203443</v>
      </c>
      <c r="C5143">
        <v>0.96255177618468002</v>
      </c>
      <c r="D5143">
        <v>0.87655232369210001</v>
      </c>
      <c r="E5143">
        <v>0.70015248133964703</v>
      </c>
      <c r="F5143">
        <v>0.56142266181429201</v>
      </c>
      <c r="G5143">
        <v>0.39425292930885297</v>
      </c>
      <c r="H5143">
        <v>0.34719910579940899</v>
      </c>
      <c r="I5143">
        <v>0.39217413705757298</v>
      </c>
      <c r="J5143">
        <v>0.47408189938327799</v>
      </c>
      <c r="K5143">
        <v>0.43683710660515401</v>
      </c>
      <c r="L5143">
        <v>988.33887952812404</v>
      </c>
      <c r="M5143">
        <v>19.875816782632601</v>
      </c>
      <c r="N5143">
        <v>54.1182584480485</v>
      </c>
      <c r="O5143">
        <v>49.230535656184401</v>
      </c>
      <c r="P5143">
        <v>-6.0523128920847998E-2</v>
      </c>
      <c r="Q5143">
        <v>0.40037943220755301</v>
      </c>
      <c r="R5143">
        <v>0.973304082335266</v>
      </c>
      <c r="S5143" t="s">
        <v>11949</v>
      </c>
      <c r="T5143" t="s">
        <v>13610</v>
      </c>
      <c r="U5143" t="s">
        <v>13610</v>
      </c>
      <c r="V5143" t="s">
        <v>13610</v>
      </c>
      <c r="W5143" t="s">
        <v>18687</v>
      </c>
      <c r="X5143">
        <v>23</v>
      </c>
      <c r="Y5143" t="s">
        <v>25257</v>
      </c>
      <c r="Z5143" t="s">
        <v>31998</v>
      </c>
      <c r="AA5143">
        <v>0.60323110088543019</v>
      </c>
      <c r="AB5143" t="str">
        <f>HYPERLINK("Melting_Curves/meltCurve_Q96HC4_PDLIM5.pdf", "Melting_Curves/meltCurve_Q96HC4_PDLIM5.pdf")</f>
        <v>Melting_Curves/meltCurve_Q96HC4_PDLIM5.pdf</v>
      </c>
    </row>
    <row r="5144" spans="1:28" x14ac:dyDescent="0.25">
      <c r="A5144" t="s">
        <v>5148</v>
      </c>
      <c r="B5144">
        <v>0.995954080203443</v>
      </c>
      <c r="C5144">
        <v>1.0175837345362699</v>
      </c>
      <c r="D5144">
        <v>0.97344010754715504</v>
      </c>
      <c r="E5144">
        <v>0.86502006375291096</v>
      </c>
      <c r="F5144">
        <v>0.52608738344639405</v>
      </c>
      <c r="G5144">
        <v>0.151453151491521</v>
      </c>
      <c r="H5144">
        <v>9.9697134655839806E-2</v>
      </c>
      <c r="I5144">
        <v>8.5129285906766994E-2</v>
      </c>
      <c r="J5144">
        <v>0.108401596197765</v>
      </c>
      <c r="K5144">
        <v>8.5292180115191699E-2</v>
      </c>
      <c r="L5144">
        <v>1709.3048977727999</v>
      </c>
      <c r="M5144">
        <v>32.368178851874703</v>
      </c>
      <c r="N5144">
        <v>53.126895260342202</v>
      </c>
      <c r="O5144">
        <v>52.607848013600403</v>
      </c>
      <c r="P5144">
        <v>-0.14024547621622999</v>
      </c>
      <c r="Q5144">
        <v>8.8243180103597801E-2</v>
      </c>
      <c r="R5144">
        <v>0.99911891632143301</v>
      </c>
      <c r="S5144" t="s">
        <v>11950</v>
      </c>
      <c r="T5144" t="s">
        <v>13610</v>
      </c>
      <c r="U5144" t="s">
        <v>13610</v>
      </c>
      <c r="V5144" t="s">
        <v>13610</v>
      </c>
      <c r="W5144" t="s">
        <v>18688</v>
      </c>
      <c r="X5144">
        <v>20</v>
      </c>
      <c r="Y5144" t="s">
        <v>25258</v>
      </c>
      <c r="Z5144" t="s">
        <v>31999</v>
      </c>
      <c r="AA5144">
        <v>0.48258374713453689</v>
      </c>
      <c r="AB5144" t="str">
        <f>HYPERLINK("Melting_Curves/meltCurve_Q96HE7_ERO1L.pdf", "Melting_Curves/meltCurve_Q96HE7_ERO1L.pdf")</f>
        <v>Melting_Curves/meltCurve_Q96HE7_ERO1L.pdf</v>
      </c>
    </row>
    <row r="5145" spans="1:28" x14ac:dyDescent="0.25">
      <c r="A5145" t="s">
        <v>5149</v>
      </c>
      <c r="B5145">
        <v>0.995954080203443</v>
      </c>
      <c r="C5145">
        <v>1.03208767208781</v>
      </c>
      <c r="D5145">
        <v>0.92565250589486703</v>
      </c>
      <c r="E5145">
        <v>0.940681218593864</v>
      </c>
      <c r="F5145">
        <v>0.73980048282683197</v>
      </c>
      <c r="G5145">
        <v>0.56097826852347499</v>
      </c>
      <c r="H5145">
        <v>0.31544527606851303</v>
      </c>
      <c r="I5145">
        <v>0.100654352035735</v>
      </c>
      <c r="J5145">
        <v>4.8376823270928397E-2</v>
      </c>
      <c r="K5145">
        <v>4.4378028077569603E-2</v>
      </c>
      <c r="L5145">
        <v>945.14075383484897</v>
      </c>
      <c r="M5145">
        <v>16.4824484609106</v>
      </c>
      <c r="N5145">
        <v>57.342254723009802</v>
      </c>
      <c r="O5145">
        <v>56.518139244137998</v>
      </c>
      <c r="P5145">
        <v>-7.2912900514757406E-2</v>
      </c>
      <c r="Q5145">
        <v>0</v>
      </c>
      <c r="R5145">
        <v>0.98988668030235005</v>
      </c>
      <c r="S5145" t="s">
        <v>11951</v>
      </c>
      <c r="T5145" t="s">
        <v>13610</v>
      </c>
      <c r="U5145" t="s">
        <v>13610</v>
      </c>
      <c r="V5145" t="s">
        <v>13610</v>
      </c>
      <c r="W5145" t="s">
        <v>18689</v>
      </c>
      <c r="X5145">
        <v>1</v>
      </c>
      <c r="Y5145" t="s">
        <v>25259</v>
      </c>
      <c r="Z5145" t="s">
        <v>32000</v>
      </c>
      <c r="AA5145">
        <v>0.59234149364848498</v>
      </c>
      <c r="AB5145" t="str">
        <f>HYPERLINK("Melting_Curves/meltCurve_Q96HJ9_C7orf55.pdf", "Melting_Curves/meltCurve_Q96HJ9_C7orf55.pdf")</f>
        <v>Melting_Curves/meltCurve_Q96HJ9_C7orf55.pdf</v>
      </c>
    </row>
    <row r="5146" spans="1:28" x14ac:dyDescent="0.25">
      <c r="A5146" t="s">
        <v>5150</v>
      </c>
      <c r="B5146">
        <v>0.995954080203443</v>
      </c>
      <c r="C5146">
        <v>0.92103316687088299</v>
      </c>
      <c r="D5146">
        <v>0.93832793720822405</v>
      </c>
      <c r="E5146">
        <v>0.70261673368397504</v>
      </c>
      <c r="F5146">
        <v>0.49091339883875701</v>
      </c>
      <c r="G5146">
        <v>0.396745187142166</v>
      </c>
      <c r="H5146">
        <v>0.30292035676414902</v>
      </c>
      <c r="I5146">
        <v>0.254058306321719</v>
      </c>
      <c r="J5146">
        <v>0.17881595234888201</v>
      </c>
      <c r="K5146">
        <v>0.18551721104973001</v>
      </c>
      <c r="L5146">
        <v>710.122291042386</v>
      </c>
      <c r="M5146">
        <v>13.6210475851778</v>
      </c>
      <c r="N5146">
        <v>53.810662746883899</v>
      </c>
      <c r="O5146">
        <v>51.048989395163296</v>
      </c>
      <c r="P5146">
        <v>-5.5179861120243798E-2</v>
      </c>
      <c r="Q5146">
        <v>0.17290904910968499</v>
      </c>
      <c r="R5146">
        <v>0.98947951567044901</v>
      </c>
      <c r="S5146" t="s">
        <v>11952</v>
      </c>
      <c r="T5146" t="s">
        <v>13610</v>
      </c>
      <c r="U5146" t="s">
        <v>13610</v>
      </c>
      <c r="V5146" t="s">
        <v>13610</v>
      </c>
      <c r="W5146" t="s">
        <v>18690</v>
      </c>
      <c r="X5146">
        <v>17</v>
      </c>
      <c r="Y5146" t="s">
        <v>25260</v>
      </c>
      <c r="Z5146" t="s">
        <v>32001</v>
      </c>
      <c r="AA5146">
        <v>0.52862727393447639</v>
      </c>
      <c r="AB5146" t="str">
        <f>HYPERLINK("Melting_Curves/meltCurve_Q96HN2_2_AHCYL2.pdf", "Melting_Curves/meltCurve_Q96HN2_2_AHCYL2.pdf")</f>
        <v>Melting_Curves/meltCurve_Q96HN2_2_AHCYL2.pdf</v>
      </c>
    </row>
    <row r="5147" spans="1:28" x14ac:dyDescent="0.25">
      <c r="A5147" t="s">
        <v>5151</v>
      </c>
      <c r="B5147">
        <v>0.995954080203443</v>
      </c>
      <c r="C5147">
        <v>0.72470427556370498</v>
      </c>
      <c r="D5147">
        <v>0.45182994470028098</v>
      </c>
      <c r="E5147">
        <v>0.27241459534298601</v>
      </c>
      <c r="F5147">
        <v>0.116779161632627</v>
      </c>
      <c r="G5147">
        <v>7.3725380198146506E-2</v>
      </c>
      <c r="H5147">
        <v>4.7837184798687198E-2</v>
      </c>
      <c r="I5147">
        <v>4.1975740931154797E-2</v>
      </c>
      <c r="J5147">
        <v>4.3345490658170602E-2</v>
      </c>
      <c r="K5147">
        <v>3.33803711167035E-2</v>
      </c>
      <c r="L5147">
        <v>766.19516210704296</v>
      </c>
      <c r="M5147">
        <v>16.799639210831501</v>
      </c>
      <c r="N5147">
        <v>45.833647279303698</v>
      </c>
      <c r="O5147">
        <v>44.976310894950203</v>
      </c>
      <c r="P5147">
        <v>-8.9677435274829798E-2</v>
      </c>
      <c r="Q5147">
        <v>3.9717881312496199E-2</v>
      </c>
      <c r="R5147">
        <v>0.98908309172112396</v>
      </c>
      <c r="S5147" t="s">
        <v>11953</v>
      </c>
      <c r="T5147" t="s">
        <v>13610</v>
      </c>
      <c r="U5147" t="s">
        <v>13610</v>
      </c>
      <c r="V5147" t="s">
        <v>13610</v>
      </c>
      <c r="W5147" t="s">
        <v>18691</v>
      </c>
      <c r="X5147">
        <v>12</v>
      </c>
      <c r="Y5147" t="s">
        <v>21328</v>
      </c>
      <c r="Z5147" t="s">
        <v>32002</v>
      </c>
      <c r="AA5147">
        <v>0.24194460178807231</v>
      </c>
      <c r="AB5147" t="str">
        <f>HYPERLINK("Melting_Curves/meltCurve_Q96HP0_DOCK6.pdf", "Melting_Curves/meltCurve_Q96HP0_DOCK6.pdf")</f>
        <v>Melting_Curves/meltCurve_Q96HP0_DOCK6.pdf</v>
      </c>
    </row>
    <row r="5148" spans="1:28" x14ac:dyDescent="0.25">
      <c r="A5148" t="s">
        <v>5152</v>
      </c>
      <c r="B5148">
        <v>0.995954080203443</v>
      </c>
      <c r="C5148">
        <v>1.0346712218210701</v>
      </c>
      <c r="D5148">
        <v>1.10314315767549</v>
      </c>
      <c r="E5148">
        <v>0.46702640862289402</v>
      </c>
      <c r="F5148">
        <v>0.13290982663619599</v>
      </c>
      <c r="G5148">
        <v>8.6292437973516101E-2</v>
      </c>
      <c r="H5148">
        <v>5.1882898349851297E-2</v>
      </c>
      <c r="I5148">
        <v>4.3892274159469301E-2</v>
      </c>
      <c r="J5148">
        <v>4.3287454675847298E-2</v>
      </c>
      <c r="K5148">
        <v>4.1049422876168501E-2</v>
      </c>
      <c r="L5148">
        <v>2956.8918568633799</v>
      </c>
      <c r="M5148">
        <v>59.375167157313797</v>
      </c>
      <c r="N5148">
        <v>49.910274701356997</v>
      </c>
      <c r="O5148">
        <v>49.743746222023503</v>
      </c>
      <c r="P5148">
        <v>-0.28008407449491501</v>
      </c>
      <c r="Q5148">
        <v>6.13971602450099E-2</v>
      </c>
      <c r="R5148">
        <v>0.99105672593523397</v>
      </c>
      <c r="S5148" t="s">
        <v>11954</v>
      </c>
      <c r="T5148" t="s">
        <v>13610</v>
      </c>
      <c r="U5148" t="s">
        <v>13610</v>
      </c>
      <c r="V5148" t="s">
        <v>13610</v>
      </c>
      <c r="W5148" t="s">
        <v>18692</v>
      </c>
      <c r="X5148">
        <v>8</v>
      </c>
      <c r="Y5148" t="s">
        <v>25261</v>
      </c>
      <c r="Z5148" t="s">
        <v>32003</v>
      </c>
      <c r="AA5148">
        <v>0.36947165850712521</v>
      </c>
      <c r="AB5148" t="str">
        <f>HYPERLINK("Melting_Curves/meltCurve_Q96HP4_OXNAD1.pdf", "Melting_Curves/meltCurve_Q96HP4_OXNAD1.pdf")</f>
        <v>Melting_Curves/meltCurve_Q96HP4_OXNAD1.pdf</v>
      </c>
    </row>
    <row r="5149" spans="1:28" x14ac:dyDescent="0.25">
      <c r="A5149" t="s">
        <v>5153</v>
      </c>
      <c r="B5149">
        <v>0.995954080203443</v>
      </c>
      <c r="C5149">
        <v>0.97119707779823905</v>
      </c>
      <c r="D5149">
        <v>0.79579163529307795</v>
      </c>
      <c r="E5149">
        <v>0.90753547861431505</v>
      </c>
      <c r="F5149">
        <v>0.67887253571663198</v>
      </c>
      <c r="G5149">
        <v>0.49453585736856898</v>
      </c>
      <c r="H5149">
        <v>0.29608580985218103</v>
      </c>
      <c r="I5149">
        <v>0.22809974203781799</v>
      </c>
      <c r="J5149">
        <v>0.191836145140557</v>
      </c>
      <c r="K5149">
        <v>0.13075962026688701</v>
      </c>
      <c r="L5149">
        <v>613.75436325281601</v>
      </c>
      <c r="M5149">
        <v>10.8322881922989</v>
      </c>
      <c r="N5149">
        <v>56.833770349951003</v>
      </c>
      <c r="O5149">
        <v>54.831244418909698</v>
      </c>
      <c r="P5149">
        <v>-4.8600823975824603E-2</v>
      </c>
      <c r="Q5149">
        <v>1.63149043372053E-2</v>
      </c>
      <c r="R5149">
        <v>0.97373857507843997</v>
      </c>
      <c r="S5149" t="s">
        <v>11955</v>
      </c>
      <c r="T5149" t="s">
        <v>13610</v>
      </c>
      <c r="U5149" t="s">
        <v>13610</v>
      </c>
      <c r="V5149" t="s">
        <v>13610</v>
      </c>
      <c r="W5149" t="s">
        <v>18693</v>
      </c>
      <c r="X5149">
        <v>3</v>
      </c>
      <c r="Y5149" t="s">
        <v>25262</v>
      </c>
      <c r="Z5149" t="s">
        <v>32004</v>
      </c>
      <c r="AA5149">
        <v>0.58035841847513636</v>
      </c>
      <c r="AB5149" t="str">
        <f>HYPERLINK("Melting_Curves/meltCurve_Q96HQ2_CDKN2AIPNL.pdf", "Melting_Curves/meltCurve_Q96HQ2_CDKN2AIPNL.pdf")</f>
        <v>Melting_Curves/meltCurve_Q96HQ2_CDKN2AIPNL.pdf</v>
      </c>
    </row>
    <row r="5150" spans="1:28" x14ac:dyDescent="0.25">
      <c r="A5150" t="s">
        <v>5154</v>
      </c>
      <c r="B5150">
        <v>0.995954080203443</v>
      </c>
      <c r="C5150">
        <v>0.966253912068329</v>
      </c>
      <c r="D5150">
        <v>0.79143688292136904</v>
      </c>
      <c r="E5150">
        <v>0.72030021225457297</v>
      </c>
      <c r="F5150">
        <v>0.37311596592205098</v>
      </c>
      <c r="G5150">
        <v>0.22490523603906701</v>
      </c>
      <c r="H5150">
        <v>0.10093127416504501</v>
      </c>
      <c r="I5150">
        <v>8.8105038337036298E-2</v>
      </c>
      <c r="J5150">
        <v>8.0632747433417695E-2</v>
      </c>
      <c r="K5150">
        <v>6.1346174620338E-2</v>
      </c>
      <c r="L5150">
        <v>788.54893738085195</v>
      </c>
      <c r="M5150">
        <v>15.2915208132037</v>
      </c>
      <c r="N5150">
        <v>51.843206435224999</v>
      </c>
      <c r="O5150">
        <v>50.7099596871534</v>
      </c>
      <c r="P5150">
        <v>-7.2452316564710698E-2</v>
      </c>
      <c r="Q5150">
        <v>3.9020797215110203E-2</v>
      </c>
      <c r="R5150">
        <v>0.98744606374940003</v>
      </c>
      <c r="S5150" t="s">
        <v>11956</v>
      </c>
      <c r="T5150" t="s">
        <v>13610</v>
      </c>
      <c r="U5150" t="s">
        <v>13610</v>
      </c>
      <c r="V5150" t="s">
        <v>13610</v>
      </c>
      <c r="W5150" t="s">
        <v>18694</v>
      </c>
      <c r="X5150">
        <v>2</v>
      </c>
      <c r="Y5150" t="s">
        <v>25263</v>
      </c>
      <c r="Z5150" t="s">
        <v>32005</v>
      </c>
      <c r="AA5150">
        <v>0.43070846943365038</v>
      </c>
      <c r="AB5150" t="str">
        <f>HYPERLINK("Melting_Curves/meltCurve_Q96HR8_2_NAF1.pdf", "Melting_Curves/meltCurve_Q96HR8_2_NAF1.pdf")</f>
        <v>Melting_Curves/meltCurve_Q96HR8_2_NAF1.pdf</v>
      </c>
    </row>
    <row r="5151" spans="1:28" x14ac:dyDescent="0.25">
      <c r="A5151" t="s">
        <v>5155</v>
      </c>
      <c r="B5151">
        <v>0.995954080203443</v>
      </c>
      <c r="C5151">
        <v>0.96819141057305302</v>
      </c>
      <c r="D5151">
        <v>0.74484248104047701</v>
      </c>
      <c r="E5151">
        <v>0.7254603837204</v>
      </c>
      <c r="F5151">
        <v>0.39967012722143502</v>
      </c>
      <c r="G5151">
        <v>0.31620258674631202</v>
      </c>
      <c r="H5151">
        <v>0.247850875779141</v>
      </c>
      <c r="I5151">
        <v>0.309358003535875</v>
      </c>
      <c r="J5151">
        <v>0.31908060508073299</v>
      </c>
      <c r="K5151">
        <v>0.34429697492017503</v>
      </c>
      <c r="L5151">
        <v>833.34776258721604</v>
      </c>
      <c r="M5151">
        <v>16.876752783171799</v>
      </c>
      <c r="N5151">
        <v>51.969813071731203</v>
      </c>
      <c r="O5151">
        <v>48.700790964307501</v>
      </c>
      <c r="P5151">
        <v>-6.1993485433399199E-2</v>
      </c>
      <c r="Q5151">
        <v>0.28447377894630299</v>
      </c>
      <c r="R5151">
        <v>0.95230101655493604</v>
      </c>
      <c r="S5151" t="s">
        <v>11957</v>
      </c>
      <c r="T5151" t="s">
        <v>13610</v>
      </c>
      <c r="U5151" t="s">
        <v>13610</v>
      </c>
      <c r="V5151" t="s">
        <v>13610</v>
      </c>
      <c r="W5151" t="s">
        <v>18695</v>
      </c>
      <c r="X5151">
        <v>4</v>
      </c>
      <c r="Y5151" t="s">
        <v>25264</v>
      </c>
      <c r="Z5151" t="s">
        <v>32006</v>
      </c>
      <c r="AA5151">
        <v>0.52211003802662581</v>
      </c>
      <c r="AB5151" t="str">
        <f>HYPERLINK("Melting_Curves/meltCurve_Q96HS1_PGAM5.pdf", "Melting_Curves/meltCurve_Q96HS1_PGAM5.pdf")</f>
        <v>Melting_Curves/meltCurve_Q96HS1_PGAM5.pdf</v>
      </c>
    </row>
    <row r="5152" spans="1:28" x14ac:dyDescent="0.25">
      <c r="A5152" t="s">
        <v>5156</v>
      </c>
      <c r="B5152">
        <v>0.995954080203443</v>
      </c>
      <c r="C5152">
        <v>0.77091260520398996</v>
      </c>
      <c r="D5152">
        <v>0.57369160639752803</v>
      </c>
      <c r="E5152">
        <v>0.83116904494467303</v>
      </c>
      <c r="F5152">
        <v>0.57252486586088902</v>
      </c>
      <c r="G5152">
        <v>0.194109811021527</v>
      </c>
      <c r="H5152">
        <v>0.11942418122685799</v>
      </c>
      <c r="I5152">
        <v>0.108908014750922</v>
      </c>
      <c r="J5152">
        <v>0.108433794728773</v>
      </c>
      <c r="K5152">
        <v>9.7551128627320197E-2</v>
      </c>
      <c r="L5152">
        <v>493.032548371735</v>
      </c>
      <c r="M5152">
        <v>9.4671418008679495</v>
      </c>
      <c r="N5152">
        <v>52.078284053153297</v>
      </c>
      <c r="O5152">
        <v>49.913367440642801</v>
      </c>
      <c r="P5152">
        <v>-4.7446287047746803E-2</v>
      </c>
      <c r="Q5152">
        <v>0</v>
      </c>
      <c r="R5152">
        <v>0.86886295894274601</v>
      </c>
      <c r="S5152" t="s">
        <v>11958</v>
      </c>
      <c r="T5152" t="s">
        <v>13610</v>
      </c>
      <c r="U5152" t="s">
        <v>13610</v>
      </c>
      <c r="V5152" t="s">
        <v>13610</v>
      </c>
      <c r="W5152" t="s">
        <v>18696</v>
      </c>
      <c r="X5152">
        <v>14</v>
      </c>
      <c r="Y5152" t="s">
        <v>25265</v>
      </c>
      <c r="Z5152" t="s">
        <v>32007</v>
      </c>
      <c r="AA5152">
        <v>0.4424971508327053</v>
      </c>
      <c r="AB5152" t="str">
        <f>HYPERLINK("Melting_Curves/meltCurve_Q96HW7_INTS4.pdf", "Melting_Curves/meltCurve_Q96HW7_INTS4.pdf")</f>
        <v>Melting_Curves/meltCurve_Q96HW7_INTS4.pdf</v>
      </c>
    </row>
    <row r="5153" spans="1:28" x14ac:dyDescent="0.25">
      <c r="A5153" t="s">
        <v>5157</v>
      </c>
      <c r="B5153">
        <v>0.995954080203443</v>
      </c>
      <c r="C5153">
        <v>0.88326408717024396</v>
      </c>
      <c r="D5153">
        <v>0.75020264930126501</v>
      </c>
      <c r="E5153">
        <v>0.75790862093660205</v>
      </c>
      <c r="F5153">
        <v>0.79428857891031102</v>
      </c>
      <c r="G5153">
        <v>0.56820210807812899</v>
      </c>
      <c r="H5153">
        <v>0.52513864505559105</v>
      </c>
      <c r="I5153">
        <v>0.55833674857761895</v>
      </c>
      <c r="J5153">
        <v>0.80980350390254696</v>
      </c>
      <c r="K5153">
        <v>0.61393533771529096</v>
      </c>
      <c r="L5153">
        <v>583.85827557827201</v>
      </c>
      <c r="M5153">
        <v>12.687061747514001</v>
      </c>
      <c r="O5153">
        <v>44.921580183428503</v>
      </c>
      <c r="P5153">
        <v>-2.6692581829109701E-2</v>
      </c>
      <c r="Q5153">
        <v>0.62202762801366196</v>
      </c>
      <c r="R5153">
        <v>0.64084804968578701</v>
      </c>
      <c r="S5153" t="s">
        <v>11959</v>
      </c>
      <c r="T5153" t="s">
        <v>13610</v>
      </c>
      <c r="U5153" t="s">
        <v>13610</v>
      </c>
      <c r="V5153" t="s">
        <v>13610</v>
      </c>
      <c r="W5153" t="s">
        <v>18697</v>
      </c>
      <c r="X5153">
        <v>11</v>
      </c>
      <c r="Y5153" t="s">
        <v>25266</v>
      </c>
      <c r="Z5153" t="s">
        <v>32008</v>
      </c>
      <c r="AA5153">
        <v>0.71332491959174216</v>
      </c>
      <c r="AB5153" t="str">
        <f>HYPERLINK("Melting_Curves/meltCurve_Q96HY6_DDRGK1.pdf", "Melting_Curves/meltCurve_Q96HY6_DDRGK1.pdf")</f>
        <v>Melting_Curves/meltCurve_Q96HY6_DDRGK1.pdf</v>
      </c>
    </row>
    <row r="5154" spans="1:28" x14ac:dyDescent="0.25">
      <c r="A5154" t="s">
        <v>5158</v>
      </c>
      <c r="B5154">
        <v>0.995954080203443</v>
      </c>
      <c r="C5154">
        <v>0.79445126836862501</v>
      </c>
      <c r="D5154">
        <v>0.56484347707690297</v>
      </c>
      <c r="E5154">
        <v>0.25487039749256801</v>
      </c>
      <c r="F5154">
        <v>0.16411972026958099</v>
      </c>
      <c r="G5154">
        <v>0.11395553700101201</v>
      </c>
      <c r="H5154">
        <v>9.7839502805945E-2</v>
      </c>
      <c r="I5154">
        <v>0.10006092550285201</v>
      </c>
      <c r="J5154">
        <v>0.10549085445008299</v>
      </c>
      <c r="K5154">
        <v>0.101988334151765</v>
      </c>
      <c r="L5154">
        <v>893.58753264259303</v>
      </c>
      <c r="M5154">
        <v>19.407780050983</v>
      </c>
      <c r="N5154">
        <v>46.560729383083903</v>
      </c>
      <c r="O5154">
        <v>45.562274113925703</v>
      </c>
      <c r="P5154">
        <v>-9.6154344874880296E-2</v>
      </c>
      <c r="Q5154">
        <v>9.7094047142788104E-2</v>
      </c>
      <c r="R5154">
        <v>0.997096463380028</v>
      </c>
      <c r="S5154" t="s">
        <v>11960</v>
      </c>
      <c r="T5154" t="s">
        <v>13610</v>
      </c>
      <c r="U5154" t="s">
        <v>13610</v>
      </c>
      <c r="V5154" t="s">
        <v>13610</v>
      </c>
      <c r="W5154" t="s">
        <v>18698</v>
      </c>
      <c r="X5154">
        <v>10</v>
      </c>
      <c r="Y5154" t="s">
        <v>25267</v>
      </c>
      <c r="Z5154" t="s">
        <v>32009</v>
      </c>
      <c r="AA5154">
        <v>0.29386612177424981</v>
      </c>
      <c r="AB5154" t="str">
        <f>HYPERLINK("Melting_Curves/meltCurve_Q96HY7_DHTKD1.pdf", "Melting_Curves/meltCurve_Q96HY7_DHTKD1.pdf")</f>
        <v>Melting_Curves/meltCurve_Q96HY7_DHTKD1.pdf</v>
      </c>
    </row>
    <row r="5155" spans="1:28" x14ac:dyDescent="0.25">
      <c r="A5155" t="s">
        <v>5159</v>
      </c>
      <c r="B5155">
        <v>0.995954080203443</v>
      </c>
      <c r="C5155">
        <v>1.0101461617055301</v>
      </c>
      <c r="D5155">
        <v>1.05736120261657</v>
      </c>
      <c r="E5155">
        <v>0.90623187505613401</v>
      </c>
      <c r="F5155">
        <v>0.820286457631483</v>
      </c>
      <c r="G5155">
        <v>0.54681679633139102</v>
      </c>
      <c r="H5155">
        <v>0.22671731385378699</v>
      </c>
      <c r="I5155">
        <v>0.12332171868113399</v>
      </c>
      <c r="J5155">
        <v>0.108557649937503</v>
      </c>
      <c r="K5155">
        <v>0.103072976930353</v>
      </c>
      <c r="L5155">
        <v>1184.48904768996</v>
      </c>
      <c r="M5155">
        <v>20.845899593965299</v>
      </c>
      <c r="N5155">
        <v>57.202538369665398</v>
      </c>
      <c r="O5155">
        <v>56.3060443902082</v>
      </c>
      <c r="P5155">
        <v>-8.6554286690012097E-2</v>
      </c>
      <c r="Q5155">
        <v>6.4872101728611103E-2</v>
      </c>
      <c r="R5155">
        <v>0.99452143002863502</v>
      </c>
      <c r="S5155" t="s">
        <v>11961</v>
      </c>
      <c r="T5155" t="s">
        <v>13610</v>
      </c>
      <c r="U5155" t="s">
        <v>13610</v>
      </c>
      <c r="V5155" t="s">
        <v>13610</v>
      </c>
      <c r="W5155" t="s">
        <v>18699</v>
      </c>
      <c r="X5155">
        <v>16</v>
      </c>
      <c r="Y5155" t="s">
        <v>25268</v>
      </c>
      <c r="Z5155" t="s">
        <v>32010</v>
      </c>
      <c r="AA5155">
        <v>0.60018861442972515</v>
      </c>
      <c r="AB5155" t="str">
        <f>HYPERLINK("Melting_Curves/meltCurve_Q96I15_SCLY.pdf", "Melting_Curves/meltCurve_Q96I15_SCLY.pdf")</f>
        <v>Melting_Curves/meltCurve_Q96I15_SCLY.pdf</v>
      </c>
    </row>
    <row r="5156" spans="1:28" x14ac:dyDescent="0.25">
      <c r="A5156" t="s">
        <v>5160</v>
      </c>
      <c r="B5156">
        <v>0.995954080203443</v>
      </c>
      <c r="C5156">
        <v>0.97599834006723796</v>
      </c>
      <c r="D5156">
        <v>0.79093512146571099</v>
      </c>
      <c r="E5156">
        <v>0.84326036274992699</v>
      </c>
      <c r="F5156">
        <v>0.59285643323538495</v>
      </c>
      <c r="G5156">
        <v>0.39842975664221802</v>
      </c>
      <c r="H5156">
        <v>0.34311043475352598</v>
      </c>
      <c r="I5156">
        <v>0.30562688816356898</v>
      </c>
      <c r="J5156">
        <v>0.360455887946875</v>
      </c>
      <c r="K5156">
        <v>0.33540027078011297</v>
      </c>
      <c r="L5156">
        <v>781.22714713053097</v>
      </c>
      <c r="M5156">
        <v>15.0500471313453</v>
      </c>
      <c r="N5156">
        <v>55.212984856089903</v>
      </c>
      <c r="O5156">
        <v>51.018022948842599</v>
      </c>
      <c r="P5156">
        <v>-5.1860935184359198E-2</v>
      </c>
      <c r="Q5156">
        <v>0.29685839042544199</v>
      </c>
      <c r="R5156">
        <v>0.95894514816847398</v>
      </c>
      <c r="S5156" t="s">
        <v>11962</v>
      </c>
      <c r="T5156" t="s">
        <v>13610</v>
      </c>
      <c r="U5156" t="s">
        <v>13610</v>
      </c>
      <c r="V5156" t="s">
        <v>13610</v>
      </c>
      <c r="W5156" t="s">
        <v>18700</v>
      </c>
      <c r="X5156">
        <v>1</v>
      </c>
      <c r="Y5156" t="s">
        <v>25269</v>
      </c>
      <c r="Z5156" t="s">
        <v>32011</v>
      </c>
      <c r="AA5156">
        <v>0.5916621625585462</v>
      </c>
      <c r="AB5156" t="str">
        <f>HYPERLINK("Melting_Curves/meltCurve_Q96I23_PYURF.pdf", "Melting_Curves/meltCurve_Q96I23_PYURF.pdf")</f>
        <v>Melting_Curves/meltCurve_Q96I23_PYURF.pdf</v>
      </c>
    </row>
    <row r="5157" spans="1:28" x14ac:dyDescent="0.25">
      <c r="A5157" t="s">
        <v>5161</v>
      </c>
      <c r="B5157">
        <v>0.995954080203443</v>
      </c>
      <c r="C5157">
        <v>0.95697275556766603</v>
      </c>
      <c r="D5157">
        <v>0.98892274536823599</v>
      </c>
      <c r="E5157">
        <v>0.82333873198123897</v>
      </c>
      <c r="F5157">
        <v>0.75546232407305902</v>
      </c>
      <c r="G5157">
        <v>0.51273540235892501</v>
      </c>
      <c r="H5157">
        <v>0.42014837823739798</v>
      </c>
      <c r="I5157">
        <v>0.45161704443981698</v>
      </c>
      <c r="J5157">
        <v>0.51624551654331197</v>
      </c>
      <c r="K5157">
        <v>0.49379793042082498</v>
      </c>
      <c r="L5157">
        <v>1186.0471814663299</v>
      </c>
      <c r="M5157">
        <v>22.599919655029002</v>
      </c>
      <c r="N5157">
        <v>59.177453202258903</v>
      </c>
      <c r="O5157">
        <v>52.0744360955593</v>
      </c>
      <c r="P5157">
        <v>-5.8453592210154802E-2</v>
      </c>
      <c r="Q5157">
        <v>0.46125883337011597</v>
      </c>
      <c r="R5157">
        <v>0.970075690469128</v>
      </c>
      <c r="S5157" t="s">
        <v>11963</v>
      </c>
      <c r="T5157" t="s">
        <v>13610</v>
      </c>
      <c r="U5157" t="s">
        <v>13610</v>
      </c>
      <c r="V5157" t="s">
        <v>13610</v>
      </c>
      <c r="W5157" t="s">
        <v>18701</v>
      </c>
      <c r="X5157">
        <v>26</v>
      </c>
      <c r="Y5157" t="s">
        <v>25270</v>
      </c>
      <c r="Z5157" t="s">
        <v>32012</v>
      </c>
      <c r="AA5157">
        <v>0.69134685937739249</v>
      </c>
      <c r="AB5157" t="str">
        <f>HYPERLINK("Melting_Curves/meltCurve_Q96I24_FUBP3.pdf", "Melting_Curves/meltCurve_Q96I24_FUBP3.pdf")</f>
        <v>Melting_Curves/meltCurve_Q96I24_FUBP3.pdf</v>
      </c>
    </row>
    <row r="5158" spans="1:28" x14ac:dyDescent="0.25">
      <c r="A5158" t="s">
        <v>5162</v>
      </c>
      <c r="B5158">
        <v>0.995954080203443</v>
      </c>
      <c r="C5158">
        <v>0.93299653633174595</v>
      </c>
      <c r="D5158">
        <v>0.97226271186565005</v>
      </c>
      <c r="E5158">
        <v>0.81427779480608198</v>
      </c>
      <c r="F5158">
        <v>0.74947345515127295</v>
      </c>
      <c r="G5158">
        <v>0.36409296178696798</v>
      </c>
      <c r="H5158">
        <v>0.19486368176834901</v>
      </c>
      <c r="I5158">
        <v>0.18627371695131101</v>
      </c>
      <c r="J5158">
        <v>0.211408337511511</v>
      </c>
      <c r="K5158">
        <v>0.20991660734602999</v>
      </c>
      <c r="L5158">
        <v>1195.56457792121</v>
      </c>
      <c r="M5158">
        <v>22.075378852588901</v>
      </c>
      <c r="N5158">
        <v>55.234873018831301</v>
      </c>
      <c r="O5158">
        <v>53.719730823459898</v>
      </c>
      <c r="P5158">
        <v>-8.4774489804807701E-2</v>
      </c>
      <c r="Q5158">
        <v>0.17483409793087301</v>
      </c>
      <c r="R5158">
        <v>0.98475427883309197</v>
      </c>
      <c r="S5158" t="s">
        <v>11964</v>
      </c>
      <c r="T5158" t="s">
        <v>13610</v>
      </c>
      <c r="U5158" t="s">
        <v>13610</v>
      </c>
      <c r="V5158" t="s">
        <v>13610</v>
      </c>
      <c r="W5158" t="s">
        <v>18702</v>
      </c>
      <c r="X5158">
        <v>22</v>
      </c>
      <c r="Y5158" t="s">
        <v>25271</v>
      </c>
      <c r="Z5158" t="s">
        <v>32013</v>
      </c>
      <c r="AA5158">
        <v>0.57377127619839419</v>
      </c>
      <c r="AB5158" t="str">
        <f>HYPERLINK("Melting_Curves/meltCurve_Q96I25_RBM17.pdf", "Melting_Curves/meltCurve_Q96I25_RBM17.pdf")</f>
        <v>Melting_Curves/meltCurve_Q96I25_RBM17.pdf</v>
      </c>
    </row>
    <row r="5159" spans="1:28" x14ac:dyDescent="0.25">
      <c r="A5159" t="s">
        <v>5163</v>
      </c>
      <c r="B5159">
        <v>0.995954080203443</v>
      </c>
      <c r="C5159">
        <v>0.87981512244890003</v>
      </c>
      <c r="D5159">
        <v>0.93572654171396896</v>
      </c>
      <c r="E5159">
        <v>0.71094611371168703</v>
      </c>
      <c r="F5159">
        <v>0.59718177173056597</v>
      </c>
      <c r="G5159">
        <v>0.431889051867688</v>
      </c>
      <c r="H5159">
        <v>0.266241972494487</v>
      </c>
      <c r="I5159">
        <v>0.156897739438495</v>
      </c>
      <c r="J5159">
        <v>0.121504544454779</v>
      </c>
      <c r="K5159">
        <v>0.10250831710927601</v>
      </c>
      <c r="L5159">
        <v>576.540323619682</v>
      </c>
      <c r="M5159">
        <v>10.493803451962</v>
      </c>
      <c r="N5159">
        <v>54.941025535745297</v>
      </c>
      <c r="O5159">
        <v>53.058321006483901</v>
      </c>
      <c r="P5159">
        <v>-4.94646585433339E-2</v>
      </c>
      <c r="Q5159">
        <v>0</v>
      </c>
      <c r="R5159">
        <v>0.99087408960327805</v>
      </c>
      <c r="S5159" t="s">
        <v>11965</v>
      </c>
      <c r="T5159" t="s">
        <v>13610</v>
      </c>
      <c r="U5159" t="s">
        <v>13610</v>
      </c>
      <c r="V5159" t="s">
        <v>13610</v>
      </c>
      <c r="W5159" t="s">
        <v>18703</v>
      </c>
      <c r="X5159">
        <v>8</v>
      </c>
      <c r="Y5159" t="s">
        <v>25272</v>
      </c>
      <c r="Z5159" t="s">
        <v>32014</v>
      </c>
      <c r="AA5159">
        <v>0.52361485454034384</v>
      </c>
      <c r="AB5159" t="str">
        <f>HYPERLINK("Melting_Curves/meltCurve_Q96I51_WBSCR16.pdf", "Melting_Curves/meltCurve_Q96I51_WBSCR16.pdf")</f>
        <v>Melting_Curves/meltCurve_Q96I51_WBSCR16.pdf</v>
      </c>
    </row>
    <row r="5160" spans="1:28" x14ac:dyDescent="0.25">
      <c r="A5160" t="s">
        <v>5164</v>
      </c>
      <c r="B5160">
        <v>0.995954080203443</v>
      </c>
      <c r="C5160">
        <v>0.81757536808838904</v>
      </c>
      <c r="D5160">
        <v>0.60474268348792104</v>
      </c>
      <c r="E5160">
        <v>0.38011412699501002</v>
      </c>
      <c r="F5160">
        <v>0.16407129092060499</v>
      </c>
      <c r="G5160">
        <v>0.116469305268459</v>
      </c>
      <c r="H5160">
        <v>7.9431229859048297E-2</v>
      </c>
      <c r="I5160">
        <v>9.0946012944257595E-2</v>
      </c>
      <c r="J5160">
        <v>9.8092233493022499E-2</v>
      </c>
      <c r="K5160">
        <v>8.5967863619246701E-2</v>
      </c>
      <c r="L5160">
        <v>766.94077650482495</v>
      </c>
      <c r="M5160">
        <v>16.304480817730099</v>
      </c>
      <c r="N5160">
        <v>47.507127725043397</v>
      </c>
      <c r="O5160">
        <v>46.348140004629499</v>
      </c>
      <c r="P5160">
        <v>-8.1420808396047997E-2</v>
      </c>
      <c r="Q5160">
        <v>7.4260257813053898E-2</v>
      </c>
      <c r="R5160">
        <v>0.99286714951700605</v>
      </c>
      <c r="S5160" t="s">
        <v>11966</v>
      </c>
      <c r="T5160" t="s">
        <v>13610</v>
      </c>
      <c r="U5160" t="s">
        <v>13610</v>
      </c>
      <c r="V5160" t="s">
        <v>13610</v>
      </c>
      <c r="W5160" t="s">
        <v>18704</v>
      </c>
      <c r="X5160">
        <v>13</v>
      </c>
      <c r="Y5160" t="s">
        <v>25273</v>
      </c>
      <c r="Z5160" t="s">
        <v>32015</v>
      </c>
      <c r="AA5160">
        <v>0.31254125666061788</v>
      </c>
      <c r="AB5160" t="str">
        <f>HYPERLINK("Melting_Curves/meltCurve_Q96I59_NARS2.pdf", "Melting_Curves/meltCurve_Q96I59_NARS2.pdf")</f>
        <v>Melting_Curves/meltCurve_Q96I59_NARS2.pdf</v>
      </c>
    </row>
    <row r="5161" spans="1:28" x14ac:dyDescent="0.25">
      <c r="A5161" t="s">
        <v>5165</v>
      </c>
      <c r="B5161">
        <v>0.995954080203443</v>
      </c>
      <c r="C5161">
        <v>0.95791473068619104</v>
      </c>
      <c r="D5161">
        <v>0.940259090220809</v>
      </c>
      <c r="E5161">
        <v>0.438838832810242</v>
      </c>
      <c r="F5161">
        <v>0.21902405095869801</v>
      </c>
      <c r="G5161">
        <v>0.13664846766663399</v>
      </c>
      <c r="H5161">
        <v>0.108642838638665</v>
      </c>
      <c r="I5161">
        <v>0.106909419237449</v>
      </c>
      <c r="J5161">
        <v>0.107293105661036</v>
      </c>
      <c r="K5161">
        <v>0.107841465780801</v>
      </c>
      <c r="L5161">
        <v>1576.61617206092</v>
      </c>
      <c r="M5161">
        <v>32.001564023439997</v>
      </c>
      <c r="N5161">
        <v>49.664506976612103</v>
      </c>
      <c r="O5161">
        <v>49.075661029996802</v>
      </c>
      <c r="P5161">
        <v>-0.14459707083342399</v>
      </c>
      <c r="Q5161">
        <v>0.113023217313696</v>
      </c>
      <c r="R5161">
        <v>0.99804381741435499</v>
      </c>
      <c r="S5161" t="s">
        <v>11967</v>
      </c>
      <c r="T5161" t="s">
        <v>13610</v>
      </c>
      <c r="U5161" t="s">
        <v>13610</v>
      </c>
      <c r="V5161" t="s">
        <v>13610</v>
      </c>
      <c r="W5161" t="s">
        <v>18705</v>
      </c>
      <c r="X5161">
        <v>20</v>
      </c>
      <c r="Y5161" t="s">
        <v>25274</v>
      </c>
      <c r="Z5161" t="s">
        <v>32016</v>
      </c>
      <c r="AA5161">
        <v>0.39175979601469452</v>
      </c>
      <c r="AB5161" t="str">
        <f>HYPERLINK("Melting_Curves/meltCurve_Q96I99_SUCLG2.pdf", "Melting_Curves/meltCurve_Q96I99_SUCLG2.pdf")</f>
        <v>Melting_Curves/meltCurve_Q96I99_SUCLG2.pdf</v>
      </c>
    </row>
    <row r="5162" spans="1:28" x14ac:dyDescent="0.25">
      <c r="A5162" t="s">
        <v>5166</v>
      </c>
      <c r="B5162">
        <v>0.995954080203443</v>
      </c>
      <c r="C5162">
        <v>0.87970960349597205</v>
      </c>
      <c r="D5162">
        <v>0.717713005455488</v>
      </c>
      <c r="E5162">
        <v>0.61092655581517097</v>
      </c>
      <c r="F5162">
        <v>0.44465570891786999</v>
      </c>
      <c r="G5162">
        <v>0.29343884169951401</v>
      </c>
      <c r="H5162">
        <v>0.25820019220621199</v>
      </c>
      <c r="I5162">
        <v>0.29344964293558001</v>
      </c>
      <c r="J5162">
        <v>0.37972824295600199</v>
      </c>
      <c r="K5162">
        <v>0.33187917540906198</v>
      </c>
      <c r="L5162">
        <v>707.91942059162795</v>
      </c>
      <c r="M5162">
        <v>14.745121430129</v>
      </c>
      <c r="N5162">
        <v>51.088544301858697</v>
      </c>
      <c r="O5162">
        <v>47.153295496072502</v>
      </c>
      <c r="P5162">
        <v>-5.5171639699496199E-2</v>
      </c>
      <c r="Q5162">
        <v>0.29434458241842898</v>
      </c>
      <c r="R5162">
        <v>0.96502729361706296</v>
      </c>
      <c r="S5162" t="s">
        <v>11968</v>
      </c>
      <c r="T5162" t="s">
        <v>13610</v>
      </c>
      <c r="U5162" t="s">
        <v>13610</v>
      </c>
      <c r="V5162" t="s">
        <v>13610</v>
      </c>
      <c r="W5162" t="s">
        <v>18706</v>
      </c>
      <c r="X5162">
        <v>14</v>
      </c>
      <c r="Y5162" t="s">
        <v>25275</v>
      </c>
      <c r="Z5162" t="s">
        <v>32017</v>
      </c>
      <c r="AA5162">
        <v>0.50153810043961455</v>
      </c>
      <c r="AB5162" t="str">
        <f>HYPERLINK("Melting_Curves/meltCurve_Q96II8_LRCH3.pdf", "Melting_Curves/meltCurve_Q96II8_LRCH3.pdf")</f>
        <v>Melting_Curves/meltCurve_Q96II8_LRCH3.pdf</v>
      </c>
    </row>
    <row r="5163" spans="1:28" x14ac:dyDescent="0.25">
      <c r="A5163" t="s">
        <v>5167</v>
      </c>
      <c r="B5163">
        <v>0.995954080203443</v>
      </c>
      <c r="C5163">
        <v>0.84793981469310697</v>
      </c>
      <c r="D5163">
        <v>0.70666876803213596</v>
      </c>
      <c r="E5163">
        <v>0.566291557838</v>
      </c>
      <c r="F5163">
        <v>0.27276449962812699</v>
      </c>
      <c r="G5163">
        <v>0.12293925274886799</v>
      </c>
      <c r="H5163">
        <v>6.8889220453896297E-2</v>
      </c>
      <c r="I5163">
        <v>6.05780714537437E-2</v>
      </c>
      <c r="J5163">
        <v>6.4784491146664E-2</v>
      </c>
      <c r="K5163">
        <v>6.1808280664016599E-2</v>
      </c>
      <c r="L5163">
        <v>666.49065990218298</v>
      </c>
      <c r="M5163">
        <v>13.4550402829419</v>
      </c>
      <c r="N5163">
        <v>49.665991755615103</v>
      </c>
      <c r="O5163">
        <v>48.478876811873398</v>
      </c>
      <c r="P5163">
        <v>-6.8183885561258997E-2</v>
      </c>
      <c r="Q5163">
        <v>1.7478645222226599E-2</v>
      </c>
      <c r="R5163">
        <v>0.98677961350481203</v>
      </c>
      <c r="S5163" t="s">
        <v>11969</v>
      </c>
      <c r="T5163" t="s">
        <v>13610</v>
      </c>
      <c r="U5163" t="s">
        <v>13610</v>
      </c>
      <c r="V5163" t="s">
        <v>13610</v>
      </c>
      <c r="W5163" t="s">
        <v>18707</v>
      </c>
      <c r="X5163">
        <v>12</v>
      </c>
      <c r="Y5163" t="s">
        <v>25276</v>
      </c>
      <c r="Z5163" t="s">
        <v>32018</v>
      </c>
      <c r="AA5163">
        <v>0.35860925916840353</v>
      </c>
      <c r="AB5163" t="str">
        <f>HYPERLINK("Melting_Curves/meltCurve_Q96IJ6_GMPPA.pdf", "Melting_Curves/meltCurve_Q96IJ6_GMPPA.pdf")</f>
        <v>Melting_Curves/meltCurve_Q96IJ6_GMPPA.pdf</v>
      </c>
    </row>
    <row r="5164" spans="1:28" x14ac:dyDescent="0.25">
      <c r="A5164" t="s">
        <v>5168</v>
      </c>
      <c r="B5164">
        <v>0.995954080203443</v>
      </c>
      <c r="C5164">
        <v>0.96876012980322801</v>
      </c>
      <c r="D5164">
        <v>0.89675733209847297</v>
      </c>
      <c r="E5164">
        <v>0.78674579052723703</v>
      </c>
      <c r="F5164">
        <v>0.69009680793381001</v>
      </c>
      <c r="G5164">
        <v>0.52265446232948398</v>
      </c>
      <c r="H5164">
        <v>0.43629000688147401</v>
      </c>
      <c r="I5164">
        <v>0.512094884912218</v>
      </c>
      <c r="J5164">
        <v>0.49160676882183402</v>
      </c>
      <c r="K5164">
        <v>0.55445660744706304</v>
      </c>
      <c r="L5164">
        <v>888.02889405915698</v>
      </c>
      <c r="M5164">
        <v>17.4892637537491</v>
      </c>
      <c r="N5164">
        <v>63.886303176641</v>
      </c>
      <c r="O5164">
        <v>50.125762016249297</v>
      </c>
      <c r="P5164">
        <v>-4.4820648936007998E-2</v>
      </c>
      <c r="Q5164">
        <v>0.48618868240457902</v>
      </c>
      <c r="R5164">
        <v>0.96667234829166704</v>
      </c>
      <c r="S5164" t="s">
        <v>11970</v>
      </c>
      <c r="T5164" t="s">
        <v>13610</v>
      </c>
      <c r="U5164" t="s">
        <v>13610</v>
      </c>
      <c r="V5164" t="s">
        <v>13610</v>
      </c>
      <c r="W5164" t="s">
        <v>18708</v>
      </c>
      <c r="X5164">
        <v>6</v>
      </c>
      <c r="Y5164" t="s">
        <v>25277</v>
      </c>
      <c r="Z5164" t="s">
        <v>32019</v>
      </c>
      <c r="AA5164">
        <v>0.67988946581344634</v>
      </c>
      <c r="AB5164" t="str">
        <f>HYPERLINK("Melting_Curves/meltCurve_Q96IK1_BOD1.pdf", "Melting_Curves/meltCurve_Q96IK1_BOD1.pdf")</f>
        <v>Melting_Curves/meltCurve_Q96IK1_BOD1.pdf</v>
      </c>
    </row>
    <row r="5165" spans="1:28" x14ac:dyDescent="0.25">
      <c r="A5165" t="s">
        <v>5169</v>
      </c>
      <c r="B5165">
        <v>0.995954080203443</v>
      </c>
      <c r="C5165">
        <v>0.69887366440464405</v>
      </c>
      <c r="D5165">
        <v>0.45570136418450802</v>
      </c>
      <c r="E5165">
        <v>0.436875069197805</v>
      </c>
      <c r="F5165">
        <v>0.31585163977645803</v>
      </c>
      <c r="G5165">
        <v>0.21817020577653801</v>
      </c>
      <c r="H5165">
        <v>0.183147521923854</v>
      </c>
      <c r="I5165">
        <v>0.208753952920742</v>
      </c>
      <c r="J5165">
        <v>0.303997083111267</v>
      </c>
      <c r="K5165">
        <v>0.30796177284552201</v>
      </c>
      <c r="L5165">
        <v>849.99061102012502</v>
      </c>
      <c r="M5165">
        <v>19.221911337330301</v>
      </c>
      <c r="N5165">
        <v>45.965361591358104</v>
      </c>
      <c r="O5165">
        <v>43.749620756646898</v>
      </c>
      <c r="P5165">
        <v>-8.1391756516083602E-2</v>
      </c>
      <c r="Q5165">
        <v>0.25902836918199101</v>
      </c>
      <c r="R5165">
        <v>0.93607455346175095</v>
      </c>
      <c r="S5165" t="s">
        <v>11971</v>
      </c>
      <c r="T5165" t="s">
        <v>13610</v>
      </c>
      <c r="U5165" t="s">
        <v>13610</v>
      </c>
      <c r="V5165" t="s">
        <v>13610</v>
      </c>
      <c r="W5165" t="s">
        <v>18709</v>
      </c>
      <c r="X5165">
        <v>2</v>
      </c>
      <c r="Y5165" t="s">
        <v>21382</v>
      </c>
      <c r="Z5165" t="s">
        <v>32020</v>
      </c>
      <c r="AA5165">
        <v>0.37849208038166587</v>
      </c>
      <c r="AB5165" t="str">
        <f>HYPERLINK("Melting_Curves/meltCurve_Q96IQ9_ZNF414.pdf", "Melting_Curves/meltCurve_Q96IQ9_ZNF414.pdf")</f>
        <v>Melting_Curves/meltCurve_Q96IQ9_ZNF414.pdf</v>
      </c>
    </row>
    <row r="5166" spans="1:28" x14ac:dyDescent="0.25">
      <c r="A5166" t="s">
        <v>5170</v>
      </c>
      <c r="B5166">
        <v>0.995954080203443</v>
      </c>
      <c r="C5166">
        <v>0.77341783932047403</v>
      </c>
      <c r="D5166">
        <v>0.96916109158621</v>
      </c>
      <c r="E5166">
        <v>0.69716334715997597</v>
      </c>
      <c r="F5166">
        <v>0.56532483330438599</v>
      </c>
      <c r="G5166">
        <v>0.354386802229535</v>
      </c>
      <c r="H5166">
        <v>0.29841919352296498</v>
      </c>
      <c r="I5166">
        <v>0.29425353568989199</v>
      </c>
      <c r="J5166">
        <v>0.37774990842315498</v>
      </c>
      <c r="K5166">
        <v>0.33028488566945202</v>
      </c>
      <c r="L5166">
        <v>850.77319594429696</v>
      </c>
      <c r="M5166">
        <v>16.7386538077713</v>
      </c>
      <c r="N5166">
        <v>53.7900942944623</v>
      </c>
      <c r="O5166">
        <v>50.118040303160598</v>
      </c>
      <c r="P5166">
        <v>-5.8354214325545897E-2</v>
      </c>
      <c r="Q5166">
        <v>0.30116082711361702</v>
      </c>
      <c r="R5166">
        <v>0.92166694482551303</v>
      </c>
      <c r="S5166" t="s">
        <v>11972</v>
      </c>
      <c r="T5166" t="s">
        <v>13610</v>
      </c>
      <c r="U5166" t="s">
        <v>13610</v>
      </c>
      <c r="V5166" t="s">
        <v>13610</v>
      </c>
      <c r="W5166" t="s">
        <v>18710</v>
      </c>
      <c r="X5166">
        <v>4</v>
      </c>
      <c r="Y5166" t="s">
        <v>25278</v>
      </c>
      <c r="Z5166" t="s">
        <v>32021</v>
      </c>
      <c r="AA5166">
        <v>0.56680992279380626</v>
      </c>
      <c r="AB5166" t="str">
        <f>HYPERLINK("Melting_Curves/meltCurve_Q96IR2_ZNF845.pdf", "Melting_Curves/meltCurve_Q96IR2_ZNF845.pdf")</f>
        <v>Melting_Curves/meltCurve_Q96IR2_ZNF845.pdf</v>
      </c>
    </row>
    <row r="5167" spans="1:28" x14ac:dyDescent="0.25">
      <c r="A5167" t="s">
        <v>5171</v>
      </c>
      <c r="B5167">
        <v>0.995954080203443</v>
      </c>
      <c r="C5167">
        <v>1.03551855766766</v>
      </c>
      <c r="D5167">
        <v>1.0170567983183501</v>
      </c>
      <c r="E5167">
        <v>0.76054895067973505</v>
      </c>
      <c r="F5167">
        <v>0.59217633359988497</v>
      </c>
      <c r="G5167">
        <v>0.31961070147744403</v>
      </c>
      <c r="H5167">
        <v>0.160035695247735</v>
      </c>
      <c r="I5167">
        <v>0.13030079570060199</v>
      </c>
      <c r="J5167">
        <v>0.13195574349696099</v>
      </c>
      <c r="K5167">
        <v>0.13071724850941099</v>
      </c>
      <c r="L5167">
        <v>1041.4806249528201</v>
      </c>
      <c r="M5167">
        <v>19.555093278537399</v>
      </c>
      <c r="N5167">
        <v>53.949228718199002</v>
      </c>
      <c r="O5167">
        <v>52.711214500237901</v>
      </c>
      <c r="P5167">
        <v>-8.2482038840297395E-2</v>
      </c>
      <c r="Q5167">
        <v>0.110702527874474</v>
      </c>
      <c r="R5167">
        <v>0.99421222161008505</v>
      </c>
      <c r="S5167" t="s">
        <v>11973</v>
      </c>
      <c r="T5167" t="s">
        <v>13610</v>
      </c>
      <c r="U5167" t="s">
        <v>13610</v>
      </c>
      <c r="V5167" t="s">
        <v>13610</v>
      </c>
      <c r="W5167" t="s">
        <v>18711</v>
      </c>
      <c r="X5167">
        <v>7</v>
      </c>
      <c r="Y5167" t="s">
        <v>25279</v>
      </c>
      <c r="Z5167" t="s">
        <v>32022</v>
      </c>
      <c r="AA5167">
        <v>0.51640555818167233</v>
      </c>
      <c r="AB5167" t="str">
        <f>HYPERLINK("Melting_Curves/meltCurve_Q96IU4_ABHD14B.pdf", "Melting_Curves/meltCurve_Q96IU4_ABHD14B.pdf")</f>
        <v>Melting_Curves/meltCurve_Q96IU4_ABHD14B.pdf</v>
      </c>
    </row>
    <row r="5168" spans="1:28" x14ac:dyDescent="0.25">
      <c r="A5168" t="s">
        <v>5172</v>
      </c>
      <c r="B5168">
        <v>0.995954080203443</v>
      </c>
      <c r="C5168">
        <v>0.962229853214282</v>
      </c>
      <c r="D5168">
        <v>0.71008295935901999</v>
      </c>
      <c r="E5168">
        <v>0.47665459514373398</v>
      </c>
      <c r="F5168">
        <v>0.361648307303234</v>
      </c>
      <c r="G5168">
        <v>0.252991727016044</v>
      </c>
      <c r="H5168">
        <v>0.17061841744862999</v>
      </c>
      <c r="I5168">
        <v>0.140916191666899</v>
      </c>
      <c r="J5168">
        <v>0.13631547452009399</v>
      </c>
      <c r="K5168">
        <v>0.12540115474496599</v>
      </c>
      <c r="L5168">
        <v>720.097734518214</v>
      </c>
      <c r="M5168">
        <v>14.7157491457509</v>
      </c>
      <c r="N5168">
        <v>49.918609951504997</v>
      </c>
      <c r="O5168">
        <v>48.056846783234697</v>
      </c>
      <c r="P5168">
        <v>-6.6916533118725294E-2</v>
      </c>
      <c r="Q5168">
        <v>0.12598514501782601</v>
      </c>
      <c r="R5168">
        <v>0.99205120305573702</v>
      </c>
      <c r="S5168" t="s">
        <v>11974</v>
      </c>
      <c r="T5168" t="s">
        <v>13610</v>
      </c>
      <c r="U5168" t="s">
        <v>13610</v>
      </c>
      <c r="V5168" t="s">
        <v>13610</v>
      </c>
      <c r="W5168" t="s">
        <v>18712</v>
      </c>
      <c r="X5168">
        <v>21</v>
      </c>
      <c r="Y5168" t="s">
        <v>25280</v>
      </c>
      <c r="Z5168" t="s">
        <v>32023</v>
      </c>
      <c r="AA5168">
        <v>0.40867819497746699</v>
      </c>
      <c r="AB5168" t="str">
        <f>HYPERLINK("Melting_Curves/meltCurve_Q96IV0_2_NGLY1.pdf", "Melting_Curves/meltCurve_Q96IV0_2_NGLY1.pdf")</f>
        <v>Melting_Curves/meltCurve_Q96IV0_2_NGLY1.pdf</v>
      </c>
    </row>
    <row r="5169" spans="1:28" x14ac:dyDescent="0.25">
      <c r="A5169" t="s">
        <v>5173</v>
      </c>
      <c r="B5169">
        <v>0.995954080203443</v>
      </c>
      <c r="C5169">
        <v>0.97752609441008298</v>
      </c>
      <c r="D5169">
        <v>0.73745119361769995</v>
      </c>
      <c r="E5169">
        <v>0.40574647607374098</v>
      </c>
      <c r="F5169">
        <v>0.19645911822502499</v>
      </c>
      <c r="G5169">
        <v>0.11428041361657899</v>
      </c>
      <c r="H5169">
        <v>6.7565203370841098E-2</v>
      </c>
      <c r="I5169">
        <v>6.5904312157491998E-2</v>
      </c>
      <c r="J5169">
        <v>8.2088573008912397E-2</v>
      </c>
      <c r="K5169">
        <v>7.2098712196717193E-2</v>
      </c>
      <c r="L5169">
        <v>996.64888922634202</v>
      </c>
      <c r="M5169">
        <v>20.572908574079101</v>
      </c>
      <c r="N5169">
        <v>48.788253964678397</v>
      </c>
      <c r="O5169">
        <v>47.993962328862899</v>
      </c>
      <c r="P5169">
        <v>-9.9941122215959396E-2</v>
      </c>
      <c r="Q5169">
        <v>6.7427688089914506E-2</v>
      </c>
      <c r="R5169">
        <v>0.99770852569156399</v>
      </c>
      <c r="S5169" t="s">
        <v>11975</v>
      </c>
      <c r="T5169" t="s">
        <v>13610</v>
      </c>
      <c r="U5169" t="s">
        <v>13610</v>
      </c>
      <c r="V5169" t="s">
        <v>13610</v>
      </c>
      <c r="W5169" t="s">
        <v>18713</v>
      </c>
      <c r="X5169">
        <v>8</v>
      </c>
      <c r="Y5169" t="s">
        <v>25281</v>
      </c>
      <c r="Z5169" t="s">
        <v>32024</v>
      </c>
      <c r="AA5169">
        <v>0.34233642402046682</v>
      </c>
      <c r="AB5169" t="str">
        <f>HYPERLINK("Melting_Curves/meltCurve_Q96IY1_NSL1.pdf", "Melting_Curves/meltCurve_Q96IY1_NSL1.pdf")</f>
        <v>Melting_Curves/meltCurve_Q96IY1_NSL1.pdf</v>
      </c>
    </row>
    <row r="5170" spans="1:28" x14ac:dyDescent="0.25">
      <c r="A5170" t="s">
        <v>5174</v>
      </c>
      <c r="B5170">
        <v>0.995954080203443</v>
      </c>
      <c r="C5170">
        <v>0.92613448287605005</v>
      </c>
      <c r="D5170">
        <v>0.86442221810935804</v>
      </c>
      <c r="E5170">
        <v>0.75960889582594204</v>
      </c>
      <c r="F5170">
        <v>0.64296603726286705</v>
      </c>
      <c r="G5170">
        <v>0.50731145966841895</v>
      </c>
      <c r="H5170">
        <v>0.51204035008154303</v>
      </c>
      <c r="I5170">
        <v>0.65610926882814202</v>
      </c>
      <c r="J5170">
        <v>0.76016129636069696</v>
      </c>
      <c r="K5170">
        <v>0.78857387179532301</v>
      </c>
      <c r="L5170">
        <v>1062.0250420510799</v>
      </c>
      <c r="M5170">
        <v>22.6550456529069</v>
      </c>
      <c r="O5170">
        <v>46.517413766615498</v>
      </c>
      <c r="P5170">
        <v>-4.3178596600082199E-2</v>
      </c>
      <c r="Q5170">
        <v>0.64537406160216204</v>
      </c>
      <c r="R5170">
        <v>0.68211078468391695</v>
      </c>
      <c r="S5170" t="s">
        <v>11976</v>
      </c>
      <c r="T5170" t="s">
        <v>13610</v>
      </c>
      <c r="U5170" t="s">
        <v>13610</v>
      </c>
      <c r="V5170" t="s">
        <v>13610</v>
      </c>
      <c r="W5170" t="s">
        <v>18714</v>
      </c>
      <c r="X5170">
        <v>5</v>
      </c>
      <c r="Y5170" t="s">
        <v>25282</v>
      </c>
      <c r="Z5170" t="s">
        <v>32025</v>
      </c>
      <c r="AA5170">
        <v>0.73063126144791846</v>
      </c>
      <c r="AB5170" t="str">
        <f>HYPERLINK("Melting_Curves/meltCurve_Q96IZ0_PAWR.pdf", "Melting_Curves/meltCurve_Q96IZ0_PAWR.pdf")</f>
        <v>Melting_Curves/meltCurve_Q96IZ0_PAWR.pdf</v>
      </c>
    </row>
    <row r="5171" spans="1:28" x14ac:dyDescent="0.25">
      <c r="A5171" t="s">
        <v>5175</v>
      </c>
      <c r="B5171">
        <v>0.995954080203443</v>
      </c>
      <c r="C5171">
        <v>0.85285394013907201</v>
      </c>
      <c r="D5171">
        <v>0.78883514996711002</v>
      </c>
      <c r="E5171">
        <v>0.477969639490951</v>
      </c>
      <c r="F5171">
        <v>0.35771796257864402</v>
      </c>
      <c r="G5171">
        <v>0.215265299275962</v>
      </c>
      <c r="H5171">
        <v>0.17578493334728701</v>
      </c>
      <c r="I5171">
        <v>0.192435181822461</v>
      </c>
      <c r="J5171">
        <v>0.227876826305276</v>
      </c>
      <c r="K5171">
        <v>0.226171888431181</v>
      </c>
      <c r="L5171">
        <v>810.96407765147796</v>
      </c>
      <c r="M5171">
        <v>16.783305550212599</v>
      </c>
      <c r="N5171">
        <v>49.733012932465499</v>
      </c>
      <c r="O5171">
        <v>47.649331187017701</v>
      </c>
      <c r="P5171">
        <v>-7.1359879026606995E-2</v>
      </c>
      <c r="Q5171">
        <v>0.189663919477118</v>
      </c>
      <c r="R5171">
        <v>0.98862985016246097</v>
      </c>
      <c r="S5171" t="s">
        <v>11977</v>
      </c>
      <c r="T5171" t="s">
        <v>13610</v>
      </c>
      <c r="U5171" t="s">
        <v>13610</v>
      </c>
      <c r="V5171" t="s">
        <v>13610</v>
      </c>
      <c r="W5171" t="s">
        <v>18715</v>
      </c>
      <c r="X5171">
        <v>3</v>
      </c>
      <c r="Y5171" t="s">
        <v>25283</v>
      </c>
      <c r="Z5171" t="s">
        <v>32026</v>
      </c>
      <c r="AA5171">
        <v>0.43082689072435693</v>
      </c>
      <c r="AB5171" t="str">
        <f>HYPERLINK("Melting_Curves/meltCurve_Q96IZ5_2_RBM41.pdf", "Melting_Curves/meltCurve_Q96IZ5_2_RBM41.pdf")</f>
        <v>Melting_Curves/meltCurve_Q96IZ5_2_RBM41.pdf</v>
      </c>
    </row>
    <row r="5172" spans="1:28" x14ac:dyDescent="0.25">
      <c r="A5172" t="s">
        <v>5176</v>
      </c>
      <c r="B5172">
        <v>0.995954080203443</v>
      </c>
      <c r="C5172">
        <v>0.90328789436118395</v>
      </c>
      <c r="D5172">
        <v>0.84450971871725999</v>
      </c>
      <c r="E5172">
        <v>0.73788316760657402</v>
      </c>
      <c r="F5172">
        <v>0.67135244368138303</v>
      </c>
      <c r="G5172">
        <v>0.49851925312455803</v>
      </c>
      <c r="H5172">
        <v>0.50625951628339305</v>
      </c>
      <c r="I5172">
        <v>0.61136919914255305</v>
      </c>
      <c r="J5172">
        <v>0.82840338236727096</v>
      </c>
      <c r="K5172">
        <v>0.69542356762851498</v>
      </c>
      <c r="L5172">
        <v>918.35824489633603</v>
      </c>
      <c r="M5172">
        <v>19.782166942176801</v>
      </c>
      <c r="O5172">
        <v>45.956954029642603</v>
      </c>
      <c r="P5172">
        <v>-3.9513193130719097E-2</v>
      </c>
      <c r="Q5172">
        <v>0.632832078770863</v>
      </c>
      <c r="R5172">
        <v>0.66463307706798802</v>
      </c>
      <c r="S5172" t="s">
        <v>11978</v>
      </c>
      <c r="T5172" t="s">
        <v>13610</v>
      </c>
      <c r="U5172" t="s">
        <v>13610</v>
      </c>
      <c r="V5172" t="s">
        <v>13610</v>
      </c>
      <c r="W5172" t="s">
        <v>18716</v>
      </c>
      <c r="X5172">
        <v>7</v>
      </c>
      <c r="Y5172" t="s">
        <v>25284</v>
      </c>
      <c r="Z5172" t="s">
        <v>32027</v>
      </c>
      <c r="AA5172">
        <v>0.717113529048513</v>
      </c>
      <c r="AB5172" t="str">
        <f>HYPERLINK("Melting_Curves/meltCurve_Q96IZ7_2_RSRC1.pdf", "Melting_Curves/meltCurve_Q96IZ7_2_RSRC1.pdf")</f>
        <v>Melting_Curves/meltCurve_Q96IZ7_2_RSRC1.pdf</v>
      </c>
    </row>
    <row r="5173" spans="1:28" x14ac:dyDescent="0.25">
      <c r="A5173" t="s">
        <v>5177</v>
      </c>
      <c r="B5173">
        <v>0.995954080203443</v>
      </c>
      <c r="C5173">
        <v>0.85270152864339299</v>
      </c>
      <c r="D5173">
        <v>0.89912654246359403</v>
      </c>
      <c r="E5173">
        <v>0.62643566089357705</v>
      </c>
      <c r="F5173">
        <v>0.40050735644798802</v>
      </c>
      <c r="G5173">
        <v>0.14934609940620999</v>
      </c>
      <c r="H5173">
        <v>7.1018592765594094E-2</v>
      </c>
      <c r="I5173">
        <v>5.6214315988402097E-2</v>
      </c>
      <c r="J5173">
        <v>6.3898658825658497E-2</v>
      </c>
      <c r="K5173">
        <v>5.8658222422181598E-2</v>
      </c>
      <c r="L5173">
        <v>856.34812117379101</v>
      </c>
      <c r="M5173">
        <v>16.701327918912799</v>
      </c>
      <c r="N5173">
        <v>51.449012349402601</v>
      </c>
      <c r="O5173">
        <v>50.556069514226401</v>
      </c>
      <c r="P5173">
        <v>-8.0316065725706598E-2</v>
      </c>
      <c r="Q5173">
        <v>2.7575394313921801E-2</v>
      </c>
      <c r="R5173">
        <v>0.988757807480246</v>
      </c>
      <c r="S5173" t="s">
        <v>11979</v>
      </c>
      <c r="T5173" t="s">
        <v>13610</v>
      </c>
      <c r="U5173" t="s">
        <v>13610</v>
      </c>
      <c r="V5173" t="s">
        <v>13610</v>
      </c>
      <c r="W5173" t="s">
        <v>18717</v>
      </c>
      <c r="X5173">
        <v>13</v>
      </c>
      <c r="Y5173" t="s">
        <v>25285</v>
      </c>
      <c r="Z5173" t="s">
        <v>32028</v>
      </c>
      <c r="AA5173">
        <v>0.41163618656571288</v>
      </c>
      <c r="AB5173" t="str">
        <f>HYPERLINK("Melting_Curves/meltCurve_Q96J01_THOC3.pdf", "Melting_Curves/meltCurve_Q96J01_THOC3.pdf")</f>
        <v>Melting_Curves/meltCurve_Q96J01_THOC3.pdf</v>
      </c>
    </row>
    <row r="5174" spans="1:28" x14ac:dyDescent="0.25">
      <c r="A5174" t="s">
        <v>5178</v>
      </c>
      <c r="B5174">
        <v>0.995954080203443</v>
      </c>
      <c r="C5174">
        <v>1.0308492562299401</v>
      </c>
      <c r="D5174">
        <v>0.88831155546760698</v>
      </c>
      <c r="E5174">
        <v>0.74583045767876699</v>
      </c>
      <c r="F5174">
        <v>0.49230389558854998</v>
      </c>
      <c r="G5174">
        <v>0.22775709334185801</v>
      </c>
      <c r="H5174">
        <v>0.100644698655313</v>
      </c>
      <c r="I5174">
        <v>7.7629653225793793E-2</v>
      </c>
      <c r="J5174">
        <v>7.7603723754506096E-2</v>
      </c>
      <c r="K5174">
        <v>6.5982367228075295E-2</v>
      </c>
      <c r="L5174">
        <v>971.22141519300806</v>
      </c>
      <c r="M5174">
        <v>18.4815101199829</v>
      </c>
      <c r="N5174">
        <v>52.845222289459599</v>
      </c>
      <c r="O5174">
        <v>51.947303218074097</v>
      </c>
      <c r="P5174">
        <v>-8.4598270592427097E-2</v>
      </c>
      <c r="Q5174">
        <v>4.8896452804423299E-2</v>
      </c>
      <c r="R5174">
        <v>0.99666309588923596</v>
      </c>
      <c r="S5174" t="s">
        <v>11980</v>
      </c>
      <c r="T5174" t="s">
        <v>13610</v>
      </c>
      <c r="U5174" t="s">
        <v>13610</v>
      </c>
      <c r="V5174" t="s">
        <v>13610</v>
      </c>
      <c r="W5174" t="s">
        <v>18718</v>
      </c>
      <c r="X5174">
        <v>5</v>
      </c>
      <c r="Y5174" t="s">
        <v>25286</v>
      </c>
      <c r="Z5174" t="s">
        <v>32029</v>
      </c>
      <c r="AA5174">
        <v>0.46182909222381657</v>
      </c>
      <c r="AB5174" t="str">
        <f>HYPERLINK("Melting_Curves/meltCurve_Q96J02_2_ITCH.pdf", "Melting_Curves/meltCurve_Q96J02_2_ITCH.pdf")</f>
        <v>Melting_Curves/meltCurve_Q96J02_2_ITCH.pdf</v>
      </c>
    </row>
    <row r="5175" spans="1:28" x14ac:dyDescent="0.25">
      <c r="A5175" t="s">
        <v>5179</v>
      </c>
      <c r="B5175">
        <v>0.995954080203443</v>
      </c>
      <c r="C5175">
        <v>0.90888912946426004</v>
      </c>
      <c r="D5175">
        <v>0.88636458838871801</v>
      </c>
      <c r="E5175">
        <v>0.78575513996017599</v>
      </c>
      <c r="F5175">
        <v>0.55730195818026596</v>
      </c>
      <c r="G5175">
        <v>0.44614390323491399</v>
      </c>
      <c r="H5175">
        <v>0.35361132152930003</v>
      </c>
      <c r="I5175">
        <v>0.405723859327704</v>
      </c>
      <c r="J5175">
        <v>0.44280679231171899</v>
      </c>
      <c r="K5175">
        <v>0.43798409466453198</v>
      </c>
      <c r="L5175">
        <v>950.64091711716003</v>
      </c>
      <c r="M5175">
        <v>18.797108742543699</v>
      </c>
      <c r="N5175">
        <v>55.218533056221503</v>
      </c>
      <c r="O5175">
        <v>50.011820379174203</v>
      </c>
      <c r="P5175">
        <v>-5.6650114539661497E-2</v>
      </c>
      <c r="Q5175">
        <v>0.39712908563471799</v>
      </c>
      <c r="R5175">
        <v>0.96807314583548099</v>
      </c>
      <c r="S5175" t="s">
        <v>11981</v>
      </c>
      <c r="T5175" t="s">
        <v>13610</v>
      </c>
      <c r="U5175" t="s">
        <v>13610</v>
      </c>
      <c r="V5175" t="s">
        <v>13610</v>
      </c>
      <c r="W5175" t="s">
        <v>18719</v>
      </c>
      <c r="X5175">
        <v>6</v>
      </c>
      <c r="Y5175" t="s">
        <v>25287</v>
      </c>
      <c r="Z5175" t="s">
        <v>32030</v>
      </c>
      <c r="AA5175">
        <v>0.61903562494328968</v>
      </c>
      <c r="AB5175" t="str">
        <f>HYPERLINK("Melting_Curves/meltCurve_Q96J92_WNK4.pdf", "Melting_Curves/meltCurve_Q96J92_WNK4.pdf")</f>
        <v>Melting_Curves/meltCurve_Q96J92_WNK4.pdf</v>
      </c>
    </row>
    <row r="5176" spans="1:28" x14ac:dyDescent="0.25">
      <c r="A5176" t="s">
        <v>5180</v>
      </c>
      <c r="B5176">
        <v>0.995954080203443</v>
      </c>
      <c r="C5176">
        <v>0.73562518907142205</v>
      </c>
      <c r="D5176">
        <v>0.35432187324202502</v>
      </c>
      <c r="E5176">
        <v>0.229049196875422</v>
      </c>
      <c r="F5176">
        <v>0.12303308378247201</v>
      </c>
      <c r="G5176">
        <v>7.3076121974736105E-2</v>
      </c>
      <c r="H5176">
        <v>5.6325811660704897E-2</v>
      </c>
      <c r="I5176">
        <v>4.9000323736322599E-2</v>
      </c>
      <c r="J5176">
        <v>6.0840528497620998E-2</v>
      </c>
      <c r="K5176">
        <v>5.4437310835075699E-2</v>
      </c>
      <c r="L5176">
        <v>976.52617862666898</v>
      </c>
      <c r="M5176">
        <v>21.8263119266982</v>
      </c>
      <c r="N5176">
        <v>45.047988977407599</v>
      </c>
      <c r="O5176">
        <v>44.370288473131403</v>
      </c>
      <c r="P5176">
        <v>-0.11447641512645899</v>
      </c>
      <c r="Q5176">
        <v>6.9153928652565699E-2</v>
      </c>
      <c r="R5176">
        <v>0.98699830073542605</v>
      </c>
      <c r="S5176" t="s">
        <v>11982</v>
      </c>
      <c r="T5176" t="s">
        <v>13610</v>
      </c>
      <c r="U5176" t="s">
        <v>13610</v>
      </c>
      <c r="V5176" t="s">
        <v>13610</v>
      </c>
      <c r="W5176" t="s">
        <v>18720</v>
      </c>
      <c r="X5176">
        <v>21</v>
      </c>
      <c r="Y5176" t="s">
        <v>25288</v>
      </c>
      <c r="Z5176" t="s">
        <v>32031</v>
      </c>
      <c r="AA5176">
        <v>0.22948143086384179</v>
      </c>
      <c r="AB5176" t="str">
        <f>HYPERLINK("Melting_Curves/meltCurve_Q96JB2_COG3.pdf", "Melting_Curves/meltCurve_Q96JB2_COG3.pdf")</f>
        <v>Melting_Curves/meltCurve_Q96JB2_COG3.pdf</v>
      </c>
    </row>
    <row r="5177" spans="1:28" x14ac:dyDescent="0.25">
      <c r="A5177" t="s">
        <v>5181</v>
      </c>
      <c r="B5177">
        <v>0.995954080203443</v>
      </c>
      <c r="C5177">
        <v>0.93231956133690896</v>
      </c>
      <c r="D5177">
        <v>0.93887362933021501</v>
      </c>
      <c r="E5177">
        <v>0.80899484276014799</v>
      </c>
      <c r="F5177">
        <v>0.71703033051506404</v>
      </c>
      <c r="G5177">
        <v>0.58751290944646595</v>
      </c>
      <c r="H5177">
        <v>0.58975408435082999</v>
      </c>
      <c r="I5177">
        <v>0.74067746207251695</v>
      </c>
      <c r="J5177">
        <v>0.83879984274297503</v>
      </c>
      <c r="K5177">
        <v>0.89086504707337399</v>
      </c>
      <c r="L5177">
        <v>1407.90310383</v>
      </c>
      <c r="M5177">
        <v>29.451053837723901</v>
      </c>
      <c r="O5177">
        <v>47.5860594811761</v>
      </c>
      <c r="P5177">
        <v>-4.2119046915902299E-2</v>
      </c>
      <c r="Q5177">
        <v>0.72778350216892695</v>
      </c>
      <c r="R5177">
        <v>0.54946278624071199</v>
      </c>
      <c r="S5177" t="s">
        <v>11983</v>
      </c>
      <c r="T5177" t="s">
        <v>13610</v>
      </c>
      <c r="U5177" t="s">
        <v>13610</v>
      </c>
      <c r="V5177" t="s">
        <v>13610</v>
      </c>
      <c r="W5177" t="s">
        <v>18721</v>
      </c>
      <c r="X5177">
        <v>12</v>
      </c>
      <c r="Y5177" t="s">
        <v>25289</v>
      </c>
      <c r="Z5177" t="s">
        <v>32032</v>
      </c>
      <c r="AA5177">
        <v>0.80030432585904332</v>
      </c>
      <c r="AB5177" t="str">
        <f>HYPERLINK("Melting_Curves/meltCurve_Q96JB3_2_HIC2.pdf", "Melting_Curves/meltCurve_Q96JB3_2_HIC2.pdf")</f>
        <v>Melting_Curves/meltCurve_Q96JB3_2_HIC2.pdf</v>
      </c>
    </row>
    <row r="5178" spans="1:28" x14ac:dyDescent="0.25">
      <c r="A5178" t="s">
        <v>5182</v>
      </c>
      <c r="B5178">
        <v>0.995954080203443</v>
      </c>
      <c r="C5178">
        <v>0.91701877889349603</v>
      </c>
      <c r="D5178">
        <v>0.73791959120523798</v>
      </c>
      <c r="E5178">
        <v>0.374044543241915</v>
      </c>
      <c r="F5178">
        <v>0.14081950660255699</v>
      </c>
      <c r="G5178">
        <v>8.6825759661030497E-2</v>
      </c>
      <c r="H5178">
        <v>5.77024117070545E-2</v>
      </c>
      <c r="I5178">
        <v>5.6221808599026799E-2</v>
      </c>
      <c r="J5178">
        <v>6.2202035303982099E-2</v>
      </c>
      <c r="K5178">
        <v>5.8417710352557599E-2</v>
      </c>
      <c r="L5178">
        <v>1008.63359936359</v>
      </c>
      <c r="M5178">
        <v>20.944383548527501</v>
      </c>
      <c r="N5178">
        <v>48.403041465106398</v>
      </c>
      <c r="O5178">
        <v>47.725143552871899</v>
      </c>
      <c r="P5178">
        <v>-0.104191778685125</v>
      </c>
      <c r="Q5178">
        <v>5.0354907438430803E-2</v>
      </c>
      <c r="R5178">
        <v>0.99848981046296703</v>
      </c>
      <c r="S5178" t="s">
        <v>11984</v>
      </c>
      <c r="T5178" t="s">
        <v>13610</v>
      </c>
      <c r="U5178" t="s">
        <v>13610</v>
      </c>
      <c r="V5178" t="s">
        <v>13610</v>
      </c>
      <c r="W5178" t="s">
        <v>18722</v>
      </c>
      <c r="X5178">
        <v>16</v>
      </c>
      <c r="Y5178" t="s">
        <v>25290</v>
      </c>
      <c r="Z5178" t="s">
        <v>32033</v>
      </c>
      <c r="AA5178">
        <v>0.32079188736540531</v>
      </c>
      <c r="AB5178" t="str">
        <f>HYPERLINK("Melting_Curves/meltCurve_Q96JB5_CDK5RAP3.pdf", "Melting_Curves/meltCurve_Q96JB5_CDK5RAP3.pdf")</f>
        <v>Melting_Curves/meltCurve_Q96JB5_CDK5RAP3.pdf</v>
      </c>
    </row>
    <row r="5179" spans="1:28" x14ac:dyDescent="0.25">
      <c r="A5179" t="s">
        <v>5183</v>
      </c>
      <c r="B5179">
        <v>0.995954080203443</v>
      </c>
      <c r="C5179">
        <v>0.86064843148804204</v>
      </c>
      <c r="D5179">
        <v>0.66833297400590197</v>
      </c>
      <c r="E5179">
        <v>0.53327923320241999</v>
      </c>
      <c r="F5179">
        <v>0.26842582759306</v>
      </c>
      <c r="G5179">
        <v>0.18225953643773199</v>
      </c>
      <c r="H5179">
        <v>9.0832930712454199E-2</v>
      </c>
      <c r="I5179">
        <v>5.85212150017222E-2</v>
      </c>
      <c r="J5179">
        <v>3.8066725598042098E-2</v>
      </c>
      <c r="K5179">
        <v>4.0644704938922499E-2</v>
      </c>
      <c r="L5179">
        <v>604.10639144499498</v>
      </c>
      <c r="M5179">
        <v>12.2115207378242</v>
      </c>
      <c r="N5179">
        <v>49.504876320257601</v>
      </c>
      <c r="O5179">
        <v>48.199633856098401</v>
      </c>
      <c r="P5179">
        <v>-6.3082709022672601E-2</v>
      </c>
      <c r="Q5179">
        <v>4.2584365338648499E-3</v>
      </c>
      <c r="R5179">
        <v>0.99094387326939304</v>
      </c>
      <c r="S5179" t="s">
        <v>11985</v>
      </c>
      <c r="T5179" t="s">
        <v>13610</v>
      </c>
      <c r="U5179" t="s">
        <v>13610</v>
      </c>
      <c r="V5179" t="s">
        <v>13610</v>
      </c>
      <c r="W5179" t="s">
        <v>18723</v>
      </c>
      <c r="X5179">
        <v>7</v>
      </c>
      <c r="Y5179" t="s">
        <v>25291</v>
      </c>
      <c r="Z5179" t="s">
        <v>32034</v>
      </c>
      <c r="AA5179">
        <v>0.35315172270262501</v>
      </c>
      <c r="AB5179" t="str">
        <f>HYPERLINK("Melting_Curves/meltCurve_Q96JC1_2_VPS39.pdf", "Melting_Curves/meltCurve_Q96JC1_2_VPS39.pdf")</f>
        <v>Melting_Curves/meltCurve_Q96JC1_2_VPS39.pdf</v>
      </c>
    </row>
    <row r="5180" spans="1:28" x14ac:dyDescent="0.25">
      <c r="A5180" t="s">
        <v>5184</v>
      </c>
      <c r="B5180">
        <v>0.995954080203443</v>
      </c>
      <c r="C5180">
        <v>0.93796571578479704</v>
      </c>
      <c r="D5180">
        <v>1.0343049249291401</v>
      </c>
      <c r="E5180">
        <v>0.83999072485297999</v>
      </c>
      <c r="F5180">
        <v>0.89013717885166599</v>
      </c>
      <c r="G5180">
        <v>0.62814861393078603</v>
      </c>
      <c r="H5180">
        <v>0.48266988532562899</v>
      </c>
      <c r="I5180">
        <v>0.543156671308061</v>
      </c>
      <c r="J5180">
        <v>0.62534843505200199</v>
      </c>
      <c r="K5180">
        <v>0.63510079966190902</v>
      </c>
      <c r="L5180">
        <v>1414.96757835685</v>
      </c>
      <c r="M5180">
        <v>26.367715508158199</v>
      </c>
      <c r="O5180">
        <v>53.357090950978801</v>
      </c>
      <c r="P5180">
        <v>-5.3490029806084798E-2</v>
      </c>
      <c r="Q5180">
        <v>0.56704018562826197</v>
      </c>
      <c r="R5180">
        <v>0.88741097307024897</v>
      </c>
      <c r="S5180" t="s">
        <v>11986</v>
      </c>
      <c r="T5180" t="s">
        <v>13610</v>
      </c>
      <c r="U5180" t="s">
        <v>13610</v>
      </c>
      <c r="V5180" t="s">
        <v>13610</v>
      </c>
      <c r="W5180" t="s">
        <v>18724</v>
      </c>
      <c r="X5180">
        <v>6</v>
      </c>
      <c r="Y5180" t="s">
        <v>25292</v>
      </c>
      <c r="Z5180" t="s">
        <v>32035</v>
      </c>
      <c r="AA5180">
        <v>0.7678471844695699</v>
      </c>
      <c r="AB5180" t="str">
        <f>HYPERLINK("Melting_Curves/meltCurve_Q96JC9_EAF1.pdf", "Melting_Curves/meltCurve_Q96JC9_EAF1.pdf")</f>
        <v>Melting_Curves/meltCurve_Q96JC9_EAF1.pdf</v>
      </c>
    </row>
    <row r="5181" spans="1:28" x14ac:dyDescent="0.25">
      <c r="A5181" t="s">
        <v>5185</v>
      </c>
      <c r="B5181">
        <v>0.995954080203443</v>
      </c>
      <c r="C5181">
        <v>0.84730128596087195</v>
      </c>
      <c r="D5181">
        <v>0.67842056727158095</v>
      </c>
      <c r="E5181">
        <v>0.51678520245723703</v>
      </c>
      <c r="F5181">
        <v>0.19272253254536301</v>
      </c>
      <c r="G5181">
        <v>0.100889935894243</v>
      </c>
      <c r="H5181">
        <v>6.3326727309500896E-2</v>
      </c>
      <c r="I5181">
        <v>5.54568803262886E-2</v>
      </c>
      <c r="J5181">
        <v>6.4444937742088301E-2</v>
      </c>
      <c r="K5181">
        <v>5.3456905749060597E-2</v>
      </c>
      <c r="L5181">
        <v>713.46067252456101</v>
      </c>
      <c r="M5181">
        <v>14.6451642891125</v>
      </c>
      <c r="N5181">
        <v>48.891238371481499</v>
      </c>
      <c r="O5181">
        <v>47.835193005197503</v>
      </c>
      <c r="P5181">
        <v>-7.4596234540416001E-2</v>
      </c>
      <c r="Q5181">
        <v>2.5499782211180998E-2</v>
      </c>
      <c r="R5181">
        <v>0.98544441155144402</v>
      </c>
      <c r="S5181" t="s">
        <v>11987</v>
      </c>
      <c r="T5181" t="s">
        <v>13610</v>
      </c>
      <c r="U5181" t="s">
        <v>13610</v>
      </c>
      <c r="V5181" t="s">
        <v>13610</v>
      </c>
      <c r="W5181" t="s">
        <v>18725</v>
      </c>
      <c r="X5181">
        <v>22</v>
      </c>
      <c r="Y5181" t="s">
        <v>25293</v>
      </c>
      <c r="Z5181" t="s">
        <v>32036</v>
      </c>
      <c r="AA5181">
        <v>0.33408602614250132</v>
      </c>
      <c r="AB5181" t="str">
        <f>HYPERLINK("Melting_Curves/meltCurve_Q96JG6_CCDC132.pdf", "Melting_Curves/meltCurve_Q96JG6_CCDC132.pdf")</f>
        <v>Melting_Curves/meltCurve_Q96JG6_CCDC132.pdf</v>
      </c>
    </row>
    <row r="5182" spans="1:28" x14ac:dyDescent="0.25">
      <c r="A5182" t="s">
        <v>5186</v>
      </c>
      <c r="B5182">
        <v>0.995954080203443</v>
      </c>
      <c r="C5182">
        <v>0.82133562532034399</v>
      </c>
      <c r="D5182">
        <v>0.59110313374629897</v>
      </c>
      <c r="E5182">
        <v>0.46233236080880202</v>
      </c>
      <c r="F5182">
        <v>0.33505040252740398</v>
      </c>
      <c r="G5182">
        <v>0.231307327628233</v>
      </c>
      <c r="H5182">
        <v>0.20163229374122901</v>
      </c>
      <c r="I5182">
        <v>0.22369874992247299</v>
      </c>
      <c r="J5182">
        <v>0.25915276077344701</v>
      </c>
      <c r="K5182">
        <v>0.26401603502978999</v>
      </c>
      <c r="L5182">
        <v>734.91227433073698</v>
      </c>
      <c r="M5182">
        <v>15.8712468840583</v>
      </c>
      <c r="N5182">
        <v>48.160180730866699</v>
      </c>
      <c r="O5182">
        <v>45.588223295661699</v>
      </c>
      <c r="P5182">
        <v>-6.7133584682615405E-2</v>
      </c>
      <c r="Q5182">
        <v>0.22873026865568799</v>
      </c>
      <c r="R5182">
        <v>0.98183565118653404</v>
      </c>
      <c r="S5182" t="s">
        <v>11988</v>
      </c>
      <c r="T5182" t="s">
        <v>13610</v>
      </c>
      <c r="U5182" t="s">
        <v>13610</v>
      </c>
      <c r="V5182" t="s">
        <v>13610</v>
      </c>
      <c r="W5182" t="s">
        <v>18726</v>
      </c>
      <c r="X5182">
        <v>27</v>
      </c>
      <c r="Y5182" t="s">
        <v>25294</v>
      </c>
      <c r="Z5182" t="s">
        <v>32037</v>
      </c>
      <c r="AA5182">
        <v>0.41032346203716608</v>
      </c>
      <c r="AB5182" t="str">
        <f>HYPERLINK("Melting_Curves/meltCurve_Q96JH7_VCPIP1.pdf", "Melting_Curves/meltCurve_Q96JH7_VCPIP1.pdf")</f>
        <v>Melting_Curves/meltCurve_Q96JH7_VCPIP1.pdf</v>
      </c>
    </row>
    <row r="5183" spans="1:28" x14ac:dyDescent="0.25">
      <c r="A5183" t="s">
        <v>5187</v>
      </c>
      <c r="B5183">
        <v>0.995954080203443</v>
      </c>
      <c r="C5183">
        <v>0.77499819846522899</v>
      </c>
      <c r="D5183">
        <v>0.78954184788588599</v>
      </c>
      <c r="E5183">
        <v>0.63170268555950404</v>
      </c>
      <c r="F5183">
        <v>0.54455793741982295</v>
      </c>
      <c r="G5183">
        <v>0.41892906920335499</v>
      </c>
      <c r="H5183">
        <v>0.45355863280201802</v>
      </c>
      <c r="I5183">
        <v>0.57665046515362395</v>
      </c>
      <c r="J5183">
        <v>0.623152268012373</v>
      </c>
      <c r="K5183">
        <v>0.627467650484551</v>
      </c>
      <c r="L5183">
        <v>772.55966252705002</v>
      </c>
      <c r="M5183">
        <v>17.192327732864101</v>
      </c>
      <c r="O5183">
        <v>44.341554921418997</v>
      </c>
      <c r="P5183">
        <v>-4.4675628728263403E-2</v>
      </c>
      <c r="Q5183">
        <v>0.53912704305658099</v>
      </c>
      <c r="R5183">
        <v>0.78897979596954204</v>
      </c>
      <c r="S5183" t="s">
        <v>11989</v>
      </c>
      <c r="T5183" t="s">
        <v>13610</v>
      </c>
      <c r="U5183" t="s">
        <v>13610</v>
      </c>
      <c r="V5183" t="s">
        <v>13610</v>
      </c>
      <c r="W5183" t="s">
        <v>18727</v>
      </c>
      <c r="X5183">
        <v>1</v>
      </c>
      <c r="Y5183" t="s">
        <v>25295</v>
      </c>
      <c r="Z5183" t="s">
        <v>32038</v>
      </c>
      <c r="AA5183">
        <v>0.62605865676284067</v>
      </c>
      <c r="AB5183" t="str">
        <f>HYPERLINK("Melting_Curves/meltCurve_Q96JI7_2_SPG11.pdf", "Melting_Curves/meltCurve_Q96JI7_2_SPG11.pdf")</f>
        <v>Melting_Curves/meltCurve_Q96JI7_2_SPG11.pdf</v>
      </c>
    </row>
    <row r="5184" spans="1:28" x14ac:dyDescent="0.25">
      <c r="A5184" t="s">
        <v>5188</v>
      </c>
      <c r="B5184">
        <v>0.995954080203443</v>
      </c>
      <c r="C5184">
        <v>0.96997302822328102</v>
      </c>
      <c r="D5184">
        <v>1.7887819305220101</v>
      </c>
      <c r="E5184">
        <v>1.16230898554933</v>
      </c>
      <c r="F5184">
        <v>2.2617149961121599</v>
      </c>
      <c r="G5184">
        <v>2.03130106521628</v>
      </c>
      <c r="H5184">
        <v>2.00771489123504</v>
      </c>
      <c r="I5184">
        <v>2.3719850904790301</v>
      </c>
      <c r="J5184">
        <v>2.5541571865041202</v>
      </c>
      <c r="K5184">
        <v>2.9197335682696899</v>
      </c>
      <c r="L5184">
        <v>11050.395269050799</v>
      </c>
      <c r="M5184">
        <v>250</v>
      </c>
      <c r="O5184">
        <v>44.198768106001403</v>
      </c>
      <c r="P5184">
        <v>0.70703352991809698</v>
      </c>
      <c r="Q5184">
        <v>1.5</v>
      </c>
      <c r="R5184">
        <v>-0.27326108625318402</v>
      </c>
      <c r="S5184" t="s">
        <v>11990</v>
      </c>
      <c r="T5184" t="s">
        <v>13610</v>
      </c>
      <c r="U5184" t="s">
        <v>13610</v>
      </c>
      <c r="V5184" t="s">
        <v>13610</v>
      </c>
      <c r="W5184" t="s">
        <v>18728</v>
      </c>
      <c r="X5184">
        <v>2</v>
      </c>
      <c r="Y5184" t="s">
        <v>25296</v>
      </c>
      <c r="Z5184" t="s">
        <v>32039</v>
      </c>
      <c r="AA5184">
        <v>1.429934862186504</v>
      </c>
      <c r="AB5184" t="str">
        <f>HYPERLINK("Melting_Curves/meltCurve_Q96JK2_2_DCAF5.pdf", "Melting_Curves/meltCurve_Q96JK2_2_DCAF5.pdf")</f>
        <v>Melting_Curves/meltCurve_Q96JK2_2_DCAF5.pdf</v>
      </c>
    </row>
    <row r="5185" spans="1:28" x14ac:dyDescent="0.25">
      <c r="A5185" t="s">
        <v>5189</v>
      </c>
      <c r="B5185">
        <v>0.995954080203443</v>
      </c>
      <c r="C5185">
        <v>0.89443421001071</v>
      </c>
      <c r="D5185">
        <v>1.07025799878363</v>
      </c>
      <c r="E5185">
        <v>0.85586582915266796</v>
      </c>
      <c r="F5185">
        <v>1.28189139259109</v>
      </c>
      <c r="G5185">
        <v>1.2597856750246099</v>
      </c>
      <c r="H5185">
        <v>1.4951111277840201</v>
      </c>
      <c r="I5185">
        <v>2.21430107982972</v>
      </c>
      <c r="J5185">
        <v>2.2559469028321799</v>
      </c>
      <c r="K5185">
        <v>2.4637602664859202</v>
      </c>
      <c r="L5185">
        <v>1853.0330938746899</v>
      </c>
      <c r="M5185">
        <v>34.287818106082099</v>
      </c>
      <c r="O5185">
        <v>53.860646262657603</v>
      </c>
      <c r="P5185">
        <v>7.9575612837187101E-2</v>
      </c>
      <c r="Q5185">
        <v>1.5</v>
      </c>
      <c r="R5185">
        <v>0.368948137504017</v>
      </c>
      <c r="S5185" t="s">
        <v>11991</v>
      </c>
      <c r="T5185" t="s">
        <v>13610</v>
      </c>
      <c r="U5185" t="s">
        <v>13610</v>
      </c>
      <c r="V5185" t="s">
        <v>13610</v>
      </c>
      <c r="W5185" t="s">
        <v>18729</v>
      </c>
      <c r="X5185">
        <v>4</v>
      </c>
      <c r="Y5185" t="s">
        <v>25297</v>
      </c>
      <c r="Z5185" t="s">
        <v>32040</v>
      </c>
      <c r="AA5185">
        <v>1.2634101954207091</v>
      </c>
      <c r="AB5185" t="str">
        <f>HYPERLINK("Melting_Curves/meltCurve_Q96JK9_MAML3.pdf", "Melting_Curves/meltCurve_Q96JK9_MAML3.pdf")</f>
        <v>Melting_Curves/meltCurve_Q96JK9_MAML3.pdf</v>
      </c>
    </row>
    <row r="5186" spans="1:28" x14ac:dyDescent="0.25">
      <c r="A5186" t="s">
        <v>5190</v>
      </c>
      <c r="B5186">
        <v>0.995954080203443</v>
      </c>
      <c r="C5186">
        <v>0.94761439549428295</v>
      </c>
      <c r="D5186">
        <v>0.977737627984962</v>
      </c>
      <c r="E5186">
        <v>0.83886598318504102</v>
      </c>
      <c r="F5186">
        <v>0.83694183626877094</v>
      </c>
      <c r="G5186">
        <v>0.63130734372324804</v>
      </c>
      <c r="H5186">
        <v>0.64632209467045298</v>
      </c>
      <c r="I5186">
        <v>0.77441162700589194</v>
      </c>
      <c r="J5186">
        <v>1.0006199186033</v>
      </c>
      <c r="K5186">
        <v>0.90471643353477005</v>
      </c>
      <c r="L5186">
        <v>1765.09100934551</v>
      </c>
      <c r="M5186">
        <v>36.5406244616847</v>
      </c>
      <c r="O5186">
        <v>48.1609214971105</v>
      </c>
      <c r="P5186">
        <v>-3.84871467612364E-2</v>
      </c>
      <c r="Q5186">
        <v>0.79709484976098699</v>
      </c>
      <c r="R5186">
        <v>0.35861717803654902</v>
      </c>
      <c r="S5186" t="s">
        <v>11992</v>
      </c>
      <c r="T5186" t="s">
        <v>13610</v>
      </c>
      <c r="U5186" t="s">
        <v>13610</v>
      </c>
      <c r="V5186" t="s">
        <v>13610</v>
      </c>
      <c r="W5186" t="s">
        <v>18730</v>
      </c>
      <c r="X5186">
        <v>32</v>
      </c>
      <c r="Y5186" t="s">
        <v>25298</v>
      </c>
      <c r="Z5186" t="s">
        <v>32041</v>
      </c>
      <c r="AA5186">
        <v>0.85408129695849988</v>
      </c>
      <c r="AB5186" t="str">
        <f>HYPERLINK("Melting_Curves/meltCurve_Q96JM3_CHAMP1.pdf", "Melting_Curves/meltCurve_Q96JM3_CHAMP1.pdf")</f>
        <v>Melting_Curves/meltCurve_Q96JM3_CHAMP1.pdf</v>
      </c>
    </row>
    <row r="5187" spans="1:28" x14ac:dyDescent="0.25">
      <c r="A5187" t="s">
        <v>5191</v>
      </c>
      <c r="B5187">
        <v>0.995954080203443</v>
      </c>
      <c r="C5187">
        <v>0.88253097564955496</v>
      </c>
      <c r="D5187">
        <v>0.70837995920629304</v>
      </c>
      <c r="E5187">
        <v>0.45291652181521402</v>
      </c>
      <c r="F5187">
        <v>0.43183048635135801</v>
      </c>
      <c r="G5187">
        <v>0.35248946777340401</v>
      </c>
      <c r="H5187">
        <v>0.35674356743793101</v>
      </c>
      <c r="I5187">
        <v>0.42700097116519198</v>
      </c>
      <c r="J5187">
        <v>0.44767095134430102</v>
      </c>
      <c r="K5187">
        <v>0.50436863723942704</v>
      </c>
      <c r="L5187">
        <v>1184.86890596429</v>
      </c>
      <c r="M5187">
        <v>25.906311754787499</v>
      </c>
      <c r="N5187">
        <v>49.092320738787798</v>
      </c>
      <c r="O5187">
        <v>45.466774118784997</v>
      </c>
      <c r="P5187">
        <v>-8.3346284181496602E-2</v>
      </c>
      <c r="Q5187">
        <v>0.41490052320163201</v>
      </c>
      <c r="R5187">
        <v>0.95924546817585399</v>
      </c>
      <c r="S5187" t="s">
        <v>11993</v>
      </c>
      <c r="T5187" t="s">
        <v>13610</v>
      </c>
      <c r="U5187" t="s">
        <v>13610</v>
      </c>
      <c r="V5187" t="s">
        <v>13610</v>
      </c>
      <c r="W5187" t="s">
        <v>18731</v>
      </c>
      <c r="X5187">
        <v>9</v>
      </c>
      <c r="Y5187" t="s">
        <v>25299</v>
      </c>
      <c r="Z5187" t="s">
        <v>32042</v>
      </c>
      <c r="AA5187">
        <v>0.53183488113497335</v>
      </c>
      <c r="AB5187" t="str">
        <f>HYPERLINK("Melting_Curves/meltCurve_Q96JM7_2_L3MBTL3.pdf", "Melting_Curves/meltCurve_Q96JM7_2_L3MBTL3.pdf")</f>
        <v>Melting_Curves/meltCurve_Q96JM7_2_L3MBTL3.pdf</v>
      </c>
    </row>
    <row r="5188" spans="1:28" x14ac:dyDescent="0.25">
      <c r="A5188" t="s">
        <v>5192</v>
      </c>
      <c r="B5188">
        <v>0.995954080203443</v>
      </c>
      <c r="C5188">
        <v>0.526588398799683</v>
      </c>
      <c r="D5188">
        <v>0.85829832027794495</v>
      </c>
      <c r="E5188">
        <v>0.54722468617431497</v>
      </c>
      <c r="F5188">
        <v>1.04805508896138</v>
      </c>
      <c r="G5188">
        <v>0.38383035591440601</v>
      </c>
      <c r="H5188">
        <v>0.81318523907017104</v>
      </c>
      <c r="I5188">
        <v>0.81415726082937201</v>
      </c>
      <c r="J5188">
        <v>5.3128741143914002</v>
      </c>
      <c r="K5188">
        <v>1.3485038409676799</v>
      </c>
      <c r="L5188">
        <v>15000</v>
      </c>
      <c r="M5188">
        <v>230.630507592811</v>
      </c>
      <c r="O5188">
        <v>65.034206152313203</v>
      </c>
      <c r="P5188">
        <v>0.44328692443494799</v>
      </c>
      <c r="Q5188">
        <v>1.5</v>
      </c>
      <c r="R5188">
        <v>0.182382967131624</v>
      </c>
      <c r="S5188" t="s">
        <v>11994</v>
      </c>
      <c r="T5188" t="s">
        <v>13610</v>
      </c>
      <c r="U5188" t="s">
        <v>13610</v>
      </c>
      <c r="V5188" t="s">
        <v>13610</v>
      </c>
      <c r="W5188" t="s">
        <v>18732</v>
      </c>
      <c r="X5188">
        <v>6</v>
      </c>
      <c r="Y5188" t="s">
        <v>25300</v>
      </c>
      <c r="Z5188" t="s">
        <v>32043</v>
      </c>
      <c r="AA5188">
        <v>1.0826146511050261</v>
      </c>
      <c r="AB5188" t="str">
        <f>HYPERLINK("Melting_Curves/meltCurve_Q96JN2_2_CCDC136.pdf", "Melting_Curves/meltCurve_Q96JN2_2_CCDC136.pdf")</f>
        <v>Melting_Curves/meltCurve_Q96JN2_2_CCDC136.pdf</v>
      </c>
    </row>
    <row r="5189" spans="1:28" x14ac:dyDescent="0.25">
      <c r="A5189" t="s">
        <v>5193</v>
      </c>
      <c r="B5189">
        <v>0.995954080203443</v>
      </c>
      <c r="C5189">
        <v>0.99275891268074301</v>
      </c>
      <c r="D5189">
        <v>1.04022652471002</v>
      </c>
      <c r="E5189">
        <v>0.87889755772537004</v>
      </c>
      <c r="F5189">
        <v>0.86685460681557003</v>
      </c>
      <c r="G5189">
        <v>0.64293702184481505</v>
      </c>
      <c r="H5189">
        <v>0.56312068166168705</v>
      </c>
      <c r="I5189">
        <v>0.66925148738140094</v>
      </c>
      <c r="J5189">
        <v>0.82837432790040999</v>
      </c>
      <c r="K5189">
        <v>0.78233865388783197</v>
      </c>
      <c r="L5189">
        <v>1629.9741838247401</v>
      </c>
      <c r="M5189">
        <v>31.363105195796599</v>
      </c>
      <c r="O5189">
        <v>51.761127386984498</v>
      </c>
      <c r="P5189">
        <v>-4.5494071104667202E-2</v>
      </c>
      <c r="Q5189">
        <v>0.69967097881438201</v>
      </c>
      <c r="R5189">
        <v>0.75431525565478097</v>
      </c>
      <c r="S5189" t="s">
        <v>11995</v>
      </c>
      <c r="T5189" t="s">
        <v>13610</v>
      </c>
      <c r="U5189" t="s">
        <v>13610</v>
      </c>
      <c r="V5189" t="s">
        <v>13610</v>
      </c>
      <c r="W5189" t="s">
        <v>18733</v>
      </c>
      <c r="X5189">
        <v>10</v>
      </c>
      <c r="Y5189" t="s">
        <v>25301</v>
      </c>
      <c r="Z5189" t="s">
        <v>32044</v>
      </c>
      <c r="AA5189">
        <v>0.82126888891017735</v>
      </c>
      <c r="AB5189" t="str">
        <f>HYPERLINK("Melting_Curves/meltCurve_Q96JP5_ZFP91.pdf", "Melting_Curves/meltCurve_Q96JP5_ZFP91.pdf")</f>
        <v>Melting_Curves/meltCurve_Q96JP5_ZFP91.pdf</v>
      </c>
    </row>
    <row r="5190" spans="1:28" x14ac:dyDescent="0.25">
      <c r="A5190" t="s">
        <v>5194</v>
      </c>
      <c r="B5190">
        <v>0.995954080203443</v>
      </c>
      <c r="C5190">
        <v>1.0481991925473699</v>
      </c>
      <c r="D5190">
        <v>1.0082535806989901</v>
      </c>
      <c r="E5190">
        <v>0.84667939542854298</v>
      </c>
      <c r="F5190">
        <v>0.70996141222939302</v>
      </c>
      <c r="G5190">
        <v>0.56003244198076296</v>
      </c>
      <c r="H5190">
        <v>0.51453592717189001</v>
      </c>
      <c r="I5190">
        <v>0.65459193187128395</v>
      </c>
      <c r="J5190">
        <v>0.82665060379287503</v>
      </c>
      <c r="K5190">
        <v>0.75356394239407198</v>
      </c>
      <c r="L5190">
        <v>2338.8630120550101</v>
      </c>
      <c r="M5190">
        <v>46.553167546926602</v>
      </c>
      <c r="O5190">
        <v>50.148239258412197</v>
      </c>
      <c r="P5190">
        <v>-7.7829400006845004E-2</v>
      </c>
      <c r="Q5190">
        <v>0.66464125266654195</v>
      </c>
      <c r="R5190">
        <v>0.77569875810396804</v>
      </c>
      <c r="S5190" t="s">
        <v>11996</v>
      </c>
      <c r="T5190" t="s">
        <v>13610</v>
      </c>
      <c r="U5190" t="s">
        <v>13610</v>
      </c>
      <c r="V5190" t="s">
        <v>13610</v>
      </c>
      <c r="W5190" t="s">
        <v>18734</v>
      </c>
      <c r="X5190">
        <v>4</v>
      </c>
      <c r="Y5190" t="s">
        <v>25302</v>
      </c>
      <c r="Z5190" t="s">
        <v>32045</v>
      </c>
      <c r="AA5190">
        <v>0.77997610010313967</v>
      </c>
      <c r="AB5190" t="str">
        <f>HYPERLINK("Melting_Curves/meltCurve_Q96JS3_PGBD1.pdf", "Melting_Curves/meltCurve_Q96JS3_PGBD1.pdf")</f>
        <v>Melting_Curves/meltCurve_Q96JS3_PGBD1.pdf</v>
      </c>
    </row>
    <row r="5191" spans="1:28" x14ac:dyDescent="0.25">
      <c r="A5191" t="s">
        <v>5195</v>
      </c>
      <c r="B5191">
        <v>0.995954080203443</v>
      </c>
      <c r="C5191">
        <v>1.0405285017960999</v>
      </c>
      <c r="D5191">
        <v>1.1345810461122801</v>
      </c>
      <c r="E5191">
        <v>1.0198346601652499</v>
      </c>
      <c r="F5191">
        <v>1.02893364257769</v>
      </c>
      <c r="G5191">
        <v>0.84164028009820402</v>
      </c>
      <c r="H5191">
        <v>0.72376720560957697</v>
      </c>
      <c r="I5191">
        <v>0.82165538843678398</v>
      </c>
      <c r="J5191">
        <v>0.95326645590779602</v>
      </c>
      <c r="K5191">
        <v>0.96766936072819498</v>
      </c>
      <c r="L5191">
        <v>4758.6536353986703</v>
      </c>
      <c r="M5191">
        <v>86.485461369229597</v>
      </c>
      <c r="O5191">
        <v>54.993189685645902</v>
      </c>
      <c r="P5191">
        <v>-5.4736073595514197E-2</v>
      </c>
      <c r="Q5191">
        <v>0.86078072544107598</v>
      </c>
      <c r="R5191">
        <v>0.53919661842780697</v>
      </c>
      <c r="S5191" t="s">
        <v>11997</v>
      </c>
      <c r="T5191" t="s">
        <v>13610</v>
      </c>
      <c r="U5191" t="s">
        <v>13610</v>
      </c>
      <c r="V5191" t="s">
        <v>13610</v>
      </c>
      <c r="W5191" t="s">
        <v>18735</v>
      </c>
      <c r="X5191">
        <v>6</v>
      </c>
      <c r="Y5191" t="s">
        <v>25303</v>
      </c>
      <c r="Z5191" t="s">
        <v>32046</v>
      </c>
      <c r="AA5191">
        <v>0.93060768735019095</v>
      </c>
      <c r="AB5191" t="str">
        <f>HYPERLINK("Melting_Curves/meltCurve_Q96K17_BTF3L4.pdf", "Melting_Curves/meltCurve_Q96K17_BTF3L4.pdf")</f>
        <v>Melting_Curves/meltCurve_Q96K17_BTF3L4.pdf</v>
      </c>
    </row>
    <row r="5192" spans="1:28" x14ac:dyDescent="0.25">
      <c r="A5192" t="s">
        <v>5196</v>
      </c>
      <c r="B5192">
        <v>0.995954080203443</v>
      </c>
      <c r="C5192">
        <v>1.00634301850166</v>
      </c>
      <c r="D5192">
        <v>0.98475074443663502</v>
      </c>
      <c r="E5192">
        <v>0.87241594476412898</v>
      </c>
      <c r="F5192">
        <v>0.79813691046351998</v>
      </c>
      <c r="G5192">
        <v>0.54957190111800003</v>
      </c>
      <c r="H5192">
        <v>0.28499962780675497</v>
      </c>
      <c r="I5192">
        <v>0.160501058514289</v>
      </c>
      <c r="J5192">
        <v>0.123498647918323</v>
      </c>
      <c r="K5192">
        <v>9.4562653746454894E-2</v>
      </c>
      <c r="L5192">
        <v>908.67523296956495</v>
      </c>
      <c r="M5192">
        <v>15.8813503365787</v>
      </c>
      <c r="N5192">
        <v>57.449149238943697</v>
      </c>
      <c r="O5192">
        <v>56.332358480983103</v>
      </c>
      <c r="P5192">
        <v>-6.8290972870792901E-2</v>
      </c>
      <c r="Q5192">
        <v>3.1145124681846902E-2</v>
      </c>
      <c r="R5192">
        <v>0.99782748550160305</v>
      </c>
      <c r="S5192" t="s">
        <v>11998</v>
      </c>
      <c r="T5192" t="s">
        <v>13610</v>
      </c>
      <c r="U5192" t="s">
        <v>13610</v>
      </c>
      <c r="V5192" t="s">
        <v>13610</v>
      </c>
      <c r="W5192" t="s">
        <v>18736</v>
      </c>
      <c r="X5192">
        <v>7</v>
      </c>
      <c r="Y5192" t="s">
        <v>25304</v>
      </c>
      <c r="Z5192" t="s">
        <v>32047</v>
      </c>
      <c r="AA5192">
        <v>0.60154644322815509</v>
      </c>
      <c r="AB5192" t="str">
        <f>HYPERLINK("Melting_Curves/meltCurve_Q96K31_C8orf76.pdf", "Melting_Curves/meltCurve_Q96K31_C8orf76.pdf")</f>
        <v>Melting_Curves/meltCurve_Q96K31_C8orf76.pdf</v>
      </c>
    </row>
    <row r="5193" spans="1:28" x14ac:dyDescent="0.25">
      <c r="A5193" t="s">
        <v>5197</v>
      </c>
      <c r="B5193">
        <v>0.995954080203443</v>
      </c>
      <c r="C5193">
        <v>0.94272530821707301</v>
      </c>
      <c r="D5193">
        <v>0.82432398830734899</v>
      </c>
      <c r="E5193">
        <v>0.85460994247091304</v>
      </c>
      <c r="F5193">
        <v>0.65438910988038101</v>
      </c>
      <c r="G5193">
        <v>0.36897503327766601</v>
      </c>
      <c r="H5193">
        <v>0.31353865181700802</v>
      </c>
      <c r="I5193">
        <v>0.35519450113433598</v>
      </c>
      <c r="J5193">
        <v>0.31915576440312898</v>
      </c>
      <c r="K5193">
        <v>0.40449014696975699</v>
      </c>
      <c r="L5193">
        <v>1093.2785403973501</v>
      </c>
      <c r="M5193">
        <v>20.902077269298999</v>
      </c>
      <c r="N5193">
        <v>55.108918041164301</v>
      </c>
      <c r="O5193">
        <v>51.833085171653202</v>
      </c>
      <c r="P5193">
        <v>-6.7810516120216699E-2</v>
      </c>
      <c r="Q5193">
        <v>0.32739083810535802</v>
      </c>
      <c r="R5193">
        <v>0.94807521752619095</v>
      </c>
      <c r="S5193" t="s">
        <v>11999</v>
      </c>
      <c r="T5193" t="s">
        <v>13610</v>
      </c>
      <c r="U5193" t="s">
        <v>13610</v>
      </c>
      <c r="V5193" t="s">
        <v>13610</v>
      </c>
      <c r="W5193" t="s">
        <v>18737</v>
      </c>
      <c r="X5193">
        <v>1</v>
      </c>
      <c r="Y5193" t="s">
        <v>25305</v>
      </c>
      <c r="Z5193" t="s">
        <v>32048</v>
      </c>
      <c r="AA5193">
        <v>0.61185894885988934</v>
      </c>
      <c r="AB5193" t="str">
        <f>HYPERLINK("Melting_Curves/meltCurve_Q96K58_ZNF668.pdf", "Melting_Curves/meltCurve_Q96K58_ZNF668.pdf")</f>
        <v>Melting_Curves/meltCurve_Q96K58_ZNF668.pdf</v>
      </c>
    </row>
    <row r="5194" spans="1:28" x14ac:dyDescent="0.25">
      <c r="A5194" t="s">
        <v>5198</v>
      </c>
      <c r="B5194">
        <v>0.995954080203443</v>
      </c>
      <c r="C5194">
        <v>0.82759796616822101</v>
      </c>
      <c r="D5194">
        <v>0.74025493010343102</v>
      </c>
      <c r="E5194">
        <v>0.58619825563785499</v>
      </c>
      <c r="F5194">
        <v>0.51944777873746895</v>
      </c>
      <c r="G5194">
        <v>0.31410092875773798</v>
      </c>
      <c r="H5194">
        <v>0.190981235680796</v>
      </c>
      <c r="I5194">
        <v>0.12592426345183999</v>
      </c>
      <c r="J5194">
        <v>0.11267390076926299</v>
      </c>
      <c r="K5194">
        <v>0.108186698825827</v>
      </c>
      <c r="L5194">
        <v>469.55732815972601</v>
      </c>
      <c r="M5194">
        <v>9.01713258207843</v>
      </c>
      <c r="N5194">
        <v>52.073903494653599</v>
      </c>
      <c r="O5194">
        <v>49.704139244971998</v>
      </c>
      <c r="P5194">
        <v>-4.5386733548115801E-2</v>
      </c>
      <c r="Q5194">
        <v>0</v>
      </c>
      <c r="R5194">
        <v>0.988339131274939</v>
      </c>
      <c r="S5194" t="s">
        <v>12000</v>
      </c>
      <c r="T5194" t="s">
        <v>13610</v>
      </c>
      <c r="U5194" t="s">
        <v>13610</v>
      </c>
      <c r="V5194" t="s">
        <v>13610</v>
      </c>
      <c r="W5194" t="s">
        <v>18738</v>
      </c>
      <c r="X5194">
        <v>10</v>
      </c>
      <c r="Y5194" t="s">
        <v>25306</v>
      </c>
      <c r="Z5194" t="s">
        <v>32049</v>
      </c>
      <c r="AA5194">
        <v>0.44433455031189262</v>
      </c>
      <c r="AB5194" t="str">
        <f>HYPERLINK("Melting_Curves/meltCurve_Q96K83_ZNF521.pdf", "Melting_Curves/meltCurve_Q96K83_ZNF521.pdf")</f>
        <v>Melting_Curves/meltCurve_Q96K83_ZNF521.pdf</v>
      </c>
    </row>
    <row r="5195" spans="1:28" x14ac:dyDescent="0.25">
      <c r="A5195" t="s">
        <v>5199</v>
      </c>
      <c r="B5195">
        <v>0.995954080203443</v>
      </c>
      <c r="C5195">
        <v>1.0112132588282401</v>
      </c>
      <c r="D5195">
        <v>0.91527361341233304</v>
      </c>
      <c r="E5195">
        <v>0.32972110121989601</v>
      </c>
      <c r="F5195">
        <v>0.15682103557532001</v>
      </c>
      <c r="G5195">
        <v>9.9213256143506304E-2</v>
      </c>
      <c r="H5195">
        <v>7.14856966126452E-2</v>
      </c>
      <c r="I5195">
        <v>5.8322157386008301E-2</v>
      </c>
      <c r="J5195">
        <v>6.1410556146303599E-2</v>
      </c>
      <c r="K5195">
        <v>6.11015846774281E-2</v>
      </c>
      <c r="L5195">
        <v>1752.95718482286</v>
      </c>
      <c r="M5195">
        <v>35.945794899253698</v>
      </c>
      <c r="N5195">
        <v>48.983832725418097</v>
      </c>
      <c r="O5195">
        <v>48.616488644463402</v>
      </c>
      <c r="P5195">
        <v>-0.17123005723617701</v>
      </c>
      <c r="Q5195">
        <v>7.3652119814386005E-2</v>
      </c>
      <c r="R5195">
        <v>0.99827432649713299</v>
      </c>
      <c r="S5195" t="s">
        <v>12001</v>
      </c>
      <c r="T5195" t="s">
        <v>13610</v>
      </c>
      <c r="U5195" t="s">
        <v>13610</v>
      </c>
      <c r="V5195" t="s">
        <v>13610</v>
      </c>
      <c r="W5195" t="s">
        <v>18739</v>
      </c>
      <c r="X5195">
        <v>15</v>
      </c>
      <c r="Y5195" t="s">
        <v>25307</v>
      </c>
      <c r="Z5195" t="s">
        <v>32050</v>
      </c>
      <c r="AA5195">
        <v>0.34823664214894112</v>
      </c>
      <c r="AB5195" t="str">
        <f>HYPERLINK("Melting_Curves/meltCurve_Q96KB5_PBK.pdf", "Melting_Curves/meltCurve_Q96KB5_PBK.pdf")</f>
        <v>Melting_Curves/meltCurve_Q96KB5_PBK.pdf</v>
      </c>
    </row>
    <row r="5196" spans="1:28" x14ac:dyDescent="0.25">
      <c r="A5196" t="s">
        <v>5200</v>
      </c>
      <c r="B5196">
        <v>0.995954080203443</v>
      </c>
      <c r="C5196">
        <v>0.65781812391130001</v>
      </c>
      <c r="D5196">
        <v>0.456100104637504</v>
      </c>
      <c r="E5196">
        <v>0.27670263871593598</v>
      </c>
      <c r="F5196">
        <v>0.20841779999347901</v>
      </c>
      <c r="G5196">
        <v>0.117225683811925</v>
      </c>
      <c r="H5196">
        <v>9.9947956434725302E-2</v>
      </c>
      <c r="I5196">
        <v>8.2236552471196697E-2</v>
      </c>
      <c r="J5196">
        <v>9.4515306158454104E-2</v>
      </c>
      <c r="K5196">
        <v>9.5443346835758905E-2</v>
      </c>
      <c r="L5196">
        <v>728.332541444105</v>
      </c>
      <c r="M5196">
        <v>16.176306917341599</v>
      </c>
      <c r="N5196">
        <v>45.624049441028703</v>
      </c>
      <c r="O5196">
        <v>44.353426387629803</v>
      </c>
      <c r="P5196">
        <v>-8.2456010359291496E-2</v>
      </c>
      <c r="Q5196">
        <v>9.57313395509031E-2</v>
      </c>
      <c r="R5196">
        <v>0.979597196560271</v>
      </c>
      <c r="S5196" t="s">
        <v>12002</v>
      </c>
      <c r="T5196" t="s">
        <v>13610</v>
      </c>
      <c r="U5196" t="s">
        <v>13610</v>
      </c>
      <c r="V5196" t="s">
        <v>13610</v>
      </c>
      <c r="W5196" t="s">
        <v>18740</v>
      </c>
      <c r="X5196">
        <v>1</v>
      </c>
      <c r="Y5196" t="s">
        <v>25308</v>
      </c>
      <c r="Z5196" t="s">
        <v>32051</v>
      </c>
      <c r="AA5196">
        <v>0.27183796132693722</v>
      </c>
      <c r="AB5196" t="str">
        <f>HYPERLINK("Melting_Curves/meltCurve_Q96KC2_ARL5B.pdf", "Melting_Curves/meltCurve_Q96KC2_ARL5B.pdf")</f>
        <v>Melting_Curves/meltCurve_Q96KC2_ARL5B.pdf</v>
      </c>
    </row>
    <row r="5197" spans="1:28" x14ac:dyDescent="0.25">
      <c r="A5197" t="s">
        <v>5201</v>
      </c>
      <c r="B5197">
        <v>0.995954080203443</v>
      </c>
      <c r="C5197">
        <v>0.97011282512429797</v>
      </c>
      <c r="D5197">
        <v>0.96793928274985397</v>
      </c>
      <c r="E5197">
        <v>0.88000286088756596</v>
      </c>
      <c r="F5197">
        <v>0.85387067489297996</v>
      </c>
      <c r="G5197">
        <v>0.60231906020502701</v>
      </c>
      <c r="H5197">
        <v>0.52666459026120405</v>
      </c>
      <c r="I5197">
        <v>0.60650504353092305</v>
      </c>
      <c r="J5197">
        <v>0.77569691772210503</v>
      </c>
      <c r="K5197">
        <v>0.70284147955682497</v>
      </c>
      <c r="L5197">
        <v>1592.9742436904901</v>
      </c>
      <c r="M5197">
        <v>30.388088109621101</v>
      </c>
      <c r="O5197">
        <v>52.195565875752202</v>
      </c>
      <c r="P5197">
        <v>-5.20695378105719E-2</v>
      </c>
      <c r="Q5197">
        <v>0.64225690820081904</v>
      </c>
      <c r="R5197">
        <v>0.81018541297144298</v>
      </c>
      <c r="S5197" t="s">
        <v>12003</v>
      </c>
      <c r="T5197" t="s">
        <v>13610</v>
      </c>
      <c r="U5197" t="s">
        <v>13610</v>
      </c>
      <c r="V5197" t="s">
        <v>13610</v>
      </c>
      <c r="W5197" t="s">
        <v>18741</v>
      </c>
      <c r="X5197">
        <v>10</v>
      </c>
      <c r="Y5197" t="s">
        <v>25309</v>
      </c>
      <c r="Z5197" t="s">
        <v>32052</v>
      </c>
      <c r="AA5197">
        <v>0.79261745126146388</v>
      </c>
      <c r="AB5197" t="str">
        <f>HYPERLINK("Melting_Curves/meltCurve_Q96KC8_DNAJC1.pdf", "Melting_Curves/meltCurve_Q96KC8_DNAJC1.pdf")</f>
        <v>Melting_Curves/meltCurve_Q96KC8_DNAJC1.pdf</v>
      </c>
    </row>
    <row r="5198" spans="1:28" x14ac:dyDescent="0.25">
      <c r="A5198" t="s">
        <v>5202</v>
      </c>
      <c r="B5198">
        <v>0.995954080203443</v>
      </c>
      <c r="C5198">
        <v>0.93675113027592805</v>
      </c>
      <c r="D5198">
        <v>0.84457165755761499</v>
      </c>
      <c r="E5198">
        <v>0.76752215261752099</v>
      </c>
      <c r="F5198">
        <v>0.37349406586771999</v>
      </c>
      <c r="G5198">
        <v>0.133991552789964</v>
      </c>
      <c r="H5198">
        <v>9.3845262110081096E-2</v>
      </c>
      <c r="I5198">
        <v>8.6160786021921107E-2</v>
      </c>
      <c r="J5198">
        <v>8.9271184689974206E-2</v>
      </c>
      <c r="K5198">
        <v>8.8216935045141498E-2</v>
      </c>
      <c r="L5198">
        <v>1255.84166389045</v>
      </c>
      <c r="M5198">
        <v>24.332037810265799</v>
      </c>
      <c r="N5198">
        <v>51.957769109605898</v>
      </c>
      <c r="O5198">
        <v>51.267850337705198</v>
      </c>
      <c r="P5198">
        <v>-0.109800799459199</v>
      </c>
      <c r="Q5198">
        <v>7.46082785057023E-2</v>
      </c>
      <c r="R5198">
        <v>0.98585906794741796</v>
      </c>
      <c r="S5198" t="s">
        <v>12004</v>
      </c>
      <c r="T5198" t="s">
        <v>13610</v>
      </c>
      <c r="U5198" t="s">
        <v>13610</v>
      </c>
      <c r="V5198" t="s">
        <v>13610</v>
      </c>
      <c r="W5198" t="s">
        <v>18742</v>
      </c>
      <c r="X5198">
        <v>20</v>
      </c>
      <c r="Y5198" t="s">
        <v>25310</v>
      </c>
      <c r="Z5198" t="s">
        <v>32053</v>
      </c>
      <c r="AA5198">
        <v>0.44168551995793798</v>
      </c>
      <c r="AB5198" t="str">
        <f>HYPERLINK("Melting_Curves/meltCurve_Q96KG9_3_SCYL1.pdf", "Melting_Curves/meltCurve_Q96KG9_3_SCYL1.pdf")</f>
        <v>Melting_Curves/meltCurve_Q96KG9_3_SCYL1.pdf</v>
      </c>
    </row>
    <row r="5199" spans="1:28" x14ac:dyDescent="0.25">
      <c r="A5199" t="s">
        <v>5203</v>
      </c>
      <c r="B5199">
        <v>0.995954080203443</v>
      </c>
      <c r="C5199">
        <v>0.92287610525540298</v>
      </c>
      <c r="D5199">
        <v>0.93719820035355705</v>
      </c>
      <c r="E5199">
        <v>0.80735290099971102</v>
      </c>
      <c r="F5199">
        <v>0.73880479027788604</v>
      </c>
      <c r="G5199">
        <v>0.54800065679479903</v>
      </c>
      <c r="H5199">
        <v>0.48502791604524098</v>
      </c>
      <c r="I5199">
        <v>0.55157795545398303</v>
      </c>
      <c r="J5199">
        <v>0.73315504241394103</v>
      </c>
      <c r="K5199">
        <v>0.63602725566572604</v>
      </c>
      <c r="L5199">
        <v>1089.31471616316</v>
      </c>
      <c r="M5199">
        <v>21.694571314579701</v>
      </c>
      <c r="O5199">
        <v>49.790606524894599</v>
      </c>
      <c r="P5199">
        <v>-4.4609910437245701E-2</v>
      </c>
      <c r="Q5199">
        <v>0.59047780547175499</v>
      </c>
      <c r="R5199">
        <v>0.831654187889035</v>
      </c>
      <c r="S5199" t="s">
        <v>12005</v>
      </c>
      <c r="T5199" t="s">
        <v>13610</v>
      </c>
      <c r="U5199" t="s">
        <v>13610</v>
      </c>
      <c r="V5199" t="s">
        <v>13610</v>
      </c>
      <c r="W5199" t="s">
        <v>18743</v>
      </c>
      <c r="X5199">
        <v>7</v>
      </c>
      <c r="Y5199" t="s">
        <v>25311</v>
      </c>
      <c r="Z5199" t="s">
        <v>32054</v>
      </c>
      <c r="AA5199">
        <v>0.73473205267599728</v>
      </c>
      <c r="AB5199" t="str">
        <f>HYPERLINK("Melting_Curves/meltCurve_Q96KM6_ZNF512B.pdf", "Melting_Curves/meltCurve_Q96KM6_ZNF512B.pdf")</f>
        <v>Melting_Curves/meltCurve_Q96KM6_ZNF512B.pdf</v>
      </c>
    </row>
    <row r="5200" spans="1:28" x14ac:dyDescent="0.25">
      <c r="A5200" t="s">
        <v>5204</v>
      </c>
      <c r="B5200">
        <v>0.995954080203443</v>
      </c>
      <c r="C5200">
        <v>0.68459697813208997</v>
      </c>
      <c r="D5200">
        <v>0.394719354466253</v>
      </c>
      <c r="E5200">
        <v>0.19253245769994401</v>
      </c>
      <c r="F5200">
        <v>0.114381941118625</v>
      </c>
      <c r="G5200">
        <v>6.6359156086456594E-2</v>
      </c>
      <c r="H5200">
        <v>4.5941213558596303E-2</v>
      </c>
      <c r="I5200">
        <v>4.2560595073021297E-2</v>
      </c>
      <c r="J5200">
        <v>4.9958925212301997E-2</v>
      </c>
      <c r="K5200">
        <v>4.3070534594593E-2</v>
      </c>
      <c r="L5200">
        <v>888.04612627673305</v>
      </c>
      <c r="M5200">
        <v>19.827176315641701</v>
      </c>
      <c r="N5200">
        <v>45.041826105513401</v>
      </c>
      <c r="O5200">
        <v>44.341184446462997</v>
      </c>
      <c r="P5200">
        <v>-0.105911712005698</v>
      </c>
      <c r="Q5200">
        <v>5.2594786566404803E-2</v>
      </c>
      <c r="R5200">
        <v>0.99065412039627998</v>
      </c>
      <c r="S5200" t="s">
        <v>12006</v>
      </c>
      <c r="T5200" t="s">
        <v>13610</v>
      </c>
      <c r="U5200" t="s">
        <v>13610</v>
      </c>
      <c r="V5200" t="s">
        <v>13610</v>
      </c>
      <c r="W5200" t="s">
        <v>18744</v>
      </c>
      <c r="X5200">
        <v>26</v>
      </c>
      <c r="Y5200" t="s">
        <v>25312</v>
      </c>
      <c r="Z5200" t="s">
        <v>32055</v>
      </c>
      <c r="AA5200">
        <v>0.22062097922024829</v>
      </c>
      <c r="AB5200" t="str">
        <f>HYPERLINK("Melting_Curves/meltCurve_Q96KP1_EXOC2.pdf", "Melting_Curves/meltCurve_Q96KP1_EXOC2.pdf")</f>
        <v>Melting_Curves/meltCurve_Q96KP1_EXOC2.pdf</v>
      </c>
    </row>
    <row r="5201" spans="1:28" x14ac:dyDescent="0.25">
      <c r="A5201" t="s">
        <v>5205</v>
      </c>
      <c r="B5201">
        <v>0.995954080203443</v>
      </c>
      <c r="C5201">
        <v>1.0328677479872099</v>
      </c>
      <c r="D5201">
        <v>0.95555077112746301</v>
      </c>
      <c r="E5201">
        <v>0.79553142972737301</v>
      </c>
      <c r="F5201">
        <v>0.46809188451533001</v>
      </c>
      <c r="G5201">
        <v>0.266095582595192</v>
      </c>
      <c r="H5201">
        <v>0.17510105037255899</v>
      </c>
      <c r="I5201">
        <v>0.156067834653972</v>
      </c>
      <c r="J5201">
        <v>0.16063310322805099</v>
      </c>
      <c r="K5201">
        <v>0.127198834962443</v>
      </c>
      <c r="L5201">
        <v>1274.43683536651</v>
      </c>
      <c r="M5201">
        <v>24.442945782693801</v>
      </c>
      <c r="N5201">
        <v>52.8995312303662</v>
      </c>
      <c r="O5201">
        <v>51.794021484297097</v>
      </c>
      <c r="P5201">
        <v>-0.100508355257101</v>
      </c>
      <c r="Q5201">
        <v>0.14811327329051099</v>
      </c>
      <c r="R5201">
        <v>0.99739848583893698</v>
      </c>
      <c r="S5201" t="s">
        <v>12007</v>
      </c>
      <c r="T5201" t="s">
        <v>13610</v>
      </c>
      <c r="U5201" t="s">
        <v>13610</v>
      </c>
      <c r="V5201" t="s">
        <v>13610</v>
      </c>
      <c r="W5201" t="s">
        <v>18745</v>
      </c>
      <c r="X5201">
        <v>23</v>
      </c>
      <c r="Y5201" t="s">
        <v>25313</v>
      </c>
      <c r="Z5201" t="s">
        <v>32056</v>
      </c>
      <c r="AA5201">
        <v>0.50095249611590853</v>
      </c>
      <c r="AB5201" t="str">
        <f>HYPERLINK("Melting_Curves/meltCurve_Q96KP4_CNDP2.pdf", "Melting_Curves/meltCurve_Q96KP4_CNDP2.pdf")</f>
        <v>Melting_Curves/meltCurve_Q96KP4_CNDP2.pdf</v>
      </c>
    </row>
    <row r="5202" spans="1:28" x14ac:dyDescent="0.25">
      <c r="A5202" t="s">
        <v>5206</v>
      </c>
      <c r="B5202">
        <v>0.995954080203443</v>
      </c>
      <c r="C5202">
        <v>0.941048556573715</v>
      </c>
      <c r="D5202">
        <v>0.99585965588998704</v>
      </c>
      <c r="E5202">
        <v>0.92524736348276004</v>
      </c>
      <c r="F5202">
        <v>0.83537967798315305</v>
      </c>
      <c r="G5202">
        <v>0.446329529129251</v>
      </c>
      <c r="H5202">
        <v>0.30776225922538503</v>
      </c>
      <c r="I5202">
        <v>0.32526513631297899</v>
      </c>
      <c r="J5202">
        <v>0.37086177100684897</v>
      </c>
      <c r="K5202">
        <v>0.36359748655197199</v>
      </c>
      <c r="L5202">
        <v>1991.3655805165199</v>
      </c>
      <c r="M5202">
        <v>36.5734673676697</v>
      </c>
      <c r="N5202">
        <v>56.183831117393098</v>
      </c>
      <c r="O5202">
        <v>54.286351779138002</v>
      </c>
      <c r="P5202">
        <v>-0.111426553556778</v>
      </c>
      <c r="Q5202">
        <v>0.33843590240294802</v>
      </c>
      <c r="R5202">
        <v>0.98838783978894096</v>
      </c>
      <c r="S5202" t="s">
        <v>12008</v>
      </c>
      <c r="T5202" t="s">
        <v>13610</v>
      </c>
      <c r="U5202" t="s">
        <v>13610</v>
      </c>
      <c r="V5202" t="s">
        <v>13610</v>
      </c>
      <c r="W5202" t="s">
        <v>18746</v>
      </c>
      <c r="X5202">
        <v>38</v>
      </c>
      <c r="Y5202" t="s">
        <v>25314</v>
      </c>
      <c r="Z5202" t="s">
        <v>32057</v>
      </c>
      <c r="AA5202">
        <v>0.66002035080307353</v>
      </c>
      <c r="AB5202" t="str">
        <f>HYPERLINK("Melting_Curves/meltCurve_Q96KR1_ZFR.pdf", "Melting_Curves/meltCurve_Q96KR1_ZFR.pdf")</f>
        <v>Melting_Curves/meltCurve_Q96KR1_ZFR.pdf</v>
      </c>
    </row>
    <row r="5203" spans="1:28" x14ac:dyDescent="0.25">
      <c r="A5203" t="s">
        <v>5207</v>
      </c>
      <c r="B5203">
        <v>0.995954080203443</v>
      </c>
      <c r="C5203">
        <v>0.86944261843915305</v>
      </c>
      <c r="D5203">
        <v>0.74559599572548896</v>
      </c>
      <c r="E5203">
        <v>0.69547875938945203</v>
      </c>
      <c r="F5203">
        <v>0.50133247302744499</v>
      </c>
      <c r="G5203">
        <v>0.35042122145520499</v>
      </c>
      <c r="H5203">
        <v>0.32264793356493199</v>
      </c>
      <c r="I5203">
        <v>0.36631902987031401</v>
      </c>
      <c r="J5203">
        <v>0.41916216441434501</v>
      </c>
      <c r="K5203">
        <v>0.42178765079035502</v>
      </c>
      <c r="L5203">
        <v>668.31234856333106</v>
      </c>
      <c r="M5203">
        <v>13.8298795176309</v>
      </c>
      <c r="N5203">
        <v>53.107434255718701</v>
      </c>
      <c r="O5203">
        <v>47.347078232913198</v>
      </c>
      <c r="P5203">
        <v>-4.7024219298024098E-2</v>
      </c>
      <c r="Q5203">
        <v>0.35613337058349498</v>
      </c>
      <c r="R5203">
        <v>0.94559280300127901</v>
      </c>
      <c r="S5203" t="s">
        <v>12009</v>
      </c>
      <c r="T5203" t="s">
        <v>13610</v>
      </c>
      <c r="U5203" t="s">
        <v>13610</v>
      </c>
      <c r="V5203" t="s">
        <v>13610</v>
      </c>
      <c r="W5203" t="s">
        <v>18747</v>
      </c>
      <c r="X5203">
        <v>39</v>
      </c>
      <c r="Y5203" t="s">
        <v>25315</v>
      </c>
      <c r="Z5203" t="s">
        <v>32058</v>
      </c>
      <c r="AA5203">
        <v>0.55385763436270352</v>
      </c>
      <c r="AB5203" t="str">
        <f>HYPERLINK("Melting_Curves/meltCurve_Q96L91_3_EP400.pdf", "Melting_Curves/meltCurve_Q96L91_3_EP400.pdf")</f>
        <v>Melting_Curves/meltCurve_Q96L91_3_EP400.pdf</v>
      </c>
    </row>
    <row r="5204" spans="1:28" x14ac:dyDescent="0.25">
      <c r="A5204" t="s">
        <v>5208</v>
      </c>
      <c r="B5204">
        <v>0.995954080203443</v>
      </c>
      <c r="C5204">
        <v>0.97987763470913503</v>
      </c>
      <c r="D5204">
        <v>0.68962028252932905</v>
      </c>
      <c r="E5204">
        <v>0.32356609547931497</v>
      </c>
      <c r="F5204">
        <v>0.19781449652622901</v>
      </c>
      <c r="G5204">
        <v>0.122488730435846</v>
      </c>
      <c r="H5204">
        <v>8.39794716020619E-2</v>
      </c>
      <c r="I5204">
        <v>6.8153863730195996E-2</v>
      </c>
      <c r="J5204">
        <v>8.0444903618199601E-2</v>
      </c>
      <c r="K5204">
        <v>7.4216626127275101E-2</v>
      </c>
      <c r="L5204">
        <v>1046.56707925762</v>
      </c>
      <c r="M5204">
        <v>21.9407304192247</v>
      </c>
      <c r="N5204">
        <v>48.088218905500497</v>
      </c>
      <c r="O5204">
        <v>47.308782302122403</v>
      </c>
      <c r="P5204">
        <v>-0.10653065942001</v>
      </c>
      <c r="Q5204">
        <v>8.1211374621923696E-2</v>
      </c>
      <c r="R5204">
        <v>0.99627802063878701</v>
      </c>
      <c r="S5204" t="s">
        <v>12010</v>
      </c>
      <c r="T5204" t="s">
        <v>13610</v>
      </c>
      <c r="U5204" t="s">
        <v>13610</v>
      </c>
      <c r="V5204" t="s">
        <v>13610</v>
      </c>
      <c r="W5204" t="s">
        <v>18748</v>
      </c>
      <c r="X5204">
        <v>18</v>
      </c>
      <c r="Y5204" t="s">
        <v>25316</v>
      </c>
      <c r="Z5204" t="s">
        <v>32059</v>
      </c>
      <c r="AA5204">
        <v>0.32779633915515988</v>
      </c>
      <c r="AB5204" t="str">
        <f>HYPERLINK("Melting_Curves/meltCurve_Q96L92_SNX27.pdf", "Melting_Curves/meltCurve_Q96L92_SNX27.pdf")</f>
        <v>Melting_Curves/meltCurve_Q96L92_SNX27.pdf</v>
      </c>
    </row>
    <row r="5205" spans="1:28" x14ac:dyDescent="0.25">
      <c r="A5205" t="s">
        <v>5209</v>
      </c>
      <c r="B5205">
        <v>0.995954080203443</v>
      </c>
      <c r="C5205">
        <v>1.0090400016360199</v>
      </c>
      <c r="D5205">
        <v>0.96022096795507295</v>
      </c>
      <c r="E5205">
        <v>0.70135946846847097</v>
      </c>
      <c r="F5205">
        <v>0.50375317515559703</v>
      </c>
      <c r="G5205">
        <v>0.34277784171137499</v>
      </c>
      <c r="H5205">
        <v>0.27338761189678901</v>
      </c>
      <c r="I5205">
        <v>0.302660027816676</v>
      </c>
      <c r="J5205">
        <v>0.356074735385494</v>
      </c>
      <c r="K5205">
        <v>0.38237689271027703</v>
      </c>
      <c r="L5205">
        <v>1347.93457044409</v>
      </c>
      <c r="M5205">
        <v>26.648121155614401</v>
      </c>
      <c r="N5205">
        <v>52.666035776338099</v>
      </c>
      <c r="O5205">
        <v>50.300446780098298</v>
      </c>
      <c r="P5205">
        <v>-8.9301735063712404E-2</v>
      </c>
      <c r="Q5205">
        <v>0.32575054394748998</v>
      </c>
      <c r="R5205">
        <v>0.98876215347020602</v>
      </c>
      <c r="S5205" t="s">
        <v>12011</v>
      </c>
      <c r="T5205" t="s">
        <v>13610</v>
      </c>
      <c r="U5205" t="s">
        <v>13610</v>
      </c>
      <c r="V5205" t="s">
        <v>13610</v>
      </c>
      <c r="W5205" t="s">
        <v>18749</v>
      </c>
      <c r="X5205">
        <v>22</v>
      </c>
      <c r="Y5205" t="s">
        <v>25317</v>
      </c>
      <c r="Z5205" t="s">
        <v>32060</v>
      </c>
      <c r="AA5205">
        <v>0.56893654117765324</v>
      </c>
      <c r="AB5205" t="str">
        <f>HYPERLINK("Melting_Curves/meltCurve_Q96L93_6_KIF16B.pdf", "Melting_Curves/meltCurve_Q96L93_6_KIF16B.pdf")</f>
        <v>Melting_Curves/meltCurve_Q96L93_6_KIF16B.pdf</v>
      </c>
    </row>
    <row r="5206" spans="1:28" x14ac:dyDescent="0.25">
      <c r="A5206" t="s">
        <v>5210</v>
      </c>
      <c r="B5206">
        <v>0.995954080203443</v>
      </c>
      <c r="C5206">
        <v>0.95847399561287405</v>
      </c>
      <c r="D5206">
        <v>0.65638352776221798</v>
      </c>
      <c r="E5206">
        <v>0.40208294352713903</v>
      </c>
      <c r="F5206">
        <v>0.198338628730577</v>
      </c>
      <c r="G5206">
        <v>0.129980241857415</v>
      </c>
      <c r="H5206">
        <v>7.7433822424175E-2</v>
      </c>
      <c r="I5206">
        <v>5.0192726124351501E-2</v>
      </c>
      <c r="J5206">
        <v>5.2533523375098298E-2</v>
      </c>
      <c r="K5206">
        <v>4.6907767788866898E-2</v>
      </c>
      <c r="L5206">
        <v>845.50650848260295</v>
      </c>
      <c r="M5206">
        <v>17.557385253266901</v>
      </c>
      <c r="N5206">
        <v>48.447097436065299</v>
      </c>
      <c r="O5206">
        <v>47.545049070742401</v>
      </c>
      <c r="P5206">
        <v>-8.7714501171274606E-2</v>
      </c>
      <c r="Q5206">
        <v>4.99352314318003E-2</v>
      </c>
      <c r="R5206">
        <v>0.99374422490707504</v>
      </c>
      <c r="S5206" t="s">
        <v>12012</v>
      </c>
      <c r="T5206" t="s">
        <v>13610</v>
      </c>
      <c r="U5206" t="s">
        <v>13610</v>
      </c>
      <c r="V5206" t="s">
        <v>13610</v>
      </c>
      <c r="W5206" t="s">
        <v>18750</v>
      </c>
      <c r="X5206">
        <v>5</v>
      </c>
      <c r="Y5206" t="s">
        <v>25318</v>
      </c>
      <c r="Z5206" t="s">
        <v>32061</v>
      </c>
      <c r="AA5206">
        <v>0.32591607464164007</v>
      </c>
      <c r="AB5206" t="str">
        <f>HYPERLINK("Melting_Curves/meltCurve_Q96LA8_PRMT6.pdf", "Melting_Curves/meltCurve_Q96LA8_PRMT6.pdf")</f>
        <v>Melting_Curves/meltCurve_Q96LA8_PRMT6.pdf</v>
      </c>
    </row>
    <row r="5207" spans="1:28" x14ac:dyDescent="0.25">
      <c r="A5207" t="s">
        <v>5211</v>
      </c>
      <c r="B5207">
        <v>0.995954080203443</v>
      </c>
      <c r="C5207">
        <v>0.97407857352581695</v>
      </c>
      <c r="D5207">
        <v>0.94651494168153005</v>
      </c>
      <c r="E5207">
        <v>0.78537626661869397</v>
      </c>
      <c r="F5207">
        <v>0.62265596485211006</v>
      </c>
      <c r="G5207">
        <v>0.37584781368220599</v>
      </c>
      <c r="H5207">
        <v>0.35796751646872899</v>
      </c>
      <c r="I5207">
        <v>0.37840191192317801</v>
      </c>
      <c r="J5207">
        <v>0.46900696070534897</v>
      </c>
      <c r="K5207">
        <v>0.461956499057602</v>
      </c>
      <c r="L5207">
        <v>1358.55525951708</v>
      </c>
      <c r="M5207">
        <v>26.5043162494899</v>
      </c>
      <c r="N5207">
        <v>54.665843257936999</v>
      </c>
      <c r="O5207">
        <v>50.968758878089901</v>
      </c>
      <c r="P5207">
        <v>-7.7456705536558104E-2</v>
      </c>
      <c r="Q5207">
        <v>0.40419816766056099</v>
      </c>
      <c r="R5207">
        <v>0.97024206056468698</v>
      </c>
      <c r="S5207" t="s">
        <v>12013</v>
      </c>
      <c r="T5207" t="s">
        <v>13610</v>
      </c>
      <c r="U5207" t="s">
        <v>13610</v>
      </c>
      <c r="V5207" t="s">
        <v>13610</v>
      </c>
      <c r="W5207" t="s">
        <v>18751</v>
      </c>
      <c r="X5207">
        <v>19</v>
      </c>
      <c r="Y5207" t="s">
        <v>25319</v>
      </c>
      <c r="Z5207" t="s">
        <v>32062</v>
      </c>
      <c r="AA5207">
        <v>0.63259240334616251</v>
      </c>
      <c r="AB5207" t="str">
        <f>HYPERLINK("Melting_Curves/meltCurve_Q96LB3_IFT74.pdf", "Melting_Curves/meltCurve_Q96LB3_IFT74.pdf")</f>
        <v>Melting_Curves/meltCurve_Q96LB3_IFT74.pdf</v>
      </c>
    </row>
    <row r="5208" spans="1:28" x14ac:dyDescent="0.25">
      <c r="A5208" t="s">
        <v>5212</v>
      </c>
      <c r="B5208">
        <v>0.995954080203443</v>
      </c>
      <c r="C5208">
        <v>1.1103263237760099</v>
      </c>
      <c r="D5208">
        <v>1.23264435478464</v>
      </c>
      <c r="E5208">
        <v>0.94427910847657603</v>
      </c>
      <c r="F5208">
        <v>0.324620008170732</v>
      </c>
      <c r="G5208">
        <v>8.4506016320016294E-2</v>
      </c>
      <c r="H5208">
        <v>5.1321964394221098E-2</v>
      </c>
      <c r="I5208">
        <v>3.2622821988422201E-2</v>
      </c>
      <c r="J5208">
        <v>3.8059519990224597E-2</v>
      </c>
      <c r="K5208">
        <v>2.9973050366117901E-2</v>
      </c>
      <c r="L5208">
        <v>3205.3646510205299</v>
      </c>
      <c r="M5208">
        <v>61.355418974995899</v>
      </c>
      <c r="N5208">
        <v>52.324695278018098</v>
      </c>
      <c r="O5208">
        <v>52.1871487555212</v>
      </c>
      <c r="P5208">
        <v>-0.28043104122450702</v>
      </c>
      <c r="Q5208">
        <v>4.5894036809718902E-2</v>
      </c>
      <c r="R5208">
        <v>0.97174460870183699</v>
      </c>
      <c r="S5208" t="s">
        <v>12014</v>
      </c>
      <c r="T5208" t="s">
        <v>13610</v>
      </c>
      <c r="U5208" t="s">
        <v>13610</v>
      </c>
      <c r="V5208" t="s">
        <v>13610</v>
      </c>
      <c r="W5208" t="s">
        <v>18752</v>
      </c>
      <c r="X5208">
        <v>4</v>
      </c>
      <c r="Y5208" t="s">
        <v>25320</v>
      </c>
      <c r="Z5208" t="s">
        <v>32063</v>
      </c>
      <c r="AA5208">
        <v>0.43670832828579648</v>
      </c>
      <c r="AB5208" t="str">
        <f>HYPERLINK("Melting_Curves/meltCurve_Q96LD8_SENP8.pdf", "Melting_Curves/meltCurve_Q96LD8_SENP8.pdf")</f>
        <v>Melting_Curves/meltCurve_Q96LD8_SENP8.pdf</v>
      </c>
    </row>
    <row r="5209" spans="1:28" x14ac:dyDescent="0.25">
      <c r="A5209" t="s">
        <v>5213</v>
      </c>
      <c r="B5209">
        <v>0.995954080203443</v>
      </c>
      <c r="C5209">
        <v>0.71339137242755801</v>
      </c>
      <c r="D5209">
        <v>0.44821632795316102</v>
      </c>
      <c r="E5209">
        <v>0.66189353888913405</v>
      </c>
      <c r="F5209">
        <v>0.185334015900989</v>
      </c>
      <c r="G5209">
        <v>5.4488023198531799E-2</v>
      </c>
      <c r="H5209">
        <v>2.06053749599584E-2</v>
      </c>
      <c r="I5209">
        <v>1.85925481230645E-2</v>
      </c>
      <c r="J5209">
        <v>1.18706886809743E-2</v>
      </c>
      <c r="K5209">
        <v>1.7797460901881602E-2</v>
      </c>
      <c r="L5209">
        <v>545.06640414660001</v>
      </c>
      <c r="M5209">
        <v>11.420903631295801</v>
      </c>
      <c r="N5209">
        <v>47.725331717019799</v>
      </c>
      <c r="O5209">
        <v>46.332438772599602</v>
      </c>
      <c r="P5209">
        <v>-6.1642759972317801E-2</v>
      </c>
      <c r="Q5209">
        <v>0</v>
      </c>
      <c r="R5209">
        <v>0.88592783433104705</v>
      </c>
      <c r="S5209" t="s">
        <v>12015</v>
      </c>
      <c r="T5209" t="s">
        <v>13610</v>
      </c>
      <c r="U5209" t="s">
        <v>13610</v>
      </c>
      <c r="V5209" t="s">
        <v>13610</v>
      </c>
      <c r="W5209" t="s">
        <v>18753</v>
      </c>
      <c r="X5209">
        <v>8</v>
      </c>
      <c r="Y5209" t="s">
        <v>25321</v>
      </c>
      <c r="Z5209" t="s">
        <v>32064</v>
      </c>
      <c r="AA5209">
        <v>0.30099422584418378</v>
      </c>
      <c r="AB5209" t="str">
        <f>HYPERLINK("Melting_Curves/meltCurve_Q96LI5_2_CNOT6L.pdf", "Melting_Curves/meltCurve_Q96LI5_2_CNOT6L.pdf")</f>
        <v>Melting_Curves/meltCurve_Q96LI5_2_CNOT6L.pdf</v>
      </c>
    </row>
    <row r="5210" spans="1:28" x14ac:dyDescent="0.25">
      <c r="A5210" t="s">
        <v>5214</v>
      </c>
      <c r="B5210">
        <v>0.995954080203443</v>
      </c>
      <c r="C5210">
        <v>1.0317001638521099</v>
      </c>
      <c r="D5210">
        <v>0.85722914322892796</v>
      </c>
      <c r="E5210">
        <v>0.79403643842312399</v>
      </c>
      <c r="F5210">
        <v>0.50115004849573297</v>
      </c>
      <c r="G5210">
        <v>0.36659622388551799</v>
      </c>
      <c r="H5210">
        <v>0.26603820440464798</v>
      </c>
      <c r="I5210">
        <v>0.23986220351468401</v>
      </c>
      <c r="J5210">
        <v>0.26541808139790801</v>
      </c>
      <c r="K5210">
        <v>0.26957185993066002</v>
      </c>
      <c r="L5210">
        <v>995.53668196541696</v>
      </c>
      <c r="M5210">
        <v>19.262837060325602</v>
      </c>
      <c r="N5210">
        <v>53.546490368375402</v>
      </c>
      <c r="O5210">
        <v>51.134403711842999</v>
      </c>
      <c r="P5210">
        <v>-7.1167016726417995E-2</v>
      </c>
      <c r="Q5210">
        <v>0.24435937063654201</v>
      </c>
      <c r="R5210">
        <v>0.985598524376744</v>
      </c>
      <c r="S5210" t="s">
        <v>12016</v>
      </c>
      <c r="T5210" t="s">
        <v>13610</v>
      </c>
      <c r="U5210" t="s">
        <v>13610</v>
      </c>
      <c r="V5210" t="s">
        <v>13610</v>
      </c>
      <c r="W5210" t="s">
        <v>18754</v>
      </c>
      <c r="X5210">
        <v>4</v>
      </c>
      <c r="Y5210" t="s">
        <v>25322</v>
      </c>
      <c r="Z5210" t="s">
        <v>32065</v>
      </c>
      <c r="AA5210">
        <v>0.54980258458940201</v>
      </c>
      <c r="AB5210" t="str">
        <f>HYPERLINK("Melting_Curves/meltCurve_Q96LJ8_UBXN10.pdf", "Melting_Curves/meltCurve_Q96LJ8_UBXN10.pdf")</f>
        <v>Melting_Curves/meltCurve_Q96LJ8_UBXN10.pdf</v>
      </c>
    </row>
    <row r="5211" spans="1:28" x14ac:dyDescent="0.25">
      <c r="A5211" t="s">
        <v>5215</v>
      </c>
      <c r="B5211">
        <v>0.995954080203443</v>
      </c>
      <c r="C5211">
        <v>0.76022976021255495</v>
      </c>
      <c r="D5211">
        <v>0.77601034762415599</v>
      </c>
      <c r="E5211">
        <v>0.61977405435081001</v>
      </c>
      <c r="F5211">
        <v>0.39587810552542602</v>
      </c>
      <c r="G5211">
        <v>0.31623933426696099</v>
      </c>
      <c r="H5211">
        <v>0.29450186772882903</v>
      </c>
      <c r="I5211">
        <v>0.344147402021455</v>
      </c>
      <c r="J5211">
        <v>0.40137658986605801</v>
      </c>
      <c r="K5211">
        <v>0.42084300790386597</v>
      </c>
      <c r="L5211">
        <v>678.144524235571</v>
      </c>
      <c r="M5211">
        <v>14.38357831161</v>
      </c>
      <c r="N5211">
        <v>51.156127147452302</v>
      </c>
      <c r="O5211">
        <v>46.263911623345599</v>
      </c>
      <c r="P5211">
        <v>-5.1458057689932397E-2</v>
      </c>
      <c r="Q5211">
        <v>0.33803190754261703</v>
      </c>
      <c r="R5211">
        <v>0.91429773280359505</v>
      </c>
      <c r="S5211" t="s">
        <v>12017</v>
      </c>
      <c r="T5211" t="s">
        <v>13610</v>
      </c>
      <c r="U5211" t="s">
        <v>13610</v>
      </c>
      <c r="V5211" t="s">
        <v>13610</v>
      </c>
      <c r="W5211" t="s">
        <v>18755</v>
      </c>
      <c r="X5211">
        <v>5</v>
      </c>
      <c r="Y5211" t="s">
        <v>25323</v>
      </c>
      <c r="Z5211" t="s">
        <v>32066</v>
      </c>
      <c r="AA5211">
        <v>0.51514710595044511</v>
      </c>
      <c r="AB5211" t="str">
        <f>HYPERLINK("Melting_Curves/meltCurve_Q96LR5_UBE2E2.pdf", "Melting_Curves/meltCurve_Q96LR5_UBE2E2.pdf")</f>
        <v>Melting_Curves/meltCurve_Q96LR5_UBE2E2.pdf</v>
      </c>
    </row>
    <row r="5212" spans="1:28" x14ac:dyDescent="0.25">
      <c r="A5212" t="s">
        <v>5216</v>
      </c>
      <c r="B5212">
        <v>0.995954080203443</v>
      </c>
      <c r="C5212">
        <v>0.92040699715630703</v>
      </c>
      <c r="D5212">
        <v>0.79600769027117402</v>
      </c>
      <c r="E5212">
        <v>0.71642089261639197</v>
      </c>
      <c r="F5212">
        <v>0.51003929511673995</v>
      </c>
      <c r="G5212">
        <v>0.22732468446066201</v>
      </c>
      <c r="H5212">
        <v>0.10833372107648299</v>
      </c>
      <c r="I5212">
        <v>8.5861738034081203E-2</v>
      </c>
      <c r="J5212">
        <v>7.4305602920707897E-2</v>
      </c>
      <c r="K5212">
        <v>7.3258692981013201E-2</v>
      </c>
      <c r="L5212">
        <v>690.18901648225506</v>
      </c>
      <c r="M5212">
        <v>13.134784851720401</v>
      </c>
      <c r="N5212">
        <v>52.595989047981298</v>
      </c>
      <c r="O5212">
        <v>51.373419580028497</v>
      </c>
      <c r="P5212">
        <v>-6.3537819714981306E-2</v>
      </c>
      <c r="Q5212">
        <v>6.1196328330047596E-3</v>
      </c>
      <c r="R5212">
        <v>0.98893837223530001</v>
      </c>
      <c r="S5212" t="s">
        <v>12018</v>
      </c>
      <c r="T5212" t="s">
        <v>13610</v>
      </c>
      <c r="U5212" t="s">
        <v>13610</v>
      </c>
      <c r="V5212" t="s">
        <v>13610</v>
      </c>
      <c r="W5212" t="s">
        <v>18756</v>
      </c>
      <c r="X5212">
        <v>3</v>
      </c>
      <c r="Y5212" t="s">
        <v>25324</v>
      </c>
      <c r="Z5212" t="s">
        <v>32067</v>
      </c>
      <c r="AA5212">
        <v>0.4479383355214851</v>
      </c>
      <c r="AB5212" t="str">
        <f>HYPERLINK("Melting_Curves/meltCurve_Q96LT7_C9orf72.pdf", "Melting_Curves/meltCurve_Q96LT7_C9orf72.pdf")</f>
        <v>Melting_Curves/meltCurve_Q96LT7_C9orf72.pdf</v>
      </c>
    </row>
    <row r="5213" spans="1:28" x14ac:dyDescent="0.25">
      <c r="A5213" t="s">
        <v>5217</v>
      </c>
      <c r="B5213">
        <v>0.995954080203443</v>
      </c>
      <c r="C5213">
        <v>0.78016174818819495</v>
      </c>
      <c r="D5213">
        <v>0.93485286703269399</v>
      </c>
      <c r="E5213">
        <v>0.81701911539369698</v>
      </c>
      <c r="F5213">
        <v>0.67005900336834801</v>
      </c>
      <c r="G5213">
        <v>0.50585454720689405</v>
      </c>
      <c r="H5213">
        <v>0.46887631132004998</v>
      </c>
      <c r="I5213">
        <v>0.51674119167069299</v>
      </c>
      <c r="J5213">
        <v>0.68343082237241704</v>
      </c>
      <c r="K5213">
        <v>0.63244705575358495</v>
      </c>
      <c r="L5213">
        <v>714.305243302907</v>
      </c>
      <c r="M5213">
        <v>14.5610852432249</v>
      </c>
      <c r="O5213">
        <v>48.158383884244401</v>
      </c>
      <c r="P5213">
        <v>-3.3877523397501198E-2</v>
      </c>
      <c r="Q5213">
        <v>0.55187361037006599</v>
      </c>
      <c r="R5213">
        <v>0.72022992804836605</v>
      </c>
      <c r="S5213" t="s">
        <v>12019</v>
      </c>
      <c r="T5213" t="s">
        <v>13610</v>
      </c>
      <c r="U5213" t="s">
        <v>13610</v>
      </c>
      <c r="V5213" t="s">
        <v>13610</v>
      </c>
      <c r="W5213" t="s">
        <v>18757</v>
      </c>
      <c r="X5213">
        <v>2</v>
      </c>
      <c r="Y5213" t="s">
        <v>25325</v>
      </c>
      <c r="Z5213" t="s">
        <v>32068</v>
      </c>
      <c r="AA5213">
        <v>0.69880968980944158</v>
      </c>
      <c r="AB5213" t="str">
        <f>HYPERLINK("Melting_Curves/meltCurve_Q96LZ7_RMDN2.pdf", "Melting_Curves/meltCurve_Q96LZ7_RMDN2.pdf")</f>
        <v>Melting_Curves/meltCurve_Q96LZ7_RMDN2.pdf</v>
      </c>
    </row>
    <row r="5214" spans="1:28" x14ac:dyDescent="0.25">
      <c r="A5214" t="s">
        <v>5218</v>
      </c>
      <c r="B5214">
        <v>0.995954080203443</v>
      </c>
      <c r="C5214">
        <v>0.96481221220657098</v>
      </c>
      <c r="D5214">
        <v>1.07333576553938</v>
      </c>
      <c r="E5214">
        <v>0.865462149455134</v>
      </c>
      <c r="F5214">
        <v>0.94381911618595904</v>
      </c>
      <c r="G5214">
        <v>0.73803431481588799</v>
      </c>
      <c r="H5214">
        <v>0.64446815849797601</v>
      </c>
      <c r="I5214">
        <v>0.72110881862679899</v>
      </c>
      <c r="J5214">
        <v>0.58042987278158298</v>
      </c>
      <c r="K5214">
        <v>0.34513178202707301</v>
      </c>
      <c r="L5214">
        <v>520.47813745575297</v>
      </c>
      <c r="M5214">
        <v>7.6908389722128101</v>
      </c>
      <c r="N5214">
        <v>67.675079283060398</v>
      </c>
      <c r="O5214">
        <v>63.555473941492501</v>
      </c>
      <c r="P5214">
        <v>-3.02920905866788E-2</v>
      </c>
      <c r="Q5214">
        <v>0</v>
      </c>
      <c r="R5214">
        <v>0.88774919195608204</v>
      </c>
      <c r="S5214" t="s">
        <v>12020</v>
      </c>
      <c r="T5214" t="s">
        <v>13610</v>
      </c>
      <c r="U5214" t="s">
        <v>13610</v>
      </c>
      <c r="V5214" t="s">
        <v>13610</v>
      </c>
      <c r="W5214" t="s">
        <v>18758</v>
      </c>
      <c r="X5214">
        <v>10</v>
      </c>
      <c r="Y5214" t="s">
        <v>25326</v>
      </c>
      <c r="Z5214" t="s">
        <v>32069</v>
      </c>
      <c r="AA5214">
        <v>0.80082653366107714</v>
      </c>
      <c r="AB5214" t="str">
        <f>HYPERLINK("Melting_Curves/meltCurve_Q96M27_PRRC1.pdf", "Melting_Curves/meltCurve_Q96M27_PRRC1.pdf")</f>
        <v>Melting_Curves/meltCurve_Q96M27_PRRC1.pdf</v>
      </c>
    </row>
    <row r="5215" spans="1:28" x14ac:dyDescent="0.25">
      <c r="A5215" t="s">
        <v>5219</v>
      </c>
      <c r="B5215">
        <v>0.995954080203443</v>
      </c>
      <c r="C5215">
        <v>0.98117174847195199</v>
      </c>
      <c r="D5215">
        <v>0.89210286789903104</v>
      </c>
      <c r="E5215">
        <v>0.80090952499549495</v>
      </c>
      <c r="F5215">
        <v>0.54934849300687005</v>
      </c>
      <c r="G5215">
        <v>0.203300033251438</v>
      </c>
      <c r="H5215">
        <v>0.114238101306323</v>
      </c>
      <c r="I5215">
        <v>0.10472143073632099</v>
      </c>
      <c r="J5215">
        <v>0.110699814194885</v>
      </c>
      <c r="K5215">
        <v>0.11127645906393099</v>
      </c>
      <c r="L5215">
        <v>1180.3560518199099</v>
      </c>
      <c r="M5215">
        <v>22.365857451184599</v>
      </c>
      <c r="N5215">
        <v>53.241056262193297</v>
      </c>
      <c r="O5215">
        <v>52.358442393871101</v>
      </c>
      <c r="P5215">
        <v>-9.7298003582713996E-2</v>
      </c>
      <c r="Q5215">
        <v>8.8921063921235999E-2</v>
      </c>
      <c r="R5215">
        <v>0.99405726836973496</v>
      </c>
      <c r="S5215" t="s">
        <v>12021</v>
      </c>
      <c r="T5215" t="s">
        <v>13610</v>
      </c>
      <c r="U5215" t="s">
        <v>13610</v>
      </c>
      <c r="V5215" t="s">
        <v>13610</v>
      </c>
      <c r="W5215" t="s">
        <v>18759</v>
      </c>
      <c r="X5215">
        <v>18</v>
      </c>
      <c r="Y5215" t="s">
        <v>25327</v>
      </c>
      <c r="Z5215" t="s">
        <v>32070</v>
      </c>
      <c r="AA5215">
        <v>0.48718135010104979</v>
      </c>
      <c r="AB5215" t="str">
        <f>HYPERLINK("Melting_Curves/meltCurve_Q96ME1_4_FBXL18.pdf", "Melting_Curves/meltCurve_Q96ME1_4_FBXL18.pdf")</f>
        <v>Melting_Curves/meltCurve_Q96ME1_4_FBXL18.pdf</v>
      </c>
    </row>
    <row r="5216" spans="1:28" x14ac:dyDescent="0.25">
      <c r="A5216" t="s">
        <v>5220</v>
      </c>
      <c r="B5216">
        <v>0.995954080203443</v>
      </c>
      <c r="C5216">
        <v>1.0315386026294999</v>
      </c>
      <c r="D5216">
        <v>0.97262772247786</v>
      </c>
      <c r="E5216">
        <v>0.91895227645224997</v>
      </c>
      <c r="F5216">
        <v>0.88975278516447098</v>
      </c>
      <c r="G5216">
        <v>0.67978112115704004</v>
      </c>
      <c r="H5216">
        <v>0.630896316278861</v>
      </c>
      <c r="I5216">
        <v>0.75638209037752702</v>
      </c>
      <c r="J5216">
        <v>0.88703903609188905</v>
      </c>
      <c r="K5216">
        <v>0.89828976485349599</v>
      </c>
      <c r="L5216">
        <v>1806.3488933552001</v>
      </c>
      <c r="M5216">
        <v>34.9187053217602</v>
      </c>
      <c r="O5216">
        <v>51.5613440266455</v>
      </c>
      <c r="P5216">
        <v>-3.8169999152710597E-2</v>
      </c>
      <c r="Q5216">
        <v>0.77455184974582103</v>
      </c>
      <c r="R5216">
        <v>0.60234399881406797</v>
      </c>
      <c r="S5216" t="s">
        <v>12022</v>
      </c>
      <c r="T5216" t="s">
        <v>13610</v>
      </c>
      <c r="U5216" t="s">
        <v>13610</v>
      </c>
      <c r="V5216" t="s">
        <v>13610</v>
      </c>
      <c r="W5216" t="s">
        <v>18760</v>
      </c>
      <c r="X5216">
        <v>9</v>
      </c>
      <c r="Y5216" t="s">
        <v>25328</v>
      </c>
      <c r="Z5216" t="s">
        <v>32071</v>
      </c>
      <c r="AA5216">
        <v>0.86376187799887139</v>
      </c>
      <c r="AB5216" t="str">
        <f>HYPERLINK("Melting_Curves/meltCurve_Q96ME7_2_ZNF512.pdf", "Melting_Curves/meltCurve_Q96ME7_2_ZNF512.pdf")</f>
        <v>Melting_Curves/meltCurve_Q96ME7_2_ZNF512.pdf</v>
      </c>
    </row>
    <row r="5217" spans="1:28" x14ac:dyDescent="0.25">
      <c r="A5217" t="s">
        <v>5221</v>
      </c>
      <c r="B5217">
        <v>0.995954080203443</v>
      </c>
      <c r="C5217">
        <v>0.789504979156469</v>
      </c>
      <c r="D5217">
        <v>0.69907082688121702</v>
      </c>
      <c r="E5217">
        <v>0.54638667580376898</v>
      </c>
      <c r="F5217">
        <v>0.231671280495726</v>
      </c>
      <c r="G5217">
        <v>0.14692768442606899</v>
      </c>
      <c r="H5217">
        <v>8.4185512397593101E-2</v>
      </c>
      <c r="I5217">
        <v>6.4860143272685397E-2</v>
      </c>
      <c r="J5217">
        <v>8.5360938812145196E-2</v>
      </c>
      <c r="K5217">
        <v>6.49292577828358E-2</v>
      </c>
      <c r="L5217">
        <v>626.77038841272304</v>
      </c>
      <c r="M5217">
        <v>12.793342644356599</v>
      </c>
      <c r="N5217">
        <v>49.212512190006898</v>
      </c>
      <c r="O5217">
        <v>47.841171193668998</v>
      </c>
      <c r="P5217">
        <v>-6.5002480447048094E-2</v>
      </c>
      <c r="Q5217">
        <v>2.7866197127599399E-2</v>
      </c>
      <c r="R5217">
        <v>0.97983639538281997</v>
      </c>
      <c r="S5217" t="s">
        <v>12023</v>
      </c>
      <c r="T5217" t="s">
        <v>13610</v>
      </c>
      <c r="U5217" t="s">
        <v>13610</v>
      </c>
      <c r="V5217" t="s">
        <v>13610</v>
      </c>
      <c r="W5217" t="s">
        <v>18761</v>
      </c>
      <c r="X5217">
        <v>8</v>
      </c>
      <c r="Y5217" t="s">
        <v>25329</v>
      </c>
      <c r="Z5217" t="s">
        <v>32072</v>
      </c>
      <c r="AA5217">
        <v>0.3512753237297489</v>
      </c>
      <c r="AB5217" t="str">
        <f>HYPERLINK("Melting_Curves/meltCurve_Q96MG7_NDNL2.pdf", "Melting_Curves/meltCurve_Q96MG7_NDNL2.pdf")</f>
        <v>Melting_Curves/meltCurve_Q96MG7_NDNL2.pdf</v>
      </c>
    </row>
    <row r="5218" spans="1:28" x14ac:dyDescent="0.25">
      <c r="A5218" t="s">
        <v>5222</v>
      </c>
      <c r="B5218">
        <v>0.995954080203443</v>
      </c>
      <c r="C5218">
        <v>1.12444233363306</v>
      </c>
      <c r="D5218">
        <v>1.24024897029097</v>
      </c>
      <c r="E5218">
        <v>1.1256881527534199</v>
      </c>
      <c r="F5218">
        <v>1.09977332392979</v>
      </c>
      <c r="G5218">
        <v>0.87495203404477395</v>
      </c>
      <c r="H5218">
        <v>0.74420364076394996</v>
      </c>
      <c r="I5218">
        <v>0.817654032375977</v>
      </c>
      <c r="J5218">
        <v>1.1132370020178299</v>
      </c>
      <c r="K5218">
        <v>1.00696523848405</v>
      </c>
      <c r="S5218" t="s">
        <v>12024</v>
      </c>
      <c r="T5218" t="s">
        <v>13610</v>
      </c>
      <c r="U5218" t="s">
        <v>13611</v>
      </c>
      <c r="V5218" t="s">
        <v>13610</v>
      </c>
      <c r="W5218" t="s">
        <v>18762</v>
      </c>
      <c r="X5218">
        <v>14</v>
      </c>
      <c r="Y5218" t="s">
        <v>25330</v>
      </c>
      <c r="Z5218" t="s">
        <v>32073</v>
      </c>
      <c r="AB5218" t="str">
        <f>HYPERLINK("Melting_Curves/meltCurve_Q96MH2_HEXIM2.pdf", "Melting_Curves/meltCurve_Q96MH2_HEXIM2.pdf")</f>
        <v>Melting_Curves/meltCurve_Q96MH2_HEXIM2.pdf</v>
      </c>
    </row>
    <row r="5219" spans="1:28" x14ac:dyDescent="0.25">
      <c r="A5219" t="s">
        <v>5223</v>
      </c>
      <c r="B5219">
        <v>0.995954080203443</v>
      </c>
      <c r="C5219">
        <v>1.0818107528599501</v>
      </c>
      <c r="D5219">
        <v>1.0516870375637899</v>
      </c>
      <c r="E5219">
        <v>0.95327549285704805</v>
      </c>
      <c r="F5219">
        <v>1.05956063190131</v>
      </c>
      <c r="G5219">
        <v>0.79189668090440501</v>
      </c>
      <c r="H5219">
        <v>0.68767222289311203</v>
      </c>
      <c r="I5219">
        <v>0.871062166545989</v>
      </c>
      <c r="J5219">
        <v>1.0161314296625299</v>
      </c>
      <c r="K5219">
        <v>0.98958405601668598</v>
      </c>
      <c r="L5219">
        <v>3368.8938682093799</v>
      </c>
      <c r="M5219">
        <v>61.492873559761399</v>
      </c>
      <c r="O5219">
        <v>54.727259791848702</v>
      </c>
      <c r="P5219">
        <v>-3.5866990921497602E-2</v>
      </c>
      <c r="Q5219">
        <v>0.87231682073664896</v>
      </c>
      <c r="R5219">
        <v>0.364711805614366</v>
      </c>
      <c r="S5219" t="s">
        <v>12025</v>
      </c>
      <c r="T5219" t="s">
        <v>13610</v>
      </c>
      <c r="U5219" t="s">
        <v>13610</v>
      </c>
      <c r="V5219" t="s">
        <v>13610</v>
      </c>
      <c r="W5219" t="s">
        <v>18763</v>
      </c>
      <c r="X5219">
        <v>1</v>
      </c>
      <c r="Z5219" t="s">
        <v>32074</v>
      </c>
      <c r="AA5219">
        <v>0.93544741840231049</v>
      </c>
      <c r="AB5219" t="str">
        <f>HYPERLINK("Melting_Curves/meltCurve_Q96MT0_.pdf", "Melting_Curves/meltCurve_Q96MT0_.pdf")</f>
        <v>Melting_Curves/meltCurve_Q96MT0_.pdf</v>
      </c>
    </row>
    <row r="5220" spans="1:28" x14ac:dyDescent="0.25">
      <c r="A5220" t="s">
        <v>5224</v>
      </c>
      <c r="B5220">
        <v>0.995954080203443</v>
      </c>
      <c r="C5220">
        <v>0.98811820851724197</v>
      </c>
      <c r="D5220">
        <v>1.0097627932089099</v>
      </c>
      <c r="E5220">
        <v>0.79535035691664902</v>
      </c>
      <c r="F5220">
        <v>0.70585699530328805</v>
      </c>
      <c r="G5220">
        <v>0.58901745819706497</v>
      </c>
      <c r="H5220">
        <v>0.587761604571995</v>
      </c>
      <c r="I5220">
        <v>0.737061116685087</v>
      </c>
      <c r="J5220">
        <v>0.81802824155053999</v>
      </c>
      <c r="K5220">
        <v>0.87034727354722297</v>
      </c>
      <c r="L5220">
        <v>12451.344447187599</v>
      </c>
      <c r="M5220">
        <v>250</v>
      </c>
      <c r="O5220">
        <v>49.802190515232397</v>
      </c>
      <c r="P5220">
        <v>-0.35388490564771202</v>
      </c>
      <c r="Q5220">
        <v>0.71801210412801997</v>
      </c>
      <c r="R5220">
        <v>0.69901248648097103</v>
      </c>
      <c r="S5220" t="s">
        <v>12026</v>
      </c>
      <c r="T5220" t="s">
        <v>13610</v>
      </c>
      <c r="U5220" t="s">
        <v>13610</v>
      </c>
      <c r="V5220" t="s">
        <v>13610</v>
      </c>
      <c r="W5220" t="s">
        <v>18764</v>
      </c>
      <c r="X5220">
        <v>9</v>
      </c>
      <c r="Y5220" t="s">
        <v>25331</v>
      </c>
      <c r="Z5220" t="s">
        <v>32075</v>
      </c>
      <c r="AA5220">
        <v>0.81020334706026409</v>
      </c>
      <c r="AB5220" t="str">
        <f>HYPERLINK("Melting_Curves/meltCurve_Q96MU7_YTHDC1.pdf", "Melting_Curves/meltCurve_Q96MU7_YTHDC1.pdf")</f>
        <v>Melting_Curves/meltCurve_Q96MU7_YTHDC1.pdf</v>
      </c>
    </row>
    <row r="5221" spans="1:28" x14ac:dyDescent="0.25">
      <c r="A5221" t="s">
        <v>5225</v>
      </c>
      <c r="B5221">
        <v>0.995954080203443</v>
      </c>
      <c r="C5221">
        <v>1.41065302013341</v>
      </c>
      <c r="D5221">
        <v>1.4317580785073001</v>
      </c>
      <c r="E5221">
        <v>1.36924175007588</v>
      </c>
      <c r="F5221">
        <v>1.2216875796509901</v>
      </c>
      <c r="G5221">
        <v>1.0223190369009101</v>
      </c>
      <c r="H5221">
        <v>0.98428274141104299</v>
      </c>
      <c r="I5221">
        <v>1.1663308425872401</v>
      </c>
      <c r="J5221">
        <v>1.2792897065387201</v>
      </c>
      <c r="K5221">
        <v>1.30042462818983</v>
      </c>
      <c r="L5221">
        <v>10275.352365963699</v>
      </c>
      <c r="M5221">
        <v>250</v>
      </c>
      <c r="O5221">
        <v>41.098798177792901</v>
      </c>
      <c r="P5221">
        <v>0.36936503504766099</v>
      </c>
      <c r="Q5221">
        <v>1.2428872331074201</v>
      </c>
      <c r="R5221">
        <v>0.21007506269680601</v>
      </c>
      <c r="S5221" t="s">
        <v>12027</v>
      </c>
      <c r="T5221" t="s">
        <v>13610</v>
      </c>
      <c r="U5221" t="s">
        <v>13610</v>
      </c>
      <c r="V5221" t="s">
        <v>13610</v>
      </c>
      <c r="W5221" t="s">
        <v>18765</v>
      </c>
      <c r="X5221">
        <v>8</v>
      </c>
      <c r="Y5221" t="s">
        <v>25332</v>
      </c>
      <c r="Z5221" t="s">
        <v>32076</v>
      </c>
      <c r="AA5221">
        <v>1.233951155869804</v>
      </c>
      <c r="AB5221" t="str">
        <f>HYPERLINK("Melting_Curves/meltCurve_Q96MW1_CCDC43.pdf", "Melting_Curves/meltCurve_Q96MW1_CCDC43.pdf")</f>
        <v>Melting_Curves/meltCurve_Q96MW1_CCDC43.pdf</v>
      </c>
    </row>
    <row r="5222" spans="1:28" x14ac:dyDescent="0.25">
      <c r="A5222" t="s">
        <v>5226</v>
      </c>
      <c r="B5222">
        <v>0.995954080203443</v>
      </c>
      <c r="C5222">
        <v>0.78392997795053398</v>
      </c>
      <c r="D5222">
        <v>0.53941724882902198</v>
      </c>
      <c r="E5222">
        <v>0.434700588381497</v>
      </c>
      <c r="F5222">
        <v>0.32247065462194002</v>
      </c>
      <c r="G5222">
        <v>0.25769062598715298</v>
      </c>
      <c r="H5222">
        <v>0.19562521256677801</v>
      </c>
      <c r="I5222">
        <v>0.20144114369024099</v>
      </c>
      <c r="J5222">
        <v>0.159091494346215</v>
      </c>
      <c r="K5222">
        <v>0.192187603645359</v>
      </c>
      <c r="L5222">
        <v>641.68893234918903</v>
      </c>
      <c r="M5222">
        <v>13.8770973188211</v>
      </c>
      <c r="N5222">
        <v>47.797441436467999</v>
      </c>
      <c r="O5222">
        <v>45.3123693174539</v>
      </c>
      <c r="P5222">
        <v>-6.2652958272584103E-2</v>
      </c>
      <c r="Q5222">
        <v>0.18179875735089401</v>
      </c>
      <c r="R5222">
        <v>0.97989526902385604</v>
      </c>
      <c r="S5222" t="s">
        <v>12028</v>
      </c>
      <c r="T5222" t="s">
        <v>13610</v>
      </c>
      <c r="U5222" t="s">
        <v>13610</v>
      </c>
      <c r="V5222" t="s">
        <v>13610</v>
      </c>
      <c r="W5222" t="s">
        <v>18766</v>
      </c>
      <c r="X5222">
        <v>7</v>
      </c>
      <c r="Y5222" t="s">
        <v>25333</v>
      </c>
      <c r="Z5222" t="s">
        <v>32077</v>
      </c>
      <c r="AA5222">
        <v>0.37951951261240269</v>
      </c>
      <c r="AB5222" t="str">
        <f>HYPERLINK("Melting_Curves/meltCurve_Q96MW5_COG8.pdf", "Melting_Curves/meltCurve_Q96MW5_COG8.pdf")</f>
        <v>Melting_Curves/meltCurve_Q96MW5_COG8.pdf</v>
      </c>
    </row>
    <row r="5223" spans="1:28" x14ac:dyDescent="0.25">
      <c r="A5223" t="s">
        <v>5227</v>
      </c>
      <c r="B5223">
        <v>0.995954080203443</v>
      </c>
      <c r="C5223">
        <v>0.92038490187981903</v>
      </c>
      <c r="D5223">
        <v>1.00799215209662</v>
      </c>
      <c r="E5223">
        <v>0.88103647423375997</v>
      </c>
      <c r="F5223">
        <v>0.93740078949247996</v>
      </c>
      <c r="G5223">
        <v>0.664626911749849</v>
      </c>
      <c r="H5223">
        <v>0.57627903528846103</v>
      </c>
      <c r="I5223">
        <v>0.60159618810375004</v>
      </c>
      <c r="J5223">
        <v>0.70864026184411</v>
      </c>
      <c r="K5223">
        <v>0.67568654666251404</v>
      </c>
      <c r="L5223">
        <v>2727.09109942334</v>
      </c>
      <c r="M5223">
        <v>50.136382528875899</v>
      </c>
      <c r="O5223">
        <v>54.307130748563303</v>
      </c>
      <c r="P5223">
        <v>-8.3348162462595798E-2</v>
      </c>
      <c r="Q5223">
        <v>0.63887338670992999</v>
      </c>
      <c r="R5223">
        <v>0.87537921167778099</v>
      </c>
      <c r="S5223" t="s">
        <v>12029</v>
      </c>
      <c r="T5223" t="s">
        <v>13610</v>
      </c>
      <c r="U5223" t="s">
        <v>13610</v>
      </c>
      <c r="V5223" t="s">
        <v>13610</v>
      </c>
      <c r="W5223" t="s">
        <v>18767</v>
      </c>
      <c r="X5223">
        <v>3</v>
      </c>
      <c r="Y5223" t="s">
        <v>25334</v>
      </c>
      <c r="Z5223" t="s">
        <v>32078</v>
      </c>
      <c r="AA5223">
        <v>0.81299678825704758</v>
      </c>
      <c r="AB5223" t="str">
        <f>HYPERLINK("Melting_Curves/meltCurve_Q96MX3_ZNF48.pdf", "Melting_Curves/meltCurve_Q96MX3_ZNF48.pdf")</f>
        <v>Melting_Curves/meltCurve_Q96MX3_ZNF48.pdf</v>
      </c>
    </row>
    <row r="5224" spans="1:28" x14ac:dyDescent="0.25">
      <c r="A5224" t="s">
        <v>5228</v>
      </c>
      <c r="B5224">
        <v>0.995954080203443</v>
      </c>
      <c r="C5224">
        <v>0.86133937705022201</v>
      </c>
      <c r="D5224">
        <v>0.70408612957850503</v>
      </c>
      <c r="E5224">
        <v>0.55053047449535197</v>
      </c>
      <c r="F5224">
        <v>0.30473584079641503</v>
      </c>
      <c r="G5224">
        <v>0.144567430772329</v>
      </c>
      <c r="H5224">
        <v>7.0773269287913207E-2</v>
      </c>
      <c r="I5224">
        <v>6.0672609686843702E-2</v>
      </c>
      <c r="J5224">
        <v>6.9875555246985299E-2</v>
      </c>
      <c r="K5224">
        <v>6.8400110620220694E-2</v>
      </c>
      <c r="L5224">
        <v>650.42421004927496</v>
      </c>
      <c r="M5224">
        <v>13.1094116511482</v>
      </c>
      <c r="N5224">
        <v>49.775162860295801</v>
      </c>
      <c r="O5224">
        <v>48.503165910508102</v>
      </c>
      <c r="P5224">
        <v>-6.6186218649888801E-2</v>
      </c>
      <c r="Q5224">
        <v>2.0645364978282899E-2</v>
      </c>
      <c r="R5224">
        <v>0.99122630998067296</v>
      </c>
      <c r="S5224" t="s">
        <v>12030</v>
      </c>
      <c r="T5224" t="s">
        <v>13610</v>
      </c>
      <c r="U5224" t="s">
        <v>13610</v>
      </c>
      <c r="V5224" t="s">
        <v>13610</v>
      </c>
      <c r="W5224" t="s">
        <v>18768</v>
      </c>
      <c r="X5224">
        <v>14</v>
      </c>
      <c r="Y5224" t="s">
        <v>25335</v>
      </c>
      <c r="Z5224" t="s">
        <v>32079</v>
      </c>
      <c r="AA5224">
        <v>0.36449781739634352</v>
      </c>
      <c r="AB5224" t="str">
        <f>HYPERLINK("Melting_Curves/meltCurve_Q96MX6_WDR92.pdf", "Melting_Curves/meltCurve_Q96MX6_WDR92.pdf")</f>
        <v>Melting_Curves/meltCurve_Q96MX6_WDR92.pdf</v>
      </c>
    </row>
    <row r="5225" spans="1:28" x14ac:dyDescent="0.25">
      <c r="A5225" t="s">
        <v>5229</v>
      </c>
      <c r="B5225">
        <v>0.995954080203443</v>
      </c>
      <c r="C5225">
        <v>0.93877247885444604</v>
      </c>
      <c r="D5225">
        <v>0.82384424513410104</v>
      </c>
      <c r="E5225">
        <v>0.75776301409091695</v>
      </c>
      <c r="F5225">
        <v>0.61409907210054604</v>
      </c>
      <c r="G5225">
        <v>0.45177004303465101</v>
      </c>
      <c r="H5225">
        <v>0.37123635566622398</v>
      </c>
      <c r="I5225">
        <v>0.43098551729338502</v>
      </c>
      <c r="J5225">
        <v>0.47462750033778001</v>
      </c>
      <c r="K5225">
        <v>0.51904588484963299</v>
      </c>
      <c r="L5225">
        <v>771.619221830377</v>
      </c>
      <c r="M5225">
        <v>15.519255162706299</v>
      </c>
      <c r="N5225">
        <v>57.038410198286599</v>
      </c>
      <c r="O5225">
        <v>48.916518156017901</v>
      </c>
      <c r="P5225">
        <v>-4.5076030110679399E-2</v>
      </c>
      <c r="Q5225">
        <v>0.43173367624417303</v>
      </c>
      <c r="R5225">
        <v>0.94523492183428204</v>
      </c>
      <c r="S5225" t="s">
        <v>12031</v>
      </c>
      <c r="T5225" t="s">
        <v>13610</v>
      </c>
      <c r="U5225" t="s">
        <v>13610</v>
      </c>
      <c r="V5225" t="s">
        <v>13610</v>
      </c>
      <c r="W5225" t="s">
        <v>18769</v>
      </c>
      <c r="X5225">
        <v>7</v>
      </c>
      <c r="Y5225" t="s">
        <v>25336</v>
      </c>
      <c r="Z5225" t="s">
        <v>32080</v>
      </c>
      <c r="AA5225">
        <v>0.62871020679077427</v>
      </c>
      <c r="AB5225" t="str">
        <f>HYPERLINK("Melting_Curves/meltCurve_Q96MY1_C20orf112.pdf", "Melting_Curves/meltCurve_Q96MY1_C20orf112.pdf")</f>
        <v>Melting_Curves/meltCurve_Q96MY1_C20orf112.pdf</v>
      </c>
    </row>
    <row r="5226" spans="1:28" x14ac:dyDescent="0.25">
      <c r="A5226" t="s">
        <v>5230</v>
      </c>
      <c r="B5226">
        <v>0.995954080203443</v>
      </c>
      <c r="C5226">
        <v>0.99042726253831503</v>
      </c>
      <c r="D5226">
        <v>1.1907989419527301</v>
      </c>
      <c r="E5226">
        <v>0.91513016920943702</v>
      </c>
      <c r="F5226">
        <v>1.26779417831466</v>
      </c>
      <c r="G5226">
        <v>1.2331637110814</v>
      </c>
      <c r="H5226">
        <v>1.214854545226</v>
      </c>
      <c r="I5226">
        <v>1.74264507226909</v>
      </c>
      <c r="J5226">
        <v>1.4954292381925101</v>
      </c>
      <c r="K5226">
        <v>1.8711722459133699</v>
      </c>
      <c r="L5226">
        <v>1158.06527887999</v>
      </c>
      <c r="M5226">
        <v>20.727726272418401</v>
      </c>
      <c r="O5226">
        <v>55.3581152939609</v>
      </c>
      <c r="P5226">
        <v>4.6805042812460798E-2</v>
      </c>
      <c r="Q5226">
        <v>1.5</v>
      </c>
      <c r="R5226">
        <v>0.63097131903419401</v>
      </c>
      <c r="S5226" t="s">
        <v>12032</v>
      </c>
      <c r="T5226" t="s">
        <v>13610</v>
      </c>
      <c r="U5226" t="s">
        <v>13610</v>
      </c>
      <c r="V5226" t="s">
        <v>13610</v>
      </c>
      <c r="W5226" t="s">
        <v>18770</v>
      </c>
      <c r="X5226">
        <v>2</v>
      </c>
      <c r="Y5226" t="s">
        <v>25337</v>
      </c>
      <c r="Z5226" t="s">
        <v>32081</v>
      </c>
      <c r="AA5226">
        <v>1.2293373220374899</v>
      </c>
      <c r="AB5226" t="str">
        <f>HYPERLINK("Melting_Curves/meltCurve_Q96N06_C16orf55.pdf", "Melting_Curves/meltCurve_Q96N06_C16orf55.pdf")</f>
        <v>Melting_Curves/meltCurve_Q96N06_C16orf55.pdf</v>
      </c>
    </row>
    <row r="5227" spans="1:28" x14ac:dyDescent="0.25">
      <c r="A5227" t="s">
        <v>5231</v>
      </c>
      <c r="B5227">
        <v>0.995954080203443</v>
      </c>
      <c r="C5227">
        <v>0.77984169192464103</v>
      </c>
      <c r="D5227">
        <v>0.62635541319969001</v>
      </c>
      <c r="E5227">
        <v>0.43267188652074401</v>
      </c>
      <c r="F5227">
        <v>0.137135902814675</v>
      </c>
      <c r="G5227">
        <v>8.0908676706702501E-2</v>
      </c>
      <c r="H5227">
        <v>4.21207914275828E-2</v>
      </c>
      <c r="I5227">
        <v>3.9683313113519497E-2</v>
      </c>
      <c r="J5227">
        <v>3.4850892121847901E-2</v>
      </c>
      <c r="K5227">
        <v>3.7683176813956602E-2</v>
      </c>
      <c r="L5227">
        <v>681.05689164872604</v>
      </c>
      <c r="M5227">
        <v>14.2617614314478</v>
      </c>
      <c r="N5227">
        <v>47.812534574371597</v>
      </c>
      <c r="O5227">
        <v>46.844591794034898</v>
      </c>
      <c r="P5227">
        <v>-7.5463293270884801E-2</v>
      </c>
      <c r="Q5227">
        <v>8.6464579871069498E-3</v>
      </c>
      <c r="R5227">
        <v>0.98473562987824304</v>
      </c>
      <c r="S5227" t="s">
        <v>12033</v>
      </c>
      <c r="T5227" t="s">
        <v>13610</v>
      </c>
      <c r="U5227" t="s">
        <v>13610</v>
      </c>
      <c r="V5227" t="s">
        <v>13610</v>
      </c>
      <c r="W5227" t="s">
        <v>18771</v>
      </c>
      <c r="X5227">
        <v>3</v>
      </c>
      <c r="Y5227" t="s">
        <v>25338</v>
      </c>
      <c r="Z5227" t="s">
        <v>32082</v>
      </c>
      <c r="AA5227">
        <v>0.29341187812363168</v>
      </c>
      <c r="AB5227" t="str">
        <f>HYPERLINK("Melting_Curves/meltCurve_Q96N11_2_C7orf26.pdf", "Melting_Curves/meltCurve_Q96N11_2_C7orf26.pdf")</f>
        <v>Melting_Curves/meltCurve_Q96N11_2_C7orf26.pdf</v>
      </c>
    </row>
    <row r="5228" spans="1:28" x14ac:dyDescent="0.25">
      <c r="A5228" t="s">
        <v>5232</v>
      </c>
      <c r="B5228">
        <v>0.995954080203443</v>
      </c>
      <c r="C5228">
        <v>1.0226228484262201</v>
      </c>
      <c r="D5228">
        <v>0.91066226129712702</v>
      </c>
      <c r="E5228">
        <v>0.79584610686889301</v>
      </c>
      <c r="F5228">
        <v>0.67519406150562</v>
      </c>
      <c r="G5228">
        <v>0.43478129480368199</v>
      </c>
      <c r="H5228">
        <v>0.33419005342695102</v>
      </c>
      <c r="I5228">
        <v>0.37132202939285303</v>
      </c>
      <c r="J5228">
        <v>0.42136010214520703</v>
      </c>
      <c r="K5228">
        <v>0.41713283590141897</v>
      </c>
      <c r="L5228">
        <v>1072.5451909824901</v>
      </c>
      <c r="M5228">
        <v>20.620195377217001</v>
      </c>
      <c r="N5228">
        <v>55.728235026621597</v>
      </c>
      <c r="O5228">
        <v>51.532530561626999</v>
      </c>
      <c r="P5228">
        <v>-6.2675621169879903E-2</v>
      </c>
      <c r="Q5228">
        <v>0.37348033300622901</v>
      </c>
      <c r="R5228">
        <v>0.97805744200164602</v>
      </c>
      <c r="S5228" t="s">
        <v>12034</v>
      </c>
      <c r="T5228" t="s">
        <v>13610</v>
      </c>
      <c r="U5228" t="s">
        <v>13610</v>
      </c>
      <c r="V5228" t="s">
        <v>13610</v>
      </c>
      <c r="W5228" t="s">
        <v>18772</v>
      </c>
      <c r="X5228">
        <v>11</v>
      </c>
      <c r="Y5228" t="s">
        <v>25339</v>
      </c>
      <c r="Z5228" t="s">
        <v>32083</v>
      </c>
      <c r="AA5228">
        <v>0.63259246359895216</v>
      </c>
      <c r="AB5228" t="str">
        <f>HYPERLINK("Melting_Curves/meltCurve_Q96N21_2_ENTHD2.pdf", "Melting_Curves/meltCurve_Q96N21_2_ENTHD2.pdf")</f>
        <v>Melting_Curves/meltCurve_Q96N21_2_ENTHD2.pdf</v>
      </c>
    </row>
    <row r="5229" spans="1:28" x14ac:dyDescent="0.25">
      <c r="A5229" t="s">
        <v>5233</v>
      </c>
      <c r="B5229">
        <v>0.995954080203443</v>
      </c>
      <c r="C5229">
        <v>0.92575256421951602</v>
      </c>
      <c r="D5229">
        <v>0.81507376260856002</v>
      </c>
      <c r="E5229">
        <v>0.89707425927439</v>
      </c>
      <c r="F5229">
        <v>0.40253365762390297</v>
      </c>
      <c r="G5229">
        <v>0.14730854361196999</v>
      </c>
      <c r="H5229">
        <v>0.101964056187326</v>
      </c>
      <c r="I5229">
        <v>9.7216516554819096E-2</v>
      </c>
      <c r="J5229">
        <v>0.12194944031331501</v>
      </c>
      <c r="K5229">
        <v>0.113183361561674</v>
      </c>
      <c r="L5229">
        <v>2258.3668593645498</v>
      </c>
      <c r="M5229">
        <v>43.292605074561898</v>
      </c>
      <c r="N5229">
        <v>52.468860145499399</v>
      </c>
      <c r="O5229">
        <v>52.054251795972</v>
      </c>
      <c r="P5229">
        <v>-0.18487950048108201</v>
      </c>
      <c r="Q5229">
        <v>0.110818166505138</v>
      </c>
      <c r="R5229">
        <v>0.97200825660900703</v>
      </c>
      <c r="S5229" t="s">
        <v>12035</v>
      </c>
      <c r="T5229" t="s">
        <v>13610</v>
      </c>
      <c r="U5229" t="s">
        <v>13610</v>
      </c>
      <c r="V5229" t="s">
        <v>13610</v>
      </c>
      <c r="W5229" t="s">
        <v>18773</v>
      </c>
      <c r="X5229">
        <v>4</v>
      </c>
      <c r="Y5229" t="s">
        <v>25340</v>
      </c>
      <c r="Z5229" t="s">
        <v>32084</v>
      </c>
      <c r="AA5229">
        <v>0.47412017889203939</v>
      </c>
      <c r="AB5229" t="str">
        <f>HYPERLINK("Melting_Curves/meltCurve_Q96N66_2_MBOAT7.pdf", "Melting_Curves/meltCurve_Q96N66_2_MBOAT7.pdf")</f>
        <v>Melting_Curves/meltCurve_Q96N66_2_MBOAT7.pdf</v>
      </c>
    </row>
    <row r="5230" spans="1:28" x14ac:dyDescent="0.25">
      <c r="A5230" t="s">
        <v>5234</v>
      </c>
      <c r="B5230">
        <v>0.995954080203443</v>
      </c>
      <c r="C5230">
        <v>0.67911725139902201</v>
      </c>
      <c r="D5230">
        <v>0.32671986910006001</v>
      </c>
      <c r="E5230">
        <v>0.26793607732770403</v>
      </c>
      <c r="F5230">
        <v>0.142599051079669</v>
      </c>
      <c r="G5230">
        <v>8.4996884637804401E-2</v>
      </c>
      <c r="H5230">
        <v>6.4184175037212299E-2</v>
      </c>
      <c r="I5230">
        <v>5.1297904776136903E-2</v>
      </c>
      <c r="J5230">
        <v>6.8169473149459994E-2</v>
      </c>
      <c r="K5230">
        <v>5.6616682472506202E-2</v>
      </c>
      <c r="L5230">
        <v>905.74068397634505</v>
      </c>
      <c r="M5230">
        <v>20.394907896637999</v>
      </c>
      <c r="N5230">
        <v>44.788556504744598</v>
      </c>
      <c r="O5230">
        <v>43.989814536456997</v>
      </c>
      <c r="P5230">
        <v>-0.10673659449199201</v>
      </c>
      <c r="Q5230">
        <v>7.9146830163007206E-2</v>
      </c>
      <c r="R5230">
        <v>0.97383302934747196</v>
      </c>
      <c r="S5230" t="s">
        <v>12036</v>
      </c>
      <c r="T5230" t="s">
        <v>13610</v>
      </c>
      <c r="U5230" t="s">
        <v>13610</v>
      </c>
      <c r="V5230" t="s">
        <v>13610</v>
      </c>
      <c r="W5230" t="s">
        <v>18774</v>
      </c>
      <c r="X5230">
        <v>16</v>
      </c>
      <c r="Y5230" t="s">
        <v>25341</v>
      </c>
      <c r="Z5230" t="s">
        <v>32085</v>
      </c>
      <c r="AA5230">
        <v>0.2305763476893691</v>
      </c>
      <c r="AB5230" t="str">
        <f>HYPERLINK("Melting_Curves/meltCurve_Q96N67_4_DOCK7.pdf", "Melting_Curves/meltCurve_Q96N67_4_DOCK7.pdf")</f>
        <v>Melting_Curves/meltCurve_Q96N67_4_DOCK7.pdf</v>
      </c>
    </row>
    <row r="5231" spans="1:28" x14ac:dyDescent="0.25">
      <c r="A5231" t="s">
        <v>5235</v>
      </c>
      <c r="B5231">
        <v>0.995954080203443</v>
      </c>
      <c r="C5231">
        <v>0.97157365658427097</v>
      </c>
      <c r="D5231">
        <v>0.91528483372202096</v>
      </c>
      <c r="E5231">
        <v>0.76290381174055999</v>
      </c>
      <c r="F5231">
        <v>0.60879570932889704</v>
      </c>
      <c r="G5231">
        <v>0.29124270476115</v>
      </c>
      <c r="H5231">
        <v>0.19623305870934299</v>
      </c>
      <c r="I5231">
        <v>0.215794324198295</v>
      </c>
      <c r="J5231">
        <v>0.192998881903231</v>
      </c>
      <c r="K5231">
        <v>0.21725600936284001</v>
      </c>
      <c r="L5231">
        <v>1018.25076641665</v>
      </c>
      <c r="M5231">
        <v>19.365579712830101</v>
      </c>
      <c r="N5231">
        <v>53.813230150828304</v>
      </c>
      <c r="O5231">
        <v>52.029370235740501</v>
      </c>
      <c r="P5231">
        <v>-7.6383731858471304E-2</v>
      </c>
      <c r="Q5231">
        <v>0.17915139039387201</v>
      </c>
      <c r="R5231">
        <v>0.99244412914628599</v>
      </c>
      <c r="S5231" t="s">
        <v>12037</v>
      </c>
      <c r="T5231" t="s">
        <v>13610</v>
      </c>
      <c r="U5231" t="s">
        <v>13610</v>
      </c>
      <c r="V5231" t="s">
        <v>13610</v>
      </c>
      <c r="W5231" t="s">
        <v>18775</v>
      </c>
      <c r="X5231">
        <v>15</v>
      </c>
      <c r="Y5231" t="s">
        <v>25342</v>
      </c>
      <c r="Z5231" t="s">
        <v>32086</v>
      </c>
      <c r="AA5231">
        <v>0.53534715987613479</v>
      </c>
      <c r="AB5231" t="str">
        <f>HYPERLINK("Melting_Curves/meltCurve_Q96NA2_RILP.pdf", "Melting_Curves/meltCurve_Q96NA2_RILP.pdf")</f>
        <v>Melting_Curves/meltCurve_Q96NA2_RILP.pdf</v>
      </c>
    </row>
    <row r="5232" spans="1:28" x14ac:dyDescent="0.25">
      <c r="A5232" t="s">
        <v>5236</v>
      </c>
      <c r="B5232">
        <v>0.995954080203443</v>
      </c>
      <c r="C5232">
        <v>1.2197797834270201</v>
      </c>
      <c r="D5232">
        <v>1.47900366952664</v>
      </c>
      <c r="E5232">
        <v>0.90282114590527995</v>
      </c>
      <c r="F5232">
        <v>0.48755523375006798</v>
      </c>
      <c r="G5232">
        <v>0.31766339611121303</v>
      </c>
      <c r="H5232">
        <v>0.22537896591100301</v>
      </c>
      <c r="I5232">
        <v>0.24458904406110901</v>
      </c>
      <c r="J5232">
        <v>0.26001070378178398</v>
      </c>
      <c r="K5232">
        <v>0.27116560323684302</v>
      </c>
      <c r="L5232">
        <v>2520.4209827170098</v>
      </c>
      <c r="M5232">
        <v>48.365479674957598</v>
      </c>
      <c r="N5232">
        <v>52.919306621002498</v>
      </c>
      <c r="O5232">
        <v>52.023124637399</v>
      </c>
      <c r="P5232">
        <v>-0.17177709834733301</v>
      </c>
      <c r="Q5232">
        <v>0.260929673076218</v>
      </c>
      <c r="R5232">
        <v>0.85656652157431201</v>
      </c>
      <c r="S5232" t="s">
        <v>12038</v>
      </c>
      <c r="T5232" t="s">
        <v>13610</v>
      </c>
      <c r="U5232" t="s">
        <v>13610</v>
      </c>
      <c r="V5232" t="s">
        <v>13610</v>
      </c>
      <c r="W5232" t="s">
        <v>18776</v>
      </c>
      <c r="X5232">
        <v>4</v>
      </c>
      <c r="Y5232" t="s">
        <v>25343</v>
      </c>
      <c r="Z5232" t="s">
        <v>32087</v>
      </c>
      <c r="AA5232">
        <v>0.56113269437781066</v>
      </c>
      <c r="AB5232" t="str">
        <f>HYPERLINK("Melting_Curves/meltCurve_Q96NB1_FOPNL.pdf", "Melting_Curves/meltCurve_Q96NB1_FOPNL.pdf")</f>
        <v>Melting_Curves/meltCurve_Q96NB1_FOPNL.pdf</v>
      </c>
    </row>
    <row r="5233" spans="1:28" x14ac:dyDescent="0.25">
      <c r="A5233" t="s">
        <v>5237</v>
      </c>
      <c r="B5233">
        <v>0.995954080203443</v>
      </c>
      <c r="C5233">
        <v>0.97743489604934497</v>
      </c>
      <c r="D5233">
        <v>0.948044286163505</v>
      </c>
      <c r="E5233">
        <v>0.89009970698143004</v>
      </c>
      <c r="F5233">
        <v>0.81002422819266395</v>
      </c>
      <c r="G5233">
        <v>0.59207821256497795</v>
      </c>
      <c r="H5233">
        <v>0.49180616159934798</v>
      </c>
      <c r="I5233">
        <v>0.56081561146508696</v>
      </c>
      <c r="J5233">
        <v>0.60721856705121302</v>
      </c>
      <c r="K5233">
        <v>0.66273678128247904</v>
      </c>
      <c r="L5233">
        <v>1489.9980717862099</v>
      </c>
      <c r="M5233">
        <v>28.287572873873</v>
      </c>
      <c r="O5233">
        <v>52.412105887045101</v>
      </c>
      <c r="P5233">
        <v>-5.72789876353327E-2</v>
      </c>
      <c r="Q5233">
        <v>0.57549023938784805</v>
      </c>
      <c r="R5233">
        <v>0.92906977128972701</v>
      </c>
      <c r="S5233" t="s">
        <v>12039</v>
      </c>
      <c r="T5233" t="s">
        <v>13610</v>
      </c>
      <c r="U5233" t="s">
        <v>13610</v>
      </c>
      <c r="V5233" t="s">
        <v>13610</v>
      </c>
      <c r="W5233" t="s">
        <v>18777</v>
      </c>
      <c r="X5233">
        <v>12</v>
      </c>
      <c r="Y5233" t="s">
        <v>25344</v>
      </c>
      <c r="Z5233" t="s">
        <v>32088</v>
      </c>
      <c r="AA5233">
        <v>0.75789505418259395</v>
      </c>
      <c r="AB5233" t="str">
        <f>HYPERLINK("Melting_Curves/meltCurve_Q96NB3_ZNF830.pdf", "Melting_Curves/meltCurve_Q96NB3_ZNF830.pdf")</f>
        <v>Melting_Curves/meltCurve_Q96NB3_ZNF830.pdf</v>
      </c>
    </row>
    <row r="5234" spans="1:28" x14ac:dyDescent="0.25">
      <c r="A5234" t="s">
        <v>5238</v>
      </c>
      <c r="B5234">
        <v>0.995954080203443</v>
      </c>
      <c r="C5234">
        <v>0.91170504420569898</v>
      </c>
      <c r="D5234">
        <v>1.08601821117286</v>
      </c>
      <c r="E5234">
        <v>0.91393024940693102</v>
      </c>
      <c r="F5234">
        <v>0.97983760283882904</v>
      </c>
      <c r="G5234">
        <v>0.78595568170018404</v>
      </c>
      <c r="H5234">
        <v>0.83155941082394702</v>
      </c>
      <c r="I5234">
        <v>1.17400756953371</v>
      </c>
      <c r="J5234">
        <v>1.1343335903137099</v>
      </c>
      <c r="K5234">
        <v>1.2790121146022799</v>
      </c>
      <c r="L5234">
        <v>15000</v>
      </c>
      <c r="M5234">
        <v>236.04450661582101</v>
      </c>
      <c r="O5234">
        <v>63.542776589427298</v>
      </c>
      <c r="P5234">
        <v>0.19195719401144801</v>
      </c>
      <c r="Q5234">
        <v>1.20669818881209</v>
      </c>
      <c r="R5234">
        <v>0.516104652318507</v>
      </c>
      <c r="S5234" t="s">
        <v>12040</v>
      </c>
      <c r="T5234" t="s">
        <v>13610</v>
      </c>
      <c r="U5234" t="s">
        <v>13610</v>
      </c>
      <c r="V5234" t="s">
        <v>13610</v>
      </c>
      <c r="W5234" t="s">
        <v>18778</v>
      </c>
      <c r="X5234">
        <v>13</v>
      </c>
      <c r="Y5234" t="s">
        <v>25345</v>
      </c>
      <c r="Z5234" t="s">
        <v>32089</v>
      </c>
      <c r="AA5234">
        <v>1.0444325939570069</v>
      </c>
      <c r="AB5234" t="str">
        <f>HYPERLINK("Melting_Curves/meltCurve_Q96NC0_ZMAT2.pdf", "Melting_Curves/meltCurve_Q96NC0_ZMAT2.pdf")</f>
        <v>Melting_Curves/meltCurve_Q96NC0_ZMAT2.pdf</v>
      </c>
    </row>
    <row r="5235" spans="1:28" x14ac:dyDescent="0.25">
      <c r="A5235" t="s">
        <v>5239</v>
      </c>
      <c r="B5235">
        <v>0.995954080203443</v>
      </c>
      <c r="C5235">
        <v>0.93949731916970503</v>
      </c>
      <c r="D5235">
        <v>0.87974187154433903</v>
      </c>
      <c r="E5235">
        <v>0.70921447774872104</v>
      </c>
      <c r="F5235">
        <v>0.61131432440336897</v>
      </c>
      <c r="G5235">
        <v>0.39480571411549598</v>
      </c>
      <c r="H5235">
        <v>0.37164977768038499</v>
      </c>
      <c r="I5235">
        <v>0.41790060431814002</v>
      </c>
      <c r="J5235">
        <v>0.48136508575472498</v>
      </c>
      <c r="K5235">
        <v>0.485061061806494</v>
      </c>
      <c r="L5235">
        <v>929.96457209799905</v>
      </c>
      <c r="M5235">
        <v>18.6880754986963</v>
      </c>
      <c r="N5235">
        <v>55.286975969292399</v>
      </c>
      <c r="O5235">
        <v>49.2031510363243</v>
      </c>
      <c r="P5235">
        <v>-5.4815524392023897E-2</v>
      </c>
      <c r="Q5235">
        <v>0.42273730531433601</v>
      </c>
      <c r="R5235">
        <v>0.95821180879099799</v>
      </c>
      <c r="S5235" t="s">
        <v>12041</v>
      </c>
      <c r="T5235" t="s">
        <v>13610</v>
      </c>
      <c r="U5235" t="s">
        <v>13610</v>
      </c>
      <c r="V5235" t="s">
        <v>13610</v>
      </c>
      <c r="W5235" t="s">
        <v>18779</v>
      </c>
      <c r="X5235">
        <v>4</v>
      </c>
      <c r="Y5235" t="s">
        <v>25346</v>
      </c>
      <c r="Z5235" t="s">
        <v>32090</v>
      </c>
      <c r="AA5235">
        <v>0.61977327108677227</v>
      </c>
      <c r="AB5235" t="str">
        <f>HYPERLINK("Melting_Curves/meltCurve_Q96NL8_C8orf37.pdf", "Melting_Curves/meltCurve_Q96NL8_C8orf37.pdf")</f>
        <v>Melting_Curves/meltCurve_Q96NL8_C8orf37.pdf</v>
      </c>
    </row>
    <row r="5236" spans="1:28" x14ac:dyDescent="0.25">
      <c r="A5236" t="s">
        <v>5240</v>
      </c>
      <c r="B5236">
        <v>0.995954080203443</v>
      </c>
      <c r="C5236">
        <v>0.78480418912028505</v>
      </c>
      <c r="D5236">
        <v>1.15449455189346</v>
      </c>
      <c r="E5236">
        <v>0.86680618606128002</v>
      </c>
      <c r="F5236">
        <v>1.2093213503579801</v>
      </c>
      <c r="G5236">
        <v>1.7272955024513801</v>
      </c>
      <c r="H5236">
        <v>2.1447651508850401</v>
      </c>
      <c r="I5236">
        <v>3.4165894840801099</v>
      </c>
      <c r="J5236">
        <v>3.2850687917779902</v>
      </c>
      <c r="K5236">
        <v>4.0490005437030101</v>
      </c>
      <c r="L5236">
        <v>13267.402471744699</v>
      </c>
      <c r="M5236">
        <v>250</v>
      </c>
      <c r="O5236">
        <v>53.066225968859399</v>
      </c>
      <c r="P5236">
        <v>0.58888693544549497</v>
      </c>
      <c r="Q5236">
        <v>1.5</v>
      </c>
      <c r="R5236">
        <v>-6.6300514491490298E-2</v>
      </c>
      <c r="S5236" t="s">
        <v>12042</v>
      </c>
      <c r="T5236" t="s">
        <v>13610</v>
      </c>
      <c r="U5236" t="s">
        <v>13610</v>
      </c>
      <c r="V5236" t="s">
        <v>13610</v>
      </c>
      <c r="W5236" t="s">
        <v>18780</v>
      </c>
      <c r="X5236">
        <v>3</v>
      </c>
      <c r="Y5236" t="s">
        <v>25347</v>
      </c>
      <c r="Z5236" t="s">
        <v>32091</v>
      </c>
      <c r="AA5236">
        <v>1.2821266003806511</v>
      </c>
      <c r="AB5236" t="str">
        <f>HYPERLINK("Melting_Curves/meltCurve_Q96NT1_NAP1L5.pdf", "Melting_Curves/meltCurve_Q96NT1_NAP1L5.pdf")</f>
        <v>Melting_Curves/meltCurve_Q96NT1_NAP1L5.pdf</v>
      </c>
    </row>
    <row r="5237" spans="1:28" x14ac:dyDescent="0.25">
      <c r="A5237" t="s">
        <v>5241</v>
      </c>
      <c r="B5237">
        <v>0.995954080203443</v>
      </c>
      <c r="C5237">
        <v>0.77184791058332203</v>
      </c>
      <c r="D5237">
        <v>0.71165594996468395</v>
      </c>
      <c r="E5237">
        <v>0.58567760093420995</v>
      </c>
      <c r="F5237">
        <v>0.50967910240452496</v>
      </c>
      <c r="G5237">
        <v>0.35532134670544302</v>
      </c>
      <c r="H5237">
        <v>0.22764277006769601</v>
      </c>
      <c r="I5237">
        <v>0.120966778749704</v>
      </c>
      <c r="J5237">
        <v>7.7092927389360993E-2</v>
      </c>
      <c r="K5237">
        <v>6.5195005731836495E-2</v>
      </c>
      <c r="L5237">
        <v>445.52080130605998</v>
      </c>
      <c r="M5237">
        <v>8.5943652596124291</v>
      </c>
      <c r="N5237">
        <v>51.838705063048899</v>
      </c>
      <c r="O5237">
        <v>49.261082783079601</v>
      </c>
      <c r="P5237">
        <v>-4.3654106320351001E-2</v>
      </c>
      <c r="Q5237">
        <v>0</v>
      </c>
      <c r="R5237">
        <v>0.975111514799194</v>
      </c>
      <c r="S5237" t="s">
        <v>12043</v>
      </c>
      <c r="T5237" t="s">
        <v>13610</v>
      </c>
      <c r="U5237" t="s">
        <v>13610</v>
      </c>
      <c r="V5237" t="s">
        <v>13610</v>
      </c>
      <c r="W5237" t="s">
        <v>18781</v>
      </c>
      <c r="X5237">
        <v>15</v>
      </c>
      <c r="Y5237" t="s">
        <v>25348</v>
      </c>
      <c r="Z5237" t="s">
        <v>32092</v>
      </c>
      <c r="AA5237">
        <v>0.43969037587658572</v>
      </c>
      <c r="AB5237" t="str">
        <f>HYPERLINK("Melting_Curves/meltCurve_Q96P11_2_NSUN5.pdf", "Melting_Curves/meltCurve_Q96P11_2_NSUN5.pdf")</f>
        <v>Melting_Curves/meltCurve_Q96P11_2_NSUN5.pdf</v>
      </c>
    </row>
    <row r="5238" spans="1:28" x14ac:dyDescent="0.25">
      <c r="A5238" t="s">
        <v>5242</v>
      </c>
      <c r="B5238">
        <v>0.995954080203443</v>
      </c>
      <c r="C5238">
        <v>0.95447609454114102</v>
      </c>
      <c r="D5238">
        <v>0.78346637907431704</v>
      </c>
      <c r="E5238">
        <v>0.407116174803627</v>
      </c>
      <c r="F5238">
        <v>0.21817815578695901</v>
      </c>
      <c r="G5238">
        <v>0.12658664484375101</v>
      </c>
      <c r="H5238">
        <v>9.1405563610524002E-2</v>
      </c>
      <c r="I5238">
        <v>8.81813088472512E-2</v>
      </c>
      <c r="J5238">
        <v>9.7976595731614102E-2</v>
      </c>
      <c r="K5238">
        <v>9.0383887950575795E-2</v>
      </c>
      <c r="L5238">
        <v>1042.12515085787</v>
      </c>
      <c r="M5238">
        <v>21.4652328702721</v>
      </c>
      <c r="N5238">
        <v>48.990341794710297</v>
      </c>
      <c r="O5238">
        <v>48.133980822835099</v>
      </c>
      <c r="P5238">
        <v>-0.101697189652339</v>
      </c>
      <c r="Q5238">
        <v>8.78330915772631E-2</v>
      </c>
      <c r="R5238">
        <v>0.999829794607769</v>
      </c>
      <c r="S5238" t="s">
        <v>12044</v>
      </c>
      <c r="T5238" t="s">
        <v>13610</v>
      </c>
      <c r="U5238" t="s">
        <v>13610</v>
      </c>
      <c r="V5238" t="s">
        <v>13610</v>
      </c>
      <c r="W5238" t="s">
        <v>18782</v>
      </c>
      <c r="X5238">
        <v>11</v>
      </c>
      <c r="Y5238" t="s">
        <v>25349</v>
      </c>
      <c r="Z5238" t="s">
        <v>32093</v>
      </c>
      <c r="AA5238">
        <v>0.35887147411632808</v>
      </c>
      <c r="AB5238" t="str">
        <f>HYPERLINK("Melting_Curves/meltCurve_Q96P16_RPRD1A.pdf", "Melting_Curves/meltCurve_Q96P16_RPRD1A.pdf")</f>
        <v>Melting_Curves/meltCurve_Q96P16_RPRD1A.pdf</v>
      </c>
    </row>
    <row r="5239" spans="1:28" x14ac:dyDescent="0.25">
      <c r="A5239" t="s">
        <v>5243</v>
      </c>
      <c r="B5239">
        <v>0.995954080203443</v>
      </c>
      <c r="C5239">
        <v>0.92024674223719105</v>
      </c>
      <c r="D5239">
        <v>0.83143123820861398</v>
      </c>
      <c r="E5239">
        <v>0.68820328822673604</v>
      </c>
      <c r="F5239">
        <v>0.51344246146444505</v>
      </c>
      <c r="G5239">
        <v>0.22047120342975199</v>
      </c>
      <c r="H5239">
        <v>0.123483335123171</v>
      </c>
      <c r="I5239">
        <v>0.11298111215100599</v>
      </c>
      <c r="J5239">
        <v>0.130228173245308</v>
      </c>
      <c r="K5239">
        <v>0.132503175844082</v>
      </c>
      <c r="L5239">
        <v>768.89330947031101</v>
      </c>
      <c r="M5239">
        <v>14.8235519435323</v>
      </c>
      <c r="N5239">
        <v>52.445507973702398</v>
      </c>
      <c r="O5239">
        <v>50.953177231034999</v>
      </c>
      <c r="P5239">
        <v>-6.7276446389690603E-2</v>
      </c>
      <c r="Q5239">
        <v>7.5097238483704101E-2</v>
      </c>
      <c r="R5239">
        <v>0.98903707678336905</v>
      </c>
      <c r="S5239" t="s">
        <v>12045</v>
      </c>
      <c r="T5239" t="s">
        <v>13610</v>
      </c>
      <c r="U5239" t="s">
        <v>13610</v>
      </c>
      <c r="V5239" t="s">
        <v>13610</v>
      </c>
      <c r="W5239" t="s">
        <v>18783</v>
      </c>
      <c r="X5239">
        <v>16</v>
      </c>
      <c r="Y5239" t="s">
        <v>25350</v>
      </c>
      <c r="Z5239" t="s">
        <v>32094</v>
      </c>
      <c r="AA5239">
        <v>0.46219412415774719</v>
      </c>
      <c r="AB5239" t="str">
        <f>HYPERLINK("Melting_Curves/meltCurve_Q96P47_AGAP3.pdf", "Melting_Curves/meltCurve_Q96P47_AGAP3.pdf")</f>
        <v>Melting_Curves/meltCurve_Q96P47_AGAP3.pdf</v>
      </c>
    </row>
    <row r="5240" spans="1:28" x14ac:dyDescent="0.25">
      <c r="A5240" t="s">
        <v>5244</v>
      </c>
      <c r="B5240">
        <v>0.995954080203443</v>
      </c>
      <c r="C5240">
        <v>0.97174847685848498</v>
      </c>
      <c r="D5240">
        <v>0.82443829682678804</v>
      </c>
      <c r="E5240">
        <v>0.42253104111318801</v>
      </c>
      <c r="F5240">
        <v>0.21656273243708199</v>
      </c>
      <c r="G5240">
        <v>0.122481861622649</v>
      </c>
      <c r="H5240">
        <v>9.3517870480515894E-2</v>
      </c>
      <c r="I5240">
        <v>8.0361099266562694E-2</v>
      </c>
      <c r="J5240">
        <v>9.2974443740696897E-2</v>
      </c>
      <c r="K5240">
        <v>8.6180061392350099E-2</v>
      </c>
      <c r="L5240">
        <v>1134.4196739652</v>
      </c>
      <c r="M5240">
        <v>23.217317237677499</v>
      </c>
      <c r="N5240">
        <v>49.2603683571351</v>
      </c>
      <c r="O5240">
        <v>48.502790814631901</v>
      </c>
      <c r="P5240">
        <v>-0.10940414096392199</v>
      </c>
      <c r="Q5240">
        <v>8.5801574094488506E-2</v>
      </c>
      <c r="R5240">
        <v>0.99985598613507898</v>
      </c>
      <c r="S5240" t="s">
        <v>12046</v>
      </c>
      <c r="T5240" t="s">
        <v>13610</v>
      </c>
      <c r="U5240" t="s">
        <v>13610</v>
      </c>
      <c r="V5240" t="s">
        <v>13610</v>
      </c>
      <c r="W5240" t="s">
        <v>18784</v>
      </c>
      <c r="X5240">
        <v>40</v>
      </c>
      <c r="Y5240" t="s">
        <v>25351</v>
      </c>
      <c r="Z5240" t="s">
        <v>32095</v>
      </c>
      <c r="AA5240">
        <v>0.36525582551493041</v>
      </c>
      <c r="AB5240" t="str">
        <f>HYPERLINK("Melting_Curves/meltCurve_Q96P48_ARAP1.pdf", "Melting_Curves/meltCurve_Q96P48_ARAP1.pdf")</f>
        <v>Melting_Curves/meltCurve_Q96P48_ARAP1.pdf</v>
      </c>
    </row>
    <row r="5241" spans="1:28" x14ac:dyDescent="0.25">
      <c r="A5241" t="s">
        <v>5245</v>
      </c>
      <c r="B5241">
        <v>0.995954080203443</v>
      </c>
      <c r="C5241">
        <v>1.0084042201300101</v>
      </c>
      <c r="D5241">
        <v>1.0019517971107199</v>
      </c>
      <c r="E5241">
        <v>0.92492330042508697</v>
      </c>
      <c r="F5241">
        <v>0.81066483648005305</v>
      </c>
      <c r="G5241">
        <v>0.54599604005079005</v>
      </c>
      <c r="H5241">
        <v>0.10906835539464201</v>
      </c>
      <c r="I5241">
        <v>9.5035028698011698E-2</v>
      </c>
      <c r="J5241">
        <v>9.7078865889206001E-2</v>
      </c>
      <c r="K5241">
        <v>9.0652080723745906E-2</v>
      </c>
      <c r="L5241">
        <v>1396.1601743818401</v>
      </c>
      <c r="M5241">
        <v>24.688232469924301</v>
      </c>
      <c r="N5241">
        <v>56.817628381809499</v>
      </c>
      <c r="O5241">
        <v>56.184523581158899</v>
      </c>
      <c r="P5241">
        <v>-0.103859812339704</v>
      </c>
      <c r="Q5241">
        <v>5.4572775894320698E-2</v>
      </c>
      <c r="R5241">
        <v>0.99085387352523602</v>
      </c>
      <c r="S5241" t="s">
        <v>12047</v>
      </c>
      <c r="T5241" t="s">
        <v>13610</v>
      </c>
      <c r="U5241" t="s">
        <v>13610</v>
      </c>
      <c r="V5241" t="s">
        <v>13610</v>
      </c>
      <c r="W5241" t="s">
        <v>18785</v>
      </c>
      <c r="X5241">
        <v>32</v>
      </c>
      <c r="Y5241" t="s">
        <v>25352</v>
      </c>
      <c r="Z5241" t="s">
        <v>32096</v>
      </c>
      <c r="AA5241">
        <v>0.58496221517860825</v>
      </c>
      <c r="AB5241" t="str">
        <f>HYPERLINK("Melting_Curves/meltCurve_Q96P70_IPO9.pdf", "Melting_Curves/meltCurve_Q96P70_IPO9.pdf")</f>
        <v>Melting_Curves/meltCurve_Q96P70_IPO9.pdf</v>
      </c>
    </row>
    <row r="5242" spans="1:28" x14ac:dyDescent="0.25">
      <c r="A5242" t="s">
        <v>5246</v>
      </c>
      <c r="B5242">
        <v>0.995954080203443</v>
      </c>
      <c r="C5242">
        <v>1.0511673630826499</v>
      </c>
      <c r="D5242">
        <v>0.908016743435059</v>
      </c>
      <c r="E5242">
        <v>0.87480613670578899</v>
      </c>
      <c r="F5242">
        <v>0.45825999019705799</v>
      </c>
      <c r="G5242">
        <v>0.29479998485682202</v>
      </c>
      <c r="H5242">
        <v>0.14559653522148899</v>
      </c>
      <c r="I5242">
        <v>0.111293624539317</v>
      </c>
      <c r="J5242">
        <v>0.115390429961209</v>
      </c>
      <c r="K5242">
        <v>9.5815593752783507E-2</v>
      </c>
      <c r="L5242">
        <v>1247.4785498218801</v>
      </c>
      <c r="M5242">
        <v>23.6679018378052</v>
      </c>
      <c r="N5242">
        <v>53.264165585575597</v>
      </c>
      <c r="O5242">
        <v>52.335657042969203</v>
      </c>
      <c r="P5242">
        <v>-0.100674612516277</v>
      </c>
      <c r="Q5242">
        <v>0.10954772344842501</v>
      </c>
      <c r="R5242">
        <v>0.98649504206988003</v>
      </c>
      <c r="S5242" t="s">
        <v>12048</v>
      </c>
      <c r="T5242" t="s">
        <v>13610</v>
      </c>
      <c r="U5242" t="s">
        <v>13610</v>
      </c>
      <c r="V5242" t="s">
        <v>13610</v>
      </c>
      <c r="W5242" t="s">
        <v>18786</v>
      </c>
      <c r="X5242">
        <v>3</v>
      </c>
      <c r="Y5242" t="s">
        <v>25353</v>
      </c>
      <c r="Z5242" t="s">
        <v>32097</v>
      </c>
      <c r="AA5242">
        <v>0.49579746205038588</v>
      </c>
      <c r="AB5242" t="str">
        <f>HYPERLINK("Melting_Curves/meltCurve_Q96PC3_3_AP1S3.pdf", "Melting_Curves/meltCurve_Q96PC3_3_AP1S3.pdf")</f>
        <v>Melting_Curves/meltCurve_Q96PC3_3_AP1S3.pdf</v>
      </c>
    </row>
    <row r="5243" spans="1:28" x14ac:dyDescent="0.25">
      <c r="A5243" t="s">
        <v>5247</v>
      </c>
      <c r="B5243">
        <v>0.995954080203443</v>
      </c>
      <c r="C5243">
        <v>0.88361713921761598</v>
      </c>
      <c r="D5243">
        <v>0.77043570846843001</v>
      </c>
      <c r="E5243">
        <v>0.546642034985241</v>
      </c>
      <c r="F5243">
        <v>0.57796467845581401</v>
      </c>
      <c r="G5243">
        <v>0.50476529311442797</v>
      </c>
      <c r="H5243">
        <v>0.49796023997650601</v>
      </c>
      <c r="I5243">
        <v>0.63697863082518302</v>
      </c>
      <c r="J5243">
        <v>0.58329474088112798</v>
      </c>
      <c r="K5243">
        <v>0.76088606014742699</v>
      </c>
      <c r="L5243">
        <v>1262.1279086736199</v>
      </c>
      <c r="M5243">
        <v>28.047599955992201</v>
      </c>
      <c r="O5243">
        <v>44.772600867787702</v>
      </c>
      <c r="P5243">
        <v>-6.4877188468265595E-2</v>
      </c>
      <c r="Q5243">
        <v>0.585747635010339</v>
      </c>
      <c r="R5243">
        <v>0.78946813085413103</v>
      </c>
      <c r="S5243" t="s">
        <v>12049</v>
      </c>
      <c r="T5243" t="s">
        <v>13610</v>
      </c>
      <c r="U5243" t="s">
        <v>13610</v>
      </c>
      <c r="V5243" t="s">
        <v>13610</v>
      </c>
      <c r="W5243" t="s">
        <v>18787</v>
      </c>
      <c r="X5243">
        <v>23</v>
      </c>
      <c r="Y5243" t="s">
        <v>25354</v>
      </c>
      <c r="Z5243" t="s">
        <v>32098</v>
      </c>
      <c r="AA5243">
        <v>0.65791389270094569</v>
      </c>
      <c r="AB5243" t="str">
        <f>HYPERLINK("Melting_Curves/meltCurve_Q96PK6_RBM14.pdf", "Melting_Curves/meltCurve_Q96PK6_RBM14.pdf")</f>
        <v>Melting_Curves/meltCurve_Q96PK6_RBM14.pdf</v>
      </c>
    </row>
    <row r="5244" spans="1:28" x14ac:dyDescent="0.25">
      <c r="A5244" t="s">
        <v>5248</v>
      </c>
      <c r="B5244">
        <v>0.995954080203443</v>
      </c>
      <c r="C5244">
        <v>0.91804782255470097</v>
      </c>
      <c r="D5244">
        <v>0.95121612401324596</v>
      </c>
      <c r="E5244">
        <v>0.59383514985388097</v>
      </c>
      <c r="F5244">
        <v>0.45147954042738497</v>
      </c>
      <c r="G5244">
        <v>0.26339516280854303</v>
      </c>
      <c r="H5244">
        <v>0.167271724946078</v>
      </c>
      <c r="I5244">
        <v>0.161166031047834</v>
      </c>
      <c r="J5244">
        <v>0.191003910535785</v>
      </c>
      <c r="K5244">
        <v>0.19111061983684799</v>
      </c>
      <c r="L5244">
        <v>969.60660953062995</v>
      </c>
      <c r="M5244">
        <v>19.132188706054102</v>
      </c>
      <c r="N5244">
        <v>51.780642317281298</v>
      </c>
      <c r="O5244">
        <v>50.135403949285198</v>
      </c>
      <c r="P5244">
        <v>-7.9459012072960106E-2</v>
      </c>
      <c r="Q5244">
        <v>0.16715118750524699</v>
      </c>
      <c r="R5244">
        <v>0.98970664536372599</v>
      </c>
      <c r="S5244" t="s">
        <v>12050</v>
      </c>
      <c r="T5244" t="s">
        <v>13610</v>
      </c>
      <c r="U5244" t="s">
        <v>13610</v>
      </c>
      <c r="V5244" t="s">
        <v>13610</v>
      </c>
      <c r="W5244" t="s">
        <v>18788</v>
      </c>
      <c r="X5244">
        <v>13</v>
      </c>
      <c r="Y5244" t="s">
        <v>25355</v>
      </c>
      <c r="Z5244" t="s">
        <v>32099</v>
      </c>
      <c r="AA5244">
        <v>0.47620637120180381</v>
      </c>
      <c r="AB5244" t="str">
        <f>HYPERLINK("Melting_Curves/meltCurve_Q96PM5_RCHY1.pdf", "Melting_Curves/meltCurve_Q96PM5_RCHY1.pdf")</f>
        <v>Melting_Curves/meltCurve_Q96PM5_RCHY1.pdf</v>
      </c>
    </row>
    <row r="5245" spans="1:28" x14ac:dyDescent="0.25">
      <c r="A5245" t="s">
        <v>5249</v>
      </c>
      <c r="B5245">
        <v>0.995954080203443</v>
      </c>
      <c r="C5245">
        <v>0.91797294524130002</v>
      </c>
      <c r="D5245">
        <v>0.941385765908898</v>
      </c>
      <c r="E5245">
        <v>0.75233128219271905</v>
      </c>
      <c r="F5245">
        <v>0.57652763705551402</v>
      </c>
      <c r="G5245">
        <v>0.41359431209707498</v>
      </c>
      <c r="H5245">
        <v>0.37988717700971297</v>
      </c>
      <c r="I5245">
        <v>0.39612574511503001</v>
      </c>
      <c r="J5245">
        <v>0.50659357557167395</v>
      </c>
      <c r="K5245">
        <v>0.52443246085818895</v>
      </c>
      <c r="L5245">
        <v>1319.88391680219</v>
      </c>
      <c r="M5245">
        <v>26.223318590130901</v>
      </c>
      <c r="N5245">
        <v>54.800445227254698</v>
      </c>
      <c r="O5245">
        <v>50.042489550021998</v>
      </c>
      <c r="P5245">
        <v>-7.3225297737420897E-2</v>
      </c>
      <c r="Q5245">
        <v>0.44105700266930697</v>
      </c>
      <c r="R5245">
        <v>0.94838418136926805</v>
      </c>
      <c r="S5245" t="s">
        <v>12051</v>
      </c>
      <c r="T5245" t="s">
        <v>13610</v>
      </c>
      <c r="U5245" t="s">
        <v>13610</v>
      </c>
      <c r="V5245" t="s">
        <v>13610</v>
      </c>
      <c r="W5245" t="s">
        <v>18789</v>
      </c>
      <c r="X5245">
        <v>6</v>
      </c>
      <c r="Y5245" t="s">
        <v>25356</v>
      </c>
      <c r="Z5245" t="s">
        <v>32100</v>
      </c>
      <c r="AA5245">
        <v>0.63812155139113691</v>
      </c>
      <c r="AB5245" t="str">
        <f>HYPERLINK("Melting_Curves/meltCurve_Q96PM9_ZNF385A.pdf", "Melting_Curves/meltCurve_Q96PM9_ZNF385A.pdf")</f>
        <v>Melting_Curves/meltCurve_Q96PM9_ZNF385A.pdf</v>
      </c>
    </row>
    <row r="5246" spans="1:28" x14ac:dyDescent="0.25">
      <c r="A5246" t="s">
        <v>5250</v>
      </c>
      <c r="B5246">
        <v>0.995954080203443</v>
      </c>
      <c r="C5246">
        <v>0.85239107444875095</v>
      </c>
      <c r="D5246">
        <v>0.80615183892770503</v>
      </c>
      <c r="E5246">
        <v>0.82103077251165901</v>
      </c>
      <c r="F5246">
        <v>0.70391796708694598</v>
      </c>
      <c r="G5246">
        <v>0.58719025932760804</v>
      </c>
      <c r="H5246">
        <v>0.50526763923195595</v>
      </c>
      <c r="I5246">
        <v>0.60006347322751596</v>
      </c>
      <c r="J5246">
        <v>0.64819656661779601</v>
      </c>
      <c r="K5246">
        <v>0.69343388587155996</v>
      </c>
      <c r="L5246">
        <v>557.60794519550097</v>
      </c>
      <c r="M5246">
        <v>11.8093036718048</v>
      </c>
      <c r="O5246">
        <v>45.924759546676299</v>
      </c>
      <c r="P5246">
        <v>-2.5866728900504801E-2</v>
      </c>
      <c r="Q5246">
        <v>0.59773463103937596</v>
      </c>
      <c r="R5246">
        <v>0.79859943838811398</v>
      </c>
      <c r="S5246" t="s">
        <v>12052</v>
      </c>
      <c r="T5246" t="s">
        <v>13610</v>
      </c>
      <c r="U5246" t="s">
        <v>13610</v>
      </c>
      <c r="V5246" t="s">
        <v>13610</v>
      </c>
      <c r="W5246" t="s">
        <v>18790</v>
      </c>
      <c r="X5246">
        <v>1</v>
      </c>
      <c r="Y5246" t="s">
        <v>25357</v>
      </c>
      <c r="Z5246" t="s">
        <v>32101</v>
      </c>
      <c r="AA5246">
        <v>0.71162282295300894</v>
      </c>
      <c r="AB5246" t="str">
        <f>HYPERLINK("Melting_Curves/meltCurve_Q96PQ6_4_ZNF317.pdf", "Melting_Curves/meltCurve_Q96PQ6_4_ZNF317.pdf")</f>
        <v>Melting_Curves/meltCurve_Q96PQ6_4_ZNF317.pdf</v>
      </c>
    </row>
    <row r="5247" spans="1:28" x14ac:dyDescent="0.25">
      <c r="A5247" t="s">
        <v>5251</v>
      </c>
      <c r="B5247">
        <v>0.995954080203443</v>
      </c>
      <c r="C5247">
        <v>0.89024291531131805</v>
      </c>
      <c r="D5247">
        <v>0.74287743602670697</v>
      </c>
      <c r="E5247">
        <v>0.44615125873550798</v>
      </c>
      <c r="F5247">
        <v>0.19773301975674901</v>
      </c>
      <c r="G5247">
        <v>0.123117757301252</v>
      </c>
      <c r="H5247">
        <v>8.2676960355061599E-2</v>
      </c>
      <c r="I5247">
        <v>8.2313219190063597E-2</v>
      </c>
      <c r="J5247">
        <v>8.6695979668240497E-2</v>
      </c>
      <c r="K5247">
        <v>9.1532691137944405E-2</v>
      </c>
      <c r="L5247">
        <v>878.39836610370401</v>
      </c>
      <c r="M5247">
        <v>18.120416309194301</v>
      </c>
      <c r="N5247">
        <v>48.889554304333103</v>
      </c>
      <c r="O5247">
        <v>47.896798082440398</v>
      </c>
      <c r="P5247">
        <v>-8.7858559936451905E-2</v>
      </c>
      <c r="Q5247">
        <v>7.1115963778160499E-2</v>
      </c>
      <c r="R5247">
        <v>0.99653891864571897</v>
      </c>
      <c r="S5247" t="s">
        <v>12053</v>
      </c>
      <c r="T5247" t="s">
        <v>13610</v>
      </c>
      <c r="U5247" t="s">
        <v>13610</v>
      </c>
      <c r="V5247" t="s">
        <v>13610</v>
      </c>
      <c r="W5247" t="s">
        <v>18791</v>
      </c>
      <c r="X5247">
        <v>21</v>
      </c>
      <c r="Y5247" t="s">
        <v>25358</v>
      </c>
      <c r="Z5247" t="s">
        <v>32102</v>
      </c>
      <c r="AA5247">
        <v>0.34959437090703072</v>
      </c>
      <c r="AB5247" t="str">
        <f>HYPERLINK("Melting_Curves/meltCurve_Q96PU5_6_NEDD4L.pdf", "Melting_Curves/meltCurve_Q96PU5_6_NEDD4L.pdf")</f>
        <v>Melting_Curves/meltCurve_Q96PU5_6_NEDD4L.pdf</v>
      </c>
    </row>
    <row r="5248" spans="1:28" x14ac:dyDescent="0.25">
      <c r="A5248" t="s">
        <v>5252</v>
      </c>
      <c r="B5248">
        <v>0.995954080203443</v>
      </c>
      <c r="C5248">
        <v>0.88084059172453999</v>
      </c>
      <c r="D5248">
        <v>0.84888888918997696</v>
      </c>
      <c r="E5248">
        <v>0.70205347715826205</v>
      </c>
      <c r="F5248">
        <v>0.58500921332629097</v>
      </c>
      <c r="G5248">
        <v>0.33675442635106401</v>
      </c>
      <c r="H5248">
        <v>0.205230172514244</v>
      </c>
      <c r="I5248">
        <v>0.17831719219974901</v>
      </c>
      <c r="J5248">
        <v>0.17510078812705299</v>
      </c>
      <c r="K5248">
        <v>0.161146963602154</v>
      </c>
      <c r="L5248">
        <v>610.98602702746405</v>
      </c>
      <c r="M5248">
        <v>11.552169453103801</v>
      </c>
      <c r="N5248">
        <v>53.744661860246403</v>
      </c>
      <c r="O5248">
        <v>51.3789441661309</v>
      </c>
      <c r="P5248">
        <v>-5.1504831323299798E-2</v>
      </c>
      <c r="Q5248">
        <v>8.3973240055640497E-2</v>
      </c>
      <c r="R5248">
        <v>0.98980377333120995</v>
      </c>
      <c r="S5248" t="s">
        <v>12054</v>
      </c>
      <c r="T5248" t="s">
        <v>13610</v>
      </c>
      <c r="U5248" t="s">
        <v>13610</v>
      </c>
      <c r="V5248" t="s">
        <v>13610</v>
      </c>
      <c r="W5248" t="s">
        <v>18792</v>
      </c>
      <c r="X5248">
        <v>15</v>
      </c>
      <c r="Y5248" t="s">
        <v>25359</v>
      </c>
      <c r="Z5248" t="s">
        <v>32103</v>
      </c>
      <c r="AA5248">
        <v>0.50498027578434967</v>
      </c>
      <c r="AB5248" t="str">
        <f>HYPERLINK("Melting_Curves/meltCurve_Q96PU8_9_QKI.pdf", "Melting_Curves/meltCurve_Q96PU8_9_QKI.pdf")</f>
        <v>Melting_Curves/meltCurve_Q96PU8_9_QKI.pdf</v>
      </c>
    </row>
    <row r="5249" spans="1:28" x14ac:dyDescent="0.25">
      <c r="A5249" t="s">
        <v>5253</v>
      </c>
      <c r="B5249">
        <v>0.995954080203443</v>
      </c>
      <c r="C5249">
        <v>0.96139474565973004</v>
      </c>
      <c r="D5249">
        <v>0.91312603991147201</v>
      </c>
      <c r="E5249">
        <v>0.73486126601594504</v>
      </c>
      <c r="F5249">
        <v>0.50465474724672998</v>
      </c>
      <c r="G5249">
        <v>0.34216752801384998</v>
      </c>
      <c r="H5249">
        <v>0.31404254857095099</v>
      </c>
      <c r="I5249">
        <v>0.34754306543547098</v>
      </c>
      <c r="J5249">
        <v>0.416512711950631</v>
      </c>
      <c r="K5249">
        <v>0.40907328992638098</v>
      </c>
      <c r="L5249">
        <v>1325.3784913710001</v>
      </c>
      <c r="M5249">
        <v>26.284858905409301</v>
      </c>
      <c r="N5249">
        <v>52.994084376650903</v>
      </c>
      <c r="O5249">
        <v>50.134504486211597</v>
      </c>
      <c r="P5249">
        <v>-8.3850878697804707E-2</v>
      </c>
      <c r="Q5249">
        <v>0.36027418311350101</v>
      </c>
      <c r="R5249">
        <v>0.98027746603292598</v>
      </c>
      <c r="S5249" t="s">
        <v>12055</v>
      </c>
      <c r="T5249" t="s">
        <v>13610</v>
      </c>
      <c r="U5249" t="s">
        <v>13610</v>
      </c>
      <c r="V5249" t="s">
        <v>13610</v>
      </c>
      <c r="W5249" t="s">
        <v>18793</v>
      </c>
      <c r="X5249">
        <v>24</v>
      </c>
      <c r="Y5249" t="s">
        <v>25360</v>
      </c>
      <c r="Z5249" t="s">
        <v>32104</v>
      </c>
      <c r="AA5249">
        <v>0.58774631767047436</v>
      </c>
      <c r="AB5249" t="str">
        <f>HYPERLINK("Melting_Curves/meltCurve_Q96PV6_2_LENG8.pdf", "Melting_Curves/meltCurve_Q96PV6_2_LENG8.pdf")</f>
        <v>Melting_Curves/meltCurve_Q96PV6_2_LENG8.pdf</v>
      </c>
    </row>
    <row r="5250" spans="1:28" x14ac:dyDescent="0.25">
      <c r="A5250" t="s">
        <v>5254</v>
      </c>
      <c r="B5250">
        <v>0.995954080203443</v>
      </c>
      <c r="C5250">
        <v>0.74628373592137998</v>
      </c>
      <c r="D5250">
        <v>0.33026950507347302</v>
      </c>
      <c r="E5250">
        <v>0.21521852956551099</v>
      </c>
      <c r="F5250">
        <v>0.126889016205567</v>
      </c>
      <c r="G5250">
        <v>0</v>
      </c>
      <c r="H5250">
        <v>0</v>
      </c>
      <c r="I5250">
        <v>0</v>
      </c>
      <c r="J5250">
        <v>5.9137396341958297E-2</v>
      </c>
      <c r="K5250">
        <v>0</v>
      </c>
      <c r="L5250">
        <v>932.93204212703995</v>
      </c>
      <c r="M5250">
        <v>20.762237453794899</v>
      </c>
      <c r="N5250">
        <v>45.0557723202405</v>
      </c>
      <c r="O5250">
        <v>44.523469186337302</v>
      </c>
      <c r="P5250">
        <v>-0.11340471353358</v>
      </c>
      <c r="Q5250">
        <v>2.7266930898340098E-2</v>
      </c>
      <c r="R5250">
        <v>0.97788906449379698</v>
      </c>
      <c r="S5250" t="s">
        <v>12056</v>
      </c>
      <c r="T5250" t="s">
        <v>13610</v>
      </c>
      <c r="U5250" t="s">
        <v>13610</v>
      </c>
      <c r="V5250" t="s">
        <v>13610</v>
      </c>
      <c r="W5250" t="s">
        <v>18794</v>
      </c>
      <c r="X5250">
        <v>5</v>
      </c>
      <c r="Y5250" t="s">
        <v>25361</v>
      </c>
      <c r="Z5250" t="s">
        <v>32105</v>
      </c>
      <c r="AA5250">
        <v>0.20245229946331031</v>
      </c>
      <c r="AB5250" t="str">
        <f>HYPERLINK("Melting_Curves/meltCurve_Q96PY5_FMNL2.pdf", "Melting_Curves/meltCurve_Q96PY5_FMNL2.pdf")</f>
        <v>Melting_Curves/meltCurve_Q96PY5_FMNL2.pdf</v>
      </c>
    </row>
    <row r="5251" spans="1:28" x14ac:dyDescent="0.25">
      <c r="A5251" t="s">
        <v>5255</v>
      </c>
      <c r="B5251">
        <v>0.995954080203443</v>
      </c>
      <c r="C5251">
        <v>0.94759812853029801</v>
      </c>
      <c r="D5251">
        <v>0.86362983987066899</v>
      </c>
      <c r="E5251">
        <v>0.73826101942920297</v>
      </c>
      <c r="F5251">
        <v>0.73373199577828796</v>
      </c>
      <c r="G5251">
        <v>0.57696451381775204</v>
      </c>
      <c r="H5251">
        <v>0.52342619873465401</v>
      </c>
      <c r="I5251">
        <v>0.63769486737547099</v>
      </c>
      <c r="J5251">
        <v>0.677148684196346</v>
      </c>
      <c r="K5251">
        <v>0.72232920505242704</v>
      </c>
      <c r="L5251">
        <v>883.22079019692205</v>
      </c>
      <c r="M5251">
        <v>18.594321517125799</v>
      </c>
      <c r="O5251">
        <v>46.960307647133298</v>
      </c>
      <c r="P5251">
        <v>-3.6410824866183501E-2</v>
      </c>
      <c r="Q5251">
        <v>0.63219090690485102</v>
      </c>
      <c r="R5251">
        <v>0.85280344620585802</v>
      </c>
      <c r="S5251" t="s">
        <v>12057</v>
      </c>
      <c r="T5251" t="s">
        <v>13610</v>
      </c>
      <c r="U5251" t="s">
        <v>13610</v>
      </c>
      <c r="V5251" t="s">
        <v>13610</v>
      </c>
      <c r="W5251" t="s">
        <v>18795</v>
      </c>
      <c r="X5251">
        <v>23</v>
      </c>
      <c r="Y5251" t="s">
        <v>25362</v>
      </c>
      <c r="Z5251" t="s">
        <v>32106</v>
      </c>
      <c r="AA5251">
        <v>0.73033014914766148</v>
      </c>
      <c r="AB5251" t="str">
        <f>HYPERLINK("Melting_Curves/meltCurve_Q96PY6_2_NEK1.pdf", "Melting_Curves/meltCurve_Q96PY6_2_NEK1.pdf")</f>
        <v>Melting_Curves/meltCurve_Q96PY6_2_NEK1.pdf</v>
      </c>
    </row>
    <row r="5252" spans="1:28" x14ac:dyDescent="0.25">
      <c r="A5252" t="s">
        <v>5256</v>
      </c>
      <c r="B5252">
        <v>0.995954080203443</v>
      </c>
      <c r="C5252">
        <v>0.98678996232600602</v>
      </c>
      <c r="D5252">
        <v>0.92411284959748297</v>
      </c>
      <c r="E5252">
        <v>0.86839351803421905</v>
      </c>
      <c r="F5252">
        <v>0.676291211520203</v>
      </c>
      <c r="G5252">
        <v>0.39995287869294099</v>
      </c>
      <c r="H5252">
        <v>0.170645638663182</v>
      </c>
      <c r="I5252">
        <v>0.151524693586741</v>
      </c>
      <c r="J5252">
        <v>0.16435766423950399</v>
      </c>
      <c r="K5252">
        <v>0.15468864608140601</v>
      </c>
      <c r="L5252">
        <v>1067.86339019859</v>
      </c>
      <c r="M5252">
        <v>19.633261693956499</v>
      </c>
      <c r="N5252">
        <v>55.187198509173399</v>
      </c>
      <c r="O5252">
        <v>53.835680662702202</v>
      </c>
      <c r="P5252">
        <v>-7.9924369467308798E-2</v>
      </c>
      <c r="Q5252">
        <v>0.12339942359997901</v>
      </c>
      <c r="R5252">
        <v>0.99489352034359602</v>
      </c>
      <c r="S5252" t="s">
        <v>12058</v>
      </c>
      <c r="T5252" t="s">
        <v>13610</v>
      </c>
      <c r="U5252" t="s">
        <v>13610</v>
      </c>
      <c r="V5252" t="s">
        <v>13610</v>
      </c>
      <c r="W5252" t="s">
        <v>18796</v>
      </c>
      <c r="X5252">
        <v>37</v>
      </c>
      <c r="Y5252" t="s">
        <v>25363</v>
      </c>
      <c r="Z5252" t="s">
        <v>32107</v>
      </c>
      <c r="AA5252">
        <v>0.55607008694793725</v>
      </c>
      <c r="AB5252" t="str">
        <f>HYPERLINK("Melting_Curves/meltCurve_Q96PZ0_PUS7.pdf", "Melting_Curves/meltCurve_Q96PZ0_PUS7.pdf")</f>
        <v>Melting_Curves/meltCurve_Q96PZ0_PUS7.pdf</v>
      </c>
    </row>
    <row r="5253" spans="1:28" x14ac:dyDescent="0.25">
      <c r="A5253" t="s">
        <v>5257</v>
      </c>
      <c r="B5253">
        <v>0.995954080203443</v>
      </c>
      <c r="C5253">
        <v>0.718317492762238</v>
      </c>
      <c r="D5253">
        <v>0.48954899217437298</v>
      </c>
      <c r="E5253">
        <v>0.58362637286330499</v>
      </c>
      <c r="F5253">
        <v>0.20544202807707801</v>
      </c>
      <c r="G5253">
        <v>0.10122048515121899</v>
      </c>
      <c r="H5253">
        <v>6.4830247084056297E-2</v>
      </c>
      <c r="I5253">
        <v>3.39681570646845E-2</v>
      </c>
      <c r="J5253">
        <v>4.6651128179090798E-2</v>
      </c>
      <c r="K5253">
        <v>4.2612646582140201E-2</v>
      </c>
      <c r="L5253">
        <v>521.79248243378004</v>
      </c>
      <c r="M5253">
        <v>10.907410198702401</v>
      </c>
      <c r="N5253">
        <v>47.838348478357702</v>
      </c>
      <c r="O5253">
        <v>46.314637463591801</v>
      </c>
      <c r="P5253">
        <v>-5.8897212314908298E-2</v>
      </c>
      <c r="Q5253">
        <v>0</v>
      </c>
      <c r="R5253">
        <v>0.93137331239459098</v>
      </c>
      <c r="S5253" t="s">
        <v>12059</v>
      </c>
      <c r="T5253" t="s">
        <v>13610</v>
      </c>
      <c r="U5253" t="s">
        <v>13610</v>
      </c>
      <c r="V5253" t="s">
        <v>13610</v>
      </c>
      <c r="W5253" t="s">
        <v>18797</v>
      </c>
      <c r="X5253">
        <v>6</v>
      </c>
      <c r="Y5253" t="s">
        <v>25364</v>
      </c>
      <c r="Z5253" t="s">
        <v>32108</v>
      </c>
      <c r="AA5253">
        <v>0.30791023547790619</v>
      </c>
      <c r="AB5253" t="str">
        <f>HYPERLINK("Melting_Curves/meltCurve_Q96Q05_3_TRAPPC9.pdf", "Melting_Curves/meltCurve_Q96Q05_3_TRAPPC9.pdf")</f>
        <v>Melting_Curves/meltCurve_Q96Q05_3_TRAPPC9.pdf</v>
      </c>
    </row>
    <row r="5254" spans="1:28" x14ac:dyDescent="0.25">
      <c r="A5254" t="s">
        <v>5258</v>
      </c>
      <c r="B5254">
        <v>0.995954080203443</v>
      </c>
      <c r="C5254">
        <v>0.95559023200123605</v>
      </c>
      <c r="D5254">
        <v>0.84058339909574198</v>
      </c>
      <c r="E5254">
        <v>0.56197001441832695</v>
      </c>
      <c r="F5254">
        <v>0.16642169329690401</v>
      </c>
      <c r="G5254">
        <v>9.8560389418930305E-2</v>
      </c>
      <c r="H5254">
        <v>5.8704158500773401E-2</v>
      </c>
      <c r="I5254">
        <v>4.9747213573275197E-2</v>
      </c>
      <c r="J5254">
        <v>4.8857077374554997E-2</v>
      </c>
      <c r="K5254">
        <v>4.0935661102079302E-2</v>
      </c>
      <c r="L5254">
        <v>1178.2842914031501</v>
      </c>
      <c r="M5254">
        <v>23.63355385038</v>
      </c>
      <c r="N5254">
        <v>50.034101525656403</v>
      </c>
      <c r="O5254">
        <v>49.503575768760697</v>
      </c>
      <c r="P5254">
        <v>-0.1145505019783</v>
      </c>
      <c r="Q5254">
        <v>4.0251994702340199E-2</v>
      </c>
      <c r="R5254">
        <v>0.99337432863585295</v>
      </c>
      <c r="S5254" t="s">
        <v>12060</v>
      </c>
      <c r="T5254" t="s">
        <v>13610</v>
      </c>
      <c r="U5254" t="s">
        <v>13610</v>
      </c>
      <c r="V5254" t="s">
        <v>13610</v>
      </c>
      <c r="W5254" t="s">
        <v>18798</v>
      </c>
      <c r="X5254">
        <v>14</v>
      </c>
      <c r="Y5254" t="s">
        <v>25365</v>
      </c>
      <c r="Z5254" t="s">
        <v>32109</v>
      </c>
      <c r="AA5254">
        <v>0.36516664788791098</v>
      </c>
      <c r="AB5254" t="str">
        <f>HYPERLINK("Melting_Curves/meltCurve_Q96Q11_2_TRNT1.pdf", "Melting_Curves/meltCurve_Q96Q11_2_TRNT1.pdf")</f>
        <v>Melting_Curves/meltCurve_Q96Q11_2_TRNT1.pdf</v>
      </c>
    </row>
    <row r="5255" spans="1:28" x14ac:dyDescent="0.25">
      <c r="A5255" t="s">
        <v>5259</v>
      </c>
      <c r="B5255">
        <v>0.995954080203443</v>
      </c>
      <c r="C5255">
        <v>0.67350137030722301</v>
      </c>
      <c r="D5255">
        <v>0.47772153442951498</v>
      </c>
      <c r="E5255">
        <v>0.30549505847803199</v>
      </c>
      <c r="F5255">
        <v>0.23129562589232899</v>
      </c>
      <c r="G5255">
        <v>0.163941770496013</v>
      </c>
      <c r="H5255">
        <v>0.15149601863774101</v>
      </c>
      <c r="I5255">
        <v>0.160207852198749</v>
      </c>
      <c r="J5255">
        <v>0.21204145160878701</v>
      </c>
      <c r="K5255">
        <v>0.20209766257145101</v>
      </c>
      <c r="L5255">
        <v>848.22316509079701</v>
      </c>
      <c r="M5255">
        <v>19.053094776675898</v>
      </c>
      <c r="N5255">
        <v>45.5964782996179</v>
      </c>
      <c r="O5255">
        <v>44.037178037198601</v>
      </c>
      <c r="P5255">
        <v>-8.8560921710313406E-2</v>
      </c>
      <c r="Q5255">
        <v>0.1812728765063</v>
      </c>
      <c r="R5255">
        <v>0.97831011778226995</v>
      </c>
      <c r="S5255" t="s">
        <v>12061</v>
      </c>
      <c r="T5255" t="s">
        <v>13610</v>
      </c>
      <c r="U5255" t="s">
        <v>13610</v>
      </c>
      <c r="V5255" t="s">
        <v>13610</v>
      </c>
      <c r="W5255" t="s">
        <v>18799</v>
      </c>
      <c r="X5255">
        <v>20</v>
      </c>
      <c r="Y5255" t="s">
        <v>25366</v>
      </c>
      <c r="Z5255" t="s">
        <v>32110</v>
      </c>
      <c r="AA5255">
        <v>0.32105992566692282</v>
      </c>
      <c r="AB5255" t="str">
        <f>HYPERLINK("Melting_Curves/meltCurve_Q96Q15_SMG1.pdf", "Melting_Curves/meltCurve_Q96Q15_SMG1.pdf")</f>
        <v>Melting_Curves/meltCurve_Q96Q15_SMG1.pdf</v>
      </c>
    </row>
    <row r="5256" spans="1:28" x14ac:dyDescent="0.25">
      <c r="A5256" t="s">
        <v>5260</v>
      </c>
      <c r="B5256">
        <v>0.995954080203443</v>
      </c>
      <c r="C5256">
        <v>0.86354224428175796</v>
      </c>
      <c r="D5256">
        <v>0.68405538907790098</v>
      </c>
      <c r="E5256">
        <v>0.59596549687810096</v>
      </c>
      <c r="F5256">
        <v>0.29306565880247099</v>
      </c>
      <c r="G5256">
        <v>0.18020748493527999</v>
      </c>
      <c r="H5256">
        <v>0.11523588284134401</v>
      </c>
      <c r="I5256">
        <v>0.107395756819957</v>
      </c>
      <c r="J5256">
        <v>0.10530973932049</v>
      </c>
      <c r="K5256">
        <v>9.9599851723960894E-2</v>
      </c>
      <c r="L5256">
        <v>637.54973094865295</v>
      </c>
      <c r="M5256">
        <v>12.895692756762401</v>
      </c>
      <c r="N5256">
        <v>49.932648334156099</v>
      </c>
      <c r="O5256">
        <v>48.295381357526402</v>
      </c>
      <c r="P5256">
        <v>-6.2770284045639405E-2</v>
      </c>
      <c r="Q5256">
        <v>5.9852823807500101E-2</v>
      </c>
      <c r="R5256">
        <v>0.982916909255792</v>
      </c>
      <c r="S5256" t="s">
        <v>12062</v>
      </c>
      <c r="T5256" t="s">
        <v>13610</v>
      </c>
      <c r="U5256" t="s">
        <v>13610</v>
      </c>
      <c r="V5256" t="s">
        <v>13610</v>
      </c>
      <c r="W5256" t="s">
        <v>18800</v>
      </c>
      <c r="X5256">
        <v>6</v>
      </c>
      <c r="Y5256" t="s">
        <v>25367</v>
      </c>
      <c r="Z5256" t="s">
        <v>32111</v>
      </c>
      <c r="AA5256">
        <v>0.38549757475717711</v>
      </c>
      <c r="AB5256" t="str">
        <f>HYPERLINK("Melting_Curves/meltCurve_Q96Q42_ALS2.pdf", "Melting_Curves/meltCurve_Q96Q42_ALS2.pdf")</f>
        <v>Melting_Curves/meltCurve_Q96Q42_ALS2.pdf</v>
      </c>
    </row>
    <row r="5257" spans="1:28" x14ac:dyDescent="0.25">
      <c r="A5257" t="s">
        <v>5261</v>
      </c>
      <c r="B5257">
        <v>0.995954080203443</v>
      </c>
      <c r="C5257">
        <v>1.0181114930219499</v>
      </c>
      <c r="D5257">
        <v>1.0078433729487899</v>
      </c>
      <c r="E5257">
        <v>0.93028036041851103</v>
      </c>
      <c r="F5257">
        <v>0.89557895352668704</v>
      </c>
      <c r="G5257">
        <v>0.65986501503110395</v>
      </c>
      <c r="H5257">
        <v>0.56028287857776504</v>
      </c>
      <c r="I5257">
        <v>0.54445387002319701</v>
      </c>
      <c r="J5257">
        <v>0.71472559019376802</v>
      </c>
      <c r="K5257">
        <v>0.64916445812813905</v>
      </c>
      <c r="L5257">
        <v>2119.8349412208399</v>
      </c>
      <c r="M5257">
        <v>39.192880674555397</v>
      </c>
      <c r="O5257">
        <v>53.947009454660098</v>
      </c>
      <c r="P5257">
        <v>-6.9724531473994295E-2</v>
      </c>
      <c r="Q5257">
        <v>0.61611176474350005</v>
      </c>
      <c r="R5257">
        <v>0.92892251588248498</v>
      </c>
      <c r="S5257" t="s">
        <v>12063</v>
      </c>
      <c r="T5257" t="s">
        <v>13610</v>
      </c>
      <c r="U5257" t="s">
        <v>13610</v>
      </c>
      <c r="V5257" t="s">
        <v>13610</v>
      </c>
      <c r="W5257" t="s">
        <v>18801</v>
      </c>
      <c r="X5257">
        <v>4</v>
      </c>
      <c r="Y5257" t="s">
        <v>25368</v>
      </c>
      <c r="Z5257" t="s">
        <v>32112</v>
      </c>
      <c r="AA5257">
        <v>0.79786767640911826</v>
      </c>
      <c r="AB5257" t="str">
        <f>HYPERLINK("Melting_Curves/meltCurve_Q96Q45_2_TMEM237.pdf", "Melting_Curves/meltCurve_Q96Q45_2_TMEM237.pdf")</f>
        <v>Melting_Curves/meltCurve_Q96Q45_2_TMEM237.pdf</v>
      </c>
    </row>
    <row r="5258" spans="1:28" x14ac:dyDescent="0.25">
      <c r="A5258" t="s">
        <v>5262</v>
      </c>
      <c r="B5258">
        <v>0.995954080203443</v>
      </c>
      <c r="C5258">
        <v>0.85706634320263597</v>
      </c>
      <c r="D5258">
        <v>0.86244280866587197</v>
      </c>
      <c r="E5258">
        <v>0.62749554464577095</v>
      </c>
      <c r="F5258">
        <v>0.554435427190348</v>
      </c>
      <c r="G5258">
        <v>0.38888388847003202</v>
      </c>
      <c r="H5258">
        <v>0.317455865273018</v>
      </c>
      <c r="I5258">
        <v>0.35195563767466997</v>
      </c>
      <c r="J5258">
        <v>0.470656982115643</v>
      </c>
      <c r="K5258">
        <v>0.41215803998950701</v>
      </c>
      <c r="L5258">
        <v>761.71962884455002</v>
      </c>
      <c r="M5258">
        <v>15.5931344509215</v>
      </c>
      <c r="N5258">
        <v>53.533842289656803</v>
      </c>
      <c r="O5258">
        <v>48.067413450454403</v>
      </c>
      <c r="P5258">
        <v>-5.0916691671123102E-2</v>
      </c>
      <c r="Q5258">
        <v>0.37223107893426399</v>
      </c>
      <c r="R5258">
        <v>0.94674892066986904</v>
      </c>
      <c r="S5258" t="s">
        <v>12064</v>
      </c>
      <c r="T5258" t="s">
        <v>13610</v>
      </c>
      <c r="U5258" t="s">
        <v>13610</v>
      </c>
      <c r="V5258" t="s">
        <v>13610</v>
      </c>
      <c r="W5258" t="s">
        <v>18802</v>
      </c>
      <c r="X5258">
        <v>18</v>
      </c>
      <c r="Y5258" t="s">
        <v>25369</v>
      </c>
      <c r="Z5258" t="s">
        <v>32113</v>
      </c>
      <c r="AA5258">
        <v>0.5718851596961696</v>
      </c>
      <c r="AB5258" t="str">
        <f>HYPERLINK("Melting_Curves/meltCurve_Q96Q89_4_KIF20B.pdf", "Melting_Curves/meltCurve_Q96Q89_4_KIF20B.pdf")</f>
        <v>Melting_Curves/meltCurve_Q96Q89_4_KIF20B.pdf</v>
      </c>
    </row>
    <row r="5259" spans="1:28" x14ac:dyDescent="0.25">
      <c r="A5259" t="s">
        <v>5263</v>
      </c>
      <c r="B5259">
        <v>0.995954080203443</v>
      </c>
      <c r="C5259">
        <v>1.0154097119274601</v>
      </c>
      <c r="D5259">
        <v>1.0672001840548999</v>
      </c>
      <c r="E5259">
        <v>0.92338454635399503</v>
      </c>
      <c r="F5259">
        <v>0.88612236995721105</v>
      </c>
      <c r="G5259">
        <v>0.67362643547141199</v>
      </c>
      <c r="H5259">
        <v>0.54133706563791895</v>
      </c>
      <c r="I5259">
        <v>0.53159184214214295</v>
      </c>
      <c r="J5259">
        <v>0.55646624012031598</v>
      </c>
      <c r="K5259">
        <v>0.553771322200725</v>
      </c>
      <c r="L5259">
        <v>1461.8059102208999</v>
      </c>
      <c r="M5259">
        <v>26.600944180801399</v>
      </c>
      <c r="O5259">
        <v>54.645413488137798</v>
      </c>
      <c r="P5259">
        <v>-5.6434771595374598E-2</v>
      </c>
      <c r="Q5259">
        <v>0.53627675974337696</v>
      </c>
      <c r="R5259">
        <v>0.980163329596759</v>
      </c>
      <c r="S5259" t="s">
        <v>12065</v>
      </c>
      <c r="T5259" t="s">
        <v>13610</v>
      </c>
      <c r="U5259" t="s">
        <v>13610</v>
      </c>
      <c r="V5259" t="s">
        <v>13610</v>
      </c>
      <c r="W5259" t="s">
        <v>18803</v>
      </c>
      <c r="X5259">
        <v>28</v>
      </c>
      <c r="Y5259" t="s">
        <v>25370</v>
      </c>
      <c r="Z5259" t="s">
        <v>32114</v>
      </c>
      <c r="AA5259">
        <v>0.77125595652246259</v>
      </c>
      <c r="AB5259" t="str">
        <f>HYPERLINK("Melting_Curves/meltCurve_Q96QC0_PPP1R10.pdf", "Melting_Curves/meltCurve_Q96QC0_PPP1R10.pdf")</f>
        <v>Melting_Curves/meltCurve_Q96QC0_PPP1R10.pdf</v>
      </c>
    </row>
    <row r="5260" spans="1:28" x14ac:dyDescent="0.25">
      <c r="A5260" t="s">
        <v>5264</v>
      </c>
      <c r="B5260">
        <v>0.995954080203443</v>
      </c>
      <c r="C5260">
        <v>0.96549199845632605</v>
      </c>
      <c r="D5260">
        <v>1.0144494597926601</v>
      </c>
      <c r="E5260">
        <v>0.93727569176262404</v>
      </c>
      <c r="F5260">
        <v>1.03626181962387</v>
      </c>
      <c r="G5260">
        <v>0.84194865524276297</v>
      </c>
      <c r="H5260">
        <v>0.844886262137032</v>
      </c>
      <c r="I5260">
        <v>1.05072834049227</v>
      </c>
      <c r="J5260">
        <v>1.25871785886016</v>
      </c>
      <c r="K5260">
        <v>1.27329809181236</v>
      </c>
      <c r="L5260">
        <v>8030.1718973946799</v>
      </c>
      <c r="M5260">
        <v>123.99054452824799</v>
      </c>
      <c r="O5260">
        <v>64.747546388601194</v>
      </c>
      <c r="P5260">
        <v>0.12841311422895901</v>
      </c>
      <c r="Q5260">
        <v>1.26822799588499</v>
      </c>
      <c r="R5260">
        <v>0.71400471632876805</v>
      </c>
      <c r="S5260" t="s">
        <v>12066</v>
      </c>
      <c r="T5260" t="s">
        <v>13610</v>
      </c>
      <c r="U5260" t="s">
        <v>13610</v>
      </c>
      <c r="V5260" t="s">
        <v>13610</v>
      </c>
      <c r="W5260" t="s">
        <v>18804</v>
      </c>
      <c r="X5260">
        <v>5</v>
      </c>
      <c r="Y5260" t="s">
        <v>25371</v>
      </c>
      <c r="Z5260" t="s">
        <v>32115</v>
      </c>
      <c r="AA5260">
        <v>1.046687740905758</v>
      </c>
      <c r="AB5260" t="str">
        <f>HYPERLINK("Melting_Curves/meltCurve_Q96QD9_FYTTD1.pdf", "Melting_Curves/meltCurve_Q96QD9_FYTTD1.pdf")</f>
        <v>Melting_Curves/meltCurve_Q96QD9_FYTTD1.pdf</v>
      </c>
    </row>
    <row r="5261" spans="1:28" x14ac:dyDescent="0.25">
      <c r="A5261" t="s">
        <v>5265</v>
      </c>
      <c r="B5261">
        <v>0.995954080203443</v>
      </c>
      <c r="C5261">
        <v>0.899279709454752</v>
      </c>
      <c r="D5261">
        <v>0.58794014070522505</v>
      </c>
      <c r="E5261">
        <v>0.709335686869354</v>
      </c>
      <c r="F5261">
        <v>0.55903355954506095</v>
      </c>
      <c r="G5261">
        <v>0.42787733268865402</v>
      </c>
      <c r="H5261">
        <v>0.22576319199720701</v>
      </c>
      <c r="I5261">
        <v>0.19736885777153901</v>
      </c>
      <c r="J5261">
        <v>0.19810210302626899</v>
      </c>
      <c r="K5261">
        <v>0.26813825566265198</v>
      </c>
      <c r="L5261">
        <v>423.25188961363801</v>
      </c>
      <c r="M5261">
        <v>8.1263770618791202</v>
      </c>
      <c r="N5261">
        <v>53.3696588623365</v>
      </c>
      <c r="O5261">
        <v>49.214462916697499</v>
      </c>
      <c r="P5261">
        <v>-3.76501006778511E-2</v>
      </c>
      <c r="Q5261">
        <v>8.8914917977087907E-2</v>
      </c>
      <c r="R5261">
        <v>0.91625688417157103</v>
      </c>
      <c r="S5261" t="s">
        <v>12067</v>
      </c>
      <c r="T5261" t="s">
        <v>13610</v>
      </c>
      <c r="U5261" t="s">
        <v>13610</v>
      </c>
      <c r="V5261" t="s">
        <v>13610</v>
      </c>
      <c r="W5261" t="s">
        <v>18805</v>
      </c>
      <c r="X5261">
        <v>3</v>
      </c>
      <c r="Y5261" t="s">
        <v>25372</v>
      </c>
      <c r="Z5261" t="s">
        <v>32116</v>
      </c>
      <c r="AA5261">
        <v>0.49777147188407861</v>
      </c>
      <c r="AB5261" t="str">
        <f>HYPERLINK("Melting_Curves/meltCurve_Q96QE3_2_ATAD5.pdf", "Melting_Curves/meltCurve_Q96QE3_2_ATAD5.pdf")</f>
        <v>Melting_Curves/meltCurve_Q96QE3_2_ATAD5.pdf</v>
      </c>
    </row>
    <row r="5262" spans="1:28" x14ac:dyDescent="0.25">
      <c r="A5262" t="s">
        <v>5266</v>
      </c>
      <c r="B5262">
        <v>0.995954080203443</v>
      </c>
      <c r="C5262">
        <v>1.0159135445743801</v>
      </c>
      <c r="D5262">
        <v>0.91997132328740505</v>
      </c>
      <c r="E5262">
        <v>0.81197730875243401</v>
      </c>
      <c r="F5262">
        <v>0.59453882348551401</v>
      </c>
      <c r="G5262">
        <v>0.386560824664064</v>
      </c>
      <c r="H5262">
        <v>0.31392209943903798</v>
      </c>
      <c r="I5262">
        <v>0.35173980235586599</v>
      </c>
      <c r="J5262">
        <v>0.41211059888781398</v>
      </c>
      <c r="K5262">
        <v>0.40761313650173903</v>
      </c>
      <c r="L5262">
        <v>1354.7730539788599</v>
      </c>
      <c r="M5262">
        <v>26.254161767605002</v>
      </c>
      <c r="N5262">
        <v>54.2958378625964</v>
      </c>
      <c r="O5262">
        <v>51.305640588168302</v>
      </c>
      <c r="P5262">
        <v>-8.1355529733457999E-2</v>
      </c>
      <c r="Q5262">
        <v>0.36407027161303201</v>
      </c>
      <c r="R5262">
        <v>0.98303446901008196</v>
      </c>
      <c r="S5262" t="s">
        <v>12068</v>
      </c>
      <c r="T5262" t="s">
        <v>13610</v>
      </c>
      <c r="U5262" t="s">
        <v>13610</v>
      </c>
      <c r="V5262" t="s">
        <v>13610</v>
      </c>
      <c r="W5262" t="s">
        <v>18806</v>
      </c>
      <c r="X5262">
        <v>6</v>
      </c>
      <c r="Y5262" t="s">
        <v>25373</v>
      </c>
      <c r="Z5262" t="s">
        <v>32117</v>
      </c>
      <c r="AA5262">
        <v>0.6152657318671032</v>
      </c>
      <c r="AB5262" t="str">
        <f>HYPERLINK("Melting_Curves/meltCurve_Q96QF0_2_RAB3IP.pdf", "Melting_Curves/meltCurve_Q96QF0_2_RAB3IP.pdf")</f>
        <v>Melting_Curves/meltCurve_Q96QF0_2_RAB3IP.pdf</v>
      </c>
    </row>
    <row r="5263" spans="1:28" x14ac:dyDescent="0.25">
      <c r="A5263" t="s">
        <v>5267</v>
      </c>
      <c r="B5263">
        <v>0.995954080203443</v>
      </c>
      <c r="C5263">
        <v>0.92576804503799504</v>
      </c>
      <c r="D5263">
        <v>0.92657942889088596</v>
      </c>
      <c r="E5263">
        <v>0.66481218641980999</v>
      </c>
      <c r="F5263">
        <v>0.27820384065495202</v>
      </c>
      <c r="G5263">
        <v>0.16902519477004499</v>
      </c>
      <c r="H5263">
        <v>0.118155256197914</v>
      </c>
      <c r="I5263">
        <v>0.11028460983318</v>
      </c>
      <c r="J5263">
        <v>0.13192572012621501</v>
      </c>
      <c r="K5263">
        <v>0.116000459054913</v>
      </c>
      <c r="L5263">
        <v>1496.6652285129601</v>
      </c>
      <c r="M5263">
        <v>29.554393249873801</v>
      </c>
      <c r="N5263">
        <v>51.1077578689736</v>
      </c>
      <c r="O5263">
        <v>50.410885407295197</v>
      </c>
      <c r="P5263">
        <v>-0.12923367551075399</v>
      </c>
      <c r="Q5263">
        <v>0.118271324589106</v>
      </c>
      <c r="R5263">
        <v>0.99420406709258402</v>
      </c>
      <c r="S5263" t="s">
        <v>12069</v>
      </c>
      <c r="T5263" t="s">
        <v>13610</v>
      </c>
      <c r="U5263" t="s">
        <v>13610</v>
      </c>
      <c r="V5263" t="s">
        <v>13610</v>
      </c>
      <c r="W5263" t="s">
        <v>13764</v>
      </c>
      <c r="X5263">
        <v>10</v>
      </c>
      <c r="Y5263" t="s">
        <v>25374</v>
      </c>
      <c r="Z5263" t="s">
        <v>32118</v>
      </c>
      <c r="AA5263">
        <v>0.43670110711075499</v>
      </c>
      <c r="AB5263" t="str">
        <f>HYPERLINK("Melting_Curves/meltCurve_Q96QG7_MTMR9.pdf", "Melting_Curves/meltCurve_Q96QG7_MTMR9.pdf")</f>
        <v>Melting_Curves/meltCurve_Q96QG7_MTMR9.pdf</v>
      </c>
    </row>
    <row r="5264" spans="1:28" x14ac:dyDescent="0.25">
      <c r="A5264" t="s">
        <v>5268</v>
      </c>
      <c r="B5264">
        <v>0.995954080203443</v>
      </c>
      <c r="C5264">
        <v>0.92879578808738406</v>
      </c>
      <c r="D5264">
        <v>0.87893612788994302</v>
      </c>
      <c r="E5264">
        <v>0.76901225265102302</v>
      </c>
      <c r="F5264">
        <v>0.36128996434572203</v>
      </c>
      <c r="G5264">
        <v>0.11638069972123601</v>
      </c>
      <c r="H5264">
        <v>7.2424215434506597E-2</v>
      </c>
      <c r="I5264">
        <v>6.30276801641559E-2</v>
      </c>
      <c r="J5264">
        <v>7.8369796430054803E-2</v>
      </c>
      <c r="K5264">
        <v>6.4921402937773001E-2</v>
      </c>
      <c r="L5264">
        <v>1418.8446848581</v>
      </c>
      <c r="M5264">
        <v>27.4521298800381</v>
      </c>
      <c r="N5264">
        <v>51.929897357378501</v>
      </c>
      <c r="O5264">
        <v>51.412397332046801</v>
      </c>
      <c r="P5264">
        <v>-0.12536530044731101</v>
      </c>
      <c r="Q5264">
        <v>6.0871286852544303E-2</v>
      </c>
      <c r="R5264">
        <v>0.99023925805428403</v>
      </c>
      <c r="S5264" t="s">
        <v>12070</v>
      </c>
      <c r="T5264" t="s">
        <v>13610</v>
      </c>
      <c r="U5264" t="s">
        <v>13610</v>
      </c>
      <c r="V5264" t="s">
        <v>13610</v>
      </c>
      <c r="W5264" t="s">
        <v>18807</v>
      </c>
      <c r="X5264">
        <v>35</v>
      </c>
      <c r="Y5264" t="s">
        <v>25375</v>
      </c>
      <c r="Z5264" t="s">
        <v>32119</v>
      </c>
      <c r="AA5264">
        <v>0.43375829820436501</v>
      </c>
      <c r="AB5264" t="str">
        <f>HYPERLINK("Melting_Curves/meltCurve_Q96QK1_VPS35.pdf", "Melting_Curves/meltCurve_Q96QK1_VPS35.pdf")</f>
        <v>Melting_Curves/meltCurve_Q96QK1_VPS35.pdf</v>
      </c>
    </row>
    <row r="5265" spans="1:28" x14ac:dyDescent="0.25">
      <c r="A5265" t="s">
        <v>5269</v>
      </c>
      <c r="B5265">
        <v>0.995954080203443</v>
      </c>
      <c r="C5265">
        <v>0.89658497535868598</v>
      </c>
      <c r="D5265">
        <v>0.92107171686710898</v>
      </c>
      <c r="E5265">
        <v>0.88258658121881495</v>
      </c>
      <c r="F5265">
        <v>0.79892098145165102</v>
      </c>
      <c r="G5265">
        <v>0.65696845220435296</v>
      </c>
      <c r="H5265">
        <v>0.46209630395170098</v>
      </c>
      <c r="I5265">
        <v>0.40108306600349602</v>
      </c>
      <c r="J5265">
        <v>0.27812597228661801</v>
      </c>
      <c r="K5265">
        <v>0.20134592314689001</v>
      </c>
      <c r="L5265">
        <v>560.189374455696</v>
      </c>
      <c r="M5265">
        <v>9.2617056912164308</v>
      </c>
      <c r="N5265">
        <v>60.484463397648902</v>
      </c>
      <c r="O5265">
        <v>57.865285823255903</v>
      </c>
      <c r="P5265">
        <v>-4.0040151427285703E-2</v>
      </c>
      <c r="Q5265">
        <v>0</v>
      </c>
      <c r="R5265">
        <v>0.98763819374936801</v>
      </c>
      <c r="S5265" t="s">
        <v>12071</v>
      </c>
      <c r="T5265" t="s">
        <v>13610</v>
      </c>
      <c r="U5265" t="s">
        <v>13610</v>
      </c>
      <c r="V5265" t="s">
        <v>13610</v>
      </c>
      <c r="W5265" t="s">
        <v>18808</v>
      </c>
      <c r="X5265">
        <v>7</v>
      </c>
      <c r="Y5265" t="s">
        <v>25376</v>
      </c>
      <c r="Z5265" t="s">
        <v>32120</v>
      </c>
      <c r="AA5265">
        <v>0.67117907649814679</v>
      </c>
      <c r="AB5265" t="str">
        <f>HYPERLINK("Melting_Curves/meltCurve_Q96QR8_PURB.pdf", "Melting_Curves/meltCurve_Q96QR8_PURB.pdf")</f>
        <v>Melting_Curves/meltCurve_Q96QR8_PURB.pdf</v>
      </c>
    </row>
    <row r="5266" spans="1:28" x14ac:dyDescent="0.25">
      <c r="A5266" t="s">
        <v>5270</v>
      </c>
      <c r="B5266">
        <v>0.995954080203443</v>
      </c>
      <c r="C5266">
        <v>1.04449006046252</v>
      </c>
      <c r="D5266">
        <v>1.06459054019528</v>
      </c>
      <c r="E5266">
        <v>0.90022849804745997</v>
      </c>
      <c r="F5266">
        <v>0.97827464193146796</v>
      </c>
      <c r="G5266">
        <v>0.83307657403396795</v>
      </c>
      <c r="H5266">
        <v>0.87179341564434498</v>
      </c>
      <c r="I5266">
        <v>1.0281060264986199</v>
      </c>
      <c r="J5266">
        <v>1.09590151689963</v>
      </c>
      <c r="K5266">
        <v>1.2954531551914299</v>
      </c>
      <c r="L5266">
        <v>3672.49266177969</v>
      </c>
      <c r="M5266">
        <v>53.761880679180699</v>
      </c>
      <c r="O5266">
        <v>68.216027206997495</v>
      </c>
      <c r="P5266">
        <v>7.4079042074817594E-2</v>
      </c>
      <c r="Q5266">
        <v>1.37598199110668</v>
      </c>
      <c r="R5266">
        <v>0.60901864556720497</v>
      </c>
      <c r="S5266" t="s">
        <v>12072</v>
      </c>
      <c r="T5266" t="s">
        <v>13610</v>
      </c>
      <c r="U5266" t="s">
        <v>13610</v>
      </c>
      <c r="V5266" t="s">
        <v>13610</v>
      </c>
      <c r="W5266" t="s">
        <v>18809</v>
      </c>
      <c r="X5266">
        <v>3</v>
      </c>
      <c r="Y5266" t="s">
        <v>25377</v>
      </c>
      <c r="Z5266" t="s">
        <v>32121</v>
      </c>
      <c r="AA5266">
        <v>1.024409099723838</v>
      </c>
      <c r="AB5266" t="str">
        <f>HYPERLINK("Melting_Curves/meltCurve_Q96QT6_4_PHF12.pdf", "Melting_Curves/meltCurve_Q96QT6_4_PHF12.pdf")</f>
        <v>Melting_Curves/meltCurve_Q96QT6_4_PHF12.pdf</v>
      </c>
    </row>
    <row r="5267" spans="1:28" x14ac:dyDescent="0.25">
      <c r="A5267" t="s">
        <v>5271</v>
      </c>
      <c r="B5267">
        <v>0.995954080203443</v>
      </c>
      <c r="C5267">
        <v>0.81823201718747296</v>
      </c>
      <c r="D5267">
        <v>0.72363826367413397</v>
      </c>
      <c r="E5267">
        <v>0.53887740250170801</v>
      </c>
      <c r="F5267">
        <v>0.36198734881842498</v>
      </c>
      <c r="G5267">
        <v>0.206358682840976</v>
      </c>
      <c r="H5267">
        <v>0.124784215949648</v>
      </c>
      <c r="I5267">
        <v>0.10790325011449201</v>
      </c>
      <c r="J5267">
        <v>0.12644096216968501</v>
      </c>
      <c r="K5267">
        <v>0.12852951102860999</v>
      </c>
      <c r="L5267">
        <v>597.12286758966297</v>
      </c>
      <c r="M5267">
        <v>12.0864205101911</v>
      </c>
      <c r="N5267">
        <v>50.046494633933399</v>
      </c>
      <c r="O5267">
        <v>48.110317984193003</v>
      </c>
      <c r="P5267">
        <v>-5.8308894454324398E-2</v>
      </c>
      <c r="Q5267">
        <v>7.1817256523711001E-2</v>
      </c>
      <c r="R5267">
        <v>0.99044748097535695</v>
      </c>
      <c r="S5267" t="s">
        <v>12073</v>
      </c>
      <c r="T5267" t="s">
        <v>13610</v>
      </c>
      <c r="U5267" t="s">
        <v>13610</v>
      </c>
      <c r="V5267" t="s">
        <v>13610</v>
      </c>
      <c r="W5267" t="s">
        <v>18810</v>
      </c>
      <c r="X5267">
        <v>8</v>
      </c>
      <c r="Y5267" t="s">
        <v>25378</v>
      </c>
      <c r="Z5267" t="s">
        <v>32122</v>
      </c>
      <c r="AA5267">
        <v>0.39567838830660251</v>
      </c>
      <c r="AB5267" t="str">
        <f>HYPERLINK("Melting_Curves/meltCurve_Q96QU6_ACCS.pdf", "Melting_Curves/meltCurve_Q96QU6_ACCS.pdf")</f>
        <v>Melting_Curves/meltCurve_Q96QU6_ACCS.pdf</v>
      </c>
    </row>
    <row r="5268" spans="1:28" x14ac:dyDescent="0.25">
      <c r="A5268" t="s">
        <v>5272</v>
      </c>
      <c r="B5268">
        <v>0.995954080203443</v>
      </c>
      <c r="C5268">
        <v>0.95912603929697804</v>
      </c>
      <c r="D5268">
        <v>0.95383125182097805</v>
      </c>
      <c r="E5268">
        <v>0.41094973694023701</v>
      </c>
      <c r="F5268">
        <v>0.19932578810836199</v>
      </c>
      <c r="G5268">
        <v>0.12801184218384101</v>
      </c>
      <c r="H5268">
        <v>9.2684572651487898E-2</v>
      </c>
      <c r="I5268">
        <v>8.5250256583859693E-2</v>
      </c>
      <c r="J5268">
        <v>9.2372030743853903E-2</v>
      </c>
      <c r="K5268">
        <v>8.0376408216208395E-2</v>
      </c>
      <c r="L5268">
        <v>1697.7169329861899</v>
      </c>
      <c r="M5268">
        <v>34.495547683090699</v>
      </c>
      <c r="N5268">
        <v>49.527123182157801</v>
      </c>
      <c r="O5268">
        <v>49.051021562661496</v>
      </c>
      <c r="P5268">
        <v>-0.158665338997627</v>
      </c>
      <c r="Q5268">
        <v>9.7545250603462405E-2</v>
      </c>
      <c r="R5268">
        <v>0.99704199522510595</v>
      </c>
      <c r="S5268" t="s">
        <v>12074</v>
      </c>
      <c r="T5268" t="s">
        <v>13610</v>
      </c>
      <c r="U5268" t="s">
        <v>13610</v>
      </c>
      <c r="V5268" t="s">
        <v>13610</v>
      </c>
      <c r="W5268" t="s">
        <v>18811</v>
      </c>
      <c r="X5268">
        <v>21</v>
      </c>
      <c r="Y5268" t="s">
        <v>25379</v>
      </c>
      <c r="Z5268" t="s">
        <v>32123</v>
      </c>
      <c r="AA5268">
        <v>0.37891364363253438</v>
      </c>
      <c r="AB5268" t="str">
        <f>HYPERLINK("Melting_Curves/meltCurve_Q96QU8_XPO6.pdf", "Melting_Curves/meltCurve_Q96QU8_XPO6.pdf")</f>
        <v>Melting_Curves/meltCurve_Q96QU8_XPO6.pdf</v>
      </c>
    </row>
    <row r="5269" spans="1:28" x14ac:dyDescent="0.25">
      <c r="A5269" t="s">
        <v>5273</v>
      </c>
      <c r="B5269">
        <v>0.995954080203443</v>
      </c>
      <c r="C5269">
        <v>1.03716441195731</v>
      </c>
      <c r="D5269">
        <v>1.0167163894765601</v>
      </c>
      <c r="E5269">
        <v>0.91639661141345397</v>
      </c>
      <c r="F5269">
        <v>0.91104482883252502</v>
      </c>
      <c r="G5269">
        <v>0.56134513132408703</v>
      </c>
      <c r="H5269">
        <v>0.40588599708400402</v>
      </c>
      <c r="I5269">
        <v>0.390082133892654</v>
      </c>
      <c r="J5269">
        <v>0.41875630211380599</v>
      </c>
      <c r="K5269">
        <v>0.35660940920011602</v>
      </c>
      <c r="L5269">
        <v>1799.24768513001</v>
      </c>
      <c r="M5269">
        <v>32.4187108751049</v>
      </c>
      <c r="N5269">
        <v>58.0837692483341</v>
      </c>
      <c r="O5269">
        <v>55.290381104940003</v>
      </c>
      <c r="P5269">
        <v>-9.0623630459999105E-2</v>
      </c>
      <c r="Q5269">
        <v>0.38176553630052701</v>
      </c>
      <c r="R5269">
        <v>0.98920998229226598</v>
      </c>
      <c r="S5269" t="s">
        <v>12075</v>
      </c>
      <c r="T5269" t="s">
        <v>13610</v>
      </c>
      <c r="U5269" t="s">
        <v>13610</v>
      </c>
      <c r="V5269" t="s">
        <v>13610</v>
      </c>
      <c r="W5269" t="s">
        <v>18812</v>
      </c>
      <c r="X5269">
        <v>9</v>
      </c>
      <c r="Y5269" t="s">
        <v>25380</v>
      </c>
      <c r="Z5269" t="s">
        <v>32124</v>
      </c>
      <c r="AA5269">
        <v>0.70474738216985844</v>
      </c>
      <c r="AB5269" t="str">
        <f>HYPERLINK("Melting_Curves/meltCurve_Q96QZ7_7_MAGI1.pdf", "Melting_Curves/meltCurve_Q96QZ7_7_MAGI1.pdf")</f>
        <v>Melting_Curves/meltCurve_Q96QZ7_7_MAGI1.pdf</v>
      </c>
    </row>
    <row r="5270" spans="1:28" x14ac:dyDescent="0.25">
      <c r="A5270" t="s">
        <v>5274</v>
      </c>
      <c r="B5270">
        <v>0.995954080203443</v>
      </c>
      <c r="C5270">
        <v>0.92956362091705602</v>
      </c>
      <c r="D5270">
        <v>0.81628600897625903</v>
      </c>
      <c r="E5270">
        <v>0.56952202364628901</v>
      </c>
      <c r="F5270">
        <v>0.363528724834564</v>
      </c>
      <c r="G5270">
        <v>0.22579231229685001</v>
      </c>
      <c r="H5270">
        <v>0.16331147716804301</v>
      </c>
      <c r="I5270">
        <v>0.16343288806610201</v>
      </c>
      <c r="J5270">
        <v>0.20421002056852799</v>
      </c>
      <c r="K5270">
        <v>0.183953225135845</v>
      </c>
      <c r="L5270">
        <v>865.35228956121796</v>
      </c>
      <c r="M5270">
        <v>17.463197990651199</v>
      </c>
      <c r="N5270">
        <v>50.6917177882518</v>
      </c>
      <c r="O5270">
        <v>48.916812782029801</v>
      </c>
      <c r="P5270">
        <v>-7.4772531454921104E-2</v>
      </c>
      <c r="Q5270">
        <v>0.16225401769948</v>
      </c>
      <c r="R5270">
        <v>0.99646842839479</v>
      </c>
      <c r="S5270" t="s">
        <v>12076</v>
      </c>
      <c r="T5270" t="s">
        <v>13610</v>
      </c>
      <c r="U5270" t="s">
        <v>13610</v>
      </c>
      <c r="V5270" t="s">
        <v>13610</v>
      </c>
      <c r="W5270" t="s">
        <v>18813</v>
      </c>
      <c r="X5270">
        <v>23</v>
      </c>
      <c r="Y5270" t="s">
        <v>25381</v>
      </c>
      <c r="Z5270" t="s">
        <v>32125</v>
      </c>
      <c r="AA5270">
        <v>0.44426047026134041</v>
      </c>
      <c r="AB5270" t="str">
        <f>HYPERLINK("Melting_Curves/meltCurve_Q96R06_SPAG5.pdf", "Melting_Curves/meltCurve_Q96R06_SPAG5.pdf")</f>
        <v>Melting_Curves/meltCurve_Q96R06_SPAG5.pdf</v>
      </c>
    </row>
    <row r="5271" spans="1:28" x14ac:dyDescent="0.25">
      <c r="A5271" t="s">
        <v>5275</v>
      </c>
      <c r="B5271">
        <v>0.995954080203443</v>
      </c>
      <c r="C5271">
        <v>1.00000984274766</v>
      </c>
      <c r="D5271">
        <v>0.95472703604203901</v>
      </c>
      <c r="E5271">
        <v>0.85847364593979103</v>
      </c>
      <c r="F5271">
        <v>0.75357245714630905</v>
      </c>
      <c r="G5271">
        <v>0.52390009014508399</v>
      </c>
      <c r="H5271">
        <v>0.41920331727451898</v>
      </c>
      <c r="I5271">
        <v>0.41441644085728901</v>
      </c>
      <c r="J5271">
        <v>0.33762151193843298</v>
      </c>
      <c r="K5271">
        <v>0.21255526351988299</v>
      </c>
      <c r="L5271">
        <v>670.33410760878905</v>
      </c>
      <c r="M5271">
        <v>11.9175800779048</v>
      </c>
      <c r="N5271">
        <v>58.790885651412097</v>
      </c>
      <c r="O5271">
        <v>54.733951365992297</v>
      </c>
      <c r="P5271">
        <v>-4.3480731498674999E-2</v>
      </c>
      <c r="Q5271">
        <v>0.20142086708578399</v>
      </c>
      <c r="R5271">
        <v>0.98627952273915398</v>
      </c>
      <c r="S5271" t="s">
        <v>12077</v>
      </c>
      <c r="T5271" t="s">
        <v>13610</v>
      </c>
      <c r="U5271" t="s">
        <v>13610</v>
      </c>
      <c r="V5271" t="s">
        <v>13610</v>
      </c>
      <c r="W5271" t="s">
        <v>18814</v>
      </c>
      <c r="X5271">
        <v>14</v>
      </c>
      <c r="Y5271" t="s">
        <v>25382</v>
      </c>
      <c r="Z5271" t="s">
        <v>32126</v>
      </c>
      <c r="AA5271">
        <v>0.64956451101667434</v>
      </c>
      <c r="AB5271" t="str">
        <f>HYPERLINK("Melting_Curves/meltCurve_Q96RE7_NACC1.pdf", "Melting_Curves/meltCurve_Q96RE7_NACC1.pdf")</f>
        <v>Melting_Curves/meltCurve_Q96RE7_NACC1.pdf</v>
      </c>
    </row>
    <row r="5272" spans="1:28" x14ac:dyDescent="0.25">
      <c r="A5272" t="s">
        <v>5276</v>
      </c>
      <c r="B5272">
        <v>0.995954080203443</v>
      </c>
      <c r="C5272">
        <v>0.90532908955200997</v>
      </c>
      <c r="D5272">
        <v>0.776694943344579</v>
      </c>
      <c r="E5272">
        <v>0.76527851837265903</v>
      </c>
      <c r="F5272">
        <v>0.82105730928509102</v>
      </c>
      <c r="G5272">
        <v>0.56975300835601705</v>
      </c>
      <c r="H5272">
        <v>0.53335417679029196</v>
      </c>
      <c r="I5272">
        <v>0.669419302430598</v>
      </c>
      <c r="J5272">
        <v>0.81291099311445802</v>
      </c>
      <c r="K5272">
        <v>0.73129108369150098</v>
      </c>
      <c r="L5272">
        <v>745.71238390285896</v>
      </c>
      <c r="M5272">
        <v>16.512161366564499</v>
      </c>
      <c r="O5272">
        <v>44.514609438487099</v>
      </c>
      <c r="P5272">
        <v>-2.9467012565207298E-2</v>
      </c>
      <c r="Q5272">
        <v>0.68226529956929405</v>
      </c>
      <c r="R5272">
        <v>0.58940839710831505</v>
      </c>
      <c r="S5272" t="s">
        <v>12078</v>
      </c>
      <c r="T5272" t="s">
        <v>13610</v>
      </c>
      <c r="U5272" t="s">
        <v>13610</v>
      </c>
      <c r="V5272" t="s">
        <v>13610</v>
      </c>
      <c r="W5272" t="s">
        <v>18815</v>
      </c>
      <c r="X5272">
        <v>5</v>
      </c>
      <c r="Y5272" t="s">
        <v>25383</v>
      </c>
      <c r="Z5272" t="s">
        <v>32127</v>
      </c>
      <c r="AA5272">
        <v>0.74509141921335831</v>
      </c>
      <c r="AB5272" t="str">
        <f>HYPERLINK("Melting_Curves/meltCurve_Q96RF0_3_SNX18.pdf", "Melting_Curves/meltCurve_Q96RF0_3_SNX18.pdf")</f>
        <v>Melting_Curves/meltCurve_Q96RF0_3_SNX18.pdf</v>
      </c>
    </row>
    <row r="5273" spans="1:28" x14ac:dyDescent="0.25">
      <c r="A5273" t="s">
        <v>5277</v>
      </c>
      <c r="B5273">
        <v>0.995954080203443</v>
      </c>
      <c r="C5273">
        <v>1.00294594967332</v>
      </c>
      <c r="D5273">
        <v>0.91757123300334997</v>
      </c>
      <c r="E5273">
        <v>0.68850618810037201</v>
      </c>
      <c r="F5273">
        <v>0.34860742365858799</v>
      </c>
      <c r="G5273">
        <v>0.21154426039205301</v>
      </c>
      <c r="H5273">
        <v>0.16514198713859901</v>
      </c>
      <c r="I5273">
        <v>0.177903275874814</v>
      </c>
      <c r="J5273">
        <v>0.22983188643567501</v>
      </c>
      <c r="K5273">
        <v>0.21192280565986801</v>
      </c>
      <c r="L5273">
        <v>1513.4401138861799</v>
      </c>
      <c r="M5273">
        <v>29.892738172033798</v>
      </c>
      <c r="N5273">
        <v>51.461049458381801</v>
      </c>
      <c r="O5273">
        <v>50.404061799367298</v>
      </c>
      <c r="P5273">
        <v>-0.119854354988964</v>
      </c>
      <c r="Q5273">
        <v>0.19162887702491599</v>
      </c>
      <c r="R5273">
        <v>0.99530846368112802</v>
      </c>
      <c r="S5273" t="s">
        <v>12079</v>
      </c>
      <c r="T5273" t="s">
        <v>13610</v>
      </c>
      <c r="U5273" t="s">
        <v>13610</v>
      </c>
      <c r="V5273" t="s">
        <v>13610</v>
      </c>
      <c r="W5273" t="s">
        <v>18816</v>
      </c>
      <c r="X5273">
        <v>16</v>
      </c>
      <c r="Y5273" t="s">
        <v>25384</v>
      </c>
      <c r="Z5273" t="s">
        <v>32128</v>
      </c>
      <c r="AA5273">
        <v>0.48312354019899278</v>
      </c>
      <c r="AB5273" t="str">
        <f>HYPERLINK("Melting_Curves/meltCurve_Q96RG2_PASK.pdf", "Melting_Curves/meltCurve_Q96RG2_PASK.pdf")</f>
        <v>Melting_Curves/meltCurve_Q96RG2_PASK.pdf</v>
      </c>
    </row>
    <row r="5274" spans="1:28" x14ac:dyDescent="0.25">
      <c r="A5274" t="s">
        <v>5278</v>
      </c>
      <c r="B5274">
        <v>0.995954080203443</v>
      </c>
      <c r="C5274">
        <v>1.0152302011972101</v>
      </c>
      <c r="D5274">
        <v>1.0224795324575799</v>
      </c>
      <c r="E5274">
        <v>0.94835730508197702</v>
      </c>
      <c r="F5274">
        <v>0.793423193108726</v>
      </c>
      <c r="G5274">
        <v>0.59477567665813502</v>
      </c>
      <c r="H5274">
        <v>0.52142800385778398</v>
      </c>
      <c r="I5274">
        <v>0.595420578961396</v>
      </c>
      <c r="J5274">
        <v>0.66797044803347805</v>
      </c>
      <c r="K5274">
        <v>0.66555504683339795</v>
      </c>
      <c r="L5274">
        <v>2366.2770408010201</v>
      </c>
      <c r="M5274">
        <v>44.855021195825202</v>
      </c>
      <c r="O5274">
        <v>52.649360464717297</v>
      </c>
      <c r="P5274">
        <v>-8.3672980199410094E-2</v>
      </c>
      <c r="Q5274">
        <v>0.60715005821161505</v>
      </c>
      <c r="R5274">
        <v>0.95217971909386101</v>
      </c>
      <c r="S5274" t="s">
        <v>12080</v>
      </c>
      <c r="T5274" t="s">
        <v>13610</v>
      </c>
      <c r="U5274" t="s">
        <v>13610</v>
      </c>
      <c r="V5274" t="s">
        <v>13610</v>
      </c>
      <c r="W5274" t="s">
        <v>18817</v>
      </c>
      <c r="X5274">
        <v>23</v>
      </c>
      <c r="Y5274" t="s">
        <v>25385</v>
      </c>
      <c r="Z5274" t="s">
        <v>32129</v>
      </c>
      <c r="AA5274">
        <v>0.77529928407791782</v>
      </c>
      <c r="AB5274" t="str">
        <f>HYPERLINK("Melting_Curves/meltCurve_Q96RL1_UIMC1.pdf", "Melting_Curves/meltCurve_Q96RL1_UIMC1.pdf")</f>
        <v>Melting_Curves/meltCurve_Q96RL1_UIMC1.pdf</v>
      </c>
    </row>
    <row r="5275" spans="1:28" x14ac:dyDescent="0.25">
      <c r="A5275" t="s">
        <v>5279</v>
      </c>
      <c r="B5275">
        <v>0.995954080203443</v>
      </c>
      <c r="C5275">
        <v>0.918743216960762</v>
      </c>
      <c r="D5275">
        <v>0.70578108735239597</v>
      </c>
      <c r="E5275">
        <v>0.84599497985143202</v>
      </c>
      <c r="F5275">
        <v>0.57232736616537805</v>
      </c>
      <c r="G5275">
        <v>0.381515167148537</v>
      </c>
      <c r="H5275">
        <v>0.18335257061336999</v>
      </c>
      <c r="I5275">
        <v>8.1771738439886096E-2</v>
      </c>
      <c r="J5275">
        <v>7.5950773309488295E-2</v>
      </c>
      <c r="K5275">
        <v>7.9978416944993899E-2</v>
      </c>
      <c r="L5275">
        <v>633.24857073270698</v>
      </c>
      <c r="M5275">
        <v>11.697507126070001</v>
      </c>
      <c r="N5275">
        <v>54.135343681285804</v>
      </c>
      <c r="O5275">
        <v>52.6258206937555</v>
      </c>
      <c r="P5275">
        <v>-5.5584020246038597E-2</v>
      </c>
      <c r="Q5275">
        <v>0</v>
      </c>
      <c r="R5275">
        <v>0.95534876716347406</v>
      </c>
      <c r="S5275" t="s">
        <v>12081</v>
      </c>
      <c r="T5275" t="s">
        <v>13610</v>
      </c>
      <c r="U5275" t="s">
        <v>13610</v>
      </c>
      <c r="V5275" t="s">
        <v>13610</v>
      </c>
      <c r="W5275" t="s">
        <v>18818</v>
      </c>
      <c r="X5275">
        <v>11</v>
      </c>
      <c r="Y5275" t="s">
        <v>25386</v>
      </c>
      <c r="Z5275" t="s">
        <v>32130</v>
      </c>
      <c r="AA5275">
        <v>0.49753829445110359</v>
      </c>
      <c r="AB5275" t="str">
        <f>HYPERLINK("Melting_Curves/meltCurve_Q96RL7_4_VPS13A.pdf", "Melting_Curves/meltCurve_Q96RL7_4_VPS13A.pdf")</f>
        <v>Melting_Curves/meltCurve_Q96RL7_4_VPS13A.pdf</v>
      </c>
    </row>
    <row r="5276" spans="1:28" x14ac:dyDescent="0.25">
      <c r="A5276" t="s">
        <v>5280</v>
      </c>
      <c r="B5276">
        <v>0.995954080203443</v>
      </c>
      <c r="C5276">
        <v>0.94012156806953096</v>
      </c>
      <c r="D5276">
        <v>0.93354344668326905</v>
      </c>
      <c r="E5276">
        <v>0.77702039942821699</v>
      </c>
      <c r="F5276">
        <v>0.612905150469502</v>
      </c>
      <c r="G5276">
        <v>0.40903197886926401</v>
      </c>
      <c r="H5276">
        <v>0.30573762749161498</v>
      </c>
      <c r="I5276">
        <v>0.30344293997933602</v>
      </c>
      <c r="J5276">
        <v>0.31073812220615799</v>
      </c>
      <c r="K5276">
        <v>0.28570758405117602</v>
      </c>
      <c r="L5276">
        <v>894.04547620718199</v>
      </c>
      <c r="M5276">
        <v>17.078342132963101</v>
      </c>
      <c r="N5276">
        <v>54.883513665815897</v>
      </c>
      <c r="O5276">
        <v>51.647722972946099</v>
      </c>
      <c r="P5276">
        <v>-6.0125245070695103E-2</v>
      </c>
      <c r="Q5276">
        <v>0.27272951331363299</v>
      </c>
      <c r="R5276">
        <v>0.99588457991997503</v>
      </c>
      <c r="S5276" t="s">
        <v>12082</v>
      </c>
      <c r="T5276" t="s">
        <v>13610</v>
      </c>
      <c r="U5276" t="s">
        <v>13610</v>
      </c>
      <c r="V5276" t="s">
        <v>13610</v>
      </c>
      <c r="W5276" t="s">
        <v>18819</v>
      </c>
      <c r="X5276">
        <v>19</v>
      </c>
      <c r="Y5276" t="s">
        <v>25387</v>
      </c>
      <c r="Z5276" t="s">
        <v>32131</v>
      </c>
      <c r="AA5276">
        <v>0.58524290208891772</v>
      </c>
      <c r="AB5276" t="str">
        <f>HYPERLINK("Melting_Curves/meltCurve_Q96RN5_MED15.pdf", "Melting_Curves/meltCurve_Q96RN5_MED15.pdf")</f>
        <v>Melting_Curves/meltCurve_Q96RN5_MED15.pdf</v>
      </c>
    </row>
    <row r="5277" spans="1:28" x14ac:dyDescent="0.25">
      <c r="A5277" t="s">
        <v>5281</v>
      </c>
      <c r="B5277">
        <v>0.995954080203443</v>
      </c>
      <c r="C5277">
        <v>0.98471664121118796</v>
      </c>
      <c r="D5277">
        <v>0.85908538999291695</v>
      </c>
      <c r="E5277">
        <v>0.45954792273975698</v>
      </c>
      <c r="F5277">
        <v>0.14182311156977701</v>
      </c>
      <c r="G5277">
        <v>7.9239094357036299E-2</v>
      </c>
      <c r="H5277">
        <v>5.25118605540758E-2</v>
      </c>
      <c r="I5277">
        <v>4.5912574183662E-2</v>
      </c>
      <c r="J5277">
        <v>5.2626341035699603E-2</v>
      </c>
      <c r="K5277">
        <v>4.8926501588782298E-2</v>
      </c>
      <c r="L5277">
        <v>1319.1431293108401</v>
      </c>
      <c r="M5277">
        <v>26.7506847802062</v>
      </c>
      <c r="N5277">
        <v>49.489762245030903</v>
      </c>
      <c r="O5277">
        <v>49.039407800075701</v>
      </c>
      <c r="P5277">
        <v>-0.13014468047602901</v>
      </c>
      <c r="Q5277">
        <v>4.5684083142708297E-2</v>
      </c>
      <c r="R5277">
        <v>0.99865323171806697</v>
      </c>
      <c r="S5277" t="s">
        <v>12083</v>
      </c>
      <c r="T5277" t="s">
        <v>13610</v>
      </c>
      <c r="U5277" t="s">
        <v>13610</v>
      </c>
      <c r="V5277" t="s">
        <v>13610</v>
      </c>
      <c r="W5277" t="s">
        <v>18820</v>
      </c>
      <c r="X5277">
        <v>20</v>
      </c>
      <c r="Y5277" t="s">
        <v>25388</v>
      </c>
      <c r="Z5277" t="s">
        <v>32132</v>
      </c>
      <c r="AA5277">
        <v>0.3492999051212865</v>
      </c>
      <c r="AB5277" t="str">
        <f>HYPERLINK("Melting_Curves/meltCurve_Q96RP9_GFM1.pdf", "Melting_Curves/meltCurve_Q96RP9_GFM1.pdf")</f>
        <v>Melting_Curves/meltCurve_Q96RP9_GFM1.pdf</v>
      </c>
    </row>
    <row r="5278" spans="1:28" x14ac:dyDescent="0.25">
      <c r="A5278" t="s">
        <v>5282</v>
      </c>
      <c r="B5278">
        <v>0.995954080203443</v>
      </c>
      <c r="C5278">
        <v>0.85395337985363595</v>
      </c>
      <c r="D5278">
        <v>0.79006417405223806</v>
      </c>
      <c r="E5278">
        <v>0.57521321508713796</v>
      </c>
      <c r="F5278">
        <v>0.44197555443671299</v>
      </c>
      <c r="G5278">
        <v>0.28084012599422298</v>
      </c>
      <c r="H5278">
        <v>0.28835409532456002</v>
      </c>
      <c r="I5278">
        <v>0.29826011220159299</v>
      </c>
      <c r="J5278">
        <v>0.50153730525891105</v>
      </c>
      <c r="K5278">
        <v>0.33857369904289503</v>
      </c>
      <c r="L5278">
        <v>826.03248947213001</v>
      </c>
      <c r="M5278">
        <v>17.3064506186813</v>
      </c>
      <c r="N5278">
        <v>50.986358319905698</v>
      </c>
      <c r="O5278">
        <v>47.106149096548499</v>
      </c>
      <c r="P5278">
        <v>-6.1132014131054499E-2</v>
      </c>
      <c r="Q5278">
        <v>0.33446136067502602</v>
      </c>
      <c r="R5278">
        <v>0.92436676984687105</v>
      </c>
      <c r="S5278" t="s">
        <v>12084</v>
      </c>
      <c r="T5278" t="s">
        <v>13610</v>
      </c>
      <c r="U5278" t="s">
        <v>13610</v>
      </c>
      <c r="V5278" t="s">
        <v>13610</v>
      </c>
      <c r="W5278" t="s">
        <v>18821</v>
      </c>
      <c r="X5278">
        <v>4</v>
      </c>
      <c r="Y5278" t="s">
        <v>25389</v>
      </c>
      <c r="Z5278" t="s">
        <v>32133</v>
      </c>
      <c r="AA5278">
        <v>0.51888215330337062</v>
      </c>
      <c r="AB5278" t="str">
        <f>HYPERLINK("Melting_Curves/meltCurve_Q96RQ3_MCCC1.pdf", "Melting_Curves/meltCurve_Q96RQ3_MCCC1.pdf")</f>
        <v>Melting_Curves/meltCurve_Q96RQ3_MCCC1.pdf</v>
      </c>
    </row>
    <row r="5279" spans="1:28" x14ac:dyDescent="0.25">
      <c r="A5279" t="s">
        <v>5283</v>
      </c>
      <c r="B5279">
        <v>0.995954080203443</v>
      </c>
      <c r="C5279">
        <v>0.80039312207390501</v>
      </c>
      <c r="D5279">
        <v>0.65696932324025503</v>
      </c>
      <c r="E5279">
        <v>0.43049185071545099</v>
      </c>
      <c r="F5279">
        <v>0.31005668718187801</v>
      </c>
      <c r="G5279">
        <v>0.188750528143802</v>
      </c>
      <c r="H5279">
        <v>0.15344526566223299</v>
      </c>
      <c r="I5279">
        <v>0.174295319091369</v>
      </c>
      <c r="J5279">
        <v>0.204299526546037</v>
      </c>
      <c r="K5279">
        <v>0.20061872052305499</v>
      </c>
      <c r="L5279">
        <v>708.95460670341004</v>
      </c>
      <c r="M5279">
        <v>15.0641922219538</v>
      </c>
      <c r="N5279">
        <v>48.364703832026102</v>
      </c>
      <c r="O5279">
        <v>46.256271008263496</v>
      </c>
      <c r="P5279">
        <v>-6.7848632505496706E-2</v>
      </c>
      <c r="Q5279">
        <v>0.16673591071737301</v>
      </c>
      <c r="R5279">
        <v>0.98870336509072398</v>
      </c>
      <c r="S5279" t="s">
        <v>12085</v>
      </c>
      <c r="T5279" t="s">
        <v>13610</v>
      </c>
      <c r="U5279" t="s">
        <v>13610</v>
      </c>
      <c r="V5279" t="s">
        <v>13610</v>
      </c>
      <c r="W5279" t="s">
        <v>18822</v>
      </c>
      <c r="X5279">
        <v>9</v>
      </c>
      <c r="Y5279" t="s">
        <v>25390</v>
      </c>
      <c r="Z5279" t="s">
        <v>32134</v>
      </c>
      <c r="AA5279">
        <v>0.38524828164405223</v>
      </c>
      <c r="AB5279" t="str">
        <f>HYPERLINK("Melting_Curves/meltCurve_Q96RR4_6_CAMKK2.pdf", "Melting_Curves/meltCurve_Q96RR4_6_CAMKK2.pdf")</f>
        <v>Melting_Curves/meltCurve_Q96RR4_6_CAMKK2.pdf</v>
      </c>
    </row>
    <row r="5280" spans="1:28" x14ac:dyDescent="0.25">
      <c r="A5280" t="s">
        <v>5284</v>
      </c>
      <c r="B5280">
        <v>0.995954080203443</v>
      </c>
      <c r="C5280">
        <v>0.83987942257690296</v>
      </c>
      <c r="D5280">
        <v>0.67473725695175502</v>
      </c>
      <c r="E5280">
        <v>0.65964285686245905</v>
      </c>
      <c r="F5280">
        <v>0.49339987401110003</v>
      </c>
      <c r="G5280">
        <v>0.34364103627097697</v>
      </c>
      <c r="H5280">
        <v>0.31602972347840702</v>
      </c>
      <c r="I5280">
        <v>0.37174105407094898</v>
      </c>
      <c r="J5280">
        <v>0.42347047529777598</v>
      </c>
      <c r="K5280">
        <v>0.42758183568574698</v>
      </c>
      <c r="L5280">
        <v>628.44699853094505</v>
      </c>
      <c r="M5280">
        <v>13.3431104765762</v>
      </c>
      <c r="N5280">
        <v>52.176491801889902</v>
      </c>
      <c r="O5280">
        <v>46.078803728870497</v>
      </c>
      <c r="P5280">
        <v>-4.6083568462656099E-2</v>
      </c>
      <c r="Q5280">
        <v>0.36352569226405201</v>
      </c>
      <c r="R5280">
        <v>0.93033207433901399</v>
      </c>
      <c r="S5280" t="s">
        <v>12086</v>
      </c>
      <c r="T5280" t="s">
        <v>13610</v>
      </c>
      <c r="U5280" t="s">
        <v>13610</v>
      </c>
      <c r="V5280" t="s">
        <v>13610</v>
      </c>
      <c r="W5280" t="s">
        <v>18823</v>
      </c>
      <c r="X5280">
        <v>15</v>
      </c>
      <c r="Y5280" t="s">
        <v>25391</v>
      </c>
      <c r="Z5280" t="s">
        <v>32135</v>
      </c>
      <c r="AA5280">
        <v>0.53585371609775767</v>
      </c>
      <c r="AB5280" t="str">
        <f>HYPERLINK("Melting_Curves/meltCurve_Q96RS0_TGS1.pdf", "Melting_Curves/meltCurve_Q96RS0_TGS1.pdf")</f>
        <v>Melting_Curves/meltCurve_Q96RS0_TGS1.pdf</v>
      </c>
    </row>
    <row r="5281" spans="1:28" x14ac:dyDescent="0.25">
      <c r="A5281" t="s">
        <v>5285</v>
      </c>
      <c r="B5281">
        <v>0.995954080203443</v>
      </c>
      <c r="C5281">
        <v>0.90000372251835203</v>
      </c>
      <c r="D5281">
        <v>1.0693431664498201</v>
      </c>
      <c r="E5281">
        <v>0.86772479449098905</v>
      </c>
      <c r="F5281">
        <v>0.73628637306962996</v>
      </c>
      <c r="G5281">
        <v>0.28273905931509802</v>
      </c>
      <c r="H5281">
        <v>0.119968060400092</v>
      </c>
      <c r="I5281">
        <v>8.1226761904717601E-2</v>
      </c>
      <c r="J5281">
        <v>6.8389399293916298E-2</v>
      </c>
      <c r="K5281">
        <v>6.3537442638538805E-2</v>
      </c>
      <c r="L5281">
        <v>1413.6543734269001</v>
      </c>
      <c r="M5281">
        <v>25.879407753148801</v>
      </c>
      <c r="N5281">
        <v>54.891090089650703</v>
      </c>
      <c r="O5281">
        <v>54.301664890870597</v>
      </c>
      <c r="P5281">
        <v>-0.11211605006893401</v>
      </c>
      <c r="Q5281">
        <v>5.90178800313782E-2</v>
      </c>
      <c r="R5281">
        <v>0.98814479783695097</v>
      </c>
      <c r="S5281" t="s">
        <v>12087</v>
      </c>
      <c r="T5281" t="s">
        <v>13610</v>
      </c>
      <c r="U5281" t="s">
        <v>13610</v>
      </c>
      <c r="V5281" t="s">
        <v>13610</v>
      </c>
      <c r="W5281" t="s">
        <v>18824</v>
      </c>
      <c r="X5281">
        <v>24</v>
      </c>
      <c r="Y5281" t="s">
        <v>25392</v>
      </c>
      <c r="Z5281" t="s">
        <v>32136</v>
      </c>
      <c r="AA5281">
        <v>0.52592567804922463</v>
      </c>
      <c r="AB5281" t="str">
        <f>HYPERLINK("Melting_Curves/meltCurve_Q96RS6_NUDCD1.pdf", "Melting_Curves/meltCurve_Q96RS6_NUDCD1.pdf")</f>
        <v>Melting_Curves/meltCurve_Q96RS6_NUDCD1.pdf</v>
      </c>
    </row>
    <row r="5282" spans="1:28" x14ac:dyDescent="0.25">
      <c r="A5282" t="s">
        <v>5286</v>
      </c>
      <c r="B5282">
        <v>0.995954080203443</v>
      </c>
      <c r="C5282">
        <v>0.96116821074636205</v>
      </c>
      <c r="D5282">
        <v>0.90542049346832598</v>
      </c>
      <c r="E5282">
        <v>0.84103240080280395</v>
      </c>
      <c r="F5282">
        <v>0.73216177186762699</v>
      </c>
      <c r="G5282">
        <v>0.538563256657272</v>
      </c>
      <c r="H5282">
        <v>0.54296793751539696</v>
      </c>
      <c r="I5282">
        <v>0.60936632607428398</v>
      </c>
      <c r="J5282">
        <v>0.68405520347965998</v>
      </c>
      <c r="K5282">
        <v>0.69390313636613099</v>
      </c>
      <c r="L5282">
        <v>1136.08273846577</v>
      </c>
      <c r="M5282">
        <v>22.666902998033098</v>
      </c>
      <c r="O5282">
        <v>49.735557422456701</v>
      </c>
      <c r="P5282">
        <v>-4.3929396263018401E-2</v>
      </c>
      <c r="Q5282">
        <v>0.61444936744079803</v>
      </c>
      <c r="R5282">
        <v>0.87296570697064602</v>
      </c>
      <c r="S5282" t="s">
        <v>12088</v>
      </c>
      <c r="T5282" t="s">
        <v>13610</v>
      </c>
      <c r="U5282" t="s">
        <v>13610</v>
      </c>
      <c r="V5282" t="s">
        <v>13610</v>
      </c>
      <c r="W5282" t="s">
        <v>18825</v>
      </c>
      <c r="X5282">
        <v>16</v>
      </c>
      <c r="Y5282" t="s">
        <v>25393</v>
      </c>
      <c r="Z5282" t="s">
        <v>32137</v>
      </c>
      <c r="AA5282">
        <v>0.74871375773018511</v>
      </c>
      <c r="AB5282" t="str">
        <f>HYPERLINK("Melting_Curves/meltCurve_Q96RT1_9_ERBB2IP.pdf", "Melting_Curves/meltCurve_Q96RT1_9_ERBB2IP.pdf")</f>
        <v>Melting_Curves/meltCurve_Q96RT1_9_ERBB2IP.pdf</v>
      </c>
    </row>
    <row r="5283" spans="1:28" x14ac:dyDescent="0.25">
      <c r="A5283" t="s">
        <v>5287</v>
      </c>
      <c r="B5283">
        <v>0.995954080203443</v>
      </c>
      <c r="C5283">
        <v>0.99658465800546703</v>
      </c>
      <c r="D5283">
        <v>0.78065299820960699</v>
      </c>
      <c r="E5283">
        <v>0.52424737788701703</v>
      </c>
      <c r="F5283">
        <v>0.26336066506275702</v>
      </c>
      <c r="G5283">
        <v>0.16229480639522401</v>
      </c>
      <c r="H5283">
        <v>0.110321731665473</v>
      </c>
      <c r="I5283">
        <v>0.101743411332295</v>
      </c>
      <c r="J5283">
        <v>0.113425324358097</v>
      </c>
      <c r="K5283">
        <v>0.108859967011165</v>
      </c>
      <c r="L5283">
        <v>957.59922309825004</v>
      </c>
      <c r="M5283">
        <v>19.4090266949175</v>
      </c>
      <c r="N5283">
        <v>49.8986404880092</v>
      </c>
      <c r="O5283">
        <v>48.823030257376303</v>
      </c>
      <c r="P5283">
        <v>-8.9648893546761504E-2</v>
      </c>
      <c r="Q5283">
        <v>9.79927839115287E-2</v>
      </c>
      <c r="R5283">
        <v>0.99570875827987604</v>
      </c>
      <c r="S5283" t="s">
        <v>12089</v>
      </c>
      <c r="T5283" t="s">
        <v>13610</v>
      </c>
      <c r="U5283" t="s">
        <v>13610</v>
      </c>
      <c r="V5283" t="s">
        <v>13610</v>
      </c>
      <c r="W5283" t="s">
        <v>18826</v>
      </c>
      <c r="X5283">
        <v>18</v>
      </c>
      <c r="Y5283" t="s">
        <v>25394</v>
      </c>
      <c r="Z5283" t="s">
        <v>32138</v>
      </c>
      <c r="AA5283">
        <v>0.39213180761498267</v>
      </c>
      <c r="AB5283" t="str">
        <f>HYPERLINK("Melting_Curves/meltCurve_Q96RU2_2_USP28.pdf", "Melting_Curves/meltCurve_Q96RU2_2_USP28.pdf")</f>
        <v>Melting_Curves/meltCurve_Q96RU2_2_USP28.pdf</v>
      </c>
    </row>
    <row r="5284" spans="1:28" x14ac:dyDescent="0.25">
      <c r="A5284" t="s">
        <v>5288</v>
      </c>
      <c r="B5284">
        <v>0.995954080203443</v>
      </c>
      <c r="C5284">
        <v>1.02035430916926</v>
      </c>
      <c r="D5284">
        <v>0.94419664903223399</v>
      </c>
      <c r="E5284">
        <v>0.57782819321557699</v>
      </c>
      <c r="F5284">
        <v>0.46398953757404698</v>
      </c>
      <c r="G5284">
        <v>0.36594629460991401</v>
      </c>
      <c r="H5284">
        <v>0.32167159665277001</v>
      </c>
      <c r="I5284">
        <v>0.373358327500531</v>
      </c>
      <c r="J5284">
        <v>0.337498626258807</v>
      </c>
      <c r="K5284">
        <v>0.40205704568036199</v>
      </c>
      <c r="L5284">
        <v>1510.15773604892</v>
      </c>
      <c r="M5284">
        <v>30.7322065680676</v>
      </c>
      <c r="N5284">
        <v>51.297268761718598</v>
      </c>
      <c r="O5284">
        <v>48.932598352181898</v>
      </c>
      <c r="P5284">
        <v>-0.100055748580476</v>
      </c>
      <c r="Q5284">
        <v>0.362758575318679</v>
      </c>
      <c r="R5284">
        <v>0.99058054017094299</v>
      </c>
      <c r="S5284" t="s">
        <v>12090</v>
      </c>
      <c r="T5284" t="s">
        <v>13610</v>
      </c>
      <c r="U5284" t="s">
        <v>13610</v>
      </c>
      <c r="V5284" t="s">
        <v>13610</v>
      </c>
      <c r="W5284" t="s">
        <v>18827</v>
      </c>
      <c r="X5284">
        <v>24</v>
      </c>
      <c r="Y5284" t="s">
        <v>25395</v>
      </c>
      <c r="Z5284" t="s">
        <v>32139</v>
      </c>
      <c r="AA5284">
        <v>0.56059089524184758</v>
      </c>
      <c r="AB5284" t="str">
        <f>HYPERLINK("Melting_Curves/meltCurve_Q96RU3_2_FNBP1.pdf", "Melting_Curves/meltCurve_Q96RU3_2_FNBP1.pdf")</f>
        <v>Melting_Curves/meltCurve_Q96RU3_2_FNBP1.pdf</v>
      </c>
    </row>
    <row r="5285" spans="1:28" x14ac:dyDescent="0.25">
      <c r="A5285" t="s">
        <v>5289</v>
      </c>
      <c r="B5285">
        <v>0.995954080203443</v>
      </c>
      <c r="C5285">
        <v>0.83517346911141199</v>
      </c>
      <c r="D5285">
        <v>0.58023135596011199</v>
      </c>
      <c r="E5285">
        <v>0.56005576560646197</v>
      </c>
      <c r="F5285">
        <v>0.34528687295767602</v>
      </c>
      <c r="G5285">
        <v>0.28049200862337698</v>
      </c>
      <c r="H5285">
        <v>0.18990633156254</v>
      </c>
      <c r="I5285">
        <v>0.22359980640320601</v>
      </c>
      <c r="J5285">
        <v>0.187842093082772</v>
      </c>
      <c r="K5285">
        <v>0.20778459273029401</v>
      </c>
      <c r="L5285">
        <v>577.61010308158302</v>
      </c>
      <c r="M5285">
        <v>12.122313838100901</v>
      </c>
      <c r="N5285">
        <v>49.399565873335298</v>
      </c>
      <c r="O5285">
        <v>46.407435844565299</v>
      </c>
      <c r="P5285">
        <v>-5.3910971003357601E-2</v>
      </c>
      <c r="Q5285">
        <v>0.174649260768033</v>
      </c>
      <c r="R5285">
        <v>0.96837604211102601</v>
      </c>
      <c r="S5285" t="s">
        <v>12091</v>
      </c>
      <c r="T5285" t="s">
        <v>13610</v>
      </c>
      <c r="U5285" t="s">
        <v>13610</v>
      </c>
      <c r="V5285" t="s">
        <v>13610</v>
      </c>
      <c r="W5285" t="s">
        <v>18828</v>
      </c>
      <c r="X5285">
        <v>2</v>
      </c>
      <c r="Y5285" t="s">
        <v>25396</v>
      </c>
      <c r="Z5285" t="s">
        <v>32140</v>
      </c>
      <c r="AA5285">
        <v>0.4175483735800839</v>
      </c>
      <c r="AB5285" t="str">
        <f>HYPERLINK("Melting_Curves/meltCurve_Q96RY7_IFT140.pdf", "Melting_Curves/meltCurve_Q96RY7_IFT140.pdf")</f>
        <v>Melting_Curves/meltCurve_Q96RY7_IFT140.pdf</v>
      </c>
    </row>
    <row r="5286" spans="1:28" x14ac:dyDescent="0.25">
      <c r="A5286" t="s">
        <v>5290</v>
      </c>
      <c r="B5286">
        <v>0.995954080203443</v>
      </c>
      <c r="C5286">
        <v>0.90665409843393396</v>
      </c>
      <c r="D5286">
        <v>0.83448897751474604</v>
      </c>
      <c r="E5286">
        <v>0.78936762356492696</v>
      </c>
      <c r="F5286">
        <v>0.60725851026562405</v>
      </c>
      <c r="G5286">
        <v>0.41238689334078599</v>
      </c>
      <c r="H5286">
        <v>0.29805860218248997</v>
      </c>
      <c r="I5286">
        <v>0.330299783798019</v>
      </c>
      <c r="J5286">
        <v>0.34247848337319298</v>
      </c>
      <c r="K5286">
        <v>0.36462274528225203</v>
      </c>
      <c r="L5286">
        <v>721.67872958393502</v>
      </c>
      <c r="M5286">
        <v>13.978839732643999</v>
      </c>
      <c r="N5286">
        <v>55.143192189661903</v>
      </c>
      <c r="O5286">
        <v>50.604411368778301</v>
      </c>
      <c r="P5286">
        <v>-4.8694940648938E-2</v>
      </c>
      <c r="Q5286">
        <v>0.29497701454889402</v>
      </c>
      <c r="R5286">
        <v>0.96970824058018401</v>
      </c>
      <c r="S5286" t="s">
        <v>12092</v>
      </c>
      <c r="T5286" t="s">
        <v>13610</v>
      </c>
      <c r="U5286" t="s">
        <v>13610</v>
      </c>
      <c r="V5286" t="s">
        <v>13610</v>
      </c>
      <c r="W5286" t="s">
        <v>18829</v>
      </c>
      <c r="X5286">
        <v>2</v>
      </c>
      <c r="Y5286" t="s">
        <v>25397</v>
      </c>
      <c r="Z5286" t="s">
        <v>32141</v>
      </c>
      <c r="AA5286">
        <v>0.58600363745894357</v>
      </c>
      <c r="AB5286" t="str">
        <f>HYPERLINK("Melting_Curves/meltCurve_Q96S15_2_WDR24.pdf", "Melting_Curves/meltCurve_Q96S15_2_WDR24.pdf")</f>
        <v>Melting_Curves/meltCurve_Q96S15_2_WDR24.pdf</v>
      </c>
    </row>
    <row r="5287" spans="1:28" x14ac:dyDescent="0.25">
      <c r="A5287" t="s">
        <v>5291</v>
      </c>
      <c r="B5287">
        <v>0.995954080203443</v>
      </c>
      <c r="C5287">
        <v>0.99906155253889195</v>
      </c>
      <c r="D5287">
        <v>1.17015220717567</v>
      </c>
      <c r="E5287">
        <v>0.569085828128853</v>
      </c>
      <c r="F5287">
        <v>0.21711433660451099</v>
      </c>
      <c r="G5287">
        <v>0.123600939148932</v>
      </c>
      <c r="H5287">
        <v>9.2664962819246494E-2</v>
      </c>
      <c r="I5287">
        <v>9.1370787253457597E-2</v>
      </c>
      <c r="J5287">
        <v>9.4812248439862301E-2</v>
      </c>
      <c r="K5287">
        <v>8.79584980011104E-2</v>
      </c>
      <c r="L5287">
        <v>2435.5550230853501</v>
      </c>
      <c r="M5287">
        <v>48.539376981983999</v>
      </c>
      <c r="N5287">
        <v>50.422053194219203</v>
      </c>
      <c r="O5287">
        <v>50.091960113888803</v>
      </c>
      <c r="P5287">
        <v>-0.21678858743297699</v>
      </c>
      <c r="Q5287">
        <v>0.105109952792989</v>
      </c>
      <c r="R5287">
        <v>0.97970730467901901</v>
      </c>
      <c r="S5287" t="s">
        <v>12093</v>
      </c>
      <c r="T5287" t="s">
        <v>13610</v>
      </c>
      <c r="U5287" t="s">
        <v>13610</v>
      </c>
      <c r="V5287" t="s">
        <v>13610</v>
      </c>
      <c r="W5287" t="s">
        <v>18830</v>
      </c>
      <c r="X5287">
        <v>8</v>
      </c>
      <c r="Y5287" t="s">
        <v>25398</v>
      </c>
      <c r="Z5287" t="s">
        <v>32142</v>
      </c>
      <c r="AA5287">
        <v>0.41078564987750021</v>
      </c>
      <c r="AB5287" t="str">
        <f>HYPERLINK("Melting_Curves/meltCurve_Q96S19_C16orf13.pdf", "Melting_Curves/meltCurve_Q96S19_C16orf13.pdf")</f>
        <v>Melting_Curves/meltCurve_Q96S19_C16orf13.pdf</v>
      </c>
    </row>
    <row r="5288" spans="1:28" x14ac:dyDescent="0.25">
      <c r="A5288" t="s">
        <v>5292</v>
      </c>
      <c r="B5288">
        <v>0.995954080203443</v>
      </c>
      <c r="C5288">
        <v>0.97071286954258296</v>
      </c>
      <c r="D5288">
        <v>0.89003041341448896</v>
      </c>
      <c r="E5288">
        <v>0.77108018622431596</v>
      </c>
      <c r="F5288">
        <v>0.61125481403006698</v>
      </c>
      <c r="G5288">
        <v>0.40261245057831302</v>
      </c>
      <c r="H5288">
        <v>0.35822966726696698</v>
      </c>
      <c r="I5288">
        <v>0.41106653263908099</v>
      </c>
      <c r="J5288">
        <v>0.53080140373134399</v>
      </c>
      <c r="K5288">
        <v>0.47758521093739698</v>
      </c>
      <c r="L5288">
        <v>1129.6270420138901</v>
      </c>
      <c r="M5288">
        <v>22.347924625401902</v>
      </c>
      <c r="N5288">
        <v>55.4322652975317</v>
      </c>
      <c r="O5288">
        <v>50.147773051913603</v>
      </c>
      <c r="P5288">
        <v>-6.3479495286866403E-2</v>
      </c>
      <c r="Q5288">
        <v>0.43023102396509699</v>
      </c>
      <c r="R5288">
        <v>0.94661468158063899</v>
      </c>
      <c r="S5288" t="s">
        <v>12094</v>
      </c>
      <c r="T5288" t="s">
        <v>13610</v>
      </c>
      <c r="U5288" t="s">
        <v>13610</v>
      </c>
      <c r="V5288" t="s">
        <v>13610</v>
      </c>
      <c r="W5288" t="s">
        <v>18831</v>
      </c>
      <c r="X5288">
        <v>19</v>
      </c>
      <c r="Y5288" t="s">
        <v>25399</v>
      </c>
      <c r="Z5288" t="s">
        <v>32143</v>
      </c>
      <c r="AA5288">
        <v>0.63693791091805241</v>
      </c>
      <c r="AB5288" t="str">
        <f>HYPERLINK("Melting_Curves/meltCurve_Q96S38_RPS6KC1.pdf", "Melting_Curves/meltCurve_Q96S38_RPS6KC1.pdf")</f>
        <v>Melting_Curves/meltCurve_Q96S38_RPS6KC1.pdf</v>
      </c>
    </row>
    <row r="5289" spans="1:28" x14ac:dyDescent="0.25">
      <c r="A5289" t="s">
        <v>5293</v>
      </c>
      <c r="B5289">
        <v>0.995954080203443</v>
      </c>
      <c r="C5289">
        <v>0.99551806491004102</v>
      </c>
      <c r="D5289">
        <v>0.90179406132178497</v>
      </c>
      <c r="E5289">
        <v>0.82382182696571504</v>
      </c>
      <c r="F5289">
        <v>0.35628849481062602</v>
      </c>
      <c r="G5289">
        <v>0.100200111931422</v>
      </c>
      <c r="H5289">
        <v>5.51110928530563E-2</v>
      </c>
      <c r="I5289">
        <v>4.79770011189238E-2</v>
      </c>
      <c r="J5289">
        <v>5.3909148311964701E-2</v>
      </c>
      <c r="K5289">
        <v>5.17868576883391E-2</v>
      </c>
      <c r="L5289">
        <v>1825.69539725665</v>
      </c>
      <c r="M5289">
        <v>35.148905292004002</v>
      </c>
      <c r="N5289">
        <v>52.103033283320102</v>
      </c>
      <c r="O5289">
        <v>51.774473301158402</v>
      </c>
      <c r="P5289">
        <v>-0.16097298800823401</v>
      </c>
      <c r="Q5289">
        <v>5.1547961785528201E-2</v>
      </c>
      <c r="R5289">
        <v>0.99513355308066198</v>
      </c>
      <c r="S5289" t="s">
        <v>12095</v>
      </c>
      <c r="T5289" t="s">
        <v>13610</v>
      </c>
      <c r="U5289" t="s">
        <v>13610</v>
      </c>
      <c r="V5289" t="s">
        <v>13610</v>
      </c>
      <c r="W5289" t="s">
        <v>18832</v>
      </c>
      <c r="X5289">
        <v>6</v>
      </c>
      <c r="Y5289" t="s">
        <v>25400</v>
      </c>
      <c r="Z5289" t="s">
        <v>32144</v>
      </c>
      <c r="AA5289">
        <v>0.43350013000626519</v>
      </c>
      <c r="AB5289" t="str">
        <f>HYPERLINK("Melting_Curves/meltCurve_Q96S44_TP53RK.pdf", "Melting_Curves/meltCurve_Q96S44_TP53RK.pdf")</f>
        <v>Melting_Curves/meltCurve_Q96S44_TP53RK.pdf</v>
      </c>
    </row>
    <row r="5290" spans="1:28" x14ac:dyDescent="0.25">
      <c r="A5290" t="s">
        <v>5294</v>
      </c>
      <c r="B5290">
        <v>0.995954080203443</v>
      </c>
      <c r="C5290">
        <v>0.89596301217701901</v>
      </c>
      <c r="D5290">
        <v>0.70826761957176598</v>
      </c>
      <c r="E5290">
        <v>0.85863294537257395</v>
      </c>
      <c r="F5290">
        <v>0.354333585053901</v>
      </c>
      <c r="G5290">
        <v>0.17909150584458899</v>
      </c>
      <c r="H5290">
        <v>0.15706509274491001</v>
      </c>
      <c r="I5290">
        <v>0.123980505709158</v>
      </c>
      <c r="J5290">
        <v>9.3793308816133902E-2</v>
      </c>
      <c r="K5290">
        <v>0.142577351941686</v>
      </c>
      <c r="L5290">
        <v>792.82179689938903</v>
      </c>
      <c r="M5290">
        <v>15.3983431137762</v>
      </c>
      <c r="N5290">
        <v>52.051623906848</v>
      </c>
      <c r="O5290">
        <v>50.642543922881103</v>
      </c>
      <c r="P5290">
        <v>-7.0179211415600698E-2</v>
      </c>
      <c r="Q5290">
        <v>7.6853972185498498E-2</v>
      </c>
      <c r="R5290">
        <v>0.92470509309108295</v>
      </c>
      <c r="S5290" t="s">
        <v>12096</v>
      </c>
      <c r="T5290" t="s">
        <v>13610</v>
      </c>
      <c r="U5290" t="s">
        <v>13610</v>
      </c>
      <c r="V5290" t="s">
        <v>13610</v>
      </c>
      <c r="W5290" t="s">
        <v>18833</v>
      </c>
      <c r="X5290">
        <v>3</v>
      </c>
      <c r="Y5290" t="s">
        <v>25401</v>
      </c>
      <c r="Z5290" t="s">
        <v>32145</v>
      </c>
      <c r="AA5290">
        <v>0.45047370895214522</v>
      </c>
      <c r="AB5290" t="str">
        <f>HYPERLINK("Melting_Curves/meltCurve_Q96S52_2_PIGS.pdf", "Melting_Curves/meltCurve_Q96S52_2_PIGS.pdf")</f>
        <v>Melting_Curves/meltCurve_Q96S52_2_PIGS.pdf</v>
      </c>
    </row>
    <row r="5291" spans="1:28" x14ac:dyDescent="0.25">
      <c r="A5291" t="s">
        <v>5295</v>
      </c>
      <c r="B5291">
        <v>0.995954080203443</v>
      </c>
      <c r="C5291">
        <v>0.57493803525550102</v>
      </c>
      <c r="D5291">
        <v>0.39446404444661198</v>
      </c>
      <c r="E5291">
        <v>0.34151578220441098</v>
      </c>
      <c r="F5291">
        <v>0.26600269309646302</v>
      </c>
      <c r="G5291">
        <v>0.17586074211918601</v>
      </c>
      <c r="H5291">
        <v>0.13749740544306399</v>
      </c>
      <c r="I5291">
        <v>0.145058829188185</v>
      </c>
      <c r="J5291">
        <v>0.17175925485705901</v>
      </c>
      <c r="K5291">
        <v>0.154504428870504</v>
      </c>
      <c r="L5291">
        <v>813.19418469133802</v>
      </c>
      <c r="M5291">
        <v>18.593913120256801</v>
      </c>
      <c r="N5291">
        <v>44.776489191421703</v>
      </c>
      <c r="O5291">
        <v>43.237984945134798</v>
      </c>
      <c r="P5291">
        <v>-8.8631336221111703E-2</v>
      </c>
      <c r="Q5291">
        <v>0.17562828422092</v>
      </c>
      <c r="R5291">
        <v>0.94306650340575704</v>
      </c>
      <c r="S5291" t="s">
        <v>12097</v>
      </c>
      <c r="T5291" t="s">
        <v>13610</v>
      </c>
      <c r="U5291" t="s">
        <v>13610</v>
      </c>
      <c r="V5291" t="s">
        <v>13610</v>
      </c>
      <c r="W5291" t="s">
        <v>18834</v>
      </c>
      <c r="X5291">
        <v>10</v>
      </c>
      <c r="Y5291" t="s">
        <v>25402</v>
      </c>
      <c r="Z5291" t="s">
        <v>32146</v>
      </c>
      <c r="AA5291">
        <v>0.2979886508572504</v>
      </c>
      <c r="AB5291" t="str">
        <f>HYPERLINK("Melting_Curves/meltCurve_Q96S55_2_WRNIP1.pdf", "Melting_Curves/meltCurve_Q96S55_2_WRNIP1.pdf")</f>
        <v>Melting_Curves/meltCurve_Q96S55_2_WRNIP1.pdf</v>
      </c>
    </row>
    <row r="5292" spans="1:28" x14ac:dyDescent="0.25">
      <c r="A5292" t="s">
        <v>5296</v>
      </c>
      <c r="B5292">
        <v>0.995954080203443</v>
      </c>
      <c r="C5292">
        <v>0.62041266208323398</v>
      </c>
      <c r="D5292">
        <v>0.38058357409050497</v>
      </c>
      <c r="E5292">
        <v>0.57674363241696402</v>
      </c>
      <c r="F5292">
        <v>0.237485517947679</v>
      </c>
      <c r="G5292">
        <v>0.12173307105640099</v>
      </c>
      <c r="H5292">
        <v>7.6144726440183205E-2</v>
      </c>
      <c r="I5292">
        <v>6.9987721052637106E-2</v>
      </c>
      <c r="J5292">
        <v>7.7327199317968998E-2</v>
      </c>
      <c r="K5292">
        <v>8.1784465634953493E-2</v>
      </c>
      <c r="L5292">
        <v>453.77638168712099</v>
      </c>
      <c r="M5292">
        <v>9.7174131899365399</v>
      </c>
      <c r="N5292">
        <v>46.897655940611898</v>
      </c>
      <c r="O5292">
        <v>44.8483143823916</v>
      </c>
      <c r="P5292">
        <v>-5.3095323740693499E-2</v>
      </c>
      <c r="Q5292">
        <v>2.0337855135614601E-2</v>
      </c>
      <c r="R5292">
        <v>0.87569242515118295</v>
      </c>
      <c r="S5292" t="s">
        <v>12098</v>
      </c>
      <c r="T5292" t="s">
        <v>13610</v>
      </c>
      <c r="U5292" t="s">
        <v>13610</v>
      </c>
      <c r="V5292" t="s">
        <v>13610</v>
      </c>
      <c r="W5292" t="s">
        <v>18835</v>
      </c>
      <c r="X5292">
        <v>16</v>
      </c>
      <c r="Y5292" t="s">
        <v>25403</v>
      </c>
      <c r="Z5292" t="s">
        <v>32147</v>
      </c>
      <c r="AA5292">
        <v>0.2994679309458283</v>
      </c>
      <c r="AB5292" t="str">
        <f>HYPERLINK("Melting_Curves/meltCurve_Q96S59_RANBP9.pdf", "Melting_Curves/meltCurve_Q96S59_RANBP9.pdf")</f>
        <v>Melting_Curves/meltCurve_Q96S59_RANBP9.pdf</v>
      </c>
    </row>
    <row r="5293" spans="1:28" x14ac:dyDescent="0.25">
      <c r="A5293" t="s">
        <v>5297</v>
      </c>
      <c r="B5293">
        <v>0.995954080203443</v>
      </c>
      <c r="C5293">
        <v>0.917600181306924</v>
      </c>
      <c r="D5293">
        <v>1.0200820203751699</v>
      </c>
      <c r="E5293">
        <v>0.98439224853592899</v>
      </c>
      <c r="F5293">
        <v>0.95993590404541795</v>
      </c>
      <c r="G5293">
        <v>0.78128155276251499</v>
      </c>
      <c r="H5293">
        <v>0.94772852945351904</v>
      </c>
      <c r="I5293">
        <v>1.1509412444882401</v>
      </c>
      <c r="J5293">
        <v>1.4952751554963299</v>
      </c>
      <c r="K5293">
        <v>1.38874390802829</v>
      </c>
      <c r="L5293">
        <v>15000</v>
      </c>
      <c r="M5293">
        <v>233.71841955845301</v>
      </c>
      <c r="O5293">
        <v>64.175094593777601</v>
      </c>
      <c r="P5293">
        <v>0.40244469749510597</v>
      </c>
      <c r="Q5293">
        <v>1.4420178195475599</v>
      </c>
      <c r="R5293">
        <v>0.850772394175216</v>
      </c>
      <c r="S5293" t="s">
        <v>12099</v>
      </c>
      <c r="T5293" t="s">
        <v>13610</v>
      </c>
      <c r="U5293" t="s">
        <v>13610</v>
      </c>
      <c r="V5293" t="s">
        <v>13610</v>
      </c>
      <c r="W5293" t="s">
        <v>18836</v>
      </c>
      <c r="X5293">
        <v>2</v>
      </c>
      <c r="Y5293" t="s">
        <v>25404</v>
      </c>
      <c r="Z5293" t="s">
        <v>32148</v>
      </c>
      <c r="AA5293">
        <v>1.085697527063437</v>
      </c>
      <c r="AB5293" t="str">
        <f>HYPERLINK("Melting_Curves/meltCurve_Q96S66_4_CLCC1.pdf", "Melting_Curves/meltCurve_Q96S66_4_CLCC1.pdf")</f>
        <v>Melting_Curves/meltCurve_Q96S66_4_CLCC1.pdf</v>
      </c>
    </row>
    <row r="5294" spans="1:28" x14ac:dyDescent="0.25">
      <c r="A5294" t="s">
        <v>5298</v>
      </c>
      <c r="B5294">
        <v>0.995954080203443</v>
      </c>
      <c r="C5294">
        <v>0.94598308740888304</v>
      </c>
      <c r="D5294">
        <v>0.97582159877308305</v>
      </c>
      <c r="E5294">
        <v>0.77167392043648297</v>
      </c>
      <c r="F5294">
        <v>0.41222982204109798</v>
      </c>
      <c r="G5294">
        <v>0.20848504007238899</v>
      </c>
      <c r="H5294">
        <v>0.146757196863714</v>
      </c>
      <c r="I5294">
        <v>0.16308250440969399</v>
      </c>
      <c r="J5294">
        <v>0.16996743681189799</v>
      </c>
      <c r="K5294">
        <v>0.17987815907351401</v>
      </c>
      <c r="L5294">
        <v>1603.2912062648099</v>
      </c>
      <c r="M5294">
        <v>31.101707587086899</v>
      </c>
      <c r="N5294">
        <v>52.214592498579599</v>
      </c>
      <c r="O5294">
        <v>51.338247745408502</v>
      </c>
      <c r="P5294">
        <v>-0.12669775492546501</v>
      </c>
      <c r="Q5294">
        <v>0.163466889131544</v>
      </c>
      <c r="R5294">
        <v>0.99715047234472398</v>
      </c>
      <c r="S5294" t="s">
        <v>12100</v>
      </c>
      <c r="T5294" t="s">
        <v>13610</v>
      </c>
      <c r="U5294" t="s">
        <v>13610</v>
      </c>
      <c r="V5294" t="s">
        <v>13610</v>
      </c>
      <c r="W5294" t="s">
        <v>18837</v>
      </c>
      <c r="X5294">
        <v>5</v>
      </c>
      <c r="Y5294" t="s">
        <v>25405</v>
      </c>
      <c r="Z5294" t="s">
        <v>32149</v>
      </c>
      <c r="AA5294">
        <v>0.49046901342348459</v>
      </c>
      <c r="AB5294" t="str">
        <f>HYPERLINK("Melting_Curves/meltCurve_Q96S82_UBL7.pdf", "Melting_Curves/meltCurve_Q96S82_UBL7.pdf")</f>
        <v>Melting_Curves/meltCurve_Q96S82_UBL7.pdf</v>
      </c>
    </row>
    <row r="5295" spans="1:28" x14ac:dyDescent="0.25">
      <c r="A5295" t="s">
        <v>5299</v>
      </c>
      <c r="B5295">
        <v>0.995954080203443</v>
      </c>
      <c r="C5295">
        <v>0.94187436352653198</v>
      </c>
      <c r="D5295">
        <v>0.87853136268893095</v>
      </c>
      <c r="E5295">
        <v>0.74800554732165003</v>
      </c>
      <c r="F5295">
        <v>0.68777338303694802</v>
      </c>
      <c r="G5295">
        <v>0.43225479490639401</v>
      </c>
      <c r="H5295">
        <v>0.430021558054558</v>
      </c>
      <c r="I5295">
        <v>0.46309870679543103</v>
      </c>
      <c r="J5295">
        <v>0.55042129189880495</v>
      </c>
      <c r="K5295">
        <v>0.48230952325043802</v>
      </c>
      <c r="L5295">
        <v>843.232462840631</v>
      </c>
      <c r="M5295">
        <v>16.792624391267999</v>
      </c>
      <c r="N5295">
        <v>59.113782864712697</v>
      </c>
      <c r="O5295">
        <v>49.518563343420603</v>
      </c>
      <c r="P5295">
        <v>-4.5775972980631699E-2</v>
      </c>
      <c r="Q5295">
        <v>0.46009307765246998</v>
      </c>
      <c r="R5295">
        <v>0.94177122680158398</v>
      </c>
      <c r="S5295" t="s">
        <v>12101</v>
      </c>
      <c r="T5295" t="s">
        <v>13610</v>
      </c>
      <c r="U5295" t="s">
        <v>13610</v>
      </c>
      <c r="V5295" t="s">
        <v>13610</v>
      </c>
      <c r="W5295" t="s">
        <v>18838</v>
      </c>
      <c r="X5295">
        <v>4</v>
      </c>
      <c r="Y5295" t="s">
        <v>25406</v>
      </c>
      <c r="Z5295" t="s">
        <v>32150</v>
      </c>
      <c r="AA5295">
        <v>0.65436707018024221</v>
      </c>
      <c r="AB5295" t="str">
        <f>HYPERLINK("Melting_Curves/meltCurve_Q96S90_LYSMD1.pdf", "Melting_Curves/meltCurve_Q96S90_LYSMD1.pdf")</f>
        <v>Melting_Curves/meltCurve_Q96S90_LYSMD1.pdf</v>
      </c>
    </row>
    <row r="5296" spans="1:28" x14ac:dyDescent="0.25">
      <c r="A5296" t="s">
        <v>5300</v>
      </c>
      <c r="B5296">
        <v>0.995954080203443</v>
      </c>
      <c r="C5296">
        <v>0.72528855515641699</v>
      </c>
      <c r="D5296">
        <v>0.33989174252262699</v>
      </c>
      <c r="E5296">
        <v>0.23472388338739</v>
      </c>
      <c r="F5296">
        <v>0.112758835824033</v>
      </c>
      <c r="G5296">
        <v>6.3120028146769494E-2</v>
      </c>
      <c r="H5296">
        <v>3.51554060228094E-2</v>
      </c>
      <c r="I5296">
        <v>3.0309525281588399E-2</v>
      </c>
      <c r="J5296">
        <v>2.9105615820800099E-2</v>
      </c>
      <c r="K5296">
        <v>2.6678449818191601E-2</v>
      </c>
      <c r="L5296">
        <v>914.09478514047305</v>
      </c>
      <c r="M5296">
        <v>20.398453429311999</v>
      </c>
      <c r="N5296">
        <v>45.028602828149801</v>
      </c>
      <c r="O5296">
        <v>44.387958651523</v>
      </c>
      <c r="P5296">
        <v>-0.109520933020824</v>
      </c>
      <c r="Q5296">
        <v>4.6738663707152101E-2</v>
      </c>
      <c r="R5296">
        <v>0.982425978768112</v>
      </c>
      <c r="S5296" t="s">
        <v>12102</v>
      </c>
      <c r="T5296" t="s">
        <v>13610</v>
      </c>
      <c r="U5296" t="s">
        <v>13610</v>
      </c>
      <c r="V5296" t="s">
        <v>13610</v>
      </c>
      <c r="W5296" t="s">
        <v>18839</v>
      </c>
      <c r="X5296">
        <v>6</v>
      </c>
      <c r="Y5296" t="s">
        <v>25407</v>
      </c>
      <c r="Z5296" t="s">
        <v>32151</v>
      </c>
      <c r="AA5296">
        <v>0.2153954858834968</v>
      </c>
      <c r="AB5296" t="str">
        <f>HYPERLINK("Melting_Curves/meltCurve_Q96S94_CCNL2.pdf", "Melting_Curves/meltCurve_Q96S94_CCNL2.pdf")</f>
        <v>Melting_Curves/meltCurve_Q96S94_CCNL2.pdf</v>
      </c>
    </row>
    <row r="5297" spans="1:28" x14ac:dyDescent="0.25">
      <c r="A5297" t="s">
        <v>5301</v>
      </c>
      <c r="B5297">
        <v>0.995954080203443</v>
      </c>
      <c r="C5297">
        <v>1.0321344271249899</v>
      </c>
      <c r="D5297">
        <v>0.949701242215506</v>
      </c>
      <c r="E5297">
        <v>0.61783610723941595</v>
      </c>
      <c r="F5297">
        <v>0.25008549905543198</v>
      </c>
      <c r="G5297">
        <v>0.14848114558756101</v>
      </c>
      <c r="H5297">
        <v>9.1523190623224199E-2</v>
      </c>
      <c r="I5297">
        <v>7.7889926434944898E-2</v>
      </c>
      <c r="J5297">
        <v>8.6937201316533499E-2</v>
      </c>
      <c r="K5297">
        <v>7.7193816729951306E-2</v>
      </c>
      <c r="L5297">
        <v>1539.00010947483</v>
      </c>
      <c r="M5297">
        <v>30.474132514009298</v>
      </c>
      <c r="N5297">
        <v>50.823248591358002</v>
      </c>
      <c r="O5297">
        <v>50.285880935130997</v>
      </c>
      <c r="P5297">
        <v>-0.13822737234976401</v>
      </c>
      <c r="Q5297">
        <v>8.7640359180355495E-2</v>
      </c>
      <c r="R5297">
        <v>0.99815743254288603</v>
      </c>
      <c r="S5297" t="s">
        <v>12103</v>
      </c>
      <c r="T5297" t="s">
        <v>13610</v>
      </c>
      <c r="U5297" t="s">
        <v>13610</v>
      </c>
      <c r="V5297" t="s">
        <v>13610</v>
      </c>
      <c r="W5297" t="s">
        <v>18840</v>
      </c>
      <c r="X5297">
        <v>10</v>
      </c>
      <c r="Y5297" t="s">
        <v>25408</v>
      </c>
      <c r="Z5297" t="s">
        <v>32152</v>
      </c>
      <c r="AA5297">
        <v>0.41253529443256348</v>
      </c>
      <c r="AB5297" t="str">
        <f>HYPERLINK("Melting_Curves/meltCurve_Q96S99_PLEKHF1.pdf", "Melting_Curves/meltCurve_Q96S99_PLEKHF1.pdf")</f>
        <v>Melting_Curves/meltCurve_Q96S99_PLEKHF1.pdf</v>
      </c>
    </row>
    <row r="5298" spans="1:28" x14ac:dyDescent="0.25">
      <c r="A5298" t="s">
        <v>5302</v>
      </c>
      <c r="B5298">
        <v>0.995954080203443</v>
      </c>
      <c r="C5298">
        <v>0.97601754205245395</v>
      </c>
      <c r="D5298">
        <v>1.06151898347533</v>
      </c>
      <c r="E5298">
        <v>0.83518504088369006</v>
      </c>
      <c r="F5298">
        <v>0.69752659093775504</v>
      </c>
      <c r="G5298">
        <v>0.54645065549072402</v>
      </c>
      <c r="H5298">
        <v>0.52564507704061902</v>
      </c>
      <c r="I5298">
        <v>0.68567612912142495</v>
      </c>
      <c r="J5298">
        <v>0.90811078408218604</v>
      </c>
      <c r="K5298">
        <v>0.90930762247622099</v>
      </c>
      <c r="L5298">
        <v>12485.394680904299</v>
      </c>
      <c r="M5298">
        <v>250</v>
      </c>
      <c r="O5298">
        <v>49.938392259430003</v>
      </c>
      <c r="P5298">
        <v>-0.36029468888167898</v>
      </c>
      <c r="Q5298">
        <v>0.71211945470479898</v>
      </c>
      <c r="R5298">
        <v>0.55276801240323803</v>
      </c>
      <c r="S5298" t="s">
        <v>12104</v>
      </c>
      <c r="T5298" t="s">
        <v>13610</v>
      </c>
      <c r="U5298" t="s">
        <v>13610</v>
      </c>
      <c r="V5298" t="s">
        <v>13610</v>
      </c>
      <c r="W5298" t="s">
        <v>18841</v>
      </c>
      <c r="X5298">
        <v>20</v>
      </c>
      <c r="Y5298" t="s">
        <v>25409</v>
      </c>
      <c r="Z5298" t="s">
        <v>32153</v>
      </c>
      <c r="AA5298">
        <v>0.80754425661769047</v>
      </c>
      <c r="AB5298" t="str">
        <f>HYPERLINK("Melting_Curves/meltCurve_Q96SB3_PPP1R9B.pdf", "Melting_Curves/meltCurve_Q96SB3_PPP1R9B.pdf")</f>
        <v>Melting_Curves/meltCurve_Q96SB3_PPP1R9B.pdf</v>
      </c>
    </row>
    <row r="5299" spans="1:28" x14ac:dyDescent="0.25">
      <c r="A5299" t="s">
        <v>5303</v>
      </c>
      <c r="B5299">
        <v>0.995954080203443</v>
      </c>
      <c r="C5299">
        <v>0.79548155658557096</v>
      </c>
      <c r="D5299">
        <v>0.55316465120328895</v>
      </c>
      <c r="E5299">
        <v>0.52448523195586005</v>
      </c>
      <c r="F5299">
        <v>0.175297345036702</v>
      </c>
      <c r="G5299">
        <v>0.118555856299926</v>
      </c>
      <c r="H5299">
        <v>7.16367658048436E-2</v>
      </c>
      <c r="I5299">
        <v>5.6301444097671301E-2</v>
      </c>
      <c r="J5299">
        <v>5.8561735392195197E-2</v>
      </c>
      <c r="K5299">
        <v>4.88079014369973E-2</v>
      </c>
      <c r="L5299">
        <v>598.11641472993699</v>
      </c>
      <c r="M5299">
        <v>12.470997916949701</v>
      </c>
      <c r="N5299">
        <v>48.096966456525301</v>
      </c>
      <c r="O5299">
        <v>46.777475865845197</v>
      </c>
      <c r="P5299">
        <v>-6.5506443908318002E-2</v>
      </c>
      <c r="Q5299">
        <v>1.73713374123667E-2</v>
      </c>
      <c r="R5299">
        <v>0.96618165091366004</v>
      </c>
      <c r="S5299" t="s">
        <v>12105</v>
      </c>
      <c r="T5299" t="s">
        <v>13610</v>
      </c>
      <c r="U5299" t="s">
        <v>13610</v>
      </c>
      <c r="V5299" t="s">
        <v>13610</v>
      </c>
      <c r="W5299" t="s">
        <v>18842</v>
      </c>
      <c r="X5299">
        <v>15</v>
      </c>
      <c r="Y5299" t="s">
        <v>25410</v>
      </c>
      <c r="Z5299" t="s">
        <v>32154</v>
      </c>
      <c r="AA5299">
        <v>0.31410100316267259</v>
      </c>
      <c r="AB5299" t="str">
        <f>HYPERLINK("Melting_Curves/meltCurve_Q96SB8_SMC6.pdf", "Melting_Curves/meltCurve_Q96SB8_SMC6.pdf")</f>
        <v>Melting_Curves/meltCurve_Q96SB8_SMC6.pdf</v>
      </c>
    </row>
    <row r="5300" spans="1:28" x14ac:dyDescent="0.25">
      <c r="A5300" t="s">
        <v>5304</v>
      </c>
      <c r="B5300">
        <v>0.995954080203443</v>
      </c>
      <c r="C5300">
        <v>0.78305669148909895</v>
      </c>
      <c r="D5300">
        <v>0.67311122438964999</v>
      </c>
      <c r="E5300">
        <v>0.67627314433324204</v>
      </c>
      <c r="F5300">
        <v>0.591761714087508</v>
      </c>
      <c r="G5300">
        <v>0.369039207817763</v>
      </c>
      <c r="H5300">
        <v>0.24821127133496501</v>
      </c>
      <c r="I5300">
        <v>0.24682522654786199</v>
      </c>
      <c r="J5300">
        <v>0.15656278802406401</v>
      </c>
      <c r="K5300">
        <v>0.17624719546686901</v>
      </c>
      <c r="L5300">
        <v>380.65788635686999</v>
      </c>
      <c r="M5300">
        <v>7.1261595860689404</v>
      </c>
      <c r="N5300">
        <v>53.416974488828501</v>
      </c>
      <c r="O5300">
        <v>49.689832376465198</v>
      </c>
      <c r="P5300">
        <v>-3.5915459980694099E-2</v>
      </c>
      <c r="Q5300">
        <v>0</v>
      </c>
      <c r="R5300">
        <v>0.95821851097529498</v>
      </c>
      <c r="S5300" t="s">
        <v>12106</v>
      </c>
      <c r="T5300" t="s">
        <v>13610</v>
      </c>
      <c r="U5300" t="s">
        <v>13610</v>
      </c>
      <c r="V5300" t="s">
        <v>13610</v>
      </c>
      <c r="W5300" t="s">
        <v>18843</v>
      </c>
      <c r="X5300">
        <v>8</v>
      </c>
      <c r="Y5300" t="s">
        <v>25411</v>
      </c>
      <c r="Z5300" t="s">
        <v>32155</v>
      </c>
      <c r="AA5300">
        <v>0.48758528447479899</v>
      </c>
      <c r="AB5300" t="str">
        <f>HYPERLINK("Melting_Curves/meltCurve_Q96SI1_KCTD15.pdf", "Melting_Curves/meltCurve_Q96SI1_KCTD15.pdf")</f>
        <v>Melting_Curves/meltCurve_Q96SI1_KCTD15.pdf</v>
      </c>
    </row>
    <row r="5301" spans="1:28" x14ac:dyDescent="0.25">
      <c r="A5301" t="s">
        <v>5305</v>
      </c>
      <c r="B5301">
        <v>0.995954080203443</v>
      </c>
      <c r="C5301">
        <v>0.98165541260870703</v>
      </c>
      <c r="D5301">
        <v>0.93999917247626597</v>
      </c>
      <c r="E5301">
        <v>0.93309848561940301</v>
      </c>
      <c r="F5301">
        <v>0.82335147533589903</v>
      </c>
      <c r="G5301">
        <v>0.58287042437259096</v>
      </c>
      <c r="H5301">
        <v>0.20161526977507299</v>
      </c>
      <c r="I5301">
        <v>0.14819802007365299</v>
      </c>
      <c r="J5301">
        <v>0.15852623753804501</v>
      </c>
      <c r="K5301">
        <v>0.15981070033340999</v>
      </c>
      <c r="L5301">
        <v>1320.0570597369899</v>
      </c>
      <c r="M5301">
        <v>23.302257922069401</v>
      </c>
      <c r="N5301">
        <v>57.308508734349402</v>
      </c>
      <c r="O5301">
        <v>56.2370615116388</v>
      </c>
      <c r="P5301">
        <v>-9.1413270382619802E-2</v>
      </c>
      <c r="Q5301">
        <v>0.117558066510733</v>
      </c>
      <c r="R5301">
        <v>0.98987365299706298</v>
      </c>
      <c r="S5301" t="s">
        <v>12107</v>
      </c>
      <c r="T5301" t="s">
        <v>13610</v>
      </c>
      <c r="U5301" t="s">
        <v>13610</v>
      </c>
      <c r="V5301" t="s">
        <v>13610</v>
      </c>
      <c r="W5301" t="s">
        <v>18844</v>
      </c>
      <c r="X5301">
        <v>33</v>
      </c>
      <c r="Y5301" t="s">
        <v>25412</v>
      </c>
      <c r="Z5301" t="s">
        <v>32156</v>
      </c>
      <c r="AA5301">
        <v>0.61622616108174955</v>
      </c>
      <c r="AB5301" t="str">
        <f>HYPERLINK("Melting_Curves/meltCurve_Q96SI9_STRBP.pdf", "Melting_Curves/meltCurve_Q96SI9_STRBP.pdf")</f>
        <v>Melting_Curves/meltCurve_Q96SI9_STRBP.pdf</v>
      </c>
    </row>
    <row r="5302" spans="1:28" x14ac:dyDescent="0.25">
      <c r="A5302" t="s">
        <v>5306</v>
      </c>
      <c r="B5302">
        <v>0.995954080203443</v>
      </c>
      <c r="C5302">
        <v>0.957610376316824</v>
      </c>
      <c r="D5302">
        <v>0.99771825173536199</v>
      </c>
      <c r="E5302">
        <v>0.8526570927539</v>
      </c>
      <c r="F5302">
        <v>0.82154480783192896</v>
      </c>
      <c r="G5302">
        <v>0.317852295882317</v>
      </c>
      <c r="H5302">
        <v>0.15454654184049499</v>
      </c>
      <c r="I5302">
        <v>0.13172772535117599</v>
      </c>
      <c r="J5302">
        <v>0.1240638317195</v>
      </c>
      <c r="K5302">
        <v>0.102583600116452</v>
      </c>
      <c r="L5302">
        <v>1583.4169848597401</v>
      </c>
      <c r="M5302">
        <v>28.813774179101099</v>
      </c>
      <c r="N5302">
        <v>55.4220984359292</v>
      </c>
      <c r="O5302">
        <v>54.690827720290699</v>
      </c>
      <c r="P5302">
        <v>-0.117473125704423</v>
      </c>
      <c r="Q5302">
        <v>0.108113743944714</v>
      </c>
      <c r="R5302">
        <v>0.99001339242261499</v>
      </c>
      <c r="S5302" t="s">
        <v>12108</v>
      </c>
      <c r="T5302" t="s">
        <v>13610</v>
      </c>
      <c r="U5302" t="s">
        <v>13610</v>
      </c>
      <c r="V5302" t="s">
        <v>13610</v>
      </c>
      <c r="W5302" t="s">
        <v>18845</v>
      </c>
      <c r="X5302">
        <v>2</v>
      </c>
      <c r="Y5302" t="s">
        <v>25413</v>
      </c>
      <c r="Z5302" t="s">
        <v>32157</v>
      </c>
      <c r="AA5302">
        <v>0.55905316389459214</v>
      </c>
      <c r="AB5302" t="str">
        <f>HYPERLINK("Melting_Curves/meltCurve_Q96SK2_2_TMEM209.pdf", "Melting_Curves/meltCurve_Q96SK2_2_TMEM209.pdf")</f>
        <v>Melting_Curves/meltCurve_Q96SK2_2_TMEM209.pdf</v>
      </c>
    </row>
    <row r="5303" spans="1:28" x14ac:dyDescent="0.25">
      <c r="A5303" t="s">
        <v>5307</v>
      </c>
      <c r="B5303">
        <v>0.995954080203443</v>
      </c>
      <c r="C5303">
        <v>0.91488786012458301</v>
      </c>
      <c r="D5303">
        <v>0.80236352210613904</v>
      </c>
      <c r="E5303">
        <v>0.60669504694504095</v>
      </c>
      <c r="F5303">
        <v>0.337272996246754</v>
      </c>
      <c r="G5303">
        <v>0.18799191613576599</v>
      </c>
      <c r="H5303">
        <v>0.12753547770982199</v>
      </c>
      <c r="I5303">
        <v>0.124443706706378</v>
      </c>
      <c r="J5303">
        <v>0.128076634926683</v>
      </c>
      <c r="K5303">
        <v>0.13712752771029299</v>
      </c>
      <c r="L5303">
        <v>821.99984265413195</v>
      </c>
      <c r="M5303">
        <v>16.425210087574101</v>
      </c>
      <c r="N5303">
        <v>50.756544946622398</v>
      </c>
      <c r="O5303">
        <v>49.320849615642899</v>
      </c>
      <c r="P5303">
        <v>-7.4700465603768806E-2</v>
      </c>
      <c r="Q5303">
        <v>0.102835274629425</v>
      </c>
      <c r="R5303">
        <v>0.994293220384871</v>
      </c>
      <c r="S5303" t="s">
        <v>12109</v>
      </c>
      <c r="T5303" t="s">
        <v>13610</v>
      </c>
      <c r="U5303" t="s">
        <v>13610</v>
      </c>
      <c r="V5303" t="s">
        <v>13610</v>
      </c>
      <c r="W5303" t="s">
        <v>18846</v>
      </c>
      <c r="X5303">
        <v>15</v>
      </c>
      <c r="Y5303" t="s">
        <v>25414</v>
      </c>
      <c r="Z5303" t="s">
        <v>32158</v>
      </c>
      <c r="AA5303">
        <v>0.42137620707143653</v>
      </c>
      <c r="AB5303" t="str">
        <f>HYPERLINK("Melting_Curves/meltCurve_Q96SN8_4_CDK5RAP2.pdf", "Melting_Curves/meltCurve_Q96SN8_4_CDK5RAP2.pdf")</f>
        <v>Melting_Curves/meltCurve_Q96SN8_4_CDK5RAP2.pdf</v>
      </c>
    </row>
    <row r="5304" spans="1:28" x14ac:dyDescent="0.25">
      <c r="A5304" t="s">
        <v>5308</v>
      </c>
      <c r="B5304">
        <v>0.995954080203443</v>
      </c>
      <c r="C5304">
        <v>0.98946652961506998</v>
      </c>
      <c r="D5304">
        <v>0.94397605869838197</v>
      </c>
      <c r="E5304">
        <v>0.82044616822052796</v>
      </c>
      <c r="F5304">
        <v>0.65973609120008903</v>
      </c>
      <c r="G5304">
        <v>0.48480662942035202</v>
      </c>
      <c r="H5304">
        <v>0.40013977291015601</v>
      </c>
      <c r="I5304">
        <v>0.49470151772832399</v>
      </c>
      <c r="J5304">
        <v>0.53891016229897104</v>
      </c>
      <c r="K5304">
        <v>0.47699256147497798</v>
      </c>
      <c r="L5304">
        <v>1298.2364701229401</v>
      </c>
      <c r="M5304">
        <v>25.281118656313701</v>
      </c>
      <c r="N5304">
        <v>57.906817013344003</v>
      </c>
      <c r="O5304">
        <v>51.033946431276902</v>
      </c>
      <c r="P5304">
        <v>-6.5463312125080095E-2</v>
      </c>
      <c r="Q5304">
        <v>0.47141449941471703</v>
      </c>
      <c r="R5304">
        <v>0.97291421252796495</v>
      </c>
      <c r="S5304" t="s">
        <v>12110</v>
      </c>
      <c r="T5304" t="s">
        <v>13610</v>
      </c>
      <c r="U5304" t="s">
        <v>13610</v>
      </c>
      <c r="V5304" t="s">
        <v>13610</v>
      </c>
      <c r="W5304" t="s">
        <v>18847</v>
      </c>
      <c r="X5304">
        <v>26</v>
      </c>
      <c r="Y5304" t="s">
        <v>25415</v>
      </c>
      <c r="Z5304" t="s">
        <v>32159</v>
      </c>
      <c r="AA5304">
        <v>0.67612138347012107</v>
      </c>
      <c r="AB5304" t="str">
        <f>HYPERLINK("Melting_Curves/meltCurve_Q96ST2_IWS1.pdf", "Melting_Curves/meltCurve_Q96ST2_IWS1.pdf")</f>
        <v>Melting_Curves/meltCurve_Q96ST2_IWS1.pdf</v>
      </c>
    </row>
    <row r="5305" spans="1:28" x14ac:dyDescent="0.25">
      <c r="A5305" t="s">
        <v>5309</v>
      </c>
      <c r="B5305">
        <v>0.995954080203443</v>
      </c>
      <c r="C5305">
        <v>0.86885434145472595</v>
      </c>
      <c r="D5305">
        <v>0.71912931658167001</v>
      </c>
      <c r="E5305">
        <v>0.57865508711042402</v>
      </c>
      <c r="F5305">
        <v>0.355553780239524</v>
      </c>
      <c r="G5305">
        <v>0.23997420564040101</v>
      </c>
      <c r="H5305">
        <v>0.20669412249572</v>
      </c>
      <c r="I5305">
        <v>0.220342719481989</v>
      </c>
      <c r="J5305">
        <v>0.27733650980665497</v>
      </c>
      <c r="K5305">
        <v>0.25367664277398999</v>
      </c>
      <c r="L5305">
        <v>728.55598734337104</v>
      </c>
      <c r="M5305">
        <v>15.0935124651186</v>
      </c>
      <c r="N5305">
        <v>50.145254875943102</v>
      </c>
      <c r="O5305">
        <v>47.445948769736702</v>
      </c>
      <c r="P5305">
        <v>-6.23810491940252E-2</v>
      </c>
      <c r="Q5305">
        <v>0.215706390963885</v>
      </c>
      <c r="R5305">
        <v>0.98041856261140403</v>
      </c>
      <c r="S5305" t="s">
        <v>12111</v>
      </c>
      <c r="T5305" t="s">
        <v>13610</v>
      </c>
      <c r="U5305" t="s">
        <v>13610</v>
      </c>
      <c r="V5305" t="s">
        <v>13610</v>
      </c>
      <c r="W5305" t="s">
        <v>18848</v>
      </c>
      <c r="X5305">
        <v>45</v>
      </c>
      <c r="Y5305" t="s">
        <v>25416</v>
      </c>
      <c r="Z5305" t="s">
        <v>32160</v>
      </c>
      <c r="AA5305">
        <v>0.45159188591626531</v>
      </c>
      <c r="AB5305" t="str">
        <f>HYPERLINK("Melting_Curves/meltCurve_Q96ST3_SIN3A.pdf", "Melting_Curves/meltCurve_Q96ST3_SIN3A.pdf")</f>
        <v>Melting_Curves/meltCurve_Q96ST3_SIN3A.pdf</v>
      </c>
    </row>
    <row r="5306" spans="1:28" x14ac:dyDescent="0.25">
      <c r="A5306" t="s">
        <v>5310</v>
      </c>
      <c r="B5306">
        <v>0.995954080203443</v>
      </c>
      <c r="C5306">
        <v>0.79886123801895204</v>
      </c>
      <c r="D5306">
        <v>0.49440168341548102</v>
      </c>
      <c r="E5306">
        <v>0.33060159553075302</v>
      </c>
      <c r="F5306">
        <v>0.192332217569916</v>
      </c>
      <c r="G5306">
        <v>0.106355494733159</v>
      </c>
      <c r="H5306">
        <v>6.8784084135825804E-2</v>
      </c>
      <c r="I5306">
        <v>4.5715173933312703E-2</v>
      </c>
      <c r="J5306">
        <v>6.7582292868102897E-2</v>
      </c>
      <c r="K5306">
        <v>5.7246581438333798E-2</v>
      </c>
      <c r="L5306">
        <v>722.13698793332105</v>
      </c>
      <c r="M5306">
        <v>15.5686008554304</v>
      </c>
      <c r="N5306">
        <v>46.735026683842896</v>
      </c>
      <c r="O5306">
        <v>45.639127458583303</v>
      </c>
      <c r="P5306">
        <v>-8.0584765828816393E-2</v>
      </c>
      <c r="Q5306">
        <v>5.5150215952939799E-2</v>
      </c>
      <c r="R5306">
        <v>0.98882452660620701</v>
      </c>
      <c r="S5306" t="s">
        <v>12112</v>
      </c>
      <c r="T5306" t="s">
        <v>13610</v>
      </c>
      <c r="U5306" t="s">
        <v>13610</v>
      </c>
      <c r="V5306" t="s">
        <v>13610</v>
      </c>
      <c r="W5306" t="s">
        <v>18849</v>
      </c>
      <c r="X5306">
        <v>14</v>
      </c>
      <c r="Y5306" t="s">
        <v>25417</v>
      </c>
      <c r="Z5306" t="s">
        <v>32161</v>
      </c>
      <c r="AA5306">
        <v>0.28097478313160962</v>
      </c>
      <c r="AB5306" t="str">
        <f>HYPERLINK("Melting_Curves/meltCurve_Q96SU4_7_OSBPL9.pdf", "Melting_Curves/meltCurve_Q96SU4_7_OSBPL9.pdf")</f>
        <v>Melting_Curves/meltCurve_Q96SU4_7_OSBPL9.pdf</v>
      </c>
    </row>
    <row r="5307" spans="1:28" x14ac:dyDescent="0.25">
      <c r="A5307" t="s">
        <v>5311</v>
      </c>
      <c r="B5307">
        <v>0.995954080203443</v>
      </c>
      <c r="C5307">
        <v>1.0220575678103101</v>
      </c>
      <c r="D5307">
        <v>0.89506618326925902</v>
      </c>
      <c r="E5307">
        <v>0.89456293935942899</v>
      </c>
      <c r="F5307">
        <v>0.54023478582400497</v>
      </c>
      <c r="G5307">
        <v>0.290220749057022</v>
      </c>
      <c r="H5307">
        <v>0.19561213495676399</v>
      </c>
      <c r="I5307">
        <v>0.160138138647721</v>
      </c>
      <c r="J5307">
        <v>0.16864018216975801</v>
      </c>
      <c r="K5307">
        <v>0.14542995188423499</v>
      </c>
      <c r="L5307">
        <v>1368.0844965793201</v>
      </c>
      <c r="M5307">
        <v>25.8544621573553</v>
      </c>
      <c r="N5307">
        <v>53.708232672879902</v>
      </c>
      <c r="O5307">
        <v>52.601313842060698</v>
      </c>
      <c r="P5307">
        <v>-0.10337596121144201</v>
      </c>
      <c r="Q5307">
        <v>0.15872977851234399</v>
      </c>
      <c r="R5307">
        <v>0.99066957741640105</v>
      </c>
      <c r="S5307" t="s">
        <v>12113</v>
      </c>
      <c r="T5307" t="s">
        <v>13610</v>
      </c>
      <c r="U5307" t="s">
        <v>13610</v>
      </c>
      <c r="V5307" t="s">
        <v>13610</v>
      </c>
      <c r="W5307" t="s">
        <v>18850</v>
      </c>
      <c r="X5307">
        <v>10</v>
      </c>
      <c r="Y5307" t="s">
        <v>25418</v>
      </c>
      <c r="Z5307" t="s">
        <v>32162</v>
      </c>
      <c r="AA5307">
        <v>0.52815618450456114</v>
      </c>
      <c r="AB5307" t="str">
        <f>HYPERLINK("Melting_Curves/meltCurve_Q96SW2_2_CRBN.pdf", "Melting_Curves/meltCurve_Q96SW2_2_CRBN.pdf")</f>
        <v>Melting_Curves/meltCurve_Q96SW2_2_CRBN.pdf</v>
      </c>
    </row>
    <row r="5308" spans="1:28" x14ac:dyDescent="0.25">
      <c r="A5308" t="s">
        <v>5312</v>
      </c>
      <c r="B5308">
        <v>0.995954080203443</v>
      </c>
      <c r="C5308">
        <v>0.95457335745832195</v>
      </c>
      <c r="D5308">
        <v>0.87342237545679702</v>
      </c>
      <c r="E5308">
        <v>0.67349330049292</v>
      </c>
      <c r="F5308">
        <v>0.26788766544857801</v>
      </c>
      <c r="G5308">
        <v>0.10996930768846699</v>
      </c>
      <c r="H5308">
        <v>5.7691018312858201E-2</v>
      </c>
      <c r="I5308">
        <v>4.5596235894828203E-2</v>
      </c>
      <c r="J5308">
        <v>5.1399525535353E-2</v>
      </c>
      <c r="K5308">
        <v>4.5567986969888799E-2</v>
      </c>
      <c r="L5308">
        <v>1241.1708811876299</v>
      </c>
      <c r="M5308">
        <v>24.381169912283902</v>
      </c>
      <c r="N5308">
        <v>51.085263760605201</v>
      </c>
      <c r="O5308">
        <v>50.568207884880898</v>
      </c>
      <c r="P5308">
        <v>-0.11562093444168001</v>
      </c>
      <c r="Q5308">
        <v>4.0791895110656999E-2</v>
      </c>
      <c r="R5308">
        <v>0.99433104133045302</v>
      </c>
      <c r="S5308" t="s">
        <v>12114</v>
      </c>
      <c r="T5308" t="s">
        <v>13610</v>
      </c>
      <c r="U5308" t="s">
        <v>13610</v>
      </c>
      <c r="V5308" t="s">
        <v>13610</v>
      </c>
      <c r="W5308" t="s">
        <v>18851</v>
      </c>
      <c r="X5308">
        <v>7</v>
      </c>
      <c r="Y5308" t="s">
        <v>25419</v>
      </c>
      <c r="Z5308" t="s">
        <v>32163</v>
      </c>
      <c r="AA5308">
        <v>0.3986205761636562</v>
      </c>
      <c r="AB5308" t="str">
        <f>HYPERLINK("Melting_Curves/meltCurve_Q96SY0_4_VWA9.pdf", "Melting_Curves/meltCurve_Q96SY0_4_VWA9.pdf")</f>
        <v>Melting_Curves/meltCurve_Q96SY0_4_VWA9.pdf</v>
      </c>
    </row>
    <row r="5309" spans="1:28" x14ac:dyDescent="0.25">
      <c r="A5309" t="s">
        <v>5313</v>
      </c>
      <c r="B5309">
        <v>0.995954080203443</v>
      </c>
      <c r="C5309">
        <v>0.85298763422942503</v>
      </c>
      <c r="D5309">
        <v>0.91293769873780395</v>
      </c>
      <c r="E5309">
        <v>0.77688228400233095</v>
      </c>
      <c r="F5309">
        <v>0.65897770794944199</v>
      </c>
      <c r="G5309">
        <v>0.43444478009500198</v>
      </c>
      <c r="H5309">
        <v>0.30287551079321301</v>
      </c>
      <c r="I5309">
        <v>0.24329419936287999</v>
      </c>
      <c r="J5309">
        <v>0.163089737778921</v>
      </c>
      <c r="K5309">
        <v>0.142528904881951</v>
      </c>
      <c r="L5309">
        <v>534.853092340785</v>
      </c>
      <c r="M5309">
        <v>9.5452046406892102</v>
      </c>
      <c r="N5309">
        <v>56.033695710979003</v>
      </c>
      <c r="O5309">
        <v>53.739758304186203</v>
      </c>
      <c r="P5309">
        <v>-4.4430559574912598E-2</v>
      </c>
      <c r="Q5309">
        <v>0</v>
      </c>
      <c r="R5309">
        <v>0.98745690341542103</v>
      </c>
      <c r="S5309" t="s">
        <v>12115</v>
      </c>
      <c r="T5309" t="s">
        <v>13610</v>
      </c>
      <c r="U5309" t="s">
        <v>13610</v>
      </c>
      <c r="V5309" t="s">
        <v>13610</v>
      </c>
      <c r="W5309" t="s">
        <v>18852</v>
      </c>
      <c r="X5309">
        <v>16</v>
      </c>
      <c r="Y5309" t="s">
        <v>25420</v>
      </c>
      <c r="Z5309" t="s">
        <v>32164</v>
      </c>
      <c r="AA5309">
        <v>0.55530109088930535</v>
      </c>
      <c r="AB5309" t="str">
        <f>HYPERLINK("Melting_Curves/meltCurve_Q96SZ5_ADO.pdf", "Melting_Curves/meltCurve_Q96SZ5_ADO.pdf")</f>
        <v>Melting_Curves/meltCurve_Q96SZ5_ADO.pdf</v>
      </c>
    </row>
    <row r="5310" spans="1:28" x14ac:dyDescent="0.25">
      <c r="A5310" t="s">
        <v>5314</v>
      </c>
      <c r="B5310">
        <v>0.995954080203443</v>
      </c>
      <c r="C5310">
        <v>1.0190248575216601</v>
      </c>
      <c r="D5310">
        <v>1.0225342938547</v>
      </c>
      <c r="E5310">
        <v>0.95900647009588902</v>
      </c>
      <c r="F5310">
        <v>0.92923369398461897</v>
      </c>
      <c r="G5310">
        <v>0.72064878655772702</v>
      </c>
      <c r="H5310">
        <v>0.65420158986443</v>
      </c>
      <c r="I5310">
        <v>0.76292286481767801</v>
      </c>
      <c r="J5310">
        <v>0.86828980291820501</v>
      </c>
      <c r="K5310">
        <v>0.95175694664666299</v>
      </c>
      <c r="L5310">
        <v>10611.835121989099</v>
      </c>
      <c r="M5310">
        <v>199.557852770485</v>
      </c>
      <c r="O5310">
        <v>53.1713951233682</v>
      </c>
      <c r="P5310">
        <v>-0.19557056863462699</v>
      </c>
      <c r="Q5310">
        <v>0.79156400471740096</v>
      </c>
      <c r="R5310">
        <v>0.62389729753089795</v>
      </c>
      <c r="S5310" t="s">
        <v>12116</v>
      </c>
      <c r="T5310" t="s">
        <v>13610</v>
      </c>
      <c r="U5310" t="s">
        <v>13610</v>
      </c>
      <c r="V5310" t="s">
        <v>13610</v>
      </c>
      <c r="W5310" t="s">
        <v>18853</v>
      </c>
      <c r="X5310">
        <v>15</v>
      </c>
      <c r="Y5310" t="s">
        <v>25421</v>
      </c>
      <c r="Z5310" t="s">
        <v>32165</v>
      </c>
      <c r="AA5310">
        <v>0.88314473556488815</v>
      </c>
      <c r="AB5310" t="str">
        <f>HYPERLINK("Melting_Curves/meltCurve_Q96T21_SECISBP2.pdf", "Melting_Curves/meltCurve_Q96T21_SECISBP2.pdf")</f>
        <v>Melting_Curves/meltCurve_Q96T21_SECISBP2.pdf</v>
      </c>
    </row>
    <row r="5311" spans="1:28" x14ac:dyDescent="0.25">
      <c r="A5311" t="s">
        <v>5315</v>
      </c>
      <c r="B5311">
        <v>0.995954080203443</v>
      </c>
      <c r="C5311">
        <v>0.99099364391120204</v>
      </c>
      <c r="D5311">
        <v>0.98409597958079198</v>
      </c>
      <c r="E5311">
        <v>0.892946709154254</v>
      </c>
      <c r="F5311">
        <v>0.87883932955564503</v>
      </c>
      <c r="G5311">
        <v>0.62283549185880904</v>
      </c>
      <c r="H5311">
        <v>0.61499340791871604</v>
      </c>
      <c r="I5311">
        <v>0.72510475145082598</v>
      </c>
      <c r="J5311">
        <v>0.96167920109383398</v>
      </c>
      <c r="K5311">
        <v>0.84444488811525797</v>
      </c>
      <c r="L5311">
        <v>1666.4107032877</v>
      </c>
      <c r="M5311">
        <v>32.663879547126101</v>
      </c>
      <c r="O5311">
        <v>50.826845498155798</v>
      </c>
      <c r="P5311">
        <v>-3.8394215722392003E-2</v>
      </c>
      <c r="Q5311">
        <v>0.76102681797229499</v>
      </c>
      <c r="R5311">
        <v>0.51086472665541105</v>
      </c>
      <c r="S5311" t="s">
        <v>12117</v>
      </c>
      <c r="T5311" t="s">
        <v>13610</v>
      </c>
      <c r="U5311" t="s">
        <v>13610</v>
      </c>
      <c r="V5311" t="s">
        <v>13610</v>
      </c>
      <c r="W5311" t="s">
        <v>18854</v>
      </c>
      <c r="X5311">
        <v>39</v>
      </c>
      <c r="Y5311" t="s">
        <v>25422</v>
      </c>
      <c r="Z5311" t="s">
        <v>32166</v>
      </c>
      <c r="AA5311">
        <v>0.85005222113825496</v>
      </c>
      <c r="AB5311" t="str">
        <f>HYPERLINK("Melting_Curves/meltCurve_Q96T23_2_RSF1.pdf", "Melting_Curves/meltCurve_Q96T23_2_RSF1.pdf")</f>
        <v>Melting_Curves/meltCurve_Q96T23_2_RSF1.pdf</v>
      </c>
    </row>
    <row r="5312" spans="1:28" x14ac:dyDescent="0.25">
      <c r="A5312" t="s">
        <v>5316</v>
      </c>
      <c r="B5312">
        <v>0.995954080203443</v>
      </c>
      <c r="C5312">
        <v>0.90742352612683397</v>
      </c>
      <c r="D5312">
        <v>0.80120167192382297</v>
      </c>
      <c r="E5312">
        <v>0.60338610643732205</v>
      </c>
      <c r="F5312">
        <v>0.449019207716297</v>
      </c>
      <c r="G5312">
        <v>0.29103413081910001</v>
      </c>
      <c r="H5312">
        <v>0.235640219385023</v>
      </c>
      <c r="I5312">
        <v>0.26865763772766599</v>
      </c>
      <c r="J5312">
        <v>0.30607259027481099</v>
      </c>
      <c r="K5312">
        <v>0.31969282069490401</v>
      </c>
      <c r="L5312">
        <v>801.49404224931902</v>
      </c>
      <c r="M5312">
        <v>16.337932068319901</v>
      </c>
      <c r="N5312">
        <v>51.425399405800199</v>
      </c>
      <c r="O5312">
        <v>48.339959146442901</v>
      </c>
      <c r="P5312">
        <v>-6.2161265493325901E-2</v>
      </c>
      <c r="Q5312">
        <v>0.26437297877745097</v>
      </c>
      <c r="R5312">
        <v>0.98544514534866801</v>
      </c>
      <c r="S5312" t="s">
        <v>12118</v>
      </c>
      <c r="T5312" t="s">
        <v>13610</v>
      </c>
      <c r="U5312" t="s">
        <v>13610</v>
      </c>
      <c r="V5312" t="s">
        <v>13610</v>
      </c>
      <c r="W5312" t="s">
        <v>18855</v>
      </c>
      <c r="X5312">
        <v>31</v>
      </c>
      <c r="Y5312" t="s">
        <v>25423</v>
      </c>
      <c r="Z5312" t="s">
        <v>32167</v>
      </c>
      <c r="AA5312">
        <v>0.50185941347502927</v>
      </c>
      <c r="AB5312" t="str">
        <f>HYPERLINK("Melting_Curves/meltCurve_Q96T37_2_RBM15.pdf", "Melting_Curves/meltCurve_Q96T37_2_RBM15.pdf")</f>
        <v>Melting_Curves/meltCurve_Q96T37_2_RBM15.pdf</v>
      </c>
    </row>
    <row r="5313" spans="1:28" x14ac:dyDescent="0.25">
      <c r="A5313" t="s">
        <v>5317</v>
      </c>
      <c r="B5313">
        <v>0.995954080203443</v>
      </c>
      <c r="C5313">
        <v>0.98089744891401798</v>
      </c>
      <c r="D5313">
        <v>0.90436292185950795</v>
      </c>
      <c r="E5313">
        <v>0.70053514458337995</v>
      </c>
      <c r="F5313">
        <v>0.42300631633589098</v>
      </c>
      <c r="G5313">
        <v>0.179915799675743</v>
      </c>
      <c r="H5313">
        <v>0.11616412080459</v>
      </c>
      <c r="I5313">
        <v>0.11714115945893</v>
      </c>
      <c r="J5313">
        <v>0.13264556430017199</v>
      </c>
      <c r="K5313">
        <v>0.12566142162198601</v>
      </c>
      <c r="L5313">
        <v>1127.1931730377601</v>
      </c>
      <c r="M5313">
        <v>21.9201426312667</v>
      </c>
      <c r="N5313">
        <v>52.001315991124201</v>
      </c>
      <c r="O5313">
        <v>51.000482152740801</v>
      </c>
      <c r="P5313">
        <v>-9.58248836039957E-2</v>
      </c>
      <c r="Q5313">
        <v>0.10821677758492</v>
      </c>
      <c r="R5313">
        <v>0.99789588498024995</v>
      </c>
      <c r="S5313" t="s">
        <v>12119</v>
      </c>
      <c r="T5313" t="s">
        <v>13610</v>
      </c>
      <c r="U5313" t="s">
        <v>13610</v>
      </c>
      <c r="V5313" t="s">
        <v>13610</v>
      </c>
      <c r="W5313" t="s">
        <v>18856</v>
      </c>
      <c r="X5313">
        <v>36</v>
      </c>
      <c r="Y5313" t="s">
        <v>25424</v>
      </c>
      <c r="Z5313" t="s">
        <v>32168</v>
      </c>
      <c r="AA5313">
        <v>0.45819057445135247</v>
      </c>
      <c r="AB5313" t="str">
        <f>HYPERLINK("Melting_Curves/meltCurve_Q96T51_RUFY1.pdf", "Melting_Curves/meltCurve_Q96T51_RUFY1.pdf")</f>
        <v>Melting_Curves/meltCurve_Q96T51_RUFY1.pdf</v>
      </c>
    </row>
    <row r="5314" spans="1:28" x14ac:dyDescent="0.25">
      <c r="A5314" t="s">
        <v>5318</v>
      </c>
      <c r="B5314">
        <v>0.995954080203443</v>
      </c>
      <c r="C5314">
        <v>0.97220031406351803</v>
      </c>
      <c r="D5314">
        <v>1.0246829540807001</v>
      </c>
      <c r="E5314">
        <v>0.90546382534523895</v>
      </c>
      <c r="F5314">
        <v>0.90593683954053605</v>
      </c>
      <c r="G5314">
        <v>0.67663878329312699</v>
      </c>
      <c r="H5314">
        <v>0.61469421873069596</v>
      </c>
      <c r="I5314">
        <v>0.71248161775596697</v>
      </c>
      <c r="J5314">
        <v>0.80931392076712905</v>
      </c>
      <c r="K5314">
        <v>0.83670033808419997</v>
      </c>
      <c r="L5314">
        <v>4123.8291382979196</v>
      </c>
      <c r="M5314">
        <v>77.244310227550599</v>
      </c>
      <c r="O5314">
        <v>53.351084515910898</v>
      </c>
      <c r="P5314">
        <v>-9.7791317003192796E-2</v>
      </c>
      <c r="Q5314">
        <v>0.72983009708301805</v>
      </c>
      <c r="R5314">
        <v>0.75167234676236905</v>
      </c>
      <c r="S5314" t="s">
        <v>12120</v>
      </c>
      <c r="T5314" t="s">
        <v>13610</v>
      </c>
      <c r="U5314" t="s">
        <v>13610</v>
      </c>
      <c r="V5314" t="s">
        <v>13610</v>
      </c>
      <c r="W5314" t="s">
        <v>18857</v>
      </c>
      <c r="X5314">
        <v>72</v>
      </c>
      <c r="Y5314" t="s">
        <v>25425</v>
      </c>
      <c r="Z5314" t="s">
        <v>32169</v>
      </c>
      <c r="AA5314">
        <v>0.85065312332185716</v>
      </c>
      <c r="AB5314" t="str">
        <f>HYPERLINK("Melting_Curves/meltCurve_Q96T58_SPEN.pdf", "Melting_Curves/meltCurve_Q96T58_SPEN.pdf")</f>
        <v>Melting_Curves/meltCurve_Q96T58_SPEN.pdf</v>
      </c>
    </row>
    <row r="5315" spans="1:28" x14ac:dyDescent="0.25">
      <c r="A5315" t="s">
        <v>5319</v>
      </c>
      <c r="B5315">
        <v>0.995954080203443</v>
      </c>
      <c r="C5315">
        <v>0.71861828413460005</v>
      </c>
      <c r="D5315">
        <v>0.26659452633955699</v>
      </c>
      <c r="E5315">
        <v>0.230858770411041</v>
      </c>
      <c r="F5315">
        <v>0.15783797423224899</v>
      </c>
      <c r="G5315">
        <v>0.10034263972348099</v>
      </c>
      <c r="H5315">
        <v>8.8096290843480404E-2</v>
      </c>
      <c r="I5315">
        <v>9.3948652385264703E-2</v>
      </c>
      <c r="J5315">
        <v>0.11052808425394101</v>
      </c>
      <c r="K5315">
        <v>0.103774122506456</v>
      </c>
      <c r="L5315">
        <v>1431.4058759238101</v>
      </c>
      <c r="M5315">
        <v>32.603486321724098</v>
      </c>
      <c r="N5315">
        <v>44.2814431323349</v>
      </c>
      <c r="O5315">
        <v>43.7392568055608</v>
      </c>
      <c r="P5315">
        <v>-0.16371676876992899</v>
      </c>
      <c r="Q5315">
        <v>0.121465691746864</v>
      </c>
      <c r="R5315">
        <v>0.98439973856584095</v>
      </c>
      <c r="S5315" t="s">
        <v>12121</v>
      </c>
      <c r="T5315" t="s">
        <v>13610</v>
      </c>
      <c r="U5315" t="s">
        <v>13610</v>
      </c>
      <c r="V5315" t="s">
        <v>13610</v>
      </c>
      <c r="W5315" t="s">
        <v>18858</v>
      </c>
      <c r="X5315">
        <v>8</v>
      </c>
      <c r="Y5315" t="s">
        <v>25426</v>
      </c>
      <c r="Z5315" t="s">
        <v>32170</v>
      </c>
      <c r="AA5315">
        <v>0.24107042203082629</v>
      </c>
      <c r="AB5315" t="str">
        <f>HYPERLINK("Melting_Curves/meltCurve_Q96T60_PNKP.pdf", "Melting_Curves/meltCurve_Q96T60_PNKP.pdf")</f>
        <v>Melting_Curves/meltCurve_Q96T60_PNKP.pdf</v>
      </c>
    </row>
    <row r="5316" spans="1:28" x14ac:dyDescent="0.25">
      <c r="A5316" t="s">
        <v>5320</v>
      </c>
      <c r="B5316">
        <v>0.995954080203443</v>
      </c>
      <c r="C5316">
        <v>0.741732071017707</v>
      </c>
      <c r="D5316">
        <v>0.34705239347927602</v>
      </c>
      <c r="E5316">
        <v>0.214335786534712</v>
      </c>
      <c r="F5316">
        <v>0.11283156396013699</v>
      </c>
      <c r="G5316">
        <v>6.6687590129425503E-2</v>
      </c>
      <c r="H5316">
        <v>4.6060053504916501E-2</v>
      </c>
      <c r="I5316">
        <v>4.2565792327469001E-2</v>
      </c>
      <c r="J5316">
        <v>4.76912473672884E-2</v>
      </c>
      <c r="K5316">
        <v>4.3172900873752203E-2</v>
      </c>
      <c r="L5316">
        <v>1003.797989692</v>
      </c>
      <c r="M5316">
        <v>22.4318732721161</v>
      </c>
      <c r="N5316">
        <v>45.0057644738121</v>
      </c>
      <c r="O5316">
        <v>44.397662242406</v>
      </c>
      <c r="P5316">
        <v>-0.11872019581870499</v>
      </c>
      <c r="Q5316">
        <v>6.01249212878903E-2</v>
      </c>
      <c r="R5316">
        <v>0.98810831041609004</v>
      </c>
      <c r="S5316" t="s">
        <v>12122</v>
      </c>
      <c r="T5316" t="s">
        <v>13610</v>
      </c>
      <c r="U5316" t="s">
        <v>13610</v>
      </c>
      <c r="V5316" t="s">
        <v>13610</v>
      </c>
      <c r="W5316" t="s">
        <v>18859</v>
      </c>
      <c r="X5316">
        <v>19</v>
      </c>
      <c r="Y5316" t="s">
        <v>25427</v>
      </c>
      <c r="Z5316" t="s">
        <v>32171</v>
      </c>
      <c r="AA5316">
        <v>0.22140091230397141</v>
      </c>
      <c r="AB5316" t="str">
        <f>HYPERLINK("Melting_Curves/meltCurve_Q96T76_MMS19.pdf", "Melting_Curves/meltCurve_Q96T76_MMS19.pdf")</f>
        <v>Melting_Curves/meltCurve_Q96T76_MMS19.pdf</v>
      </c>
    </row>
    <row r="5317" spans="1:28" x14ac:dyDescent="0.25">
      <c r="A5317" t="s">
        <v>5321</v>
      </c>
      <c r="B5317">
        <v>0.995954080203443</v>
      </c>
      <c r="C5317">
        <v>1.05389592177991</v>
      </c>
      <c r="D5317">
        <v>0.95587257370209699</v>
      </c>
      <c r="E5317">
        <v>0.65490688833757604</v>
      </c>
      <c r="F5317">
        <v>0.34669536977285997</v>
      </c>
      <c r="G5317">
        <v>0.227201269231813</v>
      </c>
      <c r="H5317">
        <v>0.175194515582795</v>
      </c>
      <c r="I5317">
        <v>0.16445992027176601</v>
      </c>
      <c r="J5317">
        <v>0.19350743769546</v>
      </c>
      <c r="K5317">
        <v>0.19160942639800699</v>
      </c>
      <c r="L5317">
        <v>1499.69035034289</v>
      </c>
      <c r="M5317">
        <v>29.672323776544399</v>
      </c>
      <c r="N5317">
        <v>51.330434199407598</v>
      </c>
      <c r="O5317">
        <v>50.3138306881064</v>
      </c>
      <c r="P5317">
        <v>-0.120446031594705</v>
      </c>
      <c r="Q5317">
        <v>0.18306909080704301</v>
      </c>
      <c r="R5317">
        <v>0.99657789833884602</v>
      </c>
      <c r="S5317" t="s">
        <v>12123</v>
      </c>
      <c r="T5317" t="s">
        <v>13610</v>
      </c>
      <c r="U5317" t="s">
        <v>13610</v>
      </c>
      <c r="V5317" t="s">
        <v>13610</v>
      </c>
      <c r="W5317" t="s">
        <v>18860</v>
      </c>
      <c r="X5317">
        <v>5</v>
      </c>
      <c r="Y5317" t="s">
        <v>25428</v>
      </c>
      <c r="Z5317" t="s">
        <v>32172</v>
      </c>
      <c r="AA5317">
        <v>0.47534275857788938</v>
      </c>
      <c r="AB5317" t="str">
        <f>HYPERLINK("Melting_Curves/meltCurve_Q96T88_UHRF1.pdf", "Melting_Curves/meltCurve_Q96T88_UHRF1.pdf")</f>
        <v>Melting_Curves/meltCurve_Q96T88_UHRF1.pdf</v>
      </c>
    </row>
    <row r="5318" spans="1:28" x14ac:dyDescent="0.25">
      <c r="A5318" t="s">
        <v>5322</v>
      </c>
      <c r="B5318">
        <v>0.995954080203443</v>
      </c>
      <c r="C5318">
        <v>0.98088055030076604</v>
      </c>
      <c r="D5318">
        <v>0.99562727617639601</v>
      </c>
      <c r="E5318">
        <v>0.71645407361416003</v>
      </c>
      <c r="F5318">
        <v>0.21844203139770901</v>
      </c>
      <c r="G5318">
        <v>8.8908818288625194E-2</v>
      </c>
      <c r="H5318">
        <v>5.8929368804815897E-2</v>
      </c>
      <c r="I5318">
        <v>5.3612143365367099E-2</v>
      </c>
      <c r="J5318">
        <v>5.95069308907476E-2</v>
      </c>
      <c r="K5318">
        <v>5.3261160523553799E-2</v>
      </c>
      <c r="L5318">
        <v>2130.3789061300199</v>
      </c>
      <c r="M5318">
        <v>41.770770049423398</v>
      </c>
      <c r="N5318">
        <v>51.157853368493598</v>
      </c>
      <c r="O5318">
        <v>50.885213806735798</v>
      </c>
      <c r="P5318">
        <v>-0.19293558841720099</v>
      </c>
      <c r="Q5318">
        <v>5.9864420791494198E-2</v>
      </c>
      <c r="R5318">
        <v>0.99953843364031303</v>
      </c>
      <c r="S5318" t="s">
        <v>12124</v>
      </c>
      <c r="T5318" t="s">
        <v>13610</v>
      </c>
      <c r="U5318" t="s">
        <v>13610</v>
      </c>
      <c r="V5318" t="s">
        <v>13610</v>
      </c>
      <c r="W5318" t="s">
        <v>18861</v>
      </c>
      <c r="X5318">
        <v>16</v>
      </c>
      <c r="Y5318" t="s">
        <v>25429</v>
      </c>
      <c r="Z5318" t="s">
        <v>32173</v>
      </c>
      <c r="AA5318">
        <v>0.40767026905284448</v>
      </c>
      <c r="AB5318" t="str">
        <f>HYPERLINK("Melting_Curves/meltCurve_Q96TA1_2_FAM129B.pdf", "Melting_Curves/meltCurve_Q96TA1_2_FAM129B.pdf")</f>
        <v>Melting_Curves/meltCurve_Q96TA1_2_FAM129B.pdf</v>
      </c>
    </row>
    <row r="5319" spans="1:28" x14ac:dyDescent="0.25">
      <c r="A5319" t="s">
        <v>5323</v>
      </c>
      <c r="B5319">
        <v>0.995954080203443</v>
      </c>
      <c r="C5319">
        <v>1.0247221304273899</v>
      </c>
      <c r="D5319">
        <v>0.94282130945464504</v>
      </c>
      <c r="E5319">
        <v>0.85767106686794503</v>
      </c>
      <c r="F5319">
        <v>0.73010742646060101</v>
      </c>
      <c r="G5319">
        <v>0.27517714996437598</v>
      </c>
      <c r="H5319">
        <v>0.140032469264529</v>
      </c>
      <c r="I5319">
        <v>0.103612756593616</v>
      </c>
      <c r="J5319">
        <v>0.10481395315568499</v>
      </c>
      <c r="K5319">
        <v>8.7890371692677799E-2</v>
      </c>
      <c r="L5319">
        <v>1364.52912228024</v>
      </c>
      <c r="M5319">
        <v>25.096951649218202</v>
      </c>
      <c r="N5319">
        <v>54.772641261657498</v>
      </c>
      <c r="O5319">
        <v>54.028647300985497</v>
      </c>
      <c r="P5319">
        <v>-0.106354670738758</v>
      </c>
      <c r="Q5319">
        <v>8.4172148088660206E-2</v>
      </c>
      <c r="R5319">
        <v>0.99457945844655005</v>
      </c>
      <c r="S5319" t="s">
        <v>12125</v>
      </c>
      <c r="T5319" t="s">
        <v>13610</v>
      </c>
      <c r="U5319" t="s">
        <v>13610</v>
      </c>
      <c r="V5319" t="s">
        <v>13610</v>
      </c>
      <c r="W5319" t="s">
        <v>18862</v>
      </c>
      <c r="X5319">
        <v>8</v>
      </c>
      <c r="Y5319" t="s">
        <v>25430</v>
      </c>
      <c r="Z5319" t="s">
        <v>32174</v>
      </c>
      <c r="AA5319">
        <v>0.5312846850616012</v>
      </c>
      <c r="AB5319" t="str">
        <f>HYPERLINK("Melting_Curves/meltCurve_Q96TC7_RMDN3.pdf", "Melting_Curves/meltCurve_Q96TC7_RMDN3.pdf")</f>
        <v>Melting_Curves/meltCurve_Q96TC7_RMDN3.pdf</v>
      </c>
    </row>
    <row r="5320" spans="1:28" x14ac:dyDescent="0.25">
      <c r="A5320" t="s">
        <v>5324</v>
      </c>
      <c r="B5320">
        <v>0.995954080203443</v>
      </c>
      <c r="C5320">
        <v>0.91220915489478205</v>
      </c>
      <c r="D5320">
        <v>1.05440133084999</v>
      </c>
      <c r="E5320">
        <v>0.681724260196235</v>
      </c>
      <c r="F5320">
        <v>0.68811954315847801</v>
      </c>
      <c r="G5320">
        <v>0.51170363613028103</v>
      </c>
      <c r="H5320">
        <v>0.465530608722664</v>
      </c>
      <c r="I5320">
        <v>0.57109457561643495</v>
      </c>
      <c r="J5320">
        <v>0.61047944159689804</v>
      </c>
      <c r="K5320">
        <v>0.64161586878956101</v>
      </c>
      <c r="L5320">
        <v>3162.5316855985998</v>
      </c>
      <c r="M5320">
        <v>64.2795489236522</v>
      </c>
      <c r="O5320">
        <v>49.152103760928199</v>
      </c>
      <c r="P5320">
        <v>-0.137443171625762</v>
      </c>
      <c r="Q5320">
        <v>0.57961006642926804</v>
      </c>
      <c r="R5320">
        <v>0.88096342011973805</v>
      </c>
      <c r="S5320" t="s">
        <v>12126</v>
      </c>
      <c r="T5320" t="s">
        <v>13610</v>
      </c>
      <c r="U5320" t="s">
        <v>13610</v>
      </c>
      <c r="V5320" t="s">
        <v>13610</v>
      </c>
      <c r="W5320" t="s">
        <v>18863</v>
      </c>
      <c r="X5320">
        <v>14</v>
      </c>
      <c r="Y5320" t="s">
        <v>25431</v>
      </c>
      <c r="Z5320" t="s">
        <v>32175</v>
      </c>
      <c r="AA5320">
        <v>0.70907561724455237</v>
      </c>
      <c r="AB5320" t="str">
        <f>HYPERLINK("Melting_Curves/meltCurve_Q99081_TCF12.pdf", "Melting_Curves/meltCurve_Q99081_TCF12.pdf")</f>
        <v>Melting_Curves/meltCurve_Q99081_TCF12.pdf</v>
      </c>
    </row>
    <row r="5321" spans="1:28" x14ac:dyDescent="0.25">
      <c r="A5321" t="s">
        <v>5325</v>
      </c>
      <c r="B5321">
        <v>0.995954080203443</v>
      </c>
      <c r="C5321">
        <v>0.936844771716007</v>
      </c>
      <c r="D5321">
        <v>0.87818896751768705</v>
      </c>
      <c r="E5321">
        <v>0.69097070609762501</v>
      </c>
      <c r="F5321">
        <v>0.58542810079259</v>
      </c>
      <c r="G5321">
        <v>0.37902846864585499</v>
      </c>
      <c r="H5321">
        <v>0.29338837451972399</v>
      </c>
      <c r="I5321">
        <v>0.308206306998421</v>
      </c>
      <c r="J5321">
        <v>0.38260739961359802</v>
      </c>
      <c r="K5321">
        <v>0.330066938466684</v>
      </c>
      <c r="L5321">
        <v>809.24114547200998</v>
      </c>
      <c r="M5321">
        <v>15.9445094744631</v>
      </c>
      <c r="N5321">
        <v>53.962269941882802</v>
      </c>
      <c r="O5321">
        <v>49.975367169285299</v>
      </c>
      <c r="P5321">
        <v>-5.5338505534657897E-2</v>
      </c>
      <c r="Q5321">
        <v>0.30625843755530702</v>
      </c>
      <c r="R5321">
        <v>0.98317415593506097</v>
      </c>
      <c r="S5321" t="s">
        <v>12127</v>
      </c>
      <c r="T5321" t="s">
        <v>13610</v>
      </c>
      <c r="U5321" t="s">
        <v>13610</v>
      </c>
      <c r="V5321" t="s">
        <v>13610</v>
      </c>
      <c r="W5321" t="s">
        <v>18864</v>
      </c>
      <c r="X5321">
        <v>8</v>
      </c>
      <c r="Y5321" t="s">
        <v>25432</v>
      </c>
      <c r="Z5321" t="s">
        <v>32176</v>
      </c>
      <c r="AA5321">
        <v>0.56948423317257835</v>
      </c>
      <c r="AB5321" t="str">
        <f>HYPERLINK("Melting_Curves/meltCurve_Q99417_MYCBP.pdf", "Melting_Curves/meltCurve_Q99417_MYCBP.pdf")</f>
        <v>Melting_Curves/meltCurve_Q99417_MYCBP.pdf</v>
      </c>
    </row>
    <row r="5322" spans="1:28" x14ac:dyDescent="0.25">
      <c r="A5322" t="s">
        <v>5326</v>
      </c>
      <c r="B5322">
        <v>0.995954080203443</v>
      </c>
      <c r="C5322">
        <v>0.71750827400218797</v>
      </c>
      <c r="D5322">
        <v>1.4628177408130001</v>
      </c>
      <c r="E5322">
        <v>0.74074033876316103</v>
      </c>
      <c r="F5322">
        <v>0.90862707433814405</v>
      </c>
      <c r="G5322">
        <v>0.56047111007495098</v>
      </c>
      <c r="H5322">
        <v>0.47377023391315598</v>
      </c>
      <c r="I5322">
        <v>0.56166822143641804</v>
      </c>
      <c r="J5322">
        <v>0.68227667740758102</v>
      </c>
      <c r="K5322">
        <v>0.69371489125327201</v>
      </c>
      <c r="L5322">
        <v>1570.4710628656801</v>
      </c>
      <c r="M5322">
        <v>29.701336874553299</v>
      </c>
      <c r="O5322">
        <v>52.637477800111803</v>
      </c>
      <c r="P5322">
        <v>-5.7407717384453702E-2</v>
      </c>
      <c r="Q5322">
        <v>0.59304498909158598</v>
      </c>
      <c r="R5322">
        <v>0.47142918284765001</v>
      </c>
      <c r="S5322" t="s">
        <v>12128</v>
      </c>
      <c r="T5322" t="s">
        <v>13610</v>
      </c>
      <c r="U5322" t="s">
        <v>13610</v>
      </c>
      <c r="V5322" t="s">
        <v>13610</v>
      </c>
      <c r="W5322" t="s">
        <v>18865</v>
      </c>
      <c r="X5322">
        <v>12</v>
      </c>
      <c r="Y5322" t="s">
        <v>25433</v>
      </c>
      <c r="Z5322" t="s">
        <v>32177</v>
      </c>
      <c r="AA5322">
        <v>0.77038905622582665</v>
      </c>
      <c r="AB5322" t="str">
        <f>HYPERLINK("Melting_Curves/meltCurve_Q99426_TBCB.pdf", "Melting_Curves/meltCurve_Q99426_TBCB.pdf")</f>
        <v>Melting_Curves/meltCurve_Q99426_TBCB.pdf</v>
      </c>
    </row>
    <row r="5323" spans="1:28" x14ac:dyDescent="0.25">
      <c r="A5323" t="s">
        <v>5327</v>
      </c>
      <c r="B5323">
        <v>0.995954080203443</v>
      </c>
      <c r="C5323">
        <v>0.73821571244934203</v>
      </c>
      <c r="D5323">
        <v>0.56831767253392695</v>
      </c>
      <c r="E5323">
        <v>0.886995032246223</v>
      </c>
      <c r="F5323">
        <v>0.69867322573679203</v>
      </c>
      <c r="G5323">
        <v>0.594792405272493</v>
      </c>
      <c r="H5323">
        <v>0.27024617659657502</v>
      </c>
      <c r="I5323">
        <v>0.28468944518303302</v>
      </c>
      <c r="J5323">
        <v>0.106065598091199</v>
      </c>
      <c r="K5323">
        <v>0.34436355688239401</v>
      </c>
      <c r="L5323">
        <v>348.38722971425801</v>
      </c>
      <c r="M5323">
        <v>6.1817575820185304</v>
      </c>
      <c r="N5323">
        <v>56.357310210849398</v>
      </c>
      <c r="O5323">
        <v>51.3168636514242</v>
      </c>
      <c r="P5323">
        <v>-3.0203273111668798E-2</v>
      </c>
      <c r="Q5323">
        <v>0</v>
      </c>
      <c r="R5323">
        <v>0.74263227116630903</v>
      </c>
      <c r="S5323" t="s">
        <v>12129</v>
      </c>
      <c r="T5323" t="s">
        <v>13610</v>
      </c>
      <c r="U5323" t="s">
        <v>13610</v>
      </c>
      <c r="V5323" t="s">
        <v>13610</v>
      </c>
      <c r="W5323" t="s">
        <v>18866</v>
      </c>
      <c r="X5323">
        <v>13</v>
      </c>
      <c r="Y5323" t="s">
        <v>25434</v>
      </c>
      <c r="Z5323" t="s">
        <v>32178</v>
      </c>
      <c r="AA5323">
        <v>0.55690319093489327</v>
      </c>
      <c r="AB5323" t="str">
        <f>HYPERLINK("Melting_Curves/meltCurve_Q99436_PSMB7.pdf", "Melting_Curves/meltCurve_Q99436_PSMB7.pdf")</f>
        <v>Melting_Curves/meltCurve_Q99436_PSMB7.pdf</v>
      </c>
    </row>
    <row r="5324" spans="1:28" x14ac:dyDescent="0.25">
      <c r="A5324" t="s">
        <v>5328</v>
      </c>
      <c r="B5324">
        <v>0.995954080203443</v>
      </c>
      <c r="C5324">
        <v>1.03072035348753</v>
      </c>
      <c r="D5324">
        <v>0.99572998494049203</v>
      </c>
      <c r="E5324">
        <v>0.81385605125724203</v>
      </c>
      <c r="F5324">
        <v>0.345355613452351</v>
      </c>
      <c r="G5324">
        <v>0.14728449640427299</v>
      </c>
      <c r="H5324">
        <v>8.9287737338468703E-2</v>
      </c>
      <c r="I5324">
        <v>7.9619322582661606E-2</v>
      </c>
      <c r="J5324">
        <v>8.8519023129347299E-2</v>
      </c>
      <c r="K5324">
        <v>9.0395535860781306E-2</v>
      </c>
      <c r="L5324">
        <v>1971.04976245032</v>
      </c>
      <c r="M5324">
        <v>38.096611631246503</v>
      </c>
      <c r="N5324">
        <v>52.015805905713897</v>
      </c>
      <c r="O5324">
        <v>51.596249322158499</v>
      </c>
      <c r="P5324">
        <v>-0.16760922929138999</v>
      </c>
      <c r="Q5324">
        <v>9.1994227195175707E-2</v>
      </c>
      <c r="R5324">
        <v>0.99873655682711904</v>
      </c>
      <c r="S5324" t="s">
        <v>12130</v>
      </c>
      <c r="T5324" t="s">
        <v>13610</v>
      </c>
      <c r="U5324" t="s">
        <v>13610</v>
      </c>
      <c r="V5324" t="s">
        <v>13610</v>
      </c>
      <c r="W5324" t="s">
        <v>18867</v>
      </c>
      <c r="X5324">
        <v>22</v>
      </c>
      <c r="Y5324" t="s">
        <v>25435</v>
      </c>
      <c r="Z5324" t="s">
        <v>32179</v>
      </c>
      <c r="AA5324">
        <v>0.4508529946356391</v>
      </c>
      <c r="AB5324" t="str">
        <f>HYPERLINK("Melting_Curves/meltCurve_Q99447_PCYT2.pdf", "Melting_Curves/meltCurve_Q99447_PCYT2.pdf")</f>
        <v>Melting_Curves/meltCurve_Q99447_PCYT2.pdf</v>
      </c>
    </row>
    <row r="5325" spans="1:28" x14ac:dyDescent="0.25">
      <c r="A5325" t="s">
        <v>5329</v>
      </c>
      <c r="B5325">
        <v>0.995954080203443</v>
      </c>
      <c r="C5325">
        <v>1.03030787498876</v>
      </c>
      <c r="D5325">
        <v>1.1250436069280501</v>
      </c>
      <c r="E5325">
        <v>0.97757548835152497</v>
      </c>
      <c r="F5325">
        <v>1.09590280397697</v>
      </c>
      <c r="G5325">
        <v>0.89994896311754502</v>
      </c>
      <c r="H5325">
        <v>0.88059549260946401</v>
      </c>
      <c r="I5325">
        <v>1.1805456393492699</v>
      </c>
      <c r="J5325">
        <v>1.67500294878224</v>
      </c>
      <c r="K5325">
        <v>1.4320854322223899</v>
      </c>
      <c r="L5325">
        <v>15000</v>
      </c>
      <c r="M5325">
        <v>233.804666220608</v>
      </c>
      <c r="O5325">
        <v>64.151425097027399</v>
      </c>
      <c r="P5325">
        <v>0.45557184874144702</v>
      </c>
      <c r="Q5325">
        <v>1.5</v>
      </c>
      <c r="R5325">
        <v>0.84634006715571797</v>
      </c>
      <c r="S5325" t="s">
        <v>12131</v>
      </c>
      <c r="T5325" t="s">
        <v>13610</v>
      </c>
      <c r="U5325" t="s">
        <v>13610</v>
      </c>
      <c r="V5325" t="s">
        <v>13610</v>
      </c>
      <c r="W5325" t="s">
        <v>18868</v>
      </c>
      <c r="X5325">
        <v>5</v>
      </c>
      <c r="Y5325" t="s">
        <v>25436</v>
      </c>
      <c r="Z5325" t="s">
        <v>32180</v>
      </c>
      <c r="AA5325">
        <v>1.097333648066986</v>
      </c>
      <c r="AB5325" t="str">
        <f>HYPERLINK("Melting_Curves/meltCurve_Q99456_KRT12.pdf", "Melting_Curves/meltCurve_Q99456_KRT12.pdf")</f>
        <v>Melting_Curves/meltCurve_Q99456_KRT12.pdf</v>
      </c>
    </row>
    <row r="5326" spans="1:28" x14ac:dyDescent="0.25">
      <c r="A5326" t="s">
        <v>5330</v>
      </c>
      <c r="B5326">
        <v>0.995954080203443</v>
      </c>
      <c r="C5326">
        <v>0.91336202952710699</v>
      </c>
      <c r="D5326">
        <v>0.82100754735130399</v>
      </c>
      <c r="E5326">
        <v>0.64128946054198399</v>
      </c>
      <c r="F5326">
        <v>0.54373123197670403</v>
      </c>
      <c r="G5326">
        <v>0.39377666356041102</v>
      </c>
      <c r="H5326">
        <v>0.36423303149842801</v>
      </c>
      <c r="I5326">
        <v>0.41766565814255902</v>
      </c>
      <c r="J5326">
        <v>0.55203290751361</v>
      </c>
      <c r="K5326">
        <v>0.48799253319693497</v>
      </c>
      <c r="L5326">
        <v>889.13776296176502</v>
      </c>
      <c r="M5326">
        <v>18.551714096688499</v>
      </c>
      <c r="N5326">
        <v>54.155389049685198</v>
      </c>
      <c r="O5326">
        <v>47.3810526291945</v>
      </c>
      <c r="P5326">
        <v>-5.4741494320705499E-2</v>
      </c>
      <c r="Q5326">
        <v>0.44078568100874899</v>
      </c>
      <c r="R5326">
        <v>0.93429866980696596</v>
      </c>
      <c r="S5326" t="s">
        <v>12132</v>
      </c>
      <c r="T5326" t="s">
        <v>13610</v>
      </c>
      <c r="U5326" t="s">
        <v>13610</v>
      </c>
      <c r="V5326" t="s">
        <v>13610</v>
      </c>
      <c r="W5326" t="s">
        <v>18869</v>
      </c>
      <c r="X5326">
        <v>36</v>
      </c>
      <c r="Y5326" t="s">
        <v>25437</v>
      </c>
      <c r="Z5326" t="s">
        <v>32181</v>
      </c>
      <c r="AA5326">
        <v>0.59789149581181111</v>
      </c>
      <c r="AB5326" t="str">
        <f>HYPERLINK("Melting_Curves/meltCurve_Q99459_CDC5L.pdf", "Melting_Curves/meltCurve_Q99459_CDC5L.pdf")</f>
        <v>Melting_Curves/meltCurve_Q99459_CDC5L.pdf</v>
      </c>
    </row>
    <row r="5327" spans="1:28" x14ac:dyDescent="0.25">
      <c r="A5327" t="s">
        <v>5331</v>
      </c>
      <c r="B5327">
        <v>0.995954080203443</v>
      </c>
      <c r="C5327">
        <v>0.62736860289616303</v>
      </c>
      <c r="D5327">
        <v>0.42694812702805301</v>
      </c>
      <c r="E5327">
        <v>0.51423219773964401</v>
      </c>
      <c r="F5327">
        <v>0.20416220455621301</v>
      </c>
      <c r="G5327">
        <v>0.122058584868554</v>
      </c>
      <c r="H5327">
        <v>7.81052987837971E-2</v>
      </c>
      <c r="I5327">
        <v>5.8133967628974201E-2</v>
      </c>
      <c r="J5327">
        <v>6.1042724749211998E-2</v>
      </c>
      <c r="K5327">
        <v>5.7714344094790697E-2</v>
      </c>
      <c r="L5327">
        <v>484.334506896454</v>
      </c>
      <c r="M5327">
        <v>10.386403301754701</v>
      </c>
      <c r="N5327">
        <v>46.780418620631799</v>
      </c>
      <c r="O5327">
        <v>45.002291241322098</v>
      </c>
      <c r="P5327">
        <v>-5.6785470173729202E-2</v>
      </c>
      <c r="Q5327">
        <v>1.62511636837285E-2</v>
      </c>
      <c r="R5327">
        <v>0.91915260750836703</v>
      </c>
      <c r="S5327" t="s">
        <v>12133</v>
      </c>
      <c r="T5327" t="s">
        <v>13610</v>
      </c>
      <c r="U5327" t="s">
        <v>13610</v>
      </c>
      <c r="V5327" t="s">
        <v>13610</v>
      </c>
      <c r="W5327" t="s">
        <v>18870</v>
      </c>
      <c r="X5327">
        <v>43</v>
      </c>
      <c r="Y5327" t="s">
        <v>25438</v>
      </c>
      <c r="Z5327" t="s">
        <v>32182</v>
      </c>
      <c r="AA5327">
        <v>0.28847630169798599</v>
      </c>
      <c r="AB5327" t="str">
        <f>HYPERLINK("Melting_Curves/meltCurve_Q99460_PSMD1.pdf", "Melting_Curves/meltCurve_Q99460_PSMD1.pdf")</f>
        <v>Melting_Curves/meltCurve_Q99460_PSMD1.pdf</v>
      </c>
    </row>
    <row r="5328" spans="1:28" x14ac:dyDescent="0.25">
      <c r="A5328" t="s">
        <v>5332</v>
      </c>
      <c r="B5328">
        <v>0.995954080203443</v>
      </c>
      <c r="C5328">
        <v>0.94096335704299905</v>
      </c>
      <c r="D5328">
        <v>0.87618136036066896</v>
      </c>
      <c r="E5328">
        <v>0.83578181533375295</v>
      </c>
      <c r="F5328">
        <v>0.66129672373205695</v>
      </c>
      <c r="G5328">
        <v>0.55310403809804698</v>
      </c>
      <c r="H5328">
        <v>0.40586664099089498</v>
      </c>
      <c r="I5328">
        <v>0.24426270160596</v>
      </c>
      <c r="J5328">
        <v>0.19665558657333601</v>
      </c>
      <c r="K5328">
        <v>0.16666351041674499</v>
      </c>
      <c r="L5328">
        <v>535.63009302372495</v>
      </c>
      <c r="M5328">
        <v>9.2994975339773696</v>
      </c>
      <c r="N5328">
        <v>57.597764259726603</v>
      </c>
      <c r="O5328">
        <v>55.122378059058001</v>
      </c>
      <c r="P5328">
        <v>-4.2203652401169398E-2</v>
      </c>
      <c r="Q5328">
        <v>0</v>
      </c>
      <c r="R5328">
        <v>0.99194889350150695</v>
      </c>
      <c r="S5328" t="s">
        <v>12134</v>
      </c>
      <c r="T5328" t="s">
        <v>13610</v>
      </c>
      <c r="U5328" t="s">
        <v>13610</v>
      </c>
      <c r="V5328" t="s">
        <v>13610</v>
      </c>
      <c r="W5328" t="s">
        <v>18871</v>
      </c>
      <c r="X5328">
        <v>10</v>
      </c>
      <c r="Y5328" t="s">
        <v>25439</v>
      </c>
      <c r="Z5328" t="s">
        <v>32183</v>
      </c>
      <c r="AA5328">
        <v>0.59755222677421371</v>
      </c>
      <c r="AB5328" t="str">
        <f>HYPERLINK("Melting_Curves/meltCurve_Q99471_PFDN5.pdf", "Melting_Curves/meltCurve_Q99471_PFDN5.pdf")</f>
        <v>Melting_Curves/meltCurve_Q99471_PFDN5.pdf</v>
      </c>
    </row>
    <row r="5329" spans="1:28" x14ac:dyDescent="0.25">
      <c r="A5329" t="s">
        <v>5333</v>
      </c>
      <c r="B5329">
        <v>0.995954080203443</v>
      </c>
      <c r="C5329">
        <v>0.97776160956388902</v>
      </c>
      <c r="D5329">
        <v>0.85155889333261303</v>
      </c>
      <c r="E5329">
        <v>0.62484261887279302</v>
      </c>
      <c r="F5329">
        <v>0.29127291149729501</v>
      </c>
      <c r="G5329">
        <v>0.139634186487922</v>
      </c>
      <c r="H5329">
        <v>8.5687896697460006E-2</v>
      </c>
      <c r="I5329">
        <v>6.9215781437855103E-2</v>
      </c>
      <c r="J5329">
        <v>5.3504667173508901E-2</v>
      </c>
      <c r="K5329">
        <v>7.1900451935403301E-2</v>
      </c>
      <c r="L5329">
        <v>1035.1960869115101</v>
      </c>
      <c r="M5329">
        <v>20.466111703789998</v>
      </c>
      <c r="N5329">
        <v>50.871852060928603</v>
      </c>
      <c r="O5329">
        <v>50.105501854871299</v>
      </c>
      <c r="P5329">
        <v>-9.6479858086940901E-2</v>
      </c>
      <c r="Q5329">
        <v>5.5213197341407498E-2</v>
      </c>
      <c r="R5329">
        <v>0.99694003782901797</v>
      </c>
      <c r="S5329" t="s">
        <v>12135</v>
      </c>
      <c r="T5329" t="s">
        <v>13610</v>
      </c>
      <c r="U5329" t="s">
        <v>13610</v>
      </c>
      <c r="V5329" t="s">
        <v>13610</v>
      </c>
      <c r="W5329" t="s">
        <v>18872</v>
      </c>
      <c r="X5329">
        <v>5</v>
      </c>
      <c r="Y5329" t="s">
        <v>25440</v>
      </c>
      <c r="Z5329" t="s">
        <v>32184</v>
      </c>
      <c r="AA5329">
        <v>0.40100253533451019</v>
      </c>
      <c r="AB5329" t="str">
        <f>HYPERLINK("Melting_Curves/meltCurve_Q99487_PAFAH2.pdf", "Melting_Curves/meltCurve_Q99487_PAFAH2.pdf")</f>
        <v>Melting_Curves/meltCurve_Q99487_PAFAH2.pdf</v>
      </c>
    </row>
    <row r="5330" spans="1:28" x14ac:dyDescent="0.25">
      <c r="A5330" t="s">
        <v>5334</v>
      </c>
      <c r="B5330">
        <v>0.995954080203443</v>
      </c>
      <c r="C5330">
        <v>0.94554845899879703</v>
      </c>
      <c r="D5330">
        <v>0.91231945224185296</v>
      </c>
      <c r="E5330">
        <v>0.83947680934197</v>
      </c>
      <c r="F5330">
        <v>0.68568654967052101</v>
      </c>
      <c r="G5330">
        <v>0.46224938623517398</v>
      </c>
      <c r="H5330">
        <v>0.31092763056169598</v>
      </c>
      <c r="I5330">
        <v>0.25258821193303999</v>
      </c>
      <c r="J5330">
        <v>0.20620326332252001</v>
      </c>
      <c r="K5330">
        <v>0.145437539320973</v>
      </c>
      <c r="L5330">
        <v>676.67929324611998</v>
      </c>
      <c r="M5330">
        <v>12.1643512128257</v>
      </c>
      <c r="N5330">
        <v>56.529954847730998</v>
      </c>
      <c r="O5330">
        <v>54.188729265840301</v>
      </c>
      <c r="P5330">
        <v>-5.1182132582761102E-2</v>
      </c>
      <c r="Q5330">
        <v>8.8201070703058604E-2</v>
      </c>
      <c r="R5330">
        <v>0.997168636216888</v>
      </c>
      <c r="S5330" t="s">
        <v>12136</v>
      </c>
      <c r="T5330" t="s">
        <v>13610</v>
      </c>
      <c r="U5330" t="s">
        <v>13610</v>
      </c>
      <c r="V5330" t="s">
        <v>13610</v>
      </c>
      <c r="W5330" t="s">
        <v>13716</v>
      </c>
      <c r="X5330">
        <v>10</v>
      </c>
      <c r="Y5330" t="s">
        <v>20436</v>
      </c>
      <c r="Z5330" t="s">
        <v>32185</v>
      </c>
      <c r="AA5330">
        <v>0.58272378636280242</v>
      </c>
      <c r="AB5330" t="str">
        <f>HYPERLINK("Melting_Curves/meltCurve_Q99496_RNF2.pdf", "Melting_Curves/meltCurve_Q99496_RNF2.pdf")</f>
        <v>Melting_Curves/meltCurve_Q99496_RNF2.pdf</v>
      </c>
    </row>
    <row r="5331" spans="1:28" x14ac:dyDescent="0.25">
      <c r="A5331" t="s">
        <v>5335</v>
      </c>
      <c r="B5331">
        <v>0.995954080203443</v>
      </c>
      <c r="C5331">
        <v>0.96671888051420496</v>
      </c>
      <c r="D5331">
        <v>1.07297055332251</v>
      </c>
      <c r="E5331">
        <v>0.913853026294004</v>
      </c>
      <c r="F5331">
        <v>0.97060693707912704</v>
      </c>
      <c r="G5331">
        <v>0.71811878406639296</v>
      </c>
      <c r="H5331">
        <v>0.53282791051025602</v>
      </c>
      <c r="I5331">
        <v>0.358587012554268</v>
      </c>
      <c r="J5331">
        <v>0.31205939510003899</v>
      </c>
      <c r="K5331">
        <v>0.232766380679158</v>
      </c>
      <c r="L5331">
        <v>1049.6638048739801</v>
      </c>
      <c r="M5331">
        <v>17.618247318147301</v>
      </c>
      <c r="N5331">
        <v>61.244114978899802</v>
      </c>
      <c r="O5331">
        <v>58.826554391446301</v>
      </c>
      <c r="P5331">
        <v>-6.0623208928987399E-2</v>
      </c>
      <c r="Q5331">
        <v>0.19037049507388801</v>
      </c>
      <c r="R5331">
        <v>0.98333073008054805</v>
      </c>
      <c r="S5331" t="s">
        <v>12137</v>
      </c>
      <c r="T5331" t="s">
        <v>13610</v>
      </c>
      <c r="U5331" t="s">
        <v>13610</v>
      </c>
      <c r="V5331" t="s">
        <v>13610</v>
      </c>
      <c r="W5331" t="s">
        <v>18873</v>
      </c>
      <c r="X5331">
        <v>20</v>
      </c>
      <c r="Y5331" t="s">
        <v>25441</v>
      </c>
      <c r="Z5331" t="s">
        <v>32186</v>
      </c>
      <c r="AA5331">
        <v>0.72627253311103224</v>
      </c>
      <c r="AB5331" t="str">
        <f>HYPERLINK("Melting_Curves/meltCurve_Q99497_PARK7.pdf", "Melting_Curves/meltCurve_Q99497_PARK7.pdf")</f>
        <v>Melting_Curves/meltCurve_Q99497_PARK7.pdf</v>
      </c>
    </row>
    <row r="5332" spans="1:28" x14ac:dyDescent="0.25">
      <c r="A5332" t="s">
        <v>5336</v>
      </c>
      <c r="B5332">
        <v>0.995954080203443</v>
      </c>
      <c r="C5332">
        <v>0.93170868405559903</v>
      </c>
      <c r="D5332">
        <v>0.82830576318749205</v>
      </c>
      <c r="E5332">
        <v>0.70212049527171005</v>
      </c>
      <c r="F5332">
        <v>0.53377692900731599</v>
      </c>
      <c r="G5332">
        <v>0.372992826419691</v>
      </c>
      <c r="H5332">
        <v>0.32702905334353299</v>
      </c>
      <c r="I5332">
        <v>0.33923028019123302</v>
      </c>
      <c r="J5332">
        <v>0.39533990262487501</v>
      </c>
      <c r="K5332">
        <v>0.36837481272307399</v>
      </c>
      <c r="L5332">
        <v>787.396306836029</v>
      </c>
      <c r="M5332">
        <v>15.792174729312</v>
      </c>
      <c r="N5332">
        <v>53.633522976534699</v>
      </c>
      <c r="O5332">
        <v>49.080942376123303</v>
      </c>
      <c r="P5332">
        <v>-5.3463986940274703E-2</v>
      </c>
      <c r="Q5332">
        <v>0.33540597682939399</v>
      </c>
      <c r="R5332">
        <v>0.98312213395627801</v>
      </c>
      <c r="S5332" t="s">
        <v>12138</v>
      </c>
      <c r="T5332" t="s">
        <v>13610</v>
      </c>
      <c r="U5332" t="s">
        <v>13610</v>
      </c>
      <c r="V5332" t="s">
        <v>13610</v>
      </c>
      <c r="W5332" t="s">
        <v>18874</v>
      </c>
      <c r="X5332">
        <v>4</v>
      </c>
      <c r="Y5332" t="s">
        <v>25442</v>
      </c>
      <c r="Z5332" t="s">
        <v>32187</v>
      </c>
      <c r="AA5332">
        <v>0.56833998593472657</v>
      </c>
      <c r="AB5332" t="str">
        <f>HYPERLINK("Melting_Curves/meltCurve_Q99501_GAS2L1.pdf", "Melting_Curves/meltCurve_Q99501_GAS2L1.pdf")</f>
        <v>Melting_Curves/meltCurve_Q99501_GAS2L1.pdf</v>
      </c>
    </row>
    <row r="5333" spans="1:28" x14ac:dyDescent="0.25">
      <c r="A5333" t="s">
        <v>5337</v>
      </c>
      <c r="B5333">
        <v>0.995954080203443</v>
      </c>
      <c r="C5333">
        <v>0.78796603211215199</v>
      </c>
      <c r="D5333">
        <v>0.65135572816563403</v>
      </c>
      <c r="E5333">
        <v>0.461079198327219</v>
      </c>
      <c r="F5333">
        <v>0.28911210093796702</v>
      </c>
      <c r="G5333">
        <v>0.24518300381503699</v>
      </c>
      <c r="H5333">
        <v>0.208842054817999</v>
      </c>
      <c r="I5333">
        <v>0.26688409781338301</v>
      </c>
      <c r="J5333">
        <v>0.30115603453937401</v>
      </c>
      <c r="K5333">
        <v>0.26231056579922302</v>
      </c>
      <c r="L5333">
        <v>767.50810278817505</v>
      </c>
      <c r="M5333">
        <v>16.588881962530898</v>
      </c>
      <c r="N5333">
        <v>48.225938423977396</v>
      </c>
      <c r="O5333">
        <v>45.609766691002001</v>
      </c>
      <c r="P5333">
        <v>-6.8639408681782005E-2</v>
      </c>
      <c r="Q5333">
        <v>0.245177728327512</v>
      </c>
      <c r="R5333">
        <v>0.97740119373563294</v>
      </c>
      <c r="S5333" t="s">
        <v>12139</v>
      </c>
      <c r="T5333" t="s">
        <v>13610</v>
      </c>
      <c r="U5333" t="s">
        <v>13610</v>
      </c>
      <c r="V5333" t="s">
        <v>13610</v>
      </c>
      <c r="W5333" t="s">
        <v>18875</v>
      </c>
      <c r="X5333">
        <v>4</v>
      </c>
      <c r="Y5333" t="s">
        <v>25443</v>
      </c>
      <c r="Z5333" t="s">
        <v>32188</v>
      </c>
      <c r="AA5333">
        <v>0.42024626014848621</v>
      </c>
      <c r="AB5333" t="str">
        <f>HYPERLINK("Melting_Curves/meltCurve_Q99519_NEU1.pdf", "Melting_Curves/meltCurve_Q99519_NEU1.pdf")</f>
        <v>Melting_Curves/meltCurve_Q99519_NEU1.pdf</v>
      </c>
    </row>
    <row r="5334" spans="1:28" x14ac:dyDescent="0.25">
      <c r="A5334" t="s">
        <v>5338</v>
      </c>
      <c r="B5334">
        <v>0.995954080203443</v>
      </c>
      <c r="C5334">
        <v>0.96611435882666297</v>
      </c>
      <c r="D5334">
        <v>0.82223800948051795</v>
      </c>
      <c r="E5334">
        <v>0.73754368114793201</v>
      </c>
      <c r="F5334">
        <v>0.48277244178135198</v>
      </c>
      <c r="G5334">
        <v>0.38400176175352002</v>
      </c>
      <c r="H5334">
        <v>0.26022328810408402</v>
      </c>
      <c r="I5334">
        <v>0.25079363824376699</v>
      </c>
      <c r="J5334">
        <v>0.24810480623967099</v>
      </c>
      <c r="K5334">
        <v>0.24517640445142599</v>
      </c>
      <c r="L5334">
        <v>734.58507844315898</v>
      </c>
      <c r="M5334">
        <v>14.316321796095901</v>
      </c>
      <c r="N5334">
        <v>53.391396502092903</v>
      </c>
      <c r="O5334">
        <v>50.341031916299798</v>
      </c>
      <c r="P5334">
        <v>-5.5904776263441799E-2</v>
      </c>
      <c r="Q5334">
        <v>0.21377510013370099</v>
      </c>
      <c r="R5334">
        <v>0.98982791054652597</v>
      </c>
      <c r="S5334" t="s">
        <v>12140</v>
      </c>
      <c r="T5334" t="s">
        <v>13610</v>
      </c>
      <c r="U5334" t="s">
        <v>13610</v>
      </c>
      <c r="V5334" t="s">
        <v>13610</v>
      </c>
      <c r="W5334" t="s">
        <v>18876</v>
      </c>
      <c r="X5334">
        <v>5</v>
      </c>
      <c r="Y5334" t="s">
        <v>25444</v>
      </c>
      <c r="Z5334" t="s">
        <v>32189</v>
      </c>
      <c r="AA5334">
        <v>0.52958258101800348</v>
      </c>
      <c r="AB5334" t="str">
        <f>HYPERLINK("Melting_Curves/meltCurve_Q99523_SORT1.pdf", "Melting_Curves/meltCurve_Q99523_SORT1.pdf")</f>
        <v>Melting_Curves/meltCurve_Q99523_SORT1.pdf</v>
      </c>
    </row>
    <row r="5335" spans="1:28" x14ac:dyDescent="0.25">
      <c r="A5335" t="s">
        <v>5339</v>
      </c>
      <c r="B5335">
        <v>0.995954080203443</v>
      </c>
      <c r="C5335">
        <v>0.99402801518415596</v>
      </c>
      <c r="D5335">
        <v>0.86085359569464603</v>
      </c>
      <c r="E5335">
        <v>0.82962005847188902</v>
      </c>
      <c r="F5335">
        <v>0.47090455403043202</v>
      </c>
      <c r="G5335">
        <v>0.27825430578174998</v>
      </c>
      <c r="H5335">
        <v>0.143122721830203</v>
      </c>
      <c r="I5335">
        <v>0.101686730749747</v>
      </c>
      <c r="J5335">
        <v>9.1481330064833402E-2</v>
      </c>
      <c r="K5335">
        <v>8.9196346170023699E-2</v>
      </c>
      <c r="L5335">
        <v>979.03924000498705</v>
      </c>
      <c r="M5335">
        <v>18.550767938206299</v>
      </c>
      <c r="N5335">
        <v>53.2374385785442</v>
      </c>
      <c r="O5335">
        <v>52.174392484516098</v>
      </c>
      <c r="P5335">
        <v>-8.2293422070017594E-2</v>
      </c>
      <c r="Q5335">
        <v>7.4233214871142594E-2</v>
      </c>
      <c r="R5335">
        <v>0.98933598160436498</v>
      </c>
      <c r="S5335" t="s">
        <v>12141</v>
      </c>
      <c r="T5335" t="s">
        <v>13610</v>
      </c>
      <c r="U5335" t="s">
        <v>13610</v>
      </c>
      <c r="V5335" t="s">
        <v>13610</v>
      </c>
      <c r="W5335" t="s">
        <v>18877</v>
      </c>
      <c r="X5335">
        <v>10</v>
      </c>
      <c r="Y5335" t="s">
        <v>25445</v>
      </c>
      <c r="Z5335" t="s">
        <v>32190</v>
      </c>
      <c r="AA5335">
        <v>0.4829794185892029</v>
      </c>
      <c r="AB5335" t="str">
        <f>HYPERLINK("Melting_Curves/meltCurve_Q99536_VAT1.pdf", "Melting_Curves/meltCurve_Q99536_VAT1.pdf")</f>
        <v>Melting_Curves/meltCurve_Q99536_VAT1.pdf</v>
      </c>
    </row>
    <row r="5336" spans="1:28" x14ac:dyDescent="0.25">
      <c r="A5336" t="s">
        <v>5340</v>
      </c>
      <c r="B5336">
        <v>0.995954080203443</v>
      </c>
      <c r="C5336">
        <v>1.0100129926349599</v>
      </c>
      <c r="D5336">
        <v>0.95270103059114897</v>
      </c>
      <c r="E5336">
        <v>0.71972228728467502</v>
      </c>
      <c r="F5336">
        <v>0.58651593160096704</v>
      </c>
      <c r="G5336">
        <v>0.396574593126719</v>
      </c>
      <c r="H5336">
        <v>0.34402982486720901</v>
      </c>
      <c r="I5336">
        <v>0.36442709869950501</v>
      </c>
      <c r="J5336">
        <v>0.43545312801189001</v>
      </c>
      <c r="K5336">
        <v>0.44370597575385801</v>
      </c>
      <c r="L5336">
        <v>1223.3647557961499</v>
      </c>
      <c r="M5336">
        <v>24.162721286708098</v>
      </c>
      <c r="N5336">
        <v>54.035034997851298</v>
      </c>
      <c r="O5336">
        <v>50.287285867599003</v>
      </c>
      <c r="P5336">
        <v>-7.3166134588320997E-2</v>
      </c>
      <c r="Q5336">
        <v>0.39091799382248599</v>
      </c>
      <c r="R5336">
        <v>0.98174458416303501</v>
      </c>
      <c r="S5336" t="s">
        <v>12142</v>
      </c>
      <c r="T5336" t="s">
        <v>13610</v>
      </c>
      <c r="U5336" t="s">
        <v>13610</v>
      </c>
      <c r="V5336" t="s">
        <v>13610</v>
      </c>
      <c r="W5336" t="s">
        <v>18878</v>
      </c>
      <c r="X5336">
        <v>15</v>
      </c>
      <c r="Y5336" t="s">
        <v>25446</v>
      </c>
      <c r="Z5336" t="s">
        <v>32191</v>
      </c>
      <c r="AA5336">
        <v>0.61260368337880589</v>
      </c>
      <c r="AB5336" t="str">
        <f>HYPERLINK("Melting_Curves/meltCurve_Q99541_PLIN2.pdf", "Melting_Curves/meltCurve_Q99541_PLIN2.pdf")</f>
        <v>Melting_Curves/meltCurve_Q99541_PLIN2.pdf</v>
      </c>
    </row>
    <row r="5337" spans="1:28" x14ac:dyDescent="0.25">
      <c r="A5337" t="s">
        <v>5341</v>
      </c>
      <c r="B5337">
        <v>0.995954080203443</v>
      </c>
      <c r="C5337">
        <v>0.82017453860159995</v>
      </c>
      <c r="D5337">
        <v>0.355350499434127</v>
      </c>
      <c r="E5337">
        <v>0.296573240924701</v>
      </c>
      <c r="F5337">
        <v>0.19739094743545599</v>
      </c>
      <c r="G5337">
        <v>0.13842748527409299</v>
      </c>
      <c r="H5337">
        <v>0.113185982828922</v>
      </c>
      <c r="I5337">
        <v>0.119054846614342</v>
      </c>
      <c r="J5337">
        <v>0.14498709620309999</v>
      </c>
      <c r="K5337">
        <v>0.12801510123545001</v>
      </c>
      <c r="L5337">
        <v>1313.7509711386299</v>
      </c>
      <c r="M5337">
        <v>29.449537187655501</v>
      </c>
      <c r="N5337">
        <v>45.165895486362501</v>
      </c>
      <c r="O5337">
        <v>44.406060824388298</v>
      </c>
      <c r="P5337">
        <v>-0.140602635706462</v>
      </c>
      <c r="Q5337">
        <v>0.15196421432659901</v>
      </c>
      <c r="R5337">
        <v>0.97797614529766796</v>
      </c>
      <c r="S5337" t="s">
        <v>12143</v>
      </c>
      <c r="T5337" t="s">
        <v>13610</v>
      </c>
      <c r="U5337" t="s">
        <v>13610</v>
      </c>
      <c r="V5337" t="s">
        <v>13610</v>
      </c>
      <c r="W5337" t="s">
        <v>18879</v>
      </c>
      <c r="X5337">
        <v>35</v>
      </c>
      <c r="Y5337" t="s">
        <v>25447</v>
      </c>
      <c r="Z5337" t="s">
        <v>32192</v>
      </c>
      <c r="AA5337">
        <v>0.28821838488249701</v>
      </c>
      <c r="AB5337" t="str">
        <f>HYPERLINK("Melting_Curves/meltCurve_Q99543_DNAJC2.pdf", "Melting_Curves/meltCurve_Q99543_DNAJC2.pdf")</f>
        <v>Melting_Curves/meltCurve_Q99543_DNAJC2.pdf</v>
      </c>
    </row>
    <row r="5338" spans="1:28" x14ac:dyDescent="0.25">
      <c r="A5338" t="s">
        <v>5342</v>
      </c>
      <c r="B5338">
        <v>0.995954080203443</v>
      </c>
      <c r="C5338">
        <v>1.1218029205632301</v>
      </c>
      <c r="D5338">
        <v>1.05172063496437</v>
      </c>
      <c r="E5338">
        <v>0.99792859187082705</v>
      </c>
      <c r="F5338">
        <v>0.92962245972306601</v>
      </c>
      <c r="G5338">
        <v>0.60121322965590296</v>
      </c>
      <c r="H5338">
        <v>0.235011306209467</v>
      </c>
      <c r="I5338">
        <v>6.9746681938207003E-2</v>
      </c>
      <c r="J5338">
        <v>4.3095653293012702E-2</v>
      </c>
      <c r="K5338">
        <v>4.6894493861803797E-2</v>
      </c>
      <c r="L5338">
        <v>1582.7395874589299</v>
      </c>
      <c r="M5338">
        <v>27.363230462666198</v>
      </c>
      <c r="N5338">
        <v>57.9538179114451</v>
      </c>
      <c r="O5338">
        <v>57.535557552370797</v>
      </c>
      <c r="P5338">
        <v>-0.115836276079538</v>
      </c>
      <c r="Q5338">
        <v>2.57521618462365E-2</v>
      </c>
      <c r="R5338">
        <v>0.99022804976900902</v>
      </c>
      <c r="S5338" t="s">
        <v>12144</v>
      </c>
      <c r="T5338" t="s">
        <v>13610</v>
      </c>
      <c r="U5338" t="s">
        <v>13610</v>
      </c>
      <c r="V5338" t="s">
        <v>13610</v>
      </c>
      <c r="W5338" t="s">
        <v>18880</v>
      </c>
      <c r="X5338">
        <v>31</v>
      </c>
      <c r="Y5338" t="s">
        <v>25447</v>
      </c>
      <c r="Z5338" t="s">
        <v>32193</v>
      </c>
      <c r="AA5338">
        <v>0.61262451262795081</v>
      </c>
      <c r="AB5338" t="str">
        <f>HYPERLINK("Melting_Curves/meltCurve_Q99543_2_DNAJC2.pdf", "Melting_Curves/meltCurve_Q99543_2_DNAJC2.pdf")</f>
        <v>Melting_Curves/meltCurve_Q99543_2_DNAJC2.pdf</v>
      </c>
    </row>
    <row r="5339" spans="1:28" x14ac:dyDescent="0.25">
      <c r="A5339" t="s">
        <v>5343</v>
      </c>
      <c r="B5339">
        <v>0.995954080203443</v>
      </c>
      <c r="C5339">
        <v>0.90893715334388903</v>
      </c>
      <c r="D5339">
        <v>0.78314765463920999</v>
      </c>
      <c r="E5339">
        <v>0.55357091423064797</v>
      </c>
      <c r="F5339">
        <v>0.36122782458130998</v>
      </c>
      <c r="G5339">
        <v>0.24918639267099099</v>
      </c>
      <c r="H5339">
        <v>0.20927161858134599</v>
      </c>
      <c r="I5339">
        <v>0.227130245874437</v>
      </c>
      <c r="J5339">
        <v>0.26984460164905499</v>
      </c>
      <c r="K5339">
        <v>0.252323609834957</v>
      </c>
      <c r="L5339">
        <v>857.46512207841602</v>
      </c>
      <c r="M5339">
        <v>17.629446411823899</v>
      </c>
      <c r="N5339">
        <v>50.338194536344098</v>
      </c>
      <c r="O5339">
        <v>48.025357150494102</v>
      </c>
      <c r="P5339">
        <v>-7.1189347627178698E-2</v>
      </c>
      <c r="Q5339">
        <v>0.224318070365776</v>
      </c>
      <c r="R5339">
        <v>0.99243044672801295</v>
      </c>
      <c r="S5339" t="s">
        <v>12145</v>
      </c>
      <c r="T5339" t="s">
        <v>13610</v>
      </c>
      <c r="U5339" t="s">
        <v>13610</v>
      </c>
      <c r="V5339" t="s">
        <v>13610</v>
      </c>
      <c r="W5339" t="s">
        <v>18881</v>
      </c>
      <c r="X5339">
        <v>15</v>
      </c>
      <c r="Y5339" t="s">
        <v>25448</v>
      </c>
      <c r="Z5339" t="s">
        <v>32194</v>
      </c>
      <c r="AA5339">
        <v>0.46178614925286859</v>
      </c>
      <c r="AB5339" t="str">
        <f>HYPERLINK("Melting_Curves/meltCurve_Q99549_MPHOSPH8.pdf", "Melting_Curves/meltCurve_Q99549_MPHOSPH8.pdf")</f>
        <v>Melting_Curves/meltCurve_Q99549_MPHOSPH8.pdf</v>
      </c>
    </row>
    <row r="5340" spans="1:28" x14ac:dyDescent="0.25">
      <c r="A5340" t="s">
        <v>5344</v>
      </c>
      <c r="B5340">
        <v>0.995954080203443</v>
      </c>
      <c r="C5340">
        <v>0.88652064918302698</v>
      </c>
      <c r="D5340">
        <v>0.70995471229929297</v>
      </c>
      <c r="E5340">
        <v>0.48590881610027897</v>
      </c>
      <c r="F5340">
        <v>0.23826965706796999</v>
      </c>
      <c r="G5340">
        <v>0.11783064698941401</v>
      </c>
      <c r="H5340">
        <v>7.0923261975783206E-2</v>
      </c>
      <c r="I5340">
        <v>6.7915114912997301E-2</v>
      </c>
      <c r="J5340">
        <v>8.2032695138449893E-2</v>
      </c>
      <c r="K5340">
        <v>7.2210988625252798E-2</v>
      </c>
      <c r="L5340">
        <v>764.90910845433405</v>
      </c>
      <c r="M5340">
        <v>15.6734321896772</v>
      </c>
      <c r="N5340">
        <v>49.122840493890202</v>
      </c>
      <c r="O5340">
        <v>48.029171207951201</v>
      </c>
      <c r="P5340">
        <v>-7.7631014911079599E-2</v>
      </c>
      <c r="Q5340">
        <v>4.8520799523428998E-2</v>
      </c>
      <c r="R5340">
        <v>0.99511640653750399</v>
      </c>
      <c r="S5340" t="s">
        <v>12146</v>
      </c>
      <c r="T5340" t="s">
        <v>13610</v>
      </c>
      <c r="U5340" t="s">
        <v>13610</v>
      </c>
      <c r="V5340" t="s">
        <v>13610</v>
      </c>
      <c r="W5340" t="s">
        <v>18882</v>
      </c>
      <c r="X5340">
        <v>17</v>
      </c>
      <c r="Y5340" t="s">
        <v>25449</v>
      </c>
      <c r="Z5340" t="s">
        <v>32195</v>
      </c>
      <c r="AA5340">
        <v>0.34946224842607448</v>
      </c>
      <c r="AB5340" t="str">
        <f>HYPERLINK("Melting_Curves/meltCurve_Q99567_NUP88.pdf", "Melting_Curves/meltCurve_Q99567_NUP88.pdf")</f>
        <v>Melting_Curves/meltCurve_Q99567_NUP88.pdf</v>
      </c>
    </row>
    <row r="5341" spans="1:28" x14ac:dyDescent="0.25">
      <c r="A5341" t="s">
        <v>5345</v>
      </c>
      <c r="B5341">
        <v>0.995954080203443</v>
      </c>
      <c r="C5341">
        <v>0.78246040066372302</v>
      </c>
      <c r="D5341">
        <v>0.52885060098349301</v>
      </c>
      <c r="E5341">
        <v>0.50349661539651303</v>
      </c>
      <c r="F5341">
        <v>0.19589857273153499</v>
      </c>
      <c r="G5341">
        <v>9.6231598202834806E-2</v>
      </c>
      <c r="H5341">
        <v>6.9755969746320798E-2</v>
      </c>
      <c r="I5341">
        <v>6.3014976962241995E-2</v>
      </c>
      <c r="J5341">
        <v>7.6774501750023899E-2</v>
      </c>
      <c r="K5341">
        <v>6.8817330975357902E-2</v>
      </c>
      <c r="L5341">
        <v>601.47120618858401</v>
      </c>
      <c r="M5341">
        <v>12.651467499822401</v>
      </c>
      <c r="N5341">
        <v>47.794046369236298</v>
      </c>
      <c r="O5341">
        <v>46.400746137116002</v>
      </c>
      <c r="P5341">
        <v>-6.5974219691370295E-2</v>
      </c>
      <c r="Q5341">
        <v>3.2317175428957401E-2</v>
      </c>
      <c r="R5341">
        <v>0.96531978141147001</v>
      </c>
      <c r="S5341" t="s">
        <v>12147</v>
      </c>
      <c r="T5341" t="s">
        <v>13610</v>
      </c>
      <c r="U5341" t="s">
        <v>13610</v>
      </c>
      <c r="V5341" t="s">
        <v>13610</v>
      </c>
      <c r="W5341" t="s">
        <v>18883</v>
      </c>
      <c r="X5341">
        <v>22</v>
      </c>
      <c r="Y5341" t="s">
        <v>25450</v>
      </c>
      <c r="Z5341" t="s">
        <v>32196</v>
      </c>
      <c r="AA5341">
        <v>0.31104602823018618</v>
      </c>
      <c r="AB5341" t="str">
        <f>HYPERLINK("Melting_Curves/meltCurve_Q99570_PIK3R4.pdf", "Melting_Curves/meltCurve_Q99570_PIK3R4.pdf")</f>
        <v>Melting_Curves/meltCurve_Q99570_PIK3R4.pdf</v>
      </c>
    </row>
    <row r="5342" spans="1:28" x14ac:dyDescent="0.25">
      <c r="A5342" t="s">
        <v>5346</v>
      </c>
      <c r="B5342">
        <v>0.995954080203443</v>
      </c>
      <c r="C5342">
        <v>0.70453347812498801</v>
      </c>
      <c r="D5342">
        <v>0.53787449345766403</v>
      </c>
      <c r="E5342">
        <v>0.49195334564083698</v>
      </c>
      <c r="F5342">
        <v>0.36666058484682301</v>
      </c>
      <c r="G5342">
        <v>0.24557535574477701</v>
      </c>
      <c r="H5342">
        <v>0.13707677649512201</v>
      </c>
      <c r="I5342">
        <v>0.123364823650729</v>
      </c>
      <c r="J5342">
        <v>0.156973310104669</v>
      </c>
      <c r="K5342">
        <v>0.14499592882597601</v>
      </c>
      <c r="L5342">
        <v>474.66662236269099</v>
      </c>
      <c r="M5342">
        <v>10.0038732423513</v>
      </c>
      <c r="N5342">
        <v>48.448566841718097</v>
      </c>
      <c r="O5342">
        <v>45.669208712507903</v>
      </c>
      <c r="P5342">
        <v>-4.9677187553453801E-2</v>
      </c>
      <c r="Q5342">
        <v>9.3304868812018604E-2</v>
      </c>
      <c r="R5342">
        <v>0.95741037437226595</v>
      </c>
      <c r="S5342" t="s">
        <v>12148</v>
      </c>
      <c r="T5342" t="s">
        <v>13610</v>
      </c>
      <c r="U5342" t="s">
        <v>13610</v>
      </c>
      <c r="V5342" t="s">
        <v>13610</v>
      </c>
      <c r="W5342" t="s">
        <v>18884</v>
      </c>
      <c r="X5342">
        <v>28</v>
      </c>
      <c r="Y5342" t="s">
        <v>25451</v>
      </c>
      <c r="Z5342" t="s">
        <v>32197</v>
      </c>
      <c r="AA5342">
        <v>0.36858899832443898</v>
      </c>
      <c r="AB5342" t="str">
        <f>HYPERLINK("Melting_Curves/meltCurve_Q99575_POP1.pdf", "Melting_Curves/meltCurve_Q99575_POP1.pdf")</f>
        <v>Melting_Curves/meltCurve_Q99575_POP1.pdf</v>
      </c>
    </row>
    <row r="5343" spans="1:28" x14ac:dyDescent="0.25">
      <c r="A5343" t="s">
        <v>5347</v>
      </c>
      <c r="B5343">
        <v>0.995954080203443</v>
      </c>
      <c r="C5343">
        <v>0.91721279681854395</v>
      </c>
      <c r="D5343">
        <v>0.74581285277732201</v>
      </c>
      <c r="E5343">
        <v>0.57403646345108605</v>
      </c>
      <c r="F5343">
        <v>0.39018012225224302</v>
      </c>
      <c r="G5343">
        <v>0.243026987831686</v>
      </c>
      <c r="H5343">
        <v>0.186329486248593</v>
      </c>
      <c r="I5343">
        <v>0.19708874919649899</v>
      </c>
      <c r="J5343">
        <v>0.243830498547699</v>
      </c>
      <c r="K5343">
        <v>0.221711856989393</v>
      </c>
      <c r="L5343">
        <v>751.72048069538596</v>
      </c>
      <c r="M5343">
        <v>15.339336263283601</v>
      </c>
      <c r="N5343">
        <v>50.583267461025997</v>
      </c>
      <c r="O5343">
        <v>48.195823825700401</v>
      </c>
      <c r="P5343">
        <v>-6.4449707213274102E-2</v>
      </c>
      <c r="Q5343">
        <v>0.19007726619168799</v>
      </c>
      <c r="R5343">
        <v>0.99033144129270301</v>
      </c>
      <c r="S5343" t="s">
        <v>12149</v>
      </c>
      <c r="T5343" t="s">
        <v>13610</v>
      </c>
      <c r="U5343" t="s">
        <v>13610</v>
      </c>
      <c r="V5343" t="s">
        <v>13610</v>
      </c>
      <c r="W5343" t="s">
        <v>18885</v>
      </c>
      <c r="X5343">
        <v>7</v>
      </c>
      <c r="Y5343" t="s">
        <v>25452</v>
      </c>
      <c r="Z5343" t="s">
        <v>32198</v>
      </c>
      <c r="AA5343">
        <v>0.45237571548666022</v>
      </c>
      <c r="AB5343" t="str">
        <f>HYPERLINK("Melting_Curves/meltCurve_Q99576_3_TSC22D3.pdf", "Melting_Curves/meltCurve_Q99576_3_TSC22D3.pdf")</f>
        <v>Melting_Curves/meltCurve_Q99576_3_TSC22D3.pdf</v>
      </c>
    </row>
    <row r="5344" spans="1:28" x14ac:dyDescent="0.25">
      <c r="A5344" t="s">
        <v>5348</v>
      </c>
      <c r="B5344">
        <v>0.995954080203443</v>
      </c>
      <c r="C5344">
        <v>0.87568458043522601</v>
      </c>
      <c r="D5344">
        <v>0.87464803440533301</v>
      </c>
      <c r="E5344">
        <v>0.717868240599837</v>
      </c>
      <c r="F5344">
        <v>0.65323211933732805</v>
      </c>
      <c r="G5344">
        <v>0.51724641401772498</v>
      </c>
      <c r="H5344">
        <v>0.462630863380185</v>
      </c>
      <c r="I5344">
        <v>0.53637722723908099</v>
      </c>
      <c r="J5344">
        <v>0.63640981793156803</v>
      </c>
      <c r="K5344">
        <v>0.62974861109663005</v>
      </c>
      <c r="L5344">
        <v>786.41365461718999</v>
      </c>
      <c r="M5344">
        <v>16.433248809369999</v>
      </c>
      <c r="O5344">
        <v>47.163208061481299</v>
      </c>
      <c r="P5344">
        <v>-3.8925207536349302E-2</v>
      </c>
      <c r="Q5344">
        <v>0.55317210230668801</v>
      </c>
      <c r="R5344">
        <v>0.878840234542143</v>
      </c>
      <c r="S5344" t="s">
        <v>12150</v>
      </c>
      <c r="T5344" t="s">
        <v>13610</v>
      </c>
      <c r="U5344" t="s">
        <v>13610</v>
      </c>
      <c r="V5344" t="s">
        <v>13610</v>
      </c>
      <c r="W5344" t="s">
        <v>18886</v>
      </c>
      <c r="X5344">
        <v>3</v>
      </c>
      <c r="Y5344" t="s">
        <v>25453</v>
      </c>
      <c r="Z5344" t="s">
        <v>32199</v>
      </c>
      <c r="AA5344">
        <v>0.67979208732737106</v>
      </c>
      <c r="AB5344" t="str">
        <f>HYPERLINK("Melting_Curves/meltCurve_Q99583_MNT.pdf", "Melting_Curves/meltCurve_Q99583_MNT.pdf")</f>
        <v>Melting_Curves/meltCurve_Q99583_MNT.pdf</v>
      </c>
    </row>
    <row r="5345" spans="1:28" x14ac:dyDescent="0.25">
      <c r="A5345" t="s">
        <v>5349</v>
      </c>
      <c r="B5345">
        <v>0.995954080203443</v>
      </c>
      <c r="C5345">
        <v>1.0325772415676699</v>
      </c>
      <c r="D5345">
        <v>1.10995340421652</v>
      </c>
      <c r="E5345">
        <v>0.97415000821073205</v>
      </c>
      <c r="F5345">
        <v>0.98221747480195198</v>
      </c>
      <c r="G5345">
        <v>0.75560856201664295</v>
      </c>
      <c r="H5345">
        <v>0.64665470552834103</v>
      </c>
      <c r="I5345">
        <v>0.69197696928328001</v>
      </c>
      <c r="J5345">
        <v>0.82210190237987202</v>
      </c>
      <c r="K5345">
        <v>0.79219214003322302</v>
      </c>
      <c r="L5345">
        <v>4075.2480841924898</v>
      </c>
      <c r="M5345">
        <v>74.260344072913298</v>
      </c>
      <c r="O5345">
        <v>54.838093392799202</v>
      </c>
      <c r="P5345">
        <v>-8.8508011013673393E-2</v>
      </c>
      <c r="Q5345">
        <v>0.73856249750084901</v>
      </c>
      <c r="R5345">
        <v>0.84759774849096603</v>
      </c>
      <c r="S5345" t="s">
        <v>12151</v>
      </c>
      <c r="T5345" t="s">
        <v>13610</v>
      </c>
      <c r="U5345" t="s">
        <v>13610</v>
      </c>
      <c r="V5345" t="s">
        <v>13610</v>
      </c>
      <c r="W5345" t="s">
        <v>18887</v>
      </c>
      <c r="X5345">
        <v>7</v>
      </c>
      <c r="Y5345" t="s">
        <v>25454</v>
      </c>
      <c r="Z5345" t="s">
        <v>32200</v>
      </c>
      <c r="AA5345">
        <v>0.86850279163985233</v>
      </c>
      <c r="AB5345" t="str">
        <f>HYPERLINK("Melting_Curves/meltCurve_Q99584_S100A13.pdf", "Melting_Curves/meltCurve_Q99584_S100A13.pdf")</f>
        <v>Melting_Curves/meltCurve_Q99584_S100A13.pdf</v>
      </c>
    </row>
    <row r="5346" spans="1:28" x14ac:dyDescent="0.25">
      <c r="A5346" t="s">
        <v>5350</v>
      </c>
      <c r="B5346">
        <v>0.995954080203443</v>
      </c>
      <c r="C5346">
        <v>1.0128414179827701</v>
      </c>
      <c r="D5346">
        <v>1.11047237335379</v>
      </c>
      <c r="E5346">
        <v>0.99163267235360997</v>
      </c>
      <c r="F5346">
        <v>1.02706036270129</v>
      </c>
      <c r="G5346">
        <v>0.85006913100471104</v>
      </c>
      <c r="H5346">
        <v>0.82333070615847503</v>
      </c>
      <c r="I5346">
        <v>1.00900866542159</v>
      </c>
      <c r="J5346">
        <v>1.06862883630868</v>
      </c>
      <c r="K5346">
        <v>1.1984176336654799</v>
      </c>
      <c r="L5346">
        <v>5306.9694353078203</v>
      </c>
      <c r="M5346">
        <v>78.473919952808799</v>
      </c>
      <c r="O5346">
        <v>67.583294362295504</v>
      </c>
      <c r="P5346">
        <v>6.1619700882685001E-2</v>
      </c>
      <c r="Q5346">
        <v>1.2122723989056099</v>
      </c>
      <c r="R5346">
        <v>0.39300314683516302</v>
      </c>
      <c r="S5346" t="s">
        <v>12152</v>
      </c>
      <c r="T5346" t="s">
        <v>13610</v>
      </c>
      <c r="U5346" t="s">
        <v>13610</v>
      </c>
      <c r="V5346" t="s">
        <v>13610</v>
      </c>
      <c r="W5346" t="s">
        <v>18888</v>
      </c>
      <c r="X5346">
        <v>42</v>
      </c>
      <c r="Y5346" t="s">
        <v>25455</v>
      </c>
      <c r="Z5346" t="s">
        <v>32201</v>
      </c>
      <c r="AA5346">
        <v>1.016987330405811</v>
      </c>
      <c r="AB5346" t="str">
        <f>HYPERLINK("Melting_Curves/meltCurve_Q99590_2_SCAF11.pdf", "Melting_Curves/meltCurve_Q99590_2_SCAF11.pdf")</f>
        <v>Melting_Curves/meltCurve_Q99590_2_SCAF11.pdf</v>
      </c>
    </row>
    <row r="5347" spans="1:28" x14ac:dyDescent="0.25">
      <c r="A5347" t="s">
        <v>5351</v>
      </c>
      <c r="B5347">
        <v>0.995954080203443</v>
      </c>
      <c r="C5347">
        <v>0.92110773406020896</v>
      </c>
      <c r="D5347">
        <v>0.81498283896672397</v>
      </c>
      <c r="E5347">
        <v>0.854853214294369</v>
      </c>
      <c r="F5347">
        <v>0.628822352178947</v>
      </c>
      <c r="G5347">
        <v>0.48321686861401297</v>
      </c>
      <c r="H5347">
        <v>0.27460997580579899</v>
      </c>
      <c r="I5347">
        <v>0.17148929668216301</v>
      </c>
      <c r="J5347">
        <v>7.3602834443207796E-2</v>
      </c>
      <c r="K5347">
        <v>5.9212441637775899E-2</v>
      </c>
      <c r="L5347">
        <v>653.72136416599596</v>
      </c>
      <c r="M5347">
        <v>11.720657291054099</v>
      </c>
      <c r="N5347">
        <v>55.775162340454898</v>
      </c>
      <c r="O5347">
        <v>54.225762119742797</v>
      </c>
      <c r="P5347">
        <v>-5.4050659554613502E-2</v>
      </c>
      <c r="Q5347">
        <v>0</v>
      </c>
      <c r="R5347">
        <v>0.98015888570745102</v>
      </c>
      <c r="S5347" t="s">
        <v>12153</v>
      </c>
      <c r="T5347" t="s">
        <v>13610</v>
      </c>
      <c r="U5347" t="s">
        <v>13610</v>
      </c>
      <c r="V5347" t="s">
        <v>13610</v>
      </c>
      <c r="W5347" t="s">
        <v>18889</v>
      </c>
      <c r="X5347">
        <v>22</v>
      </c>
      <c r="Y5347" t="s">
        <v>25456</v>
      </c>
      <c r="Z5347" t="s">
        <v>32202</v>
      </c>
      <c r="AA5347">
        <v>0.54717210632066215</v>
      </c>
      <c r="AB5347" t="str">
        <f>HYPERLINK("Melting_Curves/meltCurve_Q99598_TSNAX.pdf", "Melting_Curves/meltCurve_Q99598_TSNAX.pdf")</f>
        <v>Melting_Curves/meltCurve_Q99598_TSNAX.pdf</v>
      </c>
    </row>
    <row r="5348" spans="1:28" x14ac:dyDescent="0.25">
      <c r="A5348" t="s">
        <v>5352</v>
      </c>
      <c r="B5348">
        <v>0.995954080203443</v>
      </c>
      <c r="C5348">
        <v>0.95407363343247698</v>
      </c>
      <c r="D5348">
        <v>0.916394707332708</v>
      </c>
      <c r="E5348">
        <v>0.84250269081101703</v>
      </c>
      <c r="F5348">
        <v>0.77768176484850904</v>
      </c>
      <c r="G5348">
        <v>0.53370009072880198</v>
      </c>
      <c r="H5348">
        <v>0.46628751964903797</v>
      </c>
      <c r="I5348">
        <v>0.56185278758040302</v>
      </c>
      <c r="J5348">
        <v>0.72164588136727603</v>
      </c>
      <c r="K5348">
        <v>0.65558646452649405</v>
      </c>
      <c r="L5348">
        <v>1220.7473926958501</v>
      </c>
      <c r="M5348">
        <v>23.878185791405201</v>
      </c>
      <c r="O5348">
        <v>50.769462490951</v>
      </c>
      <c r="P5348">
        <v>-4.8403143425755198E-2</v>
      </c>
      <c r="Q5348">
        <v>0.58835051206518496</v>
      </c>
      <c r="R5348">
        <v>0.81792543180697597</v>
      </c>
      <c r="S5348" t="s">
        <v>12154</v>
      </c>
      <c r="T5348" t="s">
        <v>13610</v>
      </c>
      <c r="U5348" t="s">
        <v>13610</v>
      </c>
      <c r="V5348" t="s">
        <v>13610</v>
      </c>
      <c r="W5348" t="s">
        <v>18890</v>
      </c>
      <c r="X5348">
        <v>3</v>
      </c>
      <c r="Y5348" t="s">
        <v>25457</v>
      </c>
      <c r="Z5348" t="s">
        <v>32203</v>
      </c>
      <c r="AA5348">
        <v>0.74506308944186361</v>
      </c>
      <c r="AB5348" t="str">
        <f>HYPERLINK("Melting_Curves/meltCurve_Q99607_ELF4.pdf", "Melting_Curves/meltCurve_Q99607_ELF4.pdf")</f>
        <v>Melting_Curves/meltCurve_Q99607_ELF4.pdf</v>
      </c>
    </row>
    <row r="5349" spans="1:28" x14ac:dyDescent="0.25">
      <c r="A5349" t="s">
        <v>5353</v>
      </c>
      <c r="B5349">
        <v>0.995954080203443</v>
      </c>
      <c r="C5349">
        <v>0.98761139111891205</v>
      </c>
      <c r="D5349">
        <v>0.983598369125262</v>
      </c>
      <c r="E5349">
        <v>0.83862402070420405</v>
      </c>
      <c r="F5349">
        <v>0.784415641316215</v>
      </c>
      <c r="G5349">
        <v>0.56446970390704698</v>
      </c>
      <c r="H5349">
        <v>0.42860746536517602</v>
      </c>
      <c r="I5349">
        <v>0.427707562119508</v>
      </c>
      <c r="J5349">
        <v>0.3178000279789</v>
      </c>
      <c r="K5349">
        <v>0.150050757872775</v>
      </c>
      <c r="L5349">
        <v>545.19930487795295</v>
      </c>
      <c r="M5349">
        <v>9.1067786434227305</v>
      </c>
      <c r="N5349">
        <v>59.867412608667202</v>
      </c>
      <c r="O5349">
        <v>57.192447397484401</v>
      </c>
      <c r="P5349">
        <v>-3.9835239860312899E-2</v>
      </c>
      <c r="Q5349">
        <v>0</v>
      </c>
      <c r="R5349">
        <v>0.98075354592380104</v>
      </c>
      <c r="S5349" t="s">
        <v>12155</v>
      </c>
      <c r="T5349" t="s">
        <v>13610</v>
      </c>
      <c r="U5349" t="s">
        <v>13610</v>
      </c>
      <c r="V5349" t="s">
        <v>13610</v>
      </c>
      <c r="W5349" t="s">
        <v>18891</v>
      </c>
      <c r="X5349">
        <v>10</v>
      </c>
      <c r="Y5349" t="s">
        <v>25458</v>
      </c>
      <c r="Z5349" t="s">
        <v>32204</v>
      </c>
      <c r="AA5349">
        <v>0.65516664435475569</v>
      </c>
      <c r="AB5349" t="str">
        <f>HYPERLINK("Melting_Curves/meltCurve_Q99611_SEPHS2.pdf", "Melting_Curves/meltCurve_Q99611_SEPHS2.pdf")</f>
        <v>Melting_Curves/meltCurve_Q99611_SEPHS2.pdf</v>
      </c>
    </row>
    <row r="5350" spans="1:28" x14ac:dyDescent="0.25">
      <c r="A5350" t="s">
        <v>5354</v>
      </c>
      <c r="B5350">
        <v>0.995954080203443</v>
      </c>
      <c r="C5350">
        <v>1.0217424945836899</v>
      </c>
      <c r="D5350">
        <v>1.0607281763429099</v>
      </c>
      <c r="E5350">
        <v>0.94242175157755403</v>
      </c>
      <c r="F5350">
        <v>0.80905379923753895</v>
      </c>
      <c r="G5350">
        <v>0.56409400173610502</v>
      </c>
      <c r="H5350">
        <v>0.51059310828909699</v>
      </c>
      <c r="I5350">
        <v>0.62499443277701505</v>
      </c>
      <c r="J5350">
        <v>0.69012603362480796</v>
      </c>
      <c r="K5350">
        <v>0.73328150770226397</v>
      </c>
      <c r="L5350">
        <v>2825.0557613042902</v>
      </c>
      <c r="M5350">
        <v>53.471359903783899</v>
      </c>
      <c r="O5350">
        <v>52.759322429984202</v>
      </c>
      <c r="P5350">
        <v>-9.5176859634122493E-2</v>
      </c>
      <c r="Q5350">
        <v>0.62436239972577301</v>
      </c>
      <c r="R5350">
        <v>0.89027078764710699</v>
      </c>
      <c r="S5350" t="s">
        <v>12156</v>
      </c>
      <c r="T5350" t="s">
        <v>13610</v>
      </c>
      <c r="U5350" t="s">
        <v>13610</v>
      </c>
      <c r="V5350" t="s">
        <v>13610</v>
      </c>
      <c r="W5350" t="s">
        <v>18892</v>
      </c>
      <c r="X5350">
        <v>18</v>
      </c>
      <c r="Y5350" t="s">
        <v>25459</v>
      </c>
      <c r="Z5350" t="s">
        <v>32205</v>
      </c>
      <c r="AA5350">
        <v>0.78581329841433045</v>
      </c>
      <c r="AB5350" t="str">
        <f>HYPERLINK("Melting_Curves/meltCurve_Q99614_TTC1.pdf", "Melting_Curves/meltCurve_Q99614_TTC1.pdf")</f>
        <v>Melting_Curves/meltCurve_Q99614_TTC1.pdf</v>
      </c>
    </row>
    <row r="5351" spans="1:28" x14ac:dyDescent="0.25">
      <c r="A5351" t="s">
        <v>5355</v>
      </c>
      <c r="B5351">
        <v>0.995954080203443</v>
      </c>
      <c r="C5351">
        <v>0.94131942498619803</v>
      </c>
      <c r="D5351">
        <v>0.83064014762675398</v>
      </c>
      <c r="E5351">
        <v>0.36329973621663603</v>
      </c>
      <c r="F5351">
        <v>0.13285247788080701</v>
      </c>
      <c r="G5351">
        <v>8.2403827936565102E-2</v>
      </c>
      <c r="H5351">
        <v>5.9022718056094402E-2</v>
      </c>
      <c r="I5351">
        <v>5.5410554005274899E-2</v>
      </c>
      <c r="J5351">
        <v>6.8123993697062499E-2</v>
      </c>
      <c r="K5351">
        <v>6.0184982598376797E-2</v>
      </c>
      <c r="L5351">
        <v>1289.7638876124699</v>
      </c>
      <c r="M5351">
        <v>26.561355942062399</v>
      </c>
      <c r="N5351">
        <v>48.784086938889203</v>
      </c>
      <c r="O5351">
        <v>48.285173461126902</v>
      </c>
      <c r="P5351">
        <v>-0.129557578919933</v>
      </c>
      <c r="Q5351">
        <v>5.79330276545773E-2</v>
      </c>
      <c r="R5351">
        <v>0.99897187829012901</v>
      </c>
      <c r="S5351" t="s">
        <v>12157</v>
      </c>
      <c r="T5351" t="s">
        <v>13610</v>
      </c>
      <c r="U5351" t="s">
        <v>13610</v>
      </c>
      <c r="V5351" t="s">
        <v>13610</v>
      </c>
      <c r="W5351" t="s">
        <v>18893</v>
      </c>
      <c r="X5351">
        <v>38</v>
      </c>
      <c r="Y5351" t="s">
        <v>25460</v>
      </c>
      <c r="Z5351" t="s">
        <v>32206</v>
      </c>
      <c r="AA5351">
        <v>0.33401225605414259</v>
      </c>
      <c r="AB5351" t="str">
        <f>HYPERLINK("Melting_Curves/meltCurve_Q99615_DNAJC7.pdf", "Melting_Curves/meltCurve_Q99615_DNAJC7.pdf")</f>
        <v>Melting_Curves/meltCurve_Q99615_DNAJC7.pdf</v>
      </c>
    </row>
    <row r="5352" spans="1:28" x14ac:dyDescent="0.25">
      <c r="A5352" t="s">
        <v>5356</v>
      </c>
      <c r="B5352">
        <v>0.995954080203443</v>
      </c>
      <c r="C5352">
        <v>0.97003320046922004</v>
      </c>
      <c r="D5352">
        <v>0.86459131627420704</v>
      </c>
      <c r="E5352">
        <v>0.78982002530536499</v>
      </c>
      <c r="F5352">
        <v>0.51915162378796298</v>
      </c>
      <c r="G5352">
        <v>0.29641231228401999</v>
      </c>
      <c r="H5352">
        <v>0.200258523560569</v>
      </c>
      <c r="I5352">
        <v>0.186477476751611</v>
      </c>
      <c r="J5352">
        <v>0.22916518755036</v>
      </c>
      <c r="K5352">
        <v>0.22073391611766399</v>
      </c>
      <c r="L5352">
        <v>1029.2473324986699</v>
      </c>
      <c r="M5352">
        <v>19.7903217877722</v>
      </c>
      <c r="N5352">
        <v>53.288099318196998</v>
      </c>
      <c r="O5352">
        <v>51.485346805270801</v>
      </c>
      <c r="P5352">
        <v>-7.7915203228288293E-2</v>
      </c>
      <c r="Q5352">
        <v>0.189229306618306</v>
      </c>
      <c r="R5352">
        <v>0.98909372566743403</v>
      </c>
      <c r="S5352" t="s">
        <v>12158</v>
      </c>
      <c r="T5352" t="s">
        <v>13610</v>
      </c>
      <c r="U5352" t="s">
        <v>13610</v>
      </c>
      <c r="V5352" t="s">
        <v>13610</v>
      </c>
      <c r="W5352" t="s">
        <v>18894</v>
      </c>
      <c r="X5352">
        <v>4</v>
      </c>
      <c r="Y5352" t="s">
        <v>25461</v>
      </c>
      <c r="Z5352" t="s">
        <v>32207</v>
      </c>
      <c r="AA5352">
        <v>0.52517630473468213</v>
      </c>
      <c r="AB5352" t="str">
        <f>HYPERLINK("Melting_Curves/meltCurve_Q99622_C12orf57.pdf", "Melting_Curves/meltCurve_Q99622_C12orf57.pdf")</f>
        <v>Melting_Curves/meltCurve_Q99622_C12orf57.pdf</v>
      </c>
    </row>
    <row r="5353" spans="1:28" x14ac:dyDescent="0.25">
      <c r="A5353" t="s">
        <v>5357</v>
      </c>
      <c r="B5353">
        <v>0.995954080203443</v>
      </c>
      <c r="C5353">
        <v>0.79853454802099699</v>
      </c>
      <c r="D5353">
        <v>0.80839563687958604</v>
      </c>
      <c r="E5353">
        <v>0.44389972835672897</v>
      </c>
      <c r="F5353">
        <v>0.32251315314898898</v>
      </c>
      <c r="G5353">
        <v>0.207991410331542</v>
      </c>
      <c r="H5353">
        <v>0.18897868511339</v>
      </c>
      <c r="I5353">
        <v>0.235786044509363</v>
      </c>
      <c r="J5353">
        <v>0.231420973649694</v>
      </c>
      <c r="K5353">
        <v>0.24572539964500401</v>
      </c>
      <c r="L5353">
        <v>847.70713120327605</v>
      </c>
      <c r="M5353">
        <v>17.735609179371199</v>
      </c>
      <c r="N5353">
        <v>49.286532452425099</v>
      </c>
      <c r="O5353">
        <v>47.201673393698897</v>
      </c>
      <c r="P5353">
        <v>-7.4450461252412004E-2</v>
      </c>
      <c r="Q5353">
        <v>0.207469686276848</v>
      </c>
      <c r="R5353">
        <v>0.97246491120417999</v>
      </c>
      <c r="S5353" t="s">
        <v>12159</v>
      </c>
      <c r="T5353" t="s">
        <v>13610</v>
      </c>
      <c r="U5353" t="s">
        <v>13610</v>
      </c>
      <c r="V5353" t="s">
        <v>13610</v>
      </c>
      <c r="W5353" t="s">
        <v>18895</v>
      </c>
      <c r="X5353">
        <v>7</v>
      </c>
      <c r="Y5353" t="s">
        <v>25462</v>
      </c>
      <c r="Z5353" t="s">
        <v>32208</v>
      </c>
      <c r="AA5353">
        <v>0.42804614677021419</v>
      </c>
      <c r="AB5353" t="str">
        <f>HYPERLINK("Melting_Curves/meltCurve_Q99633_PRPF18.pdf", "Melting_Curves/meltCurve_Q99633_PRPF18.pdf")</f>
        <v>Melting_Curves/meltCurve_Q99633_PRPF18.pdf</v>
      </c>
    </row>
    <row r="5354" spans="1:28" x14ac:dyDescent="0.25">
      <c r="A5354" t="s">
        <v>5358</v>
      </c>
      <c r="B5354">
        <v>0.995954080203443</v>
      </c>
      <c r="C5354">
        <v>0.99849466348527904</v>
      </c>
      <c r="D5354">
        <v>0.94079582380948701</v>
      </c>
      <c r="E5354">
        <v>0.78513086539032995</v>
      </c>
      <c r="F5354">
        <v>0.58694458704766195</v>
      </c>
      <c r="G5354">
        <v>0.33616892512624102</v>
      </c>
      <c r="H5354">
        <v>0.15184495339633899</v>
      </c>
      <c r="I5354">
        <v>9.2339185871727403E-2</v>
      </c>
      <c r="J5354">
        <v>8.6544910908906494E-2</v>
      </c>
      <c r="K5354">
        <v>0.100438591137199</v>
      </c>
      <c r="L5354">
        <v>905.10911853335199</v>
      </c>
      <c r="M5354">
        <v>16.8343186052882</v>
      </c>
      <c r="N5354">
        <v>54.1442386466139</v>
      </c>
      <c r="O5354">
        <v>53.024228372694701</v>
      </c>
      <c r="P5354">
        <v>-7.4969685226980096E-2</v>
      </c>
      <c r="Q5354">
        <v>5.5511960498414101E-2</v>
      </c>
      <c r="R5354">
        <v>0.99853602377232997</v>
      </c>
      <c r="S5354" t="s">
        <v>12160</v>
      </c>
      <c r="T5354" t="s">
        <v>13610</v>
      </c>
      <c r="U5354" t="s">
        <v>13610</v>
      </c>
      <c r="V5354" t="s">
        <v>13610</v>
      </c>
      <c r="W5354" t="s">
        <v>18896</v>
      </c>
      <c r="X5354">
        <v>4</v>
      </c>
      <c r="Y5354" t="s">
        <v>25463</v>
      </c>
      <c r="Z5354" t="s">
        <v>32209</v>
      </c>
      <c r="AA5354">
        <v>0.50567738790568473</v>
      </c>
      <c r="AB5354" t="str">
        <f>HYPERLINK("Melting_Curves/meltCurve_Q99638_RAD9A.pdf", "Melting_Curves/meltCurve_Q99638_RAD9A.pdf")</f>
        <v>Melting_Curves/meltCurve_Q99638_RAD9A.pdf</v>
      </c>
    </row>
    <row r="5355" spans="1:28" x14ac:dyDescent="0.25">
      <c r="A5355" t="s">
        <v>5359</v>
      </c>
      <c r="B5355">
        <v>0.995954080203443</v>
      </c>
      <c r="C5355">
        <v>1.00821257908652</v>
      </c>
      <c r="D5355">
        <v>0.81514798034529101</v>
      </c>
      <c r="E5355">
        <v>0.71937431169490496</v>
      </c>
      <c r="F5355">
        <v>0.40961539347485199</v>
      </c>
      <c r="G5355">
        <v>0.18063352722037199</v>
      </c>
      <c r="H5355">
        <v>0.13333393647698699</v>
      </c>
      <c r="I5355">
        <v>5.1102439512550599E-2</v>
      </c>
      <c r="J5355">
        <v>6.0689814265736601E-2</v>
      </c>
      <c r="K5355">
        <v>9.7327925526678197E-2</v>
      </c>
      <c r="L5355">
        <v>903.48082606022297</v>
      </c>
      <c r="M5355">
        <v>17.4843545475957</v>
      </c>
      <c r="N5355">
        <v>51.9959629293867</v>
      </c>
      <c r="O5355">
        <v>51.011927552109</v>
      </c>
      <c r="P5355">
        <v>-8.1291674500533595E-2</v>
      </c>
      <c r="Q5355">
        <v>5.1354037351818697E-2</v>
      </c>
      <c r="R5355">
        <v>0.98894000718076502</v>
      </c>
      <c r="S5355" t="s">
        <v>12161</v>
      </c>
      <c r="T5355" t="s">
        <v>13610</v>
      </c>
      <c r="U5355" t="s">
        <v>13610</v>
      </c>
      <c r="V5355" t="s">
        <v>13610</v>
      </c>
      <c r="W5355" t="s">
        <v>18897</v>
      </c>
      <c r="X5355">
        <v>1</v>
      </c>
      <c r="Y5355" t="s">
        <v>25464</v>
      </c>
      <c r="Z5355" t="s">
        <v>32210</v>
      </c>
      <c r="AA5355">
        <v>0.43716375091113741</v>
      </c>
      <c r="AB5355" t="str">
        <f>HYPERLINK("Melting_Curves/meltCurve_Q99640_4_PKMYT1.pdf", "Melting_Curves/meltCurve_Q99640_4_PKMYT1.pdf")</f>
        <v>Melting_Curves/meltCurve_Q99640_4_PKMYT1.pdf</v>
      </c>
    </row>
    <row r="5356" spans="1:28" x14ac:dyDescent="0.25">
      <c r="A5356" t="s">
        <v>5360</v>
      </c>
      <c r="B5356">
        <v>0.995954080203443</v>
      </c>
      <c r="C5356">
        <v>0.84872987937308997</v>
      </c>
      <c r="D5356">
        <v>0.879395006713792</v>
      </c>
      <c r="E5356">
        <v>0.74934475176542603</v>
      </c>
      <c r="F5356">
        <v>0.60784563224200405</v>
      </c>
      <c r="G5356">
        <v>0.30850216124671598</v>
      </c>
      <c r="H5356">
        <v>0.23511490909097801</v>
      </c>
      <c r="I5356">
        <v>0.20262824742963401</v>
      </c>
      <c r="J5356">
        <v>0.26792414012622801</v>
      </c>
      <c r="K5356">
        <v>0.23099753393848599</v>
      </c>
      <c r="L5356">
        <v>762.294519015643</v>
      </c>
      <c r="M5356">
        <v>14.5897252478584</v>
      </c>
      <c r="N5356">
        <v>53.938641881908801</v>
      </c>
      <c r="O5356">
        <v>51.296565265103503</v>
      </c>
      <c r="P5356">
        <v>-5.8067719602168402E-2</v>
      </c>
      <c r="Q5356">
        <v>0.183442033717689</v>
      </c>
      <c r="R5356">
        <v>0.96799907608254099</v>
      </c>
      <c r="S5356" t="s">
        <v>12162</v>
      </c>
      <c r="T5356" t="s">
        <v>13610</v>
      </c>
      <c r="U5356" t="s">
        <v>13610</v>
      </c>
      <c r="V5356" t="s">
        <v>13610</v>
      </c>
      <c r="W5356" t="s">
        <v>18898</v>
      </c>
      <c r="X5356">
        <v>4</v>
      </c>
      <c r="Y5356" t="s">
        <v>25465</v>
      </c>
      <c r="Z5356" t="s">
        <v>32211</v>
      </c>
      <c r="AA5356">
        <v>0.53568792107052876</v>
      </c>
      <c r="AB5356" t="str">
        <f>HYPERLINK("Melting_Curves/meltCurve_Q99653_CHP1.pdf", "Melting_Curves/meltCurve_Q99653_CHP1.pdf")</f>
        <v>Melting_Curves/meltCurve_Q99653_CHP1.pdf</v>
      </c>
    </row>
    <row r="5357" spans="1:28" x14ac:dyDescent="0.25">
      <c r="A5357" t="s">
        <v>5361</v>
      </c>
      <c r="B5357">
        <v>0.995954080203443</v>
      </c>
      <c r="C5357">
        <v>0.94189625610086603</v>
      </c>
      <c r="D5357">
        <v>0.76256454342539304</v>
      </c>
      <c r="E5357">
        <v>0.51795449723785703</v>
      </c>
      <c r="F5357">
        <v>0.407025457635251</v>
      </c>
      <c r="G5357">
        <v>0.27647768889829</v>
      </c>
      <c r="H5357">
        <v>0.23977495590565101</v>
      </c>
      <c r="I5357">
        <v>0.269981553400444</v>
      </c>
      <c r="J5357">
        <v>0.33715005374628199</v>
      </c>
      <c r="K5357">
        <v>0.31654751900524503</v>
      </c>
      <c r="L5357">
        <v>921.47931879922999</v>
      </c>
      <c r="M5357">
        <v>19.211446345981901</v>
      </c>
      <c r="N5357">
        <v>50.135860792993199</v>
      </c>
      <c r="O5357">
        <v>47.454483243241697</v>
      </c>
      <c r="P5357">
        <v>-7.2634135398799496E-2</v>
      </c>
      <c r="Q5357">
        <v>0.28236869283752403</v>
      </c>
      <c r="R5357">
        <v>0.98698120099247899</v>
      </c>
      <c r="S5357" t="s">
        <v>12163</v>
      </c>
      <c r="T5357" t="s">
        <v>13610</v>
      </c>
      <c r="U5357" t="s">
        <v>13610</v>
      </c>
      <c r="V5357" t="s">
        <v>13610</v>
      </c>
      <c r="W5357" t="s">
        <v>18899</v>
      </c>
      <c r="X5357">
        <v>24</v>
      </c>
      <c r="Y5357" t="s">
        <v>25466</v>
      </c>
      <c r="Z5357" t="s">
        <v>32212</v>
      </c>
      <c r="AA5357">
        <v>0.48401678106103702</v>
      </c>
      <c r="AB5357" t="str">
        <f>HYPERLINK("Melting_Curves/meltCurve_Q99661_KIF2C.pdf", "Melting_Curves/meltCurve_Q99661_KIF2C.pdf")</f>
        <v>Melting_Curves/meltCurve_Q99661_KIF2C.pdf</v>
      </c>
    </row>
    <row r="5358" spans="1:28" x14ac:dyDescent="0.25">
      <c r="A5358" t="s">
        <v>5362</v>
      </c>
      <c r="B5358">
        <v>0.995954080203443</v>
      </c>
      <c r="C5358">
        <v>0.99116849744569602</v>
      </c>
      <c r="D5358">
        <v>0.95420653960614998</v>
      </c>
      <c r="E5358">
        <v>0.840526992910683</v>
      </c>
      <c r="F5358">
        <v>0.59907033096530804</v>
      </c>
      <c r="G5358">
        <v>0.32304467495384898</v>
      </c>
      <c r="H5358">
        <v>0.25533775939594</v>
      </c>
      <c r="I5358">
        <v>0.28185726239220799</v>
      </c>
      <c r="J5358">
        <v>0.300758951413515</v>
      </c>
      <c r="K5358">
        <v>0.294145061111593</v>
      </c>
      <c r="L5358">
        <v>1466.86269624083</v>
      </c>
      <c r="M5358">
        <v>27.994396337958499</v>
      </c>
      <c r="N5358">
        <v>53.940091913513101</v>
      </c>
      <c r="O5358">
        <v>52.133247103316101</v>
      </c>
      <c r="P5358">
        <v>-9.72795687568586E-2</v>
      </c>
      <c r="Q5358">
        <v>0.275361223161257</v>
      </c>
      <c r="R5358">
        <v>0.99592735758924</v>
      </c>
      <c r="S5358" t="s">
        <v>12164</v>
      </c>
      <c r="T5358" t="s">
        <v>13610</v>
      </c>
      <c r="U5358" t="s">
        <v>13610</v>
      </c>
      <c r="V5358" t="s">
        <v>13610</v>
      </c>
      <c r="W5358" t="s">
        <v>18900</v>
      </c>
      <c r="X5358">
        <v>33</v>
      </c>
      <c r="Y5358" t="s">
        <v>20983</v>
      </c>
      <c r="Z5358" t="s">
        <v>32213</v>
      </c>
      <c r="AA5358">
        <v>0.58017738619419323</v>
      </c>
      <c r="AB5358" t="str">
        <f>HYPERLINK("Melting_Curves/meltCurve_Q99700_4_ATXN2.pdf", "Melting_Curves/meltCurve_Q99700_4_ATXN2.pdf")</f>
        <v>Melting_Curves/meltCurve_Q99700_4_ATXN2.pdf</v>
      </c>
    </row>
    <row r="5359" spans="1:28" x14ac:dyDescent="0.25">
      <c r="A5359" t="s">
        <v>5363</v>
      </c>
      <c r="B5359">
        <v>0.995954080203443</v>
      </c>
      <c r="C5359">
        <v>0.90272514439518203</v>
      </c>
      <c r="D5359">
        <v>0.73666939760024996</v>
      </c>
      <c r="E5359">
        <v>0.44592568195829402</v>
      </c>
      <c r="F5359">
        <v>0.30200533856207601</v>
      </c>
      <c r="G5359">
        <v>0.19934981274348201</v>
      </c>
      <c r="H5359">
        <v>0.13224250950495101</v>
      </c>
      <c r="I5359">
        <v>0.13643792435237001</v>
      </c>
      <c r="J5359">
        <v>0.16062621490220799</v>
      </c>
      <c r="K5359">
        <v>0.15884369730165801</v>
      </c>
      <c r="L5359">
        <v>822.76736376144299</v>
      </c>
      <c r="M5359">
        <v>17.041959235814801</v>
      </c>
      <c r="N5359">
        <v>49.206700665207201</v>
      </c>
      <c r="O5359">
        <v>47.6288555338961</v>
      </c>
      <c r="P5359">
        <v>-7.7165420272086199E-2</v>
      </c>
      <c r="Q5359">
        <v>0.13740534716675901</v>
      </c>
      <c r="R5359">
        <v>0.99789157153445696</v>
      </c>
      <c r="S5359" t="s">
        <v>12165</v>
      </c>
      <c r="T5359" t="s">
        <v>13610</v>
      </c>
      <c r="U5359" t="s">
        <v>13610</v>
      </c>
      <c r="V5359" t="s">
        <v>13610</v>
      </c>
      <c r="W5359" t="s">
        <v>18901</v>
      </c>
      <c r="X5359">
        <v>10</v>
      </c>
      <c r="Y5359" t="s">
        <v>25467</v>
      </c>
      <c r="Z5359" t="s">
        <v>32214</v>
      </c>
      <c r="AA5359">
        <v>0.39243590473767148</v>
      </c>
      <c r="AB5359" t="str">
        <f>HYPERLINK("Melting_Curves/meltCurve_Q99704_DOK1.pdf", "Melting_Curves/meltCurve_Q99704_DOK1.pdf")</f>
        <v>Melting_Curves/meltCurve_Q99704_DOK1.pdf</v>
      </c>
    </row>
    <row r="5360" spans="1:28" x14ac:dyDescent="0.25">
      <c r="A5360" t="s">
        <v>5364</v>
      </c>
      <c r="B5360">
        <v>0.995954080203443</v>
      </c>
      <c r="C5360">
        <v>0.79036440320783596</v>
      </c>
      <c r="D5360">
        <v>0.45796875168886803</v>
      </c>
      <c r="E5360">
        <v>0.31895553233353002</v>
      </c>
      <c r="F5360">
        <v>0.180427938812498</v>
      </c>
      <c r="G5360">
        <v>0.11219303759959499</v>
      </c>
      <c r="H5360">
        <v>7.6503821299016006E-2</v>
      </c>
      <c r="I5360">
        <v>6.7461157501348207E-2</v>
      </c>
      <c r="J5360">
        <v>7.7009007731844006E-2</v>
      </c>
      <c r="K5360">
        <v>6.8376939672507603E-2</v>
      </c>
      <c r="L5360">
        <v>768.25799834408804</v>
      </c>
      <c r="M5360">
        <v>16.7421151405924</v>
      </c>
      <c r="N5360">
        <v>46.333656527560301</v>
      </c>
      <c r="O5360">
        <v>45.248069160273197</v>
      </c>
      <c r="P5360">
        <v>-8.5624719457092699E-2</v>
      </c>
      <c r="Q5360">
        <v>7.4406325509420904E-2</v>
      </c>
      <c r="R5360">
        <v>0.98625030982532402</v>
      </c>
      <c r="S5360" t="s">
        <v>12166</v>
      </c>
      <c r="T5360" t="s">
        <v>13610</v>
      </c>
      <c r="U5360" t="s">
        <v>13610</v>
      </c>
      <c r="V5360" t="s">
        <v>13610</v>
      </c>
      <c r="W5360" t="s">
        <v>18902</v>
      </c>
      <c r="X5360">
        <v>31</v>
      </c>
      <c r="Y5360" t="s">
        <v>25468</v>
      </c>
      <c r="Z5360" t="s">
        <v>32215</v>
      </c>
      <c r="AA5360">
        <v>0.27759912660854719</v>
      </c>
      <c r="AB5360" t="str">
        <f>HYPERLINK("Melting_Curves/meltCurve_Q99707_MTR.pdf", "Melting_Curves/meltCurve_Q99707_MTR.pdf")</f>
        <v>Melting_Curves/meltCurve_Q99707_MTR.pdf</v>
      </c>
    </row>
    <row r="5361" spans="1:28" x14ac:dyDescent="0.25">
      <c r="A5361" t="s">
        <v>5365</v>
      </c>
      <c r="B5361">
        <v>0.995954080203443</v>
      </c>
      <c r="C5361">
        <v>0.97016812894525895</v>
      </c>
      <c r="D5361">
        <v>1.22567746434928</v>
      </c>
      <c r="E5361">
        <v>0.802351834530449</v>
      </c>
      <c r="F5361">
        <v>0.81163426139470196</v>
      </c>
      <c r="G5361">
        <v>0.66351812793042497</v>
      </c>
      <c r="H5361">
        <v>0.56633754111781998</v>
      </c>
      <c r="I5361">
        <v>0.614149320334339</v>
      </c>
      <c r="J5361">
        <v>0.49158839929897202</v>
      </c>
      <c r="K5361">
        <v>0.46037243314987197</v>
      </c>
      <c r="L5361">
        <v>912.441089198128</v>
      </c>
      <c r="M5361">
        <v>16.7420123944834</v>
      </c>
      <c r="O5361">
        <v>53.740336698260997</v>
      </c>
      <c r="P5361">
        <v>-3.93282713748212E-2</v>
      </c>
      <c r="Q5361">
        <v>0.49507244183398402</v>
      </c>
      <c r="R5361">
        <v>0.850398304472197</v>
      </c>
      <c r="S5361" t="s">
        <v>12167</v>
      </c>
      <c r="T5361" t="s">
        <v>13610</v>
      </c>
      <c r="U5361" t="s">
        <v>13610</v>
      </c>
      <c r="V5361" t="s">
        <v>13610</v>
      </c>
      <c r="W5361" t="s">
        <v>18903</v>
      </c>
      <c r="X5361">
        <v>7</v>
      </c>
      <c r="Y5361" t="s">
        <v>25469</v>
      </c>
      <c r="Z5361" t="s">
        <v>32216</v>
      </c>
      <c r="AA5361">
        <v>0.74790818047582652</v>
      </c>
      <c r="AB5361" t="str">
        <f>HYPERLINK("Melting_Curves/meltCurve_Q99708_RBBP8.pdf", "Melting_Curves/meltCurve_Q99708_RBBP8.pdf")</f>
        <v>Melting_Curves/meltCurve_Q99708_RBBP8.pdf</v>
      </c>
    </row>
    <row r="5362" spans="1:28" x14ac:dyDescent="0.25">
      <c r="A5362" t="s">
        <v>5366</v>
      </c>
      <c r="B5362">
        <v>0.995954080203443</v>
      </c>
      <c r="C5362">
        <v>0.94956082642214601</v>
      </c>
      <c r="D5362">
        <v>0.83218672875058597</v>
      </c>
      <c r="E5362">
        <v>0.74612339982944598</v>
      </c>
      <c r="F5362">
        <v>0.247932649027017</v>
      </c>
      <c r="G5362">
        <v>8.6139595595201901E-2</v>
      </c>
      <c r="H5362">
        <v>5.4633256904025498E-2</v>
      </c>
      <c r="I5362">
        <v>5.9541397139022303E-2</v>
      </c>
      <c r="J5362">
        <v>6.6924442845062798E-2</v>
      </c>
      <c r="K5362">
        <v>6.2189152976327301E-2</v>
      </c>
      <c r="L5362">
        <v>1786.6620624887801</v>
      </c>
      <c r="M5362">
        <v>34.9180356184159</v>
      </c>
      <c r="N5362">
        <v>51.3463928561765</v>
      </c>
      <c r="O5362">
        <v>51.0003666524008</v>
      </c>
      <c r="P5362">
        <v>-0.16135331856450699</v>
      </c>
      <c r="Q5362">
        <v>5.7329729030688899E-2</v>
      </c>
      <c r="R5362">
        <v>0.98258229596837399</v>
      </c>
      <c r="S5362" t="s">
        <v>12168</v>
      </c>
      <c r="T5362" t="s">
        <v>13610</v>
      </c>
      <c r="U5362" t="s">
        <v>13610</v>
      </c>
      <c r="V5362" t="s">
        <v>13610</v>
      </c>
      <c r="W5362" t="s">
        <v>18904</v>
      </c>
      <c r="X5362">
        <v>12</v>
      </c>
      <c r="Y5362" t="s">
        <v>25470</v>
      </c>
      <c r="Z5362" t="s">
        <v>32217</v>
      </c>
      <c r="AA5362">
        <v>0.41261531902218601</v>
      </c>
      <c r="AB5362" t="str">
        <f>HYPERLINK("Melting_Curves/meltCurve_Q99714_HSD17B10.pdf", "Melting_Curves/meltCurve_Q99714_HSD17B10.pdf")</f>
        <v>Melting_Curves/meltCurve_Q99714_HSD17B10.pdf</v>
      </c>
    </row>
    <row r="5363" spans="1:28" x14ac:dyDescent="0.25">
      <c r="A5363" t="s">
        <v>5367</v>
      </c>
      <c r="B5363">
        <v>0.995954080203443</v>
      </c>
      <c r="C5363">
        <v>0.97284144507978199</v>
      </c>
      <c r="D5363">
        <v>0.67334450825106595</v>
      </c>
      <c r="E5363">
        <v>0.38598980677407002</v>
      </c>
      <c r="F5363">
        <v>0.199777259006125</v>
      </c>
      <c r="G5363">
        <v>0.107440614026255</v>
      </c>
      <c r="H5363">
        <v>7.3165655197923396E-2</v>
      </c>
      <c r="I5363">
        <v>7.1432404414811898E-2</v>
      </c>
      <c r="J5363">
        <v>7.7297130673581196E-2</v>
      </c>
      <c r="K5363">
        <v>6.3766791904862105E-2</v>
      </c>
      <c r="L5363">
        <v>927.34579342901304</v>
      </c>
      <c r="M5363">
        <v>19.307112897948699</v>
      </c>
      <c r="N5363">
        <v>48.3864805355649</v>
      </c>
      <c r="O5363">
        <v>47.524928914537298</v>
      </c>
      <c r="P5363">
        <v>-9.4856213198687298E-2</v>
      </c>
      <c r="Q5363">
        <v>6.6071424621130706E-2</v>
      </c>
      <c r="R5363">
        <v>0.99507892069346504</v>
      </c>
      <c r="S5363" t="s">
        <v>12169</v>
      </c>
      <c r="T5363" t="s">
        <v>13610</v>
      </c>
      <c r="U5363" t="s">
        <v>13610</v>
      </c>
      <c r="V5363" t="s">
        <v>13610</v>
      </c>
      <c r="W5363" t="s">
        <v>18905</v>
      </c>
      <c r="X5363">
        <v>3</v>
      </c>
      <c r="Y5363" t="s">
        <v>25471</v>
      </c>
      <c r="Z5363" t="s">
        <v>32218</v>
      </c>
      <c r="AA5363">
        <v>0.33038373293486772</v>
      </c>
      <c r="AB5363" t="str">
        <f>HYPERLINK("Melting_Curves/meltCurve_Q99728_BARD1.pdf", "Melting_Curves/meltCurve_Q99728_BARD1.pdf")</f>
        <v>Melting_Curves/meltCurve_Q99728_BARD1.pdf</v>
      </c>
    </row>
    <row r="5364" spans="1:28" x14ac:dyDescent="0.25">
      <c r="A5364" t="s">
        <v>5368</v>
      </c>
      <c r="B5364">
        <v>0.995954080203443</v>
      </c>
      <c r="C5364">
        <v>0.92062383963630201</v>
      </c>
      <c r="D5364">
        <v>0.87865541933936298</v>
      </c>
      <c r="E5364">
        <v>0.77240983318297596</v>
      </c>
      <c r="F5364">
        <v>0.471924742823426</v>
      </c>
      <c r="G5364">
        <v>0.20595432249727499</v>
      </c>
      <c r="H5364">
        <v>0.15625158340824499</v>
      </c>
      <c r="I5364">
        <v>0.148475494889833</v>
      </c>
      <c r="J5364">
        <v>0.235069201911808</v>
      </c>
      <c r="K5364">
        <v>0.16909369907771801</v>
      </c>
      <c r="L5364">
        <v>1225.3014798368699</v>
      </c>
      <c r="M5364">
        <v>23.6967786741805</v>
      </c>
      <c r="N5364">
        <v>52.576355004547899</v>
      </c>
      <c r="O5364">
        <v>51.343517550091697</v>
      </c>
      <c r="P5364">
        <v>-9.6691627804494404E-2</v>
      </c>
      <c r="Q5364">
        <v>0.16201203021367</v>
      </c>
      <c r="R5364">
        <v>0.98232759503710299</v>
      </c>
      <c r="S5364" t="s">
        <v>12170</v>
      </c>
      <c r="T5364" t="s">
        <v>13610</v>
      </c>
      <c r="U5364" t="s">
        <v>13610</v>
      </c>
      <c r="V5364" t="s">
        <v>13610</v>
      </c>
      <c r="W5364" t="s">
        <v>18906</v>
      </c>
      <c r="X5364">
        <v>16</v>
      </c>
      <c r="Y5364" t="s">
        <v>25472</v>
      </c>
      <c r="Z5364" t="s">
        <v>32219</v>
      </c>
      <c r="AA5364">
        <v>0.49749345483322988</v>
      </c>
      <c r="AB5364" t="str">
        <f>HYPERLINK("Melting_Curves/meltCurve_Q99733_NAP1L4.pdf", "Melting_Curves/meltCurve_Q99733_NAP1L4.pdf")</f>
        <v>Melting_Curves/meltCurve_Q99733_NAP1L4.pdf</v>
      </c>
    </row>
    <row r="5365" spans="1:28" x14ac:dyDescent="0.25">
      <c r="A5365" t="s">
        <v>5369</v>
      </c>
      <c r="B5365">
        <v>0.995954080203443</v>
      </c>
      <c r="C5365">
        <v>0.87228622285340796</v>
      </c>
      <c r="D5365">
        <v>1.0433898666638699</v>
      </c>
      <c r="E5365">
        <v>0.62571329420524502</v>
      </c>
      <c r="F5365">
        <v>0.31671275593406101</v>
      </c>
      <c r="G5365">
        <v>0.18338577936707801</v>
      </c>
      <c r="H5365">
        <v>0.135263118131424</v>
      </c>
      <c r="I5365">
        <v>0.12653196824662799</v>
      </c>
      <c r="J5365">
        <v>0.160855449457247</v>
      </c>
      <c r="K5365">
        <v>0.15199421152606499</v>
      </c>
      <c r="L5365">
        <v>1668.0246840382099</v>
      </c>
      <c r="M5365">
        <v>33.013612286965497</v>
      </c>
      <c r="N5365">
        <v>51.0704935591178</v>
      </c>
      <c r="O5365">
        <v>50.341062792670201</v>
      </c>
      <c r="P5365">
        <v>-0.139604302159477</v>
      </c>
      <c r="Q5365">
        <v>0.148497091299024</v>
      </c>
      <c r="R5365">
        <v>0.98235317791099297</v>
      </c>
      <c r="S5365" t="s">
        <v>12171</v>
      </c>
      <c r="T5365" t="s">
        <v>13610</v>
      </c>
      <c r="U5365" t="s">
        <v>13610</v>
      </c>
      <c r="V5365" t="s">
        <v>13610</v>
      </c>
      <c r="W5365" t="s">
        <v>18907</v>
      </c>
      <c r="X5365">
        <v>14</v>
      </c>
      <c r="Y5365" t="s">
        <v>25473</v>
      </c>
      <c r="Z5365" t="s">
        <v>32220</v>
      </c>
      <c r="AA5365">
        <v>0.45162328513794869</v>
      </c>
      <c r="AB5365" t="str">
        <f>HYPERLINK("Melting_Curves/meltCurve_Q99747_NAPG.pdf", "Melting_Curves/meltCurve_Q99747_NAPG.pdf")</f>
        <v>Melting_Curves/meltCurve_Q99747_NAPG.pdf</v>
      </c>
    </row>
    <row r="5366" spans="1:28" x14ac:dyDescent="0.25">
      <c r="A5366" t="s">
        <v>5370</v>
      </c>
      <c r="B5366">
        <v>0.995954080203443</v>
      </c>
      <c r="C5366">
        <v>1.05800973897867</v>
      </c>
      <c r="D5366">
        <v>0.96621792614454705</v>
      </c>
      <c r="E5366">
        <v>0.95714811961076696</v>
      </c>
      <c r="F5366">
        <v>0.83567327173940598</v>
      </c>
      <c r="G5366">
        <v>0.64815278225820305</v>
      </c>
      <c r="H5366">
        <v>0.49099034746327602</v>
      </c>
      <c r="I5366">
        <v>0.51519087165119204</v>
      </c>
      <c r="J5366">
        <v>0.43641613176463001</v>
      </c>
      <c r="K5366">
        <v>0.44923219051038898</v>
      </c>
      <c r="L5366">
        <v>1152.74163735091</v>
      </c>
      <c r="M5366">
        <v>20.818208947313199</v>
      </c>
      <c r="N5366">
        <v>61.818561599555103</v>
      </c>
      <c r="O5366">
        <v>54.868479844476802</v>
      </c>
      <c r="P5366">
        <v>-5.2838561532385697E-2</v>
      </c>
      <c r="Q5366">
        <v>0.44297020617049698</v>
      </c>
      <c r="R5366">
        <v>0.98767402614951305</v>
      </c>
      <c r="S5366" t="s">
        <v>12172</v>
      </c>
      <c r="T5366" t="s">
        <v>13610</v>
      </c>
      <c r="U5366" t="s">
        <v>13610</v>
      </c>
      <c r="V5366" t="s">
        <v>13610</v>
      </c>
      <c r="W5366" t="s">
        <v>18908</v>
      </c>
      <c r="X5366">
        <v>3</v>
      </c>
      <c r="Y5366" t="s">
        <v>25474</v>
      </c>
      <c r="Z5366" t="s">
        <v>32221</v>
      </c>
      <c r="AA5366">
        <v>0.7353050444357484</v>
      </c>
      <c r="AB5366" t="str">
        <f>HYPERLINK("Melting_Curves/meltCurve_Q99757_TXN2.pdf", "Melting_Curves/meltCurve_Q99757_TXN2.pdf")</f>
        <v>Melting_Curves/meltCurve_Q99757_TXN2.pdf</v>
      </c>
    </row>
    <row r="5367" spans="1:28" x14ac:dyDescent="0.25">
      <c r="A5367" t="s">
        <v>5371</v>
      </c>
      <c r="B5367">
        <v>0.995954080203443</v>
      </c>
      <c r="C5367">
        <v>0.97940640620319697</v>
      </c>
      <c r="D5367">
        <v>0.91914224256545596</v>
      </c>
      <c r="E5367">
        <v>0.80129037926103397</v>
      </c>
      <c r="F5367">
        <v>0.57003000386140401</v>
      </c>
      <c r="G5367">
        <v>0.187039479302615</v>
      </c>
      <c r="H5367">
        <v>9.8695858701736999E-2</v>
      </c>
      <c r="I5367">
        <v>7.4283620504733E-2</v>
      </c>
      <c r="J5367">
        <v>6.7813828836433707E-2</v>
      </c>
      <c r="K5367">
        <v>5.93849391112517E-2</v>
      </c>
      <c r="L5367">
        <v>1177.68416100993</v>
      </c>
      <c r="M5367">
        <v>22.1661024006773</v>
      </c>
      <c r="N5367">
        <v>53.379376228722599</v>
      </c>
      <c r="O5367">
        <v>52.703205279369001</v>
      </c>
      <c r="P5367">
        <v>-9.9975509935063003E-2</v>
      </c>
      <c r="Q5367">
        <v>4.9194025093518098E-2</v>
      </c>
      <c r="R5367">
        <v>0.99656595694231098</v>
      </c>
      <c r="S5367" t="s">
        <v>12173</v>
      </c>
      <c r="T5367" t="s">
        <v>13610</v>
      </c>
      <c r="U5367" t="s">
        <v>13610</v>
      </c>
      <c r="V5367" t="s">
        <v>13610</v>
      </c>
      <c r="W5367" t="s">
        <v>18909</v>
      </c>
      <c r="X5367">
        <v>5</v>
      </c>
      <c r="Y5367" t="s">
        <v>25475</v>
      </c>
      <c r="Z5367" t="s">
        <v>32222</v>
      </c>
      <c r="AA5367">
        <v>0.47624911608535953</v>
      </c>
      <c r="AB5367" t="str">
        <f>HYPERLINK("Melting_Curves/meltCurve_Q99766_ATP5S.pdf", "Melting_Curves/meltCurve_Q99766_ATP5S.pdf")</f>
        <v>Melting_Curves/meltCurve_Q99766_ATP5S.pdf</v>
      </c>
    </row>
    <row r="5368" spans="1:28" x14ac:dyDescent="0.25">
      <c r="A5368" t="s">
        <v>5372</v>
      </c>
      <c r="B5368">
        <v>0.995954080203443</v>
      </c>
      <c r="C5368">
        <v>0.90636745267555496</v>
      </c>
      <c r="D5368">
        <v>0.74286598139461502</v>
      </c>
      <c r="E5368">
        <v>0.38619091824308899</v>
      </c>
      <c r="F5368">
        <v>0.26513107908667399</v>
      </c>
      <c r="G5368">
        <v>0.19323419480251899</v>
      </c>
      <c r="H5368">
        <v>0.15803021091722799</v>
      </c>
      <c r="I5368">
        <v>0.17479656441025501</v>
      </c>
      <c r="J5368">
        <v>0.16378122900616801</v>
      </c>
      <c r="K5368">
        <v>0.14529816212443</v>
      </c>
      <c r="L5368">
        <v>964.39497047736904</v>
      </c>
      <c r="M5368">
        <v>20.2047825778643</v>
      </c>
      <c r="N5368">
        <v>48.640686388628602</v>
      </c>
      <c r="O5368">
        <v>47.270837214032099</v>
      </c>
      <c r="P5368">
        <v>-9.00467244508531E-2</v>
      </c>
      <c r="Q5368">
        <v>0.15733793122492301</v>
      </c>
      <c r="R5368">
        <v>0.99882775871731</v>
      </c>
      <c r="S5368" t="s">
        <v>12174</v>
      </c>
      <c r="T5368" t="s">
        <v>13610</v>
      </c>
      <c r="U5368" t="s">
        <v>13610</v>
      </c>
      <c r="V5368" t="s">
        <v>13610</v>
      </c>
      <c r="W5368" t="s">
        <v>18910</v>
      </c>
      <c r="X5368">
        <v>5</v>
      </c>
      <c r="Y5368" t="s">
        <v>25476</v>
      </c>
      <c r="Z5368" t="s">
        <v>32223</v>
      </c>
      <c r="AA5368">
        <v>0.38628116802053869</v>
      </c>
      <c r="AB5368" t="str">
        <f>HYPERLINK("Melting_Curves/meltCurve_Q99767_2_APBA2.pdf", "Melting_Curves/meltCurve_Q99767_2_APBA2.pdf")</f>
        <v>Melting_Curves/meltCurve_Q99767_2_APBA2.pdf</v>
      </c>
    </row>
    <row r="5369" spans="1:28" x14ac:dyDescent="0.25">
      <c r="A5369" t="s">
        <v>5373</v>
      </c>
      <c r="B5369">
        <v>0.995954080203443</v>
      </c>
      <c r="C5369">
        <v>1.00238319245917</v>
      </c>
      <c r="D5369">
        <v>0.85356406988969202</v>
      </c>
      <c r="E5369">
        <v>0.55321678232181903</v>
      </c>
      <c r="F5369">
        <v>0.187116626523021</v>
      </c>
      <c r="G5369">
        <v>8.6743979352475201E-2</v>
      </c>
      <c r="H5369">
        <v>5.6000201211503599E-2</v>
      </c>
      <c r="I5369">
        <v>4.6626704565420701E-2</v>
      </c>
      <c r="J5369">
        <v>4.5235803571388497E-2</v>
      </c>
      <c r="K5369">
        <v>4.5247315391707801E-2</v>
      </c>
      <c r="L5369">
        <v>1237.3034248317499</v>
      </c>
      <c r="M5369">
        <v>24.7726801893998</v>
      </c>
      <c r="N5369">
        <v>50.118018322960097</v>
      </c>
      <c r="O5369">
        <v>49.624239904185302</v>
      </c>
      <c r="P5369">
        <v>-0.119725385634945</v>
      </c>
      <c r="Q5369">
        <v>4.0685567405218899E-2</v>
      </c>
      <c r="R5369">
        <v>0.99657280516282198</v>
      </c>
      <c r="S5369" t="s">
        <v>12175</v>
      </c>
      <c r="T5369" t="s">
        <v>13610</v>
      </c>
      <c r="U5369" t="s">
        <v>13610</v>
      </c>
      <c r="V5369" t="s">
        <v>13610</v>
      </c>
      <c r="W5369" t="s">
        <v>18911</v>
      </c>
      <c r="X5369">
        <v>11</v>
      </c>
      <c r="Y5369" t="s">
        <v>25477</v>
      </c>
      <c r="Z5369" t="s">
        <v>32224</v>
      </c>
      <c r="AA5369">
        <v>0.36746796638762691</v>
      </c>
      <c r="AB5369" t="str">
        <f>HYPERLINK("Melting_Curves/meltCurve_Q99797_MIPEP.pdf", "Melting_Curves/meltCurve_Q99797_MIPEP.pdf")</f>
        <v>Melting_Curves/meltCurve_Q99797_MIPEP.pdf</v>
      </c>
    </row>
    <row r="5370" spans="1:28" x14ac:dyDescent="0.25">
      <c r="A5370" t="s">
        <v>5374</v>
      </c>
      <c r="B5370">
        <v>0.995954080203443</v>
      </c>
      <c r="C5370">
        <v>0.96109364994506097</v>
      </c>
      <c r="D5370">
        <v>0.87998469422338399</v>
      </c>
      <c r="E5370">
        <v>0.73725926181438295</v>
      </c>
      <c r="F5370">
        <v>0.246286694196553</v>
      </c>
      <c r="G5370">
        <v>0.10632899035903901</v>
      </c>
      <c r="H5370">
        <v>6.9529546326615094E-2</v>
      </c>
      <c r="I5370">
        <v>5.8795657754137601E-2</v>
      </c>
      <c r="J5370">
        <v>6.97991977698528E-2</v>
      </c>
      <c r="K5370">
        <v>5.6696804046533003E-2</v>
      </c>
      <c r="L5370">
        <v>1845.47235497578</v>
      </c>
      <c r="M5370">
        <v>36.095698524234102</v>
      </c>
      <c r="N5370">
        <v>51.323909100206102</v>
      </c>
      <c r="O5370">
        <v>50.971047676958698</v>
      </c>
      <c r="P5370">
        <v>-0.16560438587477599</v>
      </c>
      <c r="Q5370">
        <v>6.4597450766481601E-2</v>
      </c>
      <c r="R5370">
        <v>0.99121987906247599</v>
      </c>
      <c r="S5370" t="s">
        <v>12176</v>
      </c>
      <c r="T5370" t="s">
        <v>13610</v>
      </c>
      <c r="U5370" t="s">
        <v>13610</v>
      </c>
      <c r="V5370" t="s">
        <v>13610</v>
      </c>
      <c r="W5370" t="s">
        <v>18912</v>
      </c>
      <c r="X5370">
        <v>37</v>
      </c>
      <c r="Y5370" t="s">
        <v>25478</v>
      </c>
      <c r="Z5370" t="s">
        <v>32225</v>
      </c>
      <c r="AA5370">
        <v>0.41560964076536488</v>
      </c>
      <c r="AB5370" t="str">
        <f>HYPERLINK("Melting_Curves/meltCurve_Q99798_ACO2.pdf", "Melting_Curves/meltCurve_Q99798_ACO2.pdf")</f>
        <v>Melting_Curves/meltCurve_Q99798_ACO2.pdf</v>
      </c>
    </row>
    <row r="5371" spans="1:28" x14ac:dyDescent="0.25">
      <c r="A5371" t="s">
        <v>5375</v>
      </c>
      <c r="B5371">
        <v>0.995954080203443</v>
      </c>
      <c r="C5371">
        <v>0.60330061350457398</v>
      </c>
      <c r="D5371">
        <v>0.35188036212903001</v>
      </c>
      <c r="E5371">
        <v>1.00888701820777</v>
      </c>
      <c r="F5371">
        <v>0.71021901234873397</v>
      </c>
      <c r="G5371">
        <v>0.211438571344539</v>
      </c>
      <c r="H5371">
        <v>7.4829665608811394E-2</v>
      </c>
      <c r="I5371">
        <v>4.9984837823324003E-2</v>
      </c>
      <c r="J5371">
        <v>4.6441801960077397E-2</v>
      </c>
      <c r="K5371">
        <v>4.6107945295967297E-2</v>
      </c>
      <c r="L5371">
        <v>430.86103067741197</v>
      </c>
      <c r="M5371">
        <v>8.3562239643174596</v>
      </c>
      <c r="N5371">
        <v>51.561685348484701</v>
      </c>
      <c r="O5371">
        <v>48.862226875705801</v>
      </c>
      <c r="P5371">
        <v>-4.2795083977791297E-2</v>
      </c>
      <c r="Q5371">
        <v>0</v>
      </c>
      <c r="R5371">
        <v>0.61588174471871704</v>
      </c>
      <c r="S5371" t="s">
        <v>12177</v>
      </c>
      <c r="T5371" t="s">
        <v>13610</v>
      </c>
      <c r="U5371" t="s">
        <v>13610</v>
      </c>
      <c r="V5371" t="s">
        <v>13610</v>
      </c>
      <c r="W5371" t="s">
        <v>18913</v>
      </c>
      <c r="X5371">
        <v>40</v>
      </c>
      <c r="Y5371" t="s">
        <v>25479</v>
      </c>
      <c r="Z5371" t="s">
        <v>32226</v>
      </c>
      <c r="AA5371">
        <v>0.4332439556355811</v>
      </c>
      <c r="AB5371" t="str">
        <f>HYPERLINK("Melting_Curves/meltCurve_Q99832_CCT7.pdf", "Melting_Curves/meltCurve_Q99832_CCT7.pdf")</f>
        <v>Melting_Curves/meltCurve_Q99832_CCT7.pdf</v>
      </c>
    </row>
    <row r="5372" spans="1:28" x14ac:dyDescent="0.25">
      <c r="A5372" t="s">
        <v>5376</v>
      </c>
      <c r="B5372">
        <v>0.995954080203443</v>
      </c>
      <c r="C5372">
        <v>0.91644216104568998</v>
      </c>
      <c r="D5372">
        <v>0.782159569772227</v>
      </c>
      <c r="E5372">
        <v>0.314893612482326</v>
      </c>
      <c r="F5372">
        <v>0.123126547194151</v>
      </c>
      <c r="G5372">
        <v>6.7422640125988101E-2</v>
      </c>
      <c r="H5372">
        <v>4.42489372169197E-2</v>
      </c>
      <c r="I5372">
        <v>3.80005501632798E-2</v>
      </c>
      <c r="J5372">
        <v>4.5457823337766698E-2</v>
      </c>
      <c r="K5372">
        <v>3.9260921017250303E-2</v>
      </c>
      <c r="L5372">
        <v>1170.6839219076901</v>
      </c>
      <c r="M5372">
        <v>24.3120288663964</v>
      </c>
      <c r="N5372">
        <v>48.313676769871002</v>
      </c>
      <c r="O5372">
        <v>47.830228140218601</v>
      </c>
      <c r="P5372">
        <v>-0.12212536352938599</v>
      </c>
      <c r="Q5372">
        <v>3.8962076084586801E-2</v>
      </c>
      <c r="R5372">
        <v>0.998747345307472</v>
      </c>
      <c r="S5372" t="s">
        <v>12178</v>
      </c>
      <c r="T5372" t="s">
        <v>13610</v>
      </c>
      <c r="U5372" t="s">
        <v>13610</v>
      </c>
      <c r="V5372" t="s">
        <v>13610</v>
      </c>
      <c r="W5372" t="s">
        <v>18914</v>
      </c>
      <c r="X5372">
        <v>8</v>
      </c>
      <c r="Y5372" t="s">
        <v>25480</v>
      </c>
      <c r="Z5372" t="s">
        <v>32227</v>
      </c>
      <c r="AA5372">
        <v>0.30913128130781398</v>
      </c>
      <c r="AB5372" t="str">
        <f>HYPERLINK("Melting_Curves/meltCurve_Q99836_MYD88.pdf", "Melting_Curves/meltCurve_Q99836_MYD88.pdf")</f>
        <v>Melting_Curves/meltCurve_Q99836_MYD88.pdf</v>
      </c>
    </row>
    <row r="5373" spans="1:28" x14ac:dyDescent="0.25">
      <c r="A5373" t="s">
        <v>5377</v>
      </c>
      <c r="B5373">
        <v>0.995954080203443</v>
      </c>
      <c r="C5373">
        <v>0.974712331164857</v>
      </c>
      <c r="D5373">
        <v>0.93018432280292795</v>
      </c>
      <c r="E5373">
        <v>0.78601736556508495</v>
      </c>
      <c r="F5373">
        <v>0.55082205126660699</v>
      </c>
      <c r="G5373">
        <v>0.36107615638815999</v>
      </c>
      <c r="H5373">
        <v>0.23515274057048499</v>
      </c>
      <c r="I5373">
        <v>0.26512628501704399</v>
      </c>
      <c r="J5373">
        <v>0.24059862387280501</v>
      </c>
      <c r="K5373">
        <v>0.29690011024783602</v>
      </c>
      <c r="L5373">
        <v>1100.1164655574</v>
      </c>
      <c r="M5373">
        <v>21.149773801976</v>
      </c>
      <c r="N5373">
        <v>53.762141595209798</v>
      </c>
      <c r="O5373">
        <v>51.557191522746201</v>
      </c>
      <c r="P5373">
        <v>-7.7073595019903005E-2</v>
      </c>
      <c r="Q5373">
        <v>0.24848466487559101</v>
      </c>
      <c r="R5373">
        <v>0.99427029098316599</v>
      </c>
      <c r="S5373" t="s">
        <v>12179</v>
      </c>
      <c r="T5373" t="s">
        <v>13610</v>
      </c>
      <c r="U5373" t="s">
        <v>13610</v>
      </c>
      <c r="V5373" t="s">
        <v>13610</v>
      </c>
      <c r="W5373" t="s">
        <v>18915</v>
      </c>
      <c r="X5373">
        <v>14</v>
      </c>
      <c r="Y5373" t="s">
        <v>25481</v>
      </c>
      <c r="Z5373" t="s">
        <v>32228</v>
      </c>
      <c r="AA5373">
        <v>0.5588776213184633</v>
      </c>
      <c r="AB5373" t="str">
        <f>HYPERLINK("Melting_Curves/meltCurve_Q99848_EBNA1BP2.pdf", "Melting_Curves/meltCurve_Q99848_EBNA1BP2.pdf")</f>
        <v>Melting_Curves/meltCurve_Q99848_EBNA1BP2.pdf</v>
      </c>
    </row>
    <row r="5374" spans="1:28" x14ac:dyDescent="0.25">
      <c r="A5374" t="s">
        <v>5378</v>
      </c>
      <c r="B5374">
        <v>0.995954080203443</v>
      </c>
      <c r="C5374">
        <v>1.03238048739196</v>
      </c>
      <c r="D5374">
        <v>1.0656354095527201</v>
      </c>
      <c r="E5374">
        <v>0.80325488798412004</v>
      </c>
      <c r="F5374">
        <v>0.62773748421262099</v>
      </c>
      <c r="G5374">
        <v>0.48293172548413699</v>
      </c>
      <c r="H5374">
        <v>0.454227725705735</v>
      </c>
      <c r="I5374">
        <v>0.57693852660506495</v>
      </c>
      <c r="J5374">
        <v>0.62198472121784998</v>
      </c>
      <c r="K5374">
        <v>0.66703019090978499</v>
      </c>
      <c r="L5374">
        <v>2382.3744509304902</v>
      </c>
      <c r="M5374">
        <v>47.357450844768103</v>
      </c>
      <c r="O5374">
        <v>50.216771026908802</v>
      </c>
      <c r="P5374">
        <v>-0.102653694710512</v>
      </c>
      <c r="Q5374">
        <v>0.56459387786543502</v>
      </c>
      <c r="R5374">
        <v>0.91427303580217301</v>
      </c>
      <c r="S5374" t="s">
        <v>12180</v>
      </c>
      <c r="T5374" t="s">
        <v>13610</v>
      </c>
      <c r="U5374" t="s">
        <v>13610</v>
      </c>
      <c r="V5374" t="s">
        <v>13610</v>
      </c>
      <c r="W5374" t="s">
        <v>18916</v>
      </c>
      <c r="X5374">
        <v>28</v>
      </c>
      <c r="Y5374" t="s">
        <v>25482</v>
      </c>
      <c r="Z5374" t="s">
        <v>32229</v>
      </c>
      <c r="AA5374">
        <v>0.71525132745397235</v>
      </c>
      <c r="AB5374" t="str">
        <f>HYPERLINK("Melting_Curves/meltCurve_Q99856_ARID3A.pdf", "Melting_Curves/meltCurve_Q99856_ARID3A.pdf")</f>
        <v>Melting_Curves/meltCurve_Q99856_ARID3A.pdf</v>
      </c>
    </row>
    <row r="5375" spans="1:28" x14ac:dyDescent="0.25">
      <c r="A5375" t="s">
        <v>5379</v>
      </c>
      <c r="B5375">
        <v>0.995954080203443</v>
      </c>
      <c r="C5375">
        <v>0.87162453621224301</v>
      </c>
      <c r="D5375">
        <v>0.52727596087542306</v>
      </c>
      <c r="E5375">
        <v>0.374192772901562</v>
      </c>
      <c r="F5375">
        <v>0.21743937204907099</v>
      </c>
      <c r="G5375">
        <v>0.12970888675852699</v>
      </c>
      <c r="H5375">
        <v>9.1765444271282207E-2</v>
      </c>
      <c r="I5375">
        <v>8.3062675852123596E-2</v>
      </c>
      <c r="J5375">
        <v>8.7554167176961906E-2</v>
      </c>
      <c r="K5375">
        <v>8.9757243945884801E-2</v>
      </c>
      <c r="L5375">
        <v>760.04664960524997</v>
      </c>
      <c r="M5375">
        <v>16.2317503940561</v>
      </c>
      <c r="N5375">
        <v>47.355855950681899</v>
      </c>
      <c r="O5375">
        <v>46.1312781546671</v>
      </c>
      <c r="P5375">
        <v>-8.0649842477561795E-2</v>
      </c>
      <c r="Q5375">
        <v>8.3227825348360804E-2</v>
      </c>
      <c r="R5375">
        <v>0.98713805158912604</v>
      </c>
      <c r="S5375" t="s">
        <v>12181</v>
      </c>
      <c r="T5375" t="s">
        <v>13610</v>
      </c>
      <c r="U5375" t="s">
        <v>13610</v>
      </c>
      <c r="V5375" t="s">
        <v>13610</v>
      </c>
      <c r="W5375" t="s">
        <v>18917</v>
      </c>
      <c r="X5375">
        <v>7</v>
      </c>
      <c r="Y5375" t="s">
        <v>25483</v>
      </c>
      <c r="Z5375" t="s">
        <v>32230</v>
      </c>
      <c r="AA5375">
        <v>0.31312576692355271</v>
      </c>
      <c r="AB5375" t="str">
        <f>HYPERLINK("Melting_Curves/meltCurve_Q99871_3_HAUS7.pdf", "Melting_Curves/meltCurve_Q99871_3_HAUS7.pdf")</f>
        <v>Melting_Curves/meltCurve_Q99871_3_HAUS7.pdf</v>
      </c>
    </row>
    <row r="5376" spans="1:28" x14ac:dyDescent="0.25">
      <c r="A5376" t="s">
        <v>5380</v>
      </c>
      <c r="B5376">
        <v>0.995954080203443</v>
      </c>
      <c r="C5376">
        <v>1.0048039250396299</v>
      </c>
      <c r="D5376">
        <v>0.90915036540295002</v>
      </c>
      <c r="E5376">
        <v>0.618674377629164</v>
      </c>
      <c r="F5376">
        <v>0.27689328661095602</v>
      </c>
      <c r="G5376">
        <v>0.135527977088093</v>
      </c>
      <c r="H5376">
        <v>7.6864955325813195E-2</v>
      </c>
      <c r="I5376">
        <v>5.4075274383649799E-2</v>
      </c>
      <c r="J5376">
        <v>5.2603370826703397E-2</v>
      </c>
      <c r="K5376">
        <v>5.3322868388215802E-2</v>
      </c>
      <c r="L5376">
        <v>1226.41585310239</v>
      </c>
      <c r="M5376">
        <v>24.203750539596498</v>
      </c>
      <c r="N5376">
        <v>50.916119948992403</v>
      </c>
      <c r="O5376">
        <v>50.328372656365701</v>
      </c>
      <c r="P5376">
        <v>-0.11360588824078099</v>
      </c>
      <c r="Q5376">
        <v>5.5102697976008398E-2</v>
      </c>
      <c r="R5376">
        <v>0.99890006618302996</v>
      </c>
      <c r="S5376" t="s">
        <v>12182</v>
      </c>
      <c r="T5376" t="s">
        <v>13610</v>
      </c>
      <c r="U5376" t="s">
        <v>13610</v>
      </c>
      <c r="V5376" t="s">
        <v>13610</v>
      </c>
      <c r="W5376" t="s">
        <v>18918</v>
      </c>
      <c r="X5376">
        <v>6</v>
      </c>
      <c r="Y5376" t="s">
        <v>25484</v>
      </c>
      <c r="Z5376" t="s">
        <v>32231</v>
      </c>
      <c r="AA5376">
        <v>0.40025424287030748</v>
      </c>
      <c r="AB5376" t="str">
        <f>HYPERLINK("Melting_Curves/meltCurve_Q99878_HIST1H2AJ.pdf", "Melting_Curves/meltCurve_Q99878_HIST1H2AJ.pdf")</f>
        <v>Melting_Curves/meltCurve_Q99878_HIST1H2AJ.pdf</v>
      </c>
    </row>
    <row r="5377" spans="1:28" x14ac:dyDescent="0.25">
      <c r="A5377" t="s">
        <v>5381</v>
      </c>
      <c r="B5377">
        <v>0.995954080203443</v>
      </c>
      <c r="C5377">
        <v>0.898815251788604</v>
      </c>
      <c r="D5377">
        <v>0.76793284095958403</v>
      </c>
      <c r="E5377">
        <v>0.49028454375212999</v>
      </c>
      <c r="F5377">
        <v>0.200052701991592</v>
      </c>
      <c r="G5377">
        <v>0.100272510366218</v>
      </c>
      <c r="H5377">
        <v>4.9733786835396802E-2</v>
      </c>
      <c r="I5377">
        <v>4.0712505965989999E-2</v>
      </c>
      <c r="J5377">
        <v>4.4937460039791197E-2</v>
      </c>
      <c r="K5377">
        <v>4.0088930178854502E-2</v>
      </c>
      <c r="L5377">
        <v>862.05568136194404</v>
      </c>
      <c r="M5377">
        <v>17.519006776770301</v>
      </c>
      <c r="N5377">
        <v>49.347046641741102</v>
      </c>
      <c r="O5377">
        <v>48.579163981269602</v>
      </c>
      <c r="P5377">
        <v>-8.7973572187679899E-2</v>
      </c>
      <c r="Q5377">
        <v>2.4271642450289801E-2</v>
      </c>
      <c r="R5377">
        <v>0.99609407754896095</v>
      </c>
      <c r="S5377" t="s">
        <v>12183</v>
      </c>
      <c r="T5377" t="s">
        <v>13610</v>
      </c>
      <c r="U5377" t="s">
        <v>13610</v>
      </c>
      <c r="V5377" t="s">
        <v>13610</v>
      </c>
      <c r="W5377" t="s">
        <v>18919</v>
      </c>
      <c r="X5377">
        <v>8</v>
      </c>
      <c r="Y5377" t="s">
        <v>25485</v>
      </c>
      <c r="Z5377" t="s">
        <v>32232</v>
      </c>
      <c r="AA5377">
        <v>0.34147791584838771</v>
      </c>
      <c r="AB5377" t="str">
        <f>HYPERLINK("Melting_Curves/meltCurve_Q99879_HIST1H2BM.pdf", "Melting_Curves/meltCurve_Q99879_HIST1H2BM.pdf")</f>
        <v>Melting_Curves/meltCurve_Q99879_HIST1H2BM.pdf</v>
      </c>
    </row>
    <row r="5378" spans="1:28" x14ac:dyDescent="0.25">
      <c r="A5378" t="s">
        <v>5382</v>
      </c>
      <c r="B5378">
        <v>0.995954080203443</v>
      </c>
      <c r="C5378">
        <v>1.1070244531479201</v>
      </c>
      <c r="D5378">
        <v>1.1382332927446199</v>
      </c>
      <c r="E5378">
        <v>0.99566868157101396</v>
      </c>
      <c r="F5378">
        <v>0.67271007344259703</v>
      </c>
      <c r="G5378">
        <v>0.407082365431365</v>
      </c>
      <c r="H5378">
        <v>0.341717337279766</v>
      </c>
      <c r="I5378">
        <v>0.31047862375999802</v>
      </c>
      <c r="J5378">
        <v>0.25306050347341302</v>
      </c>
      <c r="K5378">
        <v>0.225364094231532</v>
      </c>
      <c r="L5378">
        <v>1733.54040874415</v>
      </c>
      <c r="M5378">
        <v>32.301042850765903</v>
      </c>
      <c r="N5378">
        <v>55.080251539582399</v>
      </c>
      <c r="O5378">
        <v>53.4638019417458</v>
      </c>
      <c r="P5378">
        <v>-0.10851656626551601</v>
      </c>
      <c r="Q5378">
        <v>0.28154888831383301</v>
      </c>
      <c r="R5378">
        <v>0.965854869798631</v>
      </c>
      <c r="S5378" t="s">
        <v>12184</v>
      </c>
      <c r="T5378" t="s">
        <v>13610</v>
      </c>
      <c r="U5378" t="s">
        <v>13610</v>
      </c>
      <c r="V5378" t="s">
        <v>13610</v>
      </c>
      <c r="W5378" t="s">
        <v>18920</v>
      </c>
      <c r="X5378">
        <v>12</v>
      </c>
      <c r="Y5378" t="s">
        <v>25486</v>
      </c>
      <c r="Z5378" t="s">
        <v>32233</v>
      </c>
      <c r="AA5378">
        <v>0.61295009488164731</v>
      </c>
      <c r="AB5378" t="str">
        <f>HYPERLINK("Melting_Curves/meltCurve_Q99933_4_BAG1.pdf", "Melting_Curves/meltCurve_Q99933_4_BAG1.pdf")</f>
        <v>Melting_Curves/meltCurve_Q99933_4_BAG1.pdf</v>
      </c>
    </row>
    <row r="5379" spans="1:28" x14ac:dyDescent="0.25">
      <c r="A5379" t="s">
        <v>5383</v>
      </c>
      <c r="B5379">
        <v>0.995954080203443</v>
      </c>
      <c r="C5379">
        <v>0.99450114803830703</v>
      </c>
      <c r="D5379">
        <v>1.02532233314874</v>
      </c>
      <c r="E5379">
        <v>0.86042354503373997</v>
      </c>
      <c r="F5379">
        <v>0.81376126951705097</v>
      </c>
      <c r="G5379">
        <v>0.54224981052419696</v>
      </c>
      <c r="H5379">
        <v>0.46849497415332297</v>
      </c>
      <c r="I5379">
        <v>0.51016445188944004</v>
      </c>
      <c r="J5379">
        <v>0.61147338936944695</v>
      </c>
      <c r="K5379">
        <v>0.57809303275951796</v>
      </c>
      <c r="L5379">
        <v>1537.98752789987</v>
      </c>
      <c r="M5379">
        <v>29.0960240580728</v>
      </c>
      <c r="O5379">
        <v>52.6112226492329</v>
      </c>
      <c r="P5379">
        <v>-6.4387871113366593E-2</v>
      </c>
      <c r="Q5379">
        <v>0.53430067396104797</v>
      </c>
      <c r="R5379">
        <v>0.94488420543627905</v>
      </c>
      <c r="S5379" t="s">
        <v>12185</v>
      </c>
      <c r="T5379" t="s">
        <v>13610</v>
      </c>
      <c r="U5379" t="s">
        <v>13610</v>
      </c>
      <c r="V5379" t="s">
        <v>13610</v>
      </c>
      <c r="W5379" t="s">
        <v>18921</v>
      </c>
      <c r="X5379">
        <v>3</v>
      </c>
      <c r="Y5379" t="s">
        <v>25487</v>
      </c>
      <c r="Z5379" t="s">
        <v>32234</v>
      </c>
      <c r="AA5379">
        <v>0.73711546957799789</v>
      </c>
      <c r="AB5379" t="str">
        <f>HYPERLINK("Melting_Curves/meltCurve_Q99941_2_ATF6B.pdf", "Melting_Curves/meltCurve_Q99941_2_ATF6B.pdf")</f>
        <v>Melting_Curves/meltCurve_Q99941_2_ATF6B.pdf</v>
      </c>
    </row>
    <row r="5380" spans="1:28" x14ac:dyDescent="0.25">
      <c r="A5380" t="s">
        <v>5384</v>
      </c>
      <c r="B5380">
        <v>0.995954080203443</v>
      </c>
      <c r="C5380">
        <v>0.68139402918008996</v>
      </c>
      <c r="D5380">
        <v>0.54527754692242403</v>
      </c>
      <c r="E5380">
        <v>0.46093099020844502</v>
      </c>
      <c r="F5380">
        <v>0.33619435696181399</v>
      </c>
      <c r="G5380">
        <v>0.22966525590095799</v>
      </c>
      <c r="H5380">
        <v>0.15650782314386499</v>
      </c>
      <c r="I5380">
        <v>0.148570263475645</v>
      </c>
      <c r="J5380">
        <v>0.18616285825791801</v>
      </c>
      <c r="K5380">
        <v>0.130328881455333</v>
      </c>
      <c r="L5380">
        <v>511.01270110903999</v>
      </c>
      <c r="M5380">
        <v>10.9504222141128</v>
      </c>
      <c r="N5380">
        <v>47.9073186880156</v>
      </c>
      <c r="O5380">
        <v>45.1906865385752</v>
      </c>
      <c r="P5380">
        <v>-5.3114805238413103E-2</v>
      </c>
      <c r="Q5380">
        <v>0.123514431028677</v>
      </c>
      <c r="R5380">
        <v>0.96154068354224498</v>
      </c>
      <c r="S5380" t="s">
        <v>12186</v>
      </c>
      <c r="T5380" t="s">
        <v>13610</v>
      </c>
      <c r="U5380" t="s">
        <v>13610</v>
      </c>
      <c r="V5380" t="s">
        <v>13610</v>
      </c>
      <c r="W5380" t="s">
        <v>18922</v>
      </c>
      <c r="X5380">
        <v>3</v>
      </c>
      <c r="Y5380" t="s">
        <v>25488</v>
      </c>
      <c r="Z5380" t="s">
        <v>32235</v>
      </c>
      <c r="AA5380">
        <v>0.36274035306548202</v>
      </c>
      <c r="AB5380" t="str">
        <f>HYPERLINK("Melting_Curves/meltCurve_Q99942_RNF5.pdf", "Melting_Curves/meltCurve_Q99942_RNF5.pdf")</f>
        <v>Melting_Curves/meltCurve_Q99942_RNF5.pdf</v>
      </c>
    </row>
    <row r="5381" spans="1:28" x14ac:dyDescent="0.25">
      <c r="A5381" t="s">
        <v>5385</v>
      </c>
      <c r="B5381">
        <v>0.995954080203443</v>
      </c>
      <c r="C5381">
        <v>1.0221613729700401</v>
      </c>
      <c r="D5381">
        <v>1.13708340165993</v>
      </c>
      <c r="E5381">
        <v>0.96897754583851803</v>
      </c>
      <c r="F5381">
        <v>0.97274605392134805</v>
      </c>
      <c r="G5381">
        <v>0.83798668937255105</v>
      </c>
      <c r="H5381">
        <v>0.73787987806883004</v>
      </c>
      <c r="I5381">
        <v>0.94716358378252796</v>
      </c>
      <c r="J5381">
        <v>0.81924486878735303</v>
      </c>
      <c r="K5381">
        <v>1.0709189040155001</v>
      </c>
      <c r="L5381">
        <v>13313.3774502286</v>
      </c>
      <c r="M5381">
        <v>250</v>
      </c>
      <c r="O5381">
        <v>53.250101945405603</v>
      </c>
      <c r="P5381">
        <v>-0.137747641773414</v>
      </c>
      <c r="Q5381">
        <v>0.88263878469782098</v>
      </c>
      <c r="R5381">
        <v>0.34436243119239901</v>
      </c>
      <c r="S5381" t="s">
        <v>12187</v>
      </c>
      <c r="T5381" t="s">
        <v>13610</v>
      </c>
      <c r="U5381" t="s">
        <v>13610</v>
      </c>
      <c r="V5381" t="s">
        <v>13610</v>
      </c>
      <c r="W5381" t="s">
        <v>18923</v>
      </c>
      <c r="X5381">
        <v>6</v>
      </c>
      <c r="Y5381" t="s">
        <v>25489</v>
      </c>
      <c r="Z5381" t="s">
        <v>32236</v>
      </c>
      <c r="AA5381">
        <v>0.93449802041095731</v>
      </c>
      <c r="AB5381" t="str">
        <f>HYPERLINK("Melting_Curves/meltCurve_Q99952_PTPN18.pdf", "Melting_Curves/meltCurve_Q99952_PTPN18.pdf")</f>
        <v>Melting_Curves/meltCurve_Q99952_PTPN18.pdf</v>
      </c>
    </row>
    <row r="5382" spans="1:28" x14ac:dyDescent="0.25">
      <c r="A5382" t="s">
        <v>5386</v>
      </c>
      <c r="B5382">
        <v>0.995954080203443</v>
      </c>
      <c r="C5382">
        <v>0.77704797996030095</v>
      </c>
      <c r="D5382">
        <v>0.47902527054737198</v>
      </c>
      <c r="E5382">
        <v>0.35468429524843897</v>
      </c>
      <c r="F5382">
        <v>0.25875370121105201</v>
      </c>
      <c r="G5382">
        <v>0.15238520603828101</v>
      </c>
      <c r="H5382">
        <v>0.111759915916898</v>
      </c>
      <c r="I5382">
        <v>0.106682326393423</v>
      </c>
      <c r="J5382">
        <v>0.104359599751757</v>
      </c>
      <c r="K5382">
        <v>0.109234701597596</v>
      </c>
      <c r="L5382">
        <v>695.13611829104798</v>
      </c>
      <c r="M5382">
        <v>15.1122232791147</v>
      </c>
      <c r="N5382">
        <v>46.7440631738897</v>
      </c>
      <c r="O5382">
        <v>45.215400782796202</v>
      </c>
      <c r="P5382">
        <v>-7.4613287056788796E-2</v>
      </c>
      <c r="Q5382">
        <v>0.107123594864594</v>
      </c>
      <c r="R5382">
        <v>0.98185693314217803</v>
      </c>
      <c r="S5382" t="s">
        <v>12188</v>
      </c>
      <c r="T5382" t="s">
        <v>13610</v>
      </c>
      <c r="U5382" t="s">
        <v>13610</v>
      </c>
      <c r="V5382" t="s">
        <v>13610</v>
      </c>
      <c r="W5382" t="s">
        <v>18924</v>
      </c>
      <c r="X5382">
        <v>3</v>
      </c>
      <c r="Y5382" t="s">
        <v>25490</v>
      </c>
      <c r="Z5382" t="s">
        <v>32237</v>
      </c>
      <c r="AA5382">
        <v>0.31132145226796731</v>
      </c>
      <c r="AB5382" t="str">
        <f>HYPERLINK("Melting_Curves/meltCurve_Q99956_DUSP9.pdf", "Melting_Curves/meltCurve_Q99956_DUSP9.pdf")</f>
        <v>Melting_Curves/meltCurve_Q99956_DUSP9.pdf</v>
      </c>
    </row>
    <row r="5383" spans="1:28" x14ac:dyDescent="0.25">
      <c r="A5383" t="s">
        <v>5387</v>
      </c>
      <c r="B5383">
        <v>0.995954080203443</v>
      </c>
      <c r="C5383">
        <v>1.0296012026069801</v>
      </c>
      <c r="D5383">
        <v>1.0037000508962499</v>
      </c>
      <c r="E5383">
        <v>0.72431263300067805</v>
      </c>
      <c r="F5383">
        <v>0.45409513249486599</v>
      </c>
      <c r="G5383">
        <v>0.25433295871279799</v>
      </c>
      <c r="H5383">
        <v>0.182075974090144</v>
      </c>
      <c r="I5383">
        <v>0.191598475050928</v>
      </c>
      <c r="J5383">
        <v>0.24294559146918901</v>
      </c>
      <c r="K5383">
        <v>0.25540598037773599</v>
      </c>
      <c r="L5383">
        <v>1477.6529904686899</v>
      </c>
      <c r="M5383">
        <v>28.828768890053201</v>
      </c>
      <c r="N5383">
        <v>52.2859975082171</v>
      </c>
      <c r="O5383">
        <v>51.011464286025699</v>
      </c>
      <c r="P5383">
        <v>-0.110682052737929</v>
      </c>
      <c r="Q5383">
        <v>0.21661442222083299</v>
      </c>
      <c r="R5383">
        <v>0.99376649335821399</v>
      </c>
      <c r="S5383" t="s">
        <v>12189</v>
      </c>
      <c r="T5383" t="s">
        <v>13610</v>
      </c>
      <c r="U5383" t="s">
        <v>13610</v>
      </c>
      <c r="V5383" t="s">
        <v>13610</v>
      </c>
      <c r="W5383" t="s">
        <v>18925</v>
      </c>
      <c r="X5383">
        <v>22</v>
      </c>
      <c r="Y5383" t="s">
        <v>25491</v>
      </c>
      <c r="Z5383" t="s">
        <v>32238</v>
      </c>
      <c r="AA5383">
        <v>0.51590091547486183</v>
      </c>
      <c r="AB5383" t="str">
        <f>HYPERLINK("Melting_Curves/meltCurve_Q99961_SH3GL1.pdf", "Melting_Curves/meltCurve_Q99961_SH3GL1.pdf")</f>
        <v>Melting_Curves/meltCurve_Q99961_SH3GL1.pdf</v>
      </c>
    </row>
    <row r="5384" spans="1:28" x14ac:dyDescent="0.25">
      <c r="A5384" t="s">
        <v>5388</v>
      </c>
      <c r="B5384">
        <v>0.995954080203443</v>
      </c>
      <c r="C5384">
        <v>1.00122760048121</v>
      </c>
      <c r="D5384">
        <v>0.68490393151271201</v>
      </c>
      <c r="E5384">
        <v>0.539115511261402</v>
      </c>
      <c r="F5384">
        <v>0.39913566585834998</v>
      </c>
      <c r="G5384">
        <v>0.25015320328558699</v>
      </c>
      <c r="H5384">
        <v>0.211685223216383</v>
      </c>
      <c r="I5384">
        <v>0.23988681185251701</v>
      </c>
      <c r="J5384">
        <v>0.26585146784562302</v>
      </c>
      <c r="K5384">
        <v>0.25231086328634</v>
      </c>
      <c r="L5384">
        <v>827.10406966204596</v>
      </c>
      <c r="M5384">
        <v>17.139451021927101</v>
      </c>
      <c r="N5384">
        <v>50.081094494682198</v>
      </c>
      <c r="O5384">
        <v>47.614761793696303</v>
      </c>
      <c r="P5384">
        <v>-6.9103734443136999E-2</v>
      </c>
      <c r="Q5384">
        <v>0.23214321098840901</v>
      </c>
      <c r="R5384">
        <v>0.97694932931223299</v>
      </c>
      <c r="S5384" t="s">
        <v>12190</v>
      </c>
      <c r="T5384" t="s">
        <v>13610</v>
      </c>
      <c r="U5384" t="s">
        <v>13610</v>
      </c>
      <c r="V5384" t="s">
        <v>13610</v>
      </c>
      <c r="W5384" t="s">
        <v>18926</v>
      </c>
      <c r="X5384">
        <v>7</v>
      </c>
      <c r="Y5384" t="s">
        <v>25492</v>
      </c>
      <c r="Z5384" t="s">
        <v>32239</v>
      </c>
      <c r="AA5384">
        <v>0.45844668299569502</v>
      </c>
      <c r="AB5384" t="str">
        <f>HYPERLINK("Melting_Curves/meltCurve_Q99963_4_SH3GL3.pdf", "Melting_Curves/meltCurve_Q99963_4_SH3GL3.pdf")</f>
        <v>Melting_Curves/meltCurve_Q99963_4_SH3GL3.pdf</v>
      </c>
    </row>
    <row r="5385" spans="1:28" x14ac:dyDescent="0.25">
      <c r="A5385" t="s">
        <v>5389</v>
      </c>
      <c r="B5385">
        <v>0.995954080203443</v>
      </c>
      <c r="C5385">
        <v>0.90915765665827397</v>
      </c>
      <c r="D5385">
        <v>0.45262152896214403</v>
      </c>
      <c r="E5385">
        <v>0.22645645469949099</v>
      </c>
      <c r="F5385">
        <v>9.97002742954579E-2</v>
      </c>
      <c r="G5385">
        <v>5.5958009567434103E-2</v>
      </c>
      <c r="H5385">
        <v>3.76718322023879E-2</v>
      </c>
      <c r="I5385">
        <v>3.0046415241851698E-2</v>
      </c>
      <c r="J5385">
        <v>3.4811362943169902E-2</v>
      </c>
      <c r="K5385">
        <v>2.8555982058984498E-2</v>
      </c>
      <c r="L5385">
        <v>1102.9039790777699</v>
      </c>
      <c r="M5385">
        <v>24.0087577687632</v>
      </c>
      <c r="N5385">
        <v>46.117483743322502</v>
      </c>
      <c r="O5385">
        <v>45.622432794010997</v>
      </c>
      <c r="P5385">
        <v>-0.12568300213415401</v>
      </c>
      <c r="Q5385">
        <v>4.4703026821210502E-2</v>
      </c>
      <c r="R5385">
        <v>0.99011728697197998</v>
      </c>
      <c r="S5385" t="s">
        <v>12191</v>
      </c>
      <c r="T5385" t="s">
        <v>13610</v>
      </c>
      <c r="U5385" t="s">
        <v>13610</v>
      </c>
      <c r="V5385" t="s">
        <v>13610</v>
      </c>
      <c r="W5385" t="s">
        <v>18927</v>
      </c>
      <c r="X5385">
        <v>15</v>
      </c>
      <c r="Y5385" t="s">
        <v>25493</v>
      </c>
      <c r="Z5385" t="s">
        <v>32240</v>
      </c>
      <c r="AA5385">
        <v>0.24349800008551939</v>
      </c>
      <c r="AB5385" t="str">
        <f>HYPERLINK("Melting_Curves/meltCurve_Q99986_VRK1.pdf", "Melting_Curves/meltCurve_Q99986_VRK1.pdf")</f>
        <v>Melting_Curves/meltCurve_Q99986_VRK1.pdf</v>
      </c>
    </row>
    <row r="5386" spans="1:28" x14ac:dyDescent="0.25">
      <c r="A5386" t="s">
        <v>5390</v>
      </c>
      <c r="B5386">
        <v>0.995954080203443</v>
      </c>
      <c r="C5386">
        <v>0.94342288476816905</v>
      </c>
      <c r="D5386">
        <v>0.84477968462286301</v>
      </c>
      <c r="E5386">
        <v>0.68604346693998097</v>
      </c>
      <c r="F5386">
        <v>0.45283277475558398</v>
      </c>
      <c r="G5386">
        <v>0.30267285034041802</v>
      </c>
      <c r="H5386">
        <v>0.23252175397810501</v>
      </c>
      <c r="I5386">
        <v>0.23681186055089101</v>
      </c>
      <c r="J5386">
        <v>0.28903763008139399</v>
      </c>
      <c r="K5386">
        <v>0.273426952597568</v>
      </c>
      <c r="L5386">
        <v>895.58806201427603</v>
      </c>
      <c r="M5386">
        <v>17.791084123167298</v>
      </c>
      <c r="N5386">
        <v>52.2572152036376</v>
      </c>
      <c r="O5386">
        <v>49.716090434695602</v>
      </c>
      <c r="P5386">
        <v>-6.8017064406307198E-2</v>
      </c>
      <c r="Q5386">
        <v>0.23976141987160701</v>
      </c>
      <c r="R5386">
        <v>0.99005752604434305</v>
      </c>
      <c r="S5386" t="s">
        <v>12192</v>
      </c>
      <c r="T5386" t="s">
        <v>13610</v>
      </c>
      <c r="U5386" t="s">
        <v>13610</v>
      </c>
      <c r="V5386" t="s">
        <v>13610</v>
      </c>
      <c r="W5386" t="s">
        <v>18928</v>
      </c>
      <c r="X5386">
        <v>98</v>
      </c>
      <c r="Y5386" t="s">
        <v>25494</v>
      </c>
      <c r="Z5386" t="s">
        <v>32241</v>
      </c>
      <c r="AA5386">
        <v>0.51496223789590234</v>
      </c>
      <c r="AB5386" t="str">
        <f>HYPERLINK("Melting_Curves/meltCurve_Q99996_2_AKAP9.pdf", "Melting_Curves/meltCurve_Q99996_2_AKAP9.pdf")</f>
        <v>Melting_Curves/meltCurve_Q99996_2_AKAP9.pdf</v>
      </c>
    </row>
    <row r="5387" spans="1:28" x14ac:dyDescent="0.25">
      <c r="A5387" t="s">
        <v>5391</v>
      </c>
      <c r="B5387">
        <v>0.995954080203443</v>
      </c>
      <c r="C5387">
        <v>0.90360240375960899</v>
      </c>
      <c r="D5387">
        <v>0.77118805502377596</v>
      </c>
      <c r="E5387">
        <v>0.78091592272217403</v>
      </c>
      <c r="F5387">
        <v>0.57411542256327197</v>
      </c>
      <c r="G5387">
        <v>0.17505528612417701</v>
      </c>
      <c r="H5387">
        <v>8.3538609513712406E-2</v>
      </c>
      <c r="I5387">
        <v>7.1158973017442104E-2</v>
      </c>
      <c r="J5387">
        <v>6.33650065644175E-2</v>
      </c>
      <c r="K5387">
        <v>7.60425129265931E-2</v>
      </c>
      <c r="L5387">
        <v>803.78006603578297</v>
      </c>
      <c r="M5387">
        <v>15.1742919311116</v>
      </c>
      <c r="N5387">
        <v>53.0153665298484</v>
      </c>
      <c r="O5387">
        <v>52.075462157590799</v>
      </c>
      <c r="P5387">
        <v>-7.2383314673183305E-2</v>
      </c>
      <c r="Q5387">
        <v>6.4694547127859096E-3</v>
      </c>
      <c r="R5387">
        <v>0.96722014622157304</v>
      </c>
      <c r="S5387" t="s">
        <v>12193</v>
      </c>
      <c r="T5387" t="s">
        <v>13610</v>
      </c>
      <c r="U5387" t="s">
        <v>13610</v>
      </c>
      <c r="V5387" t="s">
        <v>13610</v>
      </c>
      <c r="W5387" t="s">
        <v>18929</v>
      </c>
      <c r="X5387">
        <v>8</v>
      </c>
      <c r="Y5387" t="s">
        <v>25495</v>
      </c>
      <c r="Z5387" t="s">
        <v>32242</v>
      </c>
      <c r="AA5387">
        <v>0.45706350624699738</v>
      </c>
      <c r="AB5387" t="str">
        <f>HYPERLINK("Melting_Curves/meltCurve_Q9BPW8_NIPSNAP1.pdf", "Melting_Curves/meltCurve_Q9BPW8_NIPSNAP1.pdf")</f>
        <v>Melting_Curves/meltCurve_Q9BPW8_NIPSNAP1.pdf</v>
      </c>
    </row>
    <row r="5388" spans="1:28" x14ac:dyDescent="0.25">
      <c r="A5388" t="s">
        <v>5392</v>
      </c>
      <c r="B5388">
        <v>0.995954080203443</v>
      </c>
      <c r="C5388">
        <v>0.69889322751031202</v>
      </c>
      <c r="D5388">
        <v>0.33993233829213998</v>
      </c>
      <c r="E5388">
        <v>0.23479310765969999</v>
      </c>
      <c r="F5388">
        <v>0.11286009915921701</v>
      </c>
      <c r="G5388">
        <v>6.5351495020152306E-2</v>
      </c>
      <c r="H5388">
        <v>4.5231244545399001E-2</v>
      </c>
      <c r="I5388">
        <v>4.1228877045485203E-2</v>
      </c>
      <c r="J5388">
        <v>4.94129689662181E-2</v>
      </c>
      <c r="K5388">
        <v>4.1642064796107103E-2</v>
      </c>
      <c r="L5388">
        <v>923.276605123629</v>
      </c>
      <c r="M5388">
        <v>20.695162981832901</v>
      </c>
      <c r="N5388">
        <v>44.883370620044197</v>
      </c>
      <c r="O5388">
        <v>44.202867722723603</v>
      </c>
      <c r="P5388">
        <v>-0.110193938600177</v>
      </c>
      <c r="Q5388">
        <v>5.8572366790019599E-2</v>
      </c>
      <c r="R5388">
        <v>0.98302917130975298</v>
      </c>
      <c r="S5388" t="s">
        <v>12194</v>
      </c>
      <c r="T5388" t="s">
        <v>13610</v>
      </c>
      <c r="U5388" t="s">
        <v>13610</v>
      </c>
      <c r="V5388" t="s">
        <v>13610</v>
      </c>
      <c r="W5388" t="s">
        <v>18930</v>
      </c>
      <c r="X5388">
        <v>26</v>
      </c>
      <c r="Y5388" t="s">
        <v>25496</v>
      </c>
      <c r="Z5388" t="s">
        <v>32243</v>
      </c>
      <c r="AA5388">
        <v>0.21876452018795589</v>
      </c>
      <c r="AB5388" t="str">
        <f>HYPERLINK("Melting_Curves/meltCurve_Q9BPX3_NCAPG.pdf", "Melting_Curves/meltCurve_Q9BPX3_NCAPG.pdf")</f>
        <v>Melting_Curves/meltCurve_Q9BPX3_NCAPG.pdf</v>
      </c>
    </row>
    <row r="5389" spans="1:28" x14ac:dyDescent="0.25">
      <c r="A5389" t="s">
        <v>5393</v>
      </c>
      <c r="B5389">
        <v>0.995954080203443</v>
      </c>
      <c r="C5389">
        <v>0.91910774938727202</v>
      </c>
      <c r="D5389">
        <v>0.79988370733091096</v>
      </c>
      <c r="E5389">
        <v>0.84429905607945599</v>
      </c>
      <c r="F5389">
        <v>0.55619200772639799</v>
      </c>
      <c r="G5389">
        <v>0.38911543292794798</v>
      </c>
      <c r="H5389">
        <v>0.15555954451166601</v>
      </c>
      <c r="I5389">
        <v>6.6734710882919296E-2</v>
      </c>
      <c r="J5389">
        <v>4.2551401174885199E-2</v>
      </c>
      <c r="K5389">
        <v>5.0555266212327497E-2</v>
      </c>
      <c r="L5389">
        <v>742.36865376350704</v>
      </c>
      <c r="M5389">
        <v>13.6817679457432</v>
      </c>
      <c r="N5389">
        <v>54.259702345588302</v>
      </c>
      <c r="O5389">
        <v>53.139919660057402</v>
      </c>
      <c r="P5389">
        <v>-6.43760312293509E-2</v>
      </c>
      <c r="Q5389">
        <v>0</v>
      </c>
      <c r="R5389">
        <v>0.97747941272289096</v>
      </c>
      <c r="S5389" t="s">
        <v>12195</v>
      </c>
      <c r="T5389" t="s">
        <v>13610</v>
      </c>
      <c r="U5389" t="s">
        <v>13610</v>
      </c>
      <c r="V5389" t="s">
        <v>13610</v>
      </c>
      <c r="W5389" t="s">
        <v>18931</v>
      </c>
      <c r="X5389">
        <v>6</v>
      </c>
      <c r="Y5389" t="s">
        <v>25497</v>
      </c>
      <c r="Z5389" t="s">
        <v>32244</v>
      </c>
      <c r="AA5389">
        <v>0.49775848201011091</v>
      </c>
      <c r="AB5389" t="str">
        <f>HYPERLINK("Melting_Curves/meltCurve_Q9BPX5_ARPC5L.pdf", "Melting_Curves/meltCurve_Q9BPX5_ARPC5L.pdf")</f>
        <v>Melting_Curves/meltCurve_Q9BPX5_ARPC5L.pdf</v>
      </c>
    </row>
    <row r="5390" spans="1:28" x14ac:dyDescent="0.25">
      <c r="A5390" t="s">
        <v>5394</v>
      </c>
      <c r="B5390">
        <v>0.995954080203443</v>
      </c>
      <c r="C5390">
        <v>0.77218274802388598</v>
      </c>
      <c r="D5390">
        <v>0.94679402935632795</v>
      </c>
      <c r="E5390">
        <v>0.77952206595709606</v>
      </c>
      <c r="F5390">
        <v>0.87680137065211206</v>
      </c>
      <c r="G5390">
        <v>0.73902682529278196</v>
      </c>
      <c r="H5390">
        <v>0.73726838978030296</v>
      </c>
      <c r="I5390">
        <v>0.96111353563420299</v>
      </c>
      <c r="J5390">
        <v>1.1607256282626499</v>
      </c>
      <c r="K5390">
        <v>0.99758354692682305</v>
      </c>
      <c r="L5390">
        <v>10132.182864640399</v>
      </c>
      <c r="M5390">
        <v>250</v>
      </c>
      <c r="O5390">
        <v>40.526137918989399</v>
      </c>
      <c r="P5390">
        <v>-0.17632340490249099</v>
      </c>
      <c r="Q5390">
        <v>0.88566869421304495</v>
      </c>
      <c r="R5390">
        <v>6.2087918291876099E-2</v>
      </c>
      <c r="S5390" t="s">
        <v>12196</v>
      </c>
      <c r="T5390" t="s">
        <v>13610</v>
      </c>
      <c r="U5390" t="s">
        <v>13610</v>
      </c>
      <c r="V5390" t="s">
        <v>13610</v>
      </c>
      <c r="W5390" t="s">
        <v>18932</v>
      </c>
      <c r="X5390">
        <v>2</v>
      </c>
      <c r="Y5390" t="s">
        <v>25498</v>
      </c>
      <c r="Z5390" t="s">
        <v>32245</v>
      </c>
      <c r="AA5390">
        <v>0.88771337357043112</v>
      </c>
      <c r="AB5390" t="str">
        <f>HYPERLINK("Melting_Curves/meltCurve_Q9BPX6_2_MICU1.pdf", "Melting_Curves/meltCurve_Q9BPX6_2_MICU1.pdf")</f>
        <v>Melting_Curves/meltCurve_Q9BPX6_2_MICU1.pdf</v>
      </c>
    </row>
    <row r="5391" spans="1:28" x14ac:dyDescent="0.25">
      <c r="A5391" t="s">
        <v>5395</v>
      </c>
      <c r="B5391">
        <v>0.995954080203443</v>
      </c>
      <c r="C5391">
        <v>0.94774389396411496</v>
      </c>
      <c r="D5391">
        <v>0.849982605675624</v>
      </c>
      <c r="E5391">
        <v>0.38946162256403</v>
      </c>
      <c r="F5391">
        <v>0.12775105276013801</v>
      </c>
      <c r="G5391">
        <v>6.2881630303094002E-2</v>
      </c>
      <c r="H5391">
        <v>3.5867507967577497E-2</v>
      </c>
      <c r="I5391">
        <v>2.91450449464664E-2</v>
      </c>
      <c r="J5391">
        <v>2.9973272683577599E-2</v>
      </c>
      <c r="K5391">
        <v>2.6441350706811299E-2</v>
      </c>
      <c r="L5391">
        <v>1277.3814211217</v>
      </c>
      <c r="M5391">
        <v>26.102175421790999</v>
      </c>
      <c r="N5391">
        <v>49.047160099566298</v>
      </c>
      <c r="O5391">
        <v>48.6532139192568</v>
      </c>
      <c r="P5391">
        <v>-0.13033142496963701</v>
      </c>
      <c r="Q5391">
        <v>2.82848074700266E-2</v>
      </c>
      <c r="R5391">
        <v>0.99919745500165802</v>
      </c>
      <c r="S5391" t="s">
        <v>12197</v>
      </c>
      <c r="T5391" t="s">
        <v>13610</v>
      </c>
      <c r="U5391" t="s">
        <v>13610</v>
      </c>
      <c r="V5391" t="s">
        <v>13610</v>
      </c>
      <c r="W5391" t="s">
        <v>18933</v>
      </c>
      <c r="X5391">
        <v>4</v>
      </c>
      <c r="Y5391" t="s">
        <v>25499</v>
      </c>
      <c r="Z5391" t="s">
        <v>32246</v>
      </c>
      <c r="AA5391">
        <v>0.32565693323537948</v>
      </c>
      <c r="AB5391" t="str">
        <f>HYPERLINK("Melting_Curves/meltCurve_Q9BPX7_C7orf25.pdf", "Melting_Curves/meltCurve_Q9BPX7_C7orf25.pdf")</f>
        <v>Melting_Curves/meltCurve_Q9BPX7_C7orf25.pdf</v>
      </c>
    </row>
    <row r="5392" spans="1:28" x14ac:dyDescent="0.25">
      <c r="A5392" t="s">
        <v>5396</v>
      </c>
      <c r="B5392">
        <v>0.995954080203443</v>
      </c>
      <c r="C5392">
        <v>1.04524408077153</v>
      </c>
      <c r="D5392">
        <v>1.0747772369686699</v>
      </c>
      <c r="E5392">
        <v>0.77273717010931198</v>
      </c>
      <c r="F5392">
        <v>0.49010787869147898</v>
      </c>
      <c r="G5392">
        <v>0.37144825997035902</v>
      </c>
      <c r="H5392">
        <v>0.31447029410977001</v>
      </c>
      <c r="I5392">
        <v>0.36703995557948199</v>
      </c>
      <c r="J5392">
        <v>0.51297564310170296</v>
      </c>
      <c r="K5392">
        <v>0.48600979973090502</v>
      </c>
      <c r="L5392">
        <v>2399.7752737196602</v>
      </c>
      <c r="M5392">
        <v>47.4684282897733</v>
      </c>
      <c r="N5392">
        <v>52.483725884757703</v>
      </c>
      <c r="O5392">
        <v>50.465705608188301</v>
      </c>
      <c r="P5392">
        <v>-0.138125722269998</v>
      </c>
      <c r="Q5392">
        <v>0.41261128811654701</v>
      </c>
      <c r="R5392">
        <v>0.95317774272535205</v>
      </c>
      <c r="S5392" t="s">
        <v>12198</v>
      </c>
      <c r="T5392" t="s">
        <v>13610</v>
      </c>
      <c r="U5392" t="s">
        <v>13610</v>
      </c>
      <c r="V5392" t="s">
        <v>13610</v>
      </c>
      <c r="W5392" t="s">
        <v>18934</v>
      </c>
      <c r="X5392">
        <v>3</v>
      </c>
      <c r="Y5392" t="s">
        <v>25500</v>
      </c>
      <c r="Z5392" t="s">
        <v>32247</v>
      </c>
      <c r="AA5392">
        <v>0.6207320708434243</v>
      </c>
      <c r="AB5392" t="str">
        <f>HYPERLINK("Melting_Curves/meltCurve_Q9BPZ3_PAIP2.pdf", "Melting_Curves/meltCurve_Q9BPZ3_PAIP2.pdf")</f>
        <v>Melting_Curves/meltCurve_Q9BPZ3_PAIP2.pdf</v>
      </c>
    </row>
    <row r="5393" spans="1:28" x14ac:dyDescent="0.25">
      <c r="A5393" t="s">
        <v>5397</v>
      </c>
      <c r="B5393">
        <v>0.995954080203443</v>
      </c>
      <c r="C5393">
        <v>0.82050862202094799</v>
      </c>
      <c r="D5393">
        <v>0.76720704081009305</v>
      </c>
      <c r="E5393">
        <v>0.52244275212665703</v>
      </c>
      <c r="F5393">
        <v>0.17717849166013899</v>
      </c>
      <c r="G5393">
        <v>7.5096038719791799E-2</v>
      </c>
      <c r="H5393">
        <v>0</v>
      </c>
      <c r="I5393">
        <v>2.8105907129293901E-2</v>
      </c>
      <c r="J5393">
        <v>0</v>
      </c>
      <c r="K5393">
        <v>0</v>
      </c>
      <c r="L5393">
        <v>820.16557815906697</v>
      </c>
      <c r="M5393">
        <v>16.647570860321299</v>
      </c>
      <c r="N5393">
        <v>49.266378762134799</v>
      </c>
      <c r="O5393">
        <v>48.571964919304499</v>
      </c>
      <c r="P5393">
        <v>-8.5690836455136005E-2</v>
      </c>
      <c r="Q5393">
        <v>0</v>
      </c>
      <c r="R5393">
        <v>0.98365732908193204</v>
      </c>
      <c r="S5393" t="s">
        <v>12199</v>
      </c>
      <c r="T5393" t="s">
        <v>13610</v>
      </c>
      <c r="U5393" t="s">
        <v>13610</v>
      </c>
      <c r="V5393" t="s">
        <v>13610</v>
      </c>
      <c r="W5393" t="s">
        <v>18935</v>
      </c>
      <c r="X5393">
        <v>3</v>
      </c>
      <c r="Y5393" t="s">
        <v>25501</v>
      </c>
      <c r="Z5393" t="s">
        <v>32248</v>
      </c>
      <c r="AA5393">
        <v>0.32895110348261358</v>
      </c>
      <c r="AB5393" t="str">
        <f>HYPERLINK("Melting_Curves/meltCurve_Q9BPZ7_3_MAPKAP1.pdf", "Melting_Curves/meltCurve_Q9BPZ7_3_MAPKAP1.pdf")</f>
        <v>Melting_Curves/meltCurve_Q9BPZ7_3_MAPKAP1.pdf</v>
      </c>
    </row>
    <row r="5394" spans="1:28" x14ac:dyDescent="0.25">
      <c r="A5394" t="s">
        <v>5398</v>
      </c>
      <c r="B5394">
        <v>0.995954080203443</v>
      </c>
      <c r="C5394">
        <v>0.99428668253623498</v>
      </c>
      <c r="D5394">
        <v>1.1314666031234</v>
      </c>
      <c r="E5394">
        <v>0.90119582955048805</v>
      </c>
      <c r="F5394">
        <v>1.01643622997085</v>
      </c>
      <c r="G5394">
        <v>0.89858957947239904</v>
      </c>
      <c r="H5394">
        <v>0.85299912696165803</v>
      </c>
      <c r="I5394">
        <v>1.11353154648132</v>
      </c>
      <c r="J5394">
        <v>1.11970490864355</v>
      </c>
      <c r="K5394">
        <v>1.4099108482720399</v>
      </c>
      <c r="L5394">
        <v>3413.25665141013</v>
      </c>
      <c r="M5394">
        <v>50.069129164702801</v>
      </c>
      <c r="O5394">
        <v>68.062397577104804</v>
      </c>
      <c r="P5394">
        <v>9.1954540354128603E-2</v>
      </c>
      <c r="Q5394">
        <v>1.5</v>
      </c>
      <c r="R5394">
        <v>0.70409491111561895</v>
      </c>
      <c r="S5394" t="s">
        <v>12200</v>
      </c>
      <c r="T5394" t="s">
        <v>13610</v>
      </c>
      <c r="U5394" t="s">
        <v>13610</v>
      </c>
      <c r="V5394" t="s">
        <v>13610</v>
      </c>
      <c r="W5394" t="s">
        <v>18936</v>
      </c>
      <c r="X5394">
        <v>7</v>
      </c>
      <c r="Y5394" t="s">
        <v>25502</v>
      </c>
      <c r="Z5394" t="s">
        <v>32249</v>
      </c>
      <c r="AA5394">
        <v>1.0349763864627739</v>
      </c>
      <c r="AB5394" t="str">
        <f>HYPERLINK("Melting_Curves/meltCurve_Q9BQ39_DDX50.pdf", "Melting_Curves/meltCurve_Q9BQ39_DDX50.pdf")</f>
        <v>Melting_Curves/meltCurve_Q9BQ39_DDX50.pdf</v>
      </c>
    </row>
    <row r="5395" spans="1:28" x14ac:dyDescent="0.25">
      <c r="A5395" t="s">
        <v>5399</v>
      </c>
      <c r="B5395">
        <v>0.995954080203443</v>
      </c>
      <c r="C5395">
        <v>0.85890006773218897</v>
      </c>
      <c r="D5395">
        <v>0.71272982306682398</v>
      </c>
      <c r="E5395">
        <v>0.67276964378134396</v>
      </c>
      <c r="F5395">
        <v>0.49786132988001403</v>
      </c>
      <c r="G5395">
        <v>0.33264680472171698</v>
      </c>
      <c r="H5395">
        <v>0.215641106635342</v>
      </c>
      <c r="I5395">
        <v>0.17963343760872</v>
      </c>
      <c r="J5395">
        <v>0.124274115104497</v>
      </c>
      <c r="K5395">
        <v>9.2281433256308998E-2</v>
      </c>
      <c r="L5395">
        <v>465.38587408246002</v>
      </c>
      <c r="M5395">
        <v>8.8342109852891006</v>
      </c>
      <c r="N5395">
        <v>52.679957585122601</v>
      </c>
      <c r="O5395">
        <v>50.190028413656698</v>
      </c>
      <c r="P5395">
        <v>-4.4038105912087101E-2</v>
      </c>
      <c r="Q5395">
        <v>0</v>
      </c>
      <c r="R5395">
        <v>0.98741847150306705</v>
      </c>
      <c r="S5395" t="s">
        <v>12201</v>
      </c>
      <c r="T5395" t="s">
        <v>13610</v>
      </c>
      <c r="U5395" t="s">
        <v>13610</v>
      </c>
      <c r="V5395" t="s">
        <v>13610</v>
      </c>
      <c r="W5395" t="s">
        <v>18937</v>
      </c>
      <c r="X5395">
        <v>31</v>
      </c>
      <c r="Y5395" t="s">
        <v>25503</v>
      </c>
      <c r="Z5395" t="s">
        <v>32250</v>
      </c>
      <c r="AA5395">
        <v>0.46225904533278112</v>
      </c>
      <c r="AB5395" t="str">
        <f>HYPERLINK("Melting_Curves/meltCurve_Q9BQ52_ELAC2.pdf", "Melting_Curves/meltCurve_Q9BQ52_ELAC2.pdf")</f>
        <v>Melting_Curves/meltCurve_Q9BQ52_ELAC2.pdf</v>
      </c>
    </row>
    <row r="5396" spans="1:28" x14ac:dyDescent="0.25">
      <c r="A5396" t="s">
        <v>5400</v>
      </c>
      <c r="B5396">
        <v>0.995954080203443</v>
      </c>
      <c r="C5396">
        <v>0.90489593815886005</v>
      </c>
      <c r="D5396">
        <v>1.0342725255530301</v>
      </c>
      <c r="E5396">
        <v>0.88566671748432002</v>
      </c>
      <c r="F5396">
        <v>1.0454547333380999</v>
      </c>
      <c r="G5396">
        <v>0.79902512539456705</v>
      </c>
      <c r="H5396">
        <v>0.88939141100770602</v>
      </c>
      <c r="I5396">
        <v>1.09538616069802</v>
      </c>
      <c r="J5396">
        <v>1.6725095118794</v>
      </c>
      <c r="K5396">
        <v>1.3400090554728199</v>
      </c>
      <c r="L5396">
        <v>15000</v>
      </c>
      <c r="M5396">
        <v>232.93167384648299</v>
      </c>
      <c r="O5396">
        <v>64.391819524308403</v>
      </c>
      <c r="P5396">
        <v>0.45217637152196</v>
      </c>
      <c r="Q5396">
        <v>1.5</v>
      </c>
      <c r="R5396">
        <v>0.78173449468198597</v>
      </c>
      <c r="S5396" t="s">
        <v>12202</v>
      </c>
      <c r="T5396" t="s">
        <v>13610</v>
      </c>
      <c r="U5396" t="s">
        <v>13610</v>
      </c>
      <c r="V5396" t="s">
        <v>13610</v>
      </c>
      <c r="W5396" t="s">
        <v>14644</v>
      </c>
      <c r="X5396">
        <v>12</v>
      </c>
      <c r="Y5396" t="s">
        <v>21358</v>
      </c>
      <c r="Z5396" t="s">
        <v>32251</v>
      </c>
      <c r="AA5396">
        <v>1.0933254657707869</v>
      </c>
      <c r="AB5396" t="str">
        <f>HYPERLINK("Melting_Curves/meltCurve_Q9BQ61_C19orf43.pdf", "Melting_Curves/meltCurve_Q9BQ61_C19orf43.pdf")</f>
        <v>Melting_Curves/meltCurve_Q9BQ61_C19orf43.pdf</v>
      </c>
    </row>
    <row r="5397" spans="1:28" x14ac:dyDescent="0.25">
      <c r="A5397" t="s">
        <v>5401</v>
      </c>
      <c r="B5397">
        <v>0.995954080203443</v>
      </c>
      <c r="C5397">
        <v>0.84068698116468799</v>
      </c>
      <c r="D5397">
        <v>0.63524683271906002</v>
      </c>
      <c r="E5397">
        <v>0.54504864794082897</v>
      </c>
      <c r="F5397">
        <v>0.24974858842678899</v>
      </c>
      <c r="G5397">
        <v>0.102542109217691</v>
      </c>
      <c r="H5397">
        <v>4.2799041206799997E-2</v>
      </c>
      <c r="I5397">
        <v>3.8882539668547503E-2</v>
      </c>
      <c r="J5397">
        <v>3.66005931564874E-2</v>
      </c>
      <c r="K5397">
        <v>3.8534249581821098E-2</v>
      </c>
      <c r="L5397">
        <v>636.29859529110797</v>
      </c>
      <c r="M5397">
        <v>12.973047960514601</v>
      </c>
      <c r="N5397">
        <v>49.047733202187104</v>
      </c>
      <c r="O5397">
        <v>47.926155790332402</v>
      </c>
      <c r="P5397">
        <v>-6.76840864763609E-2</v>
      </c>
      <c r="Q5397">
        <v>0</v>
      </c>
      <c r="R5397">
        <v>0.98211942455119305</v>
      </c>
      <c r="S5397" t="s">
        <v>12203</v>
      </c>
      <c r="T5397" t="s">
        <v>13610</v>
      </c>
      <c r="U5397" t="s">
        <v>13610</v>
      </c>
      <c r="V5397" t="s">
        <v>13610</v>
      </c>
      <c r="W5397" t="s">
        <v>18938</v>
      </c>
      <c r="X5397">
        <v>9</v>
      </c>
      <c r="Y5397" t="s">
        <v>25504</v>
      </c>
      <c r="Z5397" t="s">
        <v>32252</v>
      </c>
      <c r="AA5397">
        <v>0.33365275670334188</v>
      </c>
      <c r="AB5397" t="str">
        <f>HYPERLINK("Melting_Curves/meltCurve_Q9BQ67_GRWD1.pdf", "Melting_Curves/meltCurve_Q9BQ67_GRWD1.pdf")</f>
        <v>Melting_Curves/meltCurve_Q9BQ67_GRWD1.pdf</v>
      </c>
    </row>
    <row r="5398" spans="1:28" x14ac:dyDescent="0.25">
      <c r="A5398" t="s">
        <v>5402</v>
      </c>
      <c r="B5398">
        <v>0.995954080203443</v>
      </c>
      <c r="C5398">
        <v>0.88727359016374696</v>
      </c>
      <c r="D5398">
        <v>0.77645844588869595</v>
      </c>
      <c r="E5398">
        <v>0.32541378061057502</v>
      </c>
      <c r="F5398">
        <v>0.21861451023840101</v>
      </c>
      <c r="G5398">
        <v>0.11663952695066</v>
      </c>
      <c r="H5398">
        <v>0.11835503181212501</v>
      </c>
      <c r="I5398">
        <v>7.6356130226838001E-2</v>
      </c>
      <c r="J5398">
        <v>8.0635816059992704E-2</v>
      </c>
      <c r="K5398">
        <v>7.4371162079917202E-2</v>
      </c>
      <c r="L5398">
        <v>1014.60057747597</v>
      </c>
      <c r="M5398">
        <v>21.1328852465683</v>
      </c>
      <c r="N5398">
        <v>48.432856544522501</v>
      </c>
      <c r="O5398">
        <v>47.586809539094801</v>
      </c>
      <c r="P5398">
        <v>-0.10168269970336601</v>
      </c>
      <c r="Q5398">
        <v>8.4151824302508393E-2</v>
      </c>
      <c r="R5398">
        <v>0.99506640720324802</v>
      </c>
      <c r="S5398" t="s">
        <v>12204</v>
      </c>
      <c r="T5398" t="s">
        <v>13610</v>
      </c>
      <c r="U5398" t="s">
        <v>13610</v>
      </c>
      <c r="V5398" t="s">
        <v>13610</v>
      </c>
      <c r="W5398" t="s">
        <v>18939</v>
      </c>
      <c r="X5398">
        <v>15</v>
      </c>
      <c r="Y5398" t="s">
        <v>25505</v>
      </c>
      <c r="Z5398" t="s">
        <v>32253</v>
      </c>
      <c r="AA5398">
        <v>0.34027429889870658</v>
      </c>
      <c r="AB5398" t="str">
        <f>HYPERLINK("Melting_Curves/meltCurve_Q9BQ69_MACROD1.pdf", "Melting_Curves/meltCurve_Q9BQ69_MACROD1.pdf")</f>
        <v>Melting_Curves/meltCurve_Q9BQ69_MACROD1.pdf</v>
      </c>
    </row>
    <row r="5399" spans="1:28" x14ac:dyDescent="0.25">
      <c r="A5399" t="s">
        <v>5403</v>
      </c>
      <c r="B5399">
        <v>0.995954080203443</v>
      </c>
      <c r="C5399">
        <v>0.94350458394867498</v>
      </c>
      <c r="D5399">
        <v>0.95434282477060495</v>
      </c>
      <c r="E5399">
        <v>0.85975405650881997</v>
      </c>
      <c r="F5399">
        <v>0.84568345983498405</v>
      </c>
      <c r="G5399">
        <v>0.64893485253734895</v>
      </c>
      <c r="H5399">
        <v>0.62746452650150197</v>
      </c>
      <c r="I5399">
        <v>0.74871754562927795</v>
      </c>
      <c r="J5399">
        <v>0.89353843073626504</v>
      </c>
      <c r="K5399">
        <v>0.88457227184952303</v>
      </c>
      <c r="L5399">
        <v>1182.52734869703</v>
      </c>
      <c r="M5399">
        <v>24.1924775713819</v>
      </c>
      <c r="O5399">
        <v>48.549655122315997</v>
      </c>
      <c r="P5399">
        <v>-2.8895815038430198E-2</v>
      </c>
      <c r="Q5399">
        <v>0.76805016768448997</v>
      </c>
      <c r="R5399">
        <v>0.50834170751063001</v>
      </c>
      <c r="S5399" t="s">
        <v>12205</v>
      </c>
      <c r="T5399" t="s">
        <v>13610</v>
      </c>
      <c r="U5399" t="s">
        <v>13610</v>
      </c>
      <c r="V5399" t="s">
        <v>13610</v>
      </c>
      <c r="W5399" t="s">
        <v>18940</v>
      </c>
      <c r="X5399">
        <v>8</v>
      </c>
      <c r="Y5399" t="s">
        <v>25506</v>
      </c>
      <c r="Z5399" t="s">
        <v>32254</v>
      </c>
      <c r="AA5399">
        <v>0.83890519604830982</v>
      </c>
      <c r="AB5399" t="str">
        <f>HYPERLINK("Melting_Curves/meltCurve_Q9BQ70_TCF25.pdf", "Melting_Curves/meltCurve_Q9BQ70_TCF25.pdf")</f>
        <v>Melting_Curves/meltCurve_Q9BQ70_TCF25.pdf</v>
      </c>
    </row>
    <row r="5400" spans="1:28" x14ac:dyDescent="0.25">
      <c r="A5400" t="s">
        <v>5404</v>
      </c>
      <c r="B5400">
        <v>0.995954080203443</v>
      </c>
      <c r="C5400">
        <v>0.87748883047387505</v>
      </c>
      <c r="D5400">
        <v>0.63935376807296496</v>
      </c>
      <c r="E5400">
        <v>0.81265110752137903</v>
      </c>
      <c r="F5400">
        <v>0.52624367323267196</v>
      </c>
      <c r="G5400">
        <v>0.22578254979867901</v>
      </c>
      <c r="H5400">
        <v>0.104477620255248</v>
      </c>
      <c r="I5400">
        <v>8.1469388367081896E-2</v>
      </c>
      <c r="J5400">
        <v>9.0868352802175006E-2</v>
      </c>
      <c r="K5400">
        <v>8.0816240438562906E-2</v>
      </c>
      <c r="L5400">
        <v>595.31422526424603</v>
      </c>
      <c r="M5400">
        <v>11.3392653544184</v>
      </c>
      <c r="N5400">
        <v>52.500241259316297</v>
      </c>
      <c r="O5400">
        <v>50.9469137039261</v>
      </c>
      <c r="P5400">
        <v>-5.5659235719849598E-2</v>
      </c>
      <c r="Q5400">
        <v>0</v>
      </c>
      <c r="R5400">
        <v>0.93140437093369799</v>
      </c>
      <c r="S5400" t="s">
        <v>12206</v>
      </c>
      <c r="T5400" t="s">
        <v>13610</v>
      </c>
      <c r="U5400" t="s">
        <v>13610</v>
      </c>
      <c r="V5400" t="s">
        <v>13610</v>
      </c>
      <c r="W5400" t="s">
        <v>18941</v>
      </c>
      <c r="X5400">
        <v>4</v>
      </c>
      <c r="Y5400" t="s">
        <v>25507</v>
      </c>
      <c r="Z5400" t="s">
        <v>32255</v>
      </c>
      <c r="AA5400">
        <v>0.44825813342666487</v>
      </c>
      <c r="AB5400" t="str">
        <f>HYPERLINK("Melting_Curves/meltCurve_Q9BQ90_KLHDC3.pdf", "Melting_Curves/meltCurve_Q9BQ90_KLHDC3.pdf")</f>
        <v>Melting_Curves/meltCurve_Q9BQ90_KLHDC3.pdf</v>
      </c>
    </row>
    <row r="5401" spans="1:28" x14ac:dyDescent="0.25">
      <c r="A5401" t="s">
        <v>5405</v>
      </c>
      <c r="B5401">
        <v>0.995954080203443</v>
      </c>
      <c r="C5401">
        <v>0.79483430012909595</v>
      </c>
      <c r="D5401">
        <v>0.60365724126859399</v>
      </c>
      <c r="E5401">
        <v>0.908808668699842</v>
      </c>
      <c r="F5401">
        <v>0.56163973311613002</v>
      </c>
      <c r="G5401">
        <v>0.17622872277835899</v>
      </c>
      <c r="H5401">
        <v>0.10431476663841401</v>
      </c>
      <c r="I5401">
        <v>8.6151591359256999E-2</v>
      </c>
      <c r="J5401">
        <v>9.5013886391469904E-2</v>
      </c>
      <c r="K5401">
        <v>8.9806659104320202E-2</v>
      </c>
      <c r="L5401">
        <v>598.92543613536498</v>
      </c>
      <c r="M5401">
        <v>11.354532542434301</v>
      </c>
      <c r="N5401">
        <v>52.747692936585999</v>
      </c>
      <c r="O5401">
        <v>51.191060007511901</v>
      </c>
      <c r="P5401">
        <v>-5.5468304287694899E-2</v>
      </c>
      <c r="Q5401">
        <v>0</v>
      </c>
      <c r="R5401">
        <v>0.86314574230321495</v>
      </c>
      <c r="S5401" t="s">
        <v>12207</v>
      </c>
      <c r="T5401" t="s">
        <v>13610</v>
      </c>
      <c r="U5401" t="s">
        <v>13610</v>
      </c>
      <c r="V5401" t="s">
        <v>13610</v>
      </c>
      <c r="W5401" t="s">
        <v>18942</v>
      </c>
      <c r="X5401">
        <v>9</v>
      </c>
      <c r="Y5401" t="s">
        <v>25508</v>
      </c>
      <c r="Z5401" t="s">
        <v>32256</v>
      </c>
      <c r="AA5401">
        <v>0.45581735049865119</v>
      </c>
      <c r="AB5401" t="str">
        <f>HYPERLINK("Melting_Curves/meltCurve_Q9BQA1_WDR77.pdf", "Melting_Curves/meltCurve_Q9BQA1_WDR77.pdf")</f>
        <v>Melting_Curves/meltCurve_Q9BQA1_WDR77.pdf</v>
      </c>
    </row>
    <row r="5402" spans="1:28" x14ac:dyDescent="0.25">
      <c r="A5402" t="s">
        <v>5406</v>
      </c>
      <c r="B5402">
        <v>0.995954080203443</v>
      </c>
      <c r="C5402">
        <v>0.897640633715731</v>
      </c>
      <c r="D5402">
        <v>0.65695404142212799</v>
      </c>
      <c r="E5402">
        <v>0.82821583626792705</v>
      </c>
      <c r="F5402">
        <v>0.32304135510515303</v>
      </c>
      <c r="G5402">
        <v>9.1421967699184897E-2</v>
      </c>
      <c r="H5402">
        <v>5.9298447362993799E-2</v>
      </c>
      <c r="I5402">
        <v>4.94407895485907E-2</v>
      </c>
      <c r="J5402">
        <v>4.8716107875893103E-2</v>
      </c>
      <c r="K5402">
        <v>4.1717202334619001E-2</v>
      </c>
      <c r="L5402">
        <v>773.302996963694</v>
      </c>
      <c r="M5402">
        <v>15.0691830571369</v>
      </c>
      <c r="N5402">
        <v>51.316849411486402</v>
      </c>
      <c r="O5402">
        <v>50.438579648592899</v>
      </c>
      <c r="P5402">
        <v>-7.4698170061768293E-2</v>
      </c>
      <c r="Q5402">
        <v>0</v>
      </c>
      <c r="R5402">
        <v>0.92597598433665596</v>
      </c>
      <c r="S5402" t="s">
        <v>12208</v>
      </c>
      <c r="T5402" t="s">
        <v>13610</v>
      </c>
      <c r="U5402" t="s">
        <v>13610</v>
      </c>
      <c r="V5402" t="s">
        <v>13610</v>
      </c>
      <c r="W5402" t="s">
        <v>18943</v>
      </c>
      <c r="X5402">
        <v>1</v>
      </c>
      <c r="Y5402" t="s">
        <v>25509</v>
      </c>
      <c r="Z5402" t="s">
        <v>32257</v>
      </c>
      <c r="AA5402">
        <v>0.39993142505599327</v>
      </c>
      <c r="AB5402" t="str">
        <f>HYPERLINK("Melting_Curves/meltCurve_Q9BQB6_3_VKORC1.pdf", "Melting_Curves/meltCurve_Q9BQB6_3_VKORC1.pdf")</f>
        <v>Melting_Curves/meltCurve_Q9BQB6_3_VKORC1.pdf</v>
      </c>
    </row>
    <row r="5403" spans="1:28" x14ac:dyDescent="0.25">
      <c r="A5403" t="s">
        <v>5407</v>
      </c>
      <c r="B5403">
        <v>0.995954080203443</v>
      </c>
      <c r="C5403">
        <v>0.92645356022065295</v>
      </c>
      <c r="D5403">
        <v>0.85472688190333801</v>
      </c>
      <c r="E5403">
        <v>0.70751348638987399</v>
      </c>
      <c r="F5403">
        <v>0.43031818305970598</v>
      </c>
      <c r="G5403">
        <v>0.184196722586812</v>
      </c>
      <c r="H5403">
        <v>9.4189550717567794E-2</v>
      </c>
      <c r="I5403">
        <v>7.1297006895884002E-2</v>
      </c>
      <c r="J5403">
        <v>7.4773144331987104E-2</v>
      </c>
      <c r="K5403">
        <v>6.8846109855780199E-2</v>
      </c>
      <c r="L5403">
        <v>874.68909289464796</v>
      </c>
      <c r="M5403">
        <v>16.877596553668798</v>
      </c>
      <c r="N5403">
        <v>52.079145208745203</v>
      </c>
      <c r="O5403">
        <v>51.114289669456703</v>
      </c>
      <c r="P5403">
        <v>-7.92957473269192E-2</v>
      </c>
      <c r="Q5403">
        <v>3.9463209029464E-2</v>
      </c>
      <c r="R5403">
        <v>0.99460126008844996</v>
      </c>
      <c r="S5403" t="s">
        <v>12209</v>
      </c>
      <c r="T5403" t="s">
        <v>13610</v>
      </c>
      <c r="U5403" t="s">
        <v>13610</v>
      </c>
      <c r="V5403" t="s">
        <v>13610</v>
      </c>
      <c r="W5403" t="s">
        <v>18944</v>
      </c>
      <c r="X5403">
        <v>11</v>
      </c>
      <c r="Y5403" t="s">
        <v>25510</v>
      </c>
      <c r="Z5403" t="s">
        <v>32258</v>
      </c>
      <c r="AA5403">
        <v>0.43595850526140623</v>
      </c>
      <c r="AB5403" t="str">
        <f>HYPERLINK("Melting_Curves/meltCurve_Q9BQC3_DPH2.pdf", "Melting_Curves/meltCurve_Q9BQC3_DPH2.pdf")</f>
        <v>Melting_Curves/meltCurve_Q9BQC3_DPH2.pdf</v>
      </c>
    </row>
    <row r="5404" spans="1:28" x14ac:dyDescent="0.25">
      <c r="A5404" t="s">
        <v>5408</v>
      </c>
      <c r="B5404">
        <v>0.995954080203443</v>
      </c>
      <c r="C5404">
        <v>0.52759712648289703</v>
      </c>
      <c r="D5404">
        <v>0.31205222518403802</v>
      </c>
      <c r="E5404">
        <v>0.34950555814725098</v>
      </c>
      <c r="F5404">
        <v>0.18988104611797399</v>
      </c>
      <c r="G5404">
        <v>0.108576936332933</v>
      </c>
      <c r="H5404">
        <v>7.4174124505750297E-2</v>
      </c>
      <c r="I5404">
        <v>5.7014736248662698E-2</v>
      </c>
      <c r="J5404">
        <v>5.4538835322932799E-2</v>
      </c>
      <c r="K5404">
        <v>4.9355965952254499E-2</v>
      </c>
      <c r="L5404">
        <v>689.469913700794</v>
      </c>
      <c r="M5404">
        <v>15.676438050681901</v>
      </c>
      <c r="N5404">
        <v>44.4812249533176</v>
      </c>
      <c r="O5404">
        <v>43.284250864461299</v>
      </c>
      <c r="P5404">
        <v>-8.3236984194540301E-2</v>
      </c>
      <c r="Q5404">
        <v>8.0774768749496795E-2</v>
      </c>
      <c r="R5404">
        <v>0.916175553391393</v>
      </c>
      <c r="S5404" t="s">
        <v>12210</v>
      </c>
      <c r="T5404" t="s">
        <v>13610</v>
      </c>
      <c r="U5404" t="s">
        <v>13610</v>
      </c>
      <c r="V5404" t="s">
        <v>13610</v>
      </c>
      <c r="W5404" t="s">
        <v>18945</v>
      </c>
      <c r="X5404">
        <v>23</v>
      </c>
      <c r="Y5404" t="s">
        <v>25511</v>
      </c>
      <c r="Z5404" t="s">
        <v>32259</v>
      </c>
      <c r="AA5404">
        <v>0.23330001104236039</v>
      </c>
      <c r="AB5404" t="str">
        <f>HYPERLINK("Melting_Curves/meltCurve_Q9BQE3_TUBA1C.pdf", "Melting_Curves/meltCurve_Q9BQE3_TUBA1C.pdf")</f>
        <v>Melting_Curves/meltCurve_Q9BQE3_TUBA1C.pdf</v>
      </c>
    </row>
    <row r="5405" spans="1:28" x14ac:dyDescent="0.25">
      <c r="A5405" t="s">
        <v>5409</v>
      </c>
      <c r="B5405">
        <v>0.995954080203443</v>
      </c>
      <c r="C5405">
        <v>0.75238906874117695</v>
      </c>
      <c r="D5405">
        <v>0.66169871289132998</v>
      </c>
      <c r="E5405">
        <v>0.48462783261602599</v>
      </c>
      <c r="F5405">
        <v>0.42007216069403702</v>
      </c>
      <c r="G5405">
        <v>0.27053429792356798</v>
      </c>
      <c r="H5405">
        <v>0.23742625560244199</v>
      </c>
      <c r="I5405">
        <v>0.25261360835540297</v>
      </c>
      <c r="J5405">
        <v>0.31811065136783401</v>
      </c>
      <c r="K5405">
        <v>0.28545095932723402</v>
      </c>
      <c r="L5405">
        <v>619.58109924430403</v>
      </c>
      <c r="M5405">
        <v>13.3123941358861</v>
      </c>
      <c r="N5405">
        <v>49.1900039905995</v>
      </c>
      <c r="O5405">
        <v>45.5290692633641</v>
      </c>
      <c r="P5405">
        <v>-5.4406698127227801E-2</v>
      </c>
      <c r="Q5405">
        <v>0.25582509106472401</v>
      </c>
      <c r="R5405">
        <v>0.96745260705311298</v>
      </c>
      <c r="S5405" t="s">
        <v>12211</v>
      </c>
      <c r="T5405" t="s">
        <v>13610</v>
      </c>
      <c r="U5405" t="s">
        <v>13610</v>
      </c>
      <c r="V5405" t="s">
        <v>13610</v>
      </c>
      <c r="W5405" t="s">
        <v>18946</v>
      </c>
      <c r="X5405">
        <v>4</v>
      </c>
      <c r="Y5405" t="s">
        <v>25512</v>
      </c>
      <c r="Z5405" t="s">
        <v>32260</v>
      </c>
      <c r="AA5405">
        <v>0.44464914582593812</v>
      </c>
      <c r="AB5405" t="str">
        <f>HYPERLINK("Melting_Curves/meltCurve_Q9BQE5_APOL2.pdf", "Melting_Curves/meltCurve_Q9BQE5_APOL2.pdf")</f>
        <v>Melting_Curves/meltCurve_Q9BQE5_APOL2.pdf</v>
      </c>
    </row>
    <row r="5406" spans="1:28" x14ac:dyDescent="0.25">
      <c r="A5406" t="s">
        <v>5410</v>
      </c>
      <c r="B5406">
        <v>0.995954080203443</v>
      </c>
      <c r="C5406">
        <v>0.74250117208393795</v>
      </c>
      <c r="D5406">
        <v>0.61113998278960702</v>
      </c>
      <c r="E5406">
        <v>0.46129367623458101</v>
      </c>
      <c r="F5406">
        <v>0.38672885518959199</v>
      </c>
      <c r="G5406">
        <v>0.287960034506754</v>
      </c>
      <c r="H5406">
        <v>0.33746664666327397</v>
      </c>
      <c r="I5406">
        <v>0.40976527263981699</v>
      </c>
      <c r="J5406">
        <v>0.47191174613190801</v>
      </c>
      <c r="K5406">
        <v>0.53868811357325896</v>
      </c>
      <c r="L5406">
        <v>991.088484322623</v>
      </c>
      <c r="M5406">
        <v>22.489154835610599</v>
      </c>
      <c r="N5406">
        <v>47.641372877767402</v>
      </c>
      <c r="O5406">
        <v>43.725598701854899</v>
      </c>
      <c r="P5406">
        <v>-7.6201994134748804E-2</v>
      </c>
      <c r="Q5406">
        <v>0.407374783369441</v>
      </c>
      <c r="R5406">
        <v>0.87896122300080504</v>
      </c>
      <c r="S5406" t="s">
        <v>12212</v>
      </c>
      <c r="T5406" t="s">
        <v>13610</v>
      </c>
      <c r="U5406" t="s">
        <v>13610</v>
      </c>
      <c r="V5406" t="s">
        <v>13610</v>
      </c>
      <c r="W5406" t="s">
        <v>18947</v>
      </c>
      <c r="X5406">
        <v>5</v>
      </c>
      <c r="Y5406" t="s">
        <v>25513</v>
      </c>
      <c r="Z5406" t="s">
        <v>32261</v>
      </c>
      <c r="AA5406">
        <v>0.49642130555948383</v>
      </c>
      <c r="AB5406" t="str">
        <f>HYPERLINK("Melting_Curves/meltCurve_Q9BQE9_4_BCL7B.pdf", "Melting_Curves/meltCurve_Q9BQE9_4_BCL7B.pdf")</f>
        <v>Melting_Curves/meltCurve_Q9BQE9_4_BCL7B.pdf</v>
      </c>
    </row>
    <row r="5407" spans="1:28" x14ac:dyDescent="0.25">
      <c r="A5407" t="s">
        <v>5411</v>
      </c>
      <c r="B5407">
        <v>0.995954080203443</v>
      </c>
      <c r="C5407">
        <v>0.94685940114724099</v>
      </c>
      <c r="D5407">
        <v>0.88717114562270005</v>
      </c>
      <c r="E5407">
        <v>0.75913568054006897</v>
      </c>
      <c r="F5407">
        <v>0.51177401523509303</v>
      </c>
      <c r="G5407">
        <v>0.39195072849729101</v>
      </c>
      <c r="H5407">
        <v>0.34947376094017102</v>
      </c>
      <c r="I5407">
        <v>0.40417857752146702</v>
      </c>
      <c r="J5407">
        <v>0.51025432729310805</v>
      </c>
      <c r="K5407">
        <v>0.45102595211219199</v>
      </c>
      <c r="L5407">
        <v>1265.6869758226901</v>
      </c>
      <c r="M5407">
        <v>25.271820210869802</v>
      </c>
      <c r="N5407">
        <v>53.854249476681403</v>
      </c>
      <c r="O5407">
        <v>49.772498639435497</v>
      </c>
      <c r="P5407">
        <v>-7.4282867926526996E-2</v>
      </c>
      <c r="Q5407">
        <v>0.41481122414094102</v>
      </c>
      <c r="R5407">
        <v>0.95455948424473602</v>
      </c>
      <c r="S5407" t="s">
        <v>12213</v>
      </c>
      <c r="T5407" t="s">
        <v>13610</v>
      </c>
      <c r="U5407" t="s">
        <v>13610</v>
      </c>
      <c r="V5407" t="s">
        <v>13610</v>
      </c>
      <c r="W5407" t="s">
        <v>18948</v>
      </c>
      <c r="X5407">
        <v>4</v>
      </c>
      <c r="Y5407" t="s">
        <v>25514</v>
      </c>
      <c r="Z5407" t="s">
        <v>32262</v>
      </c>
      <c r="AA5407">
        <v>0.61661419889815938</v>
      </c>
      <c r="AB5407" t="str">
        <f>HYPERLINK("Melting_Curves/meltCurve_Q9BQF6_4_SENP7.pdf", "Melting_Curves/meltCurve_Q9BQF6_4_SENP7.pdf")</f>
        <v>Melting_Curves/meltCurve_Q9BQF6_4_SENP7.pdf</v>
      </c>
    </row>
    <row r="5408" spans="1:28" x14ac:dyDescent="0.25">
      <c r="A5408" t="s">
        <v>5412</v>
      </c>
      <c r="B5408">
        <v>0.995954080203443</v>
      </c>
      <c r="C5408">
        <v>0.84557086993480901</v>
      </c>
      <c r="D5408">
        <v>0.68947058418705898</v>
      </c>
      <c r="E5408">
        <v>0.59656141794159501</v>
      </c>
      <c r="F5408">
        <v>0.52610767568320305</v>
      </c>
      <c r="G5408">
        <v>0.43767637726122</v>
      </c>
      <c r="H5408">
        <v>0.40654111046183899</v>
      </c>
      <c r="I5408">
        <v>0.57079557790392899</v>
      </c>
      <c r="J5408">
        <v>0.56380094759521304</v>
      </c>
      <c r="K5408">
        <v>0.72241949704838204</v>
      </c>
      <c r="L5408">
        <v>1078.13593704494</v>
      </c>
      <c r="M5408">
        <v>24.262621453577701</v>
      </c>
      <c r="O5408">
        <v>44.137524141033602</v>
      </c>
      <c r="P5408">
        <v>-6.3130939703451197E-2</v>
      </c>
      <c r="Q5408">
        <v>0.54062654981860703</v>
      </c>
      <c r="R5408">
        <v>0.77922448713741699</v>
      </c>
      <c r="S5408" t="s">
        <v>12214</v>
      </c>
      <c r="T5408" t="s">
        <v>13610</v>
      </c>
      <c r="U5408" t="s">
        <v>13610</v>
      </c>
      <c r="V5408" t="s">
        <v>13610</v>
      </c>
      <c r="W5408" t="s">
        <v>18949</v>
      </c>
      <c r="X5408">
        <v>10</v>
      </c>
      <c r="Y5408" t="s">
        <v>25515</v>
      </c>
      <c r="Z5408" t="s">
        <v>32263</v>
      </c>
      <c r="AA5408">
        <v>0.61382941597173835</v>
      </c>
      <c r="AB5408" t="str">
        <f>HYPERLINK("Melting_Curves/meltCurve_Q9BQG0_MYBBP1A.pdf", "Melting_Curves/meltCurve_Q9BQG0_MYBBP1A.pdf")</f>
        <v>Melting_Curves/meltCurve_Q9BQG0_MYBBP1A.pdf</v>
      </c>
    </row>
    <row r="5409" spans="1:28" x14ac:dyDescent="0.25">
      <c r="A5409" t="s">
        <v>5413</v>
      </c>
      <c r="B5409">
        <v>0.995954080203443</v>
      </c>
      <c r="C5409">
        <v>0.80502392127906797</v>
      </c>
      <c r="D5409">
        <v>0.60437182874427797</v>
      </c>
      <c r="E5409">
        <v>0.67775466823658104</v>
      </c>
      <c r="F5409">
        <v>0.154485417255361</v>
      </c>
      <c r="G5409">
        <v>8.1275315406148102E-2</v>
      </c>
      <c r="H5409">
        <v>4.90054146871787E-2</v>
      </c>
      <c r="I5409">
        <v>3.9294999655109603E-2</v>
      </c>
      <c r="J5409">
        <v>4.5122376701512298E-2</v>
      </c>
      <c r="K5409">
        <v>3.9109362354546998E-2</v>
      </c>
      <c r="L5409">
        <v>636.49796171230901</v>
      </c>
      <c r="M5409">
        <v>12.970469879875701</v>
      </c>
      <c r="N5409">
        <v>49.072852987115397</v>
      </c>
      <c r="O5409">
        <v>47.950270816203897</v>
      </c>
      <c r="P5409">
        <v>-6.7636611016294798E-2</v>
      </c>
      <c r="Q5409">
        <v>0</v>
      </c>
      <c r="R5409">
        <v>0.92833950022261902</v>
      </c>
      <c r="S5409" t="s">
        <v>12215</v>
      </c>
      <c r="T5409" t="s">
        <v>13610</v>
      </c>
      <c r="U5409" t="s">
        <v>13610</v>
      </c>
      <c r="V5409" t="s">
        <v>13610</v>
      </c>
      <c r="W5409" t="s">
        <v>18950</v>
      </c>
      <c r="X5409">
        <v>9</v>
      </c>
      <c r="Y5409" t="s">
        <v>25516</v>
      </c>
      <c r="Z5409" t="s">
        <v>32264</v>
      </c>
      <c r="AA5409">
        <v>0.33445911467182649</v>
      </c>
      <c r="AB5409" t="str">
        <f>HYPERLINK("Melting_Curves/meltCurve_Q9BQG2_NUDT12.pdf", "Melting_Curves/meltCurve_Q9BQG2_NUDT12.pdf")</f>
        <v>Melting_Curves/meltCurve_Q9BQG2_NUDT12.pdf</v>
      </c>
    </row>
    <row r="5410" spans="1:28" x14ac:dyDescent="0.25">
      <c r="A5410" t="s">
        <v>5414</v>
      </c>
      <c r="B5410">
        <v>0.995954080203443</v>
      </c>
      <c r="C5410">
        <v>0.99138248268906104</v>
      </c>
      <c r="D5410">
        <v>1.05305254514076</v>
      </c>
      <c r="E5410">
        <v>0.94688422522411897</v>
      </c>
      <c r="F5410">
        <v>1.0053536021237</v>
      </c>
      <c r="G5410">
        <v>0.73605032455217201</v>
      </c>
      <c r="H5410">
        <v>0.52463087817417797</v>
      </c>
      <c r="I5410">
        <v>0.41300847041931299</v>
      </c>
      <c r="J5410">
        <v>0.437330392957267</v>
      </c>
      <c r="K5410">
        <v>0.38764598343609502</v>
      </c>
      <c r="L5410">
        <v>1738.0353809987801</v>
      </c>
      <c r="M5410">
        <v>30.1260176107915</v>
      </c>
      <c r="N5410">
        <v>61.032423609152097</v>
      </c>
      <c r="O5410">
        <v>57.439756144415902</v>
      </c>
      <c r="P5410">
        <v>-7.8166818322380704E-2</v>
      </c>
      <c r="Q5410">
        <v>0.40385693609558199</v>
      </c>
      <c r="R5410">
        <v>0.98668362985150104</v>
      </c>
      <c r="S5410" t="s">
        <v>12216</v>
      </c>
      <c r="T5410" t="s">
        <v>13610</v>
      </c>
      <c r="U5410" t="s">
        <v>13610</v>
      </c>
      <c r="V5410" t="s">
        <v>13610</v>
      </c>
      <c r="W5410" t="s">
        <v>18951</v>
      </c>
      <c r="X5410">
        <v>7</v>
      </c>
      <c r="Y5410" t="s">
        <v>25517</v>
      </c>
      <c r="Z5410" t="s">
        <v>32265</v>
      </c>
      <c r="AA5410">
        <v>0.75934142579794794</v>
      </c>
      <c r="AB5410" t="str">
        <f>HYPERLINK("Melting_Curves/meltCurve_Q9BQI0_3_AIF1L.pdf", "Melting_Curves/meltCurve_Q9BQI0_3_AIF1L.pdf")</f>
        <v>Melting_Curves/meltCurve_Q9BQI0_3_AIF1L.pdf</v>
      </c>
    </row>
    <row r="5411" spans="1:28" x14ac:dyDescent="0.25">
      <c r="A5411" t="s">
        <v>5415</v>
      </c>
      <c r="B5411">
        <v>0.995954080203443</v>
      </c>
      <c r="C5411">
        <v>1.08412045947775</v>
      </c>
      <c r="D5411">
        <v>1.0634907199646799</v>
      </c>
      <c r="E5411">
        <v>0.81460836111912505</v>
      </c>
      <c r="F5411">
        <v>0.527181426407765</v>
      </c>
      <c r="G5411">
        <v>0.18367118322898501</v>
      </c>
      <c r="H5411">
        <v>0.119965123096369</v>
      </c>
      <c r="I5411">
        <v>0.11256926192274599</v>
      </c>
      <c r="J5411">
        <v>0.11751744623323</v>
      </c>
      <c r="K5411">
        <v>0.12814418904400199</v>
      </c>
      <c r="L5411">
        <v>1562.5005820223701</v>
      </c>
      <c r="M5411">
        <v>29.694728053871</v>
      </c>
      <c r="N5411">
        <v>53.076946349271999</v>
      </c>
      <c r="O5411">
        <v>52.381883895308299</v>
      </c>
      <c r="P5411">
        <v>-0.12570029052131401</v>
      </c>
      <c r="Q5411">
        <v>0.11305830299138001</v>
      </c>
      <c r="R5411">
        <v>0.99125487207788798</v>
      </c>
      <c r="S5411" t="s">
        <v>12217</v>
      </c>
      <c r="T5411" t="s">
        <v>13610</v>
      </c>
      <c r="U5411" t="s">
        <v>13610</v>
      </c>
      <c r="V5411" t="s">
        <v>13610</v>
      </c>
      <c r="W5411" t="s">
        <v>18952</v>
      </c>
      <c r="X5411">
        <v>7</v>
      </c>
      <c r="Y5411" t="s">
        <v>25518</v>
      </c>
      <c r="Z5411" t="s">
        <v>32266</v>
      </c>
      <c r="AA5411">
        <v>0.49196595057018627</v>
      </c>
      <c r="AB5411" t="str">
        <f>HYPERLINK("Melting_Curves/meltCurve_Q9BQP7_MGME1.pdf", "Melting_Curves/meltCurve_Q9BQP7_MGME1.pdf")</f>
        <v>Melting_Curves/meltCurve_Q9BQP7_MGME1.pdf</v>
      </c>
    </row>
    <row r="5412" spans="1:28" x14ac:dyDescent="0.25">
      <c r="A5412" t="s">
        <v>5416</v>
      </c>
      <c r="B5412">
        <v>0.995954080203443</v>
      </c>
      <c r="C5412">
        <v>0.89759140975211205</v>
      </c>
      <c r="D5412">
        <v>0.65539607679270595</v>
      </c>
      <c r="E5412">
        <v>0.67239301085741399</v>
      </c>
      <c r="F5412">
        <v>0.457619167200496</v>
      </c>
      <c r="G5412">
        <v>0.258147008437837</v>
      </c>
      <c r="H5412">
        <v>0.17252630937883701</v>
      </c>
      <c r="I5412">
        <v>0.19446570717318801</v>
      </c>
      <c r="J5412">
        <v>0.260189371513737</v>
      </c>
      <c r="K5412">
        <v>0.24196676895683999</v>
      </c>
      <c r="L5412">
        <v>597.26755647145399</v>
      </c>
      <c r="M5412">
        <v>12.048142507027601</v>
      </c>
      <c r="N5412">
        <v>51.363976879984101</v>
      </c>
      <c r="O5412">
        <v>48.266940468115401</v>
      </c>
      <c r="P5412">
        <v>-5.17151604268688E-2</v>
      </c>
      <c r="Q5412">
        <v>0.17147694504622499</v>
      </c>
      <c r="R5412">
        <v>0.95071100911240602</v>
      </c>
      <c r="S5412" t="s">
        <v>12218</v>
      </c>
      <c r="T5412" t="s">
        <v>13610</v>
      </c>
      <c r="U5412" t="s">
        <v>13610</v>
      </c>
      <c r="V5412" t="s">
        <v>13610</v>
      </c>
      <c r="W5412" t="s">
        <v>18953</v>
      </c>
      <c r="X5412">
        <v>1</v>
      </c>
      <c r="Y5412" t="s">
        <v>25519</v>
      </c>
      <c r="Z5412" t="s">
        <v>32267</v>
      </c>
      <c r="AA5412">
        <v>0.46509192669611438</v>
      </c>
      <c r="AB5412" t="str">
        <f>HYPERLINK("Melting_Curves/meltCurve_Q9BQQ3_3_GORASP1.pdf", "Melting_Curves/meltCurve_Q9BQQ3_3_GORASP1.pdf")</f>
        <v>Melting_Curves/meltCurve_Q9BQQ3_3_GORASP1.pdf</v>
      </c>
    </row>
    <row r="5413" spans="1:28" x14ac:dyDescent="0.25">
      <c r="A5413" t="s">
        <v>5417</v>
      </c>
      <c r="B5413">
        <v>0.995954080203443</v>
      </c>
      <c r="C5413">
        <v>0.93462159823706303</v>
      </c>
      <c r="D5413">
        <v>1.0629018297673301</v>
      </c>
      <c r="E5413">
        <v>0.79047622927237604</v>
      </c>
      <c r="F5413">
        <v>0.72590229516192595</v>
      </c>
      <c r="G5413">
        <v>0.51939894515451002</v>
      </c>
      <c r="H5413">
        <v>0.36285898381362403</v>
      </c>
      <c r="I5413">
        <v>0.38593989560710301</v>
      </c>
      <c r="J5413">
        <v>0.39096802651242002</v>
      </c>
      <c r="K5413">
        <v>0.432534491111428</v>
      </c>
      <c r="L5413">
        <v>1073.78599309834</v>
      </c>
      <c r="M5413">
        <v>20.2725277998241</v>
      </c>
      <c r="N5413">
        <v>57.0203773364562</v>
      </c>
      <c r="O5413">
        <v>52.4602209501343</v>
      </c>
      <c r="P5413">
        <v>-5.9740645981040098E-2</v>
      </c>
      <c r="Q5413">
        <v>0.38164378428640899</v>
      </c>
      <c r="R5413">
        <v>0.96500233042851302</v>
      </c>
      <c r="S5413" t="s">
        <v>12219</v>
      </c>
      <c r="T5413" t="s">
        <v>13610</v>
      </c>
      <c r="U5413" t="s">
        <v>13610</v>
      </c>
      <c r="V5413" t="s">
        <v>13610</v>
      </c>
      <c r="W5413" t="s">
        <v>18954</v>
      </c>
      <c r="X5413">
        <v>20</v>
      </c>
      <c r="Y5413" t="s">
        <v>25520</v>
      </c>
      <c r="Z5413" t="s">
        <v>32268</v>
      </c>
      <c r="AA5413">
        <v>0.6572409763398247</v>
      </c>
      <c r="AB5413" t="str">
        <f>HYPERLINK("Melting_Curves/meltCurve_Q9BQS8_FYCO1.pdf", "Melting_Curves/meltCurve_Q9BQS8_FYCO1.pdf")</f>
        <v>Melting_Curves/meltCurve_Q9BQS8_FYCO1.pdf</v>
      </c>
    </row>
    <row r="5414" spans="1:28" x14ac:dyDescent="0.25">
      <c r="A5414" t="s">
        <v>5418</v>
      </c>
      <c r="B5414">
        <v>0.995954080203443</v>
      </c>
      <c r="C5414">
        <v>0.85391298932757698</v>
      </c>
      <c r="D5414">
        <v>0.70113471838816999</v>
      </c>
      <c r="E5414">
        <v>0.70844932324375598</v>
      </c>
      <c r="F5414">
        <v>0.626719225865355</v>
      </c>
      <c r="G5414">
        <v>0.46371913796147501</v>
      </c>
      <c r="H5414">
        <v>0.47751903112566002</v>
      </c>
      <c r="I5414">
        <v>0.47615268753842599</v>
      </c>
      <c r="J5414">
        <v>0.33161632258089702</v>
      </c>
      <c r="K5414">
        <v>0.20895285712528799</v>
      </c>
      <c r="L5414">
        <v>297.79938668095002</v>
      </c>
      <c r="M5414">
        <v>5.1445896783065903</v>
      </c>
      <c r="N5414">
        <v>57.885935575173399</v>
      </c>
      <c r="O5414">
        <v>50.851899543273603</v>
      </c>
      <c r="P5414">
        <v>-2.5432546259197001E-2</v>
      </c>
      <c r="Q5414">
        <v>0</v>
      </c>
      <c r="R5414">
        <v>0.92810860604558398</v>
      </c>
      <c r="S5414" t="s">
        <v>12220</v>
      </c>
      <c r="T5414" t="s">
        <v>13610</v>
      </c>
      <c r="U5414" t="s">
        <v>13610</v>
      </c>
      <c r="V5414" t="s">
        <v>13610</v>
      </c>
      <c r="W5414" t="s">
        <v>18955</v>
      </c>
      <c r="X5414">
        <v>5</v>
      </c>
      <c r="Y5414" t="s">
        <v>25521</v>
      </c>
      <c r="Z5414" t="s">
        <v>32269</v>
      </c>
      <c r="AA5414">
        <v>0.58157411055783226</v>
      </c>
      <c r="AB5414" t="str">
        <f>HYPERLINK("Melting_Curves/meltCurve_Q9BQY4_RHOXF2.pdf", "Melting_Curves/meltCurve_Q9BQY4_RHOXF2.pdf")</f>
        <v>Melting_Curves/meltCurve_Q9BQY4_RHOXF2.pdf</v>
      </c>
    </row>
    <row r="5415" spans="1:28" x14ac:dyDescent="0.25">
      <c r="A5415" t="s">
        <v>5419</v>
      </c>
      <c r="B5415">
        <v>0.995954080203443</v>
      </c>
      <c r="C5415">
        <v>0.98674063675214196</v>
      </c>
      <c r="D5415">
        <v>0.85927408079446899</v>
      </c>
      <c r="E5415">
        <v>0.49984988712843198</v>
      </c>
      <c r="F5415">
        <v>0.17684953609086501</v>
      </c>
      <c r="G5415">
        <v>0.109400676549041</v>
      </c>
      <c r="H5415">
        <v>7.7566472411909601E-2</v>
      </c>
      <c r="I5415">
        <v>6.9513635780385497E-2</v>
      </c>
      <c r="J5415">
        <v>8.2541896225490005E-2</v>
      </c>
      <c r="K5415">
        <v>8.1236064328017707E-2</v>
      </c>
      <c r="L5415">
        <v>1282.4026133213899</v>
      </c>
      <c r="M5415">
        <v>25.929308234402502</v>
      </c>
      <c r="N5415">
        <v>49.759024637045897</v>
      </c>
      <c r="O5415">
        <v>49.166286693405802</v>
      </c>
      <c r="P5415">
        <v>-0.122265607652128</v>
      </c>
      <c r="Q5415">
        <v>7.2666971900824703E-2</v>
      </c>
      <c r="R5415">
        <v>0.99801114186227502</v>
      </c>
      <c r="S5415" t="s">
        <v>12221</v>
      </c>
      <c r="T5415" t="s">
        <v>13610</v>
      </c>
      <c r="U5415" t="s">
        <v>13610</v>
      </c>
      <c r="V5415" t="s">
        <v>13610</v>
      </c>
      <c r="W5415" t="s">
        <v>18956</v>
      </c>
      <c r="X5415">
        <v>11</v>
      </c>
      <c r="Y5415" t="s">
        <v>25522</v>
      </c>
      <c r="Z5415" t="s">
        <v>32270</v>
      </c>
      <c r="AA5415">
        <v>0.37266830630150399</v>
      </c>
      <c r="AB5415" t="str">
        <f>HYPERLINK("Melting_Curves/meltCurve_Q9BR61_ACBD6.pdf", "Melting_Curves/meltCurve_Q9BR61_ACBD6.pdf")</f>
        <v>Melting_Curves/meltCurve_Q9BR61_ACBD6.pdf</v>
      </c>
    </row>
    <row r="5416" spans="1:28" x14ac:dyDescent="0.25">
      <c r="A5416" t="s">
        <v>5420</v>
      </c>
      <c r="B5416">
        <v>0.995954080203443</v>
      </c>
      <c r="C5416">
        <v>1.0397355155447301</v>
      </c>
      <c r="D5416">
        <v>1.0831447219516701</v>
      </c>
      <c r="E5416">
        <v>0.91291778700622594</v>
      </c>
      <c r="F5416">
        <v>0.50127280861806101</v>
      </c>
      <c r="G5416">
        <v>0.161040211430514</v>
      </c>
      <c r="H5416">
        <v>0.12189654626860701</v>
      </c>
      <c r="I5416">
        <v>0.12854537649176501</v>
      </c>
      <c r="J5416">
        <v>0.163398451932979</v>
      </c>
      <c r="K5416">
        <v>0.153945367148488</v>
      </c>
      <c r="L5416">
        <v>2328.9322748567602</v>
      </c>
      <c r="M5416">
        <v>44.280825897814701</v>
      </c>
      <c r="N5416">
        <v>52.988297053674799</v>
      </c>
      <c r="O5416">
        <v>52.487669688802903</v>
      </c>
      <c r="P5416">
        <v>-0.18134644852187301</v>
      </c>
      <c r="Q5416">
        <v>0.14017508509056401</v>
      </c>
      <c r="R5416">
        <v>0.99391320444731401</v>
      </c>
      <c r="S5416" t="s">
        <v>12222</v>
      </c>
      <c r="T5416" t="s">
        <v>13610</v>
      </c>
      <c r="U5416" t="s">
        <v>13610</v>
      </c>
      <c r="V5416" t="s">
        <v>13610</v>
      </c>
      <c r="W5416" t="s">
        <v>18957</v>
      </c>
      <c r="X5416">
        <v>15</v>
      </c>
      <c r="Y5416" t="s">
        <v>25523</v>
      </c>
      <c r="Z5416" t="s">
        <v>32271</v>
      </c>
      <c r="AA5416">
        <v>0.50369298087950631</v>
      </c>
      <c r="AB5416" t="str">
        <f>HYPERLINK("Melting_Curves/meltCurve_Q9BR76_CORO1B.pdf", "Melting_Curves/meltCurve_Q9BR76_CORO1B.pdf")</f>
        <v>Melting_Curves/meltCurve_Q9BR76_CORO1B.pdf</v>
      </c>
    </row>
    <row r="5417" spans="1:28" x14ac:dyDescent="0.25">
      <c r="A5417" t="s">
        <v>5421</v>
      </c>
      <c r="B5417">
        <v>0.995954080203443</v>
      </c>
      <c r="C5417">
        <v>1.05819476509352</v>
      </c>
      <c r="D5417">
        <v>1.02833617005831</v>
      </c>
      <c r="E5417">
        <v>0.97979668855070201</v>
      </c>
      <c r="F5417">
        <v>0.94674932515761101</v>
      </c>
      <c r="G5417">
        <v>0.70681703854838196</v>
      </c>
      <c r="H5417">
        <v>0.54073959970604901</v>
      </c>
      <c r="I5417">
        <v>0.399759755934181</v>
      </c>
      <c r="J5417">
        <v>0.27078700965999603</v>
      </c>
      <c r="K5417">
        <v>0.268612114645495</v>
      </c>
      <c r="L5417">
        <v>1047.2277918940999</v>
      </c>
      <c r="M5417">
        <v>17.603170167700199</v>
      </c>
      <c r="N5417">
        <v>61.3289720915811</v>
      </c>
      <c r="O5417">
        <v>58.739041740727103</v>
      </c>
      <c r="P5417">
        <v>-5.9566421714510501E-2</v>
      </c>
      <c r="Q5417">
        <v>0.204987247793496</v>
      </c>
      <c r="R5417">
        <v>0.99034874022418196</v>
      </c>
      <c r="S5417" t="s">
        <v>12223</v>
      </c>
      <c r="T5417" t="s">
        <v>13610</v>
      </c>
      <c r="U5417" t="s">
        <v>13610</v>
      </c>
      <c r="V5417" t="s">
        <v>13610</v>
      </c>
      <c r="W5417" t="s">
        <v>18958</v>
      </c>
      <c r="X5417">
        <v>7</v>
      </c>
      <c r="Y5417" t="s">
        <v>25524</v>
      </c>
      <c r="Z5417" t="s">
        <v>32272</v>
      </c>
      <c r="AA5417">
        <v>0.72907051276337642</v>
      </c>
      <c r="AB5417" t="str">
        <f>HYPERLINK("Melting_Curves/meltCurve_Q9BRA2_TXNDC17.pdf", "Melting_Curves/meltCurve_Q9BRA2_TXNDC17.pdf")</f>
        <v>Melting_Curves/meltCurve_Q9BRA2_TXNDC17.pdf</v>
      </c>
    </row>
    <row r="5418" spans="1:28" x14ac:dyDescent="0.25">
      <c r="A5418" t="s">
        <v>5422</v>
      </c>
      <c r="B5418">
        <v>0.995954080203443</v>
      </c>
      <c r="C5418">
        <v>0.82568952418062702</v>
      </c>
      <c r="D5418">
        <v>0.89149496678099904</v>
      </c>
      <c r="E5418">
        <v>0.70842279069439495</v>
      </c>
      <c r="F5418">
        <v>0.66573066646366497</v>
      </c>
      <c r="G5418">
        <v>0.51436355041190895</v>
      </c>
      <c r="H5418">
        <v>0.48668407928421498</v>
      </c>
      <c r="I5418">
        <v>0.54772699525966195</v>
      </c>
      <c r="J5418">
        <v>0.56801761475775603</v>
      </c>
      <c r="K5418">
        <v>0.57602265962037302</v>
      </c>
      <c r="L5418">
        <v>636.91084037169799</v>
      </c>
      <c r="M5418">
        <v>13.2256076215284</v>
      </c>
      <c r="O5418">
        <v>47.096344741034798</v>
      </c>
      <c r="P5418">
        <v>-3.3459615716921298E-2</v>
      </c>
      <c r="Q5418">
        <v>0.52348040594897005</v>
      </c>
      <c r="R5418">
        <v>0.90587303378545303</v>
      </c>
      <c r="S5418" t="s">
        <v>12224</v>
      </c>
      <c r="T5418" t="s">
        <v>13610</v>
      </c>
      <c r="U5418" t="s">
        <v>13610</v>
      </c>
      <c r="V5418" t="s">
        <v>13610</v>
      </c>
      <c r="W5418" t="s">
        <v>18959</v>
      </c>
      <c r="X5418">
        <v>10</v>
      </c>
      <c r="Y5418" t="s">
        <v>25525</v>
      </c>
      <c r="Z5418" t="s">
        <v>32273</v>
      </c>
      <c r="AA5418">
        <v>0.66853805045084436</v>
      </c>
      <c r="AB5418" t="str">
        <f>HYPERLINK("Melting_Curves/meltCurve_Q9BRD0_BUD13.pdf", "Melting_Curves/meltCurve_Q9BRD0_BUD13.pdf")</f>
        <v>Melting_Curves/meltCurve_Q9BRD0_BUD13.pdf</v>
      </c>
    </row>
    <row r="5419" spans="1:28" x14ac:dyDescent="0.25">
      <c r="A5419" t="s">
        <v>5423</v>
      </c>
      <c r="B5419">
        <v>0.995954080203443</v>
      </c>
      <c r="C5419">
        <v>1.0076548460837</v>
      </c>
      <c r="D5419">
        <v>0.96578524439801094</v>
      </c>
      <c r="E5419">
        <v>0.87243130418164205</v>
      </c>
      <c r="F5419">
        <v>0.78559063710048704</v>
      </c>
      <c r="G5419">
        <v>0.56191265494626397</v>
      </c>
      <c r="H5419">
        <v>0.46148775789719099</v>
      </c>
      <c r="I5419">
        <v>0.48769591770339099</v>
      </c>
      <c r="J5419">
        <v>0.53490124605435496</v>
      </c>
      <c r="K5419">
        <v>0.46886778974624599</v>
      </c>
      <c r="L5419">
        <v>1192.6703327406799</v>
      </c>
      <c r="M5419">
        <v>22.402374549073599</v>
      </c>
      <c r="N5419">
        <v>61.697698813814199</v>
      </c>
      <c r="O5419">
        <v>52.819794903711497</v>
      </c>
      <c r="P5419">
        <v>-5.5474572691639898E-2</v>
      </c>
      <c r="Q5419">
        <v>0.476824269915962</v>
      </c>
      <c r="R5419">
        <v>0.98484741289642896</v>
      </c>
      <c r="S5419" t="s">
        <v>12225</v>
      </c>
      <c r="T5419" t="s">
        <v>13610</v>
      </c>
      <c r="U5419" t="s">
        <v>13610</v>
      </c>
      <c r="V5419" t="s">
        <v>13610</v>
      </c>
      <c r="W5419" t="s">
        <v>18960</v>
      </c>
      <c r="X5419">
        <v>13</v>
      </c>
      <c r="Y5419" t="s">
        <v>25526</v>
      </c>
      <c r="Z5419" t="s">
        <v>32274</v>
      </c>
      <c r="AA5419">
        <v>0.71358975948419612</v>
      </c>
      <c r="AB5419" t="str">
        <f>HYPERLINK("Melting_Curves/meltCurve_Q9BRF8_CPPED1.pdf", "Melting_Curves/meltCurve_Q9BRF8_CPPED1.pdf")</f>
        <v>Melting_Curves/meltCurve_Q9BRF8_CPPED1.pdf</v>
      </c>
    </row>
    <row r="5420" spans="1:28" x14ac:dyDescent="0.25">
      <c r="A5420" t="s">
        <v>5424</v>
      </c>
      <c r="B5420">
        <v>0.995954080203443</v>
      </c>
      <c r="C5420">
        <v>0.96522868320970501</v>
      </c>
      <c r="D5420">
        <v>1.01562781287392</v>
      </c>
      <c r="E5420">
        <v>0.78113823705950503</v>
      </c>
      <c r="F5420">
        <v>0.51919575481015801</v>
      </c>
      <c r="G5420">
        <v>0.155880765330078</v>
      </c>
      <c r="H5420">
        <v>8.1629039644800297E-2</v>
      </c>
      <c r="I5420">
        <v>7.1566815453317598E-2</v>
      </c>
      <c r="J5420">
        <v>6.8901534441747403E-2</v>
      </c>
      <c r="K5420">
        <v>6.7831039057716397E-2</v>
      </c>
      <c r="L5420">
        <v>1350.88685249882</v>
      </c>
      <c r="M5420">
        <v>25.6415914119859</v>
      </c>
      <c r="N5420">
        <v>52.943578193987101</v>
      </c>
      <c r="O5420">
        <v>52.366148211622097</v>
      </c>
      <c r="P5420">
        <v>-0.11516989545989</v>
      </c>
      <c r="Q5420">
        <v>5.9196014912725102E-2</v>
      </c>
      <c r="R5420">
        <v>0.99724591553915698</v>
      </c>
      <c r="S5420" t="s">
        <v>12226</v>
      </c>
      <c r="T5420" t="s">
        <v>13610</v>
      </c>
      <c r="U5420" t="s">
        <v>13610</v>
      </c>
      <c r="V5420" t="s">
        <v>13610</v>
      </c>
      <c r="W5420" t="s">
        <v>18961</v>
      </c>
      <c r="X5420">
        <v>8</v>
      </c>
      <c r="Y5420" t="s">
        <v>25527</v>
      </c>
      <c r="Z5420" t="s">
        <v>32275</v>
      </c>
      <c r="AA5420">
        <v>0.46518516363224682</v>
      </c>
      <c r="AB5420" t="str">
        <f>HYPERLINK("Melting_Curves/meltCurve_Q9BRG1_VPS25.pdf", "Melting_Curves/meltCurve_Q9BRG1_VPS25.pdf")</f>
        <v>Melting_Curves/meltCurve_Q9BRG1_VPS25.pdf</v>
      </c>
    </row>
    <row r="5421" spans="1:28" x14ac:dyDescent="0.25">
      <c r="A5421" t="s">
        <v>5425</v>
      </c>
      <c r="B5421">
        <v>0.995954080203443</v>
      </c>
      <c r="C5421">
        <v>0.94024150742692203</v>
      </c>
      <c r="D5421">
        <v>0.875556983316093</v>
      </c>
      <c r="E5421">
        <v>0.81271039880122198</v>
      </c>
      <c r="F5421">
        <v>0.67512038024857701</v>
      </c>
      <c r="G5421">
        <v>0.46641190554265399</v>
      </c>
      <c r="H5421">
        <v>0.44203584073410301</v>
      </c>
      <c r="I5421">
        <v>0.50620201917782304</v>
      </c>
      <c r="J5421">
        <v>0.63001777219705102</v>
      </c>
      <c r="K5421">
        <v>0.59985172438045298</v>
      </c>
      <c r="L5421">
        <v>1007.77515470537</v>
      </c>
      <c r="M5421">
        <v>20.1267449803936</v>
      </c>
      <c r="O5421">
        <v>49.584979782409398</v>
      </c>
      <c r="P5421">
        <v>-4.8085368687912397E-2</v>
      </c>
      <c r="Q5421">
        <v>0.52615540517142001</v>
      </c>
      <c r="R5421">
        <v>0.88107344824242695</v>
      </c>
      <c r="S5421" t="s">
        <v>12227</v>
      </c>
      <c r="T5421" t="s">
        <v>13610</v>
      </c>
      <c r="U5421" t="s">
        <v>13610</v>
      </c>
      <c r="V5421" t="s">
        <v>13610</v>
      </c>
      <c r="W5421" t="s">
        <v>18962</v>
      </c>
      <c r="X5421">
        <v>11</v>
      </c>
      <c r="Y5421" t="s">
        <v>25528</v>
      </c>
      <c r="Z5421" t="s">
        <v>32276</v>
      </c>
      <c r="AA5421">
        <v>0.69174621883943932</v>
      </c>
      <c r="AB5421" t="str">
        <f>HYPERLINK("Melting_Curves/meltCurve_Q9BRK5_SDF4.pdf", "Melting_Curves/meltCurve_Q9BRK5_SDF4.pdf")</f>
        <v>Melting_Curves/meltCurve_Q9BRK5_SDF4.pdf</v>
      </c>
    </row>
    <row r="5422" spans="1:28" x14ac:dyDescent="0.25">
      <c r="A5422" t="s">
        <v>5426</v>
      </c>
      <c r="B5422">
        <v>0.995954080203443</v>
      </c>
      <c r="C5422">
        <v>0.97602015305817802</v>
      </c>
      <c r="D5422">
        <v>0.92878685085763701</v>
      </c>
      <c r="E5422">
        <v>0.64689133618985295</v>
      </c>
      <c r="F5422">
        <v>0.21849432179328199</v>
      </c>
      <c r="G5422">
        <v>0.113434460372313</v>
      </c>
      <c r="H5422">
        <v>8.0574102942726405E-2</v>
      </c>
      <c r="I5422">
        <v>7.33056137421432E-2</v>
      </c>
      <c r="J5422">
        <v>7.9809392369198207E-2</v>
      </c>
      <c r="K5422">
        <v>7.26407987631323E-2</v>
      </c>
      <c r="L5422">
        <v>1727.99876729012</v>
      </c>
      <c r="M5422">
        <v>34.154617286612101</v>
      </c>
      <c r="N5422">
        <v>50.842252198298901</v>
      </c>
      <c r="O5422">
        <v>50.420931914944298</v>
      </c>
      <c r="P5422">
        <v>-0.156313784091904</v>
      </c>
      <c r="Q5422">
        <v>7.6967670766846796E-2</v>
      </c>
      <c r="R5422">
        <v>0.99792479817323898</v>
      </c>
      <c r="S5422" t="s">
        <v>12228</v>
      </c>
      <c r="T5422" t="s">
        <v>13610</v>
      </c>
      <c r="U5422" t="s">
        <v>13610</v>
      </c>
      <c r="V5422" t="s">
        <v>13610</v>
      </c>
      <c r="W5422" t="s">
        <v>18963</v>
      </c>
      <c r="X5422">
        <v>8</v>
      </c>
      <c r="Y5422" t="s">
        <v>25529</v>
      </c>
      <c r="Z5422" t="s">
        <v>32277</v>
      </c>
      <c r="AA5422">
        <v>0.40734255623704579</v>
      </c>
      <c r="AB5422" t="str">
        <f>HYPERLINK("Melting_Curves/meltCurve_Q9BRP1_PDCD2L.pdf", "Melting_Curves/meltCurve_Q9BRP1_PDCD2L.pdf")</f>
        <v>Melting_Curves/meltCurve_Q9BRP1_PDCD2L.pdf</v>
      </c>
    </row>
    <row r="5423" spans="1:28" x14ac:dyDescent="0.25">
      <c r="A5423" t="s">
        <v>5427</v>
      </c>
      <c r="B5423">
        <v>0.995954080203443</v>
      </c>
      <c r="C5423">
        <v>0.64462519761941095</v>
      </c>
      <c r="D5423">
        <v>0.437088693452998</v>
      </c>
      <c r="E5423">
        <v>0.79608048314019397</v>
      </c>
      <c r="F5423">
        <v>0.368358127864789</v>
      </c>
      <c r="G5423">
        <v>0.299744753041159</v>
      </c>
      <c r="H5423">
        <v>0.168009863352475</v>
      </c>
      <c r="I5423">
        <v>5.9268790497226297E-2</v>
      </c>
      <c r="J5423">
        <v>5.0002253048426398E-2</v>
      </c>
      <c r="K5423">
        <v>4.8106584620691901E-2</v>
      </c>
      <c r="L5423">
        <v>395.44826828491603</v>
      </c>
      <c r="M5423">
        <v>7.9591066927332301</v>
      </c>
      <c r="N5423">
        <v>49.6850066521976</v>
      </c>
      <c r="O5423">
        <v>46.842407754215102</v>
      </c>
      <c r="P5423">
        <v>-4.2527065630357103E-2</v>
      </c>
      <c r="Q5423">
        <v>0</v>
      </c>
      <c r="R5423">
        <v>0.80958029032010304</v>
      </c>
      <c r="S5423" t="s">
        <v>12229</v>
      </c>
      <c r="T5423" t="s">
        <v>13610</v>
      </c>
      <c r="U5423" t="s">
        <v>13610</v>
      </c>
      <c r="V5423" t="s">
        <v>13610</v>
      </c>
      <c r="W5423" t="s">
        <v>18964</v>
      </c>
      <c r="X5423">
        <v>15</v>
      </c>
      <c r="Y5423" t="s">
        <v>25530</v>
      </c>
      <c r="Z5423" t="s">
        <v>32278</v>
      </c>
      <c r="AA5423">
        <v>0.38482603793498349</v>
      </c>
      <c r="AB5423" t="str">
        <f>HYPERLINK("Melting_Curves/meltCurve_Q9BRP4_PAAF1.pdf", "Melting_Curves/meltCurve_Q9BRP4_PAAF1.pdf")</f>
        <v>Melting_Curves/meltCurve_Q9BRP4_PAAF1.pdf</v>
      </c>
    </row>
    <row r="5424" spans="1:28" x14ac:dyDescent="0.25">
      <c r="A5424" t="s">
        <v>5428</v>
      </c>
      <c r="B5424">
        <v>0.995954080203443</v>
      </c>
      <c r="C5424">
        <v>0.979697782648977</v>
      </c>
      <c r="D5424">
        <v>1.0526004114243599</v>
      </c>
      <c r="E5424">
        <v>0.99373169586619903</v>
      </c>
      <c r="F5424">
        <v>1.07610001486333</v>
      </c>
      <c r="G5424">
        <v>0.797776982148099</v>
      </c>
      <c r="H5424">
        <v>0.83345434770434301</v>
      </c>
      <c r="I5424">
        <v>1.00538200340649</v>
      </c>
      <c r="J5424">
        <v>1.31075676858565</v>
      </c>
      <c r="K5424">
        <v>1.2328309924824099</v>
      </c>
      <c r="L5424">
        <v>15000</v>
      </c>
      <c r="M5424">
        <v>230.742796734634</v>
      </c>
      <c r="O5424">
        <v>65.002563171176305</v>
      </c>
      <c r="P5424">
        <v>0.24128939269572899</v>
      </c>
      <c r="Q5424">
        <v>1.2718945800900501</v>
      </c>
      <c r="R5424">
        <v>0.63429807594223897</v>
      </c>
      <c r="S5424" t="s">
        <v>12230</v>
      </c>
      <c r="T5424" t="s">
        <v>13610</v>
      </c>
      <c r="U5424" t="s">
        <v>13610</v>
      </c>
      <c r="V5424" t="s">
        <v>13610</v>
      </c>
      <c r="W5424" t="s">
        <v>18965</v>
      </c>
      <c r="X5424">
        <v>10</v>
      </c>
      <c r="Y5424" t="s">
        <v>25531</v>
      </c>
      <c r="Z5424" t="s">
        <v>32279</v>
      </c>
      <c r="AA5424">
        <v>1.045211860592979</v>
      </c>
      <c r="AB5424" t="str">
        <f>HYPERLINK("Melting_Curves/meltCurve_Q9BRP8_2_WIBG.pdf", "Melting_Curves/meltCurve_Q9BRP8_2_WIBG.pdf")</f>
        <v>Melting_Curves/meltCurve_Q9BRP8_2_WIBG.pdf</v>
      </c>
    </row>
    <row r="5425" spans="1:28" x14ac:dyDescent="0.25">
      <c r="A5425" t="s">
        <v>5429</v>
      </c>
      <c r="B5425">
        <v>0.995954080203443</v>
      </c>
      <c r="C5425">
        <v>0.85776783057041395</v>
      </c>
      <c r="D5425">
        <v>0.96850455274956104</v>
      </c>
      <c r="E5425">
        <v>0.84643239985876895</v>
      </c>
      <c r="F5425">
        <v>0.75205790642806003</v>
      </c>
      <c r="G5425">
        <v>0.48881338774454702</v>
      </c>
      <c r="H5425">
        <v>0.40194837047037402</v>
      </c>
      <c r="I5425">
        <v>0.44595959363573701</v>
      </c>
      <c r="J5425">
        <v>0.54768643956375196</v>
      </c>
      <c r="K5425">
        <v>0.55391972059124395</v>
      </c>
      <c r="L5425">
        <v>1374.52105989703</v>
      </c>
      <c r="M5425">
        <v>26.261308856296001</v>
      </c>
      <c r="N5425">
        <v>59.514766143718397</v>
      </c>
      <c r="O5425">
        <v>52.039487971374001</v>
      </c>
      <c r="P5425">
        <v>-6.5741604571944501E-2</v>
      </c>
      <c r="Q5425">
        <v>0.47891072336270502</v>
      </c>
      <c r="R5425">
        <v>0.89816735470199704</v>
      </c>
      <c r="S5425" t="s">
        <v>12231</v>
      </c>
      <c r="T5425" t="s">
        <v>13610</v>
      </c>
      <c r="U5425" t="s">
        <v>13610</v>
      </c>
      <c r="V5425" t="s">
        <v>13610</v>
      </c>
      <c r="W5425" t="s">
        <v>18966</v>
      </c>
      <c r="X5425">
        <v>8</v>
      </c>
      <c r="Y5425" t="s">
        <v>25532</v>
      </c>
      <c r="Z5425" t="s">
        <v>32280</v>
      </c>
      <c r="AA5425">
        <v>0.69759660252720934</v>
      </c>
      <c r="AB5425" t="str">
        <f>HYPERLINK("Melting_Curves/meltCurve_Q9BRR0_ZKSCAN3.pdf", "Melting_Curves/meltCurve_Q9BRR0_ZKSCAN3.pdf")</f>
        <v>Melting_Curves/meltCurve_Q9BRR0_ZKSCAN3.pdf</v>
      </c>
    </row>
    <row r="5426" spans="1:28" x14ac:dyDescent="0.25">
      <c r="A5426" t="s">
        <v>5430</v>
      </c>
      <c r="B5426">
        <v>0.995954080203443</v>
      </c>
      <c r="C5426">
        <v>0.92522467376034001</v>
      </c>
      <c r="D5426">
        <v>0.84946164289140602</v>
      </c>
      <c r="E5426">
        <v>0.81788752121506003</v>
      </c>
      <c r="F5426">
        <v>0.54306890091050997</v>
      </c>
      <c r="G5426">
        <v>0.40513080635745502</v>
      </c>
      <c r="H5426">
        <v>0.25422372984267999</v>
      </c>
      <c r="I5426">
        <v>0.28003562243418001</v>
      </c>
      <c r="J5426">
        <v>0.347541015805509</v>
      </c>
      <c r="K5426">
        <v>0.33009274655869197</v>
      </c>
      <c r="L5426">
        <v>910.68049786518804</v>
      </c>
      <c r="M5426">
        <v>17.6258326059897</v>
      </c>
      <c r="N5426">
        <v>54.254606220210199</v>
      </c>
      <c r="O5426">
        <v>51.016068100420497</v>
      </c>
      <c r="P5426">
        <v>-6.1824760770181203E-2</v>
      </c>
      <c r="Q5426">
        <v>0.28425800178838101</v>
      </c>
      <c r="R5426">
        <v>0.96673970150927802</v>
      </c>
      <c r="S5426" t="s">
        <v>12232</v>
      </c>
      <c r="T5426" t="s">
        <v>13610</v>
      </c>
      <c r="U5426" t="s">
        <v>13610</v>
      </c>
      <c r="V5426" t="s">
        <v>13610</v>
      </c>
      <c r="W5426" t="s">
        <v>18967</v>
      </c>
      <c r="X5426">
        <v>2</v>
      </c>
      <c r="Y5426" t="s">
        <v>25533</v>
      </c>
      <c r="Z5426" t="s">
        <v>32281</v>
      </c>
      <c r="AA5426">
        <v>0.57502483168786656</v>
      </c>
      <c r="AB5426" t="str">
        <f>HYPERLINK("Melting_Curves/meltCurve_Q9BRR6_2_ADPGK.pdf", "Melting_Curves/meltCurve_Q9BRR6_2_ADPGK.pdf")</f>
        <v>Melting_Curves/meltCurve_Q9BRR6_2_ADPGK.pdf</v>
      </c>
    </row>
    <row r="5427" spans="1:28" x14ac:dyDescent="0.25">
      <c r="A5427" t="s">
        <v>5431</v>
      </c>
      <c r="B5427">
        <v>0.995954080203443</v>
      </c>
      <c r="C5427">
        <v>0.95013146728569198</v>
      </c>
      <c r="D5427">
        <v>0.82783222000467305</v>
      </c>
      <c r="E5427">
        <v>0.79693112003979205</v>
      </c>
      <c r="F5427">
        <v>0.66838546914039698</v>
      </c>
      <c r="G5427">
        <v>0.469569324206217</v>
      </c>
      <c r="H5427">
        <v>0.42323223625690098</v>
      </c>
      <c r="I5427">
        <v>0.473532329002325</v>
      </c>
      <c r="J5427">
        <v>0.60428870309713301</v>
      </c>
      <c r="K5427">
        <v>0.54507159919263504</v>
      </c>
      <c r="L5427">
        <v>796.22563794444602</v>
      </c>
      <c r="M5427">
        <v>16.013136947215401</v>
      </c>
      <c r="N5427">
        <v>67.677154925375802</v>
      </c>
      <c r="O5427">
        <v>48.9671892430338</v>
      </c>
      <c r="P5427">
        <v>-4.1464641685749197E-2</v>
      </c>
      <c r="Q5427">
        <v>0.492854170246111</v>
      </c>
      <c r="R5427">
        <v>0.89849229195778602</v>
      </c>
      <c r="S5427" t="s">
        <v>12233</v>
      </c>
      <c r="T5427" t="s">
        <v>13610</v>
      </c>
      <c r="U5427" t="s">
        <v>13610</v>
      </c>
      <c r="V5427" t="s">
        <v>13610</v>
      </c>
      <c r="W5427" t="s">
        <v>18968</v>
      </c>
      <c r="X5427">
        <v>11</v>
      </c>
      <c r="Y5427" t="s">
        <v>25534</v>
      </c>
      <c r="Z5427" t="s">
        <v>32282</v>
      </c>
      <c r="AA5427">
        <v>0.66805416284059804</v>
      </c>
      <c r="AB5427" t="str">
        <f>HYPERLINK("Melting_Curves/meltCurve_Q9BRR8_GPATCH1.pdf", "Melting_Curves/meltCurve_Q9BRR8_GPATCH1.pdf")</f>
        <v>Melting_Curves/meltCurve_Q9BRR8_GPATCH1.pdf</v>
      </c>
    </row>
    <row r="5428" spans="1:28" x14ac:dyDescent="0.25">
      <c r="A5428" t="s">
        <v>5432</v>
      </c>
      <c r="B5428">
        <v>0.995954080203443</v>
      </c>
      <c r="C5428">
        <v>0.99495074793690397</v>
      </c>
      <c r="D5428">
        <v>0.83742319458541303</v>
      </c>
      <c r="E5428">
        <v>0.69162762522688603</v>
      </c>
      <c r="F5428">
        <v>0.46740382280802301</v>
      </c>
      <c r="G5428">
        <v>0.23391744646509199</v>
      </c>
      <c r="H5428">
        <v>0.161871388973333</v>
      </c>
      <c r="I5428">
        <v>0.159205287161653</v>
      </c>
      <c r="J5428">
        <v>0.182237680867508</v>
      </c>
      <c r="K5428">
        <v>0.15025093657888999</v>
      </c>
      <c r="L5428">
        <v>885.44503015048804</v>
      </c>
      <c r="M5428">
        <v>17.2572942049778</v>
      </c>
      <c r="N5428">
        <v>52.259887048893198</v>
      </c>
      <c r="O5428">
        <v>50.6343564036247</v>
      </c>
      <c r="P5428">
        <v>-7.3723404590712499E-2</v>
      </c>
      <c r="Q5428">
        <v>0.134807655588777</v>
      </c>
      <c r="R5428">
        <v>0.99328740594874798</v>
      </c>
      <c r="S5428" t="s">
        <v>12234</v>
      </c>
      <c r="T5428" t="s">
        <v>13610</v>
      </c>
      <c r="U5428" t="s">
        <v>13610</v>
      </c>
      <c r="V5428" t="s">
        <v>13610</v>
      </c>
      <c r="W5428" t="s">
        <v>18969</v>
      </c>
      <c r="X5428">
        <v>5</v>
      </c>
      <c r="Y5428" t="s">
        <v>25535</v>
      </c>
      <c r="Z5428" t="s">
        <v>32283</v>
      </c>
      <c r="AA5428">
        <v>0.47658194035298962</v>
      </c>
      <c r="AB5428" t="str">
        <f>HYPERLINK("Melting_Curves/meltCurve_Q9BRR9_4_ARHGAP9.pdf", "Melting_Curves/meltCurve_Q9BRR9_4_ARHGAP9.pdf")</f>
        <v>Melting_Curves/meltCurve_Q9BRR9_4_ARHGAP9.pdf</v>
      </c>
    </row>
    <row r="5429" spans="1:28" x14ac:dyDescent="0.25">
      <c r="A5429" t="s">
        <v>5433</v>
      </c>
      <c r="B5429">
        <v>0.995954080203443</v>
      </c>
      <c r="C5429">
        <v>0.88534715703469202</v>
      </c>
      <c r="D5429">
        <v>0.724343834951934</v>
      </c>
      <c r="E5429">
        <v>0.59177893013904104</v>
      </c>
      <c r="F5429">
        <v>0.42459576482246097</v>
      </c>
      <c r="G5429">
        <v>0.302284555688486</v>
      </c>
      <c r="H5429">
        <v>0.24404897512266899</v>
      </c>
      <c r="I5429">
        <v>0.28476110451324899</v>
      </c>
      <c r="J5429">
        <v>0.28670706810429802</v>
      </c>
      <c r="K5429">
        <v>0.328006350205995</v>
      </c>
      <c r="L5429">
        <v>705.58719578888201</v>
      </c>
      <c r="M5429">
        <v>14.6250624971888</v>
      </c>
      <c r="N5429">
        <v>50.889529412330802</v>
      </c>
      <c r="O5429">
        <v>47.370005564234702</v>
      </c>
      <c r="P5429">
        <v>-5.6647684462885498E-2</v>
      </c>
      <c r="Q5429">
        <v>0.26616356083529302</v>
      </c>
      <c r="R5429">
        <v>0.98240119519596802</v>
      </c>
      <c r="S5429" t="s">
        <v>12235</v>
      </c>
      <c r="T5429" t="s">
        <v>13610</v>
      </c>
      <c r="U5429" t="s">
        <v>13610</v>
      </c>
      <c r="V5429" t="s">
        <v>13610</v>
      </c>
      <c r="W5429" t="s">
        <v>18970</v>
      </c>
      <c r="X5429">
        <v>5</v>
      </c>
      <c r="Y5429" t="s">
        <v>25536</v>
      </c>
      <c r="Z5429" t="s">
        <v>32284</v>
      </c>
      <c r="AA5429">
        <v>0.48746515901354409</v>
      </c>
      <c r="AB5429" t="str">
        <f>HYPERLINK("Melting_Curves/meltCurve_Q9BRS2_RIOK1.pdf", "Melting_Curves/meltCurve_Q9BRS2_RIOK1.pdf")</f>
        <v>Melting_Curves/meltCurve_Q9BRS2_RIOK1.pdf</v>
      </c>
    </row>
    <row r="5430" spans="1:28" x14ac:dyDescent="0.25">
      <c r="A5430" t="s">
        <v>5434</v>
      </c>
      <c r="B5430">
        <v>0.995954080203443</v>
      </c>
      <c r="C5430">
        <v>1.0572500814635299</v>
      </c>
      <c r="D5430">
        <v>1.06215796640642</v>
      </c>
      <c r="E5430">
        <v>0.95030486443335305</v>
      </c>
      <c r="F5430">
        <v>0.81597055221544501</v>
      </c>
      <c r="G5430">
        <v>0.60383101316822196</v>
      </c>
      <c r="H5430">
        <v>0.45144098068633198</v>
      </c>
      <c r="I5430">
        <v>0.439903042264011</v>
      </c>
      <c r="J5430">
        <v>0.36014903500677098</v>
      </c>
      <c r="K5430">
        <v>0.34672131536254402</v>
      </c>
      <c r="L5430">
        <v>1122.36235624233</v>
      </c>
      <c r="M5430">
        <v>20.137956048233399</v>
      </c>
      <c r="N5430">
        <v>59.383556283241802</v>
      </c>
      <c r="O5430">
        <v>55.192820337727497</v>
      </c>
      <c r="P5430">
        <v>-5.88383244486963E-2</v>
      </c>
      <c r="Q5430">
        <v>0.35497918584217097</v>
      </c>
      <c r="R5430">
        <v>0.98615611020574201</v>
      </c>
      <c r="S5430" t="s">
        <v>12236</v>
      </c>
      <c r="T5430" t="s">
        <v>13610</v>
      </c>
      <c r="U5430" t="s">
        <v>13610</v>
      </c>
      <c r="V5430" t="s">
        <v>13610</v>
      </c>
      <c r="W5430" t="s">
        <v>18971</v>
      </c>
      <c r="X5430">
        <v>4</v>
      </c>
      <c r="Y5430" t="s">
        <v>25537</v>
      </c>
      <c r="Z5430" t="s">
        <v>32285</v>
      </c>
      <c r="AA5430">
        <v>0.70157837959925995</v>
      </c>
      <c r="AB5430" t="str">
        <f>HYPERLINK("Melting_Curves/meltCurve_Q9BRT3_MIEN1.pdf", "Melting_Curves/meltCurve_Q9BRT3_MIEN1.pdf")</f>
        <v>Melting_Curves/meltCurve_Q9BRT3_MIEN1.pdf</v>
      </c>
    </row>
    <row r="5431" spans="1:28" x14ac:dyDescent="0.25">
      <c r="A5431" t="s">
        <v>5435</v>
      </c>
      <c r="B5431">
        <v>0.995954080203443</v>
      </c>
      <c r="C5431">
        <v>1.02269764471695</v>
      </c>
      <c r="D5431">
        <v>0.93062999008543201</v>
      </c>
      <c r="E5431">
        <v>0.70333309244343201</v>
      </c>
      <c r="F5431">
        <v>0.26488243098257203</v>
      </c>
      <c r="G5431">
        <v>0.13699128087460399</v>
      </c>
      <c r="H5431">
        <v>8.5256678622201598E-2</v>
      </c>
      <c r="I5431">
        <v>7.56503824318185E-2</v>
      </c>
      <c r="J5431">
        <v>8.9168960668673899E-2</v>
      </c>
      <c r="K5431">
        <v>8.6307012837998798E-2</v>
      </c>
      <c r="L5431">
        <v>1726.2816703107101</v>
      </c>
      <c r="M5431">
        <v>33.869307074004404</v>
      </c>
      <c r="N5431">
        <v>51.257071056287202</v>
      </c>
      <c r="O5431">
        <v>50.7922120003294</v>
      </c>
      <c r="P5431">
        <v>-0.15225417945182301</v>
      </c>
      <c r="Q5431">
        <v>8.6689895639970302E-2</v>
      </c>
      <c r="R5431">
        <v>0.99739542900003997</v>
      </c>
      <c r="S5431" t="s">
        <v>12237</v>
      </c>
      <c r="T5431" t="s">
        <v>13610</v>
      </c>
      <c r="U5431" t="s">
        <v>13610</v>
      </c>
      <c r="V5431" t="s">
        <v>13610</v>
      </c>
      <c r="W5431" t="s">
        <v>18972</v>
      </c>
      <c r="X5431">
        <v>8</v>
      </c>
      <c r="Y5431" t="s">
        <v>25538</v>
      </c>
      <c r="Z5431" t="s">
        <v>32286</v>
      </c>
      <c r="AA5431">
        <v>0.42512203562866402</v>
      </c>
      <c r="AB5431" t="str">
        <f>HYPERLINK("Melting_Curves/meltCurve_Q9BRT9_GINS4.pdf", "Melting_Curves/meltCurve_Q9BRT9_GINS4.pdf")</f>
        <v>Melting_Curves/meltCurve_Q9BRT9_GINS4.pdf</v>
      </c>
    </row>
    <row r="5432" spans="1:28" x14ac:dyDescent="0.25">
      <c r="A5432" t="s">
        <v>5436</v>
      </c>
      <c r="B5432">
        <v>0.995954080203443</v>
      </c>
      <c r="C5432">
        <v>0.89236278655310097</v>
      </c>
      <c r="D5432">
        <v>0.88593613322201004</v>
      </c>
      <c r="E5432">
        <v>0.77789437529807404</v>
      </c>
      <c r="F5432">
        <v>0.685156236781849</v>
      </c>
      <c r="G5432">
        <v>0.48338187968653501</v>
      </c>
      <c r="H5432">
        <v>0.43978617021098598</v>
      </c>
      <c r="I5432">
        <v>0.51350325559468801</v>
      </c>
      <c r="J5432">
        <v>0.662519848686841</v>
      </c>
      <c r="K5432">
        <v>0.61457955051983004</v>
      </c>
      <c r="L5432">
        <v>850.37480131518805</v>
      </c>
      <c r="M5432">
        <v>17.281655726572701</v>
      </c>
      <c r="O5432">
        <v>48.562090958764998</v>
      </c>
      <c r="P5432">
        <v>-4.0903732759253401E-2</v>
      </c>
      <c r="Q5432">
        <v>0.54026264937867796</v>
      </c>
      <c r="R5432">
        <v>0.83975195529816904</v>
      </c>
      <c r="S5432" t="s">
        <v>12238</v>
      </c>
      <c r="T5432" t="s">
        <v>13610</v>
      </c>
      <c r="U5432" t="s">
        <v>13610</v>
      </c>
      <c r="V5432" t="s">
        <v>13610</v>
      </c>
      <c r="W5432" t="s">
        <v>18973</v>
      </c>
      <c r="X5432">
        <v>9</v>
      </c>
      <c r="Y5432" t="s">
        <v>25539</v>
      </c>
      <c r="Z5432" t="s">
        <v>32287</v>
      </c>
      <c r="AA5432">
        <v>0.68994684216041713</v>
      </c>
      <c r="AB5432" t="str">
        <f>HYPERLINK("Melting_Curves/meltCurve_Q9BRV8_SIKE1.pdf", "Melting_Curves/meltCurve_Q9BRV8_SIKE1.pdf")</f>
        <v>Melting_Curves/meltCurve_Q9BRV8_SIKE1.pdf</v>
      </c>
    </row>
    <row r="5433" spans="1:28" x14ac:dyDescent="0.25">
      <c r="A5433" t="s">
        <v>5437</v>
      </c>
      <c r="B5433">
        <v>0.995954080203443</v>
      </c>
      <c r="C5433">
        <v>0.70880914297762199</v>
      </c>
      <c r="D5433">
        <v>0.323784839574353</v>
      </c>
      <c r="E5433">
        <v>0.27032924379726803</v>
      </c>
      <c r="F5433">
        <v>0.17889179819996701</v>
      </c>
      <c r="G5433">
        <v>0.108388836628961</v>
      </c>
      <c r="H5433">
        <v>7.8078569700323397E-2</v>
      </c>
      <c r="I5433">
        <v>7.7463330735301705E-2</v>
      </c>
      <c r="J5433">
        <v>9.9558631089514196E-2</v>
      </c>
      <c r="K5433">
        <v>9.1745862905884407E-2</v>
      </c>
      <c r="L5433">
        <v>1031.00286588516</v>
      </c>
      <c r="M5433">
        <v>23.285618487240701</v>
      </c>
      <c r="N5433">
        <v>44.761717713178498</v>
      </c>
      <c r="O5433">
        <v>43.9537318324832</v>
      </c>
      <c r="P5433">
        <v>-0.11767040510554901</v>
      </c>
      <c r="Q5433">
        <v>0.111561757746981</v>
      </c>
      <c r="R5433">
        <v>0.974957703861835</v>
      </c>
      <c r="S5433" t="s">
        <v>12239</v>
      </c>
      <c r="T5433" t="s">
        <v>13610</v>
      </c>
      <c r="U5433" t="s">
        <v>13610</v>
      </c>
      <c r="V5433" t="s">
        <v>13610</v>
      </c>
      <c r="W5433" t="s">
        <v>18974</v>
      </c>
      <c r="X5433">
        <v>13</v>
      </c>
      <c r="Y5433" t="s">
        <v>25540</v>
      </c>
      <c r="Z5433" t="s">
        <v>32288</v>
      </c>
      <c r="AA5433">
        <v>0.24974720543477361</v>
      </c>
      <c r="AB5433" t="str">
        <f>HYPERLINK("Melting_Curves/meltCurve_Q9BRX2_PELO.pdf", "Melting_Curves/meltCurve_Q9BRX2_PELO.pdf")</f>
        <v>Melting_Curves/meltCurve_Q9BRX2_PELO.pdf</v>
      </c>
    </row>
    <row r="5434" spans="1:28" x14ac:dyDescent="0.25">
      <c r="A5434" t="s">
        <v>5438</v>
      </c>
      <c r="B5434">
        <v>0.995954080203443</v>
      </c>
      <c r="C5434">
        <v>0.96670750059392496</v>
      </c>
      <c r="D5434">
        <v>0.90995537505045998</v>
      </c>
      <c r="E5434">
        <v>0.71495994767590298</v>
      </c>
      <c r="F5434">
        <v>0.165559979345339</v>
      </c>
      <c r="G5434">
        <v>8.9811096201459897E-2</v>
      </c>
      <c r="H5434">
        <v>5.8529562720602502E-2</v>
      </c>
      <c r="I5434">
        <v>5.0662288883129097E-2</v>
      </c>
      <c r="J5434">
        <v>6.3828118141166096E-2</v>
      </c>
      <c r="K5434">
        <v>6.38271871039717E-2</v>
      </c>
      <c r="L5434">
        <v>2457.9512838228402</v>
      </c>
      <c r="M5434">
        <v>48.365828593329198</v>
      </c>
      <c r="N5434">
        <v>50.9614558336554</v>
      </c>
      <c r="O5434">
        <v>50.733344754809899</v>
      </c>
      <c r="P5434">
        <v>-0.22336288223505499</v>
      </c>
      <c r="Q5434">
        <v>6.28147651985069E-2</v>
      </c>
      <c r="R5434">
        <v>0.99454216799554296</v>
      </c>
      <c r="S5434" t="s">
        <v>12240</v>
      </c>
      <c r="T5434" t="s">
        <v>13610</v>
      </c>
      <c r="U5434" t="s">
        <v>13610</v>
      </c>
      <c r="V5434" t="s">
        <v>13610</v>
      </c>
      <c r="W5434" t="s">
        <v>18975</v>
      </c>
      <c r="X5434">
        <v>10</v>
      </c>
      <c r="Y5434" t="s">
        <v>25541</v>
      </c>
      <c r="Z5434" t="s">
        <v>32289</v>
      </c>
      <c r="AA5434">
        <v>0.403072202274118</v>
      </c>
      <c r="AB5434" t="str">
        <f>HYPERLINK("Melting_Curves/meltCurve_Q9BRX5_GINS3.pdf", "Melting_Curves/meltCurve_Q9BRX5_GINS3.pdf")</f>
        <v>Melting_Curves/meltCurve_Q9BRX5_GINS3.pdf</v>
      </c>
    </row>
    <row r="5435" spans="1:28" x14ac:dyDescent="0.25">
      <c r="A5435" t="s">
        <v>5439</v>
      </c>
      <c r="B5435">
        <v>0.995954080203443</v>
      </c>
      <c r="C5435">
        <v>1.0036239774867799</v>
      </c>
      <c r="D5435">
        <v>0.90788608619844902</v>
      </c>
      <c r="E5435">
        <v>0.85631722301381796</v>
      </c>
      <c r="F5435">
        <v>0.79433991122982295</v>
      </c>
      <c r="G5435">
        <v>0.53817700349106901</v>
      </c>
      <c r="H5435">
        <v>0.35352796930666702</v>
      </c>
      <c r="I5435">
        <v>0.213527010592067</v>
      </c>
      <c r="J5435">
        <v>0.10040018531122</v>
      </c>
      <c r="K5435">
        <v>8.8359504670131997E-2</v>
      </c>
      <c r="L5435">
        <v>761.33975869477194</v>
      </c>
      <c r="M5435">
        <v>13.1888690684683</v>
      </c>
      <c r="N5435">
        <v>57.725931996305398</v>
      </c>
      <c r="O5435">
        <v>56.447222800324198</v>
      </c>
      <c r="P5435">
        <v>-5.8422150656038903E-2</v>
      </c>
      <c r="Q5435">
        <v>0</v>
      </c>
      <c r="R5435">
        <v>0.99404705934248805</v>
      </c>
      <c r="S5435" t="s">
        <v>12241</v>
      </c>
      <c r="T5435" t="s">
        <v>13610</v>
      </c>
      <c r="U5435" t="s">
        <v>13610</v>
      </c>
      <c r="V5435" t="s">
        <v>13610</v>
      </c>
      <c r="W5435" t="s">
        <v>18976</v>
      </c>
      <c r="X5435">
        <v>4</v>
      </c>
      <c r="Y5435" t="s">
        <v>25542</v>
      </c>
      <c r="Z5435" t="s">
        <v>32290</v>
      </c>
      <c r="AA5435">
        <v>0.60517523592792744</v>
      </c>
      <c r="AB5435" t="str">
        <f>HYPERLINK("Melting_Curves/meltCurve_Q9BRX9_WDR83.pdf", "Melting_Curves/meltCurve_Q9BRX9_WDR83.pdf")</f>
        <v>Melting_Curves/meltCurve_Q9BRX9_WDR83.pdf</v>
      </c>
    </row>
    <row r="5436" spans="1:28" x14ac:dyDescent="0.25">
      <c r="A5436" t="s">
        <v>5440</v>
      </c>
      <c r="B5436">
        <v>0.995954080203443</v>
      </c>
      <c r="C5436">
        <v>0.846379862269237</v>
      </c>
      <c r="D5436">
        <v>0.60282174077705197</v>
      </c>
      <c r="E5436">
        <v>0.43559842061285198</v>
      </c>
      <c r="F5436">
        <v>0.31586178361568501</v>
      </c>
      <c r="G5436">
        <v>0.19816767725210099</v>
      </c>
      <c r="H5436">
        <v>0.14331623824118001</v>
      </c>
      <c r="I5436">
        <v>0.116371856187986</v>
      </c>
      <c r="J5436">
        <v>0.12639710980496599</v>
      </c>
      <c r="K5436">
        <v>9.7231860280824506E-2</v>
      </c>
      <c r="L5436">
        <v>625.99458812184105</v>
      </c>
      <c r="M5436">
        <v>13.1014414298985</v>
      </c>
      <c r="N5436">
        <v>48.575842914078201</v>
      </c>
      <c r="O5436">
        <v>46.708531434710302</v>
      </c>
      <c r="P5436">
        <v>-6.3365645370101004E-2</v>
      </c>
      <c r="Q5436">
        <v>9.6524138708285606E-2</v>
      </c>
      <c r="R5436">
        <v>0.991105584237571</v>
      </c>
      <c r="S5436" t="s">
        <v>12242</v>
      </c>
      <c r="T5436" t="s">
        <v>13610</v>
      </c>
      <c r="U5436" t="s">
        <v>13610</v>
      </c>
      <c r="V5436" t="s">
        <v>13610</v>
      </c>
      <c r="W5436" t="s">
        <v>18977</v>
      </c>
      <c r="X5436">
        <v>21</v>
      </c>
      <c r="Y5436" t="s">
        <v>25543</v>
      </c>
      <c r="Z5436" t="s">
        <v>32291</v>
      </c>
      <c r="AA5436">
        <v>0.36139557954771262</v>
      </c>
      <c r="AB5436" t="str">
        <f>HYPERLINK("Melting_Curves/meltCurve_Q9BRZ2_TRIM56.pdf", "Melting_Curves/meltCurve_Q9BRZ2_TRIM56.pdf")</f>
        <v>Melting_Curves/meltCurve_Q9BRZ2_TRIM56.pdf</v>
      </c>
    </row>
    <row r="5437" spans="1:28" x14ac:dyDescent="0.25">
      <c r="A5437" t="s">
        <v>5441</v>
      </c>
      <c r="B5437">
        <v>0.995954080203443</v>
      </c>
      <c r="C5437">
        <v>1.0374037963365801</v>
      </c>
      <c r="D5437">
        <v>1.0656008316883301</v>
      </c>
      <c r="E5437">
        <v>0.87809896429094503</v>
      </c>
      <c r="F5437">
        <v>0.580104451238731</v>
      </c>
      <c r="G5437">
        <v>0.202266678137066</v>
      </c>
      <c r="H5437">
        <v>0.119830167325162</v>
      </c>
      <c r="I5437">
        <v>9.0052574584516501E-2</v>
      </c>
      <c r="J5437">
        <v>7.6895139224113396E-2</v>
      </c>
      <c r="K5437">
        <v>7.4035977732614597E-2</v>
      </c>
      <c r="L5437">
        <v>1573.60711246709</v>
      </c>
      <c r="M5437">
        <v>29.515394130947701</v>
      </c>
      <c r="N5437">
        <v>53.641898245773803</v>
      </c>
      <c r="O5437">
        <v>53.071847027164999</v>
      </c>
      <c r="P5437">
        <v>-0.127585300562195</v>
      </c>
      <c r="Q5437">
        <v>8.2358062748126695E-2</v>
      </c>
      <c r="R5437">
        <v>0.99580790564324495</v>
      </c>
      <c r="S5437" t="s">
        <v>12243</v>
      </c>
      <c r="T5437" t="s">
        <v>13610</v>
      </c>
      <c r="U5437" t="s">
        <v>13610</v>
      </c>
      <c r="V5437" t="s">
        <v>13610</v>
      </c>
      <c r="W5437" t="s">
        <v>18978</v>
      </c>
      <c r="X5437">
        <v>17</v>
      </c>
      <c r="Y5437" t="s">
        <v>25544</v>
      </c>
      <c r="Z5437" t="s">
        <v>32292</v>
      </c>
      <c r="AA5437">
        <v>0.49580093044680279</v>
      </c>
      <c r="AB5437" t="str">
        <f>HYPERLINK("Melting_Curves/meltCurve_Q9BS26_ERP44.pdf", "Melting_Curves/meltCurve_Q9BS26_ERP44.pdf")</f>
        <v>Melting_Curves/meltCurve_Q9BS26_ERP44.pdf</v>
      </c>
    </row>
    <row r="5438" spans="1:28" x14ac:dyDescent="0.25">
      <c r="A5438" t="s">
        <v>5442</v>
      </c>
      <c r="B5438">
        <v>0.995954080203443</v>
      </c>
      <c r="C5438">
        <v>1.00202146051468</v>
      </c>
      <c r="D5438">
        <v>0.91553552588131004</v>
      </c>
      <c r="E5438">
        <v>0.84082322891146</v>
      </c>
      <c r="F5438">
        <v>0.74838477732151099</v>
      </c>
      <c r="G5438">
        <v>0.55055620238020198</v>
      </c>
      <c r="H5438">
        <v>0.43383326358165802</v>
      </c>
      <c r="I5438">
        <v>0.44898013517078</v>
      </c>
      <c r="J5438">
        <v>0.38646319145268698</v>
      </c>
      <c r="K5438">
        <v>0.29739088750703302</v>
      </c>
      <c r="L5438">
        <v>651.18136830574701</v>
      </c>
      <c r="M5438">
        <v>11.7892928031468</v>
      </c>
      <c r="N5438">
        <v>59.398660475217099</v>
      </c>
      <c r="O5438">
        <v>53.717611744789302</v>
      </c>
      <c r="P5438">
        <v>-3.9449266392981797E-2</v>
      </c>
      <c r="Q5438">
        <v>0.28118728695966599</v>
      </c>
      <c r="R5438">
        <v>0.98869187567237105</v>
      </c>
      <c r="S5438" t="s">
        <v>12244</v>
      </c>
      <c r="T5438" t="s">
        <v>13610</v>
      </c>
      <c r="U5438" t="s">
        <v>13610</v>
      </c>
      <c r="V5438" t="s">
        <v>13610</v>
      </c>
      <c r="W5438" t="s">
        <v>18979</v>
      </c>
      <c r="X5438">
        <v>8</v>
      </c>
      <c r="Y5438" t="s">
        <v>25545</v>
      </c>
      <c r="Z5438" t="s">
        <v>32293</v>
      </c>
      <c r="AA5438">
        <v>0.66276929647724714</v>
      </c>
      <c r="AB5438" t="str">
        <f>HYPERLINK("Melting_Curves/meltCurve_Q9BSB4_ATG101.pdf", "Melting_Curves/meltCurve_Q9BSB4_ATG101.pdf")</f>
        <v>Melting_Curves/meltCurve_Q9BSB4_ATG101.pdf</v>
      </c>
    </row>
    <row r="5439" spans="1:28" x14ac:dyDescent="0.25">
      <c r="A5439" t="s">
        <v>5443</v>
      </c>
      <c r="B5439">
        <v>0.995954080203443</v>
      </c>
      <c r="C5439">
        <v>0.98547794888635998</v>
      </c>
      <c r="D5439">
        <v>0.92264564530036497</v>
      </c>
      <c r="E5439">
        <v>0.80835362389638998</v>
      </c>
      <c r="F5439">
        <v>0.77011527279260195</v>
      </c>
      <c r="G5439">
        <v>0.61066745580803405</v>
      </c>
      <c r="H5439">
        <v>0.58999250078808696</v>
      </c>
      <c r="I5439">
        <v>0.68734583929745996</v>
      </c>
      <c r="J5439">
        <v>0.77839716889819799</v>
      </c>
      <c r="K5439">
        <v>0.793818666264969</v>
      </c>
      <c r="L5439">
        <v>1155.7441349604101</v>
      </c>
      <c r="M5439">
        <v>23.7872030250244</v>
      </c>
      <c r="O5439">
        <v>48.247331293380597</v>
      </c>
      <c r="P5439">
        <v>-3.7333363719098102E-2</v>
      </c>
      <c r="Q5439">
        <v>0.69711355267803898</v>
      </c>
      <c r="R5439">
        <v>0.78729403341667603</v>
      </c>
      <c r="S5439" t="s">
        <v>12245</v>
      </c>
      <c r="T5439" t="s">
        <v>13610</v>
      </c>
      <c r="U5439" t="s">
        <v>13610</v>
      </c>
      <c r="V5439" t="s">
        <v>13610</v>
      </c>
      <c r="W5439" t="s">
        <v>18980</v>
      </c>
      <c r="X5439">
        <v>11</v>
      </c>
      <c r="Y5439" t="s">
        <v>25546</v>
      </c>
      <c r="Z5439" t="s">
        <v>32294</v>
      </c>
      <c r="AA5439">
        <v>0.78677887330188157</v>
      </c>
      <c r="AB5439" t="str">
        <f>HYPERLINK("Melting_Curves/meltCurve_Q9BSC4_NOL10.pdf", "Melting_Curves/meltCurve_Q9BSC4_NOL10.pdf")</f>
        <v>Melting_Curves/meltCurve_Q9BSC4_NOL10.pdf</v>
      </c>
    </row>
    <row r="5440" spans="1:28" x14ac:dyDescent="0.25">
      <c r="A5440" t="s">
        <v>5444</v>
      </c>
      <c r="B5440">
        <v>0.995954080203443</v>
      </c>
      <c r="C5440">
        <v>0.63136842387270797</v>
      </c>
      <c r="D5440">
        <v>0.300983448867921</v>
      </c>
      <c r="E5440">
        <v>0.25696397126843701</v>
      </c>
      <c r="F5440">
        <v>0.152642650304813</v>
      </c>
      <c r="G5440">
        <v>9.2019321382161803E-2</v>
      </c>
      <c r="H5440">
        <v>5.4709074450224097E-2</v>
      </c>
      <c r="I5440">
        <v>5.4004095085722202E-2</v>
      </c>
      <c r="J5440">
        <v>4.9062387983885E-2</v>
      </c>
      <c r="K5440">
        <v>4.6364715926439898E-2</v>
      </c>
      <c r="L5440">
        <v>926.21249186883404</v>
      </c>
      <c r="M5440">
        <v>21.023819410107301</v>
      </c>
      <c r="N5440">
        <v>44.418236723919399</v>
      </c>
      <c r="O5440">
        <v>43.662606545825398</v>
      </c>
      <c r="P5440">
        <v>-0.110881588561224</v>
      </c>
      <c r="Q5440">
        <v>7.8901928432088805E-2</v>
      </c>
      <c r="R5440">
        <v>0.96694827478294598</v>
      </c>
      <c r="S5440" t="s">
        <v>12246</v>
      </c>
      <c r="T5440" t="s">
        <v>13610</v>
      </c>
      <c r="U5440" t="s">
        <v>13610</v>
      </c>
      <c r="V5440" t="s">
        <v>13610</v>
      </c>
      <c r="W5440" t="s">
        <v>18981</v>
      </c>
      <c r="X5440">
        <v>8</v>
      </c>
      <c r="Y5440" t="s">
        <v>25547</v>
      </c>
      <c r="Z5440" t="s">
        <v>32295</v>
      </c>
      <c r="AA5440">
        <v>0.21922191321679221</v>
      </c>
      <c r="AB5440" t="str">
        <f>HYPERLINK("Melting_Curves/meltCurve_Q9BSD7_NTPCR.pdf", "Melting_Curves/meltCurve_Q9BSD7_NTPCR.pdf")</f>
        <v>Melting_Curves/meltCurve_Q9BSD7_NTPCR.pdf</v>
      </c>
    </row>
    <row r="5441" spans="1:28" x14ac:dyDescent="0.25">
      <c r="A5441" t="s">
        <v>5445</v>
      </c>
      <c r="B5441">
        <v>0.995954080203443</v>
      </c>
      <c r="C5441">
        <v>0.91680957579505695</v>
      </c>
      <c r="D5441">
        <v>1.0555081777049999</v>
      </c>
      <c r="E5441">
        <v>0.99473197965990001</v>
      </c>
      <c r="F5441">
        <v>0.74148691743259798</v>
      </c>
      <c r="G5441">
        <v>0.63191908135626595</v>
      </c>
      <c r="H5441">
        <v>0.483045815192643</v>
      </c>
      <c r="I5441">
        <v>0.73223932773281397</v>
      </c>
      <c r="J5441">
        <v>0.60893023415705605</v>
      </c>
      <c r="K5441">
        <v>0.72694630403941596</v>
      </c>
      <c r="L5441">
        <v>4624.96361947889</v>
      </c>
      <c r="M5441">
        <v>88.165921765724306</v>
      </c>
      <c r="O5441">
        <v>52.430526887762298</v>
      </c>
      <c r="P5441">
        <v>-0.152788343304953</v>
      </c>
      <c r="Q5441">
        <v>0.63655923083063104</v>
      </c>
      <c r="R5441">
        <v>0.84454271513930801</v>
      </c>
      <c r="S5441" t="s">
        <v>12247</v>
      </c>
      <c r="T5441" t="s">
        <v>13610</v>
      </c>
      <c r="U5441" t="s">
        <v>13610</v>
      </c>
      <c r="V5441" t="s">
        <v>13610</v>
      </c>
      <c r="W5441" t="s">
        <v>18982</v>
      </c>
      <c r="X5441">
        <v>1</v>
      </c>
      <c r="Y5441" t="s">
        <v>25548</v>
      </c>
      <c r="Z5441" t="s">
        <v>32296</v>
      </c>
      <c r="AA5441">
        <v>0.78774742554839905</v>
      </c>
      <c r="AB5441" t="str">
        <f>HYPERLINK("Melting_Curves/meltCurve_Q9BSE2_TMEM79.pdf", "Melting_Curves/meltCurve_Q9BSE2_TMEM79.pdf")</f>
        <v>Melting_Curves/meltCurve_Q9BSE2_TMEM79.pdf</v>
      </c>
    </row>
    <row r="5442" spans="1:28" x14ac:dyDescent="0.25">
      <c r="A5442" t="s">
        <v>5446</v>
      </c>
      <c r="B5442">
        <v>0.995954080203443</v>
      </c>
      <c r="C5442">
        <v>0.95022851543117204</v>
      </c>
      <c r="D5442">
        <v>0.78322593989230505</v>
      </c>
      <c r="E5442">
        <v>0.74569532122410997</v>
      </c>
      <c r="F5442">
        <v>0.54341928268800099</v>
      </c>
      <c r="G5442">
        <v>0.36790413973973901</v>
      </c>
      <c r="H5442">
        <v>0.31199648911855599</v>
      </c>
      <c r="I5442">
        <v>0.244354306926436</v>
      </c>
      <c r="J5442">
        <v>0.23043896360324501</v>
      </c>
      <c r="K5442">
        <v>0.17829213880148001</v>
      </c>
      <c r="L5442">
        <v>567.98351280986799</v>
      </c>
      <c r="M5442">
        <v>10.789656297183001</v>
      </c>
      <c r="N5442">
        <v>54.230901871636298</v>
      </c>
      <c r="O5442">
        <v>50.929954724333697</v>
      </c>
      <c r="P5442">
        <v>-4.5800535622204402E-2</v>
      </c>
      <c r="Q5442">
        <v>0.13555295341283999</v>
      </c>
      <c r="R5442">
        <v>0.98804790701703704</v>
      </c>
      <c r="S5442" t="s">
        <v>12248</v>
      </c>
      <c r="T5442" t="s">
        <v>13610</v>
      </c>
      <c r="U5442" t="s">
        <v>13610</v>
      </c>
      <c r="V5442" t="s">
        <v>13610</v>
      </c>
      <c r="W5442" t="s">
        <v>18983</v>
      </c>
      <c r="X5442">
        <v>1</v>
      </c>
      <c r="Y5442" t="s">
        <v>25549</v>
      </c>
      <c r="Z5442" t="s">
        <v>32297</v>
      </c>
      <c r="AA5442">
        <v>0.52829478361893101</v>
      </c>
      <c r="AB5442" t="str">
        <f>HYPERLINK("Melting_Curves/meltCurve_Q9BSE4_HERPUD2.pdf", "Melting_Curves/meltCurve_Q9BSE4_HERPUD2.pdf")</f>
        <v>Melting_Curves/meltCurve_Q9BSE4_HERPUD2.pdf</v>
      </c>
    </row>
    <row r="5443" spans="1:28" x14ac:dyDescent="0.25">
      <c r="A5443" t="s">
        <v>5447</v>
      </c>
      <c r="B5443">
        <v>0.995954080203443</v>
      </c>
      <c r="C5443">
        <v>0.91545242645547298</v>
      </c>
      <c r="D5443">
        <v>0.87811104505872295</v>
      </c>
      <c r="E5443">
        <v>0.70377384010226696</v>
      </c>
      <c r="F5443">
        <v>0.53522967455428305</v>
      </c>
      <c r="G5443">
        <v>0.33812738752261601</v>
      </c>
      <c r="H5443">
        <v>0.300333514949157</v>
      </c>
      <c r="I5443">
        <v>0.32597958509331998</v>
      </c>
      <c r="J5443">
        <v>0.43187162514787197</v>
      </c>
      <c r="K5443">
        <v>0.29767085409553401</v>
      </c>
      <c r="L5443">
        <v>898.22082913512804</v>
      </c>
      <c r="M5443">
        <v>17.852607421896799</v>
      </c>
      <c r="N5443">
        <v>53.341568142417998</v>
      </c>
      <c r="O5443">
        <v>49.694607353017503</v>
      </c>
      <c r="P5443">
        <v>-6.1206283960861599E-2</v>
      </c>
      <c r="Q5443">
        <v>0.31853843746112598</v>
      </c>
      <c r="R5443">
        <v>0.96928613530547403</v>
      </c>
      <c r="S5443" t="s">
        <v>12249</v>
      </c>
      <c r="T5443" t="s">
        <v>13610</v>
      </c>
      <c r="U5443" t="s">
        <v>13610</v>
      </c>
      <c r="V5443" t="s">
        <v>13610</v>
      </c>
      <c r="W5443" t="s">
        <v>18984</v>
      </c>
      <c r="X5443">
        <v>2</v>
      </c>
      <c r="Y5443" t="s">
        <v>25550</v>
      </c>
      <c r="Z5443" t="s">
        <v>32298</v>
      </c>
      <c r="AA5443">
        <v>0.56456008085073683</v>
      </c>
      <c r="AB5443" t="str">
        <f>HYPERLINK("Melting_Curves/meltCurve_Q9BSF0_C2orf88.pdf", "Melting_Curves/meltCurve_Q9BSF0_C2orf88.pdf")</f>
        <v>Melting_Curves/meltCurve_Q9BSF0_C2orf88.pdf</v>
      </c>
    </row>
    <row r="5444" spans="1:28" x14ac:dyDescent="0.25">
      <c r="A5444" t="s">
        <v>5448</v>
      </c>
      <c r="B5444">
        <v>0.995954080203443</v>
      </c>
      <c r="C5444">
        <v>0.81936179154554101</v>
      </c>
      <c r="D5444">
        <v>0.58839933844603298</v>
      </c>
      <c r="E5444">
        <v>0.42566618364801201</v>
      </c>
      <c r="F5444">
        <v>0.218170514675533</v>
      </c>
      <c r="G5444">
        <v>0.13728907228972001</v>
      </c>
      <c r="H5444">
        <v>9.4893657113575905E-2</v>
      </c>
      <c r="I5444">
        <v>9.2728414393122405E-2</v>
      </c>
      <c r="J5444">
        <v>9.9705939270586602E-2</v>
      </c>
      <c r="K5444">
        <v>9.5718771778328798E-2</v>
      </c>
      <c r="L5444">
        <v>686.18937546482903</v>
      </c>
      <c r="M5444">
        <v>14.503376811468399</v>
      </c>
      <c r="N5444">
        <v>47.859647397409901</v>
      </c>
      <c r="O5444">
        <v>46.440210358280403</v>
      </c>
      <c r="P5444">
        <v>-7.2118119734357694E-2</v>
      </c>
      <c r="Q5444">
        <v>7.6409835903740495E-2</v>
      </c>
      <c r="R5444">
        <v>0.99045072592737604</v>
      </c>
      <c r="S5444" t="s">
        <v>12250</v>
      </c>
      <c r="T5444" t="s">
        <v>13610</v>
      </c>
      <c r="U5444" t="s">
        <v>13610</v>
      </c>
      <c r="V5444" t="s">
        <v>13610</v>
      </c>
      <c r="W5444" t="s">
        <v>18985</v>
      </c>
      <c r="X5444">
        <v>6</v>
      </c>
      <c r="Y5444" t="s">
        <v>25551</v>
      </c>
      <c r="Z5444" t="s">
        <v>32299</v>
      </c>
      <c r="AA5444">
        <v>0.32789671371344481</v>
      </c>
      <c r="AB5444" t="str">
        <f>HYPERLINK("Melting_Curves/meltCurve_Q9BSH4_TACO1.pdf", "Melting_Curves/meltCurve_Q9BSH4_TACO1.pdf")</f>
        <v>Melting_Curves/meltCurve_Q9BSH4_TACO1.pdf</v>
      </c>
    </row>
    <row r="5445" spans="1:28" x14ac:dyDescent="0.25">
      <c r="A5445" t="s">
        <v>5449</v>
      </c>
      <c r="B5445">
        <v>0.995954080203443</v>
      </c>
      <c r="C5445">
        <v>1.0151034867695099</v>
      </c>
      <c r="D5445">
        <v>0.89614037764234999</v>
      </c>
      <c r="E5445">
        <v>0.78925239980838802</v>
      </c>
      <c r="F5445">
        <v>0.64828484518343499</v>
      </c>
      <c r="G5445">
        <v>0.417338969709455</v>
      </c>
      <c r="H5445">
        <v>0.20263209479563299</v>
      </c>
      <c r="I5445">
        <v>9.7407127151635506E-2</v>
      </c>
      <c r="J5445">
        <v>8.6325373506665401E-2</v>
      </c>
      <c r="K5445">
        <v>8.4660898774815196E-2</v>
      </c>
      <c r="L5445">
        <v>742.52525435261202</v>
      </c>
      <c r="M5445">
        <v>13.458483672149899</v>
      </c>
      <c r="N5445">
        <v>55.174562091910197</v>
      </c>
      <c r="O5445">
        <v>53.996194416166396</v>
      </c>
      <c r="P5445">
        <v>-6.22988461627344E-2</v>
      </c>
      <c r="Q5445">
        <v>3.68591006975635E-4</v>
      </c>
      <c r="R5445">
        <v>0.99540633279234603</v>
      </c>
      <c r="S5445" t="s">
        <v>12251</v>
      </c>
      <c r="T5445" t="s">
        <v>13610</v>
      </c>
      <c r="U5445" t="s">
        <v>13610</v>
      </c>
      <c r="V5445" t="s">
        <v>13610</v>
      </c>
      <c r="W5445" t="s">
        <v>18986</v>
      </c>
      <c r="X5445">
        <v>11</v>
      </c>
      <c r="Y5445" t="s">
        <v>25552</v>
      </c>
      <c r="Z5445" t="s">
        <v>32300</v>
      </c>
      <c r="AA5445">
        <v>0.5269707815418887</v>
      </c>
      <c r="AB5445" t="str">
        <f>HYPERLINK("Melting_Curves/meltCurve_Q9BSH5_HDHD3.pdf", "Melting_Curves/meltCurve_Q9BSH5_HDHD3.pdf")</f>
        <v>Melting_Curves/meltCurve_Q9BSH5_HDHD3.pdf</v>
      </c>
    </row>
    <row r="5446" spans="1:28" x14ac:dyDescent="0.25">
      <c r="A5446" t="s">
        <v>5450</v>
      </c>
      <c r="B5446">
        <v>0.995954080203443</v>
      </c>
      <c r="C5446">
        <v>0.79950508703043999</v>
      </c>
      <c r="D5446">
        <v>0.927915357695552</v>
      </c>
      <c r="E5446">
        <v>0.665520029471107</v>
      </c>
      <c r="F5446">
        <v>1.05541782393063</v>
      </c>
      <c r="G5446">
        <v>1.17919994282937</v>
      </c>
      <c r="H5446">
        <v>1.2884400309180299</v>
      </c>
      <c r="I5446">
        <v>2.0418389769392</v>
      </c>
      <c r="J5446">
        <v>1.8761506363123499</v>
      </c>
      <c r="K5446">
        <v>2.08457554912607</v>
      </c>
      <c r="L5446">
        <v>2672.4583779275699</v>
      </c>
      <c r="M5446">
        <v>46.068953163895898</v>
      </c>
      <c r="O5446">
        <v>57.900976678367101</v>
      </c>
      <c r="P5446">
        <v>9.9456457203727505E-2</v>
      </c>
      <c r="Q5446">
        <v>1.5</v>
      </c>
      <c r="R5446">
        <v>0.60393917838844502</v>
      </c>
      <c r="S5446" t="s">
        <v>12252</v>
      </c>
      <c r="T5446" t="s">
        <v>13610</v>
      </c>
      <c r="U5446" t="s">
        <v>13610</v>
      </c>
      <c r="V5446" t="s">
        <v>13610</v>
      </c>
      <c r="W5446" t="s">
        <v>18987</v>
      </c>
      <c r="X5446">
        <v>3</v>
      </c>
      <c r="Y5446" t="s">
        <v>25553</v>
      </c>
      <c r="Z5446" t="s">
        <v>32301</v>
      </c>
      <c r="AA5446">
        <v>1.1983373925901919</v>
      </c>
      <c r="AB5446" t="str">
        <f>HYPERLINK("Melting_Curves/meltCurve_Q9BSI4_2_TINF2.pdf", "Melting_Curves/meltCurve_Q9BSI4_2_TINF2.pdf")</f>
        <v>Melting_Curves/meltCurve_Q9BSI4_2_TINF2.pdf</v>
      </c>
    </row>
    <row r="5447" spans="1:28" x14ac:dyDescent="0.25">
      <c r="A5447" t="s">
        <v>5451</v>
      </c>
      <c r="B5447">
        <v>0.995954080203443</v>
      </c>
      <c r="C5447">
        <v>0.85640629033237603</v>
      </c>
      <c r="D5447">
        <v>0.76136531099027605</v>
      </c>
      <c r="E5447">
        <v>0.628327190575106</v>
      </c>
      <c r="F5447">
        <v>0.37636230357134398</v>
      </c>
      <c r="G5447">
        <v>0.19845625264911301</v>
      </c>
      <c r="H5447">
        <v>0.145179531847444</v>
      </c>
      <c r="I5447">
        <v>0.147014231317145</v>
      </c>
      <c r="J5447">
        <v>0.19359653214370601</v>
      </c>
      <c r="K5447">
        <v>0.18341094517453299</v>
      </c>
      <c r="L5447">
        <v>700.37814893414998</v>
      </c>
      <c r="M5447">
        <v>14.082574959384001</v>
      </c>
      <c r="N5447">
        <v>50.805891091864297</v>
      </c>
      <c r="O5447">
        <v>48.763034067815703</v>
      </c>
      <c r="P5447">
        <v>-6.2925770934432301E-2</v>
      </c>
      <c r="Q5447">
        <v>0.12855294455584301</v>
      </c>
      <c r="R5447">
        <v>0.97956397379260596</v>
      </c>
      <c r="S5447" t="s">
        <v>12253</v>
      </c>
      <c r="T5447" t="s">
        <v>13610</v>
      </c>
      <c r="U5447" t="s">
        <v>13610</v>
      </c>
      <c r="V5447" t="s">
        <v>13610</v>
      </c>
      <c r="W5447" t="s">
        <v>18988</v>
      </c>
      <c r="X5447">
        <v>12</v>
      </c>
      <c r="Y5447" t="s">
        <v>25554</v>
      </c>
      <c r="Z5447" t="s">
        <v>32302</v>
      </c>
      <c r="AA5447">
        <v>0.43474627517359848</v>
      </c>
      <c r="AB5447" t="str">
        <f>HYPERLINK("Melting_Curves/meltCurve_Q9BSJ2_TUBGCP2.pdf", "Melting_Curves/meltCurve_Q9BSJ2_TUBGCP2.pdf")</f>
        <v>Melting_Curves/meltCurve_Q9BSJ2_TUBGCP2.pdf</v>
      </c>
    </row>
    <row r="5448" spans="1:28" x14ac:dyDescent="0.25">
      <c r="A5448" t="s">
        <v>5452</v>
      </c>
      <c r="B5448">
        <v>0.995954080203443</v>
      </c>
      <c r="C5448">
        <v>0.99561270062478702</v>
      </c>
      <c r="D5448">
        <v>1.80366917866454</v>
      </c>
      <c r="E5448">
        <v>0.71888204988773696</v>
      </c>
      <c r="F5448">
        <v>0.19215038959084499</v>
      </c>
      <c r="G5448">
        <v>9.7205099927166805E-2</v>
      </c>
      <c r="H5448">
        <v>5.7814728317388098E-2</v>
      </c>
      <c r="I5448">
        <v>5.5353276449171103E-2</v>
      </c>
      <c r="J5448">
        <v>5.86043156660222E-2</v>
      </c>
      <c r="K5448">
        <v>5.0938169599482302E-2</v>
      </c>
      <c r="L5448">
        <v>2866.4268758693702</v>
      </c>
      <c r="M5448">
        <v>56.354035115040297</v>
      </c>
      <c r="N5448">
        <v>50.999091337058701</v>
      </c>
      <c r="O5448">
        <v>50.8006936663297</v>
      </c>
      <c r="P5448">
        <v>-0.25818435863544797</v>
      </c>
      <c r="Q5448">
        <v>6.9032940258005798E-2</v>
      </c>
      <c r="R5448">
        <v>0.80120780557482896</v>
      </c>
      <c r="S5448" t="s">
        <v>12254</v>
      </c>
      <c r="T5448" t="s">
        <v>13610</v>
      </c>
      <c r="U5448" t="s">
        <v>13610</v>
      </c>
      <c r="V5448" t="s">
        <v>13610</v>
      </c>
      <c r="W5448" t="s">
        <v>18989</v>
      </c>
      <c r="X5448">
        <v>3</v>
      </c>
      <c r="Y5448" t="s">
        <v>25555</v>
      </c>
      <c r="Z5448" t="s">
        <v>32303</v>
      </c>
      <c r="AA5448">
        <v>0.4078288739438834</v>
      </c>
      <c r="AB5448" t="str">
        <f>HYPERLINK("Melting_Curves/meltCurve_Q9BSJ5_3_C17orf80.pdf", "Melting_Curves/meltCurve_Q9BSJ5_3_C17orf80.pdf")</f>
        <v>Melting_Curves/meltCurve_Q9BSJ5_3_C17orf80.pdf</v>
      </c>
    </row>
    <row r="5449" spans="1:28" x14ac:dyDescent="0.25">
      <c r="A5449" t="s">
        <v>5453</v>
      </c>
      <c r="B5449">
        <v>0.995954080203443</v>
      </c>
      <c r="C5449">
        <v>0.87223323861506796</v>
      </c>
      <c r="D5449">
        <v>0.66916009216596195</v>
      </c>
      <c r="E5449">
        <v>0.58345737096896499</v>
      </c>
      <c r="F5449">
        <v>0.336935595102487</v>
      </c>
      <c r="G5449">
        <v>0.160992183191973</v>
      </c>
      <c r="H5449">
        <v>9.7706708822905206E-2</v>
      </c>
      <c r="I5449">
        <v>7.2500403362832699E-2</v>
      </c>
      <c r="J5449">
        <v>7.9403372512794904E-2</v>
      </c>
      <c r="K5449">
        <v>6.4217948536064398E-2</v>
      </c>
      <c r="L5449">
        <v>599.10528798709504</v>
      </c>
      <c r="M5449">
        <v>12.001995036400499</v>
      </c>
      <c r="N5449">
        <v>50.054495533353197</v>
      </c>
      <c r="O5449">
        <v>48.591952618862301</v>
      </c>
      <c r="P5449">
        <v>-6.0763273341325301E-2</v>
      </c>
      <c r="Q5449">
        <v>1.61990264993618E-2</v>
      </c>
      <c r="R5449">
        <v>0.98637808861465903</v>
      </c>
      <c r="S5449" t="s">
        <v>12255</v>
      </c>
      <c r="T5449" t="s">
        <v>13610</v>
      </c>
      <c r="U5449" t="s">
        <v>13610</v>
      </c>
      <c r="V5449" t="s">
        <v>13610</v>
      </c>
      <c r="W5449" t="s">
        <v>18990</v>
      </c>
      <c r="X5449">
        <v>21</v>
      </c>
      <c r="Y5449" t="s">
        <v>25556</v>
      </c>
      <c r="Z5449" t="s">
        <v>32304</v>
      </c>
      <c r="AA5449">
        <v>0.37562866330130901</v>
      </c>
      <c r="AB5449" t="str">
        <f>HYPERLINK("Melting_Curves/meltCurve_Q9BSJ8_ESYT1.pdf", "Melting_Curves/meltCurve_Q9BSJ8_ESYT1.pdf")</f>
        <v>Melting_Curves/meltCurve_Q9BSJ8_ESYT1.pdf</v>
      </c>
    </row>
    <row r="5450" spans="1:28" x14ac:dyDescent="0.25">
      <c r="A5450" t="s">
        <v>5454</v>
      </c>
      <c r="B5450">
        <v>0.995954080203443</v>
      </c>
      <c r="C5450">
        <v>0.958740782144621</v>
      </c>
      <c r="D5450">
        <v>1.02514745746796</v>
      </c>
      <c r="E5450">
        <v>0.86904750765100502</v>
      </c>
      <c r="F5450">
        <v>0.77710856301876696</v>
      </c>
      <c r="G5450">
        <v>0.49766755454102102</v>
      </c>
      <c r="H5450">
        <v>0.32334844746028102</v>
      </c>
      <c r="I5450">
        <v>0.32697256250363899</v>
      </c>
      <c r="J5450">
        <v>0.31555908918176401</v>
      </c>
      <c r="K5450">
        <v>0.33037266640296697</v>
      </c>
      <c r="L5450">
        <v>1208.90878636053</v>
      </c>
      <c r="M5450">
        <v>22.2097229430419</v>
      </c>
      <c r="N5450">
        <v>56.807270464342601</v>
      </c>
      <c r="O5450">
        <v>53.996011797642304</v>
      </c>
      <c r="P5450">
        <v>-7.1726347339781005E-2</v>
      </c>
      <c r="Q5450">
        <v>0.302494290173838</v>
      </c>
      <c r="R5450">
        <v>0.99124678461165905</v>
      </c>
      <c r="S5450" t="s">
        <v>12256</v>
      </c>
      <c r="T5450" t="s">
        <v>13610</v>
      </c>
      <c r="U5450" t="s">
        <v>13610</v>
      </c>
      <c r="V5450" t="s">
        <v>13610</v>
      </c>
      <c r="W5450" t="s">
        <v>18991</v>
      </c>
      <c r="X5450">
        <v>23</v>
      </c>
      <c r="Y5450" t="s">
        <v>25557</v>
      </c>
      <c r="Z5450" t="s">
        <v>32305</v>
      </c>
      <c r="AA5450">
        <v>0.64596506441767432</v>
      </c>
      <c r="AB5450" t="str">
        <f>HYPERLINK("Melting_Curves/meltCurve_Q9BSL1_UBAC1.pdf", "Melting_Curves/meltCurve_Q9BSL1_UBAC1.pdf")</f>
        <v>Melting_Curves/meltCurve_Q9BSL1_UBAC1.pdf</v>
      </c>
    </row>
    <row r="5451" spans="1:28" x14ac:dyDescent="0.25">
      <c r="A5451" t="s">
        <v>5455</v>
      </c>
      <c r="B5451">
        <v>0.995954080203443</v>
      </c>
      <c r="C5451">
        <v>0.89077389692373599</v>
      </c>
      <c r="D5451">
        <v>0.66221606848557302</v>
      </c>
      <c r="E5451">
        <v>0.454956202655874</v>
      </c>
      <c r="F5451">
        <v>0.23667378017912999</v>
      </c>
      <c r="G5451">
        <v>0.13637725110142401</v>
      </c>
      <c r="H5451">
        <v>9.4792592323836897E-2</v>
      </c>
      <c r="I5451">
        <v>9.0528744552441406E-2</v>
      </c>
      <c r="J5451">
        <v>0.116051637187934</v>
      </c>
      <c r="K5451">
        <v>0.107914243399113</v>
      </c>
      <c r="L5451">
        <v>769.54420367015905</v>
      </c>
      <c r="M5451">
        <v>16.0029387837744</v>
      </c>
      <c r="N5451">
        <v>48.649992256806499</v>
      </c>
      <c r="O5451">
        <v>47.355572093655397</v>
      </c>
      <c r="P5451">
        <v>-7.7355435824785004E-2</v>
      </c>
      <c r="Q5451">
        <v>8.4437235895428606E-2</v>
      </c>
      <c r="R5451">
        <v>0.99394112500724496</v>
      </c>
      <c r="S5451" t="s">
        <v>12257</v>
      </c>
      <c r="T5451" t="s">
        <v>13610</v>
      </c>
      <c r="U5451" t="s">
        <v>13610</v>
      </c>
      <c r="V5451" t="s">
        <v>13610</v>
      </c>
      <c r="W5451" t="s">
        <v>18992</v>
      </c>
      <c r="X5451">
        <v>2</v>
      </c>
      <c r="Y5451" t="s">
        <v>25558</v>
      </c>
      <c r="Z5451" t="s">
        <v>32306</v>
      </c>
      <c r="AA5451">
        <v>0.35188540502586618</v>
      </c>
      <c r="AB5451" t="str">
        <f>HYPERLINK("Melting_Curves/meltCurve_Q9BSM1_3_PCGF1.pdf", "Melting_Curves/meltCurve_Q9BSM1_3_PCGF1.pdf")</f>
        <v>Melting_Curves/meltCurve_Q9BSM1_3_PCGF1.pdf</v>
      </c>
    </row>
    <row r="5452" spans="1:28" x14ac:dyDescent="0.25">
      <c r="A5452" t="s">
        <v>5456</v>
      </c>
      <c r="B5452">
        <v>0.995954080203443</v>
      </c>
      <c r="C5452">
        <v>0.90823820007936995</v>
      </c>
      <c r="D5452">
        <v>0.75185800961191895</v>
      </c>
      <c r="E5452">
        <v>0.58982566366878197</v>
      </c>
      <c r="F5452">
        <v>0.33537986185836099</v>
      </c>
      <c r="G5452">
        <v>0.180459093779965</v>
      </c>
      <c r="H5452">
        <v>8.7271080089274297E-2</v>
      </c>
      <c r="I5452">
        <v>7.8200766645132896E-2</v>
      </c>
      <c r="J5452">
        <v>6.8864177054265896E-2</v>
      </c>
      <c r="K5452">
        <v>6.8643791076608104E-2</v>
      </c>
      <c r="L5452">
        <v>693.97829509339704</v>
      </c>
      <c r="M5452">
        <v>13.792505071472499</v>
      </c>
      <c r="N5452">
        <v>50.548152729226601</v>
      </c>
      <c r="O5452">
        <v>49.293273315129497</v>
      </c>
      <c r="P5452">
        <v>-6.7810449531669995E-2</v>
      </c>
      <c r="Q5452">
        <v>3.0740194601714E-2</v>
      </c>
      <c r="R5452">
        <v>0.99488688072802201</v>
      </c>
      <c r="S5452" t="s">
        <v>12258</v>
      </c>
      <c r="T5452" t="s">
        <v>13610</v>
      </c>
      <c r="U5452" t="s">
        <v>13610</v>
      </c>
      <c r="V5452" t="s">
        <v>13610</v>
      </c>
      <c r="W5452" t="s">
        <v>18993</v>
      </c>
      <c r="X5452">
        <v>10</v>
      </c>
      <c r="Y5452" t="s">
        <v>25559</v>
      </c>
      <c r="Z5452" t="s">
        <v>32307</v>
      </c>
      <c r="AA5452">
        <v>0.39040999491866418</v>
      </c>
      <c r="AB5452" t="str">
        <f>HYPERLINK("Melting_Curves/meltCurve_Q9BSQ5_CCM2.pdf", "Melting_Curves/meltCurve_Q9BSQ5_CCM2.pdf")</f>
        <v>Melting_Curves/meltCurve_Q9BSQ5_CCM2.pdf</v>
      </c>
    </row>
    <row r="5453" spans="1:28" x14ac:dyDescent="0.25">
      <c r="A5453" t="s">
        <v>5457</v>
      </c>
      <c r="B5453">
        <v>0.995954080203443</v>
      </c>
      <c r="C5453">
        <v>0.94986679858470302</v>
      </c>
      <c r="D5453">
        <v>0.76954232179527404</v>
      </c>
      <c r="E5453">
        <v>0.76667078749591899</v>
      </c>
      <c r="F5453">
        <v>0.37692666772767902</v>
      </c>
      <c r="G5453">
        <v>0.24134354090180801</v>
      </c>
      <c r="H5453">
        <v>0.16879416673745201</v>
      </c>
      <c r="I5453">
        <v>0.18050608232885401</v>
      </c>
      <c r="J5453">
        <v>0.18837473296724</v>
      </c>
      <c r="K5453">
        <v>0.17754380023486299</v>
      </c>
      <c r="L5453">
        <v>857.20042795060397</v>
      </c>
      <c r="M5453">
        <v>16.8408658226728</v>
      </c>
      <c r="N5453">
        <v>51.984558140387001</v>
      </c>
      <c r="O5453">
        <v>50.198590909899998</v>
      </c>
      <c r="P5453">
        <v>-7.1452087639501297E-2</v>
      </c>
      <c r="Q5453">
        <v>0.148128584117768</v>
      </c>
      <c r="R5453">
        <v>0.96774435921726898</v>
      </c>
      <c r="S5453" t="s">
        <v>12259</v>
      </c>
      <c r="T5453" t="s">
        <v>13610</v>
      </c>
      <c r="U5453" t="s">
        <v>13610</v>
      </c>
      <c r="V5453" t="s">
        <v>13610</v>
      </c>
      <c r="W5453" t="s">
        <v>18994</v>
      </c>
      <c r="X5453">
        <v>2</v>
      </c>
      <c r="Y5453" t="s">
        <v>25560</v>
      </c>
      <c r="Z5453" t="s">
        <v>32308</v>
      </c>
      <c r="AA5453">
        <v>0.47382992900968302</v>
      </c>
      <c r="AB5453" t="str">
        <f>HYPERLINK("Melting_Curves/meltCurve_Q9BSR8_YIPF4.pdf", "Melting_Curves/meltCurve_Q9BSR8_YIPF4.pdf")</f>
        <v>Melting_Curves/meltCurve_Q9BSR8_YIPF4.pdf</v>
      </c>
    </row>
    <row r="5454" spans="1:28" x14ac:dyDescent="0.25">
      <c r="A5454" t="s">
        <v>5458</v>
      </c>
      <c r="B5454">
        <v>0.995954080203443</v>
      </c>
      <c r="C5454">
        <v>0.99766414494678302</v>
      </c>
      <c r="D5454">
        <v>0.81392382506156002</v>
      </c>
      <c r="E5454">
        <v>0.45628010884647102</v>
      </c>
      <c r="F5454">
        <v>9.8153775954749306E-2</v>
      </c>
      <c r="G5454">
        <v>7.8153851042523398E-2</v>
      </c>
      <c r="H5454">
        <v>7.1388845045252294E-2</v>
      </c>
      <c r="I5454">
        <v>5.3750436426052602E-2</v>
      </c>
      <c r="J5454">
        <v>0.10877165303132399</v>
      </c>
      <c r="K5454">
        <v>5.4106964613625297E-2</v>
      </c>
      <c r="L5454">
        <v>1305.08828916639</v>
      </c>
      <c r="M5454">
        <v>26.658283528062999</v>
      </c>
      <c r="N5454">
        <v>49.194078773380099</v>
      </c>
      <c r="O5454">
        <v>48.683219471729899</v>
      </c>
      <c r="P5454">
        <v>-0.128619726635299</v>
      </c>
      <c r="Q5454">
        <v>6.0471321000970302E-2</v>
      </c>
      <c r="R5454">
        <v>0.99169710048148896</v>
      </c>
      <c r="S5454" t="s">
        <v>12260</v>
      </c>
      <c r="T5454" t="s">
        <v>13610</v>
      </c>
      <c r="U5454" t="s">
        <v>13610</v>
      </c>
      <c r="V5454" t="s">
        <v>13610</v>
      </c>
      <c r="W5454" t="s">
        <v>18995</v>
      </c>
      <c r="X5454">
        <v>1</v>
      </c>
      <c r="Y5454" t="s">
        <v>25561</v>
      </c>
      <c r="Z5454" t="s">
        <v>32309</v>
      </c>
      <c r="AA5454">
        <v>0.34824905232945907</v>
      </c>
      <c r="AB5454" t="str">
        <f>HYPERLINK("Melting_Curves/meltCurve_Q9BST9_3_RTKN.pdf", "Melting_Curves/meltCurve_Q9BST9_3_RTKN.pdf")</f>
        <v>Melting_Curves/meltCurve_Q9BST9_3_RTKN.pdf</v>
      </c>
    </row>
    <row r="5455" spans="1:28" x14ac:dyDescent="0.25">
      <c r="A5455" t="s">
        <v>5459</v>
      </c>
      <c r="B5455">
        <v>0.995954080203443</v>
      </c>
      <c r="C5455">
        <v>0.87902162156576302</v>
      </c>
      <c r="D5455">
        <v>1.0116289811741599</v>
      </c>
      <c r="E5455">
        <v>0.77282396629969197</v>
      </c>
      <c r="F5455">
        <v>0.66134432314315394</v>
      </c>
      <c r="G5455">
        <v>0.34225772424595702</v>
      </c>
      <c r="H5455">
        <v>0.192493136009908</v>
      </c>
      <c r="I5455">
        <v>0.18055092245652599</v>
      </c>
      <c r="J5455">
        <v>0.28880317898376301</v>
      </c>
      <c r="K5455">
        <v>0.19592889519860501</v>
      </c>
      <c r="L5455">
        <v>1098.5650721910499</v>
      </c>
      <c r="M5455">
        <v>20.672365369595799</v>
      </c>
      <c r="N5455">
        <v>54.432241881927403</v>
      </c>
      <c r="O5455">
        <v>52.651933080352798</v>
      </c>
      <c r="P5455">
        <v>-7.9143066303440604E-2</v>
      </c>
      <c r="Q5455">
        <v>0.19372237586886301</v>
      </c>
      <c r="R5455">
        <v>0.97013014712903101</v>
      </c>
      <c r="S5455" t="s">
        <v>12261</v>
      </c>
      <c r="T5455" t="s">
        <v>13610</v>
      </c>
      <c r="U5455" t="s">
        <v>13610</v>
      </c>
      <c r="V5455" t="s">
        <v>13610</v>
      </c>
      <c r="W5455" t="s">
        <v>18996</v>
      </c>
      <c r="X5455">
        <v>6</v>
      </c>
      <c r="Y5455" t="s">
        <v>25562</v>
      </c>
      <c r="Z5455" t="s">
        <v>32310</v>
      </c>
      <c r="AA5455">
        <v>0.55738488603173419</v>
      </c>
      <c r="AB5455" t="str">
        <f>HYPERLINK("Melting_Curves/meltCurve_Q9BSU1_C16orf70.pdf", "Melting_Curves/meltCurve_Q9BSU1_C16orf70.pdf")</f>
        <v>Melting_Curves/meltCurve_Q9BSU1_C16orf70.pdf</v>
      </c>
    </row>
    <row r="5456" spans="1:28" x14ac:dyDescent="0.25">
      <c r="A5456" t="s">
        <v>5460</v>
      </c>
      <c r="B5456">
        <v>0.995954080203443</v>
      </c>
      <c r="C5456">
        <v>0.93444336588673504</v>
      </c>
      <c r="D5456">
        <v>0.820282792670747</v>
      </c>
      <c r="E5456">
        <v>0.64851850941512201</v>
      </c>
      <c r="F5456">
        <v>0.21033652974134401</v>
      </c>
      <c r="G5456">
        <v>0.160520060929952</v>
      </c>
      <c r="H5456">
        <v>0.14141409943803701</v>
      </c>
      <c r="I5456">
        <v>0.17567047817479101</v>
      </c>
      <c r="J5456">
        <v>0.15221503442697601</v>
      </c>
      <c r="K5456">
        <v>0.19592414666565</v>
      </c>
      <c r="L5456">
        <v>1248.64994011928</v>
      </c>
      <c r="M5456">
        <v>25.072111333287602</v>
      </c>
      <c r="N5456">
        <v>50.512738570497099</v>
      </c>
      <c r="O5456">
        <v>49.488769352335403</v>
      </c>
      <c r="P5456">
        <v>-0.10783944616385401</v>
      </c>
      <c r="Q5456">
        <v>0.14857275678808601</v>
      </c>
      <c r="R5456">
        <v>0.97378376459183802</v>
      </c>
      <c r="S5456" t="s">
        <v>12262</v>
      </c>
      <c r="T5456" t="s">
        <v>13610</v>
      </c>
      <c r="U5456" t="s">
        <v>13610</v>
      </c>
      <c r="V5456" t="s">
        <v>13610</v>
      </c>
      <c r="W5456" t="s">
        <v>18997</v>
      </c>
      <c r="X5456">
        <v>8</v>
      </c>
      <c r="Y5456" t="s">
        <v>25563</v>
      </c>
      <c r="Z5456" t="s">
        <v>32311</v>
      </c>
      <c r="AA5456">
        <v>0.43432309732957208</v>
      </c>
      <c r="AB5456" t="str">
        <f>HYPERLINK("Melting_Curves/meltCurve_Q9BSU3_NAA11.pdf", "Melting_Curves/meltCurve_Q9BSU3_NAA11.pdf")</f>
        <v>Melting_Curves/meltCurve_Q9BSU3_NAA11.pdf</v>
      </c>
    </row>
    <row r="5457" spans="1:28" x14ac:dyDescent="0.25">
      <c r="A5457" t="s">
        <v>5461</v>
      </c>
      <c r="B5457">
        <v>0.995954080203443</v>
      </c>
      <c r="C5457">
        <v>0.87632377820895102</v>
      </c>
      <c r="D5457">
        <v>0.71528046537408796</v>
      </c>
      <c r="E5457">
        <v>0.43336707789009299</v>
      </c>
      <c r="F5457">
        <v>0.241133818377256</v>
      </c>
      <c r="G5457">
        <v>0.14587755079078099</v>
      </c>
      <c r="H5457">
        <v>0.107991753405853</v>
      </c>
      <c r="I5457">
        <v>9.6185092018446702E-2</v>
      </c>
      <c r="J5457">
        <v>0.114886069748832</v>
      </c>
      <c r="K5457">
        <v>0.113630648895939</v>
      </c>
      <c r="L5457">
        <v>808.89838025719303</v>
      </c>
      <c r="M5457">
        <v>16.788908659523599</v>
      </c>
      <c r="N5457">
        <v>48.777036074380703</v>
      </c>
      <c r="O5457">
        <v>47.512556135958398</v>
      </c>
      <c r="P5457">
        <v>-8.0146336448434594E-2</v>
      </c>
      <c r="Q5457">
        <v>9.2803876138994296E-2</v>
      </c>
      <c r="R5457">
        <v>0.99775929896465299</v>
      </c>
      <c r="S5457" t="s">
        <v>12263</v>
      </c>
      <c r="T5457" t="s">
        <v>13610</v>
      </c>
      <c r="U5457" t="s">
        <v>13610</v>
      </c>
      <c r="V5457" t="s">
        <v>13610</v>
      </c>
      <c r="W5457" t="s">
        <v>18998</v>
      </c>
      <c r="X5457">
        <v>8</v>
      </c>
      <c r="Y5457" t="s">
        <v>25564</v>
      </c>
      <c r="Z5457" t="s">
        <v>32312</v>
      </c>
      <c r="AA5457">
        <v>0.35865827438703801</v>
      </c>
      <c r="AB5457" t="str">
        <f>HYPERLINK("Melting_Curves/meltCurve_Q9BSV6_TSEN34.pdf", "Melting_Curves/meltCurve_Q9BSV6_TSEN34.pdf")</f>
        <v>Melting_Curves/meltCurve_Q9BSV6_TSEN34.pdf</v>
      </c>
    </row>
    <row r="5458" spans="1:28" x14ac:dyDescent="0.25">
      <c r="A5458" t="s">
        <v>5462</v>
      </c>
      <c r="B5458">
        <v>0.995954080203443</v>
      </c>
      <c r="C5458">
        <v>0.98097282797004703</v>
      </c>
      <c r="D5458">
        <v>0.84786108750858202</v>
      </c>
      <c r="E5458">
        <v>0.78744669299028902</v>
      </c>
      <c r="F5458">
        <v>0.61207519268094901</v>
      </c>
      <c r="G5458">
        <v>0.44081447805789598</v>
      </c>
      <c r="H5458">
        <v>0.38310594390137998</v>
      </c>
      <c r="I5458">
        <v>0.42664251691605798</v>
      </c>
      <c r="J5458">
        <v>0.462509289886955</v>
      </c>
      <c r="K5458">
        <v>0.489434333412746</v>
      </c>
      <c r="L5458">
        <v>918.77757675481996</v>
      </c>
      <c r="M5458">
        <v>18.189528534987101</v>
      </c>
      <c r="N5458">
        <v>56.369428835067701</v>
      </c>
      <c r="O5458">
        <v>49.912703885136501</v>
      </c>
      <c r="P5458">
        <v>-5.2435524028165301E-2</v>
      </c>
      <c r="Q5458">
        <v>0.424487592005382</v>
      </c>
      <c r="R5458">
        <v>0.96324354886414498</v>
      </c>
      <c r="S5458" t="s">
        <v>12264</v>
      </c>
      <c r="T5458" t="s">
        <v>13610</v>
      </c>
      <c r="U5458" t="s">
        <v>13610</v>
      </c>
      <c r="V5458" t="s">
        <v>13610</v>
      </c>
      <c r="W5458" t="s">
        <v>18999</v>
      </c>
      <c r="X5458">
        <v>11</v>
      </c>
      <c r="Y5458" t="s">
        <v>25565</v>
      </c>
      <c r="Z5458" t="s">
        <v>32313</v>
      </c>
      <c r="AA5458">
        <v>0.63569966521453647</v>
      </c>
      <c r="AB5458" t="str">
        <f>HYPERLINK("Melting_Curves/meltCurve_Q9BSW2_2_EFCAB4B.pdf", "Melting_Curves/meltCurve_Q9BSW2_2_EFCAB4B.pdf")</f>
        <v>Melting_Curves/meltCurve_Q9BSW2_2_EFCAB4B.pdf</v>
      </c>
    </row>
    <row r="5459" spans="1:28" x14ac:dyDescent="0.25">
      <c r="A5459" t="s">
        <v>5463</v>
      </c>
      <c r="B5459">
        <v>0.995954080203443</v>
      </c>
      <c r="C5459">
        <v>1.0103162913561801</v>
      </c>
      <c r="D5459">
        <v>0.96892049904295396</v>
      </c>
      <c r="E5459">
        <v>0.85554796406050004</v>
      </c>
      <c r="F5459">
        <v>0.808039500536746</v>
      </c>
      <c r="G5459">
        <v>0.59385723093477705</v>
      </c>
      <c r="H5459">
        <v>0.53703504454887097</v>
      </c>
      <c r="I5459">
        <v>0.56201375329153802</v>
      </c>
      <c r="J5459">
        <v>0.73137659620407303</v>
      </c>
      <c r="K5459">
        <v>0.65688042672153302</v>
      </c>
      <c r="L5459">
        <v>1335.6318433025999</v>
      </c>
      <c r="M5459">
        <v>25.804559216718399</v>
      </c>
      <c r="O5459">
        <v>51.451677603534201</v>
      </c>
      <c r="P5459">
        <v>-4.8407883887436297E-2</v>
      </c>
      <c r="Q5459">
        <v>0.61392288375461901</v>
      </c>
      <c r="R5459">
        <v>0.88944715932829999</v>
      </c>
      <c r="S5459" t="s">
        <v>12265</v>
      </c>
      <c r="T5459" t="s">
        <v>13610</v>
      </c>
      <c r="U5459" t="s">
        <v>13610</v>
      </c>
      <c r="V5459" t="s">
        <v>13610</v>
      </c>
      <c r="W5459" t="s">
        <v>19000</v>
      </c>
      <c r="X5459">
        <v>7</v>
      </c>
      <c r="Y5459" t="s">
        <v>25566</v>
      </c>
      <c r="Z5459" t="s">
        <v>32314</v>
      </c>
      <c r="AA5459">
        <v>0.76856541523412392</v>
      </c>
      <c r="AB5459" t="str">
        <f>HYPERLINK("Melting_Curves/meltCurve_Q9BSY4_CHCHD5.pdf", "Melting_Curves/meltCurve_Q9BSY4_CHCHD5.pdf")</f>
        <v>Melting_Curves/meltCurve_Q9BSY4_CHCHD5.pdf</v>
      </c>
    </row>
    <row r="5460" spans="1:28" x14ac:dyDescent="0.25">
      <c r="A5460" t="s">
        <v>5464</v>
      </c>
      <c r="B5460">
        <v>0.995954080203443</v>
      </c>
      <c r="C5460">
        <v>1.0169510748092601</v>
      </c>
      <c r="D5460">
        <v>1.04025443346846</v>
      </c>
      <c r="E5460">
        <v>0.91969413932787902</v>
      </c>
      <c r="F5460">
        <v>0.87179010587084205</v>
      </c>
      <c r="G5460">
        <v>0.64019754606690005</v>
      </c>
      <c r="H5460">
        <v>0.627493924719569</v>
      </c>
      <c r="I5460">
        <v>0.75094800626054004</v>
      </c>
      <c r="J5460">
        <v>0.90942564781048596</v>
      </c>
      <c r="K5460">
        <v>0.89115296662711796</v>
      </c>
      <c r="L5460">
        <v>2039.8035161648299</v>
      </c>
      <c r="M5460">
        <v>39.505166644600401</v>
      </c>
      <c r="O5460">
        <v>51.502065402018502</v>
      </c>
      <c r="P5460">
        <v>-4.4443069212558202E-2</v>
      </c>
      <c r="Q5460">
        <v>0.76824247819035796</v>
      </c>
      <c r="R5460">
        <v>0.60377922522574501</v>
      </c>
      <c r="S5460" t="s">
        <v>12266</v>
      </c>
      <c r="T5460" t="s">
        <v>13610</v>
      </c>
      <c r="U5460" t="s">
        <v>13610</v>
      </c>
      <c r="V5460" t="s">
        <v>13610</v>
      </c>
      <c r="W5460" t="s">
        <v>19001</v>
      </c>
      <c r="X5460">
        <v>10</v>
      </c>
      <c r="Y5460" t="s">
        <v>25567</v>
      </c>
      <c r="Z5460" t="s">
        <v>32315</v>
      </c>
      <c r="AA5460">
        <v>0.85896469891070681</v>
      </c>
      <c r="AB5460" t="str">
        <f>HYPERLINK("Melting_Curves/meltCurve_Q9BT09_CNPY3.pdf", "Melting_Curves/meltCurve_Q9BT09_CNPY3.pdf")</f>
        <v>Melting_Curves/meltCurve_Q9BT09_CNPY3.pdf</v>
      </c>
    </row>
    <row r="5461" spans="1:28" x14ac:dyDescent="0.25">
      <c r="A5461" t="s">
        <v>5465</v>
      </c>
      <c r="B5461">
        <v>0.995954080203443</v>
      </c>
      <c r="C5461">
        <v>0.86441746074896497</v>
      </c>
      <c r="D5461">
        <v>0.60747402757102498</v>
      </c>
      <c r="E5461">
        <v>0.48144826324250301</v>
      </c>
      <c r="F5461">
        <v>0.373827362398573</v>
      </c>
      <c r="G5461">
        <v>0.233074865024789</v>
      </c>
      <c r="H5461">
        <v>0.139879484238285</v>
      </c>
      <c r="I5461">
        <v>0.117538534444024</v>
      </c>
      <c r="J5461">
        <v>0.124046572698785</v>
      </c>
      <c r="K5461">
        <v>0.101097455122568</v>
      </c>
      <c r="L5461">
        <v>559.42112263005299</v>
      </c>
      <c r="M5461">
        <v>11.487500357431999</v>
      </c>
      <c r="N5461">
        <v>49.410427959878902</v>
      </c>
      <c r="O5461">
        <v>47.292610766853997</v>
      </c>
      <c r="P5461">
        <v>-5.6108466630957803E-2</v>
      </c>
      <c r="Q5461">
        <v>7.6297312340353293E-2</v>
      </c>
      <c r="R5461">
        <v>0.98563149624992696</v>
      </c>
      <c r="S5461" t="s">
        <v>12267</v>
      </c>
      <c r="T5461" t="s">
        <v>13610</v>
      </c>
      <c r="U5461" t="s">
        <v>13610</v>
      </c>
      <c r="V5461" t="s">
        <v>13610</v>
      </c>
      <c r="W5461" t="s">
        <v>19002</v>
      </c>
      <c r="X5461">
        <v>4</v>
      </c>
      <c r="Y5461" t="s">
        <v>25568</v>
      </c>
      <c r="Z5461" t="s">
        <v>32316</v>
      </c>
      <c r="AA5461">
        <v>0.3813166576820764</v>
      </c>
      <c r="AB5461" t="str">
        <f>HYPERLINK("Melting_Curves/meltCurve_Q9BT25_2_HAUS8.pdf", "Melting_Curves/meltCurve_Q9BT25_2_HAUS8.pdf")</f>
        <v>Melting_Curves/meltCurve_Q9BT25_2_HAUS8.pdf</v>
      </c>
    </row>
    <row r="5462" spans="1:28" x14ac:dyDescent="0.25">
      <c r="A5462" t="s">
        <v>5466</v>
      </c>
      <c r="B5462">
        <v>0.995954080203443</v>
      </c>
      <c r="C5462">
        <v>0.977709910783916</v>
      </c>
      <c r="D5462">
        <v>0.71555312992123299</v>
      </c>
      <c r="E5462">
        <v>0.39954195255264102</v>
      </c>
      <c r="F5462">
        <v>0.26319407004921602</v>
      </c>
      <c r="G5462">
        <v>0.15512329675741601</v>
      </c>
      <c r="H5462">
        <v>0.12896881473334501</v>
      </c>
      <c r="I5462">
        <v>0.16887354507402599</v>
      </c>
      <c r="J5462">
        <v>0.15287484888199501</v>
      </c>
      <c r="K5462">
        <v>0.18964824006390801</v>
      </c>
      <c r="L5462">
        <v>1042.28305157863</v>
      </c>
      <c r="M5462">
        <v>21.815891387330701</v>
      </c>
      <c r="N5462">
        <v>48.608636015455097</v>
      </c>
      <c r="O5462">
        <v>47.380319426980101</v>
      </c>
      <c r="P5462">
        <v>-9.7172035500191198E-2</v>
      </c>
      <c r="Q5462">
        <v>0.155856485633391</v>
      </c>
      <c r="R5462">
        <v>0.99423399161288395</v>
      </c>
      <c r="S5462" t="s">
        <v>12268</v>
      </c>
      <c r="T5462" t="s">
        <v>13610</v>
      </c>
      <c r="U5462" t="s">
        <v>13610</v>
      </c>
      <c r="V5462" t="s">
        <v>13610</v>
      </c>
      <c r="W5462" t="s">
        <v>19003</v>
      </c>
      <c r="X5462">
        <v>1</v>
      </c>
      <c r="Y5462" t="s">
        <v>25569</v>
      </c>
      <c r="Z5462" t="s">
        <v>32317</v>
      </c>
      <c r="AA5462">
        <v>0.38467248780092789</v>
      </c>
      <c r="AB5462" t="str">
        <f>HYPERLINK("Melting_Curves/meltCurve_Q9BT30_ALKBH7.pdf", "Melting_Curves/meltCurve_Q9BT30_ALKBH7.pdf")</f>
        <v>Melting_Curves/meltCurve_Q9BT30_ALKBH7.pdf</v>
      </c>
    </row>
    <row r="5463" spans="1:28" x14ac:dyDescent="0.25">
      <c r="A5463" t="s">
        <v>5467</v>
      </c>
      <c r="B5463">
        <v>0.995954080203443</v>
      </c>
      <c r="C5463">
        <v>1.13851453902976</v>
      </c>
      <c r="D5463">
        <v>1.1150315001468301</v>
      </c>
      <c r="E5463">
        <v>1.09182036437332</v>
      </c>
      <c r="F5463">
        <v>0.15885394326192601</v>
      </c>
      <c r="G5463">
        <v>0.765071950029242</v>
      </c>
      <c r="H5463">
        <v>0.60365620855083901</v>
      </c>
      <c r="I5463">
        <v>0.52294290876799399</v>
      </c>
      <c r="J5463">
        <v>0.47032588013833898</v>
      </c>
      <c r="K5463">
        <v>0.35666091364091002</v>
      </c>
      <c r="L5463">
        <v>5964.0292023677503</v>
      </c>
      <c r="M5463">
        <v>116.442270100527</v>
      </c>
      <c r="N5463">
        <v>52.6769658853013</v>
      </c>
      <c r="O5463">
        <v>51.203646135956298</v>
      </c>
      <c r="P5463">
        <v>-0.29558230890991</v>
      </c>
      <c r="Q5463">
        <v>0.48008927974895999</v>
      </c>
      <c r="R5463">
        <v>0.75617194663772802</v>
      </c>
      <c r="S5463" t="s">
        <v>12269</v>
      </c>
      <c r="T5463" t="s">
        <v>13610</v>
      </c>
      <c r="U5463" t="s">
        <v>13610</v>
      </c>
      <c r="V5463" t="s">
        <v>13610</v>
      </c>
      <c r="W5463" t="s">
        <v>19004</v>
      </c>
      <c r="X5463">
        <v>3</v>
      </c>
      <c r="Y5463" t="s">
        <v>25570</v>
      </c>
      <c r="Z5463" t="s">
        <v>32318</v>
      </c>
      <c r="AA5463">
        <v>0.67473007055240553</v>
      </c>
      <c r="AB5463" t="str">
        <f>HYPERLINK("Melting_Curves/meltCurve_Q9BT73_PSMG3.pdf", "Melting_Curves/meltCurve_Q9BT73_PSMG3.pdf")</f>
        <v>Melting_Curves/meltCurve_Q9BT73_PSMG3.pdf</v>
      </c>
    </row>
    <row r="5464" spans="1:28" x14ac:dyDescent="0.25">
      <c r="A5464" t="s">
        <v>5468</v>
      </c>
      <c r="B5464">
        <v>0.995954080203443</v>
      </c>
      <c r="C5464">
        <v>0.81448901221734205</v>
      </c>
      <c r="D5464">
        <v>0.70938711069823002</v>
      </c>
      <c r="E5464">
        <v>0.84664246687543998</v>
      </c>
      <c r="F5464">
        <v>0.67179075575732705</v>
      </c>
      <c r="G5464">
        <v>0.325825140477288</v>
      </c>
      <c r="H5464">
        <v>9.9285528991189406E-2</v>
      </c>
      <c r="I5464">
        <v>7.0538312303240203E-2</v>
      </c>
      <c r="J5464">
        <v>6.9779793583041302E-2</v>
      </c>
      <c r="K5464">
        <v>6.1530316453860097E-2</v>
      </c>
      <c r="L5464">
        <v>735.45652958808398</v>
      </c>
      <c r="M5464">
        <v>13.561565677223999</v>
      </c>
      <c r="N5464">
        <v>54.230945743571198</v>
      </c>
      <c r="O5464">
        <v>53.092518850117301</v>
      </c>
      <c r="P5464">
        <v>-6.3867744120772396E-2</v>
      </c>
      <c r="Q5464">
        <v>0</v>
      </c>
      <c r="R5464">
        <v>0.92620105523889795</v>
      </c>
      <c r="S5464" t="s">
        <v>12270</v>
      </c>
      <c r="T5464" t="s">
        <v>13610</v>
      </c>
      <c r="U5464" t="s">
        <v>13610</v>
      </c>
      <c r="V5464" t="s">
        <v>13610</v>
      </c>
      <c r="W5464" t="s">
        <v>19005</v>
      </c>
      <c r="X5464">
        <v>28</v>
      </c>
      <c r="Y5464" t="s">
        <v>25571</v>
      </c>
      <c r="Z5464" t="s">
        <v>32319</v>
      </c>
      <c r="AA5464">
        <v>0.49705906467888122</v>
      </c>
      <c r="AB5464" t="str">
        <f>HYPERLINK("Melting_Curves/meltCurve_Q9BT78_COPS4.pdf", "Melting_Curves/meltCurve_Q9BT78_COPS4.pdf")</f>
        <v>Melting_Curves/meltCurve_Q9BT78_COPS4.pdf</v>
      </c>
    </row>
    <row r="5465" spans="1:28" x14ac:dyDescent="0.25">
      <c r="A5465" t="s">
        <v>5469</v>
      </c>
      <c r="B5465">
        <v>0.995954080203443</v>
      </c>
      <c r="C5465">
        <v>0.92893769239226898</v>
      </c>
      <c r="D5465">
        <v>0.906496146763625</v>
      </c>
      <c r="E5465">
        <v>0.76417553221253498</v>
      </c>
      <c r="F5465">
        <v>0.78325347676619705</v>
      </c>
      <c r="G5465">
        <v>0.61641888003656198</v>
      </c>
      <c r="H5465">
        <v>0.57158771205974301</v>
      </c>
      <c r="I5465">
        <v>0.70969589380942399</v>
      </c>
      <c r="J5465">
        <v>0.80255982463408104</v>
      </c>
      <c r="K5465">
        <v>0.81634535354957305</v>
      </c>
      <c r="L5465">
        <v>988.54187374989203</v>
      </c>
      <c r="M5465">
        <v>21.047065654211099</v>
      </c>
      <c r="O5465">
        <v>46.550318625372398</v>
      </c>
      <c r="P5465">
        <v>-3.2779725132411702E-2</v>
      </c>
      <c r="Q5465">
        <v>0.71000877977170196</v>
      </c>
      <c r="R5465">
        <v>0.66589578028971996</v>
      </c>
      <c r="S5465" t="s">
        <v>12271</v>
      </c>
      <c r="T5465" t="s">
        <v>13610</v>
      </c>
      <c r="U5465" t="s">
        <v>13610</v>
      </c>
      <c r="V5465" t="s">
        <v>13610</v>
      </c>
      <c r="W5465" t="s">
        <v>19006</v>
      </c>
      <c r="X5465">
        <v>5</v>
      </c>
      <c r="Y5465" t="s">
        <v>25572</v>
      </c>
      <c r="Z5465" t="s">
        <v>32320</v>
      </c>
      <c r="AA5465">
        <v>0.78116157618624527</v>
      </c>
      <c r="AB5465" t="str">
        <f>HYPERLINK("Melting_Curves/meltCurve_Q9BT92_TCHP.pdf", "Melting_Curves/meltCurve_Q9BT92_TCHP.pdf")</f>
        <v>Melting_Curves/meltCurve_Q9BT92_TCHP.pdf</v>
      </c>
    </row>
    <row r="5466" spans="1:28" x14ac:dyDescent="0.25">
      <c r="A5466" t="s">
        <v>5470</v>
      </c>
      <c r="B5466">
        <v>0.995954080203443</v>
      </c>
      <c r="C5466">
        <v>0.83966316472875602</v>
      </c>
      <c r="D5466">
        <v>0.79546724212091402</v>
      </c>
      <c r="E5466">
        <v>0.59991276190393905</v>
      </c>
      <c r="F5466">
        <v>0.52866721589478904</v>
      </c>
      <c r="G5466">
        <v>0.36615482731924198</v>
      </c>
      <c r="H5466">
        <v>0.33425567635419601</v>
      </c>
      <c r="I5466">
        <v>0.44819018519068199</v>
      </c>
      <c r="J5466">
        <v>0.42662066263674497</v>
      </c>
      <c r="K5466">
        <v>0.46544033947332503</v>
      </c>
      <c r="L5466">
        <v>732.52358224056695</v>
      </c>
      <c r="M5466">
        <v>15.451787257955299</v>
      </c>
      <c r="N5466">
        <v>52.933776441471302</v>
      </c>
      <c r="O5466">
        <v>46.634321846078997</v>
      </c>
      <c r="P5466">
        <v>-4.9673491030449803E-2</v>
      </c>
      <c r="Q5466">
        <v>0.40038512415607702</v>
      </c>
      <c r="R5466">
        <v>0.94503138661923802</v>
      </c>
      <c r="S5466" t="s">
        <v>12272</v>
      </c>
      <c r="T5466" t="s">
        <v>13610</v>
      </c>
      <c r="U5466" t="s">
        <v>13610</v>
      </c>
      <c r="V5466" t="s">
        <v>13610</v>
      </c>
      <c r="W5466" t="s">
        <v>19007</v>
      </c>
      <c r="X5466">
        <v>12</v>
      </c>
      <c r="Y5466" t="s">
        <v>25573</v>
      </c>
      <c r="Z5466" t="s">
        <v>32321</v>
      </c>
      <c r="AA5466">
        <v>0.56340191326298472</v>
      </c>
      <c r="AB5466" t="str">
        <f>HYPERLINK("Melting_Curves/meltCurve_Q9BTA9_2_WAC.pdf", "Melting_Curves/meltCurve_Q9BTA9_2_WAC.pdf")</f>
        <v>Melting_Curves/meltCurve_Q9BTA9_2_WAC.pdf</v>
      </c>
    </row>
    <row r="5467" spans="1:28" x14ac:dyDescent="0.25">
      <c r="A5467" t="s">
        <v>5471</v>
      </c>
      <c r="B5467">
        <v>0.995954080203443</v>
      </c>
      <c r="C5467">
        <v>0.97219717937193395</v>
      </c>
      <c r="D5467">
        <v>0.96668533038280402</v>
      </c>
      <c r="E5467">
        <v>0.80951517280405905</v>
      </c>
      <c r="F5467">
        <v>0.80670315745504595</v>
      </c>
      <c r="G5467">
        <v>0.61778483119603</v>
      </c>
      <c r="H5467">
        <v>0.54688772081691095</v>
      </c>
      <c r="I5467">
        <v>0.59916903928014598</v>
      </c>
      <c r="J5467">
        <v>0.75690313665344</v>
      </c>
      <c r="K5467">
        <v>0.64928478730308203</v>
      </c>
      <c r="L5467">
        <v>1069.26319830328</v>
      </c>
      <c r="M5467">
        <v>21.092807998073699</v>
      </c>
      <c r="O5467">
        <v>50.2442056077902</v>
      </c>
      <c r="P5467">
        <v>-3.8589447229966503E-2</v>
      </c>
      <c r="Q5467">
        <v>0.63232110560999299</v>
      </c>
      <c r="R5467">
        <v>0.86271158354416499</v>
      </c>
      <c r="S5467" t="s">
        <v>12273</v>
      </c>
      <c r="T5467" t="s">
        <v>13610</v>
      </c>
      <c r="U5467" t="s">
        <v>13610</v>
      </c>
      <c r="V5467" t="s">
        <v>13610</v>
      </c>
      <c r="W5467" t="s">
        <v>19008</v>
      </c>
      <c r="X5467">
        <v>61</v>
      </c>
      <c r="Y5467" t="s">
        <v>25574</v>
      </c>
      <c r="Z5467" t="s">
        <v>32322</v>
      </c>
      <c r="AA5467">
        <v>0.76799179309508336</v>
      </c>
      <c r="AB5467" t="str">
        <f>HYPERLINK("Melting_Curves/meltCurve_Q9BTC0_DIDO1.pdf", "Melting_Curves/meltCurve_Q9BTC0_DIDO1.pdf")</f>
        <v>Melting_Curves/meltCurve_Q9BTC0_DIDO1.pdf</v>
      </c>
    </row>
    <row r="5468" spans="1:28" x14ac:dyDescent="0.25">
      <c r="A5468" t="s">
        <v>5472</v>
      </c>
      <c r="B5468">
        <v>0.995954080203443</v>
      </c>
      <c r="C5468">
        <v>0.94936772378626</v>
      </c>
      <c r="D5468">
        <v>0.89244137570220505</v>
      </c>
      <c r="E5468">
        <v>0.78936370964511404</v>
      </c>
      <c r="F5468">
        <v>0.64687594341657495</v>
      </c>
      <c r="G5468">
        <v>0.46974010704457497</v>
      </c>
      <c r="H5468">
        <v>0.39411509959380597</v>
      </c>
      <c r="I5468">
        <v>0.41752690150995297</v>
      </c>
      <c r="J5468">
        <v>0.43251315091922898</v>
      </c>
      <c r="K5468">
        <v>0.43270546099005402</v>
      </c>
      <c r="L5468">
        <v>855.15969386841505</v>
      </c>
      <c r="M5468">
        <v>16.638287067111801</v>
      </c>
      <c r="N5468">
        <v>56.825550448862501</v>
      </c>
      <c r="O5468">
        <v>50.6718576904643</v>
      </c>
      <c r="P5468">
        <v>-4.9422271683742101E-2</v>
      </c>
      <c r="Q5468">
        <v>0.39797892969669801</v>
      </c>
      <c r="R5468">
        <v>0.98718095202297695</v>
      </c>
      <c r="S5468" t="s">
        <v>12274</v>
      </c>
      <c r="T5468" t="s">
        <v>13610</v>
      </c>
      <c r="U5468" t="s">
        <v>13610</v>
      </c>
      <c r="V5468" t="s">
        <v>13610</v>
      </c>
      <c r="W5468" t="s">
        <v>19009</v>
      </c>
      <c r="X5468">
        <v>8</v>
      </c>
      <c r="Y5468" t="s">
        <v>25575</v>
      </c>
      <c r="Z5468" t="s">
        <v>32323</v>
      </c>
      <c r="AA5468">
        <v>0.638259730151433</v>
      </c>
      <c r="AB5468" t="str">
        <f>HYPERLINK("Melting_Curves/meltCurve_Q9BTD8_4_RBM42.pdf", "Melting_Curves/meltCurve_Q9BTD8_4_RBM42.pdf")</f>
        <v>Melting_Curves/meltCurve_Q9BTD8_4_RBM42.pdf</v>
      </c>
    </row>
    <row r="5469" spans="1:28" x14ac:dyDescent="0.25">
      <c r="A5469" t="s">
        <v>5473</v>
      </c>
      <c r="B5469">
        <v>0.995954080203443</v>
      </c>
      <c r="C5469">
        <v>0.82734108665123796</v>
      </c>
      <c r="D5469">
        <v>0.99493511350995301</v>
      </c>
      <c r="E5469">
        <v>0.88806630435581202</v>
      </c>
      <c r="F5469">
        <v>0.760172163046831</v>
      </c>
      <c r="G5469">
        <v>0.56733943534701603</v>
      </c>
      <c r="H5469">
        <v>0.40050824366277898</v>
      </c>
      <c r="I5469">
        <v>0.32029369679083802</v>
      </c>
      <c r="J5469">
        <v>0.11809990663765001</v>
      </c>
      <c r="K5469">
        <v>0.13135982280399899</v>
      </c>
      <c r="L5469">
        <v>672.034796118808</v>
      </c>
      <c r="M5469">
        <v>11.487830374363799</v>
      </c>
      <c r="N5469">
        <v>58.499731395136102</v>
      </c>
      <c r="O5469">
        <v>56.811259794242098</v>
      </c>
      <c r="P5469">
        <v>-5.0567039212323701E-2</v>
      </c>
      <c r="Q5469">
        <v>0</v>
      </c>
      <c r="R5469">
        <v>0.96732493268533104</v>
      </c>
      <c r="S5469" t="s">
        <v>12275</v>
      </c>
      <c r="T5469" t="s">
        <v>13610</v>
      </c>
      <c r="U5469" t="s">
        <v>13610</v>
      </c>
      <c r="V5469" t="s">
        <v>13610</v>
      </c>
      <c r="W5469" t="s">
        <v>19010</v>
      </c>
      <c r="X5469">
        <v>3</v>
      </c>
      <c r="Y5469" t="s">
        <v>25576</v>
      </c>
      <c r="Z5469" t="s">
        <v>32324</v>
      </c>
      <c r="AA5469">
        <v>0.62637880563628812</v>
      </c>
      <c r="AB5469" t="str">
        <f>HYPERLINK("Melting_Curves/meltCurve_Q9BTE1_2_DCTN5.pdf", "Melting_Curves/meltCurve_Q9BTE1_2_DCTN5.pdf")</f>
        <v>Melting_Curves/meltCurve_Q9BTE1_2_DCTN5.pdf</v>
      </c>
    </row>
    <row r="5470" spans="1:28" x14ac:dyDescent="0.25">
      <c r="A5470" t="s">
        <v>5474</v>
      </c>
      <c r="B5470">
        <v>0.995954080203443</v>
      </c>
      <c r="C5470">
        <v>0.87356853729105</v>
      </c>
      <c r="D5470">
        <v>0.74312783455796805</v>
      </c>
      <c r="E5470">
        <v>0.52394940424980296</v>
      </c>
      <c r="F5470">
        <v>0.176313458578396</v>
      </c>
      <c r="G5470">
        <v>0.10332747354312601</v>
      </c>
      <c r="H5470">
        <v>6.8876388612621395E-2</v>
      </c>
      <c r="I5470">
        <v>5.5712105840642803E-2</v>
      </c>
      <c r="J5470">
        <v>6.2967240877990702E-2</v>
      </c>
      <c r="K5470">
        <v>5.8461874050125803E-2</v>
      </c>
      <c r="L5470">
        <v>826.83993941486494</v>
      </c>
      <c r="M5470">
        <v>16.8611429943766</v>
      </c>
      <c r="N5470">
        <v>49.258377212352698</v>
      </c>
      <c r="O5470">
        <v>48.363988493107698</v>
      </c>
      <c r="P5470">
        <v>-8.3999083373925601E-2</v>
      </c>
      <c r="Q5470">
        <v>3.6299835879998403E-2</v>
      </c>
      <c r="R5470">
        <v>0.98774713819458504</v>
      </c>
      <c r="S5470" t="s">
        <v>12276</v>
      </c>
      <c r="T5470" t="s">
        <v>13610</v>
      </c>
      <c r="U5470" t="s">
        <v>13610</v>
      </c>
      <c r="V5470" t="s">
        <v>13610</v>
      </c>
      <c r="W5470" t="s">
        <v>19011</v>
      </c>
      <c r="X5470">
        <v>25</v>
      </c>
      <c r="Y5470" t="s">
        <v>25577</v>
      </c>
      <c r="Z5470" t="s">
        <v>32325</v>
      </c>
      <c r="AA5470">
        <v>0.34561376820794198</v>
      </c>
      <c r="AB5470" t="str">
        <f>HYPERLINK("Melting_Curves/meltCurve_Q9BTE3_2_MCMBP.pdf", "Melting_Curves/meltCurve_Q9BTE3_2_MCMBP.pdf")</f>
        <v>Melting_Curves/meltCurve_Q9BTE3_2_MCMBP.pdf</v>
      </c>
    </row>
    <row r="5471" spans="1:28" x14ac:dyDescent="0.25">
      <c r="A5471" t="s">
        <v>5475</v>
      </c>
      <c r="B5471">
        <v>0.995954080203443</v>
      </c>
      <c r="C5471">
        <v>0.84627765696983503</v>
      </c>
      <c r="D5471">
        <v>0.43136382397086998</v>
      </c>
      <c r="E5471">
        <v>0.20310265223323901</v>
      </c>
      <c r="F5471">
        <v>7.0865797799101599E-2</v>
      </c>
      <c r="G5471">
        <v>4.0608276543724599E-2</v>
      </c>
      <c r="H5471">
        <v>2.18770696079192E-2</v>
      </c>
      <c r="I5471">
        <v>1.4968780298870299E-2</v>
      </c>
      <c r="J5471">
        <v>3.2753715538824599E-2</v>
      </c>
      <c r="K5471">
        <v>2.07104628534047E-2</v>
      </c>
      <c r="L5471">
        <v>1042.1450098006001</v>
      </c>
      <c r="M5471">
        <v>22.8145379136682</v>
      </c>
      <c r="N5471">
        <v>45.800628557099401</v>
      </c>
      <c r="O5471">
        <v>45.332380592759101</v>
      </c>
      <c r="P5471">
        <v>-0.122122215587553</v>
      </c>
      <c r="Q5471">
        <v>2.93936377906432E-2</v>
      </c>
      <c r="R5471">
        <v>0.99408013767504</v>
      </c>
      <c r="S5471" t="s">
        <v>12277</v>
      </c>
      <c r="T5471" t="s">
        <v>13610</v>
      </c>
      <c r="U5471" t="s">
        <v>13610</v>
      </c>
      <c r="V5471" t="s">
        <v>13610</v>
      </c>
      <c r="W5471" t="s">
        <v>19012</v>
      </c>
      <c r="X5471">
        <v>20</v>
      </c>
      <c r="Y5471" t="s">
        <v>25578</v>
      </c>
      <c r="Z5471" t="s">
        <v>32326</v>
      </c>
      <c r="AA5471">
        <v>0.2244473080473848</v>
      </c>
      <c r="AB5471" t="str">
        <f>HYPERLINK("Melting_Curves/meltCurve_Q9BTE6_AARSD1.pdf", "Melting_Curves/meltCurve_Q9BTE6_AARSD1.pdf")</f>
        <v>Melting_Curves/meltCurve_Q9BTE6_AARSD1.pdf</v>
      </c>
    </row>
    <row r="5472" spans="1:28" x14ac:dyDescent="0.25">
      <c r="A5472" t="s">
        <v>5476</v>
      </c>
      <c r="B5472">
        <v>0.995954080203443</v>
      </c>
      <c r="C5472">
        <v>0.82968798816755795</v>
      </c>
      <c r="D5472">
        <v>0.55351529450508197</v>
      </c>
      <c r="E5472">
        <v>0.31520217275988699</v>
      </c>
      <c r="F5472">
        <v>0.18376950127285999</v>
      </c>
      <c r="G5472">
        <v>0.113406369661321</v>
      </c>
      <c r="H5472">
        <v>8.11387031357612E-2</v>
      </c>
      <c r="I5472">
        <v>7.7242295908713093E-2</v>
      </c>
      <c r="J5472">
        <v>8.93629541803556E-2</v>
      </c>
      <c r="K5472">
        <v>7.9720152809556494E-2</v>
      </c>
      <c r="L5472">
        <v>809.59656114171503</v>
      </c>
      <c r="M5472">
        <v>17.4016729763139</v>
      </c>
      <c r="N5472">
        <v>46.982492090155702</v>
      </c>
      <c r="O5472">
        <v>45.922716143073998</v>
      </c>
      <c r="P5472">
        <v>-8.7341497294659398E-2</v>
      </c>
      <c r="Q5472">
        <v>7.8081197385189205E-2</v>
      </c>
      <c r="R5472">
        <v>0.99610093611482198</v>
      </c>
      <c r="S5472" t="s">
        <v>12278</v>
      </c>
      <c r="T5472" t="s">
        <v>13610</v>
      </c>
      <c r="U5472" t="s">
        <v>13610</v>
      </c>
      <c r="V5472" t="s">
        <v>13610</v>
      </c>
      <c r="W5472" t="s">
        <v>19013</v>
      </c>
      <c r="X5472">
        <v>21</v>
      </c>
      <c r="Y5472" t="s">
        <v>25578</v>
      </c>
      <c r="Z5472" t="s">
        <v>32327</v>
      </c>
      <c r="AA5472">
        <v>0.29737936626589723</v>
      </c>
      <c r="AB5472" t="str">
        <f>HYPERLINK("Melting_Curves/meltCurve_Q9BTE6_3_AARSD1.pdf", "Melting_Curves/meltCurve_Q9BTE6_3_AARSD1.pdf")</f>
        <v>Melting_Curves/meltCurve_Q9BTE6_3_AARSD1.pdf</v>
      </c>
    </row>
    <row r="5473" spans="1:28" x14ac:dyDescent="0.25">
      <c r="A5473" t="s">
        <v>5477</v>
      </c>
      <c r="B5473">
        <v>0.995954080203443</v>
      </c>
      <c r="C5473">
        <v>0.90308851554348502</v>
      </c>
      <c r="D5473">
        <v>0.65240376894432395</v>
      </c>
      <c r="E5473">
        <v>0.22299107030603599</v>
      </c>
      <c r="F5473">
        <v>0.102233975313649</v>
      </c>
      <c r="G5473">
        <v>5.6903638517242401E-2</v>
      </c>
      <c r="H5473">
        <v>3.7061009710196303E-2</v>
      </c>
      <c r="I5473">
        <v>3.3242765455238403E-2</v>
      </c>
      <c r="J5473">
        <v>3.7531726711781399E-2</v>
      </c>
      <c r="K5473">
        <v>3.5494466284948803E-2</v>
      </c>
      <c r="L5473">
        <v>1113.64263591453</v>
      </c>
      <c r="M5473">
        <v>23.6588382410043</v>
      </c>
      <c r="N5473">
        <v>47.217480773922198</v>
      </c>
      <c r="O5473">
        <v>46.738474326560599</v>
      </c>
      <c r="P5473">
        <v>-0.12207082029806</v>
      </c>
      <c r="Q5473">
        <v>3.5403575167126597E-2</v>
      </c>
      <c r="R5473">
        <v>0.99976585382706895</v>
      </c>
      <c r="S5473" t="s">
        <v>12279</v>
      </c>
      <c r="T5473" t="s">
        <v>13610</v>
      </c>
      <c r="U5473" t="s">
        <v>13610</v>
      </c>
      <c r="V5473" t="s">
        <v>13610</v>
      </c>
      <c r="W5473" t="s">
        <v>19014</v>
      </c>
      <c r="X5473">
        <v>8</v>
      </c>
      <c r="Y5473" t="s">
        <v>25579</v>
      </c>
      <c r="Z5473" t="s">
        <v>32328</v>
      </c>
      <c r="AA5473">
        <v>0.27246783348971509</v>
      </c>
      <c r="AB5473" t="str">
        <f>HYPERLINK("Melting_Curves/meltCurve_Q9BTE7_DCUN1D5.pdf", "Melting_Curves/meltCurve_Q9BTE7_DCUN1D5.pdf")</f>
        <v>Melting_Curves/meltCurve_Q9BTE7_DCUN1D5.pdf</v>
      </c>
    </row>
    <row r="5474" spans="1:28" x14ac:dyDescent="0.25">
      <c r="A5474" t="s">
        <v>5478</v>
      </c>
      <c r="B5474">
        <v>0.995954080203443</v>
      </c>
      <c r="C5474">
        <v>0.74447670435560098</v>
      </c>
      <c r="D5474">
        <v>0.931921097725388</v>
      </c>
      <c r="E5474">
        <v>0.81501431489262</v>
      </c>
      <c r="F5474">
        <v>0.85616293172158797</v>
      </c>
      <c r="G5474">
        <v>0.59888004375511195</v>
      </c>
      <c r="H5474">
        <v>0.31485266339865597</v>
      </c>
      <c r="I5474">
        <v>0.229212097750501</v>
      </c>
      <c r="J5474">
        <v>0.132020365156515</v>
      </c>
      <c r="K5474">
        <v>0.106230783416657</v>
      </c>
      <c r="L5474">
        <v>744.19565928252405</v>
      </c>
      <c r="M5474">
        <v>12.806601849727899</v>
      </c>
      <c r="N5474">
        <v>58.110314378382697</v>
      </c>
      <c r="O5474">
        <v>56.7480994712515</v>
      </c>
      <c r="P5474">
        <v>-5.6429195872512203E-2</v>
      </c>
      <c r="Q5474">
        <v>0</v>
      </c>
      <c r="R5474">
        <v>0.92860385684842695</v>
      </c>
      <c r="S5474" t="s">
        <v>12280</v>
      </c>
      <c r="T5474" t="s">
        <v>13610</v>
      </c>
      <c r="U5474" t="s">
        <v>13610</v>
      </c>
      <c r="V5474" t="s">
        <v>13610</v>
      </c>
      <c r="W5474" t="s">
        <v>19015</v>
      </c>
      <c r="X5474">
        <v>6</v>
      </c>
      <c r="Y5474" t="s">
        <v>25580</v>
      </c>
      <c r="Z5474" t="s">
        <v>32329</v>
      </c>
      <c r="AA5474">
        <v>0.61644272530921829</v>
      </c>
      <c r="AB5474" t="str">
        <f>HYPERLINK("Melting_Curves/meltCurve_Q9BTF0_THUMPD2.pdf", "Melting_Curves/meltCurve_Q9BTF0_THUMPD2.pdf")</f>
        <v>Melting_Curves/meltCurve_Q9BTF0_THUMPD2.pdf</v>
      </c>
    </row>
    <row r="5475" spans="1:28" x14ac:dyDescent="0.25">
      <c r="A5475" t="s">
        <v>5479</v>
      </c>
      <c r="B5475">
        <v>0.995954080203443</v>
      </c>
      <c r="C5475">
        <v>0.93961777817458603</v>
      </c>
      <c r="D5475">
        <v>1.04944613216848</v>
      </c>
      <c r="E5475">
        <v>0.76572681152605404</v>
      </c>
      <c r="F5475">
        <v>0.912772014435419</v>
      </c>
      <c r="G5475">
        <v>0.71807377471067602</v>
      </c>
      <c r="H5475">
        <v>0.66999158214547705</v>
      </c>
      <c r="I5475">
        <v>0.83637763057484604</v>
      </c>
      <c r="J5475">
        <v>0.96625380209995504</v>
      </c>
      <c r="K5475">
        <v>0.98662271856953798</v>
      </c>
      <c r="L5475">
        <v>11972.534022695299</v>
      </c>
      <c r="M5475">
        <v>250</v>
      </c>
      <c r="O5475">
        <v>47.887071377649903</v>
      </c>
      <c r="P5475">
        <v>-0.21333344989939701</v>
      </c>
      <c r="Q5475">
        <v>0.83654537369855697</v>
      </c>
      <c r="R5475">
        <v>0.34937162764645802</v>
      </c>
      <c r="S5475" t="s">
        <v>12281</v>
      </c>
      <c r="T5475" t="s">
        <v>13610</v>
      </c>
      <c r="U5475" t="s">
        <v>13610</v>
      </c>
      <c r="V5475" t="s">
        <v>13610</v>
      </c>
      <c r="W5475" t="s">
        <v>19016</v>
      </c>
      <c r="X5475">
        <v>5</v>
      </c>
      <c r="Y5475" t="s">
        <v>25581</v>
      </c>
      <c r="Z5475" t="s">
        <v>32330</v>
      </c>
      <c r="AA5475">
        <v>0.87954841968477815</v>
      </c>
      <c r="AB5475" t="str">
        <f>HYPERLINK("Melting_Curves/meltCurve_Q9BTK6_PAGR1.pdf", "Melting_Curves/meltCurve_Q9BTK6_PAGR1.pdf")</f>
        <v>Melting_Curves/meltCurve_Q9BTK6_PAGR1.pdf</v>
      </c>
    </row>
    <row r="5476" spans="1:28" x14ac:dyDescent="0.25">
      <c r="A5476" t="s">
        <v>5480</v>
      </c>
      <c r="B5476">
        <v>0.995954080203443</v>
      </c>
      <c r="C5476">
        <v>1.02663744837506</v>
      </c>
      <c r="D5476">
        <v>1.0141570348272799</v>
      </c>
      <c r="E5476">
        <v>0.976890912194325</v>
      </c>
      <c r="F5476">
        <v>0.84774247685026705</v>
      </c>
      <c r="G5476">
        <v>0.61673887485716805</v>
      </c>
      <c r="H5476">
        <v>0.52874226709394401</v>
      </c>
      <c r="I5476">
        <v>0.58861731566547004</v>
      </c>
      <c r="J5476">
        <v>0.77270321605452796</v>
      </c>
      <c r="K5476">
        <v>0.72696080229568205</v>
      </c>
      <c r="L5476">
        <v>5332.2580968543098</v>
      </c>
      <c r="M5476">
        <v>100.334224488039</v>
      </c>
      <c r="O5476">
        <v>53.123854611247097</v>
      </c>
      <c r="P5476">
        <v>-0.16681914159521899</v>
      </c>
      <c r="Q5476">
        <v>0.64669780627059803</v>
      </c>
      <c r="R5476">
        <v>0.87137616187018296</v>
      </c>
      <c r="S5476" t="s">
        <v>12282</v>
      </c>
      <c r="T5476" t="s">
        <v>13610</v>
      </c>
      <c r="U5476" t="s">
        <v>13610</v>
      </c>
      <c r="V5476" t="s">
        <v>13610</v>
      </c>
      <c r="W5476" t="s">
        <v>19017</v>
      </c>
      <c r="X5476">
        <v>5</v>
      </c>
      <c r="Y5476" t="s">
        <v>25582</v>
      </c>
      <c r="Z5476" t="s">
        <v>32331</v>
      </c>
      <c r="AA5476">
        <v>0.80170736690447864</v>
      </c>
      <c r="AB5476" t="str">
        <f>HYPERLINK("Melting_Curves/meltCurve_Q9BTL3_FAM103A1.pdf", "Melting_Curves/meltCurve_Q9BTL3_FAM103A1.pdf")</f>
        <v>Melting_Curves/meltCurve_Q9BTL3_FAM103A1.pdf</v>
      </c>
    </row>
    <row r="5477" spans="1:28" x14ac:dyDescent="0.25">
      <c r="A5477" t="s">
        <v>5481</v>
      </c>
      <c r="B5477">
        <v>0.995954080203443</v>
      </c>
      <c r="C5477">
        <v>1.01817277884604</v>
      </c>
      <c r="D5477">
        <v>0.93993448200115903</v>
      </c>
      <c r="E5477">
        <v>0.76904939626052604</v>
      </c>
      <c r="F5477">
        <v>0.56370574538664298</v>
      </c>
      <c r="G5477">
        <v>0.325446739180766</v>
      </c>
      <c r="H5477">
        <v>0.20426200983457801</v>
      </c>
      <c r="I5477">
        <v>0.178913148659953</v>
      </c>
      <c r="J5477">
        <v>0.227002845189095</v>
      </c>
      <c r="K5477">
        <v>0.18214138700466601</v>
      </c>
      <c r="L5477">
        <v>1035.21606069671</v>
      </c>
      <c r="M5477">
        <v>19.711605169525001</v>
      </c>
      <c r="N5477">
        <v>53.713375556415301</v>
      </c>
      <c r="O5477">
        <v>51.9865365058699</v>
      </c>
      <c r="P5477">
        <v>-7.7964902425708194E-2</v>
      </c>
      <c r="Q5477">
        <v>0.17754328157837601</v>
      </c>
      <c r="R5477">
        <v>0.99688080356705799</v>
      </c>
      <c r="S5477" t="s">
        <v>12283</v>
      </c>
      <c r="T5477" t="s">
        <v>13610</v>
      </c>
      <c r="U5477" t="s">
        <v>13610</v>
      </c>
      <c r="V5477" t="s">
        <v>13610</v>
      </c>
      <c r="W5477" t="s">
        <v>19018</v>
      </c>
      <c r="X5477">
        <v>2</v>
      </c>
      <c r="Y5477" t="s">
        <v>25583</v>
      </c>
      <c r="Z5477" t="s">
        <v>32332</v>
      </c>
      <c r="AA5477">
        <v>0.53237257956168327</v>
      </c>
      <c r="AB5477" t="str">
        <f>HYPERLINK("Melting_Curves/meltCurve_Q9BTM9_URM1.pdf", "Melting_Curves/meltCurve_Q9BTM9_URM1.pdf")</f>
        <v>Melting_Curves/meltCurve_Q9BTM9_URM1.pdf</v>
      </c>
    </row>
    <row r="5478" spans="1:28" x14ac:dyDescent="0.25">
      <c r="A5478" t="s">
        <v>5482</v>
      </c>
      <c r="B5478">
        <v>0.995954080203443</v>
      </c>
      <c r="C5478">
        <v>1.1850219004212199</v>
      </c>
      <c r="D5478">
        <v>1.1437918184632201</v>
      </c>
      <c r="E5478">
        <v>0.90569172051792302</v>
      </c>
      <c r="F5478">
        <v>0.60233162793861394</v>
      </c>
      <c r="G5478">
        <v>0.46588967368562401</v>
      </c>
      <c r="H5478">
        <v>0.40413632486872503</v>
      </c>
      <c r="I5478">
        <v>0.45732731421921302</v>
      </c>
      <c r="J5478">
        <v>0.61569276307017096</v>
      </c>
      <c r="K5478">
        <v>0.58687050568299703</v>
      </c>
      <c r="L5478">
        <v>2708.6001812787899</v>
      </c>
      <c r="M5478">
        <v>52.627334356835497</v>
      </c>
      <c r="O5478">
        <v>51.393402970405802</v>
      </c>
      <c r="P5478">
        <v>-0.12635468669336</v>
      </c>
      <c r="Q5478">
        <v>0.50643195457492995</v>
      </c>
      <c r="R5478">
        <v>0.88645663405284603</v>
      </c>
      <c r="S5478" t="s">
        <v>12284</v>
      </c>
      <c r="T5478" t="s">
        <v>13610</v>
      </c>
      <c r="U5478" t="s">
        <v>13610</v>
      </c>
      <c r="V5478" t="s">
        <v>13610</v>
      </c>
      <c r="W5478" t="s">
        <v>19019</v>
      </c>
      <c r="X5478">
        <v>8</v>
      </c>
      <c r="Y5478" t="s">
        <v>25584</v>
      </c>
      <c r="Z5478" t="s">
        <v>32333</v>
      </c>
      <c r="AA5478">
        <v>0.69611008924781237</v>
      </c>
      <c r="AB5478" t="str">
        <f>HYPERLINK("Melting_Curves/meltCurve_Q9BTT0_ANP32E.pdf", "Melting_Curves/meltCurve_Q9BTT0_ANP32E.pdf")</f>
        <v>Melting_Curves/meltCurve_Q9BTT0_ANP32E.pdf</v>
      </c>
    </row>
    <row r="5479" spans="1:28" x14ac:dyDescent="0.25">
      <c r="A5479" t="s">
        <v>5483</v>
      </c>
      <c r="B5479">
        <v>0.995954080203443</v>
      </c>
      <c r="C5479">
        <v>0.78292232092025804</v>
      </c>
      <c r="D5479">
        <v>0.632565737187753</v>
      </c>
      <c r="E5479">
        <v>0.995061839040986</v>
      </c>
      <c r="F5479">
        <v>0.56414358905872997</v>
      </c>
      <c r="G5479">
        <v>0.28959747730441998</v>
      </c>
      <c r="H5479">
        <v>0.18477158289283399</v>
      </c>
      <c r="I5479">
        <v>0.15784546517022999</v>
      </c>
      <c r="J5479">
        <v>0.17495768346789201</v>
      </c>
      <c r="K5479">
        <v>0.17147840467133299</v>
      </c>
      <c r="L5479">
        <v>503.26395154455003</v>
      </c>
      <c r="M5479">
        <v>9.2907781276024899</v>
      </c>
      <c r="N5479">
        <v>54.1681163029901</v>
      </c>
      <c r="O5479">
        <v>51.836074371812899</v>
      </c>
      <c r="P5479">
        <v>-4.4837298816316297E-2</v>
      </c>
      <c r="Q5479">
        <v>0</v>
      </c>
      <c r="R5479">
        <v>0.83100444387165295</v>
      </c>
      <c r="S5479" t="s">
        <v>12285</v>
      </c>
      <c r="T5479" t="s">
        <v>13610</v>
      </c>
      <c r="U5479" t="s">
        <v>13610</v>
      </c>
      <c r="V5479" t="s">
        <v>13610</v>
      </c>
      <c r="W5479" t="s">
        <v>19020</v>
      </c>
      <c r="X5479">
        <v>4</v>
      </c>
      <c r="Y5479" t="s">
        <v>25585</v>
      </c>
      <c r="Z5479" t="s">
        <v>32334</v>
      </c>
      <c r="AA5479">
        <v>0.50308030881898136</v>
      </c>
      <c r="AB5479" t="str">
        <f>HYPERLINK("Melting_Curves/meltCurve_Q9BTT4_MED10.pdf", "Melting_Curves/meltCurve_Q9BTT4_MED10.pdf")</f>
        <v>Melting_Curves/meltCurve_Q9BTT4_MED10.pdf</v>
      </c>
    </row>
    <row r="5480" spans="1:28" x14ac:dyDescent="0.25">
      <c r="A5480" t="s">
        <v>5484</v>
      </c>
      <c r="B5480">
        <v>0.995954080203443</v>
      </c>
      <c r="C5480">
        <v>1.01759104052436</v>
      </c>
      <c r="D5480">
        <v>1.0417650775430101</v>
      </c>
      <c r="E5480">
        <v>0.92398096332867496</v>
      </c>
      <c r="F5480">
        <v>0.91797315383161604</v>
      </c>
      <c r="G5480">
        <v>0.64579498485406805</v>
      </c>
      <c r="H5480">
        <v>0.39116428935035202</v>
      </c>
      <c r="I5480">
        <v>0.22631684247264899</v>
      </c>
      <c r="J5480">
        <v>0.17177556556071499</v>
      </c>
      <c r="K5480">
        <v>0.181516092797324</v>
      </c>
      <c r="L5480">
        <v>1212.3037140630399</v>
      </c>
      <c r="M5480">
        <v>20.860942412072301</v>
      </c>
      <c r="N5480">
        <v>59.013688167578003</v>
      </c>
      <c r="O5480">
        <v>57.587447313828697</v>
      </c>
      <c r="P5480">
        <v>-7.8223540377448206E-2</v>
      </c>
      <c r="Q5480">
        <v>0.13626722824554899</v>
      </c>
      <c r="R5480">
        <v>0.99466521361801796</v>
      </c>
      <c r="S5480" t="s">
        <v>12286</v>
      </c>
      <c r="T5480" t="s">
        <v>13610</v>
      </c>
      <c r="U5480" t="s">
        <v>13610</v>
      </c>
      <c r="V5480" t="s">
        <v>13610</v>
      </c>
      <c r="W5480" t="s">
        <v>19021</v>
      </c>
      <c r="X5480">
        <v>5</v>
      </c>
      <c r="Y5480" t="s">
        <v>25586</v>
      </c>
      <c r="Z5480" t="s">
        <v>32335</v>
      </c>
      <c r="AA5480">
        <v>0.66706651753600565</v>
      </c>
      <c r="AB5480" t="str">
        <f>HYPERLINK("Melting_Curves/meltCurve_Q9BTV6_WDR85.pdf", "Melting_Curves/meltCurve_Q9BTV6_WDR85.pdf")</f>
        <v>Melting_Curves/meltCurve_Q9BTV6_WDR85.pdf</v>
      </c>
    </row>
    <row r="5481" spans="1:28" x14ac:dyDescent="0.25">
      <c r="A5481" t="s">
        <v>5485</v>
      </c>
      <c r="B5481">
        <v>0.995954080203443</v>
      </c>
      <c r="C5481">
        <v>0.87364463730233999</v>
      </c>
      <c r="D5481">
        <v>0.67897836851155102</v>
      </c>
      <c r="E5481">
        <v>0.27493405870183202</v>
      </c>
      <c r="F5481">
        <v>0.13371943150455001</v>
      </c>
      <c r="G5481">
        <v>8.1816739816744505E-2</v>
      </c>
      <c r="H5481">
        <v>5.6913293997117302E-2</v>
      </c>
      <c r="I5481">
        <v>5.27439773227696E-2</v>
      </c>
      <c r="J5481">
        <v>6.3151681461393702E-2</v>
      </c>
      <c r="K5481">
        <v>5.55906451438807E-2</v>
      </c>
      <c r="L5481">
        <v>1000.28637158317</v>
      </c>
      <c r="M5481">
        <v>21.155085113113</v>
      </c>
      <c r="N5481">
        <v>47.533624308318302</v>
      </c>
      <c r="O5481">
        <v>46.867074494888499</v>
      </c>
      <c r="P5481">
        <v>-0.106905132473648</v>
      </c>
      <c r="Q5481">
        <v>5.26721730690074E-2</v>
      </c>
      <c r="R5481">
        <v>0.99877865782703801</v>
      </c>
      <c r="S5481" t="s">
        <v>12287</v>
      </c>
      <c r="T5481" t="s">
        <v>13610</v>
      </c>
      <c r="U5481" t="s">
        <v>13610</v>
      </c>
      <c r="V5481" t="s">
        <v>13610</v>
      </c>
      <c r="W5481" t="s">
        <v>19022</v>
      </c>
      <c r="X5481">
        <v>32</v>
      </c>
      <c r="Y5481" t="s">
        <v>25587</v>
      </c>
      <c r="Z5481" t="s">
        <v>32336</v>
      </c>
      <c r="AA5481">
        <v>0.29480375967409228</v>
      </c>
      <c r="AB5481" t="str">
        <f>HYPERLINK("Melting_Curves/meltCurve_Q9BTW9_TBCD.pdf", "Melting_Curves/meltCurve_Q9BTW9_TBCD.pdf")</f>
        <v>Melting_Curves/meltCurve_Q9BTW9_TBCD.pdf</v>
      </c>
    </row>
    <row r="5482" spans="1:28" x14ac:dyDescent="0.25">
      <c r="A5482" t="s">
        <v>5486</v>
      </c>
      <c r="B5482">
        <v>0.995954080203443</v>
      </c>
      <c r="C5482">
        <v>0.944091408265188</v>
      </c>
      <c r="D5482">
        <v>0.94333654057536298</v>
      </c>
      <c r="E5482">
        <v>0.79881523087389605</v>
      </c>
      <c r="F5482">
        <v>0.63095420541149405</v>
      </c>
      <c r="G5482">
        <v>0.34271301972701201</v>
      </c>
      <c r="H5482">
        <v>0.14286856593695299</v>
      </c>
      <c r="I5482">
        <v>0.182991653591178</v>
      </c>
      <c r="J5482">
        <v>0.106439496062276</v>
      </c>
      <c r="K5482">
        <v>8.0745341641511995E-2</v>
      </c>
      <c r="L5482">
        <v>892.20358169843803</v>
      </c>
      <c r="M5482">
        <v>16.5092794579799</v>
      </c>
      <c r="N5482">
        <v>54.527894719096999</v>
      </c>
      <c r="O5482">
        <v>53.268296887803302</v>
      </c>
      <c r="P5482">
        <v>-7.2192580973333004E-2</v>
      </c>
      <c r="Q5482">
        <v>6.8327764465051802E-2</v>
      </c>
      <c r="R5482">
        <v>0.99454901712733201</v>
      </c>
      <c r="S5482" t="s">
        <v>12288</v>
      </c>
      <c r="T5482" t="s">
        <v>13610</v>
      </c>
      <c r="U5482" t="s">
        <v>13610</v>
      </c>
      <c r="V5482" t="s">
        <v>13610</v>
      </c>
      <c r="W5482" t="s">
        <v>19023</v>
      </c>
      <c r="X5482">
        <v>3</v>
      </c>
      <c r="Y5482" t="s">
        <v>25588</v>
      </c>
      <c r="Z5482" t="s">
        <v>32337</v>
      </c>
      <c r="AA5482">
        <v>0.52126720183197006</v>
      </c>
      <c r="AB5482" t="str">
        <f>HYPERLINK("Melting_Curves/meltCurve_Q9BTX7_TTPAL.pdf", "Melting_Curves/meltCurve_Q9BTX7_TTPAL.pdf")</f>
        <v>Melting_Curves/meltCurve_Q9BTX7_TTPAL.pdf</v>
      </c>
    </row>
    <row r="5483" spans="1:28" x14ac:dyDescent="0.25">
      <c r="A5483" t="s">
        <v>5487</v>
      </c>
      <c r="B5483">
        <v>0.995954080203443</v>
      </c>
      <c r="C5483">
        <v>0.98612457231855499</v>
      </c>
      <c r="D5483">
        <v>0.92365845940819302</v>
      </c>
      <c r="E5483">
        <v>0.83303940087524897</v>
      </c>
      <c r="F5483">
        <v>0.68508378917125101</v>
      </c>
      <c r="G5483">
        <v>0.45152782907364297</v>
      </c>
      <c r="H5483">
        <v>0.21832156657535501</v>
      </c>
      <c r="I5483">
        <v>0.102407255813612</v>
      </c>
      <c r="J5483">
        <v>0.124627710784228</v>
      </c>
      <c r="K5483">
        <v>9.3222058350547907E-2</v>
      </c>
      <c r="L5483">
        <v>814.698981166012</v>
      </c>
      <c r="M5483">
        <v>14.6685638879494</v>
      </c>
      <c r="N5483">
        <v>55.766354818730697</v>
      </c>
      <c r="O5483">
        <v>54.538854106472698</v>
      </c>
      <c r="P5483">
        <v>-6.53069080886787E-2</v>
      </c>
      <c r="Q5483">
        <v>2.8842561573472199E-2</v>
      </c>
      <c r="R5483">
        <v>0.99595660692269605</v>
      </c>
      <c r="S5483" t="s">
        <v>12289</v>
      </c>
      <c r="T5483" t="s">
        <v>13610</v>
      </c>
      <c r="U5483" t="s">
        <v>13610</v>
      </c>
      <c r="V5483" t="s">
        <v>13610</v>
      </c>
      <c r="W5483" t="s">
        <v>19024</v>
      </c>
      <c r="X5483">
        <v>14</v>
      </c>
      <c r="Y5483" t="s">
        <v>25589</v>
      </c>
      <c r="Z5483" t="s">
        <v>32338</v>
      </c>
      <c r="AA5483">
        <v>0.5502549311913969</v>
      </c>
      <c r="AB5483" t="str">
        <f>HYPERLINK("Melting_Curves/meltCurve_Q9BTY2_FUCA2.pdf", "Melting_Curves/meltCurve_Q9BTY2_FUCA2.pdf")</f>
        <v>Melting_Curves/meltCurve_Q9BTY2_FUCA2.pdf</v>
      </c>
    </row>
    <row r="5484" spans="1:28" x14ac:dyDescent="0.25">
      <c r="A5484" t="s">
        <v>5488</v>
      </c>
      <c r="B5484">
        <v>0.995954080203443</v>
      </c>
      <c r="C5484">
        <v>0.88120945989475796</v>
      </c>
      <c r="D5484">
        <v>0.553377331368477</v>
      </c>
      <c r="E5484">
        <v>0.28166124327712599</v>
      </c>
      <c r="F5484">
        <v>0.163818265693252</v>
      </c>
      <c r="G5484">
        <v>9.5715886256687796E-2</v>
      </c>
      <c r="H5484">
        <v>6.9892040266131703E-2</v>
      </c>
      <c r="I5484">
        <v>6.8524498366684103E-2</v>
      </c>
      <c r="J5484">
        <v>7.56904912435135E-2</v>
      </c>
      <c r="K5484">
        <v>7.4612287356314796E-2</v>
      </c>
      <c r="L5484">
        <v>928.96352678911001</v>
      </c>
      <c r="M5484">
        <v>19.9637948068935</v>
      </c>
      <c r="N5484">
        <v>46.9061321604879</v>
      </c>
      <c r="O5484">
        <v>46.073062942822801</v>
      </c>
      <c r="P5484">
        <v>-0.100365139171472</v>
      </c>
      <c r="Q5484">
        <v>7.3527287543624198E-2</v>
      </c>
      <c r="R5484">
        <v>0.99661797813515196</v>
      </c>
      <c r="S5484" t="s">
        <v>12290</v>
      </c>
      <c r="T5484" t="s">
        <v>13610</v>
      </c>
      <c r="U5484" t="s">
        <v>13610</v>
      </c>
      <c r="V5484" t="s">
        <v>13610</v>
      </c>
      <c r="W5484" t="s">
        <v>19025</v>
      </c>
      <c r="X5484">
        <v>15</v>
      </c>
      <c r="Y5484" t="s">
        <v>25590</v>
      </c>
      <c r="Z5484" t="s">
        <v>32339</v>
      </c>
      <c r="AA5484">
        <v>0.28918127351425699</v>
      </c>
      <c r="AB5484" t="str">
        <f>HYPERLINK("Melting_Curves/meltCurve_Q9BTY7_FAM203A.pdf", "Melting_Curves/meltCurve_Q9BTY7_FAM203A.pdf")</f>
        <v>Melting_Curves/meltCurve_Q9BTY7_FAM203A.pdf</v>
      </c>
    </row>
    <row r="5485" spans="1:28" x14ac:dyDescent="0.25">
      <c r="A5485" t="s">
        <v>5489</v>
      </c>
      <c r="B5485">
        <v>0.995954080203443</v>
      </c>
      <c r="C5485">
        <v>1.0644648490978399</v>
      </c>
      <c r="D5485">
        <v>1.0586639566809699</v>
      </c>
      <c r="E5485">
        <v>0.83353222751632405</v>
      </c>
      <c r="F5485">
        <v>0.60183070990105403</v>
      </c>
      <c r="G5485">
        <v>0.26427538166565401</v>
      </c>
      <c r="H5485">
        <v>0.16069038830066201</v>
      </c>
      <c r="I5485">
        <v>0.14736347475731701</v>
      </c>
      <c r="J5485">
        <v>0.166784839763816</v>
      </c>
      <c r="K5485">
        <v>0.14171746031028001</v>
      </c>
      <c r="L5485">
        <v>1413.90148730181</v>
      </c>
      <c r="M5485">
        <v>26.6034729782052</v>
      </c>
      <c r="N5485">
        <v>53.836480936534201</v>
      </c>
      <c r="O5485">
        <v>52.849678160994301</v>
      </c>
      <c r="P5485">
        <v>-0.107683607040294</v>
      </c>
      <c r="Q5485">
        <v>0.14432465800300501</v>
      </c>
      <c r="R5485">
        <v>0.99254689353956205</v>
      </c>
      <c r="S5485" t="s">
        <v>12291</v>
      </c>
      <c r="T5485" t="s">
        <v>13610</v>
      </c>
      <c r="U5485" t="s">
        <v>13610</v>
      </c>
      <c r="V5485" t="s">
        <v>13610</v>
      </c>
      <c r="W5485" t="s">
        <v>19026</v>
      </c>
      <c r="X5485">
        <v>10</v>
      </c>
      <c r="Y5485" t="s">
        <v>25591</v>
      </c>
      <c r="Z5485" t="s">
        <v>32340</v>
      </c>
      <c r="AA5485">
        <v>0.52633029967364364</v>
      </c>
      <c r="AB5485" t="str">
        <f>HYPERLINK("Melting_Curves/meltCurve_Q9BU02_THTPA.pdf", "Melting_Curves/meltCurve_Q9BU02_THTPA.pdf")</f>
        <v>Melting_Curves/meltCurve_Q9BU02_THTPA.pdf</v>
      </c>
    </row>
    <row r="5486" spans="1:28" x14ac:dyDescent="0.25">
      <c r="A5486" t="s">
        <v>5490</v>
      </c>
      <c r="B5486">
        <v>0.995954080203443</v>
      </c>
      <c r="C5486">
        <v>0.88343287924019598</v>
      </c>
      <c r="D5486">
        <v>0.81940181830427194</v>
      </c>
      <c r="E5486">
        <v>0.60800971685838401</v>
      </c>
      <c r="F5486">
        <v>0.61250467282355003</v>
      </c>
      <c r="G5486">
        <v>0.42509865484183701</v>
      </c>
      <c r="H5486">
        <v>0.33288145100389799</v>
      </c>
      <c r="I5486">
        <v>0.50023508442960396</v>
      </c>
      <c r="J5486">
        <v>0.55435403339719302</v>
      </c>
      <c r="K5486">
        <v>0.56474760884170305</v>
      </c>
      <c r="L5486">
        <v>835.48999121473003</v>
      </c>
      <c r="M5486">
        <v>17.693683310368201</v>
      </c>
      <c r="N5486">
        <v>57.441185872234499</v>
      </c>
      <c r="O5486">
        <v>46.6288979739372</v>
      </c>
      <c r="P5486">
        <v>-4.9470323263529903E-2</v>
      </c>
      <c r="Q5486">
        <v>0.47854274553020199</v>
      </c>
      <c r="R5486">
        <v>0.87257294855218503</v>
      </c>
      <c r="S5486" t="s">
        <v>12292</v>
      </c>
      <c r="T5486" t="s">
        <v>13610</v>
      </c>
      <c r="U5486" t="s">
        <v>13610</v>
      </c>
      <c r="V5486" t="s">
        <v>13610</v>
      </c>
      <c r="W5486" t="s">
        <v>19027</v>
      </c>
      <c r="X5486">
        <v>2</v>
      </c>
      <c r="Y5486" t="s">
        <v>25592</v>
      </c>
      <c r="Z5486" t="s">
        <v>32341</v>
      </c>
      <c r="AA5486">
        <v>0.61391561931476535</v>
      </c>
      <c r="AB5486" t="str">
        <f>HYPERLINK("Melting_Curves/meltCurve_Q9BU64_CENPO.pdf", "Melting_Curves/meltCurve_Q9BU64_CENPO.pdf")</f>
        <v>Melting_Curves/meltCurve_Q9BU64_CENPO.pdf</v>
      </c>
    </row>
    <row r="5487" spans="1:28" x14ac:dyDescent="0.25">
      <c r="A5487" t="s">
        <v>5491</v>
      </c>
      <c r="B5487">
        <v>0.995954080203443</v>
      </c>
      <c r="C5487">
        <v>0.98039850881440105</v>
      </c>
      <c r="D5487">
        <v>0.97197544492806098</v>
      </c>
      <c r="E5487">
        <v>0.86075977172385498</v>
      </c>
      <c r="F5487">
        <v>0.83181800291501795</v>
      </c>
      <c r="G5487">
        <v>0.60124766571221699</v>
      </c>
      <c r="H5487">
        <v>0.60511831303076502</v>
      </c>
      <c r="I5487">
        <v>0.72167087250555295</v>
      </c>
      <c r="J5487">
        <v>0.93392875933823105</v>
      </c>
      <c r="K5487">
        <v>0.83966320915988402</v>
      </c>
      <c r="L5487">
        <v>1574.67612974645</v>
      </c>
      <c r="M5487">
        <v>31.5829272943378</v>
      </c>
      <c r="O5487">
        <v>49.6598629459805</v>
      </c>
      <c r="P5487">
        <v>-4.0128003656816201E-2</v>
      </c>
      <c r="Q5487">
        <v>0.74761807150497295</v>
      </c>
      <c r="R5487">
        <v>0.54081868282718704</v>
      </c>
      <c r="S5487" t="s">
        <v>12293</v>
      </c>
      <c r="T5487" t="s">
        <v>13610</v>
      </c>
      <c r="U5487" t="s">
        <v>13610</v>
      </c>
      <c r="V5487" t="s">
        <v>13610</v>
      </c>
      <c r="W5487" t="s">
        <v>19028</v>
      </c>
      <c r="X5487">
        <v>15</v>
      </c>
      <c r="Y5487" t="s">
        <v>25593</v>
      </c>
      <c r="Z5487" t="s">
        <v>32342</v>
      </c>
      <c r="AA5487">
        <v>0.83195797694920937</v>
      </c>
      <c r="AB5487" t="str">
        <f>HYPERLINK("Melting_Curves/meltCurve_Q9BU76_MMTAG2.pdf", "Melting_Curves/meltCurve_Q9BU76_MMTAG2.pdf")</f>
        <v>Melting_Curves/meltCurve_Q9BU76_MMTAG2.pdf</v>
      </c>
    </row>
    <row r="5488" spans="1:28" x14ac:dyDescent="0.25">
      <c r="A5488" t="s">
        <v>5492</v>
      </c>
      <c r="B5488">
        <v>0.995954080203443</v>
      </c>
      <c r="C5488">
        <v>0.98933088803598102</v>
      </c>
      <c r="D5488">
        <v>0.90709558908991295</v>
      </c>
      <c r="E5488">
        <v>0.66830673757540804</v>
      </c>
      <c r="F5488">
        <v>0.49286648851307702</v>
      </c>
      <c r="G5488">
        <v>0.30344587857063998</v>
      </c>
      <c r="H5488">
        <v>0.21808940941045801</v>
      </c>
      <c r="I5488">
        <v>0.21889943012631599</v>
      </c>
      <c r="J5488">
        <v>0.26678664380113798</v>
      </c>
      <c r="K5488">
        <v>0.258974339841893</v>
      </c>
      <c r="L5488">
        <v>1003.92143394864</v>
      </c>
      <c r="M5488">
        <v>19.742222143979301</v>
      </c>
      <c r="N5488">
        <v>52.484811050126503</v>
      </c>
      <c r="O5488">
        <v>50.338373769866202</v>
      </c>
      <c r="P5488">
        <v>-7.5547227809011394E-2</v>
      </c>
      <c r="Q5488">
        <v>0.229510527633944</v>
      </c>
      <c r="R5488">
        <v>0.99526828367192699</v>
      </c>
      <c r="S5488" t="s">
        <v>12294</v>
      </c>
      <c r="T5488" t="s">
        <v>13610</v>
      </c>
      <c r="U5488" t="s">
        <v>13610</v>
      </c>
      <c r="V5488" t="s">
        <v>13610</v>
      </c>
      <c r="W5488" t="s">
        <v>19029</v>
      </c>
      <c r="X5488">
        <v>13</v>
      </c>
      <c r="Y5488" t="s">
        <v>25594</v>
      </c>
      <c r="Z5488" t="s">
        <v>32343</v>
      </c>
      <c r="AA5488">
        <v>0.51917280176525726</v>
      </c>
      <c r="AB5488" t="str">
        <f>HYPERLINK("Melting_Curves/meltCurve_Q9BU89_DOHH.pdf", "Melting_Curves/meltCurve_Q9BU89_DOHH.pdf")</f>
        <v>Melting_Curves/meltCurve_Q9BU89_DOHH.pdf</v>
      </c>
    </row>
    <row r="5489" spans="1:28" x14ac:dyDescent="0.25">
      <c r="A5489" t="s">
        <v>5493</v>
      </c>
      <c r="B5489">
        <v>0.995954080203443</v>
      </c>
      <c r="C5489">
        <v>1.0910807211803399</v>
      </c>
      <c r="D5489">
        <v>1.1110555402912901</v>
      </c>
      <c r="E5489">
        <v>1.02621995252437</v>
      </c>
      <c r="F5489">
        <v>0.96432774232825302</v>
      </c>
      <c r="G5489">
        <v>0.70778831544484</v>
      </c>
      <c r="H5489">
        <v>0.63489606472509097</v>
      </c>
      <c r="I5489">
        <v>0.71640576358433805</v>
      </c>
      <c r="J5489">
        <v>0.77307656185790696</v>
      </c>
      <c r="K5489">
        <v>0.83033479971420898</v>
      </c>
      <c r="L5489">
        <v>13349.195832937001</v>
      </c>
      <c r="M5489">
        <v>250</v>
      </c>
      <c r="O5489">
        <v>53.393366611326996</v>
      </c>
      <c r="P5489">
        <v>-0.31312375930384401</v>
      </c>
      <c r="Q5489">
        <v>0.73250029511065795</v>
      </c>
      <c r="R5489">
        <v>0.84094339089868597</v>
      </c>
      <c r="S5489" t="s">
        <v>12295</v>
      </c>
      <c r="T5489" t="s">
        <v>13610</v>
      </c>
      <c r="U5489" t="s">
        <v>13610</v>
      </c>
      <c r="V5489" t="s">
        <v>13610</v>
      </c>
      <c r="W5489" t="s">
        <v>19030</v>
      </c>
      <c r="X5489">
        <v>13</v>
      </c>
      <c r="Y5489" t="s">
        <v>25595</v>
      </c>
      <c r="Z5489" t="s">
        <v>32344</v>
      </c>
      <c r="AA5489">
        <v>0.85197988223839738</v>
      </c>
      <c r="AB5489" t="str">
        <f>HYPERLINK("Melting_Curves/meltCurve_Q9BUA3_C11orf84.pdf", "Melting_Curves/meltCurve_Q9BUA3_C11orf84.pdf")</f>
        <v>Melting_Curves/meltCurve_Q9BUA3_C11orf84.pdf</v>
      </c>
    </row>
    <row r="5490" spans="1:28" x14ac:dyDescent="0.25">
      <c r="A5490" t="s">
        <v>5494</v>
      </c>
      <c r="B5490">
        <v>0.995954080203443</v>
      </c>
      <c r="C5490">
        <v>0.92276061571485801</v>
      </c>
      <c r="D5490">
        <v>0.94882522823836402</v>
      </c>
      <c r="E5490">
        <v>0.31448289383960498</v>
      </c>
      <c r="F5490">
        <v>0.14324004990231301</v>
      </c>
      <c r="G5490">
        <v>0.10478184798161599</v>
      </c>
      <c r="H5490">
        <v>8.5563845875750305E-2</v>
      </c>
      <c r="I5490">
        <v>9.4069316461922306E-2</v>
      </c>
      <c r="J5490">
        <v>0.124729962057093</v>
      </c>
      <c r="K5490">
        <v>0.10424638228782999</v>
      </c>
      <c r="L5490">
        <v>2175.8579846443699</v>
      </c>
      <c r="M5490">
        <v>44.674982305202803</v>
      </c>
      <c r="N5490">
        <v>48.961860583926999</v>
      </c>
      <c r="O5490">
        <v>48.606890118152201</v>
      </c>
      <c r="P5490">
        <v>-0.205704043893915</v>
      </c>
      <c r="Q5490">
        <v>0.104767901719354</v>
      </c>
      <c r="R5490">
        <v>0.99523236304142204</v>
      </c>
      <c r="S5490" t="s">
        <v>12296</v>
      </c>
      <c r="T5490" t="s">
        <v>13610</v>
      </c>
      <c r="U5490" t="s">
        <v>13610</v>
      </c>
      <c r="V5490" t="s">
        <v>13610</v>
      </c>
      <c r="W5490" t="s">
        <v>19031</v>
      </c>
      <c r="X5490">
        <v>3</v>
      </c>
      <c r="Y5490" t="s">
        <v>25596</v>
      </c>
      <c r="Z5490" t="s">
        <v>32345</v>
      </c>
      <c r="AA5490">
        <v>0.36692340287200031</v>
      </c>
      <c r="AB5490" t="str">
        <f>HYPERLINK("Melting_Curves/meltCurve_Q9BUB4_ADAT1.pdf", "Melting_Curves/meltCurve_Q9BUB4_ADAT1.pdf")</f>
        <v>Melting_Curves/meltCurve_Q9BUB4_ADAT1.pdf</v>
      </c>
    </row>
    <row r="5491" spans="1:28" x14ac:dyDescent="0.25">
      <c r="A5491" t="s">
        <v>5495</v>
      </c>
      <c r="B5491">
        <v>0.995954080203443</v>
      </c>
      <c r="C5491">
        <v>1.0352720564478799</v>
      </c>
      <c r="D5491">
        <v>0.96838881998068604</v>
      </c>
      <c r="E5491">
        <v>0.71887004677767996</v>
      </c>
      <c r="F5491">
        <v>0.285081904635205</v>
      </c>
      <c r="G5491">
        <v>9.9212023604929006E-2</v>
      </c>
      <c r="H5491">
        <v>6.7388399636403098E-2</v>
      </c>
      <c r="I5491">
        <v>5.9115725874249202E-2</v>
      </c>
      <c r="J5491">
        <v>7.2926481839378096E-2</v>
      </c>
      <c r="K5491">
        <v>6.5617527149093302E-2</v>
      </c>
      <c r="L5491">
        <v>1759.8446773302101</v>
      </c>
      <c r="M5491">
        <v>34.369004713356098</v>
      </c>
      <c r="N5491">
        <v>51.416084388883803</v>
      </c>
      <c r="O5491">
        <v>51.031991493814999</v>
      </c>
      <c r="P5491">
        <v>-0.157263302838899</v>
      </c>
      <c r="Q5491">
        <v>6.5969000953628107E-2</v>
      </c>
      <c r="R5491">
        <v>0.99902647045512205</v>
      </c>
      <c r="S5491" t="s">
        <v>12297</v>
      </c>
      <c r="T5491" t="s">
        <v>13610</v>
      </c>
      <c r="U5491" t="s">
        <v>13610</v>
      </c>
      <c r="V5491" t="s">
        <v>13610</v>
      </c>
      <c r="W5491" t="s">
        <v>19032</v>
      </c>
      <c r="X5491">
        <v>7</v>
      </c>
      <c r="Y5491" t="s">
        <v>25597</v>
      </c>
      <c r="Z5491" t="s">
        <v>32346</v>
      </c>
      <c r="AA5491">
        <v>0.41929724498746668</v>
      </c>
      <c r="AB5491" t="str">
        <f>HYPERLINK("Melting_Curves/meltCurve_Q9BUB5_2_MKNK1.pdf", "Melting_Curves/meltCurve_Q9BUB5_2_MKNK1.pdf")</f>
        <v>Melting_Curves/meltCurve_Q9BUB5_2_MKNK1.pdf</v>
      </c>
    </row>
    <row r="5492" spans="1:28" x14ac:dyDescent="0.25">
      <c r="A5492" t="s">
        <v>5496</v>
      </c>
      <c r="B5492">
        <v>0.995954080203443</v>
      </c>
      <c r="C5492">
        <v>0.92716481210555401</v>
      </c>
      <c r="D5492">
        <v>0.94841269835470798</v>
      </c>
      <c r="E5492">
        <v>0.74353966009527195</v>
      </c>
      <c r="F5492">
        <v>0.56800856975881997</v>
      </c>
      <c r="G5492">
        <v>0.26389969276175901</v>
      </c>
      <c r="H5492">
        <v>0.1010136015813</v>
      </c>
      <c r="I5492">
        <v>8.2958592793896793E-2</v>
      </c>
      <c r="J5492">
        <v>0.110413987379334</v>
      </c>
      <c r="K5492">
        <v>7.8726860393565204E-2</v>
      </c>
      <c r="L5492">
        <v>950.07542904001798</v>
      </c>
      <c r="M5492">
        <v>17.896665347079001</v>
      </c>
      <c r="N5492">
        <v>53.436401296054903</v>
      </c>
      <c r="O5492">
        <v>52.437225960508002</v>
      </c>
      <c r="P5492">
        <v>-8.0613589934796198E-2</v>
      </c>
      <c r="Q5492">
        <v>5.5256503440552697E-2</v>
      </c>
      <c r="R5492">
        <v>0.99425789892667804</v>
      </c>
      <c r="S5492" t="s">
        <v>12298</v>
      </c>
      <c r="T5492" t="s">
        <v>13610</v>
      </c>
      <c r="U5492" t="s">
        <v>13610</v>
      </c>
      <c r="V5492" t="s">
        <v>13610</v>
      </c>
      <c r="W5492" t="s">
        <v>19033</v>
      </c>
      <c r="X5492">
        <v>6</v>
      </c>
      <c r="Y5492" t="s">
        <v>25598</v>
      </c>
      <c r="Z5492" t="s">
        <v>32347</v>
      </c>
      <c r="AA5492">
        <v>0.48296162037374751</v>
      </c>
      <c r="AB5492" t="str">
        <f>HYPERLINK("Melting_Curves/meltCurve_Q9BUE0_MED18.pdf", "Melting_Curves/meltCurve_Q9BUE0_MED18.pdf")</f>
        <v>Melting_Curves/meltCurve_Q9BUE0_MED18.pdf</v>
      </c>
    </row>
    <row r="5493" spans="1:28" x14ac:dyDescent="0.25">
      <c r="A5493" t="s">
        <v>5497</v>
      </c>
      <c r="B5493">
        <v>0.995954080203443</v>
      </c>
      <c r="C5493">
        <v>0.37335370498412901</v>
      </c>
      <c r="D5493">
        <v>0.185581195860028</v>
      </c>
      <c r="E5493">
        <v>0.282057022393847</v>
      </c>
      <c r="F5493">
        <v>0.15935021369298</v>
      </c>
      <c r="G5493">
        <v>7.3695318177971397E-2</v>
      </c>
      <c r="H5493">
        <v>4.4208925208083602E-2</v>
      </c>
      <c r="I5493">
        <v>3.2271309338920799E-2</v>
      </c>
      <c r="J5493">
        <v>3.64955794513191E-2</v>
      </c>
      <c r="K5493">
        <v>3.2141812859199002E-2</v>
      </c>
      <c r="L5493">
        <v>2603.94064294486</v>
      </c>
      <c r="M5493">
        <v>61.516845555829597</v>
      </c>
      <c r="N5493">
        <v>42.490759754268701</v>
      </c>
      <c r="O5493">
        <v>42.284241243259899</v>
      </c>
      <c r="P5493">
        <v>-0.32572095154583303</v>
      </c>
      <c r="Q5493">
        <v>0.10444964833270801</v>
      </c>
      <c r="R5493">
        <v>0.92392902302415003</v>
      </c>
      <c r="S5493" t="s">
        <v>12299</v>
      </c>
      <c r="T5493" t="s">
        <v>13610</v>
      </c>
      <c r="U5493" t="s">
        <v>13610</v>
      </c>
      <c r="V5493" t="s">
        <v>13610</v>
      </c>
      <c r="W5493" t="s">
        <v>19034</v>
      </c>
      <c r="X5493">
        <v>18</v>
      </c>
      <c r="Y5493" t="s">
        <v>25599</v>
      </c>
      <c r="Z5493" t="s">
        <v>32348</v>
      </c>
      <c r="AA5493">
        <v>0.17556245878628829</v>
      </c>
      <c r="AB5493" t="str">
        <f>HYPERLINK("Melting_Curves/meltCurve_Q9BUF5_TUBB6.pdf", "Melting_Curves/meltCurve_Q9BUF5_TUBB6.pdf")</f>
        <v>Melting_Curves/meltCurve_Q9BUF5_TUBB6.pdf</v>
      </c>
    </row>
    <row r="5494" spans="1:28" x14ac:dyDescent="0.25">
      <c r="A5494" t="s">
        <v>5498</v>
      </c>
      <c r="B5494">
        <v>0.995954080203443</v>
      </c>
      <c r="C5494">
        <v>0.96090122244146503</v>
      </c>
      <c r="D5494">
        <v>0.91780487736821204</v>
      </c>
      <c r="E5494">
        <v>0.84260136282423503</v>
      </c>
      <c r="F5494">
        <v>0.84121630728597596</v>
      </c>
      <c r="G5494">
        <v>0.68449402171622997</v>
      </c>
      <c r="H5494">
        <v>0.54453469526008302</v>
      </c>
      <c r="I5494">
        <v>0.51274016181457605</v>
      </c>
      <c r="J5494">
        <v>0.388922512581028</v>
      </c>
      <c r="K5494">
        <v>0.220595555954371</v>
      </c>
      <c r="L5494">
        <v>507.47384630450398</v>
      </c>
      <c r="M5494">
        <v>8.1149779372346806</v>
      </c>
      <c r="N5494">
        <v>62.535453721655799</v>
      </c>
      <c r="O5494">
        <v>59.0816108757545</v>
      </c>
      <c r="P5494">
        <v>-3.4374821227208897E-2</v>
      </c>
      <c r="Q5494">
        <v>0</v>
      </c>
      <c r="R5494">
        <v>0.97845781070433602</v>
      </c>
      <c r="S5494" t="s">
        <v>12300</v>
      </c>
      <c r="T5494" t="s">
        <v>13610</v>
      </c>
      <c r="U5494" t="s">
        <v>13610</v>
      </c>
      <c r="V5494" t="s">
        <v>13610</v>
      </c>
      <c r="W5494" t="s">
        <v>19035</v>
      </c>
      <c r="X5494">
        <v>10</v>
      </c>
      <c r="Y5494" t="s">
        <v>25600</v>
      </c>
      <c r="Z5494" t="s">
        <v>32349</v>
      </c>
      <c r="AA5494">
        <v>0.70924652954051892</v>
      </c>
      <c r="AB5494" t="str">
        <f>HYPERLINK("Melting_Curves/meltCurve_Q9BUH6_C9orf142.pdf", "Melting_Curves/meltCurve_Q9BUH6_C9orf142.pdf")</f>
        <v>Melting_Curves/meltCurve_Q9BUH6_C9orf142.pdf</v>
      </c>
    </row>
    <row r="5495" spans="1:28" x14ac:dyDescent="0.25">
      <c r="A5495" t="s">
        <v>5499</v>
      </c>
      <c r="B5495">
        <v>0.995954080203443</v>
      </c>
      <c r="C5495">
        <v>0.85585998672415797</v>
      </c>
      <c r="D5495">
        <v>0.75624781985923395</v>
      </c>
      <c r="E5495">
        <v>0.62114180178625999</v>
      </c>
      <c r="F5495">
        <v>0.38384222664726397</v>
      </c>
      <c r="G5495">
        <v>0.197857555080829</v>
      </c>
      <c r="H5495">
        <v>0.134847974767448</v>
      </c>
      <c r="I5495">
        <v>0.119982847692418</v>
      </c>
      <c r="J5495">
        <v>0.13991472437476099</v>
      </c>
      <c r="K5495">
        <v>0.124416674464016</v>
      </c>
      <c r="L5495">
        <v>646.71115354774201</v>
      </c>
      <c r="M5495">
        <v>12.8739757137457</v>
      </c>
      <c r="N5495">
        <v>50.888206578715398</v>
      </c>
      <c r="O5495">
        <v>49.068239604542299</v>
      </c>
      <c r="P5495">
        <v>-6.0600718457243297E-2</v>
      </c>
      <c r="Q5495">
        <v>7.6268243276429296E-2</v>
      </c>
      <c r="R5495">
        <v>0.98752770240673804</v>
      </c>
      <c r="S5495" t="s">
        <v>12301</v>
      </c>
      <c r="T5495" t="s">
        <v>13610</v>
      </c>
      <c r="U5495" t="s">
        <v>13610</v>
      </c>
      <c r="V5495" t="s">
        <v>13610</v>
      </c>
      <c r="W5495" t="s">
        <v>19036</v>
      </c>
      <c r="X5495">
        <v>14</v>
      </c>
      <c r="Y5495" t="s">
        <v>25601</v>
      </c>
      <c r="Z5495" t="s">
        <v>32350</v>
      </c>
      <c r="AA5495">
        <v>0.41962977074713381</v>
      </c>
      <c r="AB5495" t="str">
        <f>HYPERLINK("Melting_Curves/meltCurve_Q9BUI4_POLR3C.pdf", "Melting_Curves/meltCurve_Q9BUI4_POLR3C.pdf")</f>
        <v>Melting_Curves/meltCurve_Q9BUI4_POLR3C.pdf</v>
      </c>
    </row>
    <row r="5496" spans="1:28" x14ac:dyDescent="0.25">
      <c r="A5496" t="s">
        <v>5500</v>
      </c>
      <c r="B5496">
        <v>0.995954080203443</v>
      </c>
      <c r="C5496">
        <v>0.87213082241079798</v>
      </c>
      <c r="D5496">
        <v>0.73209045072216306</v>
      </c>
      <c r="E5496">
        <v>0.63463999744357502</v>
      </c>
      <c r="F5496">
        <v>0.50723931440361902</v>
      </c>
      <c r="G5496">
        <v>0.35376069757409101</v>
      </c>
      <c r="H5496">
        <v>0.32535782489787202</v>
      </c>
      <c r="I5496">
        <v>0.36331922375636799</v>
      </c>
      <c r="J5496">
        <v>0.49200963966917899</v>
      </c>
      <c r="K5496">
        <v>0.42913276774694897</v>
      </c>
      <c r="L5496">
        <v>716.06401542364404</v>
      </c>
      <c r="M5496">
        <v>15.1143284518943</v>
      </c>
      <c r="N5496">
        <v>52.4798310430374</v>
      </c>
      <c r="O5496">
        <v>46.570385316325101</v>
      </c>
      <c r="P5496">
        <v>-4.9903277909516298E-2</v>
      </c>
      <c r="Q5496">
        <v>0.38501104994141</v>
      </c>
      <c r="R5496">
        <v>0.93604985482112502</v>
      </c>
      <c r="S5496" t="s">
        <v>12302</v>
      </c>
      <c r="T5496" t="s">
        <v>13610</v>
      </c>
      <c r="U5496" t="s">
        <v>13610</v>
      </c>
      <c r="V5496" t="s">
        <v>13610</v>
      </c>
      <c r="W5496" t="s">
        <v>19037</v>
      </c>
      <c r="X5496">
        <v>31</v>
      </c>
      <c r="Y5496" t="s">
        <v>25602</v>
      </c>
      <c r="Z5496" t="s">
        <v>32351</v>
      </c>
      <c r="AA5496">
        <v>0.55231729164970944</v>
      </c>
      <c r="AB5496" t="str">
        <f>HYPERLINK("Melting_Curves/meltCurve_Q9BUJ2_2_HNRNPUL1.pdf", "Melting_Curves/meltCurve_Q9BUJ2_2_HNRNPUL1.pdf")</f>
        <v>Melting_Curves/meltCurve_Q9BUJ2_2_HNRNPUL1.pdf</v>
      </c>
    </row>
    <row r="5497" spans="1:28" x14ac:dyDescent="0.25">
      <c r="A5497" t="s">
        <v>5501</v>
      </c>
      <c r="B5497">
        <v>0.995954080203443</v>
      </c>
      <c r="C5497">
        <v>0.90944509193576895</v>
      </c>
      <c r="D5497">
        <v>0.84329243767825401</v>
      </c>
      <c r="E5497">
        <v>0.67912458893389605</v>
      </c>
      <c r="F5497">
        <v>0.296930274556857</v>
      </c>
      <c r="G5497">
        <v>0.10413138357055</v>
      </c>
      <c r="H5497">
        <v>6.42331916335456E-2</v>
      </c>
      <c r="I5497">
        <v>5.6172969190910603E-2</v>
      </c>
      <c r="J5497">
        <v>6.6889442408759797E-2</v>
      </c>
      <c r="K5497">
        <v>6.6638777675690694E-2</v>
      </c>
      <c r="L5497">
        <v>1071.4459072423199</v>
      </c>
      <c r="M5497">
        <v>21.0580416879464</v>
      </c>
      <c r="N5497">
        <v>51.101424902259097</v>
      </c>
      <c r="O5497">
        <v>50.428426728092603</v>
      </c>
      <c r="P5497">
        <v>-9.9858244676949495E-2</v>
      </c>
      <c r="Q5497">
        <v>4.3489315974015702E-2</v>
      </c>
      <c r="R5497">
        <v>0.98819977458872998</v>
      </c>
      <c r="S5497" t="s">
        <v>12303</v>
      </c>
      <c r="T5497" t="s">
        <v>13610</v>
      </c>
      <c r="U5497" t="s">
        <v>13610</v>
      </c>
      <c r="V5497" t="s">
        <v>13610</v>
      </c>
      <c r="W5497" t="s">
        <v>19038</v>
      </c>
      <c r="X5497">
        <v>14</v>
      </c>
      <c r="Y5497" t="s">
        <v>25603</v>
      </c>
      <c r="Z5497" t="s">
        <v>32352</v>
      </c>
      <c r="AA5497">
        <v>0.40244882497041601</v>
      </c>
      <c r="AB5497" t="str">
        <f>HYPERLINK("Melting_Curves/meltCurve_Q9BUK6_2_MSTO1.pdf", "Melting_Curves/meltCurve_Q9BUK6_2_MSTO1.pdf")</f>
        <v>Melting_Curves/meltCurve_Q9BUK6_2_MSTO1.pdf</v>
      </c>
    </row>
    <row r="5498" spans="1:28" x14ac:dyDescent="0.25">
      <c r="A5498" t="s">
        <v>5502</v>
      </c>
      <c r="B5498">
        <v>0.995954080203443</v>
      </c>
      <c r="C5498">
        <v>0.84443274961086801</v>
      </c>
      <c r="D5498">
        <v>0.84608799426249004</v>
      </c>
      <c r="E5498">
        <v>0.89341283333877397</v>
      </c>
      <c r="F5498">
        <v>0.86788982131744297</v>
      </c>
      <c r="G5498">
        <v>0.59414510709896495</v>
      </c>
      <c r="H5498">
        <v>0.331252160730929</v>
      </c>
      <c r="I5498">
        <v>0.233401134237399</v>
      </c>
      <c r="J5498">
        <v>0.24656658942530399</v>
      </c>
      <c r="K5498">
        <v>0.233529568231338</v>
      </c>
      <c r="L5498">
        <v>1033.55273101649</v>
      </c>
      <c r="M5498">
        <v>18.212433634354799</v>
      </c>
      <c r="N5498">
        <v>58.183702618644503</v>
      </c>
      <c r="O5498">
        <v>56.078919806414099</v>
      </c>
      <c r="P5498">
        <v>-6.6514065842341902E-2</v>
      </c>
      <c r="Q5498">
        <v>0.18080991809219801</v>
      </c>
      <c r="R5498">
        <v>0.94276403005354603</v>
      </c>
      <c r="S5498" t="s">
        <v>12304</v>
      </c>
      <c r="T5498" t="s">
        <v>13610</v>
      </c>
      <c r="U5498" t="s">
        <v>13610</v>
      </c>
      <c r="V5498" t="s">
        <v>13610</v>
      </c>
      <c r="W5498" t="s">
        <v>19039</v>
      </c>
      <c r="X5498">
        <v>10</v>
      </c>
      <c r="Y5498" t="s">
        <v>25604</v>
      </c>
      <c r="Z5498" t="s">
        <v>32353</v>
      </c>
      <c r="AA5498">
        <v>0.64951829801715333</v>
      </c>
      <c r="AB5498" t="str">
        <f>HYPERLINK("Melting_Curves/meltCurve_Q9BUL9_RPP25.pdf", "Melting_Curves/meltCurve_Q9BUL9_RPP25.pdf")</f>
        <v>Melting_Curves/meltCurve_Q9BUL9_RPP25.pdf</v>
      </c>
    </row>
    <row r="5499" spans="1:28" x14ac:dyDescent="0.25">
      <c r="A5499" t="s">
        <v>5503</v>
      </c>
      <c r="B5499">
        <v>0.995954080203443</v>
      </c>
      <c r="C5499">
        <v>0.91530078631844902</v>
      </c>
      <c r="D5499">
        <v>0.89590625012786096</v>
      </c>
      <c r="E5499">
        <v>0.60121272996013297</v>
      </c>
      <c r="F5499">
        <v>0.58613397250692101</v>
      </c>
      <c r="G5499">
        <v>0.42386560585657201</v>
      </c>
      <c r="H5499">
        <v>0.39783791864393803</v>
      </c>
      <c r="I5499">
        <v>0.41811490667101597</v>
      </c>
      <c r="J5499">
        <v>0.53772619198444305</v>
      </c>
      <c r="K5499">
        <v>0.46896760600083398</v>
      </c>
      <c r="L5499">
        <v>1012.6438740811</v>
      </c>
      <c r="M5499">
        <v>20.9147551287715</v>
      </c>
      <c r="N5499">
        <v>54.363438501057701</v>
      </c>
      <c r="O5499">
        <v>47.9815548823643</v>
      </c>
      <c r="P5499">
        <v>-6.0019767306544E-2</v>
      </c>
      <c r="Q5499">
        <v>0.44923792361183701</v>
      </c>
      <c r="R5499">
        <v>0.94999720800991305</v>
      </c>
      <c r="S5499" t="s">
        <v>12305</v>
      </c>
      <c r="T5499" t="s">
        <v>13610</v>
      </c>
      <c r="U5499" t="s">
        <v>13610</v>
      </c>
      <c r="V5499" t="s">
        <v>13610</v>
      </c>
      <c r="W5499" t="s">
        <v>19040</v>
      </c>
      <c r="X5499">
        <v>2</v>
      </c>
      <c r="Y5499" t="s">
        <v>25605</v>
      </c>
      <c r="Z5499" t="s">
        <v>32354</v>
      </c>
      <c r="AA5499">
        <v>0.61085247368068418</v>
      </c>
      <c r="AB5499" t="str">
        <f>HYPERLINK("Melting_Curves/meltCurve_Q9BUN5_CCDC28B.pdf", "Melting_Curves/meltCurve_Q9BUN5_CCDC28B.pdf")</f>
        <v>Melting_Curves/meltCurve_Q9BUN5_CCDC28B.pdf</v>
      </c>
    </row>
    <row r="5500" spans="1:28" x14ac:dyDescent="0.25">
      <c r="A5500" t="s">
        <v>5504</v>
      </c>
      <c r="B5500">
        <v>0.995954080203443</v>
      </c>
      <c r="C5500">
        <v>1.0251930155001101</v>
      </c>
      <c r="D5500">
        <v>1.0511169629405701</v>
      </c>
      <c r="E5500">
        <v>0.74384059334021502</v>
      </c>
      <c r="F5500">
        <v>0.44005744579657602</v>
      </c>
      <c r="G5500">
        <v>0.24890401411000301</v>
      </c>
      <c r="H5500">
        <v>0.171482659715472</v>
      </c>
      <c r="I5500">
        <v>0.15934791091921899</v>
      </c>
      <c r="J5500">
        <v>0.17067614081076199</v>
      </c>
      <c r="K5500">
        <v>0.14653164394680401</v>
      </c>
      <c r="L5500">
        <v>1452.7398223848299</v>
      </c>
      <c r="M5500">
        <v>28.119005252796999</v>
      </c>
      <c r="N5500">
        <v>52.403845347730801</v>
      </c>
      <c r="O5500">
        <v>51.404801357797602</v>
      </c>
      <c r="P5500">
        <v>-0.114348897621205</v>
      </c>
      <c r="Q5500">
        <v>0.16383489486196101</v>
      </c>
      <c r="R5500">
        <v>0.99407152823337197</v>
      </c>
      <c r="S5500" t="s">
        <v>12306</v>
      </c>
      <c r="T5500" t="s">
        <v>13610</v>
      </c>
      <c r="U5500" t="s">
        <v>13610</v>
      </c>
      <c r="V5500" t="s">
        <v>13610</v>
      </c>
      <c r="W5500" t="s">
        <v>19041</v>
      </c>
      <c r="X5500">
        <v>9</v>
      </c>
      <c r="Y5500" t="s">
        <v>25606</v>
      </c>
      <c r="Z5500" t="s">
        <v>32355</v>
      </c>
      <c r="AA5500">
        <v>0.49497789749340559</v>
      </c>
      <c r="AB5500" t="str">
        <f>HYPERLINK("Melting_Curves/meltCurve_Q9BUP0_EFHD1.pdf", "Melting_Curves/meltCurve_Q9BUP0_EFHD1.pdf")</f>
        <v>Melting_Curves/meltCurve_Q9BUP0_EFHD1.pdf</v>
      </c>
    </row>
    <row r="5501" spans="1:28" x14ac:dyDescent="0.25">
      <c r="A5501" t="s">
        <v>5505</v>
      </c>
      <c r="B5501">
        <v>0.995954080203443</v>
      </c>
      <c r="C5501">
        <v>0.82284083311342204</v>
      </c>
      <c r="D5501">
        <v>0.78429324294885705</v>
      </c>
      <c r="E5501">
        <v>0.93584378163617399</v>
      </c>
      <c r="F5501">
        <v>0.34704610295347299</v>
      </c>
      <c r="G5501">
        <v>0.21729551315371301</v>
      </c>
      <c r="H5501">
        <v>0.17381281286827199</v>
      </c>
      <c r="I5501">
        <v>0.187826910529858</v>
      </c>
      <c r="J5501">
        <v>0.205674333708809</v>
      </c>
      <c r="K5501">
        <v>0.208055848892677</v>
      </c>
      <c r="L5501">
        <v>3419.8647855649501</v>
      </c>
      <c r="M5501">
        <v>65.993713013799095</v>
      </c>
      <c r="N5501">
        <v>52.219935299080802</v>
      </c>
      <c r="O5501">
        <v>51.773548210525703</v>
      </c>
      <c r="P5501">
        <v>-0.25558003576261201</v>
      </c>
      <c r="Q5501">
        <v>0.197967156205797</v>
      </c>
      <c r="R5501">
        <v>0.92808056528801497</v>
      </c>
      <c r="S5501" t="s">
        <v>12307</v>
      </c>
      <c r="T5501" t="s">
        <v>13610</v>
      </c>
      <c r="U5501" t="s">
        <v>13610</v>
      </c>
      <c r="V5501" t="s">
        <v>13610</v>
      </c>
      <c r="W5501" t="s">
        <v>19042</v>
      </c>
      <c r="X5501">
        <v>29</v>
      </c>
      <c r="Y5501" t="s">
        <v>25607</v>
      </c>
      <c r="Z5501" t="s">
        <v>32356</v>
      </c>
      <c r="AA5501">
        <v>0.51504655833970392</v>
      </c>
      <c r="AB5501" t="str">
        <f>HYPERLINK("Melting_Curves/meltCurve_Q9BUQ8_DDX23.pdf", "Melting_Curves/meltCurve_Q9BUQ8_DDX23.pdf")</f>
        <v>Melting_Curves/meltCurve_Q9BUQ8_DDX23.pdf</v>
      </c>
    </row>
    <row r="5502" spans="1:28" x14ac:dyDescent="0.25">
      <c r="A5502" t="s">
        <v>5506</v>
      </c>
      <c r="B5502">
        <v>0.995954080203443</v>
      </c>
      <c r="C5502">
        <v>0.90834329245286904</v>
      </c>
      <c r="D5502">
        <v>0.84228855741346798</v>
      </c>
      <c r="E5502">
        <v>0.78514342666370196</v>
      </c>
      <c r="F5502">
        <v>0.62875818735727396</v>
      </c>
      <c r="G5502">
        <v>0.33772858802694999</v>
      </c>
      <c r="H5502">
        <v>0.22020111065025899</v>
      </c>
      <c r="I5502">
        <v>0.22564372108817399</v>
      </c>
      <c r="J5502">
        <v>0.26539051265054903</v>
      </c>
      <c r="K5502">
        <v>0.26140640275646498</v>
      </c>
      <c r="L5502">
        <v>815.452612997242</v>
      </c>
      <c r="M5502">
        <v>15.5269264287233</v>
      </c>
      <c r="N5502">
        <v>54.3139775766615</v>
      </c>
      <c r="O5502">
        <v>51.670595449393801</v>
      </c>
      <c r="P5502">
        <v>-6.0050439833094903E-2</v>
      </c>
      <c r="Q5502">
        <v>0.20072572631560401</v>
      </c>
      <c r="R5502">
        <v>0.97205891745460604</v>
      </c>
      <c r="S5502" t="s">
        <v>12308</v>
      </c>
      <c r="T5502" t="s">
        <v>13610</v>
      </c>
      <c r="U5502" t="s">
        <v>13610</v>
      </c>
      <c r="V5502" t="s">
        <v>13610</v>
      </c>
      <c r="W5502" t="s">
        <v>19043</v>
      </c>
      <c r="X5502">
        <v>8</v>
      </c>
      <c r="Y5502" t="s">
        <v>25608</v>
      </c>
      <c r="Z5502" t="s">
        <v>32357</v>
      </c>
      <c r="AA5502">
        <v>0.55091447322048637</v>
      </c>
      <c r="AB5502" t="str">
        <f>HYPERLINK("Melting_Curves/meltCurve_Q9BUR4_WRAP53.pdf", "Melting_Curves/meltCurve_Q9BUR4_WRAP53.pdf")</f>
        <v>Melting_Curves/meltCurve_Q9BUR4_WRAP53.pdf</v>
      </c>
    </row>
    <row r="5503" spans="1:28" x14ac:dyDescent="0.25">
      <c r="A5503" t="s">
        <v>5507</v>
      </c>
      <c r="B5503">
        <v>0.995954080203443</v>
      </c>
      <c r="C5503">
        <v>1.03527765507556</v>
      </c>
      <c r="D5503">
        <v>1.0411090774156999</v>
      </c>
      <c r="E5503">
        <v>0.82386293356462204</v>
      </c>
      <c r="F5503">
        <v>0.22290270828117401</v>
      </c>
      <c r="G5503">
        <v>0.11219372136321901</v>
      </c>
      <c r="H5503">
        <v>7.1080396560341999E-2</v>
      </c>
      <c r="I5503">
        <v>7.9489813768356801E-2</v>
      </c>
      <c r="J5503">
        <v>8.6583558600304006E-2</v>
      </c>
      <c r="K5503">
        <v>7.18146343001555E-2</v>
      </c>
      <c r="L5503">
        <v>2781.4475078005198</v>
      </c>
      <c r="M5503">
        <v>54.1889939747319</v>
      </c>
      <c r="N5503">
        <v>51.501586599330302</v>
      </c>
      <c r="O5503">
        <v>51.258881649174299</v>
      </c>
      <c r="P5503">
        <v>-0.24230377486879001</v>
      </c>
      <c r="Q5503">
        <v>8.3192955676849104E-2</v>
      </c>
      <c r="R5503">
        <v>0.99782821482818596</v>
      </c>
      <c r="S5503" t="s">
        <v>12309</v>
      </c>
      <c r="T5503" t="s">
        <v>13610</v>
      </c>
      <c r="U5503" t="s">
        <v>13610</v>
      </c>
      <c r="V5503" t="s">
        <v>13610</v>
      </c>
      <c r="W5503" t="s">
        <v>19044</v>
      </c>
      <c r="X5503">
        <v>6</v>
      </c>
      <c r="Y5503" t="s">
        <v>25609</v>
      </c>
      <c r="Z5503" t="s">
        <v>32358</v>
      </c>
      <c r="AA5503">
        <v>0.43116467703750211</v>
      </c>
      <c r="AB5503" t="str">
        <f>HYPERLINK("Melting_Curves/meltCurve_Q9BUT1_BDH2.pdf", "Melting_Curves/meltCurve_Q9BUT1_BDH2.pdf")</f>
        <v>Melting_Curves/meltCurve_Q9BUT1_BDH2.pdf</v>
      </c>
    </row>
    <row r="5504" spans="1:28" x14ac:dyDescent="0.25">
      <c r="A5504" t="s">
        <v>5508</v>
      </c>
      <c r="B5504">
        <v>0.995954080203443</v>
      </c>
      <c r="C5504">
        <v>0.95620073104754799</v>
      </c>
      <c r="D5504">
        <v>0.93594057520707297</v>
      </c>
      <c r="E5504">
        <v>0.85313694594937595</v>
      </c>
      <c r="F5504">
        <v>0.93858284960357097</v>
      </c>
      <c r="G5504">
        <v>0.59377543261460897</v>
      </c>
      <c r="H5504">
        <v>0.484500422429188</v>
      </c>
      <c r="I5504">
        <v>0.57757150353804398</v>
      </c>
      <c r="J5504">
        <v>0.68312415538453397</v>
      </c>
      <c r="K5504">
        <v>0.60600668192647</v>
      </c>
      <c r="L5504">
        <v>3727.07891752253</v>
      </c>
      <c r="M5504">
        <v>68.672685266312001</v>
      </c>
      <c r="O5504">
        <v>54.227129703461699</v>
      </c>
      <c r="P5504">
        <v>-0.13103488636233601</v>
      </c>
      <c r="Q5504">
        <v>0.586115317450004</v>
      </c>
      <c r="R5504">
        <v>0.856669735359329</v>
      </c>
      <c r="S5504" t="s">
        <v>12310</v>
      </c>
      <c r="T5504" t="s">
        <v>13610</v>
      </c>
      <c r="U5504" t="s">
        <v>13610</v>
      </c>
      <c r="V5504" t="s">
        <v>13610</v>
      </c>
      <c r="W5504" t="s">
        <v>19045</v>
      </c>
      <c r="X5504">
        <v>6</v>
      </c>
      <c r="Y5504" t="s">
        <v>25610</v>
      </c>
      <c r="Z5504" t="s">
        <v>32359</v>
      </c>
      <c r="AA5504">
        <v>0.78355298958064268</v>
      </c>
      <c r="AB5504" t="str">
        <f>HYPERLINK("Melting_Curves/meltCurve_Q9BUT9_FAM195A.pdf", "Melting_Curves/meltCurve_Q9BUT9_FAM195A.pdf")</f>
        <v>Melting_Curves/meltCurve_Q9BUT9_FAM195A.pdf</v>
      </c>
    </row>
    <row r="5505" spans="1:28" x14ac:dyDescent="0.25">
      <c r="A5505" t="s">
        <v>5509</v>
      </c>
      <c r="B5505">
        <v>0.995954080203443</v>
      </c>
      <c r="C5505">
        <v>0.894571987584033</v>
      </c>
      <c r="D5505">
        <v>0.86062055283350403</v>
      </c>
      <c r="E5505">
        <v>0.74974256109346904</v>
      </c>
      <c r="F5505">
        <v>0.657161135986852</v>
      </c>
      <c r="G5505">
        <v>0.44777018448242201</v>
      </c>
      <c r="H5505">
        <v>0.42077786397447597</v>
      </c>
      <c r="I5505">
        <v>0.48876096889738402</v>
      </c>
      <c r="J5505">
        <v>0.74931896767773198</v>
      </c>
      <c r="K5505">
        <v>0.50347611362157596</v>
      </c>
      <c r="L5505">
        <v>811.43756900964399</v>
      </c>
      <c r="M5505">
        <v>16.6803448668771</v>
      </c>
      <c r="O5505">
        <v>47.9632806762041</v>
      </c>
      <c r="P5505">
        <v>-4.1713394851474801E-2</v>
      </c>
      <c r="Q5505">
        <v>0.52025500399413205</v>
      </c>
      <c r="R5505">
        <v>0.77526879459117404</v>
      </c>
      <c r="S5505" t="s">
        <v>12311</v>
      </c>
      <c r="T5505" t="s">
        <v>13610</v>
      </c>
      <c r="U5505" t="s">
        <v>13610</v>
      </c>
      <c r="V5505" t="s">
        <v>13610</v>
      </c>
      <c r="W5505" t="s">
        <v>19046</v>
      </c>
      <c r="X5505">
        <v>1</v>
      </c>
      <c r="Y5505" t="s">
        <v>25611</v>
      </c>
      <c r="Z5505" t="s">
        <v>32360</v>
      </c>
      <c r="AA5505">
        <v>0.66827627863542105</v>
      </c>
      <c r="AB5505" t="str">
        <f>HYPERLINK("Melting_Curves/meltCurve_Q9BUW7_C9orf16.pdf", "Melting_Curves/meltCurve_Q9BUW7_C9orf16.pdf")</f>
        <v>Melting_Curves/meltCurve_Q9BUW7_C9orf16.pdf</v>
      </c>
    </row>
    <row r="5506" spans="1:28" x14ac:dyDescent="0.25">
      <c r="A5506" t="s">
        <v>5510</v>
      </c>
      <c r="B5506">
        <v>0.995954080203443</v>
      </c>
      <c r="C5506">
        <v>0.81658686622323295</v>
      </c>
      <c r="D5506">
        <v>0.64344056212832701</v>
      </c>
      <c r="E5506">
        <v>0.79254698752780595</v>
      </c>
      <c r="F5506">
        <v>0.56535111151190398</v>
      </c>
      <c r="G5506">
        <v>0.27432458296002898</v>
      </c>
      <c r="H5506">
        <v>0.147621699332835</v>
      </c>
      <c r="I5506">
        <v>0.24416589488926899</v>
      </c>
      <c r="J5506">
        <v>0.29229514756470598</v>
      </c>
      <c r="K5506">
        <v>0.24572809868315099</v>
      </c>
      <c r="L5506">
        <v>488.860591986646</v>
      </c>
      <c r="M5506">
        <v>9.5659551223621104</v>
      </c>
      <c r="N5506">
        <v>52.891315643240603</v>
      </c>
      <c r="O5506">
        <v>49.020547000067602</v>
      </c>
      <c r="P5506">
        <v>-4.2072817289673603E-2</v>
      </c>
      <c r="Q5506">
        <v>0.138091426698877</v>
      </c>
      <c r="R5506">
        <v>0.87740759391878098</v>
      </c>
      <c r="S5506" t="s">
        <v>12312</v>
      </c>
      <c r="T5506" t="s">
        <v>13610</v>
      </c>
      <c r="U5506" t="s">
        <v>13610</v>
      </c>
      <c r="V5506" t="s">
        <v>13610</v>
      </c>
      <c r="W5506" t="s">
        <v>19047</v>
      </c>
      <c r="X5506">
        <v>9</v>
      </c>
      <c r="Y5506" t="s">
        <v>25612</v>
      </c>
      <c r="Z5506" t="s">
        <v>32361</v>
      </c>
      <c r="AA5506">
        <v>0.49458190922247652</v>
      </c>
      <c r="AB5506" t="str">
        <f>HYPERLINK("Melting_Curves/meltCurve_Q9BV19_C1orf50.pdf", "Melting_Curves/meltCurve_Q9BV19_C1orf50.pdf")</f>
        <v>Melting_Curves/meltCurve_Q9BV19_C1orf50.pdf</v>
      </c>
    </row>
    <row r="5507" spans="1:28" x14ac:dyDescent="0.25">
      <c r="A5507" t="s">
        <v>5511</v>
      </c>
      <c r="B5507">
        <v>0.995954080203443</v>
      </c>
      <c r="C5507">
        <v>0.92164379379062999</v>
      </c>
      <c r="D5507">
        <v>0.92760488928429896</v>
      </c>
      <c r="E5507">
        <v>0.75891495641064299</v>
      </c>
      <c r="F5507">
        <v>0.64944855447447603</v>
      </c>
      <c r="G5507">
        <v>0.28083524999891901</v>
      </c>
      <c r="H5507">
        <v>0.11605977655581599</v>
      </c>
      <c r="I5507">
        <v>8.9678596306086905E-2</v>
      </c>
      <c r="J5507">
        <v>0.10207919608228599</v>
      </c>
      <c r="K5507">
        <v>9.6974211055001203E-2</v>
      </c>
      <c r="L5507">
        <v>940.89330433174996</v>
      </c>
      <c r="M5507">
        <v>17.5188933901407</v>
      </c>
      <c r="N5507">
        <v>54.048920791603798</v>
      </c>
      <c r="O5507">
        <v>53.022209529248499</v>
      </c>
      <c r="P5507">
        <v>-7.8277610016680599E-2</v>
      </c>
      <c r="Q5507">
        <v>5.2400403980013603E-2</v>
      </c>
      <c r="R5507">
        <v>0.98918635052082104</v>
      </c>
      <c r="S5507" t="s">
        <v>12313</v>
      </c>
      <c r="T5507" t="s">
        <v>13610</v>
      </c>
      <c r="U5507" t="s">
        <v>13610</v>
      </c>
      <c r="V5507" t="s">
        <v>13610</v>
      </c>
      <c r="W5507" t="s">
        <v>19048</v>
      </c>
      <c r="X5507">
        <v>19</v>
      </c>
      <c r="Y5507" t="s">
        <v>25613</v>
      </c>
      <c r="Z5507" t="s">
        <v>32362</v>
      </c>
      <c r="AA5507">
        <v>0.50128327690706942</v>
      </c>
      <c r="AB5507" t="str">
        <f>HYPERLINK("Melting_Curves/meltCurve_Q9BV20_MRI1.pdf", "Melting_Curves/meltCurve_Q9BV20_MRI1.pdf")</f>
        <v>Melting_Curves/meltCurve_Q9BV20_MRI1.pdf</v>
      </c>
    </row>
    <row r="5508" spans="1:28" x14ac:dyDescent="0.25">
      <c r="A5508" t="s">
        <v>5512</v>
      </c>
      <c r="B5508">
        <v>0.995954080203443</v>
      </c>
      <c r="C5508">
        <v>0.94716297096776303</v>
      </c>
      <c r="D5508">
        <v>1.0314144387083699</v>
      </c>
      <c r="E5508">
        <v>0.94537117291922101</v>
      </c>
      <c r="F5508">
        <v>0.76960528183844501</v>
      </c>
      <c r="G5508">
        <v>0.37210939137552801</v>
      </c>
      <c r="H5508">
        <v>0.21670918214977899</v>
      </c>
      <c r="I5508">
        <v>0.20416118532341701</v>
      </c>
      <c r="J5508">
        <v>0.229643197407505</v>
      </c>
      <c r="K5508">
        <v>0.235327386749036</v>
      </c>
      <c r="L5508">
        <v>1746.8252554665801</v>
      </c>
      <c r="M5508">
        <v>32.085767551511502</v>
      </c>
      <c r="N5508">
        <v>55.411283403678603</v>
      </c>
      <c r="O5508">
        <v>54.232201832329302</v>
      </c>
      <c r="P5508">
        <v>-0.116154538804773</v>
      </c>
      <c r="Q5508">
        <v>0.214694202326254</v>
      </c>
      <c r="R5508">
        <v>0.99558721920073701</v>
      </c>
      <c r="S5508" t="s">
        <v>12314</v>
      </c>
      <c r="T5508" t="s">
        <v>13610</v>
      </c>
      <c r="U5508" t="s">
        <v>13610</v>
      </c>
      <c r="V5508" t="s">
        <v>13610</v>
      </c>
      <c r="W5508" t="s">
        <v>19049</v>
      </c>
      <c r="X5508">
        <v>7</v>
      </c>
      <c r="Y5508" t="s">
        <v>25614</v>
      </c>
      <c r="Z5508" t="s">
        <v>32363</v>
      </c>
      <c r="AA5508">
        <v>0.59730348995948412</v>
      </c>
      <c r="AB5508" t="str">
        <f>HYPERLINK("Melting_Curves/meltCurve_Q9BV38_WDR18.pdf", "Melting_Curves/meltCurve_Q9BV38_WDR18.pdf")</f>
        <v>Melting_Curves/meltCurve_Q9BV38_WDR18.pdf</v>
      </c>
    </row>
    <row r="5509" spans="1:28" x14ac:dyDescent="0.25">
      <c r="A5509" t="s">
        <v>5513</v>
      </c>
      <c r="B5509">
        <v>0.995954080203443</v>
      </c>
      <c r="C5509">
        <v>1.06585717837469</v>
      </c>
      <c r="D5509">
        <v>1.0761019801879199</v>
      </c>
      <c r="E5509">
        <v>0.98757083538382595</v>
      </c>
      <c r="F5509">
        <v>0.92127195614104196</v>
      </c>
      <c r="G5509">
        <v>0.62343818341338997</v>
      </c>
      <c r="H5509">
        <v>0.61325450704362705</v>
      </c>
      <c r="I5509">
        <v>0.70488750090837504</v>
      </c>
      <c r="J5509">
        <v>0.93988012889341699</v>
      </c>
      <c r="K5509">
        <v>0.85768111911342804</v>
      </c>
      <c r="L5509">
        <v>13291.8621976627</v>
      </c>
      <c r="M5509">
        <v>250</v>
      </c>
      <c r="O5509">
        <v>53.164041072860698</v>
      </c>
      <c r="P5509">
        <v>-0.296454710406924</v>
      </c>
      <c r="Q5509">
        <v>0.74782828845623195</v>
      </c>
      <c r="R5509">
        <v>0.65118104103107799</v>
      </c>
      <c r="S5509" t="s">
        <v>12315</v>
      </c>
      <c r="T5509" t="s">
        <v>13610</v>
      </c>
      <c r="U5509" t="s">
        <v>13610</v>
      </c>
      <c r="V5509" t="s">
        <v>13610</v>
      </c>
      <c r="W5509" t="s">
        <v>19050</v>
      </c>
      <c r="X5509">
        <v>3</v>
      </c>
      <c r="Y5509" t="s">
        <v>25615</v>
      </c>
      <c r="Z5509" t="s">
        <v>32364</v>
      </c>
      <c r="AA5509">
        <v>0.85853375471245819</v>
      </c>
      <c r="AB5509" t="str">
        <f>HYPERLINK("Melting_Curves/meltCurve_Q9BV40_VAMP8.pdf", "Melting_Curves/meltCurve_Q9BV40_VAMP8.pdf")</f>
        <v>Melting_Curves/meltCurve_Q9BV40_VAMP8.pdf</v>
      </c>
    </row>
    <row r="5510" spans="1:28" x14ac:dyDescent="0.25">
      <c r="A5510" t="s">
        <v>5514</v>
      </c>
      <c r="B5510">
        <v>0.995954080203443</v>
      </c>
      <c r="C5510">
        <v>0.96297974148711096</v>
      </c>
      <c r="D5510">
        <v>0.91787647114661597</v>
      </c>
      <c r="E5510">
        <v>0.84465160006726503</v>
      </c>
      <c r="F5510">
        <v>0.65862013207862502</v>
      </c>
      <c r="G5510">
        <v>0.37193858784804201</v>
      </c>
      <c r="H5510">
        <v>0.11732205824322001</v>
      </c>
      <c r="I5510">
        <v>7.9564056735149394E-2</v>
      </c>
      <c r="J5510">
        <v>8.4632935909522894E-2</v>
      </c>
      <c r="K5510">
        <v>7.3593260818603595E-2</v>
      </c>
      <c r="L5510">
        <v>973.55539172147496</v>
      </c>
      <c r="M5510">
        <v>17.804499289421599</v>
      </c>
      <c r="N5510">
        <v>54.879654581424496</v>
      </c>
      <c r="O5510">
        <v>54.004496621483099</v>
      </c>
      <c r="P5510">
        <v>-7.9844520251115103E-2</v>
      </c>
      <c r="Q5510">
        <v>3.1314270156541098E-2</v>
      </c>
      <c r="R5510">
        <v>0.99496705136815</v>
      </c>
      <c r="S5510" t="s">
        <v>12316</v>
      </c>
      <c r="T5510" t="s">
        <v>13610</v>
      </c>
      <c r="U5510" t="s">
        <v>13610</v>
      </c>
      <c r="V5510" t="s">
        <v>13610</v>
      </c>
      <c r="W5510" t="s">
        <v>19051</v>
      </c>
      <c r="X5510">
        <v>19</v>
      </c>
      <c r="Y5510" t="s">
        <v>25616</v>
      </c>
      <c r="Z5510" t="s">
        <v>32365</v>
      </c>
      <c r="AA5510">
        <v>0.52073486633005184</v>
      </c>
      <c r="AB5510" t="str">
        <f>HYPERLINK("Melting_Curves/meltCurve_Q9BV44_THUMPD3.pdf", "Melting_Curves/meltCurve_Q9BV44_THUMPD3.pdf")</f>
        <v>Melting_Curves/meltCurve_Q9BV44_THUMPD3.pdf</v>
      </c>
    </row>
    <row r="5511" spans="1:28" x14ac:dyDescent="0.25">
      <c r="A5511" t="s">
        <v>5515</v>
      </c>
      <c r="B5511">
        <v>0.995954080203443</v>
      </c>
      <c r="C5511">
        <v>0.97544409836692103</v>
      </c>
      <c r="D5511">
        <v>1.0058858747147501</v>
      </c>
      <c r="E5511">
        <v>0.70987381357020196</v>
      </c>
      <c r="F5511">
        <v>0.492805604382131</v>
      </c>
      <c r="G5511">
        <v>0.182693708839505</v>
      </c>
      <c r="H5511">
        <v>0.10434685209580299</v>
      </c>
      <c r="I5511">
        <v>9.0360266082663399E-2</v>
      </c>
      <c r="J5511">
        <v>0.106206115942445</v>
      </c>
      <c r="K5511">
        <v>9.4021491440587093E-2</v>
      </c>
      <c r="L5511">
        <v>1184.3539106088001</v>
      </c>
      <c r="M5511">
        <v>22.712588100090599</v>
      </c>
      <c r="N5511">
        <v>52.572074803739497</v>
      </c>
      <c r="O5511">
        <v>51.746060813122703</v>
      </c>
      <c r="P5511">
        <v>-0.100494145501573</v>
      </c>
      <c r="Q5511">
        <v>8.4194976671955593E-2</v>
      </c>
      <c r="R5511">
        <v>0.99596148208575697</v>
      </c>
      <c r="S5511" t="s">
        <v>12317</v>
      </c>
      <c r="T5511" t="s">
        <v>13610</v>
      </c>
      <c r="U5511" t="s">
        <v>13610</v>
      </c>
      <c r="V5511" t="s">
        <v>13610</v>
      </c>
      <c r="W5511" t="s">
        <v>19052</v>
      </c>
      <c r="X5511">
        <v>10</v>
      </c>
      <c r="Y5511" t="s">
        <v>25617</v>
      </c>
      <c r="Z5511" t="s">
        <v>32366</v>
      </c>
      <c r="AA5511">
        <v>0.46499221566995619</v>
      </c>
      <c r="AB5511" t="str">
        <f>HYPERLINK("Melting_Curves/meltCurve_Q9BV57_ADI1.pdf", "Melting_Curves/meltCurve_Q9BV57_ADI1.pdf")</f>
        <v>Melting_Curves/meltCurve_Q9BV57_ADI1.pdf</v>
      </c>
    </row>
    <row r="5512" spans="1:28" x14ac:dyDescent="0.25">
      <c r="A5512" t="s">
        <v>5516</v>
      </c>
      <c r="B5512">
        <v>0.995954080203443</v>
      </c>
      <c r="C5512">
        <v>0.92236153755496297</v>
      </c>
      <c r="D5512">
        <v>0.83332375404815096</v>
      </c>
      <c r="E5512">
        <v>0.75892797012183999</v>
      </c>
      <c r="F5512">
        <v>0.58875369147966095</v>
      </c>
      <c r="G5512">
        <v>0.42177423655671098</v>
      </c>
      <c r="H5512">
        <v>0.34374479119630302</v>
      </c>
      <c r="I5512">
        <v>0.35690378625153302</v>
      </c>
      <c r="J5512">
        <v>0.41060428133803001</v>
      </c>
      <c r="K5512">
        <v>0.41335572454263397</v>
      </c>
      <c r="L5512">
        <v>740.95971899905101</v>
      </c>
      <c r="M5512">
        <v>14.6511466514545</v>
      </c>
      <c r="N5512">
        <v>55.222183891527301</v>
      </c>
      <c r="O5512">
        <v>49.659347345562097</v>
      </c>
      <c r="P5512">
        <v>-4.7627779372442398E-2</v>
      </c>
      <c r="Q5512">
        <v>0.35434338103346802</v>
      </c>
      <c r="R5512">
        <v>0.97210368602755903</v>
      </c>
      <c r="S5512" t="s">
        <v>12318</v>
      </c>
      <c r="T5512" t="s">
        <v>13610</v>
      </c>
      <c r="U5512" t="s">
        <v>13610</v>
      </c>
      <c r="V5512" t="s">
        <v>13610</v>
      </c>
      <c r="W5512" t="s">
        <v>19053</v>
      </c>
      <c r="X5512">
        <v>8</v>
      </c>
      <c r="Y5512" t="s">
        <v>25618</v>
      </c>
      <c r="Z5512" t="s">
        <v>32367</v>
      </c>
      <c r="AA5512">
        <v>0.59763904063039897</v>
      </c>
      <c r="AB5512" t="str">
        <f>HYPERLINK("Melting_Curves/meltCurve_Q9BV68_2_RNF126.pdf", "Melting_Curves/meltCurve_Q9BV68_2_RNF126.pdf")</f>
        <v>Melting_Curves/meltCurve_Q9BV68_2_RNF126.pdf</v>
      </c>
    </row>
    <row r="5513" spans="1:28" x14ac:dyDescent="0.25">
      <c r="A5513" t="s">
        <v>5517</v>
      </c>
      <c r="B5513">
        <v>0.995954080203443</v>
      </c>
      <c r="C5513">
        <v>0.94281715597644999</v>
      </c>
      <c r="D5513">
        <v>0.77163297324490399</v>
      </c>
      <c r="E5513">
        <v>0.59526107549186802</v>
      </c>
      <c r="F5513">
        <v>0.38695853709352701</v>
      </c>
      <c r="G5513">
        <v>0.23740201607957601</v>
      </c>
      <c r="H5513">
        <v>0.18113257661708301</v>
      </c>
      <c r="I5513">
        <v>0.20554567711362101</v>
      </c>
      <c r="J5513">
        <v>0.22896280854721399</v>
      </c>
      <c r="K5513">
        <v>0.24525612801827901</v>
      </c>
      <c r="L5513">
        <v>824.85676278141102</v>
      </c>
      <c r="M5513">
        <v>16.734661968388099</v>
      </c>
      <c r="N5513">
        <v>50.801706472313597</v>
      </c>
      <c r="O5513">
        <v>48.602605628753999</v>
      </c>
      <c r="P5513">
        <v>-6.9204611432035004E-2</v>
      </c>
      <c r="Q5513">
        <v>0.19608697275922901</v>
      </c>
      <c r="R5513">
        <v>0.98954090030203601</v>
      </c>
      <c r="S5513" t="s">
        <v>12319</v>
      </c>
      <c r="T5513" t="s">
        <v>13610</v>
      </c>
      <c r="U5513" t="s">
        <v>13610</v>
      </c>
      <c r="V5513" t="s">
        <v>13610</v>
      </c>
      <c r="W5513" t="s">
        <v>19054</v>
      </c>
      <c r="X5513">
        <v>21</v>
      </c>
      <c r="Y5513" t="s">
        <v>25619</v>
      </c>
      <c r="Z5513" t="s">
        <v>32368</v>
      </c>
      <c r="AA5513">
        <v>0.46100581653368339</v>
      </c>
      <c r="AB5513" t="str">
        <f>HYPERLINK("Melting_Curves/meltCurve_Q9BV73_CEP250.pdf", "Melting_Curves/meltCurve_Q9BV73_CEP250.pdf")</f>
        <v>Melting_Curves/meltCurve_Q9BV73_CEP250.pdf</v>
      </c>
    </row>
    <row r="5514" spans="1:28" x14ac:dyDescent="0.25">
      <c r="A5514" t="s">
        <v>5518</v>
      </c>
      <c r="B5514">
        <v>0.995954080203443</v>
      </c>
      <c r="C5514">
        <v>0.56889105862572398</v>
      </c>
      <c r="D5514">
        <v>0.78707936216583896</v>
      </c>
      <c r="E5514">
        <v>0.52128306518207401</v>
      </c>
      <c r="F5514">
        <v>0.16552210940847301</v>
      </c>
      <c r="G5514">
        <v>7.8913340686538394E-2</v>
      </c>
      <c r="H5514">
        <v>4.9115015987428401E-2</v>
      </c>
      <c r="I5514">
        <v>4.1205621141666898E-2</v>
      </c>
      <c r="J5514">
        <v>5.1420610123962401E-2</v>
      </c>
      <c r="K5514">
        <v>4.5609729888532E-2</v>
      </c>
      <c r="L5514">
        <v>577.94325969780095</v>
      </c>
      <c r="M5514">
        <v>11.946233948468601</v>
      </c>
      <c r="N5514">
        <v>48.378699335100897</v>
      </c>
      <c r="O5514">
        <v>47.082857505919499</v>
      </c>
      <c r="P5514">
        <v>-6.3447552220733797E-2</v>
      </c>
      <c r="Q5514">
        <v>0</v>
      </c>
      <c r="R5514">
        <v>0.89972157874591097</v>
      </c>
      <c r="S5514" t="s">
        <v>12320</v>
      </c>
      <c r="T5514" t="s">
        <v>13610</v>
      </c>
      <c r="U5514" t="s">
        <v>13610</v>
      </c>
      <c r="V5514" t="s">
        <v>13610</v>
      </c>
      <c r="W5514" t="s">
        <v>19055</v>
      </c>
      <c r="X5514">
        <v>7</v>
      </c>
      <c r="Y5514" t="s">
        <v>25620</v>
      </c>
      <c r="Z5514" t="s">
        <v>32369</v>
      </c>
      <c r="AA5514">
        <v>0.31777065497332913</v>
      </c>
      <c r="AB5514" t="str">
        <f>HYPERLINK("Melting_Curves/meltCurve_Q9BV79_MECR.pdf", "Melting_Curves/meltCurve_Q9BV79_MECR.pdf")</f>
        <v>Melting_Curves/meltCurve_Q9BV79_MECR.pdf</v>
      </c>
    </row>
    <row r="5515" spans="1:28" x14ac:dyDescent="0.25">
      <c r="A5515" t="s">
        <v>5519</v>
      </c>
      <c r="B5515">
        <v>0.995954080203443</v>
      </c>
      <c r="C5515">
        <v>0.84815489712035597</v>
      </c>
      <c r="D5515">
        <v>0.67201785525601698</v>
      </c>
      <c r="E5515">
        <v>0.22550139661559301</v>
      </c>
      <c r="F5515">
        <v>0.114966516441463</v>
      </c>
      <c r="G5515">
        <v>6.7934251838686094E-2</v>
      </c>
      <c r="H5515">
        <v>4.8693745430541599E-2</v>
      </c>
      <c r="I5515">
        <v>3.7933024939223202E-2</v>
      </c>
      <c r="J5515">
        <v>3.82137974577023E-2</v>
      </c>
      <c r="K5515">
        <v>3.4592262397981598E-2</v>
      </c>
      <c r="L5515">
        <v>1017.56214271942</v>
      </c>
      <c r="M5515">
        <v>21.614135231785301</v>
      </c>
      <c r="N5515">
        <v>47.2439406072574</v>
      </c>
      <c r="O5515">
        <v>46.681114168243198</v>
      </c>
      <c r="P5515">
        <v>-0.111538669980976</v>
      </c>
      <c r="Q5515">
        <v>3.6440797201691098E-2</v>
      </c>
      <c r="R5515">
        <v>0.99661621041913995</v>
      </c>
      <c r="S5515" t="s">
        <v>12321</v>
      </c>
      <c r="T5515" t="s">
        <v>13610</v>
      </c>
      <c r="U5515" t="s">
        <v>13610</v>
      </c>
      <c r="V5515" t="s">
        <v>13610</v>
      </c>
      <c r="W5515" t="s">
        <v>19056</v>
      </c>
      <c r="X5515">
        <v>8</v>
      </c>
      <c r="Y5515" t="s">
        <v>25621</v>
      </c>
      <c r="Z5515" t="s">
        <v>32370</v>
      </c>
      <c r="AA5515">
        <v>0.27564083810016771</v>
      </c>
      <c r="AB5515" t="str">
        <f>HYPERLINK("Melting_Curves/meltCurve_Q9BV86_NTMT1.pdf", "Melting_Curves/meltCurve_Q9BV86_NTMT1.pdf")</f>
        <v>Melting_Curves/meltCurve_Q9BV86_NTMT1.pdf</v>
      </c>
    </row>
    <row r="5516" spans="1:28" x14ac:dyDescent="0.25">
      <c r="A5516" t="s">
        <v>5520</v>
      </c>
      <c r="B5516">
        <v>0.995954080203443</v>
      </c>
      <c r="C5516">
        <v>0.95287036206223896</v>
      </c>
      <c r="D5516">
        <v>0.88263064279597503</v>
      </c>
      <c r="E5516">
        <v>0.74666715792314398</v>
      </c>
      <c r="F5516">
        <v>0.53000602530216001</v>
      </c>
      <c r="G5516">
        <v>0.28026118809490203</v>
      </c>
      <c r="H5516">
        <v>0.18553104803439999</v>
      </c>
      <c r="I5516">
        <v>0.16162278228448601</v>
      </c>
      <c r="J5516">
        <v>0.17133068164733001</v>
      </c>
      <c r="K5516">
        <v>0.168743490353638</v>
      </c>
      <c r="L5516">
        <v>897.03671455291203</v>
      </c>
      <c r="M5516">
        <v>17.180094461326799</v>
      </c>
      <c r="N5516">
        <v>53.210517090648999</v>
      </c>
      <c r="O5516">
        <v>51.5217012245582</v>
      </c>
      <c r="P5516">
        <v>-7.1897831367760803E-2</v>
      </c>
      <c r="Q5516">
        <v>0.13758835415478801</v>
      </c>
      <c r="R5516">
        <v>0.995909068089188</v>
      </c>
      <c r="S5516" t="s">
        <v>12322</v>
      </c>
      <c r="T5516" t="s">
        <v>13610</v>
      </c>
      <c r="U5516" t="s">
        <v>13610</v>
      </c>
      <c r="V5516" t="s">
        <v>13610</v>
      </c>
      <c r="W5516" t="s">
        <v>19057</v>
      </c>
      <c r="X5516">
        <v>16</v>
      </c>
      <c r="Y5516" t="s">
        <v>25622</v>
      </c>
      <c r="Z5516" t="s">
        <v>32371</v>
      </c>
      <c r="AA5516">
        <v>0.50415757655221516</v>
      </c>
      <c r="AB5516" t="str">
        <f>HYPERLINK("Melting_Curves/meltCurve_Q9BVA0_KATNB1.pdf", "Melting_Curves/meltCurve_Q9BVA0_KATNB1.pdf")</f>
        <v>Melting_Curves/meltCurve_Q9BVA0_KATNB1.pdf</v>
      </c>
    </row>
    <row r="5517" spans="1:28" x14ac:dyDescent="0.25">
      <c r="A5517" t="s">
        <v>5521</v>
      </c>
      <c r="B5517">
        <v>0.995954080203443</v>
      </c>
      <c r="C5517">
        <v>0.45633456700861502</v>
      </c>
      <c r="D5517">
        <v>0.25817418568738099</v>
      </c>
      <c r="E5517">
        <v>0.31448556090974999</v>
      </c>
      <c r="F5517">
        <v>0.18393858791843501</v>
      </c>
      <c r="G5517">
        <v>9.0591547558019903E-2</v>
      </c>
      <c r="H5517">
        <v>6.14977374156154E-2</v>
      </c>
      <c r="I5517">
        <v>6.1052966138317802E-2</v>
      </c>
      <c r="J5517">
        <v>5.1153679841562397E-2</v>
      </c>
      <c r="K5517">
        <v>6.1696786261602403E-2</v>
      </c>
      <c r="L5517">
        <v>1502.2620518332001</v>
      </c>
      <c r="M5517">
        <v>35.273580393270599</v>
      </c>
      <c r="N5517">
        <v>42.9350231111532</v>
      </c>
      <c r="O5517">
        <v>42.452685759842304</v>
      </c>
      <c r="P5517">
        <v>-0.18201439131466601</v>
      </c>
      <c r="Q5517">
        <v>0.123766485817229</v>
      </c>
      <c r="R5517">
        <v>0.90992906005232299</v>
      </c>
      <c r="S5517" t="s">
        <v>12323</v>
      </c>
      <c r="T5517" t="s">
        <v>13610</v>
      </c>
      <c r="U5517" t="s">
        <v>13610</v>
      </c>
      <c r="V5517" t="s">
        <v>13610</v>
      </c>
      <c r="W5517" t="s">
        <v>19058</v>
      </c>
      <c r="X5517">
        <v>20</v>
      </c>
      <c r="Y5517" t="s">
        <v>25623</v>
      </c>
      <c r="Z5517" t="s">
        <v>32372</v>
      </c>
      <c r="AA5517">
        <v>0.2055763283058353</v>
      </c>
      <c r="AB5517" t="str">
        <f>HYPERLINK("Melting_Curves/meltCurve_Q9BVA1_TUBB2B.pdf", "Melting_Curves/meltCurve_Q9BVA1_TUBB2B.pdf")</f>
        <v>Melting_Curves/meltCurve_Q9BVA1_TUBB2B.pdf</v>
      </c>
    </row>
    <row r="5518" spans="1:28" x14ac:dyDescent="0.25">
      <c r="A5518" t="s">
        <v>5522</v>
      </c>
      <c r="B5518">
        <v>0.995954080203443</v>
      </c>
      <c r="C5518">
        <v>0.94640369592209606</v>
      </c>
      <c r="D5518">
        <v>0.71277774231130997</v>
      </c>
      <c r="E5518">
        <v>0.39669070133456302</v>
      </c>
      <c r="F5518">
        <v>0.25922632024948</v>
      </c>
      <c r="G5518">
        <v>0.155729861892456</v>
      </c>
      <c r="H5518">
        <v>9.5345316682628398E-2</v>
      </c>
      <c r="I5518">
        <v>8.6588335998651997E-2</v>
      </c>
      <c r="J5518">
        <v>8.7037310926621703E-2</v>
      </c>
      <c r="K5518">
        <v>8.1518030987265996E-2</v>
      </c>
      <c r="L5518">
        <v>861.54872470901103</v>
      </c>
      <c r="M5518">
        <v>17.833276374746099</v>
      </c>
      <c r="N5518">
        <v>48.8048303053043</v>
      </c>
      <c r="O5518">
        <v>47.716117483689104</v>
      </c>
      <c r="P5518">
        <v>-8.5729828063503502E-2</v>
      </c>
      <c r="Q5518">
        <v>8.2505488538892197E-2</v>
      </c>
      <c r="R5518">
        <v>0.99765555408793805</v>
      </c>
      <c r="S5518" t="s">
        <v>12324</v>
      </c>
      <c r="T5518" t="s">
        <v>13610</v>
      </c>
      <c r="U5518" t="s">
        <v>13610</v>
      </c>
      <c r="V5518" t="s">
        <v>13610</v>
      </c>
      <c r="W5518" t="s">
        <v>19059</v>
      </c>
      <c r="X5518">
        <v>5</v>
      </c>
      <c r="Y5518" t="s">
        <v>25624</v>
      </c>
      <c r="Z5518" t="s">
        <v>32373</v>
      </c>
      <c r="AA5518">
        <v>0.35313976087911392</v>
      </c>
      <c r="AB5518" t="str">
        <f>HYPERLINK("Melting_Curves/meltCurve_Q9BVC3_DSCC1.pdf", "Melting_Curves/meltCurve_Q9BVC3_DSCC1.pdf")</f>
        <v>Melting_Curves/meltCurve_Q9BVC3_DSCC1.pdf</v>
      </c>
    </row>
    <row r="5519" spans="1:28" x14ac:dyDescent="0.25">
      <c r="A5519" t="s">
        <v>5523</v>
      </c>
      <c r="B5519">
        <v>0.995954080203443</v>
      </c>
      <c r="C5519">
        <v>0.91841425339626404</v>
      </c>
      <c r="D5519">
        <v>0.86930853836251598</v>
      </c>
      <c r="E5519">
        <v>0.76925619731274197</v>
      </c>
      <c r="F5519">
        <v>0.64702528269455695</v>
      </c>
      <c r="G5519">
        <v>0.52129315436471002</v>
      </c>
      <c r="H5519">
        <v>0.41485234321313103</v>
      </c>
      <c r="I5519">
        <v>0.47440778717492899</v>
      </c>
      <c r="J5519">
        <v>0.42219887878673001</v>
      </c>
      <c r="K5519">
        <v>0.47463823367894997</v>
      </c>
      <c r="L5519">
        <v>668.17155025312002</v>
      </c>
      <c r="M5519">
        <v>13.125834314901001</v>
      </c>
      <c r="N5519">
        <v>58.864794574448197</v>
      </c>
      <c r="O5519">
        <v>49.7669845644783</v>
      </c>
      <c r="P5519">
        <v>-3.8563016139797499E-2</v>
      </c>
      <c r="Q5519">
        <v>0.41524816061855502</v>
      </c>
      <c r="R5519">
        <v>0.97977589943357901</v>
      </c>
      <c r="S5519" t="s">
        <v>12325</v>
      </c>
      <c r="T5519" t="s">
        <v>13610</v>
      </c>
      <c r="U5519" t="s">
        <v>13610</v>
      </c>
      <c r="V5519" t="s">
        <v>13610</v>
      </c>
      <c r="W5519" t="s">
        <v>13878</v>
      </c>
      <c r="X5519">
        <v>5</v>
      </c>
      <c r="Y5519" t="s">
        <v>20601</v>
      </c>
      <c r="Z5519" t="s">
        <v>32374</v>
      </c>
      <c r="AA5519">
        <v>0.64458850295034587</v>
      </c>
      <c r="AB5519" t="str">
        <f>HYPERLINK("Melting_Curves/meltCurve_Q9BVC5_C2orf49.pdf", "Melting_Curves/meltCurve_Q9BVC5_C2orf49.pdf")</f>
        <v>Melting_Curves/meltCurve_Q9BVC5_C2orf49.pdf</v>
      </c>
    </row>
    <row r="5520" spans="1:28" x14ac:dyDescent="0.25">
      <c r="A5520" t="s">
        <v>5524</v>
      </c>
      <c r="B5520">
        <v>0.995954080203443</v>
      </c>
      <c r="C5520">
        <v>1.00154649454018</v>
      </c>
      <c r="D5520">
        <v>0.78003166558145198</v>
      </c>
      <c r="E5520">
        <v>0.87890019294966404</v>
      </c>
      <c r="F5520">
        <v>0.31249080494329101</v>
      </c>
      <c r="G5520">
        <v>0.103178735314151</v>
      </c>
      <c r="H5520">
        <v>5.0482091379842102E-2</v>
      </c>
      <c r="I5520">
        <v>4.4080499159893899E-2</v>
      </c>
      <c r="J5520">
        <v>4.4566343285615699E-2</v>
      </c>
      <c r="K5520">
        <v>3.63070181895149E-2</v>
      </c>
      <c r="L5520">
        <v>2358.0300571410398</v>
      </c>
      <c r="M5520">
        <v>45.399671986244499</v>
      </c>
      <c r="N5520">
        <v>52.062356840930697</v>
      </c>
      <c r="O5520">
        <v>51.838895933706802</v>
      </c>
      <c r="P5520">
        <v>-0.20781274023013099</v>
      </c>
      <c r="Q5520">
        <v>5.0850553847506599E-2</v>
      </c>
      <c r="R5520">
        <v>0.97081596318425001</v>
      </c>
      <c r="S5520" t="s">
        <v>12326</v>
      </c>
      <c r="T5520" t="s">
        <v>13610</v>
      </c>
      <c r="U5520" t="s">
        <v>13610</v>
      </c>
      <c r="V5520" t="s">
        <v>13610</v>
      </c>
      <c r="W5520" t="s">
        <v>19060</v>
      </c>
      <c r="X5520">
        <v>1</v>
      </c>
      <c r="Y5520" t="s">
        <v>25625</v>
      </c>
      <c r="Z5520" t="s">
        <v>32375</v>
      </c>
      <c r="AA5520">
        <v>0.43123210864575512</v>
      </c>
      <c r="AB5520" t="str">
        <f>HYPERLINK("Melting_Curves/meltCurve_Q9BVC6_TMEM109.pdf", "Melting_Curves/meltCurve_Q9BVC6_TMEM109.pdf")</f>
        <v>Melting_Curves/meltCurve_Q9BVC6_TMEM109.pdf</v>
      </c>
    </row>
    <row r="5521" spans="1:28" x14ac:dyDescent="0.25">
      <c r="A5521" t="s">
        <v>5525</v>
      </c>
      <c r="B5521">
        <v>0.995954080203443</v>
      </c>
      <c r="C5521">
        <v>1.02191574161388</v>
      </c>
      <c r="D5521">
        <v>1.01905912333131</v>
      </c>
      <c r="E5521">
        <v>0.93387318651492102</v>
      </c>
      <c r="F5521">
        <v>0.75667401664365996</v>
      </c>
      <c r="G5521">
        <v>0.32754771794525001</v>
      </c>
      <c r="H5521">
        <v>0.125016704566797</v>
      </c>
      <c r="I5521">
        <v>8.9285976074093498E-2</v>
      </c>
      <c r="J5521">
        <v>9.3777496731042895E-2</v>
      </c>
      <c r="K5521">
        <v>8.4702205041761194E-2</v>
      </c>
      <c r="L5521">
        <v>1532.7241501488099</v>
      </c>
      <c r="M5521">
        <v>27.9045914555055</v>
      </c>
      <c r="N5521">
        <v>55.2682928881338</v>
      </c>
      <c r="O5521">
        <v>54.647541496137599</v>
      </c>
      <c r="P5521">
        <v>-0.117563320924892</v>
      </c>
      <c r="Q5521">
        <v>7.9077630613774499E-2</v>
      </c>
      <c r="R5521">
        <v>0.99918754647742303</v>
      </c>
      <c r="S5521" t="s">
        <v>12327</v>
      </c>
      <c r="T5521" t="s">
        <v>13610</v>
      </c>
      <c r="U5521" t="s">
        <v>13610</v>
      </c>
      <c r="V5521" t="s">
        <v>13610</v>
      </c>
      <c r="W5521" t="s">
        <v>19061</v>
      </c>
      <c r="X5521">
        <v>23</v>
      </c>
      <c r="Y5521" t="s">
        <v>25626</v>
      </c>
      <c r="Z5521" t="s">
        <v>32376</v>
      </c>
      <c r="AA5521">
        <v>0.54429747505634696</v>
      </c>
      <c r="AB5521" t="str">
        <f>HYPERLINK("Melting_Curves/meltCurve_Q9BVG4_PBDC1.pdf", "Melting_Curves/meltCurve_Q9BVG4_PBDC1.pdf")</f>
        <v>Melting_Curves/meltCurve_Q9BVG4_PBDC1.pdf</v>
      </c>
    </row>
    <row r="5522" spans="1:28" x14ac:dyDescent="0.25">
      <c r="A5522" t="s">
        <v>5526</v>
      </c>
      <c r="B5522">
        <v>0.995954080203443</v>
      </c>
      <c r="C5522">
        <v>0.90767252997620995</v>
      </c>
      <c r="D5522">
        <v>1.0373464170215401</v>
      </c>
      <c r="E5522">
        <v>0.89275556653410604</v>
      </c>
      <c r="F5522">
        <v>1.0098496008409099</v>
      </c>
      <c r="G5522">
        <v>0.80927703285336405</v>
      </c>
      <c r="H5522">
        <v>0.829568537487124</v>
      </c>
      <c r="I5522">
        <v>1.0104877637049099</v>
      </c>
      <c r="J5522">
        <v>1.1455967005327401</v>
      </c>
      <c r="K5522">
        <v>1.32341718563791</v>
      </c>
      <c r="L5522">
        <v>5551.8000028930501</v>
      </c>
      <c r="M5522">
        <v>82.599431942666897</v>
      </c>
      <c r="O5522">
        <v>67.174169975832598</v>
      </c>
      <c r="P5522">
        <v>0.103120985703337</v>
      </c>
      <c r="Q5522">
        <v>1.33545343571758</v>
      </c>
      <c r="R5522">
        <v>0.59096474634676399</v>
      </c>
      <c r="S5522" t="s">
        <v>12328</v>
      </c>
      <c r="T5522" t="s">
        <v>13610</v>
      </c>
      <c r="U5522" t="s">
        <v>13610</v>
      </c>
      <c r="V5522" t="s">
        <v>13610</v>
      </c>
      <c r="W5522" t="s">
        <v>19062</v>
      </c>
      <c r="X5522">
        <v>4</v>
      </c>
      <c r="Y5522" t="s">
        <v>25627</v>
      </c>
      <c r="Z5522" t="s">
        <v>32377</v>
      </c>
      <c r="AA5522">
        <v>1.0311657322129599</v>
      </c>
      <c r="AB5522" t="str">
        <f>HYPERLINK("Melting_Curves/meltCurve_Q9BVI0_PHF20.pdf", "Melting_Curves/meltCurve_Q9BVI0_PHF20.pdf")</f>
        <v>Melting_Curves/meltCurve_Q9BVI0_PHF20.pdf</v>
      </c>
    </row>
    <row r="5523" spans="1:28" x14ac:dyDescent="0.25">
      <c r="A5523" t="s">
        <v>5527</v>
      </c>
      <c r="B5523">
        <v>0.995954080203443</v>
      </c>
      <c r="C5523">
        <v>0.68824393943735995</v>
      </c>
      <c r="D5523">
        <v>0.29441075304841702</v>
      </c>
      <c r="E5523">
        <v>0.23647398075348999</v>
      </c>
      <c r="F5523">
        <v>0.140337527409821</v>
      </c>
      <c r="G5523">
        <v>7.53351122280288E-2</v>
      </c>
      <c r="H5523">
        <v>5.65316302282943E-2</v>
      </c>
      <c r="I5523">
        <v>5.2846772744635999E-2</v>
      </c>
      <c r="J5523">
        <v>6.4536894846631193E-2</v>
      </c>
      <c r="K5523">
        <v>4.88943800890356E-2</v>
      </c>
      <c r="L5523">
        <v>1058.3884949984499</v>
      </c>
      <c r="M5523">
        <v>23.954908485949499</v>
      </c>
      <c r="N5523">
        <v>44.508008637637403</v>
      </c>
      <c r="O5523">
        <v>43.878091496780797</v>
      </c>
      <c r="P5523">
        <v>-0.12552104693243901</v>
      </c>
      <c r="Q5523">
        <v>8.0349622244002605E-2</v>
      </c>
      <c r="R5523">
        <v>0.97726653097460203</v>
      </c>
      <c r="S5523" t="s">
        <v>12329</v>
      </c>
      <c r="T5523" t="s">
        <v>13610</v>
      </c>
      <c r="U5523" t="s">
        <v>13610</v>
      </c>
      <c r="V5523" t="s">
        <v>13610</v>
      </c>
      <c r="W5523" t="s">
        <v>19063</v>
      </c>
      <c r="X5523">
        <v>9</v>
      </c>
      <c r="Y5523" t="s">
        <v>25628</v>
      </c>
      <c r="Z5523" t="s">
        <v>32378</v>
      </c>
      <c r="AA5523">
        <v>0.2198909383673549</v>
      </c>
      <c r="AB5523" t="str">
        <f>HYPERLINK("Melting_Curves/meltCurve_Q9BVI4_NOC4L.pdf", "Melting_Curves/meltCurve_Q9BVI4_NOC4L.pdf")</f>
        <v>Melting_Curves/meltCurve_Q9BVI4_NOC4L.pdf</v>
      </c>
    </row>
    <row r="5524" spans="1:28" x14ac:dyDescent="0.25">
      <c r="A5524" t="s">
        <v>5528</v>
      </c>
      <c r="B5524">
        <v>0.995954080203443</v>
      </c>
      <c r="C5524">
        <v>0.986467118687818</v>
      </c>
      <c r="D5524">
        <v>1.0394942352244601</v>
      </c>
      <c r="E5524">
        <v>0.90831372835865698</v>
      </c>
      <c r="F5524">
        <v>0.91473185871596796</v>
      </c>
      <c r="G5524">
        <v>0.70848886489825103</v>
      </c>
      <c r="H5524">
        <v>0.68212605582673602</v>
      </c>
      <c r="I5524">
        <v>0.82064262791401899</v>
      </c>
      <c r="J5524">
        <v>0.95907097053886003</v>
      </c>
      <c r="K5524">
        <v>0.97987569325329704</v>
      </c>
      <c r="L5524">
        <v>1848.67463384651</v>
      </c>
      <c r="M5524">
        <v>36.647142561433199</v>
      </c>
      <c r="O5524">
        <v>50.295756540804099</v>
      </c>
      <c r="P5524">
        <v>-2.96265790569115E-2</v>
      </c>
      <c r="Q5524">
        <v>0.83735847024500198</v>
      </c>
      <c r="R5524">
        <v>0.39757703914765902</v>
      </c>
      <c r="S5524" t="s">
        <v>12330</v>
      </c>
      <c r="T5524" t="s">
        <v>13610</v>
      </c>
      <c r="U5524" t="s">
        <v>13610</v>
      </c>
      <c r="V5524" t="s">
        <v>13610</v>
      </c>
      <c r="W5524" t="s">
        <v>19064</v>
      </c>
      <c r="X5524">
        <v>29</v>
      </c>
      <c r="Y5524" t="s">
        <v>25629</v>
      </c>
      <c r="Z5524" t="s">
        <v>32379</v>
      </c>
      <c r="AA5524">
        <v>0.89466298352753471</v>
      </c>
      <c r="AB5524" t="str">
        <f>HYPERLINK("Melting_Curves/meltCurve_Q9BVJ6_UTP14A.pdf", "Melting_Curves/meltCurve_Q9BVJ6_UTP14A.pdf")</f>
        <v>Melting_Curves/meltCurve_Q9BVJ6_UTP14A.pdf</v>
      </c>
    </row>
    <row r="5525" spans="1:28" x14ac:dyDescent="0.25">
      <c r="A5525" t="s">
        <v>5529</v>
      </c>
      <c r="B5525">
        <v>0.995954080203443</v>
      </c>
      <c r="C5525">
        <v>1.0511587308113799</v>
      </c>
      <c r="D5525">
        <v>1.00271856722782</v>
      </c>
      <c r="E5525">
        <v>0.92558445547150503</v>
      </c>
      <c r="F5525">
        <v>0.804048363388846</v>
      </c>
      <c r="G5525">
        <v>0.43407877558663699</v>
      </c>
      <c r="H5525">
        <v>0.13733844280653401</v>
      </c>
      <c r="I5525">
        <v>0.11751447545209399</v>
      </c>
      <c r="J5525">
        <v>0.113657461940937</v>
      </c>
      <c r="K5525">
        <v>0.112849249978959</v>
      </c>
      <c r="L5525">
        <v>1440.9133888066899</v>
      </c>
      <c r="M5525">
        <v>25.8834938681265</v>
      </c>
      <c r="N5525">
        <v>56.106650247355098</v>
      </c>
      <c r="O5525">
        <v>55.340070986059999</v>
      </c>
      <c r="P5525">
        <v>-0.106246175800357</v>
      </c>
      <c r="Q5525">
        <v>9.1373905784700393E-2</v>
      </c>
      <c r="R5525">
        <v>0.99626369557116401</v>
      </c>
      <c r="S5525" t="s">
        <v>12331</v>
      </c>
      <c r="T5525" t="s">
        <v>13610</v>
      </c>
      <c r="U5525" t="s">
        <v>13610</v>
      </c>
      <c r="V5525" t="s">
        <v>13610</v>
      </c>
      <c r="W5525" t="s">
        <v>19065</v>
      </c>
      <c r="X5525">
        <v>12</v>
      </c>
      <c r="Y5525" t="s">
        <v>25630</v>
      </c>
      <c r="Z5525" t="s">
        <v>32380</v>
      </c>
      <c r="AA5525">
        <v>0.57384329392272493</v>
      </c>
      <c r="AB5525" t="str">
        <f>HYPERLINK("Melting_Curves/meltCurve_Q9BVJ7_DUSP23.pdf", "Melting_Curves/meltCurve_Q9BVJ7_DUSP23.pdf")</f>
        <v>Melting_Curves/meltCurve_Q9BVJ7_DUSP23.pdf</v>
      </c>
    </row>
    <row r="5526" spans="1:28" x14ac:dyDescent="0.25">
      <c r="A5526" t="s">
        <v>5530</v>
      </c>
      <c r="B5526">
        <v>0.995954080203443</v>
      </c>
      <c r="C5526">
        <v>0.87222323778989597</v>
      </c>
      <c r="D5526">
        <v>0.73135194707429696</v>
      </c>
      <c r="E5526">
        <v>0.90687463902709398</v>
      </c>
      <c r="F5526">
        <v>0.28033489802991901</v>
      </c>
      <c r="G5526">
        <v>7.8863873114763505E-2</v>
      </c>
      <c r="H5526">
        <v>2.9522025536673501E-2</v>
      </c>
      <c r="I5526">
        <v>2.2527359585052999E-2</v>
      </c>
      <c r="J5526">
        <v>2.25695958569548E-2</v>
      </c>
      <c r="K5526">
        <v>2.01555997125774E-2</v>
      </c>
      <c r="L5526">
        <v>2783.8208874082302</v>
      </c>
      <c r="M5526">
        <v>53.558798142840097</v>
      </c>
      <c r="N5526">
        <v>52.041594962515703</v>
      </c>
      <c r="O5526">
        <v>51.904602579919498</v>
      </c>
      <c r="P5526">
        <v>-0.24966044396227299</v>
      </c>
      <c r="Q5526">
        <v>3.2202535397035797E-2</v>
      </c>
      <c r="R5526">
        <v>0.94476164854341305</v>
      </c>
      <c r="S5526" t="s">
        <v>12332</v>
      </c>
      <c r="T5526" t="s">
        <v>13610</v>
      </c>
      <c r="U5526" t="s">
        <v>13610</v>
      </c>
      <c r="V5526" t="s">
        <v>13610</v>
      </c>
      <c r="W5526" t="s">
        <v>19066</v>
      </c>
      <c r="X5526">
        <v>3</v>
      </c>
      <c r="Y5526" t="s">
        <v>25631</v>
      </c>
      <c r="Z5526" t="s">
        <v>32381</v>
      </c>
      <c r="AA5526">
        <v>0.42050903022638908</v>
      </c>
      <c r="AB5526" t="str">
        <f>HYPERLINK("Melting_Curves/meltCurve_Q9BVK6_TMED9.pdf", "Melting_Curves/meltCurve_Q9BVK6_TMED9.pdf")</f>
        <v>Melting_Curves/meltCurve_Q9BVK6_TMED9.pdf</v>
      </c>
    </row>
    <row r="5527" spans="1:28" x14ac:dyDescent="0.25">
      <c r="A5527" t="s">
        <v>5531</v>
      </c>
      <c r="B5527">
        <v>0.995954080203443</v>
      </c>
      <c r="C5527">
        <v>0.800509616025739</v>
      </c>
      <c r="D5527">
        <v>0.326493932851881</v>
      </c>
      <c r="E5527">
        <v>0.19951991305703701</v>
      </c>
      <c r="F5527">
        <v>0.14405357094937901</v>
      </c>
      <c r="G5527">
        <v>0.107726675560016</v>
      </c>
      <c r="H5527">
        <v>8.1268043376957894E-2</v>
      </c>
      <c r="I5527">
        <v>9.5553200129221694E-2</v>
      </c>
      <c r="J5527">
        <v>9.8102241971829096E-2</v>
      </c>
      <c r="K5527">
        <v>8.7249995041052894E-2</v>
      </c>
      <c r="L5527">
        <v>1409.5379165856</v>
      </c>
      <c r="M5527">
        <v>31.658631333310201</v>
      </c>
      <c r="N5527">
        <v>44.872891173095901</v>
      </c>
      <c r="O5527">
        <v>44.346506060550297</v>
      </c>
      <c r="P5527">
        <v>-0.158954873295648</v>
      </c>
      <c r="Q5527">
        <v>0.109366922976491</v>
      </c>
      <c r="R5527">
        <v>0.99257494914258604</v>
      </c>
      <c r="S5527" t="s">
        <v>12333</v>
      </c>
      <c r="T5527" t="s">
        <v>13610</v>
      </c>
      <c r="U5527" t="s">
        <v>13610</v>
      </c>
      <c r="V5527" t="s">
        <v>13610</v>
      </c>
      <c r="W5527" t="s">
        <v>19067</v>
      </c>
      <c r="X5527">
        <v>6</v>
      </c>
      <c r="Y5527" t="s">
        <v>25632</v>
      </c>
      <c r="Z5527" t="s">
        <v>32382</v>
      </c>
      <c r="AA5527">
        <v>0.2489224705600212</v>
      </c>
      <c r="AB5527" t="str">
        <f>HYPERLINK("Melting_Curves/meltCurve_Q9BVL4_SELO.pdf", "Melting_Curves/meltCurve_Q9BVL4_SELO.pdf")</f>
        <v>Melting_Curves/meltCurve_Q9BVL4_SELO.pdf</v>
      </c>
    </row>
    <row r="5528" spans="1:28" x14ac:dyDescent="0.25">
      <c r="A5528" t="s">
        <v>5532</v>
      </c>
      <c r="B5528">
        <v>0.995954080203443</v>
      </c>
      <c r="C5528">
        <v>0.85339657334989905</v>
      </c>
      <c r="D5528">
        <v>0.66010561152548997</v>
      </c>
      <c r="E5528">
        <v>0.39553485092113499</v>
      </c>
      <c r="F5528">
        <v>0.19007104710315201</v>
      </c>
      <c r="G5528">
        <v>0.128682022719774</v>
      </c>
      <c r="H5528">
        <v>8.9786435070643905E-2</v>
      </c>
      <c r="I5528">
        <v>8.9789518645935998E-2</v>
      </c>
      <c r="J5528">
        <v>9.6057474619613295E-2</v>
      </c>
      <c r="K5528">
        <v>9.6999710557059707E-2</v>
      </c>
      <c r="L5528">
        <v>801.30832920236503</v>
      </c>
      <c r="M5528">
        <v>16.843554780470701</v>
      </c>
      <c r="N5528">
        <v>48.068071817152699</v>
      </c>
      <c r="O5528">
        <v>46.9182047540695</v>
      </c>
      <c r="P5528">
        <v>-8.2615694482208499E-2</v>
      </c>
      <c r="Q5528">
        <v>7.9545776179671401E-2</v>
      </c>
      <c r="R5528">
        <v>0.99644350902563406</v>
      </c>
      <c r="S5528" t="s">
        <v>12334</v>
      </c>
      <c r="T5528" t="s">
        <v>13610</v>
      </c>
      <c r="U5528" t="s">
        <v>13610</v>
      </c>
      <c r="V5528" t="s">
        <v>13610</v>
      </c>
      <c r="W5528" t="s">
        <v>19068</v>
      </c>
      <c r="X5528">
        <v>5</v>
      </c>
      <c r="Y5528" t="s">
        <v>25633</v>
      </c>
      <c r="Z5528" t="s">
        <v>32383</v>
      </c>
      <c r="AA5528">
        <v>0.3309792562132427</v>
      </c>
      <c r="AB5528" t="str">
        <f>HYPERLINK("Melting_Curves/meltCurve_Q9BVM2_DPCD.pdf", "Melting_Curves/meltCurve_Q9BVM2_DPCD.pdf")</f>
        <v>Melting_Curves/meltCurve_Q9BVM2_DPCD.pdf</v>
      </c>
    </row>
    <row r="5529" spans="1:28" x14ac:dyDescent="0.25">
      <c r="A5529" t="s">
        <v>5533</v>
      </c>
      <c r="B5529">
        <v>0.995954080203443</v>
      </c>
      <c r="C5529">
        <v>1.6815151461664499</v>
      </c>
      <c r="D5529">
        <v>1.5784537044532201</v>
      </c>
      <c r="E5529">
        <v>1.4264427660763299</v>
      </c>
      <c r="F5529">
        <v>0.961900082669228</v>
      </c>
      <c r="G5529">
        <v>0.321231415520354</v>
      </c>
      <c r="H5529">
        <v>0.17832706335852799</v>
      </c>
      <c r="I5529">
        <v>0.168149392351546</v>
      </c>
      <c r="J5529">
        <v>0.185427547266347</v>
      </c>
      <c r="K5529">
        <v>0.154456040801143</v>
      </c>
      <c r="L5529">
        <v>3732.71244014995</v>
      </c>
      <c r="M5529">
        <v>67.003119967334399</v>
      </c>
      <c r="N5529">
        <v>56.059959238266302</v>
      </c>
      <c r="O5529">
        <v>55.659969526436399</v>
      </c>
      <c r="P5529">
        <v>-0.24945836494364601</v>
      </c>
      <c r="Q5529">
        <v>0.171092855946545</v>
      </c>
      <c r="R5529">
        <v>0.73003960126869305</v>
      </c>
      <c r="S5529" t="s">
        <v>12335</v>
      </c>
      <c r="T5529" t="s">
        <v>13610</v>
      </c>
      <c r="U5529" t="s">
        <v>13610</v>
      </c>
      <c r="V5529" t="s">
        <v>13610</v>
      </c>
      <c r="W5529" t="s">
        <v>19069</v>
      </c>
      <c r="X5529">
        <v>4</v>
      </c>
      <c r="Y5529" t="s">
        <v>25634</v>
      </c>
      <c r="Z5529" t="s">
        <v>32384</v>
      </c>
      <c r="AA5529">
        <v>0.60628239554174468</v>
      </c>
      <c r="AB5529" t="str">
        <f>HYPERLINK("Melting_Curves/meltCurve_Q9BVM4_GGACT.pdf", "Melting_Curves/meltCurve_Q9BVM4_GGACT.pdf")</f>
        <v>Melting_Curves/meltCurve_Q9BVM4_GGACT.pdf</v>
      </c>
    </row>
    <row r="5530" spans="1:28" x14ac:dyDescent="0.25">
      <c r="A5530" t="s">
        <v>5534</v>
      </c>
      <c r="B5530">
        <v>0.995954080203443</v>
      </c>
      <c r="C5530">
        <v>0.88034226860324005</v>
      </c>
      <c r="D5530">
        <v>0.714572102406553</v>
      </c>
      <c r="E5530">
        <v>0.74144638207328895</v>
      </c>
      <c r="F5530">
        <v>0.52042622619926304</v>
      </c>
      <c r="G5530">
        <v>0.36529845352117302</v>
      </c>
      <c r="H5530">
        <v>0.25906541086684798</v>
      </c>
      <c r="I5530">
        <v>0.282217693529489</v>
      </c>
      <c r="J5530">
        <v>0.37762793638001302</v>
      </c>
      <c r="K5530">
        <v>0.34219109117270602</v>
      </c>
      <c r="L5530">
        <v>586.010495845273</v>
      </c>
      <c r="M5530">
        <v>11.7721739434577</v>
      </c>
      <c r="N5530">
        <v>53.361952600715703</v>
      </c>
      <c r="O5530">
        <v>48.408000065133002</v>
      </c>
      <c r="P5530">
        <v>-4.4200805967166398E-2</v>
      </c>
      <c r="Q5530">
        <v>0.27316157099197702</v>
      </c>
      <c r="R5530">
        <v>0.93626766949933604</v>
      </c>
      <c r="S5530" t="s">
        <v>12336</v>
      </c>
      <c r="T5530" t="s">
        <v>13610</v>
      </c>
      <c r="U5530" t="s">
        <v>13610</v>
      </c>
      <c r="V5530" t="s">
        <v>13610</v>
      </c>
      <c r="W5530" t="s">
        <v>19070</v>
      </c>
      <c r="X5530">
        <v>5</v>
      </c>
      <c r="Y5530" t="s">
        <v>25635</v>
      </c>
      <c r="Z5530" t="s">
        <v>32385</v>
      </c>
      <c r="AA5530">
        <v>0.53636610057049883</v>
      </c>
      <c r="AB5530" t="str">
        <f>HYPERLINK("Melting_Curves/meltCurve_Q9BVP2_2_GNL3.pdf", "Melting_Curves/meltCurve_Q9BVP2_2_GNL3.pdf")</f>
        <v>Melting_Curves/meltCurve_Q9BVP2_2_GNL3.pdf</v>
      </c>
    </row>
    <row r="5531" spans="1:28" x14ac:dyDescent="0.25">
      <c r="A5531" t="s">
        <v>5535</v>
      </c>
      <c r="B5531">
        <v>0.995954080203443</v>
      </c>
      <c r="C5531">
        <v>0.64495301920339698</v>
      </c>
      <c r="D5531">
        <v>0.43125864805707098</v>
      </c>
      <c r="E5531">
        <v>0.62325793109267502</v>
      </c>
      <c r="F5531">
        <v>0.22878474563307299</v>
      </c>
      <c r="G5531">
        <v>0.112017221307336</v>
      </c>
      <c r="H5531">
        <v>7.1870672129237603E-2</v>
      </c>
      <c r="I5531">
        <v>6.7633733508260796E-2</v>
      </c>
      <c r="J5531">
        <v>7.3860180206188106E-2</v>
      </c>
      <c r="K5531">
        <v>8.0700301587702403E-2</v>
      </c>
      <c r="L5531">
        <v>450.82726610780497</v>
      </c>
      <c r="M5531">
        <v>9.4826920266151902</v>
      </c>
      <c r="N5531">
        <v>47.542119212647201</v>
      </c>
      <c r="O5531">
        <v>45.571822234693002</v>
      </c>
      <c r="P5531">
        <v>-5.2051590800407402E-2</v>
      </c>
      <c r="Q5531">
        <v>0</v>
      </c>
      <c r="R5531">
        <v>0.88059403832748995</v>
      </c>
      <c r="S5531" t="s">
        <v>12337</v>
      </c>
      <c r="T5531" t="s">
        <v>13610</v>
      </c>
      <c r="U5531" t="s">
        <v>13610</v>
      </c>
      <c r="V5531" t="s">
        <v>13610</v>
      </c>
      <c r="W5531" t="s">
        <v>19071</v>
      </c>
      <c r="X5531">
        <v>9</v>
      </c>
      <c r="Y5531" t="s">
        <v>25636</v>
      </c>
      <c r="Z5531" t="s">
        <v>32386</v>
      </c>
      <c r="AA5531">
        <v>0.31106154467433428</v>
      </c>
      <c r="AB5531" t="str">
        <f>HYPERLINK("Melting_Curves/meltCurve_Q9BVQ7_SPATA5L1.pdf", "Melting_Curves/meltCurve_Q9BVQ7_SPATA5L1.pdf")</f>
        <v>Melting_Curves/meltCurve_Q9BVQ7_SPATA5L1.pdf</v>
      </c>
    </row>
    <row r="5532" spans="1:28" x14ac:dyDescent="0.25">
      <c r="A5532" t="s">
        <v>5536</v>
      </c>
      <c r="B5532">
        <v>0.995954080203443</v>
      </c>
      <c r="C5532">
        <v>0.70794729484921504</v>
      </c>
      <c r="D5532">
        <v>0.33254068075640197</v>
      </c>
      <c r="E5532">
        <v>0.263396138152865</v>
      </c>
      <c r="F5532">
        <v>0.13645041509650599</v>
      </c>
      <c r="G5532">
        <v>7.47507870550084E-2</v>
      </c>
      <c r="H5532">
        <v>4.4736377386698598E-2</v>
      </c>
      <c r="I5532">
        <v>2.19959865492283E-2</v>
      </c>
      <c r="J5532">
        <v>2.8619248818461701E-2</v>
      </c>
      <c r="K5532">
        <v>3.6350000387035002E-2</v>
      </c>
      <c r="L5532">
        <v>847.64994281104396</v>
      </c>
      <c r="M5532">
        <v>18.924798425042599</v>
      </c>
      <c r="N5532">
        <v>45.047900031287597</v>
      </c>
      <c r="O5532">
        <v>44.299305974689403</v>
      </c>
      <c r="P5532">
        <v>-0.10133029463617101</v>
      </c>
      <c r="Q5532">
        <v>5.1259650679532101E-2</v>
      </c>
      <c r="R5532">
        <v>0.97407572683680099</v>
      </c>
      <c r="S5532" t="s">
        <v>12338</v>
      </c>
      <c r="T5532" t="s">
        <v>13610</v>
      </c>
      <c r="U5532" t="s">
        <v>13610</v>
      </c>
      <c r="V5532" t="s">
        <v>13610</v>
      </c>
      <c r="W5532" t="s">
        <v>19072</v>
      </c>
      <c r="X5532">
        <v>2</v>
      </c>
      <c r="Y5532" t="s">
        <v>25637</v>
      </c>
      <c r="Z5532" t="s">
        <v>32387</v>
      </c>
      <c r="AA5532">
        <v>0.2214639987880645</v>
      </c>
      <c r="AB5532" t="str">
        <f>HYPERLINK("Melting_Curves/meltCurve_Q9BVR6_TUBGCP4.pdf", "Melting_Curves/meltCurve_Q9BVR6_TUBGCP4.pdf")</f>
        <v>Melting_Curves/meltCurve_Q9BVR6_TUBGCP4.pdf</v>
      </c>
    </row>
    <row r="5533" spans="1:28" x14ac:dyDescent="0.25">
      <c r="A5533" t="s">
        <v>5537</v>
      </c>
      <c r="B5533">
        <v>0.995954080203443</v>
      </c>
      <c r="C5533">
        <v>0.85511457604004604</v>
      </c>
      <c r="D5533">
        <v>0.73191358069738999</v>
      </c>
      <c r="E5533">
        <v>0.58723898139157105</v>
      </c>
      <c r="F5533">
        <v>0.52759611082384505</v>
      </c>
      <c r="G5533">
        <v>0.32699769639349702</v>
      </c>
      <c r="H5533">
        <v>0.26408760628654399</v>
      </c>
      <c r="I5533">
        <v>0.309497561418414</v>
      </c>
      <c r="J5533">
        <v>0.425630038615957</v>
      </c>
      <c r="K5533">
        <v>0.36975790143012299</v>
      </c>
      <c r="L5533">
        <v>657.63858261631299</v>
      </c>
      <c r="M5533">
        <v>13.7444417266511</v>
      </c>
      <c r="N5533">
        <v>51.770742924794803</v>
      </c>
      <c r="O5533">
        <v>46.868831137362498</v>
      </c>
      <c r="P5533">
        <v>-4.9600241562339303E-2</v>
      </c>
      <c r="Q5533">
        <v>0.32354478611749798</v>
      </c>
      <c r="R5533">
        <v>0.94582508881099203</v>
      </c>
      <c r="S5533" t="s">
        <v>12339</v>
      </c>
      <c r="T5533" t="s">
        <v>13610</v>
      </c>
      <c r="U5533" t="s">
        <v>13610</v>
      </c>
      <c r="V5533" t="s">
        <v>13610</v>
      </c>
      <c r="W5533" t="s">
        <v>19073</v>
      </c>
      <c r="X5533">
        <v>5</v>
      </c>
      <c r="Y5533" t="s">
        <v>25638</v>
      </c>
      <c r="Z5533" t="s">
        <v>32388</v>
      </c>
      <c r="AA5533">
        <v>0.52130215276033498</v>
      </c>
      <c r="AB5533" t="str">
        <f>HYPERLINK("Melting_Curves/meltCurve_Q9BVS4_RIOK2.pdf", "Melting_Curves/meltCurve_Q9BVS4_RIOK2.pdf")</f>
        <v>Melting_Curves/meltCurve_Q9BVS4_RIOK2.pdf</v>
      </c>
    </row>
    <row r="5534" spans="1:28" x14ac:dyDescent="0.25">
      <c r="A5534" t="s">
        <v>5538</v>
      </c>
      <c r="B5534">
        <v>0.995954080203443</v>
      </c>
      <c r="C5534">
        <v>0.88602223478623499</v>
      </c>
      <c r="D5534">
        <v>0.91907092547199898</v>
      </c>
      <c r="E5534">
        <v>0.80085493328100199</v>
      </c>
      <c r="F5534">
        <v>0.79764198057209901</v>
      </c>
      <c r="G5534">
        <v>0.59130231429395097</v>
      </c>
      <c r="H5534">
        <v>0.56767698744605699</v>
      </c>
      <c r="I5534">
        <v>0.68071181367106304</v>
      </c>
      <c r="J5534">
        <v>0.91644258519408195</v>
      </c>
      <c r="K5534">
        <v>0.80983995272243203</v>
      </c>
      <c r="L5534">
        <v>827.34616095359002</v>
      </c>
      <c r="M5534">
        <v>17.697260324100899</v>
      </c>
      <c r="O5534">
        <v>46.165306033994902</v>
      </c>
      <c r="P5534">
        <v>-2.6673258885486301E-2</v>
      </c>
      <c r="Q5534">
        <v>0.72169393730546505</v>
      </c>
      <c r="R5534">
        <v>0.45897159908356999</v>
      </c>
      <c r="S5534" t="s">
        <v>12340</v>
      </c>
      <c r="T5534" t="s">
        <v>13610</v>
      </c>
      <c r="U5534" t="s">
        <v>13610</v>
      </c>
      <c r="V5534" t="s">
        <v>13610</v>
      </c>
      <c r="W5534" t="s">
        <v>19074</v>
      </c>
      <c r="X5534">
        <v>5</v>
      </c>
      <c r="Y5534" t="s">
        <v>25639</v>
      </c>
      <c r="Z5534" t="s">
        <v>32389</v>
      </c>
      <c r="AA5534">
        <v>0.78971137049550633</v>
      </c>
      <c r="AB5534" t="str">
        <f>HYPERLINK("Melting_Curves/meltCurve_Q9BW04_SARG.pdf", "Melting_Curves/meltCurve_Q9BW04_SARG.pdf")</f>
        <v>Melting_Curves/meltCurve_Q9BW04_SARG.pdf</v>
      </c>
    </row>
    <row r="5535" spans="1:28" x14ac:dyDescent="0.25">
      <c r="A5535" t="s">
        <v>5539</v>
      </c>
      <c r="B5535">
        <v>0.995954080203443</v>
      </c>
      <c r="C5535">
        <v>0.72782792457452195</v>
      </c>
      <c r="D5535">
        <v>0.43442892840403102</v>
      </c>
      <c r="E5535">
        <v>0.31103953101680998</v>
      </c>
      <c r="F5535">
        <v>0.195605380590196</v>
      </c>
      <c r="G5535">
        <v>0.12135403297254101</v>
      </c>
      <c r="H5535">
        <v>9.7933116585565097E-2</v>
      </c>
      <c r="I5535">
        <v>9.8638776021821403E-2</v>
      </c>
      <c r="J5535">
        <v>0.11138853100620801</v>
      </c>
      <c r="K5535">
        <v>0.119991256523671</v>
      </c>
      <c r="L5535">
        <v>798.05208664923805</v>
      </c>
      <c r="M5535">
        <v>17.680119873805701</v>
      </c>
      <c r="N5535">
        <v>45.794942601279502</v>
      </c>
      <c r="O5535">
        <v>44.5727994891717</v>
      </c>
      <c r="P5535">
        <v>-8.8067371526594301E-2</v>
      </c>
      <c r="Q5535">
        <v>0.111951397842288</v>
      </c>
      <c r="R5535">
        <v>0.98314016029849205</v>
      </c>
      <c r="S5535" t="s">
        <v>12341</v>
      </c>
      <c r="T5535" t="s">
        <v>13610</v>
      </c>
      <c r="U5535" t="s">
        <v>13610</v>
      </c>
      <c r="V5535" t="s">
        <v>13610</v>
      </c>
      <c r="W5535" t="s">
        <v>19075</v>
      </c>
      <c r="X5535">
        <v>24</v>
      </c>
      <c r="Y5535" t="s">
        <v>25640</v>
      </c>
      <c r="Z5535" t="s">
        <v>32390</v>
      </c>
      <c r="AA5535">
        <v>0.2836983011228566</v>
      </c>
      <c r="AB5535" t="str">
        <f>HYPERLINK("Melting_Curves/meltCurve_Q9BW19_KIFC1.pdf", "Melting_Curves/meltCurve_Q9BW19_KIFC1.pdf")</f>
        <v>Melting_Curves/meltCurve_Q9BW19_KIFC1.pdf</v>
      </c>
    </row>
    <row r="5536" spans="1:28" x14ac:dyDescent="0.25">
      <c r="A5536" t="s">
        <v>5540</v>
      </c>
      <c r="B5536">
        <v>0.995954080203443</v>
      </c>
      <c r="C5536">
        <v>0.85611007824661001</v>
      </c>
      <c r="D5536">
        <v>0.79837530886669605</v>
      </c>
      <c r="E5536">
        <v>0.74563534320245695</v>
      </c>
      <c r="F5536">
        <v>0.46334547833661299</v>
      </c>
      <c r="G5536">
        <v>0.19389676893712801</v>
      </c>
      <c r="H5536">
        <v>0.100656691250447</v>
      </c>
      <c r="I5536">
        <v>8.9039010958230094E-2</v>
      </c>
      <c r="J5536">
        <v>8.8177533373888603E-2</v>
      </c>
      <c r="K5536">
        <v>8.7269910368077894E-2</v>
      </c>
      <c r="L5536">
        <v>718.413630327899</v>
      </c>
      <c r="M5536">
        <v>13.794794567274</v>
      </c>
      <c r="N5536">
        <v>52.264315543156698</v>
      </c>
      <c r="O5536">
        <v>51.020785159103802</v>
      </c>
      <c r="P5536">
        <v>-6.5986546002962096E-2</v>
      </c>
      <c r="Q5536">
        <v>2.3917760110691699E-2</v>
      </c>
      <c r="R5536">
        <v>0.97633791514405099</v>
      </c>
      <c r="S5536" t="s">
        <v>12342</v>
      </c>
      <c r="T5536" t="s">
        <v>13610</v>
      </c>
      <c r="U5536" t="s">
        <v>13610</v>
      </c>
      <c r="V5536" t="s">
        <v>13610</v>
      </c>
      <c r="W5536" t="s">
        <v>19076</v>
      </c>
      <c r="X5536">
        <v>16</v>
      </c>
      <c r="Y5536" t="s">
        <v>25641</v>
      </c>
      <c r="Z5536" t="s">
        <v>32391</v>
      </c>
      <c r="AA5536">
        <v>0.44152685859566138</v>
      </c>
      <c r="AB5536" t="str">
        <f>HYPERLINK("Melting_Curves/meltCurve_Q9BW27_NUP85.pdf", "Melting_Curves/meltCurve_Q9BW27_NUP85.pdf")</f>
        <v>Melting_Curves/meltCurve_Q9BW27_NUP85.pdf</v>
      </c>
    </row>
    <row r="5537" spans="1:28" x14ac:dyDescent="0.25">
      <c r="A5537" t="s">
        <v>5541</v>
      </c>
      <c r="B5537">
        <v>0.995954080203443</v>
      </c>
      <c r="C5537">
        <v>0.83214996731969504</v>
      </c>
      <c r="D5537">
        <v>0.73959160860570505</v>
      </c>
      <c r="E5537">
        <v>0.75299297661957698</v>
      </c>
      <c r="F5537">
        <v>0.49845151429206902</v>
      </c>
      <c r="G5537">
        <v>0.35587543197551702</v>
      </c>
      <c r="H5537">
        <v>0.24648356007378699</v>
      </c>
      <c r="I5537">
        <v>0.234731008967628</v>
      </c>
      <c r="J5537">
        <v>0.242691002722943</v>
      </c>
      <c r="K5537">
        <v>0.23847442961774001</v>
      </c>
      <c r="L5537">
        <v>508.031043972985</v>
      </c>
      <c r="M5537">
        <v>9.8654648492276795</v>
      </c>
      <c r="N5537">
        <v>53.328893110396898</v>
      </c>
      <c r="O5537">
        <v>49.513923432006997</v>
      </c>
      <c r="P5537">
        <v>-4.2670981182802097E-2</v>
      </c>
      <c r="Q5537">
        <v>0.14379058448440499</v>
      </c>
      <c r="R5537">
        <v>0.96253932568099798</v>
      </c>
      <c r="S5537" t="s">
        <v>12343</v>
      </c>
      <c r="T5537" t="s">
        <v>13610</v>
      </c>
      <c r="U5537" t="s">
        <v>13610</v>
      </c>
      <c r="V5537" t="s">
        <v>13610</v>
      </c>
      <c r="W5537" t="s">
        <v>19077</v>
      </c>
      <c r="X5537">
        <v>10</v>
      </c>
      <c r="Y5537" t="s">
        <v>25642</v>
      </c>
      <c r="Z5537" t="s">
        <v>32392</v>
      </c>
      <c r="AA5537">
        <v>0.50650485347955099</v>
      </c>
      <c r="AB5537" t="str">
        <f>HYPERLINK("Melting_Curves/meltCurve_Q9BW61_DDA1.pdf", "Melting_Curves/meltCurve_Q9BW61_DDA1.pdf")</f>
        <v>Melting_Curves/meltCurve_Q9BW61_DDA1.pdf</v>
      </c>
    </row>
    <row r="5538" spans="1:28" x14ac:dyDescent="0.25">
      <c r="A5538" t="s">
        <v>5542</v>
      </c>
      <c r="B5538">
        <v>0.995954080203443</v>
      </c>
      <c r="C5538">
        <v>0.99124956431951905</v>
      </c>
      <c r="D5538">
        <v>0.87065535693576601</v>
      </c>
      <c r="E5538">
        <v>0.63804766132520796</v>
      </c>
      <c r="F5538">
        <v>0.49745013158858298</v>
      </c>
      <c r="G5538">
        <v>0.311197658692833</v>
      </c>
      <c r="H5538">
        <v>0.144483719798881</v>
      </c>
      <c r="I5538">
        <v>0.138096012721038</v>
      </c>
      <c r="J5538">
        <v>0.17194228842553499</v>
      </c>
      <c r="K5538">
        <v>0.17586377327120101</v>
      </c>
      <c r="L5538">
        <v>802.10449765047099</v>
      </c>
      <c r="M5538">
        <v>15.5810614013335</v>
      </c>
      <c r="N5538">
        <v>52.484687638158803</v>
      </c>
      <c r="O5538">
        <v>50.653818574778903</v>
      </c>
      <c r="P5538">
        <v>-6.6985174334403097E-2</v>
      </c>
      <c r="Q5538">
        <v>0.12900408591359699</v>
      </c>
      <c r="R5538">
        <v>0.99265689858057604</v>
      </c>
      <c r="S5538" t="s">
        <v>12344</v>
      </c>
      <c r="T5538" t="s">
        <v>13610</v>
      </c>
      <c r="U5538" t="s">
        <v>13610</v>
      </c>
      <c r="V5538" t="s">
        <v>13610</v>
      </c>
      <c r="W5538" t="s">
        <v>19078</v>
      </c>
      <c r="X5538">
        <v>10</v>
      </c>
      <c r="Y5538" t="s">
        <v>25643</v>
      </c>
      <c r="Z5538" t="s">
        <v>32393</v>
      </c>
      <c r="AA5538">
        <v>0.48092811679733138</v>
      </c>
      <c r="AB5538" t="str">
        <f>HYPERLINK("Melting_Curves/meltCurve_Q9BW62_KATNAL1.pdf", "Melting_Curves/meltCurve_Q9BW62_KATNAL1.pdf")</f>
        <v>Melting_Curves/meltCurve_Q9BW62_KATNAL1.pdf</v>
      </c>
    </row>
    <row r="5539" spans="1:28" x14ac:dyDescent="0.25">
      <c r="A5539" t="s">
        <v>5543</v>
      </c>
      <c r="B5539">
        <v>0.995954080203443</v>
      </c>
      <c r="C5539">
        <v>0.78321524169117596</v>
      </c>
      <c r="D5539">
        <v>0.58857550563690797</v>
      </c>
      <c r="E5539">
        <v>0.68075767824040301</v>
      </c>
      <c r="F5539">
        <v>0.37998978005254802</v>
      </c>
      <c r="G5539">
        <v>0.20403208258281</v>
      </c>
      <c r="H5539">
        <v>0.162054876729925</v>
      </c>
      <c r="I5539">
        <v>0.15453479478516599</v>
      </c>
      <c r="J5539">
        <v>0.210176744384695</v>
      </c>
      <c r="K5539">
        <v>0.167227034321975</v>
      </c>
      <c r="L5539">
        <v>496.50572769601598</v>
      </c>
      <c r="M5539">
        <v>10.103681348828999</v>
      </c>
      <c r="N5539">
        <v>50.235706998111503</v>
      </c>
      <c r="O5539">
        <v>47.3325518313789</v>
      </c>
      <c r="P5539">
        <v>-4.8115144440460202E-2</v>
      </c>
      <c r="Q5539">
        <v>9.8804429327020493E-2</v>
      </c>
      <c r="R5539">
        <v>0.92772513571862103</v>
      </c>
      <c r="S5539" t="s">
        <v>12345</v>
      </c>
      <c r="T5539" t="s">
        <v>13610</v>
      </c>
      <c r="U5539" t="s">
        <v>13610</v>
      </c>
      <c r="V5539" t="s">
        <v>13610</v>
      </c>
      <c r="W5539" t="s">
        <v>19079</v>
      </c>
      <c r="X5539">
        <v>1</v>
      </c>
      <c r="Y5539" t="s">
        <v>25644</v>
      </c>
      <c r="Z5539" t="s">
        <v>32394</v>
      </c>
      <c r="AA5539">
        <v>0.4163706024908303</v>
      </c>
      <c r="AB5539" t="str">
        <f>HYPERLINK("Melting_Curves/meltCurve_Q9BW66_CINP.pdf", "Melting_Curves/meltCurve_Q9BW66_CINP.pdf")</f>
        <v>Melting_Curves/meltCurve_Q9BW66_CINP.pdf</v>
      </c>
    </row>
    <row r="5540" spans="1:28" x14ac:dyDescent="0.25">
      <c r="A5540" t="s">
        <v>5544</v>
      </c>
      <c r="B5540">
        <v>0.995954080203443</v>
      </c>
      <c r="C5540">
        <v>0.93145562243964497</v>
      </c>
      <c r="D5540">
        <v>1.11354552544332</v>
      </c>
      <c r="E5540">
        <v>0.87825823587712504</v>
      </c>
      <c r="F5540">
        <v>0.98177858690679998</v>
      </c>
      <c r="G5540">
        <v>0.80060261116250897</v>
      </c>
      <c r="H5540">
        <v>0.78475671623048804</v>
      </c>
      <c r="I5540">
        <v>0.95687881090831595</v>
      </c>
      <c r="J5540">
        <v>1.2597549363026199</v>
      </c>
      <c r="K5540">
        <v>1.1220562837610999</v>
      </c>
      <c r="L5540">
        <v>4300.6485537710896</v>
      </c>
      <c r="M5540">
        <v>65.707632507736804</v>
      </c>
      <c r="O5540">
        <v>65.390733810793705</v>
      </c>
      <c r="P5540">
        <v>4.8506419137536901E-2</v>
      </c>
      <c r="Q5540">
        <v>1.1930898625412001</v>
      </c>
      <c r="R5540">
        <v>0.29672293195752297</v>
      </c>
      <c r="S5540" t="s">
        <v>12346</v>
      </c>
      <c r="T5540" t="s">
        <v>13610</v>
      </c>
      <c r="U5540" t="s">
        <v>13610</v>
      </c>
      <c r="V5540" t="s">
        <v>13610</v>
      </c>
      <c r="W5540" t="s">
        <v>19080</v>
      </c>
      <c r="X5540">
        <v>20</v>
      </c>
      <c r="Y5540" t="s">
        <v>25645</v>
      </c>
      <c r="Z5540" t="s">
        <v>32395</v>
      </c>
      <c r="AA5540">
        <v>1.029060378011545</v>
      </c>
      <c r="AB5540" t="str">
        <f>HYPERLINK("Melting_Curves/meltCurve_Q9BW71_HIRIP3.pdf", "Melting_Curves/meltCurve_Q9BW71_HIRIP3.pdf")</f>
        <v>Melting_Curves/meltCurve_Q9BW71_HIRIP3.pdf</v>
      </c>
    </row>
    <row r="5541" spans="1:28" x14ac:dyDescent="0.25">
      <c r="A5541" t="s">
        <v>5545</v>
      </c>
      <c r="B5541">
        <v>0.995954080203443</v>
      </c>
      <c r="C5541">
        <v>0.94776201637537405</v>
      </c>
      <c r="D5541">
        <v>0.81545245171022795</v>
      </c>
      <c r="E5541">
        <v>0.60192601768958798</v>
      </c>
      <c r="F5541">
        <v>0.31289020735352202</v>
      </c>
      <c r="G5541">
        <v>0.16537471018810701</v>
      </c>
      <c r="H5541">
        <v>9.85763301857812E-2</v>
      </c>
      <c r="I5541">
        <v>7.3723934068322297E-2</v>
      </c>
      <c r="J5541">
        <v>8.6587824297696306E-2</v>
      </c>
      <c r="K5541">
        <v>7.5167304254909403E-2</v>
      </c>
      <c r="L5541">
        <v>868.15791465402197</v>
      </c>
      <c r="M5541">
        <v>17.2398729947232</v>
      </c>
      <c r="N5541">
        <v>50.730707334028601</v>
      </c>
      <c r="O5541">
        <v>49.6946630528954</v>
      </c>
      <c r="P5541">
        <v>-8.1569218393292994E-2</v>
      </c>
      <c r="Q5541">
        <v>5.9548388656020301E-2</v>
      </c>
      <c r="R5541">
        <v>0.99697165279446698</v>
      </c>
      <c r="S5541" t="s">
        <v>12347</v>
      </c>
      <c r="T5541" t="s">
        <v>13610</v>
      </c>
      <c r="U5541" t="s">
        <v>13610</v>
      </c>
      <c r="V5541" t="s">
        <v>13610</v>
      </c>
      <c r="W5541" t="s">
        <v>19081</v>
      </c>
      <c r="X5541">
        <v>8</v>
      </c>
      <c r="Y5541" t="s">
        <v>25646</v>
      </c>
      <c r="Z5541" t="s">
        <v>32396</v>
      </c>
      <c r="AA5541">
        <v>0.40153489064524728</v>
      </c>
      <c r="AB5541" t="str">
        <f>HYPERLINK("Melting_Curves/meltCurve_Q9BW83_IFT27.pdf", "Melting_Curves/meltCurve_Q9BW83_IFT27.pdf")</f>
        <v>Melting_Curves/meltCurve_Q9BW83_IFT27.pdf</v>
      </c>
    </row>
    <row r="5542" spans="1:28" x14ac:dyDescent="0.25">
      <c r="A5542" t="s">
        <v>5546</v>
      </c>
      <c r="B5542">
        <v>0.995954080203443</v>
      </c>
      <c r="C5542">
        <v>1.00964113283958</v>
      </c>
      <c r="D5542">
        <v>1.00454155775786</v>
      </c>
      <c r="E5542">
        <v>0.88089051485561998</v>
      </c>
      <c r="F5542">
        <v>0.68304956285511498</v>
      </c>
      <c r="G5542">
        <v>0.39649206192717101</v>
      </c>
      <c r="H5542">
        <v>0.23616634795362201</v>
      </c>
      <c r="I5542">
        <v>0.199356642150751</v>
      </c>
      <c r="J5542">
        <v>0.21580550663143999</v>
      </c>
      <c r="K5542">
        <v>0.19341793668094401</v>
      </c>
      <c r="L5542">
        <v>1207.4334125411301</v>
      </c>
      <c r="M5542">
        <v>22.320157183173698</v>
      </c>
      <c r="N5542">
        <v>55.263273940243302</v>
      </c>
      <c r="O5542">
        <v>53.667484860728003</v>
      </c>
      <c r="P5542">
        <v>-8.4434997845165394E-2</v>
      </c>
      <c r="Q5542">
        <v>0.18794154660433501</v>
      </c>
      <c r="R5542">
        <v>0.99888199738894301</v>
      </c>
      <c r="S5542" t="s">
        <v>12348</v>
      </c>
      <c r="T5542" t="s">
        <v>13610</v>
      </c>
      <c r="U5542" t="s">
        <v>13610</v>
      </c>
      <c r="V5542" t="s">
        <v>13610</v>
      </c>
      <c r="W5542" t="s">
        <v>19082</v>
      </c>
      <c r="X5542">
        <v>18</v>
      </c>
      <c r="Y5542" t="s">
        <v>21385</v>
      </c>
      <c r="Z5542" t="s">
        <v>32397</v>
      </c>
      <c r="AA5542">
        <v>0.57868784893783443</v>
      </c>
      <c r="AB5542" t="str">
        <f>HYPERLINK("Melting_Curves/meltCurve_Q9BW85_CCDC94.pdf", "Melting_Curves/meltCurve_Q9BW85_CCDC94.pdf")</f>
        <v>Melting_Curves/meltCurve_Q9BW85_CCDC94.pdf</v>
      </c>
    </row>
    <row r="5543" spans="1:28" x14ac:dyDescent="0.25">
      <c r="A5543" t="s">
        <v>5547</v>
      </c>
      <c r="B5543">
        <v>0.995954080203443</v>
      </c>
      <c r="C5543">
        <v>0.96443631299159605</v>
      </c>
      <c r="D5543">
        <v>1.0105400074740301</v>
      </c>
      <c r="E5543">
        <v>0.912720247668933</v>
      </c>
      <c r="F5543">
        <v>0.68262398945375602</v>
      </c>
      <c r="G5543">
        <v>0.25062309194823701</v>
      </c>
      <c r="H5543">
        <v>0.110332602661771</v>
      </c>
      <c r="I5543">
        <v>0.10815804421559901</v>
      </c>
      <c r="J5543">
        <v>0.118099306575633</v>
      </c>
      <c r="K5543">
        <v>0.14313683112308301</v>
      </c>
      <c r="L5543">
        <v>1703.6076103359201</v>
      </c>
      <c r="M5543">
        <v>31.595394708498201</v>
      </c>
      <c r="N5543">
        <v>54.360604983345503</v>
      </c>
      <c r="O5543">
        <v>53.704883173827199</v>
      </c>
      <c r="P5543">
        <v>-0.130448169746535</v>
      </c>
      <c r="Q5543">
        <v>0.11307770247777001</v>
      </c>
      <c r="R5543">
        <v>0.99776314700370905</v>
      </c>
      <c r="S5543" t="s">
        <v>12349</v>
      </c>
      <c r="T5543" t="s">
        <v>13610</v>
      </c>
      <c r="U5543" t="s">
        <v>13610</v>
      </c>
      <c r="V5543" t="s">
        <v>13610</v>
      </c>
      <c r="W5543" t="s">
        <v>19083</v>
      </c>
      <c r="X5543">
        <v>12</v>
      </c>
      <c r="Y5543" t="s">
        <v>25647</v>
      </c>
      <c r="Z5543" t="s">
        <v>32398</v>
      </c>
      <c r="AA5543">
        <v>0.52985805941126263</v>
      </c>
      <c r="AB5543" t="str">
        <f>HYPERLINK("Melting_Curves/meltCurve_Q9BW91_2_NUDT9.pdf", "Melting_Curves/meltCurve_Q9BW91_2_NUDT9.pdf")</f>
        <v>Melting_Curves/meltCurve_Q9BW91_2_NUDT9.pdf</v>
      </c>
    </row>
    <row r="5544" spans="1:28" x14ac:dyDescent="0.25">
      <c r="A5544" t="s">
        <v>5548</v>
      </c>
      <c r="B5544">
        <v>0.995954080203443</v>
      </c>
      <c r="C5544">
        <v>0.77115591135025796</v>
      </c>
      <c r="D5544">
        <v>0.55556106283838402</v>
      </c>
      <c r="E5544">
        <v>0.32887874426261599</v>
      </c>
      <c r="F5544">
        <v>0.16259190074062499</v>
      </c>
      <c r="G5544">
        <v>9.5413730007642195E-2</v>
      </c>
      <c r="H5544">
        <v>6.8433041687091897E-2</v>
      </c>
      <c r="I5544">
        <v>6.3417019283938503E-2</v>
      </c>
      <c r="J5544">
        <v>7.6002503930840404E-2</v>
      </c>
      <c r="K5544">
        <v>7.2067394650871502E-2</v>
      </c>
      <c r="L5544">
        <v>738.36787245200003</v>
      </c>
      <c r="M5544">
        <v>15.878049582720401</v>
      </c>
      <c r="N5544">
        <v>46.867323695041598</v>
      </c>
      <c r="O5544">
        <v>45.783546610030299</v>
      </c>
      <c r="P5544">
        <v>-8.1667207128295005E-2</v>
      </c>
      <c r="Q5544">
        <v>5.8142960503443503E-2</v>
      </c>
      <c r="R5544">
        <v>0.99310935002095302</v>
      </c>
      <c r="S5544" t="s">
        <v>12350</v>
      </c>
      <c r="T5544" t="s">
        <v>13610</v>
      </c>
      <c r="U5544" t="s">
        <v>13610</v>
      </c>
      <c r="V5544" t="s">
        <v>13610</v>
      </c>
      <c r="W5544" t="s">
        <v>19084</v>
      </c>
      <c r="X5544">
        <v>16</v>
      </c>
      <c r="Y5544" t="s">
        <v>25648</v>
      </c>
      <c r="Z5544" t="s">
        <v>32399</v>
      </c>
      <c r="AA5544">
        <v>0.28575425439016588</v>
      </c>
      <c r="AB5544" t="str">
        <f>HYPERLINK("Melting_Curves/meltCurve_Q9BW92_TARS2.pdf", "Melting_Curves/meltCurve_Q9BW92_TARS2.pdf")</f>
        <v>Melting_Curves/meltCurve_Q9BW92_TARS2.pdf</v>
      </c>
    </row>
    <row r="5545" spans="1:28" x14ac:dyDescent="0.25">
      <c r="A5545" t="s">
        <v>5549</v>
      </c>
      <c r="B5545">
        <v>0.995954080203443</v>
      </c>
      <c r="C5545">
        <v>0.93755517811204803</v>
      </c>
      <c r="D5545">
        <v>0.90686075972604197</v>
      </c>
      <c r="E5545">
        <v>0.82496468358948005</v>
      </c>
      <c r="F5545">
        <v>0.67344037871321305</v>
      </c>
      <c r="G5545">
        <v>0.51276320004905296</v>
      </c>
      <c r="H5545">
        <v>0.286397715198068</v>
      </c>
      <c r="I5545">
        <v>0.10897879524814</v>
      </c>
      <c r="J5545">
        <v>8.8467244861137703E-2</v>
      </c>
      <c r="K5545">
        <v>8.4282646950307794E-2</v>
      </c>
      <c r="L5545">
        <v>719.55888483229501</v>
      </c>
      <c r="M5545">
        <v>12.7979224490556</v>
      </c>
      <c r="N5545">
        <v>56.224663622276303</v>
      </c>
      <c r="O5545">
        <v>54.904940843373602</v>
      </c>
      <c r="P5545">
        <v>-5.8284033606632202E-2</v>
      </c>
      <c r="Q5545">
        <v>0</v>
      </c>
      <c r="R5545">
        <v>0.99046158061779699</v>
      </c>
      <c r="S5545" t="s">
        <v>12351</v>
      </c>
      <c r="T5545" t="s">
        <v>13610</v>
      </c>
      <c r="U5545" t="s">
        <v>13610</v>
      </c>
      <c r="V5545" t="s">
        <v>13610</v>
      </c>
      <c r="W5545" t="s">
        <v>19085</v>
      </c>
      <c r="X5545">
        <v>19</v>
      </c>
      <c r="Y5545" t="s">
        <v>25649</v>
      </c>
      <c r="Z5545" t="s">
        <v>32400</v>
      </c>
      <c r="AA5545">
        <v>0.55997849616162798</v>
      </c>
      <c r="AB5545" t="str">
        <f>HYPERLINK("Melting_Curves/meltCurve_Q9BWD1_ACAT2.pdf", "Melting_Curves/meltCurve_Q9BWD1_ACAT2.pdf")</f>
        <v>Melting_Curves/meltCurve_Q9BWD1_ACAT2.pdf</v>
      </c>
    </row>
    <row r="5546" spans="1:28" x14ac:dyDescent="0.25">
      <c r="A5546" t="s">
        <v>5550</v>
      </c>
      <c r="B5546">
        <v>0.995954080203443</v>
      </c>
      <c r="C5546">
        <v>0.89705212604365703</v>
      </c>
      <c r="D5546">
        <v>0.91548181470675805</v>
      </c>
      <c r="E5546">
        <v>0.84309924128833502</v>
      </c>
      <c r="F5546">
        <v>0.74229319454185505</v>
      </c>
      <c r="G5546">
        <v>0.49893942920044498</v>
      </c>
      <c r="H5546">
        <v>0.339288590717927</v>
      </c>
      <c r="I5546">
        <v>0.329719974642943</v>
      </c>
      <c r="J5546">
        <v>0.350054723713771</v>
      </c>
      <c r="K5546">
        <v>0.28319606114714202</v>
      </c>
      <c r="L5546">
        <v>783.102986812057</v>
      </c>
      <c r="M5546">
        <v>14.398990627352999</v>
      </c>
      <c r="N5546">
        <v>57.288119297118499</v>
      </c>
      <c r="O5546">
        <v>53.369241680152399</v>
      </c>
      <c r="P5546">
        <v>-4.9992344345097299E-2</v>
      </c>
      <c r="Q5546">
        <v>0.25890994466540801</v>
      </c>
      <c r="R5546">
        <v>0.97905957827463397</v>
      </c>
      <c r="S5546" t="s">
        <v>12352</v>
      </c>
      <c r="T5546" t="s">
        <v>13610</v>
      </c>
      <c r="U5546" t="s">
        <v>13610</v>
      </c>
      <c r="V5546" t="s">
        <v>13610</v>
      </c>
      <c r="W5546" t="s">
        <v>19086</v>
      </c>
      <c r="X5546">
        <v>25</v>
      </c>
      <c r="Y5546" t="s">
        <v>25650</v>
      </c>
      <c r="Z5546" t="s">
        <v>32401</v>
      </c>
      <c r="AA5546">
        <v>0.62987460806538453</v>
      </c>
      <c r="AB5546" t="str">
        <f>HYPERLINK("Melting_Curves/meltCurve_Q9BWE0_REPIN1.pdf", "Melting_Curves/meltCurve_Q9BWE0_REPIN1.pdf")</f>
        <v>Melting_Curves/meltCurve_Q9BWE0_REPIN1.pdf</v>
      </c>
    </row>
    <row r="5547" spans="1:28" x14ac:dyDescent="0.25">
      <c r="A5547" t="s">
        <v>5551</v>
      </c>
      <c r="B5547">
        <v>0.995954080203443</v>
      </c>
      <c r="C5547">
        <v>0.97408737844357496</v>
      </c>
      <c r="D5547">
        <v>0.95498719500364404</v>
      </c>
      <c r="E5547">
        <v>0.82848824412867605</v>
      </c>
      <c r="F5547">
        <v>0.68210816684512099</v>
      </c>
      <c r="G5547">
        <v>0.45430133189814298</v>
      </c>
      <c r="H5547">
        <v>0.31275890235081699</v>
      </c>
      <c r="I5547">
        <v>0.32325066543247899</v>
      </c>
      <c r="J5547">
        <v>0.34968721308256601</v>
      </c>
      <c r="K5547">
        <v>0.36133493514124398</v>
      </c>
      <c r="L5547">
        <v>1089.64104656277</v>
      </c>
      <c r="M5547">
        <v>20.575683591873201</v>
      </c>
      <c r="N5547">
        <v>55.751942705578998</v>
      </c>
      <c r="O5547">
        <v>52.465085996628197</v>
      </c>
      <c r="P5547">
        <v>-6.65039890274991E-2</v>
      </c>
      <c r="Q5547">
        <v>0.32171658937610598</v>
      </c>
      <c r="R5547">
        <v>0.99216599342384004</v>
      </c>
      <c r="S5547" t="s">
        <v>12353</v>
      </c>
      <c r="T5547" t="s">
        <v>13610</v>
      </c>
      <c r="U5547" t="s">
        <v>13610</v>
      </c>
      <c r="V5547" t="s">
        <v>13610</v>
      </c>
      <c r="W5547" t="s">
        <v>19087</v>
      </c>
      <c r="X5547">
        <v>14</v>
      </c>
      <c r="Y5547" t="s">
        <v>25651</v>
      </c>
      <c r="Z5547" t="s">
        <v>32402</v>
      </c>
      <c r="AA5547">
        <v>0.62357010275061775</v>
      </c>
      <c r="AB5547" t="str">
        <f>HYPERLINK("Melting_Curves/meltCurve_Q9BWF3_RBM4.pdf", "Melting_Curves/meltCurve_Q9BWF3_RBM4.pdf")</f>
        <v>Melting_Curves/meltCurve_Q9BWF3_RBM4.pdf</v>
      </c>
    </row>
    <row r="5548" spans="1:28" x14ac:dyDescent="0.25">
      <c r="A5548" t="s">
        <v>5552</v>
      </c>
      <c r="B5548">
        <v>0.995954080203443</v>
      </c>
      <c r="C5548">
        <v>0.91685071452942901</v>
      </c>
      <c r="D5548">
        <v>0.84952165290886095</v>
      </c>
      <c r="E5548">
        <v>0.77195758238298295</v>
      </c>
      <c r="F5548">
        <v>0.44163251473169401</v>
      </c>
      <c r="G5548">
        <v>0.204132734279761</v>
      </c>
      <c r="H5548">
        <v>0.141055889267787</v>
      </c>
      <c r="I5548">
        <v>0.134808597646147</v>
      </c>
      <c r="J5548">
        <v>0.157055949874151</v>
      </c>
      <c r="K5548">
        <v>0.14923225831537401</v>
      </c>
      <c r="L5548">
        <v>1067.44837824366</v>
      </c>
      <c r="M5548">
        <v>20.646497315924702</v>
      </c>
      <c r="N5548">
        <v>52.425779387017002</v>
      </c>
      <c r="O5548">
        <v>51.223478790772603</v>
      </c>
      <c r="P5548">
        <v>-8.8261186274737793E-2</v>
      </c>
      <c r="Q5548">
        <v>0.124129034144021</v>
      </c>
      <c r="R5548">
        <v>0.98407948403147005</v>
      </c>
      <c r="S5548" t="s">
        <v>12354</v>
      </c>
      <c r="T5548" t="s">
        <v>13610</v>
      </c>
      <c r="U5548" t="s">
        <v>13610</v>
      </c>
      <c r="V5548" t="s">
        <v>13610</v>
      </c>
      <c r="W5548" t="s">
        <v>19088</v>
      </c>
      <c r="X5548">
        <v>33</v>
      </c>
      <c r="Y5548" t="s">
        <v>25652</v>
      </c>
      <c r="Z5548" t="s">
        <v>32403</v>
      </c>
      <c r="AA5548">
        <v>0.4772026322100546</v>
      </c>
      <c r="AB5548" t="str">
        <f>HYPERLINK("Melting_Curves/meltCurve_Q9BWH6_RPAP1.pdf", "Melting_Curves/meltCurve_Q9BWH6_RPAP1.pdf")</f>
        <v>Melting_Curves/meltCurve_Q9BWH6_RPAP1.pdf</v>
      </c>
    </row>
    <row r="5549" spans="1:28" x14ac:dyDescent="0.25">
      <c r="A5549" t="s">
        <v>5553</v>
      </c>
      <c r="B5549">
        <v>0.995954080203443</v>
      </c>
      <c r="C5549">
        <v>0.66975658636813595</v>
      </c>
      <c r="D5549">
        <v>0.42301700819020099</v>
      </c>
      <c r="E5549">
        <v>0.70236582677397497</v>
      </c>
      <c r="F5549">
        <v>0.354008016611364</v>
      </c>
      <c r="G5549">
        <v>0.13305605310257301</v>
      </c>
      <c r="H5549">
        <v>6.5197842373694595E-2</v>
      </c>
      <c r="I5549">
        <v>5.8474899117588998E-2</v>
      </c>
      <c r="J5549">
        <v>6.6716659455720195E-2</v>
      </c>
      <c r="K5549">
        <v>7.6850014422087096E-2</v>
      </c>
      <c r="L5549">
        <v>436.30524250865801</v>
      </c>
      <c r="M5549">
        <v>8.9948100341295092</v>
      </c>
      <c r="N5549">
        <v>48.5063323658703</v>
      </c>
      <c r="O5549">
        <v>46.288787013569397</v>
      </c>
      <c r="P5549">
        <v>-4.8615236176575101E-2</v>
      </c>
      <c r="Q5549">
        <v>0</v>
      </c>
      <c r="R5549">
        <v>0.85251818108506805</v>
      </c>
      <c r="S5549" t="s">
        <v>12355</v>
      </c>
      <c r="T5549" t="s">
        <v>13610</v>
      </c>
      <c r="U5549" t="s">
        <v>13610</v>
      </c>
      <c r="V5549" t="s">
        <v>13610</v>
      </c>
      <c r="W5549" t="s">
        <v>19089</v>
      </c>
      <c r="X5549">
        <v>3</v>
      </c>
      <c r="Y5549" t="s">
        <v>25653</v>
      </c>
      <c r="Z5549" t="s">
        <v>32404</v>
      </c>
      <c r="AA5549">
        <v>0.34288245209491769</v>
      </c>
      <c r="AB5549" t="str">
        <f>HYPERLINK("Melting_Curves/meltCurve_Q9BWJ5_SF3B5.pdf", "Melting_Curves/meltCurve_Q9BWJ5_SF3B5.pdf")</f>
        <v>Melting_Curves/meltCurve_Q9BWJ5_SF3B5.pdf</v>
      </c>
    </row>
    <row r="5550" spans="1:28" x14ac:dyDescent="0.25">
      <c r="A5550" t="s">
        <v>5554</v>
      </c>
      <c r="B5550">
        <v>0.995954080203443</v>
      </c>
      <c r="C5550">
        <v>1.6860995380332799</v>
      </c>
      <c r="D5550">
        <v>0.89261545751592897</v>
      </c>
      <c r="E5550">
        <v>1.0485606644031999</v>
      </c>
      <c r="F5550">
        <v>0.967858441040649</v>
      </c>
      <c r="G5550">
        <v>0.83670581606060901</v>
      </c>
      <c r="H5550">
        <v>0.69181004864357998</v>
      </c>
      <c r="I5550">
        <v>0.819324431640444</v>
      </c>
      <c r="J5550">
        <v>1.2166145968786</v>
      </c>
      <c r="K5550">
        <v>1.01896609340391</v>
      </c>
      <c r="L5550">
        <v>13274.6496622671</v>
      </c>
      <c r="M5550">
        <v>250</v>
      </c>
      <c r="O5550">
        <v>53.095202525457502</v>
      </c>
      <c r="P5550">
        <v>-9.8073604203661E-2</v>
      </c>
      <c r="Q5550">
        <v>0.91668419693326897</v>
      </c>
      <c r="R5550">
        <v>4.7786414323121598E-2</v>
      </c>
      <c r="S5550" t="s">
        <v>12356</v>
      </c>
      <c r="T5550" t="s">
        <v>13610</v>
      </c>
      <c r="U5550" t="s">
        <v>13610</v>
      </c>
      <c r="V5550" t="s">
        <v>13610</v>
      </c>
      <c r="W5550" t="s">
        <v>19090</v>
      </c>
      <c r="X5550">
        <v>5</v>
      </c>
      <c r="Y5550" t="s">
        <v>25654</v>
      </c>
      <c r="Z5550" t="s">
        <v>32405</v>
      </c>
      <c r="AA5550">
        <v>0.95306930308405602</v>
      </c>
      <c r="AB5550" t="str">
        <f>HYPERLINK("Melting_Curves/meltCurve_Q9BWN1_PRR14.pdf", "Melting_Curves/meltCurve_Q9BWN1_PRR14.pdf")</f>
        <v>Melting_Curves/meltCurve_Q9BWN1_PRR14.pdf</v>
      </c>
    </row>
    <row r="5551" spans="1:28" x14ac:dyDescent="0.25">
      <c r="A5551" t="s">
        <v>5555</v>
      </c>
      <c r="B5551">
        <v>0.995954080203443</v>
      </c>
      <c r="C5551">
        <v>0.88826040308424703</v>
      </c>
      <c r="D5551">
        <v>1.1290337007382301</v>
      </c>
      <c r="E5551">
        <v>0.72637758303011801</v>
      </c>
      <c r="F5551">
        <v>0.38899996642739199</v>
      </c>
      <c r="G5551">
        <v>0.28480301674870101</v>
      </c>
      <c r="H5551">
        <v>0.25685077274530599</v>
      </c>
      <c r="I5551">
        <v>0.28151319863590002</v>
      </c>
      <c r="J5551">
        <v>0.35687390852356099</v>
      </c>
      <c r="K5551">
        <v>0.34292761455901999</v>
      </c>
      <c r="L5551">
        <v>2519.6050307605901</v>
      </c>
      <c r="M5551">
        <v>49.898518866847901</v>
      </c>
      <c r="N5551">
        <v>51.479052333021102</v>
      </c>
      <c r="O5551">
        <v>50.4136818880555</v>
      </c>
      <c r="P5551">
        <v>-0.17136893592678501</v>
      </c>
      <c r="Q5551">
        <v>0.30744785207795999</v>
      </c>
      <c r="R5551">
        <v>0.96177479228660501</v>
      </c>
      <c r="S5551" t="s">
        <v>12357</v>
      </c>
      <c r="T5551" t="s">
        <v>13610</v>
      </c>
      <c r="U5551" t="s">
        <v>13610</v>
      </c>
      <c r="V5551" t="s">
        <v>13610</v>
      </c>
      <c r="W5551" t="s">
        <v>19091</v>
      </c>
      <c r="X5551">
        <v>8</v>
      </c>
      <c r="Y5551" t="s">
        <v>25655</v>
      </c>
      <c r="Z5551" t="s">
        <v>32406</v>
      </c>
      <c r="AA5551">
        <v>0.55126496159737826</v>
      </c>
      <c r="AB5551" t="str">
        <f>HYPERLINK("Melting_Curves/meltCurve_Q9BWS9_3_CHID1.pdf", "Melting_Curves/meltCurve_Q9BWS9_3_CHID1.pdf")</f>
        <v>Melting_Curves/meltCurve_Q9BWS9_3_CHID1.pdf</v>
      </c>
    </row>
    <row r="5552" spans="1:28" x14ac:dyDescent="0.25">
      <c r="A5552" t="s">
        <v>5556</v>
      </c>
      <c r="B5552">
        <v>0.995954080203443</v>
      </c>
      <c r="C5552">
        <v>0.90771939154871695</v>
      </c>
      <c r="D5552">
        <v>0.89327748475215496</v>
      </c>
      <c r="E5552">
        <v>0.79953590699101196</v>
      </c>
      <c r="F5552">
        <v>0.77499557206674996</v>
      </c>
      <c r="G5552">
        <v>0.58424818292520297</v>
      </c>
      <c r="H5552">
        <v>0.55347523279438204</v>
      </c>
      <c r="I5552">
        <v>0.65354104109784905</v>
      </c>
      <c r="J5552">
        <v>0.78760874273942505</v>
      </c>
      <c r="K5552">
        <v>0.73045692619648595</v>
      </c>
      <c r="L5552">
        <v>782.92821905485698</v>
      </c>
      <c r="M5552">
        <v>16.363024233015999</v>
      </c>
      <c r="O5552">
        <v>47.149881306865403</v>
      </c>
      <c r="P5552">
        <v>-2.8953132909557699E-2</v>
      </c>
      <c r="Q5552">
        <v>0.66631128156558606</v>
      </c>
      <c r="R5552">
        <v>0.72772989343251304</v>
      </c>
      <c r="S5552" t="s">
        <v>12358</v>
      </c>
      <c r="T5552" t="s">
        <v>13610</v>
      </c>
      <c r="U5552" t="s">
        <v>13610</v>
      </c>
      <c r="V5552" t="s">
        <v>13610</v>
      </c>
      <c r="W5552" t="s">
        <v>19092</v>
      </c>
      <c r="X5552">
        <v>9</v>
      </c>
      <c r="Y5552" t="s">
        <v>25656</v>
      </c>
      <c r="Z5552" t="s">
        <v>32407</v>
      </c>
      <c r="AA5552">
        <v>0.76085135993974873</v>
      </c>
      <c r="AB5552" t="str">
        <f>HYPERLINK("Melting_Curves/meltCurve_Q9BWT3_PAPOLG.pdf", "Melting_Curves/meltCurve_Q9BWT3_PAPOLG.pdf")</f>
        <v>Melting_Curves/meltCurve_Q9BWT3_PAPOLG.pdf</v>
      </c>
    </row>
    <row r="5553" spans="1:28" x14ac:dyDescent="0.25">
      <c r="A5553" t="s">
        <v>5557</v>
      </c>
      <c r="B5553">
        <v>0.995954080203443</v>
      </c>
      <c r="C5553">
        <v>1.0404890858623801</v>
      </c>
      <c r="D5553">
        <v>1.2499385428961101</v>
      </c>
      <c r="E5553">
        <v>0.91584611154939499</v>
      </c>
      <c r="F5553">
        <v>0.72170979852138795</v>
      </c>
      <c r="G5553">
        <v>0.16302190255599799</v>
      </c>
      <c r="H5553">
        <v>8.7693964635902497E-2</v>
      </c>
      <c r="I5553">
        <v>6.2522790373557194E-2</v>
      </c>
      <c r="J5553">
        <v>9.8100715880858003E-2</v>
      </c>
      <c r="K5553">
        <v>4.2294276334829302E-2</v>
      </c>
      <c r="L5553">
        <v>2138.97685665994</v>
      </c>
      <c r="M5553">
        <v>39.565189095270902</v>
      </c>
      <c r="N5553">
        <v>54.260595357601296</v>
      </c>
      <c r="O5553">
        <v>53.924532181878597</v>
      </c>
      <c r="P5553">
        <v>-0.17106953131805</v>
      </c>
      <c r="Q5553">
        <v>6.7379676780502301E-2</v>
      </c>
      <c r="R5553">
        <v>0.96802360069952398</v>
      </c>
      <c r="S5553" t="s">
        <v>12359</v>
      </c>
      <c r="T5553" t="s">
        <v>13610</v>
      </c>
      <c r="U5553" t="s">
        <v>13610</v>
      </c>
      <c r="V5553" t="s">
        <v>13610</v>
      </c>
      <c r="W5553" t="s">
        <v>18144</v>
      </c>
      <c r="X5553">
        <v>1</v>
      </c>
      <c r="Y5553" t="s">
        <v>24726</v>
      </c>
      <c r="Z5553" t="s">
        <v>32408</v>
      </c>
      <c r="AA5553">
        <v>0.50808729704863997</v>
      </c>
      <c r="AB5553" t="str">
        <f>HYPERLINK("Melting_Curves/meltCurve_Q9BWT7_CARD10.pdf", "Melting_Curves/meltCurve_Q9BWT7_CARD10.pdf")</f>
        <v>Melting_Curves/meltCurve_Q9BWT7_CARD10.pdf</v>
      </c>
    </row>
    <row r="5554" spans="1:28" x14ac:dyDescent="0.25">
      <c r="A5554" t="s">
        <v>5558</v>
      </c>
      <c r="B5554">
        <v>0.995954080203443</v>
      </c>
      <c r="C5554">
        <v>0.96763491980277005</v>
      </c>
      <c r="D5554">
        <v>0.990827172800676</v>
      </c>
      <c r="E5554">
        <v>0.89115534153231601</v>
      </c>
      <c r="F5554">
        <v>0.72653057173195401</v>
      </c>
      <c r="G5554">
        <v>0.44551532156170898</v>
      </c>
      <c r="H5554">
        <v>0.38091837621173202</v>
      </c>
      <c r="I5554">
        <v>0.430375701205645</v>
      </c>
      <c r="J5554">
        <v>0.54178653572596902</v>
      </c>
      <c r="K5554">
        <v>0.51298322425588905</v>
      </c>
      <c r="L5554">
        <v>1873.42598511181</v>
      </c>
      <c r="M5554">
        <v>35.591296753672601</v>
      </c>
      <c r="N5554">
        <v>56.561410151011799</v>
      </c>
      <c r="O5554">
        <v>52.471850262656602</v>
      </c>
      <c r="P5554">
        <v>-9.1963505010048199E-2</v>
      </c>
      <c r="Q5554">
        <v>0.45767872644476898</v>
      </c>
      <c r="R5554">
        <v>0.96049216783802305</v>
      </c>
      <c r="S5554" t="s">
        <v>12360</v>
      </c>
      <c r="T5554" t="s">
        <v>13610</v>
      </c>
      <c r="U5554" t="s">
        <v>13610</v>
      </c>
      <c r="V5554" t="s">
        <v>13610</v>
      </c>
      <c r="W5554" t="s">
        <v>19093</v>
      </c>
      <c r="X5554">
        <v>26</v>
      </c>
      <c r="Y5554" t="s">
        <v>25657</v>
      </c>
      <c r="Z5554" t="s">
        <v>32409</v>
      </c>
      <c r="AA5554">
        <v>0.68861762151424699</v>
      </c>
      <c r="AB5554" t="str">
        <f>HYPERLINK("Melting_Curves/meltCurve_Q9BWU0_SLC4A1AP.pdf", "Melting_Curves/meltCurve_Q9BWU0_SLC4A1AP.pdf")</f>
        <v>Melting_Curves/meltCurve_Q9BWU0_SLC4A1AP.pdf</v>
      </c>
    </row>
    <row r="5555" spans="1:28" x14ac:dyDescent="0.25">
      <c r="A5555" t="s">
        <v>5559</v>
      </c>
      <c r="B5555">
        <v>0.995954080203443</v>
      </c>
      <c r="C5555">
        <v>1.0806158206510901</v>
      </c>
      <c r="D5555">
        <v>1.0671262632613601</v>
      </c>
      <c r="E5555">
        <v>1.0620125643967699</v>
      </c>
      <c r="F5555">
        <v>0.88995054260085105</v>
      </c>
      <c r="G5555">
        <v>0.60163881685792098</v>
      </c>
      <c r="H5555">
        <v>0.51144633650874405</v>
      </c>
      <c r="I5555">
        <v>0.58781120054652103</v>
      </c>
      <c r="J5555">
        <v>0.68402634267007401</v>
      </c>
      <c r="K5555">
        <v>0.65889698525713902</v>
      </c>
      <c r="L5555">
        <v>13299.718722809001</v>
      </c>
      <c r="M5555">
        <v>250</v>
      </c>
      <c r="O5555">
        <v>53.195451636314601</v>
      </c>
      <c r="P5555">
        <v>-0.45966797593755898</v>
      </c>
      <c r="Q5555">
        <v>0.60876393150868802</v>
      </c>
      <c r="R5555">
        <v>0.92891294845657602</v>
      </c>
      <c r="S5555" t="s">
        <v>12361</v>
      </c>
      <c r="T5555" t="s">
        <v>13610</v>
      </c>
      <c r="U5555" t="s">
        <v>13610</v>
      </c>
      <c r="V5555" t="s">
        <v>13610</v>
      </c>
      <c r="W5555" t="s">
        <v>19094</v>
      </c>
      <c r="X5555">
        <v>5</v>
      </c>
      <c r="Y5555" t="s">
        <v>25658</v>
      </c>
      <c r="Z5555" t="s">
        <v>32410</v>
      </c>
      <c r="AA5555">
        <v>0.78092965592420627</v>
      </c>
      <c r="AB5555" t="str">
        <f>HYPERLINK("Melting_Curves/meltCurve_Q9BWW4_2_SSBP3.pdf", "Melting_Curves/meltCurve_Q9BWW4_2_SSBP3.pdf")</f>
        <v>Melting_Curves/meltCurve_Q9BWW4_2_SSBP3.pdf</v>
      </c>
    </row>
    <row r="5556" spans="1:28" x14ac:dyDescent="0.25">
      <c r="A5556" t="s">
        <v>5560</v>
      </c>
      <c r="B5556">
        <v>0.995954080203443</v>
      </c>
      <c r="C5556">
        <v>1.0407213457173301</v>
      </c>
      <c r="D5556">
        <v>1.0562311031885101</v>
      </c>
      <c r="E5556">
        <v>0.94705493045224898</v>
      </c>
      <c r="F5556">
        <v>0.94419625327179801</v>
      </c>
      <c r="G5556">
        <v>0.73651826121133401</v>
      </c>
      <c r="H5556">
        <v>0.63761893482801302</v>
      </c>
      <c r="I5556">
        <v>0.70417734296356105</v>
      </c>
      <c r="J5556">
        <v>0.82402537355648697</v>
      </c>
      <c r="K5556">
        <v>0.77251798725338505</v>
      </c>
      <c r="L5556">
        <v>3658.8606411778801</v>
      </c>
      <c r="M5556">
        <v>67.757238508574801</v>
      </c>
      <c r="O5556">
        <v>53.952574534529099</v>
      </c>
      <c r="P5556">
        <v>-8.3650548092218294E-2</v>
      </c>
      <c r="Q5556">
        <v>0.73356876037198704</v>
      </c>
      <c r="R5556">
        <v>0.864622312426226</v>
      </c>
      <c r="S5556" t="s">
        <v>12362</v>
      </c>
      <c r="T5556" t="s">
        <v>13610</v>
      </c>
      <c r="U5556" t="s">
        <v>13610</v>
      </c>
      <c r="V5556" t="s">
        <v>13610</v>
      </c>
      <c r="W5556" t="s">
        <v>19095</v>
      </c>
      <c r="X5556">
        <v>4</v>
      </c>
      <c r="Y5556" t="s">
        <v>25659</v>
      </c>
      <c r="Z5556" t="s">
        <v>32411</v>
      </c>
      <c r="AA5556">
        <v>0.85824406836914668</v>
      </c>
      <c r="AB5556" t="str">
        <f>HYPERLINK("Melting_Curves/meltCurve_Q9BWW5_SSDP4.pdf", "Melting_Curves/meltCurve_Q9BWW5_SSDP4.pdf")</f>
        <v>Melting_Curves/meltCurve_Q9BWW5_SSDP4.pdf</v>
      </c>
    </row>
    <row r="5557" spans="1:28" x14ac:dyDescent="0.25">
      <c r="A5557" t="s">
        <v>5561</v>
      </c>
      <c r="B5557">
        <v>0.995954080203443</v>
      </c>
      <c r="C5557">
        <v>0.81842703110208204</v>
      </c>
      <c r="D5557">
        <v>0.96224468905918903</v>
      </c>
      <c r="E5557">
        <v>0.81625661368223201</v>
      </c>
      <c r="F5557">
        <v>0.72848455418139402</v>
      </c>
      <c r="G5557">
        <v>0.51043638189534302</v>
      </c>
      <c r="H5557">
        <v>0.46726358030243498</v>
      </c>
      <c r="I5557">
        <v>0.52910753942687305</v>
      </c>
      <c r="J5557">
        <v>0.92877447559928905</v>
      </c>
      <c r="K5557">
        <v>0.71821667947961798</v>
      </c>
      <c r="L5557">
        <v>1381.3822467928001</v>
      </c>
      <c r="M5557">
        <v>27.7506018704442</v>
      </c>
      <c r="O5557">
        <v>49.522124215334898</v>
      </c>
      <c r="P5557">
        <v>-5.1053121702385899E-2</v>
      </c>
      <c r="Q5557">
        <v>0.63557743872821904</v>
      </c>
      <c r="R5557">
        <v>0.447920402020755</v>
      </c>
      <c r="S5557" t="s">
        <v>12363</v>
      </c>
      <c r="T5557" t="s">
        <v>13610</v>
      </c>
      <c r="U5557" t="s">
        <v>13610</v>
      </c>
      <c r="V5557" t="s">
        <v>13610</v>
      </c>
      <c r="W5557" t="s">
        <v>19096</v>
      </c>
      <c r="X5557">
        <v>2</v>
      </c>
      <c r="Y5557" t="s">
        <v>25660</v>
      </c>
      <c r="Z5557" t="s">
        <v>32412</v>
      </c>
      <c r="AA5557">
        <v>0.75699121827111326</v>
      </c>
      <c r="AB5557" t="str">
        <f>HYPERLINK("Melting_Curves/meltCurve_Q9BWW8_APOL6.pdf", "Melting_Curves/meltCurve_Q9BWW8_APOL6.pdf")</f>
        <v>Melting_Curves/meltCurve_Q9BWW8_APOL6.pdf</v>
      </c>
    </row>
    <row r="5558" spans="1:28" x14ac:dyDescent="0.25">
      <c r="A5558" t="s">
        <v>5562</v>
      </c>
      <c r="B5558">
        <v>0.995954080203443</v>
      </c>
      <c r="C5558">
        <v>0.651121153367618</v>
      </c>
      <c r="D5558">
        <v>0.41841394138886201</v>
      </c>
      <c r="E5558">
        <v>0.32445085112655903</v>
      </c>
      <c r="F5558">
        <v>0.20832331224958001</v>
      </c>
      <c r="G5558">
        <v>0.106862053283262</v>
      </c>
      <c r="H5558">
        <v>7.1981178511485194E-2</v>
      </c>
      <c r="I5558">
        <v>5.2485655834514401E-2</v>
      </c>
      <c r="J5558">
        <v>4.65586616110365E-2</v>
      </c>
      <c r="K5558">
        <v>4.09359679931771E-2</v>
      </c>
      <c r="L5558">
        <v>621.51970627911703</v>
      </c>
      <c r="M5558">
        <v>13.6718770791651</v>
      </c>
      <c r="N5558">
        <v>45.803696953702797</v>
      </c>
      <c r="O5558">
        <v>44.520241566141301</v>
      </c>
      <c r="P5558">
        <v>-7.3038288283171895E-2</v>
      </c>
      <c r="Q5558">
        <v>4.8789046354651699E-2</v>
      </c>
      <c r="R5558">
        <v>0.96785584838773997</v>
      </c>
      <c r="S5558" t="s">
        <v>12364</v>
      </c>
      <c r="T5558" t="s">
        <v>13610</v>
      </c>
      <c r="U5558" t="s">
        <v>13610</v>
      </c>
      <c r="V5558" t="s">
        <v>13610</v>
      </c>
      <c r="W5558" t="s">
        <v>19097</v>
      </c>
      <c r="X5558">
        <v>3</v>
      </c>
      <c r="Y5558" t="s">
        <v>25661</v>
      </c>
      <c r="Z5558" t="s">
        <v>32413</v>
      </c>
      <c r="AA5558">
        <v>0.25719532805735601</v>
      </c>
      <c r="AB5558" t="str">
        <f>HYPERLINK("Melting_Curves/meltCurve_Q9BX10_2_GTPBP2.pdf", "Melting_Curves/meltCurve_Q9BX10_2_GTPBP2.pdf")</f>
        <v>Melting_Curves/meltCurve_Q9BX10_2_GTPBP2.pdf</v>
      </c>
    </row>
    <row r="5559" spans="1:28" x14ac:dyDescent="0.25">
      <c r="A5559" t="s">
        <v>5563</v>
      </c>
      <c r="B5559">
        <v>0.995954080203443</v>
      </c>
      <c r="C5559">
        <v>0.955720129204504</v>
      </c>
      <c r="D5559">
        <v>0.90168923007021595</v>
      </c>
      <c r="E5559">
        <v>0.80822183167224704</v>
      </c>
      <c r="F5559">
        <v>0.70579091776164105</v>
      </c>
      <c r="G5559">
        <v>0.49207106625476399</v>
      </c>
      <c r="H5559">
        <v>0.36962801339129298</v>
      </c>
      <c r="I5559">
        <v>0.53125478601349396</v>
      </c>
      <c r="J5559">
        <v>0.63022237230151301</v>
      </c>
      <c r="K5559">
        <v>0.63023591671741097</v>
      </c>
      <c r="L5559">
        <v>1143.4893297886399</v>
      </c>
      <c r="M5559">
        <v>22.5999810532102</v>
      </c>
      <c r="O5559">
        <v>50.205762316155003</v>
      </c>
      <c r="P5559">
        <v>-5.2932922408618598E-2</v>
      </c>
      <c r="Q5559">
        <v>0.52964838669983705</v>
      </c>
      <c r="R5559">
        <v>0.84656060420546797</v>
      </c>
      <c r="S5559" t="s">
        <v>12365</v>
      </c>
      <c r="T5559" t="s">
        <v>13610</v>
      </c>
      <c r="U5559" t="s">
        <v>13610</v>
      </c>
      <c r="V5559" t="s">
        <v>13610</v>
      </c>
      <c r="W5559" t="s">
        <v>19098</v>
      </c>
      <c r="X5559">
        <v>10</v>
      </c>
      <c r="Y5559" t="s">
        <v>23973</v>
      </c>
      <c r="Z5559" t="s">
        <v>32414</v>
      </c>
      <c r="AA5559">
        <v>0.70095259350640582</v>
      </c>
      <c r="AB5559" t="str">
        <f>HYPERLINK("Melting_Curves/meltCurve_Q9BX40_LSM14B.pdf", "Melting_Curves/meltCurve_Q9BX40_LSM14B.pdf")</f>
        <v>Melting_Curves/meltCurve_Q9BX40_LSM14B.pdf</v>
      </c>
    </row>
    <row r="5560" spans="1:28" x14ac:dyDescent="0.25">
      <c r="A5560" t="s">
        <v>5564</v>
      </c>
      <c r="B5560">
        <v>0.995954080203443</v>
      </c>
      <c r="C5560">
        <v>0.93115329397005098</v>
      </c>
      <c r="D5560">
        <v>0.98962474158466296</v>
      </c>
      <c r="E5560">
        <v>0.92504648533339695</v>
      </c>
      <c r="F5560">
        <v>0.83135261223803103</v>
      </c>
      <c r="G5560">
        <v>0.35591476513744802</v>
      </c>
      <c r="H5560">
        <v>0.32874573834467802</v>
      </c>
      <c r="I5560">
        <v>0.35768783905824902</v>
      </c>
      <c r="J5560">
        <v>0.45581490898909199</v>
      </c>
      <c r="K5560">
        <v>0.44412552652146398</v>
      </c>
      <c r="L5560">
        <v>6568.8987422218497</v>
      </c>
      <c r="M5560">
        <v>122.977138064615</v>
      </c>
      <c r="N5560">
        <v>54.0750798693524</v>
      </c>
      <c r="O5560">
        <v>53.401499434304</v>
      </c>
      <c r="P5560">
        <v>-0.352103050650932</v>
      </c>
      <c r="Q5560">
        <v>0.38841230190757797</v>
      </c>
      <c r="R5560">
        <v>0.96949680774892499</v>
      </c>
      <c r="S5560" t="s">
        <v>12366</v>
      </c>
      <c r="T5560" t="s">
        <v>13610</v>
      </c>
      <c r="U5560" t="s">
        <v>13610</v>
      </c>
      <c r="V5560" t="s">
        <v>13610</v>
      </c>
      <c r="W5560" t="s">
        <v>19099</v>
      </c>
      <c r="X5560">
        <v>4</v>
      </c>
      <c r="Y5560" t="s">
        <v>25662</v>
      </c>
      <c r="Z5560" t="s">
        <v>32415</v>
      </c>
      <c r="AA5560">
        <v>0.66214345338548852</v>
      </c>
      <c r="AB5560" t="str">
        <f>HYPERLINK("Melting_Curves/meltCurve_Q9BX63_BRIP1.pdf", "Melting_Curves/meltCurve_Q9BX63_BRIP1.pdf")</f>
        <v>Melting_Curves/meltCurve_Q9BX63_BRIP1.pdf</v>
      </c>
    </row>
    <row r="5561" spans="1:28" x14ac:dyDescent="0.25">
      <c r="A5561" t="s">
        <v>5565</v>
      </c>
      <c r="B5561">
        <v>0.995954080203443</v>
      </c>
      <c r="C5561">
        <v>0.81702253659992097</v>
      </c>
      <c r="D5561">
        <v>0.95065655319235598</v>
      </c>
      <c r="E5561">
        <v>0.824146923688585</v>
      </c>
      <c r="F5561">
        <v>0.71786554408945902</v>
      </c>
      <c r="G5561">
        <v>0.88432831420693003</v>
      </c>
      <c r="H5561">
        <v>1.0777282292788299</v>
      </c>
      <c r="I5561">
        <v>1.63819529333543</v>
      </c>
      <c r="J5561">
        <v>1.5426070061805399</v>
      </c>
      <c r="K5561">
        <v>1.7236271271055099</v>
      </c>
      <c r="L5561">
        <v>15000</v>
      </c>
      <c r="M5561">
        <v>244.210066485927</v>
      </c>
      <c r="O5561">
        <v>61.418411870752202</v>
      </c>
      <c r="P5561">
        <v>0.497021304025209</v>
      </c>
      <c r="Q5561">
        <v>1.5</v>
      </c>
      <c r="R5561">
        <v>0.81595280078005605</v>
      </c>
      <c r="S5561" t="s">
        <v>12367</v>
      </c>
      <c r="T5561" t="s">
        <v>13610</v>
      </c>
      <c r="U5561" t="s">
        <v>13610</v>
      </c>
      <c r="V5561" t="s">
        <v>13610</v>
      </c>
      <c r="W5561" t="s">
        <v>19100</v>
      </c>
      <c r="X5561">
        <v>26</v>
      </c>
      <c r="Y5561" t="s">
        <v>25663</v>
      </c>
      <c r="Z5561" t="s">
        <v>32416</v>
      </c>
      <c r="AA5561">
        <v>1.1429013581548579</v>
      </c>
      <c r="AB5561" t="str">
        <f>HYPERLINK("Melting_Curves/meltCurve_Q9BX66_6_SORBS1.pdf", "Melting_Curves/meltCurve_Q9BX66_6_SORBS1.pdf")</f>
        <v>Melting_Curves/meltCurve_Q9BX66_6_SORBS1.pdf</v>
      </c>
    </row>
    <row r="5562" spans="1:28" x14ac:dyDescent="0.25">
      <c r="A5562" t="s">
        <v>5566</v>
      </c>
      <c r="B5562">
        <v>0.995954080203443</v>
      </c>
      <c r="C5562">
        <v>0.97530220777841203</v>
      </c>
      <c r="D5562">
        <v>0.96479296154648198</v>
      </c>
      <c r="E5562">
        <v>0.86667827091045002</v>
      </c>
      <c r="F5562">
        <v>0.74727474186994403</v>
      </c>
      <c r="G5562">
        <v>0.48443690841505699</v>
      </c>
      <c r="H5562">
        <v>0.37753548019536298</v>
      </c>
      <c r="I5562">
        <v>0.38990091942046101</v>
      </c>
      <c r="J5562">
        <v>0.46926974281642497</v>
      </c>
      <c r="K5562">
        <v>0.43282462187240001</v>
      </c>
      <c r="L5562">
        <v>1345.91170242727</v>
      </c>
      <c r="M5562">
        <v>25.341915032809698</v>
      </c>
      <c r="N5562">
        <v>56.944935818034899</v>
      </c>
      <c r="O5562">
        <v>52.782719342096797</v>
      </c>
      <c r="P5562">
        <v>-7.0907246962112799E-2</v>
      </c>
      <c r="Q5562">
        <v>0.40925879583515301</v>
      </c>
      <c r="R5562">
        <v>0.98264794535572897</v>
      </c>
      <c r="S5562" t="s">
        <v>12368</v>
      </c>
      <c r="T5562" t="s">
        <v>13610</v>
      </c>
      <c r="U5562" t="s">
        <v>13610</v>
      </c>
      <c r="V5562" t="s">
        <v>13610</v>
      </c>
      <c r="W5562" t="s">
        <v>19101</v>
      </c>
      <c r="X5562">
        <v>27</v>
      </c>
      <c r="Y5562" t="s">
        <v>25663</v>
      </c>
      <c r="Z5562" t="s">
        <v>32417</v>
      </c>
      <c r="AA5562">
        <v>0.67272094737084265</v>
      </c>
      <c r="AB5562" t="str">
        <f>HYPERLINK("Melting_Curves/meltCurve_Q9BX66_9_SORBS1.pdf", "Melting_Curves/meltCurve_Q9BX66_9_SORBS1.pdf")</f>
        <v>Melting_Curves/meltCurve_Q9BX66_9_SORBS1.pdf</v>
      </c>
    </row>
    <row r="5563" spans="1:28" x14ac:dyDescent="0.25">
      <c r="A5563" t="s">
        <v>5567</v>
      </c>
      <c r="B5563">
        <v>0.995954080203443</v>
      </c>
      <c r="C5563">
        <v>0.95429859724718002</v>
      </c>
      <c r="D5563">
        <v>1.2385114276248299</v>
      </c>
      <c r="E5563">
        <v>0.92258727906306004</v>
      </c>
      <c r="F5563">
        <v>1.1807569682603101</v>
      </c>
      <c r="G5563">
        <v>0.92893962241161099</v>
      </c>
      <c r="H5563">
        <v>0.54696158361101999</v>
      </c>
      <c r="I5563">
        <v>0.48683199356432399</v>
      </c>
      <c r="J5563">
        <v>0.45034571261816703</v>
      </c>
      <c r="K5563">
        <v>0.44849101519784002</v>
      </c>
      <c r="L5563">
        <v>3138.8485418740202</v>
      </c>
      <c r="M5563">
        <v>53.0771172460081</v>
      </c>
      <c r="N5563">
        <v>62.031773331819899</v>
      </c>
      <c r="O5563">
        <v>59.053749656415299</v>
      </c>
      <c r="P5563">
        <v>-0.121791123603344</v>
      </c>
      <c r="Q5563">
        <v>0.45797985807112002</v>
      </c>
      <c r="R5563">
        <v>0.88208969494997602</v>
      </c>
      <c r="S5563" t="s">
        <v>12369</v>
      </c>
      <c r="T5563" t="s">
        <v>13610</v>
      </c>
      <c r="U5563" t="s">
        <v>13610</v>
      </c>
      <c r="V5563" t="s">
        <v>13610</v>
      </c>
      <c r="W5563" t="s">
        <v>19102</v>
      </c>
      <c r="X5563">
        <v>5</v>
      </c>
      <c r="Y5563" t="s">
        <v>25664</v>
      </c>
      <c r="Z5563" t="s">
        <v>32418</v>
      </c>
      <c r="AA5563">
        <v>0.8049898116458496</v>
      </c>
      <c r="AB5563" t="str">
        <f>HYPERLINK("Melting_Curves/meltCurve_Q9BX68_HINT2.pdf", "Melting_Curves/meltCurve_Q9BX68_HINT2.pdf")</f>
        <v>Melting_Curves/meltCurve_Q9BX68_HINT2.pdf</v>
      </c>
    </row>
    <row r="5564" spans="1:28" x14ac:dyDescent="0.25">
      <c r="A5564" t="s">
        <v>5568</v>
      </c>
      <c r="B5564">
        <v>0.995954080203443</v>
      </c>
      <c r="C5564">
        <v>0.77367428970799601</v>
      </c>
      <c r="D5564">
        <v>0.48379157954190599</v>
      </c>
      <c r="E5564">
        <v>0.30518763209522698</v>
      </c>
      <c r="F5564">
        <v>0.14642641886699601</v>
      </c>
      <c r="G5564">
        <v>9.2873901381591101E-2</v>
      </c>
      <c r="H5564">
        <v>5.6543791584882597E-2</v>
      </c>
      <c r="I5564">
        <v>4.9739386163550003E-2</v>
      </c>
      <c r="J5564">
        <v>4.8708868578933098E-2</v>
      </c>
      <c r="K5564">
        <v>4.8624821582834599E-2</v>
      </c>
      <c r="L5564">
        <v>753.29406199695495</v>
      </c>
      <c r="M5564">
        <v>16.345915284488498</v>
      </c>
      <c r="N5564">
        <v>46.368552213629499</v>
      </c>
      <c r="O5564">
        <v>45.411362256877702</v>
      </c>
      <c r="P5564">
        <v>-8.5707620428034897E-2</v>
      </c>
      <c r="Q5564">
        <v>4.7635069335880298E-2</v>
      </c>
      <c r="R5564">
        <v>0.99073698579351499</v>
      </c>
      <c r="S5564" t="s">
        <v>12370</v>
      </c>
      <c r="T5564" t="s">
        <v>13610</v>
      </c>
      <c r="U5564" t="s">
        <v>13610</v>
      </c>
      <c r="V5564" t="s">
        <v>13610</v>
      </c>
      <c r="W5564" t="s">
        <v>19103</v>
      </c>
      <c r="X5564">
        <v>6</v>
      </c>
      <c r="Y5564" t="s">
        <v>25665</v>
      </c>
      <c r="Z5564" t="s">
        <v>32419</v>
      </c>
      <c r="AA5564">
        <v>0.26377655813065648</v>
      </c>
      <c r="AB5564" t="str">
        <f>HYPERLINK("Melting_Curves/meltCurve_Q9BXB4_OSBPL11.pdf", "Melting_Curves/meltCurve_Q9BXB4_OSBPL11.pdf")</f>
        <v>Melting_Curves/meltCurve_Q9BXB4_OSBPL11.pdf</v>
      </c>
    </row>
    <row r="5565" spans="1:28" x14ac:dyDescent="0.25">
      <c r="A5565" t="s">
        <v>5569</v>
      </c>
      <c r="B5565">
        <v>0.995954080203443</v>
      </c>
      <c r="C5565">
        <v>0.805021644930078</v>
      </c>
      <c r="D5565">
        <v>0.54708006079268001</v>
      </c>
      <c r="E5565">
        <v>0.43765644218968103</v>
      </c>
      <c r="F5565">
        <v>0.28364487429016799</v>
      </c>
      <c r="G5565">
        <v>0.17822307051108099</v>
      </c>
      <c r="H5565">
        <v>0.124103678793075</v>
      </c>
      <c r="I5565">
        <v>8.9740138991338494E-2</v>
      </c>
      <c r="J5565">
        <v>0.106110374088908</v>
      </c>
      <c r="K5565">
        <v>9.9006850898613899E-2</v>
      </c>
      <c r="L5565">
        <v>600.43311215460005</v>
      </c>
      <c r="M5565">
        <v>12.6844511262432</v>
      </c>
      <c r="N5565">
        <v>47.9975498323126</v>
      </c>
      <c r="O5565">
        <v>46.205880222775797</v>
      </c>
      <c r="P5565">
        <v>-6.3139363232693896E-2</v>
      </c>
      <c r="Q5565">
        <v>8.0183181789408794E-2</v>
      </c>
      <c r="R5565">
        <v>0.98407080527644897</v>
      </c>
      <c r="S5565" t="s">
        <v>12371</v>
      </c>
      <c r="T5565" t="s">
        <v>13610</v>
      </c>
      <c r="U5565" t="s">
        <v>13610</v>
      </c>
      <c r="V5565" t="s">
        <v>13610</v>
      </c>
      <c r="W5565" t="s">
        <v>19104</v>
      </c>
      <c r="X5565">
        <v>4</v>
      </c>
      <c r="Y5565" t="s">
        <v>25666</v>
      </c>
      <c r="Z5565" t="s">
        <v>32420</v>
      </c>
      <c r="AA5565">
        <v>0.33912824885899251</v>
      </c>
      <c r="AB5565" t="str">
        <f>HYPERLINK("Melting_Curves/meltCurve_Q9BXD5_NPL.pdf", "Melting_Curves/meltCurve_Q9BXD5_NPL.pdf")</f>
        <v>Melting_Curves/meltCurve_Q9BXD5_NPL.pdf</v>
      </c>
    </row>
    <row r="5566" spans="1:28" x14ac:dyDescent="0.25">
      <c r="A5566" t="s">
        <v>5570</v>
      </c>
      <c r="B5566">
        <v>0.995954080203443</v>
      </c>
      <c r="C5566">
        <v>0.91111988707158198</v>
      </c>
      <c r="D5566">
        <v>0.95776326897417396</v>
      </c>
      <c r="E5566">
        <v>0.77720790711972698</v>
      </c>
      <c r="F5566">
        <v>0.78610116530671204</v>
      </c>
      <c r="G5566">
        <v>0.52384802789487706</v>
      </c>
      <c r="H5566">
        <v>0.50647533379324094</v>
      </c>
      <c r="I5566">
        <v>0.55974419420060195</v>
      </c>
      <c r="J5566">
        <v>0.78027157039866701</v>
      </c>
      <c r="K5566">
        <v>0.68610971192773396</v>
      </c>
      <c r="L5566">
        <v>1094.88930140097</v>
      </c>
      <c r="M5566">
        <v>21.990516333547699</v>
      </c>
      <c r="O5566">
        <v>49.382911706041497</v>
      </c>
      <c r="P5566">
        <v>-4.2555283122277798E-2</v>
      </c>
      <c r="Q5566">
        <v>0.61775216857093496</v>
      </c>
      <c r="R5566">
        <v>0.73085342117666896</v>
      </c>
      <c r="S5566" t="s">
        <v>12372</v>
      </c>
      <c r="T5566" t="s">
        <v>13610</v>
      </c>
      <c r="U5566" t="s">
        <v>13610</v>
      </c>
      <c r="V5566" t="s">
        <v>13610</v>
      </c>
      <c r="W5566" t="s">
        <v>19105</v>
      </c>
      <c r="X5566">
        <v>3</v>
      </c>
      <c r="Y5566" t="s">
        <v>25667</v>
      </c>
      <c r="Z5566" t="s">
        <v>32421</v>
      </c>
      <c r="AA5566">
        <v>0.74689401235401032</v>
      </c>
      <c r="AB5566" t="str">
        <f>HYPERLINK("Melting_Curves/meltCurve_Q9BXF6_RAB11FIP5.pdf", "Melting_Curves/meltCurve_Q9BXF6_RAB11FIP5.pdf")</f>
        <v>Melting_Curves/meltCurve_Q9BXF6_RAB11FIP5.pdf</v>
      </c>
    </row>
    <row r="5567" spans="1:28" x14ac:dyDescent="0.25">
      <c r="A5567" t="s">
        <v>5571</v>
      </c>
      <c r="B5567">
        <v>0.995954080203443</v>
      </c>
      <c r="C5567">
        <v>0.90359280542148901</v>
      </c>
      <c r="D5567">
        <v>1.0116043750714001</v>
      </c>
      <c r="E5567">
        <v>0.89775907627523299</v>
      </c>
      <c r="F5567">
        <v>0.90548064203565204</v>
      </c>
      <c r="G5567">
        <v>0.66662021976324204</v>
      </c>
      <c r="H5567">
        <v>0.63313588662651299</v>
      </c>
      <c r="I5567">
        <v>0.69432707838128604</v>
      </c>
      <c r="J5567">
        <v>0.75616288924875297</v>
      </c>
      <c r="K5567">
        <v>0.79305131763519898</v>
      </c>
      <c r="S5567" t="s">
        <v>12373</v>
      </c>
      <c r="T5567" t="s">
        <v>13610</v>
      </c>
      <c r="U5567" t="s">
        <v>13611</v>
      </c>
      <c r="V5567" t="s">
        <v>13610</v>
      </c>
      <c r="W5567" t="s">
        <v>19106</v>
      </c>
      <c r="X5567">
        <v>5</v>
      </c>
      <c r="Y5567" t="s">
        <v>25668</v>
      </c>
      <c r="Z5567" t="s">
        <v>32422</v>
      </c>
      <c r="AB5567" t="str">
        <f>HYPERLINK("Melting_Curves/meltCurve_Q9BXH1_BBC3.pdf", "Melting_Curves/meltCurve_Q9BXH1_BBC3.pdf")</f>
        <v>Melting_Curves/meltCurve_Q9BXH1_BBC3.pdf</v>
      </c>
    </row>
    <row r="5568" spans="1:28" x14ac:dyDescent="0.25">
      <c r="A5568" t="s">
        <v>5572</v>
      </c>
      <c r="B5568">
        <v>0.995954080203443</v>
      </c>
      <c r="C5568">
        <v>0.876560812204358</v>
      </c>
      <c r="D5568">
        <v>0.65508589016596197</v>
      </c>
      <c r="E5568">
        <v>0.427997727187448</v>
      </c>
      <c r="F5568">
        <v>0.27212685228279598</v>
      </c>
      <c r="G5568">
        <v>0.169605277856544</v>
      </c>
      <c r="H5568">
        <v>0.149263084038051</v>
      </c>
      <c r="I5568">
        <v>0.16581667882217799</v>
      </c>
      <c r="J5568">
        <v>0.18978363209820401</v>
      </c>
      <c r="K5568">
        <v>0.18273549094864</v>
      </c>
      <c r="L5568">
        <v>819.22518295801797</v>
      </c>
      <c r="M5568">
        <v>17.325813600434302</v>
      </c>
      <c r="N5568">
        <v>48.357865895864997</v>
      </c>
      <c r="O5568">
        <v>46.6670795561378</v>
      </c>
      <c r="P5568">
        <v>-7.7993187877998402E-2</v>
      </c>
      <c r="Q5568">
        <v>0.15974941847243801</v>
      </c>
      <c r="R5568">
        <v>0.99422187710209697</v>
      </c>
      <c r="S5568" t="s">
        <v>12374</v>
      </c>
      <c r="T5568" t="s">
        <v>13610</v>
      </c>
      <c r="U5568" t="s">
        <v>13610</v>
      </c>
      <c r="V5568" t="s">
        <v>13610</v>
      </c>
      <c r="W5568" t="s">
        <v>19107</v>
      </c>
      <c r="X5568">
        <v>6</v>
      </c>
      <c r="Y5568" t="s">
        <v>25669</v>
      </c>
      <c r="Z5568" t="s">
        <v>32423</v>
      </c>
      <c r="AA5568">
        <v>0.38035467024739311</v>
      </c>
      <c r="AB5568" t="str">
        <f>HYPERLINK("Melting_Curves/meltCurve_Q9BXI6_TBC1D10A.pdf", "Melting_Curves/meltCurve_Q9BXI6_TBC1D10A.pdf")</f>
        <v>Melting_Curves/meltCurve_Q9BXI6_TBC1D10A.pdf</v>
      </c>
    </row>
    <row r="5569" spans="1:28" x14ac:dyDescent="0.25">
      <c r="A5569" t="s">
        <v>5573</v>
      </c>
      <c r="B5569">
        <v>0.995954080203443</v>
      </c>
      <c r="C5569">
        <v>0.95395892887120803</v>
      </c>
      <c r="D5569">
        <v>0.85794010393585296</v>
      </c>
      <c r="E5569">
        <v>0.79514960975936</v>
      </c>
      <c r="F5569">
        <v>0.33263390105437202</v>
      </c>
      <c r="G5569">
        <v>0.105462296604331</v>
      </c>
      <c r="H5569">
        <v>6.9873049322050101E-2</v>
      </c>
      <c r="I5569">
        <v>5.96741865348554E-2</v>
      </c>
      <c r="J5569">
        <v>7.3166060710571496E-2</v>
      </c>
      <c r="K5569">
        <v>6.1108907527966098E-2</v>
      </c>
      <c r="L5569">
        <v>1687.80982681761</v>
      </c>
      <c r="M5569">
        <v>32.6635100621398</v>
      </c>
      <c r="N5569">
        <v>51.884330905253798</v>
      </c>
      <c r="O5569">
        <v>51.4801138501034</v>
      </c>
      <c r="P5569">
        <v>-0.14872616849235901</v>
      </c>
      <c r="Q5569">
        <v>6.2390478792088699E-2</v>
      </c>
      <c r="R5569">
        <v>0.98768547019237896</v>
      </c>
      <c r="S5569" t="s">
        <v>12375</v>
      </c>
      <c r="T5569" t="s">
        <v>13610</v>
      </c>
      <c r="U5569" t="s">
        <v>13610</v>
      </c>
      <c r="V5569" t="s">
        <v>13610</v>
      </c>
      <c r="W5569" t="s">
        <v>19108</v>
      </c>
      <c r="X5569">
        <v>54</v>
      </c>
      <c r="Y5569" t="s">
        <v>25670</v>
      </c>
      <c r="Z5569" t="s">
        <v>32424</v>
      </c>
      <c r="AA5569">
        <v>0.43223229260844298</v>
      </c>
      <c r="AB5569" t="str">
        <f>HYPERLINK("Melting_Curves/meltCurve_Q9BXJ9_NAA15.pdf", "Melting_Curves/meltCurve_Q9BXJ9_NAA15.pdf")</f>
        <v>Melting_Curves/meltCurve_Q9BXJ9_NAA15.pdf</v>
      </c>
    </row>
    <row r="5570" spans="1:28" x14ac:dyDescent="0.25">
      <c r="A5570" t="s">
        <v>5574</v>
      </c>
      <c r="B5570">
        <v>0.995954080203443</v>
      </c>
      <c r="C5570">
        <v>0.96869817627096799</v>
      </c>
      <c r="D5570">
        <v>0.90518332806738599</v>
      </c>
      <c r="E5570">
        <v>0.86701446928099202</v>
      </c>
      <c r="F5570">
        <v>0.77415237683083404</v>
      </c>
      <c r="G5570">
        <v>0.43681499210586999</v>
      </c>
      <c r="H5570">
        <v>0.37001415820509198</v>
      </c>
      <c r="I5570">
        <v>0.42602138952436303</v>
      </c>
      <c r="J5570">
        <v>0.52499265085809599</v>
      </c>
      <c r="K5570">
        <v>0.54452877058123295</v>
      </c>
      <c r="L5570">
        <v>1704.33952294285</v>
      </c>
      <c r="M5570">
        <v>32.230111525234101</v>
      </c>
      <c r="N5570">
        <v>57.121274906882498</v>
      </c>
      <c r="O5570">
        <v>52.678023370459698</v>
      </c>
      <c r="P5570">
        <v>-8.3466939260925604E-2</v>
      </c>
      <c r="Q5570">
        <v>0.45431754154672699</v>
      </c>
      <c r="R5570">
        <v>0.92110428724445803</v>
      </c>
      <c r="S5570" t="s">
        <v>12376</v>
      </c>
      <c r="T5570" t="s">
        <v>13610</v>
      </c>
      <c r="U5570" t="s">
        <v>13610</v>
      </c>
      <c r="V5570" t="s">
        <v>13610</v>
      </c>
      <c r="W5570" t="s">
        <v>19109</v>
      </c>
      <c r="X5570">
        <v>5</v>
      </c>
      <c r="Y5570" t="s">
        <v>25671</v>
      </c>
      <c r="Z5570" t="s">
        <v>32425</v>
      </c>
      <c r="AA5570">
        <v>0.69167054029963415</v>
      </c>
      <c r="AB5570" t="str">
        <f>HYPERLINK("Melting_Curves/meltCurve_Q9BXK1_KLF16.pdf", "Melting_Curves/meltCurve_Q9BXK1_KLF16.pdf")</f>
        <v>Melting_Curves/meltCurve_Q9BXK1_KLF16.pdf</v>
      </c>
    </row>
    <row r="5571" spans="1:28" x14ac:dyDescent="0.25">
      <c r="A5571" t="s">
        <v>5575</v>
      </c>
      <c r="B5571">
        <v>0.995954080203443</v>
      </c>
      <c r="C5571">
        <v>1.0227813233137399</v>
      </c>
      <c r="D5571">
        <v>0.94917190736854895</v>
      </c>
      <c r="E5571">
        <v>0.85498618278552097</v>
      </c>
      <c r="F5571">
        <v>0.73289168497217905</v>
      </c>
      <c r="G5571">
        <v>0.44949869103587903</v>
      </c>
      <c r="H5571">
        <v>0.19779901103419401</v>
      </c>
      <c r="I5571">
        <v>0.14117421485963999</v>
      </c>
      <c r="J5571">
        <v>0.14690055581577199</v>
      </c>
      <c r="K5571">
        <v>0.14181546549750099</v>
      </c>
      <c r="L5571">
        <v>1015.9160910724599</v>
      </c>
      <c r="M5571">
        <v>18.390743222553901</v>
      </c>
      <c r="N5571">
        <v>55.9105454758108</v>
      </c>
      <c r="O5571">
        <v>54.599903877169801</v>
      </c>
      <c r="P5571">
        <v>-7.5883543996858302E-2</v>
      </c>
      <c r="Q5571">
        <v>9.8884422359594104E-2</v>
      </c>
      <c r="R5571">
        <v>0.99541516295265897</v>
      </c>
      <c r="S5571" t="s">
        <v>12377</v>
      </c>
      <c r="T5571" t="s">
        <v>13610</v>
      </c>
      <c r="U5571" t="s">
        <v>13610</v>
      </c>
      <c r="V5571" t="s">
        <v>13610</v>
      </c>
      <c r="W5571" t="s">
        <v>19110</v>
      </c>
      <c r="X5571">
        <v>12</v>
      </c>
      <c r="Y5571" t="s">
        <v>25672</v>
      </c>
      <c r="Z5571" t="s">
        <v>32426</v>
      </c>
      <c r="AA5571">
        <v>0.57008089831171227</v>
      </c>
      <c r="AB5571" t="str">
        <f>HYPERLINK("Melting_Curves/meltCurve_Q9BXK5_BCL2L13.pdf", "Melting_Curves/meltCurve_Q9BXK5_BCL2L13.pdf")</f>
        <v>Melting_Curves/meltCurve_Q9BXK5_BCL2L13.pdf</v>
      </c>
    </row>
    <row r="5572" spans="1:28" x14ac:dyDescent="0.25">
      <c r="A5572" t="s">
        <v>5576</v>
      </c>
      <c r="B5572">
        <v>0.995954080203443</v>
      </c>
      <c r="C5572">
        <v>1.0001582957941799</v>
      </c>
      <c r="D5572">
        <v>1.13160321185677</v>
      </c>
      <c r="E5572">
        <v>0.946970397380971</v>
      </c>
      <c r="F5572">
        <v>1.0135046561878001</v>
      </c>
      <c r="G5572">
        <v>0.62238277486329496</v>
      </c>
      <c r="H5572">
        <v>0.69394592057315996</v>
      </c>
      <c r="I5572">
        <v>1.0169201147439999</v>
      </c>
      <c r="J5572">
        <v>1.3786422911422</v>
      </c>
      <c r="K5572">
        <v>1.26647543754115</v>
      </c>
      <c r="L5572">
        <v>15000</v>
      </c>
      <c r="M5572">
        <v>231.51339238424401</v>
      </c>
      <c r="O5572">
        <v>64.786225791330097</v>
      </c>
      <c r="P5572">
        <v>0.28821054078757602</v>
      </c>
      <c r="Q5572">
        <v>1.32260898909263</v>
      </c>
      <c r="R5572">
        <v>0.44160255518027602</v>
      </c>
      <c r="S5572" t="s">
        <v>12378</v>
      </c>
      <c r="T5572" t="s">
        <v>13610</v>
      </c>
      <c r="U5572" t="s">
        <v>13610</v>
      </c>
      <c r="V5572" t="s">
        <v>13610</v>
      </c>
      <c r="W5572" t="s">
        <v>19111</v>
      </c>
      <c r="X5572">
        <v>22</v>
      </c>
      <c r="Y5572" t="s">
        <v>25673</v>
      </c>
      <c r="Z5572" t="s">
        <v>32427</v>
      </c>
      <c r="AA5572">
        <v>1.0559721638032511</v>
      </c>
      <c r="AB5572" t="str">
        <f>HYPERLINK("Melting_Curves/meltCurve_Q9BXL5_HEMGN.pdf", "Melting_Curves/meltCurve_Q9BXL5_HEMGN.pdf")</f>
        <v>Melting_Curves/meltCurve_Q9BXL5_HEMGN.pdf</v>
      </c>
    </row>
    <row r="5573" spans="1:28" x14ac:dyDescent="0.25">
      <c r="A5573" t="s">
        <v>5577</v>
      </c>
      <c r="B5573">
        <v>0.995954080203443</v>
      </c>
      <c r="C5573">
        <v>0.98421211122651797</v>
      </c>
      <c r="D5573">
        <v>1.00205507457756</v>
      </c>
      <c r="E5573">
        <v>0.56972851187106299</v>
      </c>
      <c r="F5573">
        <v>0.276667206681316</v>
      </c>
      <c r="G5573">
        <v>0.149602100267517</v>
      </c>
      <c r="H5573">
        <v>9.8691599827273893E-2</v>
      </c>
      <c r="I5573">
        <v>8.7547878526973794E-2</v>
      </c>
      <c r="J5573">
        <v>0.10721422980310299</v>
      </c>
      <c r="K5573">
        <v>8.9519339431956793E-2</v>
      </c>
      <c r="L5573">
        <v>1539.7648456146701</v>
      </c>
      <c r="M5573">
        <v>30.608266930019301</v>
      </c>
      <c r="N5573">
        <v>50.682696105220302</v>
      </c>
      <c r="O5573">
        <v>50.092280438451702</v>
      </c>
      <c r="P5573">
        <v>-0.13720074790456999</v>
      </c>
      <c r="Q5573">
        <v>0.10185654857039</v>
      </c>
      <c r="R5573">
        <v>0.99698083448290797</v>
      </c>
      <c r="S5573" t="s">
        <v>12379</v>
      </c>
      <c r="T5573" t="s">
        <v>13610</v>
      </c>
      <c r="U5573" t="s">
        <v>13610</v>
      </c>
      <c r="V5573" t="s">
        <v>13610</v>
      </c>
      <c r="W5573" t="s">
        <v>19112</v>
      </c>
      <c r="X5573">
        <v>31</v>
      </c>
      <c r="Y5573" t="s">
        <v>25674</v>
      </c>
      <c r="Z5573" t="s">
        <v>32428</v>
      </c>
      <c r="AA5573">
        <v>0.41574578264609852</v>
      </c>
      <c r="AB5573" t="str">
        <f>HYPERLINK("Melting_Curves/meltCurve_Q9BXL7_CARD11.pdf", "Melting_Curves/meltCurve_Q9BXL7_CARD11.pdf")</f>
        <v>Melting_Curves/meltCurve_Q9BXL7_CARD11.pdf</v>
      </c>
    </row>
    <row r="5574" spans="1:28" x14ac:dyDescent="0.25">
      <c r="A5574" t="s">
        <v>5578</v>
      </c>
      <c r="B5574">
        <v>0.995954080203443</v>
      </c>
      <c r="C5574">
        <v>0.94671625869416498</v>
      </c>
      <c r="D5574">
        <v>0.79941027154925004</v>
      </c>
      <c r="E5574">
        <v>0.32508880082566199</v>
      </c>
      <c r="F5574">
        <v>0.18227537323485099</v>
      </c>
      <c r="G5574">
        <v>0.113775630010276</v>
      </c>
      <c r="H5574">
        <v>8.1407853042305495E-2</v>
      </c>
      <c r="I5574">
        <v>7.9749719285113901E-2</v>
      </c>
      <c r="J5574">
        <v>8.8993582874793101E-2</v>
      </c>
      <c r="K5574">
        <v>8.3577034861181496E-2</v>
      </c>
      <c r="L5574">
        <v>1234.55252905578</v>
      </c>
      <c r="M5574">
        <v>25.645262922484399</v>
      </c>
      <c r="N5574">
        <v>48.497066967682201</v>
      </c>
      <c r="O5574">
        <v>47.849742656328999</v>
      </c>
      <c r="P5574">
        <v>-0.12245090157767601</v>
      </c>
      <c r="Q5574">
        <v>8.6120049376941302E-2</v>
      </c>
      <c r="R5574">
        <v>0.99913597709818303</v>
      </c>
      <c r="S5574" t="s">
        <v>12380</v>
      </c>
      <c r="T5574" t="s">
        <v>13610</v>
      </c>
      <c r="U5574" t="s">
        <v>13610</v>
      </c>
      <c r="V5574" t="s">
        <v>13610</v>
      </c>
      <c r="W5574" t="s">
        <v>19113</v>
      </c>
      <c r="X5574">
        <v>34</v>
      </c>
      <c r="Y5574" t="s">
        <v>25675</v>
      </c>
      <c r="Z5574" t="s">
        <v>32429</v>
      </c>
      <c r="AA5574">
        <v>0.3417262956109563</v>
      </c>
      <c r="AB5574" t="str">
        <f>HYPERLINK("Melting_Curves/meltCurve_Q9BXP5_4_SRRT.pdf", "Melting_Curves/meltCurve_Q9BXP5_4_SRRT.pdf")</f>
        <v>Melting_Curves/meltCurve_Q9BXP5_4_SRRT.pdf</v>
      </c>
    </row>
    <row r="5575" spans="1:28" x14ac:dyDescent="0.25">
      <c r="A5575" t="s">
        <v>5579</v>
      </c>
      <c r="B5575">
        <v>0.995954080203443</v>
      </c>
      <c r="C5575">
        <v>1.0251230734341801</v>
      </c>
      <c r="D5575">
        <v>0.93998086520998203</v>
      </c>
      <c r="E5575">
        <v>0.87863198098551099</v>
      </c>
      <c r="F5575">
        <v>0.62317211839207298</v>
      </c>
      <c r="G5575">
        <v>0.308754452437352</v>
      </c>
      <c r="H5575">
        <v>8.9749259836351403E-2</v>
      </c>
      <c r="I5575">
        <v>5.7226007900528002E-2</v>
      </c>
      <c r="J5575">
        <v>5.89812462505983E-2</v>
      </c>
      <c r="K5575">
        <v>5.6063567862344101E-2</v>
      </c>
      <c r="L5575">
        <v>1158.04928472752</v>
      </c>
      <c r="M5575">
        <v>21.3485085557225</v>
      </c>
      <c r="N5575">
        <v>54.421368042545602</v>
      </c>
      <c r="O5575">
        <v>53.775737859037598</v>
      </c>
      <c r="P5575">
        <v>-9.5932605334653101E-2</v>
      </c>
      <c r="Q5575">
        <v>3.3428144633597702E-2</v>
      </c>
      <c r="R5575">
        <v>0.99738459733940699</v>
      </c>
      <c r="S5575" t="s">
        <v>12381</v>
      </c>
      <c r="T5575" t="s">
        <v>13610</v>
      </c>
      <c r="U5575" t="s">
        <v>13610</v>
      </c>
      <c r="V5575" t="s">
        <v>13610</v>
      </c>
      <c r="W5575" t="s">
        <v>19114</v>
      </c>
      <c r="X5575">
        <v>12</v>
      </c>
      <c r="Y5575" t="s">
        <v>25676</v>
      </c>
      <c r="Z5575" t="s">
        <v>32430</v>
      </c>
      <c r="AA5575">
        <v>0.50415743902601895</v>
      </c>
      <c r="AB5575" t="str">
        <f>HYPERLINK("Melting_Curves/meltCurve_Q9BXR0_QTRT1.pdf", "Melting_Curves/meltCurve_Q9BXR0_QTRT1.pdf")</f>
        <v>Melting_Curves/meltCurve_Q9BXR0_QTRT1.pdf</v>
      </c>
    </row>
    <row r="5576" spans="1:28" x14ac:dyDescent="0.25">
      <c r="A5576" t="s">
        <v>5580</v>
      </c>
      <c r="B5576">
        <v>0.995954080203443</v>
      </c>
      <c r="C5576">
        <v>0.90605089580633402</v>
      </c>
      <c r="D5576">
        <v>0.83753360205962102</v>
      </c>
      <c r="E5576">
        <v>0.75262533926262898</v>
      </c>
      <c r="F5576">
        <v>0.45057291558541401</v>
      </c>
      <c r="G5576">
        <v>0.33362121616376</v>
      </c>
      <c r="H5576">
        <v>0.17140851412632399</v>
      </c>
      <c r="I5576">
        <v>7.2830176896810095E-2</v>
      </c>
      <c r="J5576">
        <v>5.8516908351760502E-2</v>
      </c>
      <c r="K5576">
        <v>5.7091720784479598E-2</v>
      </c>
      <c r="L5576">
        <v>657.18299057190495</v>
      </c>
      <c r="M5576">
        <v>12.3794638121042</v>
      </c>
      <c r="N5576">
        <v>53.086552420366402</v>
      </c>
      <c r="O5576">
        <v>51.758346802466797</v>
      </c>
      <c r="P5576">
        <v>-5.9807304125780503E-2</v>
      </c>
      <c r="Q5576">
        <v>0</v>
      </c>
      <c r="R5576">
        <v>0.98930185977025298</v>
      </c>
      <c r="S5576" t="s">
        <v>12382</v>
      </c>
      <c r="T5576" t="s">
        <v>13610</v>
      </c>
      <c r="U5576" t="s">
        <v>13610</v>
      </c>
      <c r="V5576" t="s">
        <v>13610</v>
      </c>
      <c r="W5576" t="s">
        <v>19115</v>
      </c>
      <c r="X5576">
        <v>20</v>
      </c>
      <c r="Y5576" t="s">
        <v>25677</v>
      </c>
      <c r="Z5576" t="s">
        <v>32431</v>
      </c>
      <c r="AA5576">
        <v>0.46352613402581022</v>
      </c>
      <c r="AB5576" t="str">
        <f>HYPERLINK("Melting_Curves/meltCurve_Q9BXS5_AP1M1.pdf", "Melting_Curves/meltCurve_Q9BXS5_AP1M1.pdf")</f>
        <v>Melting_Curves/meltCurve_Q9BXS5_AP1M1.pdf</v>
      </c>
    </row>
    <row r="5577" spans="1:28" x14ac:dyDescent="0.25">
      <c r="A5577" t="s">
        <v>5581</v>
      </c>
      <c r="B5577">
        <v>0.995954080203443</v>
      </c>
      <c r="C5577">
        <v>0.94172208928562795</v>
      </c>
      <c r="D5577">
        <v>1.1434151355053599</v>
      </c>
      <c r="E5577">
        <v>0.95785986277244795</v>
      </c>
      <c r="F5577">
        <v>1.06299859872102</v>
      </c>
      <c r="G5577">
        <v>0.88077496171815495</v>
      </c>
      <c r="H5577">
        <v>0.822573418455807</v>
      </c>
      <c r="I5577">
        <v>0.99943234234076705</v>
      </c>
      <c r="J5577">
        <v>1.08185518854098</v>
      </c>
      <c r="K5577">
        <v>1.1575892591377399</v>
      </c>
      <c r="L5577">
        <v>15000</v>
      </c>
      <c r="M5577">
        <v>223.95818750555401</v>
      </c>
      <c r="O5577">
        <v>66.971424293460004</v>
      </c>
      <c r="P5577">
        <v>0.131756270076897</v>
      </c>
      <c r="Q5577">
        <v>1.15759920496851</v>
      </c>
      <c r="R5577">
        <v>0.29355141555435199</v>
      </c>
      <c r="S5577" t="s">
        <v>12383</v>
      </c>
      <c r="T5577" t="s">
        <v>13610</v>
      </c>
      <c r="U5577" t="s">
        <v>13610</v>
      </c>
      <c r="V5577" t="s">
        <v>13610</v>
      </c>
      <c r="W5577" t="s">
        <v>19116</v>
      </c>
      <c r="X5577">
        <v>14</v>
      </c>
      <c r="Y5577" t="s">
        <v>25678</v>
      </c>
      <c r="Z5577" t="s">
        <v>32432</v>
      </c>
      <c r="AA5577">
        <v>1.015858885894553</v>
      </c>
      <c r="AB5577" t="str">
        <f>HYPERLINK("Melting_Curves/meltCurve_Q9BXS6_2_NUSAP1.pdf", "Melting_Curves/meltCurve_Q9BXS6_2_NUSAP1.pdf")</f>
        <v>Melting_Curves/meltCurve_Q9BXS6_2_NUSAP1.pdf</v>
      </c>
    </row>
    <row r="5578" spans="1:28" x14ac:dyDescent="0.25">
      <c r="A5578" t="s">
        <v>5582</v>
      </c>
      <c r="B5578">
        <v>0.995954080203443</v>
      </c>
      <c r="C5578">
        <v>0.78913187164431597</v>
      </c>
      <c r="D5578">
        <v>0.90410863985730305</v>
      </c>
      <c r="E5578">
        <v>0.74294281295296205</v>
      </c>
      <c r="F5578">
        <v>1.0164909756857801</v>
      </c>
      <c r="G5578">
        <v>0.769887172670634</v>
      </c>
      <c r="H5578">
        <v>0.73368997566599303</v>
      </c>
      <c r="I5578">
        <v>0.84100828192045696</v>
      </c>
      <c r="J5578">
        <v>1.07762022564001</v>
      </c>
      <c r="K5578">
        <v>0.84946332679682002</v>
      </c>
      <c r="L5578">
        <v>10141.063938998501</v>
      </c>
      <c r="M5578">
        <v>250</v>
      </c>
      <c r="O5578">
        <v>40.561659911831804</v>
      </c>
      <c r="P5578">
        <v>-0.21840149753247801</v>
      </c>
      <c r="Q5578">
        <v>0.858260363888811</v>
      </c>
      <c r="R5578">
        <v>0.127244374701596</v>
      </c>
      <c r="S5578" t="s">
        <v>12384</v>
      </c>
      <c r="T5578" t="s">
        <v>13610</v>
      </c>
      <c r="U5578" t="s">
        <v>13610</v>
      </c>
      <c r="V5578" t="s">
        <v>13610</v>
      </c>
      <c r="W5578" t="s">
        <v>19117</v>
      </c>
      <c r="X5578">
        <v>12</v>
      </c>
      <c r="Y5578" t="s">
        <v>25678</v>
      </c>
      <c r="Z5578" t="s">
        <v>32433</v>
      </c>
      <c r="AA5578">
        <v>0.86095780124243337</v>
      </c>
      <c r="AB5578" t="str">
        <f>HYPERLINK("Melting_Curves/meltCurve_Q9BXS6_4_NUSAP1.pdf", "Melting_Curves/meltCurve_Q9BXS6_4_NUSAP1.pdf")</f>
        <v>Melting_Curves/meltCurve_Q9BXS6_4_NUSAP1.pdf</v>
      </c>
    </row>
    <row r="5579" spans="1:28" x14ac:dyDescent="0.25">
      <c r="A5579" t="s">
        <v>5583</v>
      </c>
      <c r="B5579">
        <v>0.995954080203443</v>
      </c>
      <c r="C5579">
        <v>0.96689243368934696</v>
      </c>
      <c r="D5579">
        <v>0.86743776467089995</v>
      </c>
      <c r="E5579">
        <v>0.76523495571984601</v>
      </c>
      <c r="F5579">
        <v>0.65167789059755499</v>
      </c>
      <c r="G5579">
        <v>0.54870814165960102</v>
      </c>
      <c r="H5579">
        <v>0.50339264388527205</v>
      </c>
      <c r="I5579">
        <v>0.66296615807001502</v>
      </c>
      <c r="J5579">
        <v>0.62703432549406002</v>
      </c>
      <c r="K5579">
        <v>0.73478352951362802</v>
      </c>
      <c r="L5579">
        <v>1042.1370882864901</v>
      </c>
      <c r="M5579">
        <v>21.7651360537225</v>
      </c>
      <c r="O5579">
        <v>47.4823054537422</v>
      </c>
      <c r="P5579">
        <v>-4.4023954813904601E-2</v>
      </c>
      <c r="Q5579">
        <v>0.61584228152784104</v>
      </c>
      <c r="R5579">
        <v>0.84959719011230905</v>
      </c>
      <c r="S5579" t="s">
        <v>12385</v>
      </c>
      <c r="T5579" t="s">
        <v>13610</v>
      </c>
      <c r="U5579" t="s">
        <v>13610</v>
      </c>
      <c r="V5579" t="s">
        <v>13610</v>
      </c>
      <c r="W5579" t="s">
        <v>19118</v>
      </c>
      <c r="X5579">
        <v>3</v>
      </c>
      <c r="Y5579" t="s">
        <v>21125</v>
      </c>
      <c r="Z5579" t="s">
        <v>32434</v>
      </c>
      <c r="AA5579">
        <v>0.72132923914012848</v>
      </c>
      <c r="AB5579" t="str">
        <f>HYPERLINK("Melting_Curves/meltCurve_Q9BXV9_C14orf142.pdf", "Melting_Curves/meltCurve_Q9BXV9_C14orf142.pdf")</f>
        <v>Melting_Curves/meltCurve_Q9BXV9_C14orf142.pdf</v>
      </c>
    </row>
    <row r="5580" spans="1:28" x14ac:dyDescent="0.25">
      <c r="A5580" t="s">
        <v>5584</v>
      </c>
      <c r="B5580">
        <v>0.995954080203443</v>
      </c>
      <c r="C5580">
        <v>0.80160013417741305</v>
      </c>
      <c r="D5580">
        <v>0.43132297532408798</v>
      </c>
      <c r="E5580">
        <v>0.260382163864954</v>
      </c>
      <c r="F5580">
        <v>0.164246399818021</v>
      </c>
      <c r="G5580">
        <v>9.6020334630449899E-2</v>
      </c>
      <c r="H5580">
        <v>8.4035420755553994E-2</v>
      </c>
      <c r="I5580">
        <v>0.101020481562669</v>
      </c>
      <c r="J5580">
        <v>9.9081746604673407E-2</v>
      </c>
      <c r="K5580">
        <v>0.105363048887605</v>
      </c>
      <c r="L5580">
        <v>978.96899022401499</v>
      </c>
      <c r="M5580">
        <v>21.632272320356101</v>
      </c>
      <c r="N5580">
        <v>45.7484510730145</v>
      </c>
      <c r="O5580">
        <v>44.8736158886582</v>
      </c>
      <c r="P5580">
        <v>-0.10798056820511499</v>
      </c>
      <c r="Q5580">
        <v>0.104049253051462</v>
      </c>
      <c r="R5580">
        <v>0.99131606760118696</v>
      </c>
      <c r="S5580" t="s">
        <v>12386</v>
      </c>
      <c r="T5580" t="s">
        <v>13610</v>
      </c>
      <c r="U5580" t="s">
        <v>13610</v>
      </c>
      <c r="V5580" t="s">
        <v>13610</v>
      </c>
      <c r="W5580" t="s">
        <v>19119</v>
      </c>
      <c r="X5580">
        <v>10</v>
      </c>
      <c r="Y5580" t="s">
        <v>25679</v>
      </c>
      <c r="Z5580" t="s">
        <v>32435</v>
      </c>
      <c r="AA5580">
        <v>0.27327127143908198</v>
      </c>
      <c r="AB5580" t="str">
        <f>HYPERLINK("Melting_Curves/meltCurve_Q9BXW7_2_CECR5.pdf", "Melting_Curves/meltCurve_Q9BXW7_2_CECR5.pdf")</f>
        <v>Melting_Curves/meltCurve_Q9BXW7_2_CECR5.pdf</v>
      </c>
    </row>
    <row r="5581" spans="1:28" x14ac:dyDescent="0.25">
      <c r="A5581" t="s">
        <v>5585</v>
      </c>
      <c r="B5581">
        <v>0.995954080203443</v>
      </c>
      <c r="C5581">
        <v>0.783131832041564</v>
      </c>
      <c r="D5581">
        <v>0.51230003130347701</v>
      </c>
      <c r="E5581">
        <v>0.38595555629538503</v>
      </c>
      <c r="F5581">
        <v>0.24756721725764999</v>
      </c>
      <c r="G5581">
        <v>0.17311357843344999</v>
      </c>
      <c r="H5581">
        <v>0.14062240762168501</v>
      </c>
      <c r="I5581">
        <v>0.108817639250676</v>
      </c>
      <c r="J5581">
        <v>0.15501719290344099</v>
      </c>
      <c r="K5581">
        <v>0.14167668732835201</v>
      </c>
      <c r="L5581">
        <v>710.43458304767796</v>
      </c>
      <c r="M5581">
        <v>15.420337570804399</v>
      </c>
      <c r="N5581">
        <v>47.011594033117198</v>
      </c>
      <c r="O5581">
        <v>45.3173156274799</v>
      </c>
      <c r="P5581">
        <v>-7.3786532396012697E-2</v>
      </c>
      <c r="Q5581">
        <v>0.13270253869322199</v>
      </c>
      <c r="R5581">
        <v>0.98421224005772701</v>
      </c>
      <c r="S5581" t="s">
        <v>12387</v>
      </c>
      <c r="T5581" t="s">
        <v>13610</v>
      </c>
      <c r="U5581" t="s">
        <v>13610</v>
      </c>
      <c r="V5581" t="s">
        <v>13610</v>
      </c>
      <c r="W5581" t="s">
        <v>19120</v>
      </c>
      <c r="X5581">
        <v>11</v>
      </c>
      <c r="Y5581" t="s">
        <v>25680</v>
      </c>
      <c r="Z5581" t="s">
        <v>32436</v>
      </c>
      <c r="AA5581">
        <v>0.33197509193430869</v>
      </c>
      <c r="AB5581" t="str">
        <f>HYPERLINK("Melting_Curves/meltCurve_Q9BXW9_2_FANCD2.pdf", "Melting_Curves/meltCurve_Q9BXW9_2_FANCD2.pdf")</f>
        <v>Melting_Curves/meltCurve_Q9BXW9_2_FANCD2.pdf</v>
      </c>
    </row>
    <row r="5582" spans="1:28" x14ac:dyDescent="0.25">
      <c r="A5582" t="s">
        <v>5586</v>
      </c>
      <c r="B5582">
        <v>0.995954080203443</v>
      </c>
      <c r="C5582">
        <v>0.98247442496762405</v>
      </c>
      <c r="D5582">
        <v>0.85475937190619</v>
      </c>
      <c r="E5582">
        <v>0.80540306789387495</v>
      </c>
      <c r="F5582">
        <v>0.66466345328799703</v>
      </c>
      <c r="G5582">
        <v>0.46622068929902</v>
      </c>
      <c r="H5582">
        <v>0.402603338340006</v>
      </c>
      <c r="I5582">
        <v>0.45917238504953201</v>
      </c>
      <c r="J5582">
        <v>0.52073207354906403</v>
      </c>
      <c r="K5582">
        <v>0.51270779585135395</v>
      </c>
      <c r="L5582">
        <v>921.300643206985</v>
      </c>
      <c r="M5582">
        <v>18.149271498995901</v>
      </c>
      <c r="N5582">
        <v>58.775180369408602</v>
      </c>
      <c r="O5582">
        <v>50.1581633734069</v>
      </c>
      <c r="P5582">
        <v>-4.9041887103742202E-2</v>
      </c>
      <c r="Q5582">
        <v>0.45788818684484001</v>
      </c>
      <c r="R5582">
        <v>0.948603426698296</v>
      </c>
      <c r="S5582" t="s">
        <v>12388</v>
      </c>
      <c r="T5582" t="s">
        <v>13610</v>
      </c>
      <c r="U5582" t="s">
        <v>13610</v>
      </c>
      <c r="V5582" t="s">
        <v>13610</v>
      </c>
      <c r="W5582" t="s">
        <v>19121</v>
      </c>
      <c r="X5582">
        <v>6</v>
      </c>
      <c r="Y5582" t="s">
        <v>25681</v>
      </c>
      <c r="Z5582" t="s">
        <v>32437</v>
      </c>
      <c r="AA5582">
        <v>0.66139126984109309</v>
      </c>
      <c r="AB5582" t="str">
        <f>HYPERLINK("Melting_Curves/meltCurve_Q9BXY0_MAK16.pdf", "Melting_Curves/meltCurve_Q9BXY0_MAK16.pdf")</f>
        <v>Melting_Curves/meltCurve_Q9BXY0_MAK16.pdf</v>
      </c>
    </row>
    <row r="5583" spans="1:28" x14ac:dyDescent="0.25">
      <c r="A5583" t="s">
        <v>5587</v>
      </c>
      <c r="B5583">
        <v>0.995954080203443</v>
      </c>
      <c r="C5583">
        <v>0.88298194512081696</v>
      </c>
      <c r="D5583">
        <v>0.95787003154358796</v>
      </c>
      <c r="E5583">
        <v>0.73191255292833601</v>
      </c>
      <c r="F5583">
        <v>0.72543144134075099</v>
      </c>
      <c r="G5583">
        <v>0.52196196817292395</v>
      </c>
      <c r="H5583">
        <v>0.45689513592206499</v>
      </c>
      <c r="I5583">
        <v>0.52725825010266802</v>
      </c>
      <c r="J5583">
        <v>0.60712738061223503</v>
      </c>
      <c r="K5583">
        <v>0.62319168617170995</v>
      </c>
      <c r="L5583">
        <v>938.75116605044605</v>
      </c>
      <c r="M5583">
        <v>18.8702980046627</v>
      </c>
      <c r="O5583">
        <v>49.198963713304401</v>
      </c>
      <c r="P5583">
        <v>-4.3684611531723698E-2</v>
      </c>
      <c r="Q5583">
        <v>0.54443750984111605</v>
      </c>
      <c r="R5583">
        <v>0.87498319599323404</v>
      </c>
      <c r="S5583" t="s">
        <v>12389</v>
      </c>
      <c r="T5583" t="s">
        <v>13610</v>
      </c>
      <c r="U5583" t="s">
        <v>13610</v>
      </c>
      <c r="V5583" t="s">
        <v>13610</v>
      </c>
      <c r="W5583" t="s">
        <v>19122</v>
      </c>
      <c r="X5583">
        <v>7</v>
      </c>
      <c r="Y5583" t="s">
        <v>25682</v>
      </c>
      <c r="Z5583" t="s">
        <v>32438</v>
      </c>
      <c r="AA5583">
        <v>0.69957309317983885</v>
      </c>
      <c r="AB5583" t="str">
        <f>HYPERLINK("Melting_Curves/meltCurve_Q9BY12_2_SCAPER.pdf", "Melting_Curves/meltCurve_Q9BY12_2_SCAPER.pdf")</f>
        <v>Melting_Curves/meltCurve_Q9BY12_2_SCAPER.pdf</v>
      </c>
    </row>
    <row r="5584" spans="1:28" x14ac:dyDescent="0.25">
      <c r="A5584" t="s">
        <v>5588</v>
      </c>
      <c r="B5584">
        <v>0.995954080203443</v>
      </c>
      <c r="C5584">
        <v>1.0854575064548799</v>
      </c>
      <c r="D5584">
        <v>1.0361761791036099</v>
      </c>
      <c r="E5584">
        <v>0.97686775088954902</v>
      </c>
      <c r="F5584">
        <v>0.86600444519138997</v>
      </c>
      <c r="G5584">
        <v>0.65578640832136303</v>
      </c>
      <c r="H5584">
        <v>0.50771957291928904</v>
      </c>
      <c r="I5584">
        <v>0.41219455494912299</v>
      </c>
      <c r="J5584">
        <v>0.252510233770461</v>
      </c>
      <c r="K5584">
        <v>0.10625652278936</v>
      </c>
      <c r="L5584">
        <v>783.10671899672002</v>
      </c>
      <c r="M5584">
        <v>12.834825780913301</v>
      </c>
      <c r="N5584">
        <v>61.014207229071602</v>
      </c>
      <c r="O5584">
        <v>59.5899566911758</v>
      </c>
      <c r="P5584">
        <v>-5.38564167719758E-2</v>
      </c>
      <c r="Q5584">
        <v>0</v>
      </c>
      <c r="R5584">
        <v>0.98091199606299195</v>
      </c>
      <c r="S5584" t="s">
        <v>12390</v>
      </c>
      <c r="T5584" t="s">
        <v>13610</v>
      </c>
      <c r="U5584" t="s">
        <v>13610</v>
      </c>
      <c r="V5584" t="s">
        <v>13610</v>
      </c>
      <c r="W5584" t="s">
        <v>19123</v>
      </c>
      <c r="X5584">
        <v>7</v>
      </c>
      <c r="Y5584" t="s">
        <v>25683</v>
      </c>
      <c r="Z5584" t="s">
        <v>32439</v>
      </c>
      <c r="AA5584">
        <v>0.69871431149720198</v>
      </c>
      <c r="AB5584" t="str">
        <f>HYPERLINK("Melting_Curves/meltCurve_Q9BY32_ITPA.pdf", "Melting_Curves/meltCurve_Q9BY32_ITPA.pdf")</f>
        <v>Melting_Curves/meltCurve_Q9BY32_ITPA.pdf</v>
      </c>
    </row>
    <row r="5585" spans="1:28" x14ac:dyDescent="0.25">
      <c r="A5585" t="s">
        <v>5589</v>
      </c>
      <c r="B5585">
        <v>0.995954080203443</v>
      </c>
      <c r="C5585">
        <v>0.99211356458752797</v>
      </c>
      <c r="D5585">
        <v>0.96128416719176701</v>
      </c>
      <c r="E5585">
        <v>0.61106219482118596</v>
      </c>
      <c r="F5585">
        <v>0.25082039856520899</v>
      </c>
      <c r="G5585">
        <v>0.15737136951281699</v>
      </c>
      <c r="H5585">
        <v>0.123579554831005</v>
      </c>
      <c r="I5585">
        <v>0.12500497863156301</v>
      </c>
      <c r="J5585">
        <v>0.15489782774493699</v>
      </c>
      <c r="K5585">
        <v>0.141860913803979</v>
      </c>
      <c r="L5585">
        <v>1782.5681004694</v>
      </c>
      <c r="M5585">
        <v>35.467930328824202</v>
      </c>
      <c r="N5585">
        <v>50.716032000933701</v>
      </c>
      <c r="O5585">
        <v>50.099622136547701</v>
      </c>
      <c r="P5585">
        <v>-0.15275933735387001</v>
      </c>
      <c r="Q5585">
        <v>0.13689247004671801</v>
      </c>
      <c r="R5585">
        <v>0.99934209454345402</v>
      </c>
      <c r="S5585" t="s">
        <v>12391</v>
      </c>
      <c r="T5585" t="s">
        <v>13610</v>
      </c>
      <c r="U5585" t="s">
        <v>13610</v>
      </c>
      <c r="V5585" t="s">
        <v>13610</v>
      </c>
      <c r="W5585" t="s">
        <v>19124</v>
      </c>
      <c r="X5585">
        <v>7</v>
      </c>
      <c r="Y5585" t="s">
        <v>25684</v>
      </c>
      <c r="Z5585" t="s">
        <v>32440</v>
      </c>
      <c r="AA5585">
        <v>0.43585758148808551</v>
      </c>
      <c r="AB5585" t="str">
        <f>HYPERLINK("Melting_Curves/meltCurve_Q9BY42_RTFDC1.pdf", "Melting_Curves/meltCurve_Q9BY42_RTFDC1.pdf")</f>
        <v>Melting_Curves/meltCurve_Q9BY42_RTFDC1.pdf</v>
      </c>
    </row>
    <row r="5586" spans="1:28" x14ac:dyDescent="0.25">
      <c r="A5586" t="s">
        <v>5590</v>
      </c>
      <c r="B5586">
        <v>0.995954080203443</v>
      </c>
      <c r="C5586">
        <v>0.97941273325446698</v>
      </c>
      <c r="D5586">
        <v>1.0642439668611401</v>
      </c>
      <c r="E5586">
        <v>0.89969566554301805</v>
      </c>
      <c r="F5586">
        <v>0.93333083170669295</v>
      </c>
      <c r="G5586">
        <v>0.77951306708131096</v>
      </c>
      <c r="H5586">
        <v>0.797636490958614</v>
      </c>
      <c r="I5586">
        <v>1.0300395536212399</v>
      </c>
      <c r="J5586">
        <v>1.1582075089471999</v>
      </c>
      <c r="K5586">
        <v>1.21755178988518</v>
      </c>
      <c r="L5586">
        <v>4891.0652675137399</v>
      </c>
      <c r="M5586">
        <v>74.005347097622803</v>
      </c>
      <c r="O5586">
        <v>66.042499413451395</v>
      </c>
      <c r="P5586">
        <v>6.1540672686539899E-2</v>
      </c>
      <c r="Q5586">
        <v>1.2196759396544601</v>
      </c>
      <c r="R5586">
        <v>0.393940388698716</v>
      </c>
      <c r="S5586" t="s">
        <v>12392</v>
      </c>
      <c r="T5586" t="s">
        <v>13610</v>
      </c>
      <c r="U5586" t="s">
        <v>13610</v>
      </c>
      <c r="V5586" t="s">
        <v>13610</v>
      </c>
      <c r="W5586" t="s">
        <v>19125</v>
      </c>
      <c r="X5586">
        <v>15</v>
      </c>
      <c r="Y5586" t="s">
        <v>25685</v>
      </c>
      <c r="Z5586" t="s">
        <v>32441</v>
      </c>
      <c r="AA5586">
        <v>1.0284547251870679</v>
      </c>
      <c r="AB5586" t="str">
        <f>HYPERLINK("Melting_Curves/meltCurve_Q9BY43_CHMP4A.pdf", "Melting_Curves/meltCurve_Q9BY43_CHMP4A.pdf")</f>
        <v>Melting_Curves/meltCurve_Q9BY43_CHMP4A.pdf</v>
      </c>
    </row>
    <row r="5587" spans="1:28" x14ac:dyDescent="0.25">
      <c r="A5587" t="s">
        <v>5591</v>
      </c>
      <c r="B5587">
        <v>0.995954080203443</v>
      </c>
      <c r="C5587">
        <v>1.0305613516374501</v>
      </c>
      <c r="D5587">
        <v>0.98432538867783903</v>
      </c>
      <c r="E5587">
        <v>0.83898585888190103</v>
      </c>
      <c r="F5587">
        <v>0.53917051160473795</v>
      </c>
      <c r="G5587">
        <v>0.194016917779718</v>
      </c>
      <c r="H5587">
        <v>0.14425151850491899</v>
      </c>
      <c r="I5587">
        <v>0.14283923306503599</v>
      </c>
      <c r="J5587">
        <v>0.196076192252713</v>
      </c>
      <c r="K5587">
        <v>0.17172569999075399</v>
      </c>
      <c r="L5587">
        <v>1664.23074485346</v>
      </c>
      <c r="M5587">
        <v>31.682302715298299</v>
      </c>
      <c r="N5587">
        <v>53.1563790605341</v>
      </c>
      <c r="O5587">
        <v>52.320776677594097</v>
      </c>
      <c r="P5587">
        <v>-0.127762583308451</v>
      </c>
      <c r="Q5587">
        <v>0.15604595311987199</v>
      </c>
      <c r="R5587">
        <v>0.99643939114578794</v>
      </c>
      <c r="S5587" t="s">
        <v>12393</v>
      </c>
      <c r="T5587" t="s">
        <v>13610</v>
      </c>
      <c r="U5587" t="s">
        <v>13610</v>
      </c>
      <c r="V5587" t="s">
        <v>13610</v>
      </c>
      <c r="W5587" t="s">
        <v>19126</v>
      </c>
      <c r="X5587">
        <v>24</v>
      </c>
      <c r="Y5587" t="s">
        <v>25686</v>
      </c>
      <c r="Z5587" t="s">
        <v>32442</v>
      </c>
      <c r="AA5587">
        <v>0.51338135072469615</v>
      </c>
      <c r="AB5587" t="str">
        <f>HYPERLINK("Melting_Curves/meltCurve_Q9BY44_EIF2A.pdf", "Melting_Curves/meltCurve_Q9BY44_EIF2A.pdf")</f>
        <v>Melting_Curves/meltCurve_Q9BY44_EIF2A.pdf</v>
      </c>
    </row>
    <row r="5588" spans="1:28" x14ac:dyDescent="0.25">
      <c r="A5588" t="s">
        <v>5592</v>
      </c>
      <c r="B5588">
        <v>0.995954080203443</v>
      </c>
      <c r="C5588">
        <v>0.95049865892434404</v>
      </c>
      <c r="D5588">
        <v>1.09325655691514</v>
      </c>
      <c r="E5588">
        <v>0.89528691124347703</v>
      </c>
      <c r="F5588">
        <v>1.07748702436821</v>
      </c>
      <c r="G5588">
        <v>0.82681456828157496</v>
      </c>
      <c r="H5588">
        <v>0.70425378474543998</v>
      </c>
      <c r="I5588">
        <v>0.72655908427141902</v>
      </c>
      <c r="J5588">
        <v>0.78776157024642202</v>
      </c>
      <c r="K5588">
        <v>0.71582280350446303</v>
      </c>
      <c r="L5588">
        <v>14214.6912673516</v>
      </c>
      <c r="M5588">
        <v>250</v>
      </c>
      <c r="O5588">
        <v>56.855126501556498</v>
      </c>
      <c r="P5588">
        <v>-0.29285034202219201</v>
      </c>
      <c r="Q5588">
        <v>0.733599308519994</v>
      </c>
      <c r="R5588">
        <v>0.83505607191077502</v>
      </c>
      <c r="S5588" t="s">
        <v>12394</v>
      </c>
      <c r="T5588" t="s">
        <v>13610</v>
      </c>
      <c r="U5588" t="s">
        <v>13610</v>
      </c>
      <c r="V5588" t="s">
        <v>13610</v>
      </c>
      <c r="W5588" t="s">
        <v>19127</v>
      </c>
      <c r="X5588">
        <v>14</v>
      </c>
      <c r="Y5588" t="s">
        <v>25687</v>
      </c>
      <c r="Z5588" t="s">
        <v>32443</v>
      </c>
      <c r="AA5588">
        <v>0.88333211404503043</v>
      </c>
      <c r="AB5588" t="str">
        <f>HYPERLINK("Melting_Curves/meltCurve_Q9BY77_POLDIP3.pdf", "Melting_Curves/meltCurve_Q9BY77_POLDIP3.pdf")</f>
        <v>Melting_Curves/meltCurve_Q9BY77_POLDIP3.pdf</v>
      </c>
    </row>
    <row r="5589" spans="1:28" x14ac:dyDescent="0.25">
      <c r="A5589" t="s">
        <v>5593</v>
      </c>
      <c r="B5589">
        <v>0.995954080203443</v>
      </c>
      <c r="C5589">
        <v>0.94669478238673499</v>
      </c>
      <c r="D5589">
        <v>0.91213024583571201</v>
      </c>
      <c r="E5589">
        <v>0.80746781396616796</v>
      </c>
      <c r="F5589">
        <v>0.73534824736268301</v>
      </c>
      <c r="G5589">
        <v>0.45648679773515299</v>
      </c>
      <c r="H5589">
        <v>0.24597430882775201</v>
      </c>
      <c r="I5589">
        <v>0.102266379681112</v>
      </c>
      <c r="J5589">
        <v>7.1766686082822898E-2</v>
      </c>
      <c r="K5589">
        <v>6.03350668612136E-2</v>
      </c>
      <c r="L5589">
        <v>797.32942427871603</v>
      </c>
      <c r="M5589">
        <v>14.227740564771</v>
      </c>
      <c r="N5589">
        <v>56.040480773094401</v>
      </c>
      <c r="O5589">
        <v>54.9682801027949</v>
      </c>
      <c r="P5589">
        <v>-6.4716933577183403E-2</v>
      </c>
      <c r="Q5589">
        <v>0</v>
      </c>
      <c r="R5589">
        <v>0.99293449437921999</v>
      </c>
      <c r="S5589" t="s">
        <v>12395</v>
      </c>
      <c r="T5589" t="s">
        <v>13610</v>
      </c>
      <c r="U5589" t="s">
        <v>13610</v>
      </c>
      <c r="V5589" t="s">
        <v>13610</v>
      </c>
      <c r="W5589" t="s">
        <v>19128</v>
      </c>
      <c r="X5589">
        <v>15</v>
      </c>
      <c r="Y5589" t="s">
        <v>25688</v>
      </c>
      <c r="Z5589" t="s">
        <v>32444</v>
      </c>
      <c r="AA5589">
        <v>0.55310436934478657</v>
      </c>
      <c r="AB5589" t="str">
        <f>HYPERLINK("Melting_Curves/meltCurve_Q9BYB4_GNB1L.pdf", "Melting_Curves/meltCurve_Q9BYB4_GNB1L.pdf")</f>
        <v>Melting_Curves/meltCurve_Q9BYB4_GNB1L.pdf</v>
      </c>
    </row>
    <row r="5590" spans="1:28" x14ac:dyDescent="0.25">
      <c r="A5590" t="s">
        <v>5594</v>
      </c>
      <c r="B5590">
        <v>0.995954080203443</v>
      </c>
      <c r="C5590">
        <v>0.878561923368949</v>
      </c>
      <c r="D5590">
        <v>0.850179756856278</v>
      </c>
      <c r="E5590">
        <v>0.73504091250242698</v>
      </c>
      <c r="F5590">
        <v>0.67475937375547801</v>
      </c>
      <c r="G5590">
        <v>0.45737868013417599</v>
      </c>
      <c r="H5590">
        <v>0.35178259113448002</v>
      </c>
      <c r="I5590">
        <v>0.350845033997985</v>
      </c>
      <c r="J5590">
        <v>0.41073218436546199</v>
      </c>
      <c r="K5590">
        <v>0.35648475612462999</v>
      </c>
      <c r="L5590">
        <v>572.192803195078</v>
      </c>
      <c r="M5590">
        <v>11.0295144747982</v>
      </c>
      <c r="N5590">
        <v>56.625224171113203</v>
      </c>
      <c r="O5590">
        <v>50.260463866933698</v>
      </c>
      <c r="P5590">
        <v>-3.8325199280491398E-2</v>
      </c>
      <c r="Q5590">
        <v>0.301655824422907</v>
      </c>
      <c r="R5590">
        <v>0.96873446429771204</v>
      </c>
      <c r="S5590" t="s">
        <v>12396</v>
      </c>
      <c r="T5590" t="s">
        <v>13610</v>
      </c>
      <c r="U5590" t="s">
        <v>13610</v>
      </c>
      <c r="V5590" t="s">
        <v>13610</v>
      </c>
      <c r="W5590" t="s">
        <v>19129</v>
      </c>
      <c r="X5590">
        <v>1</v>
      </c>
      <c r="Y5590" t="s">
        <v>25689</v>
      </c>
      <c r="Z5590" t="s">
        <v>32445</v>
      </c>
      <c r="AA5590">
        <v>0.6021139755974888</v>
      </c>
      <c r="AB5590" t="str">
        <f>HYPERLINK("Melting_Curves/meltCurve_Q9BYC8_MRPL32.pdf", "Melting_Curves/meltCurve_Q9BYC8_MRPL32.pdf")</f>
        <v>Melting_Curves/meltCurve_Q9BYC8_MRPL32.pdf</v>
      </c>
    </row>
    <row r="5591" spans="1:28" x14ac:dyDescent="0.25">
      <c r="A5591" t="s">
        <v>5595</v>
      </c>
      <c r="B5591">
        <v>0.995954080203443</v>
      </c>
      <c r="C5591">
        <v>0.64235755527659899</v>
      </c>
      <c r="D5591">
        <v>0.228600712166485</v>
      </c>
      <c r="E5591">
        <v>0.225501075156845</v>
      </c>
      <c r="F5591">
        <v>0.14585642053172901</v>
      </c>
      <c r="G5591">
        <v>8.0068458824723507E-2</v>
      </c>
      <c r="H5591">
        <v>6.0682696244829103E-2</v>
      </c>
      <c r="I5591">
        <v>5.1522343625838102E-2</v>
      </c>
      <c r="J5591">
        <v>6.7759323443771002E-2</v>
      </c>
      <c r="K5591">
        <v>5.4803516053889202E-2</v>
      </c>
      <c r="L5591">
        <v>1339.9506852355</v>
      </c>
      <c r="M5591">
        <v>30.742394448221201</v>
      </c>
      <c r="N5591">
        <v>43.878402506173998</v>
      </c>
      <c r="O5591">
        <v>43.403236568501903</v>
      </c>
      <c r="P5591">
        <v>-0.160695282528204</v>
      </c>
      <c r="Q5591">
        <v>9.2503619049100594E-2</v>
      </c>
      <c r="R5591">
        <v>0.97362756671936801</v>
      </c>
      <c r="S5591" t="s">
        <v>12397</v>
      </c>
      <c r="T5591" t="s">
        <v>13610</v>
      </c>
      <c r="U5591" t="s">
        <v>13610</v>
      </c>
      <c r="V5591" t="s">
        <v>13610</v>
      </c>
      <c r="W5591" t="s">
        <v>19130</v>
      </c>
      <c r="X5591">
        <v>3</v>
      </c>
      <c r="Y5591" t="s">
        <v>25690</v>
      </c>
      <c r="Z5591" t="s">
        <v>32446</v>
      </c>
      <c r="AA5591">
        <v>0.20775066503946529</v>
      </c>
      <c r="AB5591" t="str">
        <f>HYPERLINK("Melting_Curves/meltCurve_Q9BYD6_MRPL1.pdf", "Melting_Curves/meltCurve_Q9BYD6_MRPL1.pdf")</f>
        <v>Melting_Curves/meltCurve_Q9BYD6_MRPL1.pdf</v>
      </c>
    </row>
    <row r="5592" spans="1:28" x14ac:dyDescent="0.25">
      <c r="A5592" t="s">
        <v>5596</v>
      </c>
      <c r="B5592">
        <v>0.995954080203443</v>
      </c>
      <c r="C5592">
        <v>1.06008042384965</v>
      </c>
      <c r="D5592">
        <v>1.15250874882989</v>
      </c>
      <c r="E5592">
        <v>1.0600783163438301</v>
      </c>
      <c r="F5592">
        <v>1.05169837657089</v>
      </c>
      <c r="G5592">
        <v>0.90887227236920598</v>
      </c>
      <c r="H5592">
        <v>0.92981606631332103</v>
      </c>
      <c r="I5592">
        <v>0.91354414536980399</v>
      </c>
      <c r="J5592">
        <v>1.0739623070245401</v>
      </c>
      <c r="K5592">
        <v>1.1142225749346599</v>
      </c>
      <c r="L5592">
        <v>7.9605044034479304E-5</v>
      </c>
      <c r="M5592">
        <v>14.199446863696901</v>
      </c>
      <c r="Q5592">
        <v>1.02607373548169</v>
      </c>
      <c r="R5592">
        <v>-5.06261699229071E-14</v>
      </c>
      <c r="S5592" t="s">
        <v>12398</v>
      </c>
      <c r="T5592" t="s">
        <v>13610</v>
      </c>
      <c r="U5592" t="s">
        <v>13610</v>
      </c>
      <c r="V5592" t="s">
        <v>13610</v>
      </c>
      <c r="X5592">
        <v>13</v>
      </c>
      <c r="Z5592" t="s">
        <v>32447</v>
      </c>
      <c r="AA5592">
        <v>1.0260737177209041</v>
      </c>
      <c r="AB5592" t="str">
        <f>HYPERLINK("Melting_Curves/meltCurve_Q9BYE2_3_.pdf", "Melting_Curves/meltCurve_Q9BYE2_3_.pdf")</f>
        <v>Melting_Curves/meltCurve_Q9BYE2_3_.pdf</v>
      </c>
    </row>
    <row r="5593" spans="1:28" x14ac:dyDescent="0.25">
      <c r="A5593" t="s">
        <v>5597</v>
      </c>
      <c r="B5593">
        <v>0.995954080203443</v>
      </c>
      <c r="C5593">
        <v>0.939222957113658</v>
      </c>
      <c r="D5593">
        <v>0.86779105212934604</v>
      </c>
      <c r="E5593">
        <v>0.68977333904600502</v>
      </c>
      <c r="F5593">
        <v>0.47890797556227699</v>
      </c>
      <c r="G5593">
        <v>0.24101300036301501</v>
      </c>
      <c r="H5593">
        <v>0.16332644416737599</v>
      </c>
      <c r="I5593">
        <v>0.15274205496932999</v>
      </c>
      <c r="J5593">
        <v>0.169088011054153</v>
      </c>
      <c r="K5593">
        <v>0.154944707824619</v>
      </c>
      <c r="L5593">
        <v>863.13246591542497</v>
      </c>
      <c r="M5593">
        <v>16.770141047201101</v>
      </c>
      <c r="N5593">
        <v>52.393366454755203</v>
      </c>
      <c r="O5593">
        <v>50.753293938577997</v>
      </c>
      <c r="P5593">
        <v>-7.2026466687854299E-2</v>
      </c>
      <c r="Q5593">
        <v>0.128131220870395</v>
      </c>
      <c r="R5593">
        <v>0.99571766450699295</v>
      </c>
      <c r="S5593" t="s">
        <v>12399</v>
      </c>
      <c r="T5593" t="s">
        <v>13610</v>
      </c>
      <c r="U5593" t="s">
        <v>13610</v>
      </c>
      <c r="V5593" t="s">
        <v>13610</v>
      </c>
      <c r="W5593" t="s">
        <v>19131</v>
      </c>
      <c r="X5593">
        <v>7</v>
      </c>
      <c r="Y5593" t="s">
        <v>25691</v>
      </c>
      <c r="Z5593" t="s">
        <v>32448</v>
      </c>
      <c r="AA5593">
        <v>0.47794019974068802</v>
      </c>
      <c r="AB5593" t="str">
        <f>HYPERLINK("Melting_Curves/meltCurve_Q9BYE7_PCGF6.pdf", "Melting_Curves/meltCurve_Q9BYE7_PCGF6.pdf")</f>
        <v>Melting_Curves/meltCurve_Q9BYE7_PCGF6.pdf</v>
      </c>
    </row>
    <row r="5594" spans="1:28" x14ac:dyDescent="0.25">
      <c r="A5594" t="s">
        <v>5598</v>
      </c>
      <c r="B5594">
        <v>0.995954080203443</v>
      </c>
      <c r="C5594">
        <v>0.92752640763039795</v>
      </c>
      <c r="D5594">
        <v>0.79853973287135105</v>
      </c>
      <c r="E5594">
        <v>0.54647423483889601</v>
      </c>
      <c r="F5594">
        <v>0.412915729747103</v>
      </c>
      <c r="G5594">
        <v>0.282874310530218</v>
      </c>
      <c r="H5594">
        <v>0.23881587280761299</v>
      </c>
      <c r="I5594">
        <v>0.25301639574267798</v>
      </c>
      <c r="J5594">
        <v>0.27445231437941903</v>
      </c>
      <c r="K5594">
        <v>0.27363090824619102</v>
      </c>
      <c r="L5594">
        <v>850.48064885491101</v>
      </c>
      <c r="M5594">
        <v>17.448412114625398</v>
      </c>
      <c r="N5594">
        <v>50.733575252313997</v>
      </c>
      <c r="O5594">
        <v>48.1158518455143</v>
      </c>
      <c r="P5594">
        <v>-6.81887557323618E-2</v>
      </c>
      <c r="Q5594">
        <v>0.247890961741489</v>
      </c>
      <c r="R5594">
        <v>0.99646603816824897</v>
      </c>
      <c r="S5594" t="s">
        <v>12400</v>
      </c>
      <c r="T5594" t="s">
        <v>13610</v>
      </c>
      <c r="U5594" t="s">
        <v>13610</v>
      </c>
      <c r="V5594" t="s">
        <v>13610</v>
      </c>
      <c r="W5594" t="s">
        <v>19132</v>
      </c>
      <c r="X5594">
        <v>9</v>
      </c>
      <c r="Y5594" t="s">
        <v>25692</v>
      </c>
      <c r="Z5594" t="s">
        <v>32449</v>
      </c>
      <c r="AA5594">
        <v>0.48101034179639363</v>
      </c>
      <c r="AB5594" t="str">
        <f>HYPERLINK("Melting_Curves/meltCurve_Q9BYG3_MKI67IP.pdf", "Melting_Curves/meltCurve_Q9BYG3_MKI67IP.pdf")</f>
        <v>Melting_Curves/meltCurve_Q9BYG3_MKI67IP.pdf</v>
      </c>
    </row>
    <row r="5595" spans="1:28" x14ac:dyDescent="0.25">
      <c r="A5595" t="s">
        <v>5599</v>
      </c>
      <c r="B5595">
        <v>0.995954080203443</v>
      </c>
      <c r="C5595">
        <v>0.98414035391622001</v>
      </c>
      <c r="D5595">
        <v>0.91685696023061802</v>
      </c>
      <c r="E5595">
        <v>0.69924525360216805</v>
      </c>
      <c r="F5595">
        <v>0.50765286338077698</v>
      </c>
      <c r="G5595">
        <v>0.293973877188138</v>
      </c>
      <c r="H5595">
        <v>0.16310566097880899</v>
      </c>
      <c r="I5595">
        <v>0.16341305852754201</v>
      </c>
      <c r="J5595">
        <v>0.185217379910704</v>
      </c>
      <c r="K5595">
        <v>0.194532608052294</v>
      </c>
      <c r="L5595">
        <v>954.98710250117301</v>
      </c>
      <c r="M5595">
        <v>18.4530623021164</v>
      </c>
      <c r="N5595">
        <v>52.834685480209799</v>
      </c>
      <c r="O5595">
        <v>51.155940727887</v>
      </c>
      <c r="P5595">
        <v>-7.5988988515828595E-2</v>
      </c>
      <c r="Q5595">
        <v>0.15740504212421</v>
      </c>
      <c r="R5595">
        <v>0.99663772980932197</v>
      </c>
      <c r="S5595" t="s">
        <v>12401</v>
      </c>
      <c r="T5595" t="s">
        <v>13610</v>
      </c>
      <c r="U5595" t="s">
        <v>13610</v>
      </c>
      <c r="V5595" t="s">
        <v>13610</v>
      </c>
      <c r="W5595" t="s">
        <v>19133</v>
      </c>
      <c r="X5595">
        <v>6</v>
      </c>
      <c r="Y5595" t="s">
        <v>25693</v>
      </c>
      <c r="Z5595" t="s">
        <v>32450</v>
      </c>
      <c r="AA5595">
        <v>0.5009562025512817</v>
      </c>
      <c r="AB5595" t="str">
        <f>HYPERLINK("Melting_Curves/meltCurve_Q9BYG5_PARD6B.pdf", "Melting_Curves/meltCurve_Q9BYG5_PARD6B.pdf")</f>
        <v>Melting_Curves/meltCurve_Q9BYG5_PARD6B.pdf</v>
      </c>
    </row>
    <row r="5596" spans="1:28" x14ac:dyDescent="0.25">
      <c r="A5596" t="s">
        <v>5600</v>
      </c>
      <c r="B5596">
        <v>0.995954080203443</v>
      </c>
      <c r="C5596">
        <v>0.91007566950984098</v>
      </c>
      <c r="D5596">
        <v>0.81857611124227403</v>
      </c>
      <c r="E5596">
        <v>0.78875057631275203</v>
      </c>
      <c r="F5596">
        <v>0.76248139441423102</v>
      </c>
      <c r="G5596">
        <v>0.58095286265021295</v>
      </c>
      <c r="H5596">
        <v>0.57650773231599195</v>
      </c>
      <c r="I5596">
        <v>0.58605218472776699</v>
      </c>
      <c r="J5596">
        <v>0.68768175990149405</v>
      </c>
      <c r="K5596">
        <v>0.690886462150889</v>
      </c>
      <c r="L5596">
        <v>622.92597567281098</v>
      </c>
      <c r="M5596">
        <v>13.099886669273801</v>
      </c>
      <c r="O5596">
        <v>46.484842491238098</v>
      </c>
      <c r="P5596">
        <v>-2.6670644009876902E-2</v>
      </c>
      <c r="Q5596">
        <v>0.62150266530116705</v>
      </c>
      <c r="R5596">
        <v>0.85052704650808697</v>
      </c>
      <c r="S5596" t="s">
        <v>12402</v>
      </c>
      <c r="T5596" t="s">
        <v>13610</v>
      </c>
      <c r="U5596" t="s">
        <v>13610</v>
      </c>
      <c r="V5596" t="s">
        <v>13610</v>
      </c>
      <c r="W5596" t="s">
        <v>19134</v>
      </c>
      <c r="X5596">
        <v>3</v>
      </c>
      <c r="Y5596" t="s">
        <v>25694</v>
      </c>
      <c r="Z5596" t="s">
        <v>32451</v>
      </c>
      <c r="AA5596">
        <v>0.7297693141449545</v>
      </c>
      <c r="AB5596" t="str">
        <f>HYPERLINK("Melting_Curves/meltCurve_Q9BYI3_FAM126A.pdf", "Melting_Curves/meltCurve_Q9BYI3_FAM126A.pdf")</f>
        <v>Melting_Curves/meltCurve_Q9BYI3_FAM126A.pdf</v>
      </c>
    </row>
    <row r="5597" spans="1:28" x14ac:dyDescent="0.25">
      <c r="A5597" t="s">
        <v>5601</v>
      </c>
      <c r="B5597">
        <v>0.995954080203443</v>
      </c>
      <c r="C5597">
        <v>0.868921460265481</v>
      </c>
      <c r="D5597">
        <v>0.72877977361241697</v>
      </c>
      <c r="E5597">
        <v>0.47984303657458799</v>
      </c>
      <c r="F5597">
        <v>0.30228248542976799</v>
      </c>
      <c r="G5597">
        <v>0.17092774201409999</v>
      </c>
      <c r="H5597">
        <v>0.128797949113657</v>
      </c>
      <c r="I5597">
        <v>0.12851223312941101</v>
      </c>
      <c r="J5597">
        <v>0.14489922048957801</v>
      </c>
      <c r="K5597">
        <v>0.13194876430883701</v>
      </c>
      <c r="L5597">
        <v>744.49512050876604</v>
      </c>
      <c r="M5597">
        <v>15.336738399744901</v>
      </c>
      <c r="N5597">
        <v>49.350919014278901</v>
      </c>
      <c r="O5597">
        <v>47.7403978019859</v>
      </c>
      <c r="P5597">
        <v>-7.1405997551548195E-2</v>
      </c>
      <c r="Q5597">
        <v>0.110988277113829</v>
      </c>
      <c r="R5597">
        <v>0.99656920337987298</v>
      </c>
      <c r="S5597" t="s">
        <v>12403</v>
      </c>
      <c r="T5597" t="s">
        <v>13610</v>
      </c>
      <c r="U5597" t="s">
        <v>13610</v>
      </c>
      <c r="V5597" t="s">
        <v>13610</v>
      </c>
      <c r="W5597" t="s">
        <v>19135</v>
      </c>
      <c r="X5597">
        <v>19</v>
      </c>
      <c r="Y5597" t="s">
        <v>25695</v>
      </c>
      <c r="Z5597" t="s">
        <v>32452</v>
      </c>
      <c r="AA5597">
        <v>0.38555366020297432</v>
      </c>
      <c r="AB5597" t="str">
        <f>HYPERLINK("Melting_Curves/meltCurve_Q9BYM8_RBCK1.pdf", "Melting_Curves/meltCurve_Q9BYM8_RBCK1.pdf")</f>
        <v>Melting_Curves/meltCurve_Q9BYM8_RBCK1.pdf</v>
      </c>
    </row>
    <row r="5598" spans="1:28" x14ac:dyDescent="0.25">
      <c r="A5598" t="s">
        <v>5602</v>
      </c>
      <c r="B5598">
        <v>0.995954080203443</v>
      </c>
      <c r="C5598">
        <v>0.89997268331970204</v>
      </c>
      <c r="D5598">
        <v>0.76914616286789605</v>
      </c>
      <c r="E5598">
        <v>0.61774773187710497</v>
      </c>
      <c r="F5598">
        <v>0.37515380482452498</v>
      </c>
      <c r="G5598">
        <v>0.17586853405428299</v>
      </c>
      <c r="H5598">
        <v>0.13474767376445501</v>
      </c>
      <c r="I5598">
        <v>0.13156044098782099</v>
      </c>
      <c r="J5598">
        <v>0.13043028338672399</v>
      </c>
      <c r="K5598">
        <v>0.123160596389931</v>
      </c>
      <c r="L5598">
        <v>726.69192580187496</v>
      </c>
      <c r="M5598">
        <v>14.478610053455901</v>
      </c>
      <c r="N5598">
        <v>50.875375348394797</v>
      </c>
      <c r="O5598">
        <v>49.262428158980804</v>
      </c>
      <c r="P5598">
        <v>-6.6980657698430104E-2</v>
      </c>
      <c r="Q5598">
        <v>8.8518700339120598E-2</v>
      </c>
      <c r="R5598">
        <v>0.99112055973638602</v>
      </c>
      <c r="S5598" t="s">
        <v>12404</v>
      </c>
      <c r="T5598" t="s">
        <v>13610</v>
      </c>
      <c r="U5598" t="s">
        <v>13610</v>
      </c>
      <c r="V5598" t="s">
        <v>13610</v>
      </c>
      <c r="W5598" t="s">
        <v>19136</v>
      </c>
      <c r="X5598">
        <v>4</v>
      </c>
      <c r="Y5598" t="s">
        <v>25696</v>
      </c>
      <c r="Z5598" t="s">
        <v>32453</v>
      </c>
      <c r="AA5598">
        <v>0.42111058349010549</v>
      </c>
      <c r="AB5598" t="str">
        <f>HYPERLINK("Melting_Curves/meltCurve_Q9BYN0_SRXN1.pdf", "Melting_Curves/meltCurve_Q9BYN0_SRXN1.pdf")</f>
        <v>Melting_Curves/meltCurve_Q9BYN0_SRXN1.pdf</v>
      </c>
    </row>
    <row r="5599" spans="1:28" x14ac:dyDescent="0.25">
      <c r="A5599" t="s">
        <v>5603</v>
      </c>
      <c r="B5599">
        <v>0.995954080203443</v>
      </c>
      <c r="C5599">
        <v>1.02628748325223</v>
      </c>
      <c r="D5599">
        <v>0.97529064931007703</v>
      </c>
      <c r="E5599">
        <v>0.62666183109288598</v>
      </c>
      <c r="F5599">
        <v>0.31799456494375899</v>
      </c>
      <c r="G5599">
        <v>0.21484312295226701</v>
      </c>
      <c r="H5599">
        <v>0.112069689975329</v>
      </c>
      <c r="I5599">
        <v>7.3892292177276497E-2</v>
      </c>
      <c r="J5599">
        <v>8.0041809153677798E-2</v>
      </c>
      <c r="K5599">
        <v>6.9320404451872694E-2</v>
      </c>
      <c r="L5599">
        <v>1250.0040165314001</v>
      </c>
      <c r="M5599">
        <v>24.573741362907398</v>
      </c>
      <c r="N5599">
        <v>51.276898285203302</v>
      </c>
      <c r="O5599">
        <v>50.534182160429403</v>
      </c>
      <c r="P5599">
        <v>-0.110741814068231</v>
      </c>
      <c r="Q5599">
        <v>8.9081618148277794E-2</v>
      </c>
      <c r="R5599">
        <v>0.99444804195671799</v>
      </c>
      <c r="S5599" t="s">
        <v>12405</v>
      </c>
      <c r="T5599" t="s">
        <v>13610</v>
      </c>
      <c r="U5599" t="s">
        <v>13610</v>
      </c>
      <c r="V5599" t="s">
        <v>13610</v>
      </c>
      <c r="W5599" t="s">
        <v>19137</v>
      </c>
      <c r="X5599">
        <v>33</v>
      </c>
      <c r="Y5599" t="s">
        <v>25697</v>
      </c>
      <c r="Z5599" t="s">
        <v>32454</v>
      </c>
      <c r="AA5599">
        <v>0.42756141730148589</v>
      </c>
      <c r="AB5599" t="str">
        <f>HYPERLINK("Melting_Curves/meltCurve_Q9BYT8_NLN.pdf", "Melting_Curves/meltCurve_Q9BYT8_NLN.pdf")</f>
        <v>Melting_Curves/meltCurve_Q9BYT8_NLN.pdf</v>
      </c>
    </row>
    <row r="5600" spans="1:28" x14ac:dyDescent="0.25">
      <c r="A5600" t="s">
        <v>5604</v>
      </c>
      <c r="B5600">
        <v>0.995954080203443</v>
      </c>
      <c r="C5600">
        <v>1.02802280008108</v>
      </c>
      <c r="D5600">
        <v>0.88889189592290097</v>
      </c>
      <c r="E5600">
        <v>0.720763489887845</v>
      </c>
      <c r="F5600">
        <v>0.35532438924731802</v>
      </c>
      <c r="G5600">
        <v>0.15020714160752299</v>
      </c>
      <c r="H5600">
        <v>0.131732647128741</v>
      </c>
      <c r="I5600">
        <v>0.102767240007171</v>
      </c>
      <c r="J5600">
        <v>0.131822953017662</v>
      </c>
      <c r="K5600">
        <v>0.100796060717862</v>
      </c>
      <c r="L5600">
        <v>1348.2575072782699</v>
      </c>
      <c r="M5600">
        <v>26.322596171577501</v>
      </c>
      <c r="N5600">
        <v>51.696013012468804</v>
      </c>
      <c r="O5600">
        <v>50.927654216076597</v>
      </c>
      <c r="P5600">
        <v>-0.115324611516506</v>
      </c>
      <c r="Q5600">
        <v>0.107512417733009</v>
      </c>
      <c r="R5600">
        <v>0.99460446008504599</v>
      </c>
      <c r="S5600" t="s">
        <v>12406</v>
      </c>
      <c r="T5600" t="s">
        <v>13610</v>
      </c>
      <c r="U5600" t="s">
        <v>13610</v>
      </c>
      <c r="V5600" t="s">
        <v>13610</v>
      </c>
      <c r="W5600" t="s">
        <v>19138</v>
      </c>
      <c r="X5600">
        <v>3</v>
      </c>
      <c r="Y5600" t="s">
        <v>25698</v>
      </c>
      <c r="Z5600" t="s">
        <v>32455</v>
      </c>
      <c r="AA5600">
        <v>0.44862179995963908</v>
      </c>
      <c r="AB5600" t="str">
        <f>HYPERLINK("Melting_Curves/meltCurve_Q9BYV8_CEP41.pdf", "Melting_Curves/meltCurve_Q9BYV8_CEP41.pdf")</f>
        <v>Melting_Curves/meltCurve_Q9BYV8_CEP41.pdf</v>
      </c>
    </row>
    <row r="5601" spans="1:28" x14ac:dyDescent="0.25">
      <c r="A5601" t="s">
        <v>5605</v>
      </c>
      <c r="B5601">
        <v>0.995954080203443</v>
      </c>
      <c r="C5601">
        <v>0.78916510833894205</v>
      </c>
      <c r="D5601">
        <v>0.789193795066642</v>
      </c>
      <c r="E5601">
        <v>0.65339786179162795</v>
      </c>
      <c r="F5601">
        <v>0.58953147421980001</v>
      </c>
      <c r="G5601">
        <v>0.43434139502501101</v>
      </c>
      <c r="H5601">
        <v>0.416930107462266</v>
      </c>
      <c r="I5601">
        <v>0.528340454934906</v>
      </c>
      <c r="J5601">
        <v>0.64058838391140205</v>
      </c>
      <c r="K5601">
        <v>0.55980028337228005</v>
      </c>
      <c r="L5601">
        <v>685.65950698877998</v>
      </c>
      <c r="M5601">
        <v>14.9945151325976</v>
      </c>
      <c r="O5601">
        <v>44.937173627039698</v>
      </c>
      <c r="P5601">
        <v>-4.0313109966898499E-2</v>
      </c>
      <c r="Q5601">
        <v>0.51679044542286801</v>
      </c>
      <c r="R5601">
        <v>0.82057058387404302</v>
      </c>
      <c r="S5601" t="s">
        <v>12407</v>
      </c>
      <c r="T5601" t="s">
        <v>13610</v>
      </c>
      <c r="U5601" t="s">
        <v>13610</v>
      </c>
      <c r="V5601" t="s">
        <v>13610</v>
      </c>
      <c r="W5601" t="s">
        <v>19139</v>
      </c>
      <c r="X5601">
        <v>7</v>
      </c>
      <c r="Y5601" t="s">
        <v>25699</v>
      </c>
      <c r="Z5601" t="s">
        <v>32456</v>
      </c>
      <c r="AA5601">
        <v>0.62349978832516206</v>
      </c>
      <c r="AB5601" t="str">
        <f>HYPERLINK("Melting_Curves/meltCurve_Q9BYV9_BACH2.pdf", "Melting_Curves/meltCurve_Q9BYV9_BACH2.pdf")</f>
        <v>Melting_Curves/meltCurve_Q9BYV9_BACH2.pdf</v>
      </c>
    </row>
    <row r="5602" spans="1:28" x14ac:dyDescent="0.25">
      <c r="A5602" t="s">
        <v>5606</v>
      </c>
      <c r="B5602">
        <v>0.995954080203443</v>
      </c>
      <c r="C5602">
        <v>0.85956905448717302</v>
      </c>
      <c r="D5602">
        <v>0.90390211069252002</v>
      </c>
      <c r="E5602">
        <v>0.73463807502945</v>
      </c>
      <c r="F5602">
        <v>0.80997170338553204</v>
      </c>
      <c r="G5602">
        <v>0.62843287941924697</v>
      </c>
      <c r="H5602">
        <v>0.60020010132649504</v>
      </c>
      <c r="I5602">
        <v>0.70300940171377702</v>
      </c>
      <c r="J5602">
        <v>0.89267639836935597</v>
      </c>
      <c r="K5602">
        <v>0.82585542551792601</v>
      </c>
      <c r="L5602">
        <v>795.87762112719099</v>
      </c>
      <c r="M5602">
        <v>17.742946481453199</v>
      </c>
      <c r="O5602">
        <v>44.297843361344199</v>
      </c>
      <c r="P5602">
        <v>-2.6326312714600002E-2</v>
      </c>
      <c r="Q5602">
        <v>0.73710387210915596</v>
      </c>
      <c r="R5602">
        <v>0.45881712583171702</v>
      </c>
      <c r="S5602" t="s">
        <v>12408</v>
      </c>
      <c r="T5602" t="s">
        <v>13610</v>
      </c>
      <c r="U5602" t="s">
        <v>13610</v>
      </c>
      <c r="V5602" t="s">
        <v>13610</v>
      </c>
      <c r="W5602" t="s">
        <v>19140</v>
      </c>
      <c r="X5602">
        <v>48</v>
      </c>
      <c r="Y5602" t="s">
        <v>25700</v>
      </c>
      <c r="Z5602" t="s">
        <v>32457</v>
      </c>
      <c r="AA5602">
        <v>0.78561293067128157</v>
      </c>
      <c r="AB5602" t="str">
        <f>HYPERLINK("Melting_Curves/meltCurve_Q9BYW2_SETD2.pdf", "Melting_Curves/meltCurve_Q9BYW2_SETD2.pdf")</f>
        <v>Melting_Curves/meltCurve_Q9BYW2_SETD2.pdf</v>
      </c>
    </row>
    <row r="5603" spans="1:28" x14ac:dyDescent="0.25">
      <c r="A5603" t="s">
        <v>5607</v>
      </c>
      <c r="B5603">
        <v>0.995954080203443</v>
      </c>
      <c r="C5603">
        <v>0.973774978150591</v>
      </c>
      <c r="D5603">
        <v>0.81744780008928797</v>
      </c>
      <c r="E5603">
        <v>0.44741497976545402</v>
      </c>
      <c r="F5603">
        <v>0.28175869929758202</v>
      </c>
      <c r="G5603">
        <v>0.15311179764824301</v>
      </c>
      <c r="H5603">
        <v>0.110204945162688</v>
      </c>
      <c r="I5603">
        <v>9.84818256593019E-2</v>
      </c>
      <c r="J5603">
        <v>8.1841793070372301E-2</v>
      </c>
      <c r="K5603">
        <v>8.5551468653282406E-2</v>
      </c>
      <c r="L5603">
        <v>979.44711892209102</v>
      </c>
      <c r="M5603">
        <v>19.927183335476901</v>
      </c>
      <c r="N5603">
        <v>49.638989100700698</v>
      </c>
      <c r="O5603">
        <v>48.664351333881001</v>
      </c>
      <c r="P5603">
        <v>-9.3272714318107297E-2</v>
      </c>
      <c r="Q5603">
        <v>8.8901605387321697E-2</v>
      </c>
      <c r="R5603">
        <v>0.99882191700959999</v>
      </c>
      <c r="S5603" t="s">
        <v>12409</v>
      </c>
      <c r="T5603" t="s">
        <v>13610</v>
      </c>
      <c r="U5603" t="s">
        <v>13610</v>
      </c>
      <c r="V5603" t="s">
        <v>13610</v>
      </c>
      <c r="W5603" t="s">
        <v>19141</v>
      </c>
      <c r="X5603">
        <v>1</v>
      </c>
      <c r="Y5603" t="s">
        <v>25701</v>
      </c>
      <c r="Z5603" t="s">
        <v>32458</v>
      </c>
      <c r="AA5603">
        <v>0.37966608143328251</v>
      </c>
      <c r="AB5603" t="str">
        <f>HYPERLINK("Melting_Curves/meltCurve_Q9BYX4_2_IFIH1.pdf", "Melting_Curves/meltCurve_Q9BYX4_2_IFIH1.pdf")</f>
        <v>Melting_Curves/meltCurve_Q9BYX4_2_IFIH1.pdf</v>
      </c>
    </row>
    <row r="5604" spans="1:28" x14ac:dyDescent="0.25">
      <c r="A5604" t="s">
        <v>5608</v>
      </c>
      <c r="B5604">
        <v>0.995954080203443</v>
      </c>
      <c r="C5604">
        <v>0.800021904213571</v>
      </c>
      <c r="D5604">
        <v>0.56291160564712295</v>
      </c>
      <c r="E5604">
        <v>0.59684165004979095</v>
      </c>
      <c r="F5604">
        <v>0.19581347978428701</v>
      </c>
      <c r="G5604">
        <v>0.10946479186571299</v>
      </c>
      <c r="H5604">
        <v>7.3190682853154901E-2</v>
      </c>
      <c r="I5604">
        <v>5.4737710076596301E-2</v>
      </c>
      <c r="J5604">
        <v>6.7573996210052806E-2</v>
      </c>
      <c r="K5604">
        <v>5.07786903731762E-2</v>
      </c>
      <c r="L5604">
        <v>574.78400697127995</v>
      </c>
      <c r="M5604">
        <v>11.8295499803473</v>
      </c>
      <c r="N5604">
        <v>48.631194778582902</v>
      </c>
      <c r="O5604">
        <v>47.262687339789402</v>
      </c>
      <c r="P5604">
        <v>-6.2268500651449003E-2</v>
      </c>
      <c r="Q5604">
        <v>5.12601678650354E-3</v>
      </c>
      <c r="R5604">
        <v>0.95081869128158303</v>
      </c>
      <c r="S5604" t="s">
        <v>12410</v>
      </c>
      <c r="T5604" t="s">
        <v>13610</v>
      </c>
      <c r="U5604" t="s">
        <v>13610</v>
      </c>
      <c r="V5604" t="s">
        <v>13610</v>
      </c>
      <c r="W5604" t="s">
        <v>19142</v>
      </c>
      <c r="X5604">
        <v>7</v>
      </c>
      <c r="Y5604" t="s">
        <v>25702</v>
      </c>
      <c r="Z5604" t="s">
        <v>32459</v>
      </c>
      <c r="AA5604">
        <v>0.32836609641676479</v>
      </c>
      <c r="AB5604" t="str">
        <f>HYPERLINK("Melting_Curves/meltCurve_Q9BZ29_3_DOCK9.pdf", "Melting_Curves/meltCurve_Q9BZ29_3_DOCK9.pdf")</f>
        <v>Melting_Curves/meltCurve_Q9BZ29_3_DOCK9.pdf</v>
      </c>
    </row>
    <row r="5605" spans="1:28" x14ac:dyDescent="0.25">
      <c r="A5605" t="s">
        <v>5609</v>
      </c>
      <c r="B5605">
        <v>0.995954080203443</v>
      </c>
      <c r="C5605">
        <v>0.95742287768661505</v>
      </c>
      <c r="D5605">
        <v>0.93891520052895205</v>
      </c>
      <c r="E5605">
        <v>0.83382250964225102</v>
      </c>
      <c r="F5605">
        <v>0.74805289221398497</v>
      </c>
      <c r="G5605">
        <v>0.55435122215133503</v>
      </c>
      <c r="H5605">
        <v>0.49869045258688499</v>
      </c>
      <c r="I5605">
        <v>0.59141651924266103</v>
      </c>
      <c r="J5605">
        <v>0.69781051705366703</v>
      </c>
      <c r="K5605">
        <v>0.66074595470750896</v>
      </c>
      <c r="L5605">
        <v>1250.48025887994</v>
      </c>
      <c r="M5605">
        <v>24.6547260719299</v>
      </c>
      <c r="O5605">
        <v>50.389550799310499</v>
      </c>
      <c r="P5605">
        <v>-4.8835142302693403E-2</v>
      </c>
      <c r="Q5605">
        <v>0.60076685755812098</v>
      </c>
      <c r="R5605">
        <v>0.87952308081529595</v>
      </c>
      <c r="S5605" t="s">
        <v>12411</v>
      </c>
      <c r="T5605" t="s">
        <v>13610</v>
      </c>
      <c r="U5605" t="s">
        <v>13610</v>
      </c>
      <c r="V5605" t="s">
        <v>13610</v>
      </c>
      <c r="W5605" t="s">
        <v>19143</v>
      </c>
      <c r="X5605">
        <v>8</v>
      </c>
      <c r="Y5605" t="s">
        <v>25703</v>
      </c>
      <c r="Z5605" t="s">
        <v>32460</v>
      </c>
      <c r="AA5605">
        <v>0.7471180423783913</v>
      </c>
      <c r="AB5605" t="str">
        <f>HYPERLINK("Melting_Curves/meltCurve_Q9BZ95_4_WHSC1L1.pdf", "Melting_Curves/meltCurve_Q9BZ95_4_WHSC1L1.pdf")</f>
        <v>Melting_Curves/meltCurve_Q9BZ95_4_WHSC1L1.pdf</v>
      </c>
    </row>
    <row r="5606" spans="1:28" x14ac:dyDescent="0.25">
      <c r="A5606" t="s">
        <v>5610</v>
      </c>
      <c r="B5606">
        <v>0.995954080203443</v>
      </c>
      <c r="C5606">
        <v>1.0384015467818599</v>
      </c>
      <c r="D5606">
        <v>0.58327707031071596</v>
      </c>
      <c r="E5606">
        <v>0.45888276022430602</v>
      </c>
      <c r="F5606">
        <v>0.296183514525453</v>
      </c>
      <c r="G5606">
        <v>0.166195811860822</v>
      </c>
      <c r="H5606">
        <v>8.3514626051784294E-2</v>
      </c>
      <c r="I5606">
        <v>7.0006291791289199E-2</v>
      </c>
      <c r="J5606">
        <v>0.106528264587143</v>
      </c>
      <c r="K5606">
        <v>0.10207781557755199</v>
      </c>
      <c r="L5606">
        <v>778.15181341179198</v>
      </c>
      <c r="M5606">
        <v>16.099713866046901</v>
      </c>
      <c r="N5606">
        <v>48.888127076436298</v>
      </c>
      <c r="O5606">
        <v>47.606025426807399</v>
      </c>
      <c r="P5606">
        <v>-7.7492823364461005E-2</v>
      </c>
      <c r="Q5606">
        <v>8.3501064339333297E-2</v>
      </c>
      <c r="R5606">
        <v>0.96412300572903797</v>
      </c>
      <c r="S5606" t="s">
        <v>12412</v>
      </c>
      <c r="T5606" t="s">
        <v>13610</v>
      </c>
      <c r="U5606" t="s">
        <v>13610</v>
      </c>
      <c r="V5606" t="s">
        <v>13610</v>
      </c>
      <c r="W5606" t="s">
        <v>19144</v>
      </c>
      <c r="X5606">
        <v>9</v>
      </c>
      <c r="Y5606" t="s">
        <v>25704</v>
      </c>
      <c r="Z5606" t="s">
        <v>32461</v>
      </c>
      <c r="AA5606">
        <v>0.3582864166111967</v>
      </c>
      <c r="AB5606" t="str">
        <f>HYPERLINK("Melting_Curves/meltCurve_Q9BZD4_NUF2.pdf", "Melting_Curves/meltCurve_Q9BZD4_NUF2.pdf")</f>
        <v>Melting_Curves/meltCurve_Q9BZD4_NUF2.pdf</v>
      </c>
    </row>
    <row r="5607" spans="1:28" x14ac:dyDescent="0.25">
      <c r="A5607" t="s">
        <v>5611</v>
      </c>
      <c r="B5607">
        <v>0.995954080203443</v>
      </c>
      <c r="C5607">
        <v>0.877164285397254</v>
      </c>
      <c r="D5607">
        <v>0.82661037248871605</v>
      </c>
      <c r="E5607">
        <v>0.71487737192302103</v>
      </c>
      <c r="F5607">
        <v>0.33842461268242802</v>
      </c>
      <c r="G5607">
        <v>0.20949108294194099</v>
      </c>
      <c r="H5607">
        <v>0.18315455910120501</v>
      </c>
      <c r="I5607">
        <v>0.191207017000215</v>
      </c>
      <c r="J5607">
        <v>0.24329521775239599</v>
      </c>
      <c r="K5607">
        <v>0.22082333907787499</v>
      </c>
      <c r="L5607">
        <v>1004.49966818267</v>
      </c>
      <c r="M5607">
        <v>20.000454644760701</v>
      </c>
      <c r="N5607">
        <v>51.427818930573203</v>
      </c>
      <c r="O5607">
        <v>49.729838708496104</v>
      </c>
      <c r="P5607">
        <v>-8.1751666348174198E-2</v>
      </c>
      <c r="Q5607">
        <v>0.186945512971744</v>
      </c>
      <c r="R5607">
        <v>0.96566825417435698</v>
      </c>
      <c r="S5607" t="s">
        <v>12413</v>
      </c>
      <c r="T5607" t="s">
        <v>13610</v>
      </c>
      <c r="U5607" t="s">
        <v>13610</v>
      </c>
      <c r="V5607" t="s">
        <v>13610</v>
      </c>
      <c r="W5607" t="s">
        <v>19145</v>
      </c>
      <c r="X5607">
        <v>16</v>
      </c>
      <c r="Y5607" t="s">
        <v>25705</v>
      </c>
      <c r="Z5607" t="s">
        <v>32462</v>
      </c>
      <c r="AA5607">
        <v>0.47533958248036601</v>
      </c>
      <c r="AB5607" t="str">
        <f>HYPERLINK("Melting_Curves/meltCurve_Q9BZE2_PUS3.pdf", "Melting_Curves/meltCurve_Q9BZE2_PUS3.pdf")</f>
        <v>Melting_Curves/meltCurve_Q9BZE2_PUS3.pdf</v>
      </c>
    </row>
    <row r="5608" spans="1:28" x14ac:dyDescent="0.25">
      <c r="A5608" t="s">
        <v>5612</v>
      </c>
      <c r="B5608">
        <v>0.995954080203443</v>
      </c>
      <c r="C5608">
        <v>0.905858914283586</v>
      </c>
      <c r="D5608">
        <v>0.94773848350352297</v>
      </c>
      <c r="E5608">
        <v>0.81630794974320597</v>
      </c>
      <c r="F5608">
        <v>0.60443017483450701</v>
      </c>
      <c r="G5608">
        <v>0.32856710935870298</v>
      </c>
      <c r="H5608">
        <v>0.225970126790731</v>
      </c>
      <c r="I5608">
        <v>0.23699232642569201</v>
      </c>
      <c r="J5608">
        <v>0.26475301350790398</v>
      </c>
      <c r="K5608">
        <v>0.28643904702765699</v>
      </c>
      <c r="L5608">
        <v>1240.9123337539399</v>
      </c>
      <c r="M5608">
        <v>23.627395680387099</v>
      </c>
      <c r="N5608">
        <v>54.032194246288903</v>
      </c>
      <c r="O5608">
        <v>52.148179936027603</v>
      </c>
      <c r="P5608">
        <v>-8.5872700292338094E-2</v>
      </c>
      <c r="Q5608">
        <v>0.241891948868869</v>
      </c>
      <c r="R5608">
        <v>0.98539452179215203</v>
      </c>
      <c r="S5608" t="s">
        <v>12414</v>
      </c>
      <c r="T5608" t="s">
        <v>13610</v>
      </c>
      <c r="U5608" t="s">
        <v>13610</v>
      </c>
      <c r="V5608" t="s">
        <v>13610</v>
      </c>
      <c r="W5608" t="s">
        <v>19146</v>
      </c>
      <c r="X5608">
        <v>22</v>
      </c>
      <c r="Y5608" t="s">
        <v>25706</v>
      </c>
      <c r="Z5608" t="s">
        <v>32463</v>
      </c>
      <c r="AA5608">
        <v>0.56601255256369398</v>
      </c>
      <c r="AB5608" t="str">
        <f>HYPERLINK("Melting_Curves/meltCurve_Q9BZE9_ASPSCR1.pdf", "Melting_Curves/meltCurve_Q9BZE9_ASPSCR1.pdf")</f>
        <v>Melting_Curves/meltCurve_Q9BZE9_ASPSCR1.pdf</v>
      </c>
    </row>
    <row r="5609" spans="1:28" x14ac:dyDescent="0.25">
      <c r="A5609" t="s">
        <v>5613</v>
      </c>
      <c r="B5609">
        <v>0.995954080203443</v>
      </c>
      <c r="C5609">
        <v>0.97442945263914005</v>
      </c>
      <c r="D5609">
        <v>0.75762386216962796</v>
      </c>
      <c r="E5609">
        <v>0.53302803244326702</v>
      </c>
      <c r="F5609">
        <v>0.44698897233130302</v>
      </c>
      <c r="G5609">
        <v>0.344669795211756</v>
      </c>
      <c r="H5609">
        <v>0.32971094561627301</v>
      </c>
      <c r="I5609">
        <v>0.38449799674878898</v>
      </c>
      <c r="J5609">
        <v>0.51105898987055098</v>
      </c>
      <c r="K5609">
        <v>0.46281763997825198</v>
      </c>
      <c r="L5609">
        <v>1205.18300255432</v>
      </c>
      <c r="M5609">
        <v>25.6963970734556</v>
      </c>
      <c r="N5609">
        <v>50.241565462868401</v>
      </c>
      <c r="O5609">
        <v>46.619561960804397</v>
      </c>
      <c r="P5609">
        <v>-8.1378780051701197E-2</v>
      </c>
      <c r="Q5609">
        <v>0.40944275542346198</v>
      </c>
      <c r="R5609">
        <v>0.95130048765194597</v>
      </c>
      <c r="S5609" t="s">
        <v>12415</v>
      </c>
      <c r="T5609" t="s">
        <v>13610</v>
      </c>
      <c r="U5609" t="s">
        <v>13610</v>
      </c>
      <c r="V5609" t="s">
        <v>13610</v>
      </c>
      <c r="W5609" t="s">
        <v>19147</v>
      </c>
      <c r="X5609">
        <v>15</v>
      </c>
      <c r="Y5609" t="s">
        <v>25707</v>
      </c>
      <c r="Z5609" t="s">
        <v>32464</v>
      </c>
      <c r="AA5609">
        <v>0.55025983055579275</v>
      </c>
      <c r="AB5609" t="str">
        <f>HYPERLINK("Melting_Curves/meltCurve_Q9BZF1_3_OSBPL8.pdf", "Melting_Curves/meltCurve_Q9BZF1_3_OSBPL8.pdf")</f>
        <v>Melting_Curves/meltCurve_Q9BZF1_3_OSBPL8.pdf</v>
      </c>
    </row>
    <row r="5610" spans="1:28" x14ac:dyDescent="0.25">
      <c r="A5610" t="s">
        <v>5614</v>
      </c>
      <c r="B5610">
        <v>0.995954080203443</v>
      </c>
      <c r="C5610">
        <v>0.59505023377814203</v>
      </c>
      <c r="D5610">
        <v>0.45249787281116999</v>
      </c>
      <c r="E5610">
        <v>0.31512522468144599</v>
      </c>
      <c r="F5610">
        <v>0.31845142447928898</v>
      </c>
      <c r="G5610">
        <v>0.19810603148197201</v>
      </c>
      <c r="H5610">
        <v>0.119151000974334</v>
      </c>
      <c r="I5610">
        <v>0.14581732582876999</v>
      </c>
      <c r="J5610">
        <v>6.2446281951746598E-2</v>
      </c>
      <c r="K5610">
        <v>0</v>
      </c>
      <c r="L5610">
        <v>498.85259495757299</v>
      </c>
      <c r="M5610">
        <v>10.9147844440048</v>
      </c>
      <c r="N5610">
        <v>46.258951985427402</v>
      </c>
      <c r="O5610">
        <v>44.2504139657701</v>
      </c>
      <c r="P5610">
        <v>-5.7902828526881701E-2</v>
      </c>
      <c r="Q5610">
        <v>6.1333952734892998E-2</v>
      </c>
      <c r="R5610">
        <v>0.92898754090215496</v>
      </c>
      <c r="S5610" t="s">
        <v>12416</v>
      </c>
      <c r="T5610" t="s">
        <v>13610</v>
      </c>
      <c r="U5610" t="s">
        <v>13610</v>
      </c>
      <c r="V5610" t="s">
        <v>13610</v>
      </c>
      <c r="W5610" t="s">
        <v>19148</v>
      </c>
      <c r="X5610">
        <v>2</v>
      </c>
      <c r="Y5610" t="s">
        <v>25708</v>
      </c>
      <c r="Z5610" t="s">
        <v>32465</v>
      </c>
      <c r="AA5610">
        <v>0.29183314647131148</v>
      </c>
      <c r="AB5610" t="str">
        <f>HYPERLINK("Melting_Curves/meltCurve_Q9BZF2_OSBPL7.pdf", "Melting_Curves/meltCurve_Q9BZF2_OSBPL7.pdf")</f>
        <v>Melting_Curves/meltCurve_Q9BZF2_OSBPL7.pdf</v>
      </c>
    </row>
    <row r="5611" spans="1:28" x14ac:dyDescent="0.25">
      <c r="A5611" t="s">
        <v>5615</v>
      </c>
      <c r="B5611">
        <v>0.995954080203443</v>
      </c>
      <c r="C5611">
        <v>0.83051643807493203</v>
      </c>
      <c r="D5611">
        <v>0.62822567587849698</v>
      </c>
      <c r="E5611">
        <v>0.43009178523093999</v>
      </c>
      <c r="F5611">
        <v>0.197624143124844</v>
      </c>
      <c r="G5611">
        <v>0.15156416951176899</v>
      </c>
      <c r="H5611">
        <v>9.9610082130663496E-2</v>
      </c>
      <c r="I5611">
        <v>0.147914807076657</v>
      </c>
      <c r="J5611">
        <v>0.13025524708469499</v>
      </c>
      <c r="K5611">
        <v>0.159899240178975</v>
      </c>
      <c r="L5611">
        <v>773.95802257583</v>
      </c>
      <c r="M5611">
        <v>16.4193661903691</v>
      </c>
      <c r="N5611">
        <v>47.932646832195601</v>
      </c>
      <c r="O5611">
        <v>46.454322805424901</v>
      </c>
      <c r="P5611">
        <v>-7.78273544701963E-2</v>
      </c>
      <c r="Q5611">
        <v>0.11929302566201901</v>
      </c>
      <c r="R5611">
        <v>0.98750339985754099</v>
      </c>
      <c r="S5611" t="s">
        <v>12417</v>
      </c>
      <c r="T5611" t="s">
        <v>13610</v>
      </c>
      <c r="U5611" t="s">
        <v>13610</v>
      </c>
      <c r="V5611" t="s">
        <v>13610</v>
      </c>
      <c r="W5611" t="s">
        <v>19149</v>
      </c>
      <c r="X5611">
        <v>6</v>
      </c>
      <c r="Y5611" t="s">
        <v>25709</v>
      </c>
      <c r="Z5611" t="s">
        <v>32466</v>
      </c>
      <c r="AA5611">
        <v>0.34846539436886681</v>
      </c>
      <c r="AB5611" t="str">
        <f>HYPERLINK("Melting_Curves/meltCurve_Q9BZF3_2_OSBPL6.pdf", "Melting_Curves/meltCurve_Q9BZF3_2_OSBPL6.pdf")</f>
        <v>Melting_Curves/meltCurve_Q9BZF3_2_OSBPL6.pdf</v>
      </c>
    </row>
    <row r="5612" spans="1:28" x14ac:dyDescent="0.25">
      <c r="A5612" t="s">
        <v>5616</v>
      </c>
      <c r="B5612">
        <v>0.995954080203443</v>
      </c>
      <c r="C5612">
        <v>0.87689507277576295</v>
      </c>
      <c r="D5612">
        <v>0.69843671491100701</v>
      </c>
      <c r="E5612">
        <v>0.97406715666961396</v>
      </c>
      <c r="F5612">
        <v>0.57048173531899105</v>
      </c>
      <c r="G5612">
        <v>0.30567207628253501</v>
      </c>
      <c r="H5612">
        <v>0.12558770460025101</v>
      </c>
      <c r="I5612">
        <v>9.4280989584252406E-2</v>
      </c>
      <c r="J5612">
        <v>0.100443843319099</v>
      </c>
      <c r="K5612">
        <v>8.9863645316920704E-2</v>
      </c>
      <c r="L5612">
        <v>1011.17969030592</v>
      </c>
      <c r="M5612">
        <v>18.747433253775998</v>
      </c>
      <c r="N5612">
        <v>54.293793501926601</v>
      </c>
      <c r="O5612">
        <v>53.3345112341731</v>
      </c>
      <c r="P5612">
        <v>-8.2786831280818596E-2</v>
      </c>
      <c r="Q5612">
        <v>5.7959653436891002E-2</v>
      </c>
      <c r="R5612">
        <v>0.91747342941296695</v>
      </c>
      <c r="S5612" t="s">
        <v>12418</v>
      </c>
      <c r="T5612" t="s">
        <v>13610</v>
      </c>
      <c r="U5612" t="s">
        <v>13610</v>
      </c>
      <c r="V5612" t="s">
        <v>13610</v>
      </c>
      <c r="W5612" t="s">
        <v>19150</v>
      </c>
      <c r="X5612">
        <v>18</v>
      </c>
      <c r="Y5612" t="s">
        <v>25710</v>
      </c>
      <c r="Z5612" t="s">
        <v>32467</v>
      </c>
      <c r="AA5612">
        <v>0.50979396661500787</v>
      </c>
      <c r="AB5612" t="str">
        <f>HYPERLINK("Melting_Curves/meltCurve_Q9BZH6_WDR11.pdf", "Melting_Curves/meltCurve_Q9BZH6_WDR11.pdf")</f>
        <v>Melting_Curves/meltCurve_Q9BZH6_WDR11.pdf</v>
      </c>
    </row>
    <row r="5613" spans="1:28" x14ac:dyDescent="0.25">
      <c r="A5613" t="s">
        <v>5617</v>
      </c>
      <c r="B5613">
        <v>0.995954080203443</v>
      </c>
      <c r="C5613">
        <v>0.96438906352360498</v>
      </c>
      <c r="D5613">
        <v>1.0359186089783099</v>
      </c>
      <c r="E5613">
        <v>0.90793501304820801</v>
      </c>
      <c r="F5613">
        <v>0.874938892749063</v>
      </c>
      <c r="G5613">
        <v>0.69596193292490605</v>
      </c>
      <c r="H5613">
        <v>0.72443617599314003</v>
      </c>
      <c r="I5613">
        <v>1.0019617090097499</v>
      </c>
      <c r="J5613">
        <v>1.1783345689562399</v>
      </c>
      <c r="K5613">
        <v>1.2175083814479899</v>
      </c>
      <c r="L5613">
        <v>9275.9498793425191</v>
      </c>
      <c r="M5613">
        <v>139.959979707607</v>
      </c>
      <c r="O5613">
        <v>66.262201658736601</v>
      </c>
      <c r="P5613">
        <v>0.11491907202523199</v>
      </c>
      <c r="Q5613">
        <v>1.2176276569126701</v>
      </c>
      <c r="R5613">
        <v>0.24383741158814401</v>
      </c>
      <c r="S5613" t="s">
        <v>12419</v>
      </c>
      <c r="T5613" t="s">
        <v>13610</v>
      </c>
      <c r="U5613" t="s">
        <v>13610</v>
      </c>
      <c r="V5613" t="s">
        <v>13610</v>
      </c>
      <c r="W5613" t="s">
        <v>19151</v>
      </c>
      <c r="X5613">
        <v>23</v>
      </c>
      <c r="Y5613" t="s">
        <v>25711</v>
      </c>
      <c r="Z5613" t="s">
        <v>32468</v>
      </c>
      <c r="AA5613">
        <v>1.026938269855896</v>
      </c>
      <c r="AB5613" t="str">
        <f>HYPERLINK("Melting_Curves/meltCurve_Q9BZI7_2_UPF3B.pdf", "Melting_Curves/meltCurve_Q9BZI7_2_UPF3B.pdf")</f>
        <v>Melting_Curves/meltCurve_Q9BZI7_2_UPF3B.pdf</v>
      </c>
    </row>
    <row r="5614" spans="1:28" x14ac:dyDescent="0.25">
      <c r="A5614" t="s">
        <v>5618</v>
      </c>
      <c r="B5614">
        <v>0.995954080203443</v>
      </c>
      <c r="C5614">
        <v>1.02675417458156</v>
      </c>
      <c r="D5614">
        <v>0.85692733976392799</v>
      </c>
      <c r="E5614">
        <v>0.44458375833318198</v>
      </c>
      <c r="F5614">
        <v>0.319850503810713</v>
      </c>
      <c r="G5614">
        <v>0.150068901134389</v>
      </c>
      <c r="H5614">
        <v>0.121797009791578</v>
      </c>
      <c r="I5614">
        <v>0.17377208884091999</v>
      </c>
      <c r="J5614">
        <v>5.6663114810628398E-2</v>
      </c>
      <c r="K5614">
        <v>0.141601400072314</v>
      </c>
      <c r="L5614">
        <v>1124.55626937897</v>
      </c>
      <c r="M5614">
        <v>22.850840750638501</v>
      </c>
      <c r="N5614">
        <v>49.827589458089101</v>
      </c>
      <c r="O5614">
        <v>48.840646475004498</v>
      </c>
      <c r="P5614">
        <v>-0.102602258768012</v>
      </c>
      <c r="Q5614">
        <v>0.122821723803634</v>
      </c>
      <c r="R5614">
        <v>0.98880880194662302</v>
      </c>
      <c r="S5614" t="s">
        <v>12420</v>
      </c>
      <c r="T5614" t="s">
        <v>13610</v>
      </c>
      <c r="U5614" t="s">
        <v>13610</v>
      </c>
      <c r="V5614" t="s">
        <v>13610</v>
      </c>
      <c r="W5614" t="s">
        <v>19152</v>
      </c>
      <c r="X5614">
        <v>6</v>
      </c>
      <c r="Y5614" t="s">
        <v>25712</v>
      </c>
      <c r="Z5614" t="s">
        <v>32469</v>
      </c>
      <c r="AA5614">
        <v>0.40155732715869852</v>
      </c>
      <c r="AB5614" t="str">
        <f>HYPERLINK("Melting_Curves/meltCurve_Q9BZJ0_2_CRNKL1.pdf", "Melting_Curves/meltCurve_Q9BZJ0_2_CRNKL1.pdf")</f>
        <v>Melting_Curves/meltCurve_Q9BZJ0_2_CRNKL1.pdf</v>
      </c>
    </row>
    <row r="5615" spans="1:28" x14ac:dyDescent="0.25">
      <c r="A5615" t="s">
        <v>5619</v>
      </c>
      <c r="B5615">
        <v>0.995954080203443</v>
      </c>
      <c r="C5615">
        <v>0.92966782646413704</v>
      </c>
      <c r="D5615">
        <v>0.83359549946290201</v>
      </c>
      <c r="E5615">
        <v>0.83261552901590896</v>
      </c>
      <c r="F5615">
        <v>0.57546294951625898</v>
      </c>
      <c r="G5615">
        <v>0.345749333078612</v>
      </c>
      <c r="H5615">
        <v>0.157375170781066</v>
      </c>
      <c r="I5615">
        <v>0.105986525910157</v>
      </c>
      <c r="J5615">
        <v>8.70476863126671E-2</v>
      </c>
      <c r="K5615">
        <v>8.3778895367544001E-2</v>
      </c>
      <c r="L5615">
        <v>746.97028078906806</v>
      </c>
      <c r="M5615">
        <v>13.796146775708401</v>
      </c>
      <c r="N5615">
        <v>54.270416459708102</v>
      </c>
      <c r="O5615">
        <v>53.043849701002799</v>
      </c>
      <c r="P5615">
        <v>-6.3998345755747005E-2</v>
      </c>
      <c r="Q5615">
        <v>1.5886670936856698E-2</v>
      </c>
      <c r="R5615">
        <v>0.98722304482364998</v>
      </c>
      <c r="S5615" t="s">
        <v>12421</v>
      </c>
      <c r="T5615" t="s">
        <v>13610</v>
      </c>
      <c r="U5615" t="s">
        <v>13610</v>
      </c>
      <c r="V5615" t="s">
        <v>13610</v>
      </c>
      <c r="W5615" t="s">
        <v>19153</v>
      </c>
      <c r="X5615">
        <v>22</v>
      </c>
      <c r="Y5615" t="s">
        <v>25713</v>
      </c>
      <c r="Z5615" t="s">
        <v>32470</v>
      </c>
      <c r="AA5615">
        <v>0.50191028911033575</v>
      </c>
      <c r="AB5615" t="str">
        <f>HYPERLINK("Melting_Curves/meltCurve_Q9BZK7_TBL1XR1.pdf", "Melting_Curves/meltCurve_Q9BZK7_TBL1XR1.pdf")</f>
        <v>Melting_Curves/meltCurve_Q9BZK7_TBL1XR1.pdf</v>
      </c>
    </row>
    <row r="5616" spans="1:28" x14ac:dyDescent="0.25">
      <c r="A5616" t="s">
        <v>5620</v>
      </c>
      <c r="B5616">
        <v>0.995954080203443</v>
      </c>
      <c r="C5616">
        <v>1.03601451498028</v>
      </c>
      <c r="D5616">
        <v>1.3461027679703801</v>
      </c>
      <c r="E5616">
        <v>0.84742160640749697</v>
      </c>
      <c r="F5616">
        <v>0.62632360672354603</v>
      </c>
      <c r="G5616">
        <v>0.29342330749165402</v>
      </c>
      <c r="H5616">
        <v>0.16260068996135299</v>
      </c>
      <c r="I5616">
        <v>0.14082136845301901</v>
      </c>
      <c r="J5616">
        <v>0.140170921917397</v>
      </c>
      <c r="K5616">
        <v>0.144501487166596</v>
      </c>
      <c r="L5616">
        <v>1530.80502979983</v>
      </c>
      <c r="M5616">
        <v>28.608139677464301</v>
      </c>
      <c r="N5616">
        <v>54.142534699115501</v>
      </c>
      <c r="O5616">
        <v>53.250009391380203</v>
      </c>
      <c r="P5616">
        <v>-0.11521768744301</v>
      </c>
      <c r="Q5616">
        <v>0.14216097894574101</v>
      </c>
      <c r="R5616">
        <v>0.93057120530483495</v>
      </c>
      <c r="S5616" t="s">
        <v>12422</v>
      </c>
      <c r="T5616" t="s">
        <v>13610</v>
      </c>
      <c r="U5616" t="s">
        <v>13610</v>
      </c>
      <c r="V5616" t="s">
        <v>13610</v>
      </c>
      <c r="W5616" t="s">
        <v>19154</v>
      </c>
      <c r="X5616">
        <v>4</v>
      </c>
      <c r="Y5616" t="s">
        <v>25714</v>
      </c>
      <c r="Z5616" t="s">
        <v>32471</v>
      </c>
      <c r="AA5616">
        <v>0.53459861406392306</v>
      </c>
      <c r="AB5616" t="str">
        <f>HYPERLINK("Melting_Curves/meltCurve_Q9BZL1_UBL5.pdf", "Melting_Curves/meltCurve_Q9BZL1_UBL5.pdf")</f>
        <v>Melting_Curves/meltCurve_Q9BZL1_UBL5.pdf</v>
      </c>
    </row>
    <row r="5617" spans="1:28" x14ac:dyDescent="0.25">
      <c r="A5617" t="s">
        <v>5621</v>
      </c>
      <c r="B5617">
        <v>0.995954080203443</v>
      </c>
      <c r="C5617">
        <v>0.94316454550602702</v>
      </c>
      <c r="D5617">
        <v>0.92389653414297201</v>
      </c>
      <c r="E5617">
        <v>0.80772760379523301</v>
      </c>
      <c r="F5617">
        <v>0.78943963630112102</v>
      </c>
      <c r="G5617">
        <v>0.62297822794379099</v>
      </c>
      <c r="H5617">
        <v>0.61883663974519698</v>
      </c>
      <c r="I5617">
        <v>0.75405632295033898</v>
      </c>
      <c r="J5617">
        <v>0.85843157103636103</v>
      </c>
      <c r="K5617">
        <v>0.90536363145860399</v>
      </c>
      <c r="L5617">
        <v>1168.38711309771</v>
      </c>
      <c r="M5617">
        <v>24.8440616288283</v>
      </c>
      <c r="O5617">
        <v>46.727325371405598</v>
      </c>
      <c r="P5617">
        <v>-3.2385384660232899E-2</v>
      </c>
      <c r="Q5617">
        <v>0.75635853499192995</v>
      </c>
      <c r="R5617">
        <v>0.51959229129449003</v>
      </c>
      <c r="S5617" t="s">
        <v>12423</v>
      </c>
      <c r="T5617" t="s">
        <v>13610</v>
      </c>
      <c r="U5617" t="s">
        <v>13610</v>
      </c>
      <c r="V5617" t="s">
        <v>13610</v>
      </c>
      <c r="W5617" t="s">
        <v>19155</v>
      </c>
      <c r="X5617">
        <v>26</v>
      </c>
      <c r="Y5617" t="s">
        <v>21331</v>
      </c>
      <c r="Z5617" t="s">
        <v>32472</v>
      </c>
      <c r="AA5617">
        <v>0.8156466230336793</v>
      </c>
      <c r="AB5617" t="str">
        <f>HYPERLINK("Melting_Curves/meltCurve_Q9BZL4_PPP1R12C.pdf", "Melting_Curves/meltCurve_Q9BZL4_PPP1R12C.pdf")</f>
        <v>Melting_Curves/meltCurve_Q9BZL4_PPP1R12C.pdf</v>
      </c>
    </row>
    <row r="5618" spans="1:28" x14ac:dyDescent="0.25">
      <c r="A5618" t="s">
        <v>5622</v>
      </c>
      <c r="B5618">
        <v>0.995954080203443</v>
      </c>
      <c r="C5618">
        <v>0.86633070716249005</v>
      </c>
      <c r="D5618">
        <v>0.51398284229657998</v>
      </c>
      <c r="E5618">
        <v>0.38357308948161101</v>
      </c>
      <c r="F5618">
        <v>0.22624040353755701</v>
      </c>
      <c r="G5618">
        <v>0.12470592135868901</v>
      </c>
      <c r="H5618">
        <v>8.2559863403719E-2</v>
      </c>
      <c r="I5618">
        <v>7.1877123065369503E-2</v>
      </c>
      <c r="J5618">
        <v>8.1455526906286005E-2</v>
      </c>
      <c r="K5618">
        <v>6.7450253159594895E-2</v>
      </c>
      <c r="L5618">
        <v>717.74480961067502</v>
      </c>
      <c r="M5618">
        <v>15.285567969020899</v>
      </c>
      <c r="N5618">
        <v>47.407195729690898</v>
      </c>
      <c r="O5618">
        <v>46.174058990514503</v>
      </c>
      <c r="P5618">
        <v>-7.7162007303800295E-2</v>
      </c>
      <c r="Q5618">
        <v>6.7735362308478306E-2</v>
      </c>
      <c r="R5618">
        <v>0.98390167305482101</v>
      </c>
      <c r="S5618" t="s">
        <v>12424</v>
      </c>
      <c r="T5618" t="s">
        <v>13610</v>
      </c>
      <c r="U5618" t="s">
        <v>13610</v>
      </c>
      <c r="V5618" t="s">
        <v>13610</v>
      </c>
      <c r="W5618" t="s">
        <v>19156</v>
      </c>
      <c r="X5618">
        <v>7</v>
      </c>
      <c r="Y5618" t="s">
        <v>25715</v>
      </c>
      <c r="Z5618" t="s">
        <v>32473</v>
      </c>
      <c r="AA5618">
        <v>0.3083156931706425</v>
      </c>
      <c r="AB5618" t="str">
        <f>HYPERLINK("Melting_Curves/meltCurve_Q9BZL6_PRKD2.pdf", "Melting_Curves/meltCurve_Q9BZL6_PRKD2.pdf")</f>
        <v>Melting_Curves/meltCurve_Q9BZL6_PRKD2.pdf</v>
      </c>
    </row>
    <row r="5619" spans="1:28" x14ac:dyDescent="0.25">
      <c r="A5619" t="s">
        <v>5623</v>
      </c>
      <c r="B5619">
        <v>0.995954080203443</v>
      </c>
      <c r="C5619">
        <v>1.03820901619493</v>
      </c>
      <c r="D5619">
        <v>1.0132296315671001</v>
      </c>
      <c r="E5619">
        <v>0.90691087901259704</v>
      </c>
      <c r="F5619">
        <v>0.72843049570061902</v>
      </c>
      <c r="G5619">
        <v>0.55751177421433995</v>
      </c>
      <c r="H5619">
        <v>0.42858453061433199</v>
      </c>
      <c r="I5619">
        <v>0.49383273227137497</v>
      </c>
      <c r="J5619">
        <v>0.56620843912111096</v>
      </c>
      <c r="K5619">
        <v>0.49487870441834497</v>
      </c>
      <c r="L5619">
        <v>1608.9560171610001</v>
      </c>
      <c r="M5619">
        <v>30.550562282201302</v>
      </c>
      <c r="N5619">
        <v>63.384766261216797</v>
      </c>
      <c r="O5619">
        <v>52.441240928388403</v>
      </c>
      <c r="P5619">
        <v>-7.3236743984483405E-2</v>
      </c>
      <c r="Q5619">
        <v>0.49714805782489102</v>
      </c>
      <c r="R5619">
        <v>0.97615629466265696</v>
      </c>
      <c r="S5619" t="s">
        <v>12425</v>
      </c>
      <c r="T5619" t="s">
        <v>13610</v>
      </c>
      <c r="U5619" t="s">
        <v>13610</v>
      </c>
      <c r="V5619" t="s">
        <v>13610</v>
      </c>
      <c r="W5619" t="s">
        <v>19157</v>
      </c>
      <c r="X5619">
        <v>2</v>
      </c>
      <c r="Y5619" t="s">
        <v>25716</v>
      </c>
      <c r="Z5619" t="s">
        <v>32474</v>
      </c>
      <c r="AA5619">
        <v>0.71257243744593302</v>
      </c>
      <c r="AB5619" t="str">
        <f>HYPERLINK("Melting_Curves/meltCurve_Q9BZM1_PLA2G12A.pdf", "Melting_Curves/meltCurve_Q9BZM1_PLA2G12A.pdf")</f>
        <v>Melting_Curves/meltCurve_Q9BZM1_PLA2G12A.pdf</v>
      </c>
    </row>
    <row r="5620" spans="1:28" x14ac:dyDescent="0.25">
      <c r="A5620" t="s">
        <v>5624</v>
      </c>
      <c r="B5620">
        <v>0.995954080203443</v>
      </c>
      <c r="C5620">
        <v>0.99804176201288797</v>
      </c>
      <c r="D5620">
        <v>0.82963933484706898</v>
      </c>
      <c r="E5620">
        <v>0.38401631280200998</v>
      </c>
      <c r="F5620">
        <v>0.194074702095551</v>
      </c>
      <c r="G5620">
        <v>0.113192559537186</v>
      </c>
      <c r="H5620">
        <v>8.5089690717454994E-2</v>
      </c>
      <c r="I5620">
        <v>9.1932595251163096E-2</v>
      </c>
      <c r="J5620">
        <v>9.77981397936563E-2</v>
      </c>
      <c r="K5620">
        <v>9.94533059939193E-2</v>
      </c>
      <c r="L5620">
        <v>1287.29737293728</v>
      </c>
      <c r="M5620">
        <v>26.482654982800501</v>
      </c>
      <c r="N5620">
        <v>48.993377406768303</v>
      </c>
      <c r="O5620">
        <v>48.334431409090399</v>
      </c>
      <c r="P5620">
        <v>-0.124130931862017</v>
      </c>
      <c r="Q5620">
        <v>9.3786433558664006E-2</v>
      </c>
      <c r="R5620">
        <v>0.99933971061183502</v>
      </c>
      <c r="S5620" t="s">
        <v>12426</v>
      </c>
      <c r="T5620" t="s">
        <v>13610</v>
      </c>
      <c r="U5620" t="s">
        <v>13610</v>
      </c>
      <c r="V5620" t="s">
        <v>13610</v>
      </c>
      <c r="W5620" t="s">
        <v>19158</v>
      </c>
      <c r="X5620">
        <v>21</v>
      </c>
      <c r="Y5620" t="s">
        <v>25717</v>
      </c>
      <c r="Z5620" t="s">
        <v>32475</v>
      </c>
      <c r="AA5620">
        <v>0.36095042924383292</v>
      </c>
      <c r="AB5620" t="str">
        <f>HYPERLINK("Melting_Curves/meltCurve_Q9BZQ8_FAM129A.pdf", "Melting_Curves/meltCurve_Q9BZQ8_FAM129A.pdf")</f>
        <v>Melting_Curves/meltCurve_Q9BZQ8_FAM129A.pdf</v>
      </c>
    </row>
    <row r="5621" spans="1:28" x14ac:dyDescent="0.25">
      <c r="A5621" t="s">
        <v>5625</v>
      </c>
      <c r="B5621">
        <v>0.995954080203443</v>
      </c>
      <c r="C5621">
        <v>0.68985947520034996</v>
      </c>
      <c r="D5621">
        <v>0.41352714749535202</v>
      </c>
      <c r="E5621">
        <v>0.33005227570003398</v>
      </c>
      <c r="F5621">
        <v>0.233892687990503</v>
      </c>
      <c r="G5621">
        <v>0.15236566622742601</v>
      </c>
      <c r="H5621">
        <v>0.12637833466929299</v>
      </c>
      <c r="I5621">
        <v>0.12657906486291001</v>
      </c>
      <c r="J5621">
        <v>0.17118572558923301</v>
      </c>
      <c r="K5621">
        <v>0.14645123084412801</v>
      </c>
      <c r="L5621">
        <v>825.02125763611195</v>
      </c>
      <c r="M5621">
        <v>18.513049521951299</v>
      </c>
      <c r="N5621">
        <v>45.469189710813403</v>
      </c>
      <c r="O5621">
        <v>44.054075943695103</v>
      </c>
      <c r="P5621">
        <v>-8.8874123252567494E-2</v>
      </c>
      <c r="Q5621">
        <v>0.154089331680243</v>
      </c>
      <c r="R5621">
        <v>0.97304251372364103</v>
      </c>
      <c r="S5621" t="s">
        <v>12427</v>
      </c>
      <c r="T5621" t="s">
        <v>13610</v>
      </c>
      <c r="U5621" t="s">
        <v>13610</v>
      </c>
      <c r="V5621" t="s">
        <v>13610</v>
      </c>
      <c r="W5621" t="s">
        <v>19159</v>
      </c>
      <c r="X5621">
        <v>10</v>
      </c>
      <c r="Y5621" t="s">
        <v>25718</v>
      </c>
      <c r="Z5621" t="s">
        <v>32476</v>
      </c>
      <c r="AA5621">
        <v>0.30084076636331658</v>
      </c>
      <c r="AB5621" t="str">
        <f>HYPERLINK("Melting_Curves/meltCurve_Q9BZV1_UBXN6.pdf", "Melting_Curves/meltCurve_Q9BZV1_UBXN6.pdf")</f>
        <v>Melting_Curves/meltCurve_Q9BZV1_UBXN6.pdf</v>
      </c>
    </row>
    <row r="5622" spans="1:28" x14ac:dyDescent="0.25">
      <c r="A5622" t="s">
        <v>5626</v>
      </c>
      <c r="B5622">
        <v>0.995954080203443</v>
      </c>
      <c r="C5622">
        <v>0.74307016786241997</v>
      </c>
      <c r="D5622">
        <v>0.50538942802645503</v>
      </c>
      <c r="E5622">
        <v>0.355799003021744</v>
      </c>
      <c r="F5622">
        <v>0.19643310764388</v>
      </c>
      <c r="G5622">
        <v>0.110597225210968</v>
      </c>
      <c r="H5622">
        <v>6.9866776734340497E-2</v>
      </c>
      <c r="I5622">
        <v>5.7434727114167798E-2</v>
      </c>
      <c r="J5622">
        <v>6.9652812238665804E-2</v>
      </c>
      <c r="K5622">
        <v>5.1956074699141701E-2</v>
      </c>
      <c r="L5622">
        <v>651.10396058631102</v>
      </c>
      <c r="M5622">
        <v>14.0242551493996</v>
      </c>
      <c r="N5622">
        <v>46.767086343251101</v>
      </c>
      <c r="O5622">
        <v>45.513580967492601</v>
      </c>
      <c r="P5622">
        <v>-7.3308493680038903E-2</v>
      </c>
      <c r="Q5622">
        <v>4.8478931313960902E-2</v>
      </c>
      <c r="R5622">
        <v>0.98612467143521199</v>
      </c>
      <c r="S5622" t="s">
        <v>12428</v>
      </c>
      <c r="T5622" t="s">
        <v>13610</v>
      </c>
      <c r="U5622" t="s">
        <v>13610</v>
      </c>
      <c r="V5622" t="s">
        <v>13610</v>
      </c>
      <c r="W5622" t="s">
        <v>19160</v>
      </c>
      <c r="X5622">
        <v>7</v>
      </c>
      <c r="Y5622" t="s">
        <v>25719</v>
      </c>
      <c r="Z5622" t="s">
        <v>32477</v>
      </c>
      <c r="AA5622">
        <v>0.28319256422324901</v>
      </c>
      <c r="AB5622" t="str">
        <f>HYPERLINK("Melting_Curves/meltCurve_Q9BZX2_UCK2.pdf", "Melting_Curves/meltCurve_Q9BZX2_UCK2.pdf")</f>
        <v>Melting_Curves/meltCurve_Q9BZX2_UCK2.pdf</v>
      </c>
    </row>
    <row r="5623" spans="1:28" x14ac:dyDescent="0.25">
      <c r="A5623" t="s">
        <v>5627</v>
      </c>
      <c r="B5623">
        <v>0.995954080203443</v>
      </c>
      <c r="C5623">
        <v>1.06356620252487</v>
      </c>
      <c r="D5623">
        <v>1.0347270550088901</v>
      </c>
      <c r="E5623">
        <v>0.95192857637950601</v>
      </c>
      <c r="F5623">
        <v>0.79535609604820001</v>
      </c>
      <c r="G5623">
        <v>0.194126167620019</v>
      </c>
      <c r="H5623">
        <v>9.8530208572074396E-2</v>
      </c>
      <c r="I5623">
        <v>8.4815288578103706E-2</v>
      </c>
      <c r="J5623">
        <v>9.2989051023444902E-2</v>
      </c>
      <c r="K5623">
        <v>8.8674073275995302E-2</v>
      </c>
      <c r="L5623">
        <v>2403.3637974980202</v>
      </c>
      <c r="M5623">
        <v>44.143157870722298</v>
      </c>
      <c r="N5623">
        <v>54.684758716436498</v>
      </c>
      <c r="O5623">
        <v>54.333394449768697</v>
      </c>
      <c r="P5623">
        <v>-0.18522571597270501</v>
      </c>
      <c r="Q5623">
        <v>8.8064712270147505E-2</v>
      </c>
      <c r="R5623">
        <v>0.99665409117370496</v>
      </c>
      <c r="S5623" t="s">
        <v>12429</v>
      </c>
      <c r="T5623" t="s">
        <v>13610</v>
      </c>
      <c r="U5623" t="s">
        <v>13610</v>
      </c>
      <c r="V5623" t="s">
        <v>13610</v>
      </c>
      <c r="W5623" t="s">
        <v>19161</v>
      </c>
      <c r="X5623">
        <v>30</v>
      </c>
      <c r="Y5623" t="s">
        <v>25720</v>
      </c>
      <c r="Z5623" t="s">
        <v>32478</v>
      </c>
      <c r="AA5623">
        <v>0.52996504471154993</v>
      </c>
      <c r="AB5623" t="str">
        <f>HYPERLINK("Melting_Curves/meltCurve_Q9BZZ5_2_API5.pdf", "Melting_Curves/meltCurve_Q9BZZ5_2_API5.pdf")</f>
        <v>Melting_Curves/meltCurve_Q9BZZ5_2_API5.pdf</v>
      </c>
    </row>
    <row r="5624" spans="1:28" x14ac:dyDescent="0.25">
      <c r="A5624" t="s">
        <v>5628</v>
      </c>
      <c r="B5624">
        <v>0.995954080203443</v>
      </c>
      <c r="C5624">
        <v>1.0394461825980399</v>
      </c>
      <c r="D5624">
        <v>1.0359303533864299</v>
      </c>
      <c r="E5624">
        <v>0.97084085281704102</v>
      </c>
      <c r="F5624">
        <v>0.90932090471425697</v>
      </c>
      <c r="G5624">
        <v>0.67716171375249801</v>
      </c>
      <c r="H5624">
        <v>0.62021075760410704</v>
      </c>
      <c r="I5624">
        <v>0.79164985756959205</v>
      </c>
      <c r="J5624">
        <v>0.87456606504004197</v>
      </c>
      <c r="K5624">
        <v>0.91138846612475399</v>
      </c>
      <c r="L5624">
        <v>11214.6683031431</v>
      </c>
      <c r="M5624">
        <v>211.20458447635599</v>
      </c>
      <c r="O5624">
        <v>53.093841885466603</v>
      </c>
      <c r="P5624">
        <v>-0.22376421097777099</v>
      </c>
      <c r="Q5624">
        <v>0.77499538390262102</v>
      </c>
      <c r="R5624">
        <v>0.65184247693740405</v>
      </c>
      <c r="S5624" t="s">
        <v>12430</v>
      </c>
      <c r="T5624" t="s">
        <v>13610</v>
      </c>
      <c r="U5624" t="s">
        <v>13610</v>
      </c>
      <c r="V5624" t="s">
        <v>13610</v>
      </c>
      <c r="W5624" t="s">
        <v>19162</v>
      </c>
      <c r="X5624">
        <v>4</v>
      </c>
      <c r="Y5624" t="s">
        <v>25721</v>
      </c>
      <c r="Z5624" t="s">
        <v>32479</v>
      </c>
      <c r="AA5624">
        <v>0.87326629958481794</v>
      </c>
      <c r="AB5624" t="str">
        <f>HYPERLINK("Melting_Curves/meltCurve_Q9C004_2_SPRY4.pdf", "Melting_Curves/meltCurve_Q9C004_2_SPRY4.pdf")</f>
        <v>Melting_Curves/meltCurve_Q9C004_2_SPRY4.pdf</v>
      </c>
    </row>
    <row r="5625" spans="1:28" x14ac:dyDescent="0.25">
      <c r="A5625" t="s">
        <v>5629</v>
      </c>
      <c r="B5625">
        <v>0.995954080203443</v>
      </c>
      <c r="C5625">
        <v>0.77045746269853999</v>
      </c>
      <c r="D5625">
        <v>0.84702830533186202</v>
      </c>
      <c r="E5625">
        <v>0.61275764050437098</v>
      </c>
      <c r="F5625">
        <v>0.71267327460428098</v>
      </c>
      <c r="G5625">
        <v>0.47593839669299198</v>
      </c>
      <c r="H5625">
        <v>0.56415141046786399</v>
      </c>
      <c r="I5625">
        <v>0.57559623448786601</v>
      </c>
      <c r="J5625">
        <v>1.2437436362584799</v>
      </c>
      <c r="K5625">
        <v>0.70946492089262703</v>
      </c>
      <c r="L5625">
        <v>1205.7593972265799</v>
      </c>
      <c r="M5625">
        <v>28.487358114052501</v>
      </c>
      <c r="O5625">
        <v>42.119192785023301</v>
      </c>
      <c r="P5625">
        <v>-4.9171063400395697E-2</v>
      </c>
      <c r="Q5625">
        <v>0.70920026076537501</v>
      </c>
      <c r="R5625">
        <v>0.14618985617425301</v>
      </c>
      <c r="S5625" t="s">
        <v>12431</v>
      </c>
      <c r="T5625" t="s">
        <v>13610</v>
      </c>
      <c r="U5625" t="s">
        <v>13610</v>
      </c>
      <c r="V5625" t="s">
        <v>13610</v>
      </c>
      <c r="W5625" t="s">
        <v>19163</v>
      </c>
      <c r="X5625">
        <v>5</v>
      </c>
      <c r="Y5625" t="s">
        <v>25722</v>
      </c>
      <c r="Z5625" t="s">
        <v>32480</v>
      </c>
      <c r="AA5625">
        <v>0.7355445908535555</v>
      </c>
      <c r="AB5625" t="str">
        <f>HYPERLINK("Melting_Curves/meltCurve_Q9C005_DPY30.pdf", "Melting_Curves/meltCurve_Q9C005_DPY30.pdf")</f>
        <v>Melting_Curves/meltCurve_Q9C005_DPY30.pdf</v>
      </c>
    </row>
    <row r="5626" spans="1:28" x14ac:dyDescent="0.25">
      <c r="A5626" t="s">
        <v>5630</v>
      </c>
      <c r="B5626">
        <v>0.995954080203443</v>
      </c>
      <c r="C5626">
        <v>0.90682968724356805</v>
      </c>
      <c r="D5626">
        <v>1.1592383226826899</v>
      </c>
      <c r="E5626">
        <v>1.0111782707283301</v>
      </c>
      <c r="F5626">
        <v>1.3298652190331499</v>
      </c>
      <c r="G5626">
        <v>1.0513034419156599</v>
      </c>
      <c r="H5626">
        <v>1.1889758971075599</v>
      </c>
      <c r="I5626">
        <v>1.5259725257768799</v>
      </c>
      <c r="J5626">
        <v>1.8128323742399199</v>
      </c>
      <c r="K5626">
        <v>1.86827580331807</v>
      </c>
      <c r="L5626">
        <v>15000</v>
      </c>
      <c r="M5626">
        <v>245.40340371419899</v>
      </c>
      <c r="O5626">
        <v>61.119787191214797</v>
      </c>
      <c r="P5626">
        <v>0.50189025388301101</v>
      </c>
      <c r="Q5626">
        <v>1.5</v>
      </c>
      <c r="R5626">
        <v>0.64173894278656396</v>
      </c>
      <c r="S5626" t="s">
        <v>12432</v>
      </c>
      <c r="T5626" t="s">
        <v>13610</v>
      </c>
      <c r="U5626" t="s">
        <v>13610</v>
      </c>
      <c r="V5626" t="s">
        <v>13610</v>
      </c>
      <c r="W5626" t="s">
        <v>19164</v>
      </c>
      <c r="X5626">
        <v>2</v>
      </c>
      <c r="Y5626" t="s">
        <v>25723</v>
      </c>
      <c r="Z5626" t="s">
        <v>32481</v>
      </c>
      <c r="AA5626">
        <v>1.1478802259946359</v>
      </c>
      <c r="AB5626" t="str">
        <f>HYPERLINK("Melting_Curves/meltCurve_Q9C010_PKIB.pdf", "Melting_Curves/meltCurve_Q9C010_PKIB.pdf")</f>
        <v>Melting_Curves/meltCurve_Q9C010_PKIB.pdf</v>
      </c>
    </row>
    <row r="5627" spans="1:28" x14ac:dyDescent="0.25">
      <c r="A5627" t="s">
        <v>5631</v>
      </c>
      <c r="B5627">
        <v>0.995954080203443</v>
      </c>
      <c r="C5627">
        <v>1.01773597678028</v>
      </c>
      <c r="D5627">
        <v>0.85086868132281301</v>
      </c>
      <c r="E5627">
        <v>0.56756020313848898</v>
      </c>
      <c r="F5627">
        <v>0.224588780756066</v>
      </c>
      <c r="G5627">
        <v>0.13953646163186501</v>
      </c>
      <c r="H5627">
        <v>9.1803000848504707E-2</v>
      </c>
      <c r="I5627">
        <v>9.0249551280776094E-2</v>
      </c>
      <c r="J5627">
        <v>7.9845472844279106E-2</v>
      </c>
      <c r="K5627">
        <v>9.4276999915955506E-2</v>
      </c>
      <c r="L5627">
        <v>1202.07093804797</v>
      </c>
      <c r="M5627">
        <v>24.091194494719598</v>
      </c>
      <c r="N5627">
        <v>50.277378661766001</v>
      </c>
      <c r="O5627">
        <v>49.556705452608099</v>
      </c>
      <c r="P5627">
        <v>-0.11140295523640199</v>
      </c>
      <c r="Q5627">
        <v>8.3370079600824404E-2</v>
      </c>
      <c r="R5627">
        <v>0.99562218733896302</v>
      </c>
      <c r="S5627" t="s">
        <v>12433</v>
      </c>
      <c r="T5627" t="s">
        <v>13610</v>
      </c>
      <c r="U5627" t="s">
        <v>13610</v>
      </c>
      <c r="V5627" t="s">
        <v>13610</v>
      </c>
      <c r="W5627" t="s">
        <v>19165</v>
      </c>
      <c r="X5627">
        <v>3</v>
      </c>
      <c r="Y5627" t="s">
        <v>25724</v>
      </c>
      <c r="Z5627" t="s">
        <v>32482</v>
      </c>
      <c r="AA5627">
        <v>0.39457439933926058</v>
      </c>
      <c r="AB5627" t="str">
        <f>HYPERLINK("Melting_Curves/meltCurve_Q9C040_TRIM2.pdf", "Melting_Curves/meltCurve_Q9C040_TRIM2.pdf")</f>
        <v>Melting_Curves/meltCurve_Q9C040_TRIM2.pdf</v>
      </c>
    </row>
    <row r="5628" spans="1:28" x14ac:dyDescent="0.25">
      <c r="A5628" t="s">
        <v>5632</v>
      </c>
      <c r="B5628">
        <v>0.995954080203443</v>
      </c>
      <c r="C5628">
        <v>0.99802813461208095</v>
      </c>
      <c r="D5628">
        <v>0.95184285410649805</v>
      </c>
      <c r="E5628">
        <v>0.90815965416702804</v>
      </c>
      <c r="F5628">
        <v>0.79509323828809697</v>
      </c>
      <c r="G5628">
        <v>0.60691977985763301</v>
      </c>
      <c r="H5628">
        <v>0.497598863919062</v>
      </c>
      <c r="I5628">
        <v>0.528746671243572</v>
      </c>
      <c r="J5628">
        <v>0.43170840783222297</v>
      </c>
      <c r="K5628">
        <v>0.46321561266323602</v>
      </c>
      <c r="L5628">
        <v>966.77488054355103</v>
      </c>
      <c r="M5628">
        <v>17.781643406670302</v>
      </c>
      <c r="N5628">
        <v>62.157526530322997</v>
      </c>
      <c r="O5628">
        <v>53.695614642987401</v>
      </c>
      <c r="P5628">
        <v>-4.5856840021295302E-2</v>
      </c>
      <c r="Q5628">
        <v>0.44612912191521997</v>
      </c>
      <c r="R5628">
        <v>0.99065506396598901</v>
      </c>
      <c r="S5628" t="s">
        <v>12434</v>
      </c>
      <c r="T5628" t="s">
        <v>13610</v>
      </c>
      <c r="U5628" t="s">
        <v>13610</v>
      </c>
      <c r="V5628" t="s">
        <v>13610</v>
      </c>
      <c r="W5628" t="s">
        <v>19166</v>
      </c>
      <c r="X5628">
        <v>11</v>
      </c>
      <c r="Y5628" t="s">
        <v>25725</v>
      </c>
      <c r="Z5628" t="s">
        <v>32483</v>
      </c>
      <c r="AA5628">
        <v>0.72033892695820601</v>
      </c>
      <c r="AB5628" t="str">
        <f>HYPERLINK("Melting_Curves/meltCurve_Q9C073_FAM117A.pdf", "Melting_Curves/meltCurve_Q9C073_FAM117A.pdf")</f>
        <v>Melting_Curves/meltCurve_Q9C073_FAM117A.pdf</v>
      </c>
    </row>
    <row r="5629" spans="1:28" x14ac:dyDescent="0.25">
      <c r="A5629" t="s">
        <v>5633</v>
      </c>
      <c r="B5629">
        <v>0.995954080203443</v>
      </c>
      <c r="C5629">
        <v>0.96764209001049295</v>
      </c>
      <c r="D5629">
        <v>0.98877480694217301</v>
      </c>
      <c r="E5629">
        <v>0.89946537711419805</v>
      </c>
      <c r="F5629">
        <v>0.79634661291239595</v>
      </c>
      <c r="G5629">
        <v>0.51180091987522802</v>
      </c>
      <c r="H5629">
        <v>0.37281489738981999</v>
      </c>
      <c r="I5629">
        <v>0.37005923815258002</v>
      </c>
      <c r="J5629">
        <v>0.45334113376754898</v>
      </c>
      <c r="K5629">
        <v>0.40740833606340998</v>
      </c>
      <c r="L5629">
        <v>1477.3184440310899</v>
      </c>
      <c r="M5629">
        <v>27.355487131768299</v>
      </c>
      <c r="N5629">
        <v>57.239876893664203</v>
      </c>
      <c r="O5629">
        <v>53.718339136027701</v>
      </c>
      <c r="P5629">
        <v>-7.7217206884373196E-2</v>
      </c>
      <c r="Q5629">
        <v>0.39347579787852999</v>
      </c>
      <c r="R5629">
        <v>0.98587191266945295</v>
      </c>
      <c r="S5629" t="s">
        <v>12435</v>
      </c>
      <c r="T5629" t="s">
        <v>13610</v>
      </c>
      <c r="U5629" t="s">
        <v>13610</v>
      </c>
      <c r="V5629" t="s">
        <v>13610</v>
      </c>
      <c r="W5629" t="s">
        <v>19167</v>
      </c>
      <c r="X5629">
        <v>6</v>
      </c>
      <c r="Y5629" t="s">
        <v>25726</v>
      </c>
      <c r="Z5629" t="s">
        <v>32484</v>
      </c>
      <c r="AA5629">
        <v>0.68136119775365067</v>
      </c>
      <c r="AB5629" t="str">
        <f>HYPERLINK("Melting_Curves/meltCurve_Q9C099_2_LRRCC1.pdf", "Melting_Curves/meltCurve_Q9C099_2_LRRCC1.pdf")</f>
        <v>Melting_Curves/meltCurve_Q9C099_2_LRRCC1.pdf</v>
      </c>
    </row>
    <row r="5630" spans="1:28" x14ac:dyDescent="0.25">
      <c r="A5630" t="s">
        <v>5634</v>
      </c>
      <c r="B5630">
        <v>0.995954080203443</v>
      </c>
      <c r="C5630">
        <v>0.96875723254739299</v>
      </c>
      <c r="D5630">
        <v>1.0025289285517101</v>
      </c>
      <c r="E5630">
        <v>0.81155591115860204</v>
      </c>
      <c r="F5630">
        <v>0.71112798991033799</v>
      </c>
      <c r="G5630">
        <v>0.46892864324630701</v>
      </c>
      <c r="H5630">
        <v>0.393501325702032</v>
      </c>
      <c r="I5630">
        <v>0.43797754640804099</v>
      </c>
      <c r="J5630">
        <v>0.51821395193763897</v>
      </c>
      <c r="K5630">
        <v>0.51349903053434298</v>
      </c>
      <c r="L5630">
        <v>1339.86335798914</v>
      </c>
      <c r="M5630">
        <v>25.8142716868999</v>
      </c>
      <c r="N5630">
        <v>57.448369804786999</v>
      </c>
      <c r="O5630">
        <v>51.595498546541997</v>
      </c>
      <c r="P5630">
        <v>-6.7718997748233103E-2</v>
      </c>
      <c r="Q5630">
        <v>0.45860117323481903</v>
      </c>
      <c r="R5630">
        <v>0.96330181792343705</v>
      </c>
      <c r="S5630" t="s">
        <v>12436</v>
      </c>
      <c r="T5630" t="s">
        <v>13610</v>
      </c>
      <c r="U5630" t="s">
        <v>13610</v>
      </c>
      <c r="V5630" t="s">
        <v>13610</v>
      </c>
      <c r="W5630" t="s">
        <v>19168</v>
      </c>
      <c r="X5630">
        <v>19</v>
      </c>
      <c r="Y5630" t="s">
        <v>25727</v>
      </c>
      <c r="Z5630" t="s">
        <v>32485</v>
      </c>
      <c r="AA5630">
        <v>0.6780685640430455</v>
      </c>
      <c r="AB5630" t="str">
        <f>HYPERLINK("Melting_Curves/meltCurve_Q9C0B0_UNK.pdf", "Melting_Curves/meltCurve_Q9C0B0_UNK.pdf")</f>
        <v>Melting_Curves/meltCurve_Q9C0B0_UNK.pdf</v>
      </c>
    </row>
    <row r="5631" spans="1:28" x14ac:dyDescent="0.25">
      <c r="A5631" t="s">
        <v>5635</v>
      </c>
      <c r="B5631">
        <v>0.995954080203443</v>
      </c>
      <c r="C5631">
        <v>1.0043820476581</v>
      </c>
      <c r="D5631">
        <v>0.96957118904093198</v>
      </c>
      <c r="E5631">
        <v>0.61688794202115704</v>
      </c>
      <c r="F5631">
        <v>0.30339008754779601</v>
      </c>
      <c r="G5631">
        <v>0.19004088252085399</v>
      </c>
      <c r="H5631">
        <v>0.12914890611767399</v>
      </c>
      <c r="I5631">
        <v>0.120494366952306</v>
      </c>
      <c r="J5631">
        <v>0.121614163040678</v>
      </c>
      <c r="K5631">
        <v>0.113720770423916</v>
      </c>
      <c r="L5631">
        <v>1439.93841534751</v>
      </c>
      <c r="M5631">
        <v>28.5151221332166</v>
      </c>
      <c r="N5631">
        <v>51.014537018655297</v>
      </c>
      <c r="O5631">
        <v>50.250964834230402</v>
      </c>
      <c r="P5631">
        <v>-0.12405723021588499</v>
      </c>
      <c r="Q5631">
        <v>0.12552425887110699</v>
      </c>
      <c r="R5631">
        <v>0.99871129557444804</v>
      </c>
      <c r="S5631" t="s">
        <v>12437</v>
      </c>
      <c r="T5631" t="s">
        <v>13610</v>
      </c>
      <c r="U5631" t="s">
        <v>13610</v>
      </c>
      <c r="V5631" t="s">
        <v>13610</v>
      </c>
      <c r="W5631" t="s">
        <v>19169</v>
      </c>
      <c r="X5631">
        <v>23</v>
      </c>
      <c r="Y5631" t="s">
        <v>25728</v>
      </c>
      <c r="Z5631" t="s">
        <v>32486</v>
      </c>
      <c r="AA5631">
        <v>0.43755286752710693</v>
      </c>
      <c r="AB5631" t="str">
        <f>HYPERLINK("Melting_Curves/meltCurve_Q9C0B1_FTO.pdf", "Melting_Curves/meltCurve_Q9C0B1_FTO.pdf")</f>
        <v>Melting_Curves/meltCurve_Q9C0B1_FTO.pdf</v>
      </c>
    </row>
    <row r="5632" spans="1:28" x14ac:dyDescent="0.25">
      <c r="A5632" t="s">
        <v>5636</v>
      </c>
      <c r="B5632">
        <v>0.995954080203443</v>
      </c>
      <c r="C5632">
        <v>0.836647632564678</v>
      </c>
      <c r="D5632">
        <v>0.93030966046182195</v>
      </c>
      <c r="E5632">
        <v>0.82390708241948196</v>
      </c>
      <c r="F5632">
        <v>0.87463946398010295</v>
      </c>
      <c r="G5632">
        <v>0.625845365015815</v>
      </c>
      <c r="H5632">
        <v>0.58964773935833703</v>
      </c>
      <c r="I5632">
        <v>0.61467385758886295</v>
      </c>
      <c r="J5632">
        <v>0</v>
      </c>
      <c r="K5632">
        <v>0.77741774980788703</v>
      </c>
      <c r="L5632">
        <v>568.45734765236</v>
      </c>
      <c r="M5632">
        <v>10.202563210556001</v>
      </c>
      <c r="N5632">
        <v>64.817513437525506</v>
      </c>
      <c r="O5632">
        <v>53.703792762975802</v>
      </c>
      <c r="P5632">
        <v>-2.94296298663187E-2</v>
      </c>
      <c r="Q5632">
        <v>0.38063756548745198</v>
      </c>
      <c r="R5632">
        <v>0.48217651125719402</v>
      </c>
      <c r="S5632" t="s">
        <v>12438</v>
      </c>
      <c r="T5632" t="s">
        <v>13610</v>
      </c>
      <c r="U5632" t="s">
        <v>13610</v>
      </c>
      <c r="V5632" t="s">
        <v>13610</v>
      </c>
      <c r="W5632" t="s">
        <v>19170</v>
      </c>
      <c r="X5632">
        <v>2</v>
      </c>
      <c r="Y5632" t="s">
        <v>25729</v>
      </c>
      <c r="Z5632" t="s">
        <v>32487</v>
      </c>
      <c r="AA5632">
        <v>0.71902008650068017</v>
      </c>
      <c r="AB5632" t="str">
        <f>HYPERLINK("Melting_Curves/meltCurve_Q9C0B2_3_KIAA1751.pdf", "Melting_Curves/meltCurve_Q9C0B2_3_KIAA1751.pdf")</f>
        <v>Melting_Curves/meltCurve_Q9C0B2_3_KIAA1751.pdf</v>
      </c>
    </row>
    <row r="5633" spans="1:28" x14ac:dyDescent="0.25">
      <c r="A5633" t="s">
        <v>5637</v>
      </c>
      <c r="B5633">
        <v>0.995954080203443</v>
      </c>
      <c r="C5633">
        <v>0.96623780982321095</v>
      </c>
      <c r="D5633">
        <v>1.13956068360564</v>
      </c>
      <c r="E5633">
        <v>0.99663807272493399</v>
      </c>
      <c r="F5633">
        <v>1.1581501729361501</v>
      </c>
      <c r="G5633">
        <v>0.94999761812099603</v>
      </c>
      <c r="H5633">
        <v>0.98162086880217103</v>
      </c>
      <c r="I5633">
        <v>1.1913138126948599</v>
      </c>
      <c r="J5633">
        <v>1.4547394733364001</v>
      </c>
      <c r="K5633">
        <v>1.3846679272857301</v>
      </c>
      <c r="L5633">
        <v>15000</v>
      </c>
      <c r="M5633">
        <v>234.19787639067499</v>
      </c>
      <c r="O5633">
        <v>64.043713421060801</v>
      </c>
      <c r="P5633">
        <v>0.38370253350758698</v>
      </c>
      <c r="Q5633">
        <v>1.4197090578170899</v>
      </c>
      <c r="R5633">
        <v>0.82508455431538497</v>
      </c>
      <c r="S5633" t="s">
        <v>12439</v>
      </c>
      <c r="T5633" t="s">
        <v>13610</v>
      </c>
      <c r="U5633" t="s">
        <v>13610</v>
      </c>
      <c r="V5633" t="s">
        <v>13610</v>
      </c>
      <c r="W5633" t="s">
        <v>19171</v>
      </c>
      <c r="X5633">
        <v>7</v>
      </c>
      <c r="Y5633" t="s">
        <v>25730</v>
      </c>
      <c r="Z5633" t="s">
        <v>32488</v>
      </c>
      <c r="AA5633">
        <v>1.083210877352645</v>
      </c>
      <c r="AB5633" t="str">
        <f>HYPERLINK("Melting_Curves/meltCurve_Q9C0B5_2_ZDHHC5.pdf", "Melting_Curves/meltCurve_Q9C0B5_2_ZDHHC5.pdf")</f>
        <v>Melting_Curves/meltCurve_Q9C0B5_2_ZDHHC5.pdf</v>
      </c>
    </row>
    <row r="5634" spans="1:28" x14ac:dyDescent="0.25">
      <c r="A5634" t="s">
        <v>5638</v>
      </c>
      <c r="B5634">
        <v>0.995954080203443</v>
      </c>
      <c r="C5634">
        <v>0.98250244272176401</v>
      </c>
      <c r="D5634">
        <v>0.81667356934129898</v>
      </c>
      <c r="E5634">
        <v>0.50415990599841198</v>
      </c>
      <c r="F5634">
        <v>0.23028824454536101</v>
      </c>
      <c r="G5634">
        <v>0.140990460305188</v>
      </c>
      <c r="H5634">
        <v>8.9224884990198303E-2</v>
      </c>
      <c r="I5634">
        <v>7.4278707658122403E-2</v>
      </c>
      <c r="J5634">
        <v>6.9596331153865904E-2</v>
      </c>
      <c r="K5634">
        <v>6.2938381116115605E-2</v>
      </c>
      <c r="L5634">
        <v>1016.81113416825</v>
      </c>
      <c r="M5634">
        <v>20.552244700731599</v>
      </c>
      <c r="N5634">
        <v>49.820235397881198</v>
      </c>
      <c r="O5634">
        <v>49.013195625471603</v>
      </c>
      <c r="P5634">
        <v>-9.7865115702842398E-2</v>
      </c>
      <c r="Q5634">
        <v>6.6468335157444006E-2</v>
      </c>
      <c r="R5634">
        <v>0.99836706330938496</v>
      </c>
      <c r="S5634" t="s">
        <v>12440</v>
      </c>
      <c r="T5634" t="s">
        <v>13610</v>
      </c>
      <c r="U5634" t="s">
        <v>13610</v>
      </c>
      <c r="V5634" t="s">
        <v>13610</v>
      </c>
      <c r="W5634" t="s">
        <v>19172</v>
      </c>
      <c r="X5634">
        <v>19</v>
      </c>
      <c r="Y5634" t="s">
        <v>25731</v>
      </c>
      <c r="Z5634" t="s">
        <v>32489</v>
      </c>
      <c r="AA5634">
        <v>0.37363117820210751</v>
      </c>
      <c r="AB5634" t="str">
        <f>HYPERLINK("Melting_Curves/meltCurve_Q9C0B7_TANGO6.pdf", "Melting_Curves/meltCurve_Q9C0B7_TANGO6.pdf")</f>
        <v>Melting_Curves/meltCurve_Q9C0B7_TANGO6.pdf</v>
      </c>
    </row>
    <row r="5635" spans="1:28" x14ac:dyDescent="0.25">
      <c r="A5635" t="s">
        <v>5639</v>
      </c>
      <c r="B5635">
        <v>0.995954080203443</v>
      </c>
      <c r="C5635">
        <v>0.87175513539308702</v>
      </c>
      <c r="D5635">
        <v>0.831915000075928</v>
      </c>
      <c r="E5635">
        <v>0.90875472124986501</v>
      </c>
      <c r="F5635">
        <v>0.84377801400132701</v>
      </c>
      <c r="G5635">
        <v>0.700196683154658</v>
      </c>
      <c r="H5635">
        <v>0.65549587764780204</v>
      </c>
      <c r="I5635">
        <v>0.78307341851121803</v>
      </c>
      <c r="J5635">
        <v>1.0113154757571099</v>
      </c>
      <c r="K5635">
        <v>0.93721061238590397</v>
      </c>
      <c r="L5635">
        <v>2934.55559050589</v>
      </c>
      <c r="M5635">
        <v>69.627002670919396</v>
      </c>
      <c r="O5635">
        <v>42.112076588891</v>
      </c>
      <c r="P5635">
        <v>-6.8651351291370899E-2</v>
      </c>
      <c r="Q5635">
        <v>0.83391212296627604</v>
      </c>
      <c r="R5635">
        <v>0.19120555645271201</v>
      </c>
      <c r="S5635" t="s">
        <v>12441</v>
      </c>
      <c r="T5635" t="s">
        <v>13610</v>
      </c>
      <c r="U5635" t="s">
        <v>13610</v>
      </c>
      <c r="V5635" t="s">
        <v>13610</v>
      </c>
      <c r="W5635" t="s">
        <v>19173</v>
      </c>
      <c r="X5635">
        <v>64</v>
      </c>
      <c r="Y5635" t="s">
        <v>25732</v>
      </c>
      <c r="Z5635" t="s">
        <v>32490</v>
      </c>
      <c r="AA5635">
        <v>0.84602539824220124</v>
      </c>
      <c r="AB5635" t="str">
        <f>HYPERLINK("Melting_Curves/meltCurve_Q9C0C2_TNKS1BP1.pdf", "Melting_Curves/meltCurve_Q9C0C2_TNKS1BP1.pdf")</f>
        <v>Melting_Curves/meltCurve_Q9C0C2_TNKS1BP1.pdf</v>
      </c>
    </row>
    <row r="5636" spans="1:28" x14ac:dyDescent="0.25">
      <c r="A5636" t="s">
        <v>5640</v>
      </c>
      <c r="B5636">
        <v>0.995954080203443</v>
      </c>
      <c r="C5636">
        <v>1.01471823332728</v>
      </c>
      <c r="D5636">
        <v>0.80423100376651202</v>
      </c>
      <c r="E5636">
        <v>0.64563764460759199</v>
      </c>
      <c r="F5636">
        <v>0.33957545666118399</v>
      </c>
      <c r="G5636">
        <v>0.17878713055919401</v>
      </c>
      <c r="H5636">
        <v>0.182205384004267</v>
      </c>
      <c r="I5636">
        <v>0.189238954147396</v>
      </c>
      <c r="J5636">
        <v>0.19246594163425401</v>
      </c>
      <c r="K5636">
        <v>0.19327359544537401</v>
      </c>
      <c r="L5636">
        <v>1039.9139789629101</v>
      </c>
      <c r="M5636">
        <v>20.810399078778399</v>
      </c>
      <c r="N5636">
        <v>50.988995990615997</v>
      </c>
      <c r="O5636">
        <v>49.516315262381902</v>
      </c>
      <c r="P5636">
        <v>-8.7208719377257299E-2</v>
      </c>
      <c r="Q5636">
        <v>0.17000451626899701</v>
      </c>
      <c r="R5636">
        <v>0.986100796342115</v>
      </c>
      <c r="S5636" t="s">
        <v>12442</v>
      </c>
      <c r="T5636" t="s">
        <v>13610</v>
      </c>
      <c r="U5636" t="s">
        <v>13610</v>
      </c>
      <c r="V5636" t="s">
        <v>13610</v>
      </c>
      <c r="W5636" t="s">
        <v>19174</v>
      </c>
      <c r="X5636">
        <v>2</v>
      </c>
      <c r="Y5636" t="s">
        <v>25733</v>
      </c>
      <c r="Z5636" t="s">
        <v>32491</v>
      </c>
      <c r="AA5636">
        <v>0.45655412400437279</v>
      </c>
      <c r="AB5636" t="str">
        <f>HYPERLINK("Melting_Curves/meltCurve_Q9C0C4_SEMA4C.pdf", "Melting_Curves/meltCurve_Q9C0C4_SEMA4C.pdf")</f>
        <v>Melting_Curves/meltCurve_Q9C0C4_SEMA4C.pdf</v>
      </c>
    </row>
    <row r="5637" spans="1:28" x14ac:dyDescent="0.25">
      <c r="A5637" t="s">
        <v>5641</v>
      </c>
      <c r="B5637">
        <v>0.995954080203443</v>
      </c>
      <c r="C5637">
        <v>0.84789416821160102</v>
      </c>
      <c r="D5637">
        <v>0.75081627399000495</v>
      </c>
      <c r="E5637">
        <v>0.67827135137347305</v>
      </c>
      <c r="F5637">
        <v>0.57070377432563302</v>
      </c>
      <c r="G5637">
        <v>0.42037168307724798</v>
      </c>
      <c r="H5637">
        <v>0.32766669240018098</v>
      </c>
      <c r="I5637">
        <v>0.37374358578414502</v>
      </c>
      <c r="J5637">
        <v>0.46838074673519797</v>
      </c>
      <c r="K5637">
        <v>0.46222518350996</v>
      </c>
      <c r="L5637">
        <v>600.83139284370202</v>
      </c>
      <c r="M5637">
        <v>12.4858569143751</v>
      </c>
      <c r="N5637">
        <v>54.635528446750001</v>
      </c>
      <c r="O5637">
        <v>46.936589358276699</v>
      </c>
      <c r="P5637">
        <v>-4.0763609745758198E-2</v>
      </c>
      <c r="Q5637">
        <v>0.38717549188247502</v>
      </c>
      <c r="R5637">
        <v>0.93148556584489595</v>
      </c>
      <c r="S5637" t="s">
        <v>12443</v>
      </c>
      <c r="T5637" t="s">
        <v>13610</v>
      </c>
      <c r="U5637" t="s">
        <v>13610</v>
      </c>
      <c r="V5637" t="s">
        <v>13610</v>
      </c>
      <c r="W5637" t="s">
        <v>19175</v>
      </c>
      <c r="X5637">
        <v>4</v>
      </c>
      <c r="Y5637" t="s">
        <v>25734</v>
      </c>
      <c r="Z5637" t="s">
        <v>32492</v>
      </c>
      <c r="AA5637">
        <v>0.57523715220925054</v>
      </c>
      <c r="AB5637" t="str">
        <f>HYPERLINK("Melting_Curves/meltCurve_Q9C0C7_4_AMBRA1.pdf", "Melting_Curves/meltCurve_Q9C0C7_4_AMBRA1.pdf")</f>
        <v>Melting_Curves/meltCurve_Q9C0C7_4_AMBRA1.pdf</v>
      </c>
    </row>
    <row r="5638" spans="1:28" x14ac:dyDescent="0.25">
      <c r="A5638" t="s">
        <v>5642</v>
      </c>
      <c r="B5638">
        <v>0.995954080203443</v>
      </c>
      <c r="C5638">
        <v>0.91673243702066398</v>
      </c>
      <c r="D5638">
        <v>0.83232023231764796</v>
      </c>
      <c r="E5638">
        <v>0.62484290535104703</v>
      </c>
      <c r="F5638">
        <v>0.304535649023013</v>
      </c>
      <c r="G5638">
        <v>0.17589298885399601</v>
      </c>
      <c r="H5638">
        <v>0.13186877048273399</v>
      </c>
      <c r="I5638">
        <v>0.13902709383563699</v>
      </c>
      <c r="J5638">
        <v>0.16069794658870001</v>
      </c>
      <c r="K5638">
        <v>0.16358380928628499</v>
      </c>
      <c r="L5638">
        <v>986.37264847418601</v>
      </c>
      <c r="M5638">
        <v>19.7408226968357</v>
      </c>
      <c r="N5638">
        <v>50.746868800522599</v>
      </c>
      <c r="O5638">
        <v>49.4618947513584</v>
      </c>
      <c r="P5638">
        <v>-8.6713940960384497E-2</v>
      </c>
      <c r="Q5638">
        <v>0.13096083965001401</v>
      </c>
      <c r="R5638">
        <v>0.98984095508126502</v>
      </c>
      <c r="S5638" t="s">
        <v>12444</v>
      </c>
      <c r="T5638" t="s">
        <v>13610</v>
      </c>
      <c r="U5638" t="s">
        <v>13610</v>
      </c>
      <c r="V5638" t="s">
        <v>13610</v>
      </c>
      <c r="W5638" t="s">
        <v>19176</v>
      </c>
      <c r="X5638">
        <v>41</v>
      </c>
      <c r="Y5638" t="s">
        <v>21359</v>
      </c>
      <c r="Z5638" t="s">
        <v>32493</v>
      </c>
      <c r="AA5638">
        <v>0.43207119425148233</v>
      </c>
      <c r="AB5638" t="str">
        <f>HYPERLINK("Melting_Curves/meltCurve_Q9C0C9_UBE2O.pdf", "Melting_Curves/meltCurve_Q9C0C9_UBE2O.pdf")</f>
        <v>Melting_Curves/meltCurve_Q9C0C9_UBE2O.pdf</v>
      </c>
    </row>
    <row r="5639" spans="1:28" x14ac:dyDescent="0.25">
      <c r="A5639" t="s">
        <v>5643</v>
      </c>
      <c r="B5639">
        <v>0.995954080203443</v>
      </c>
      <c r="C5639">
        <v>0.92952584451819298</v>
      </c>
      <c r="D5639">
        <v>1.1208967858351699</v>
      </c>
      <c r="E5639">
        <v>0.88790026073795403</v>
      </c>
      <c r="F5639">
        <v>1.0400442671880199</v>
      </c>
      <c r="G5639">
        <v>0.78040216318976197</v>
      </c>
      <c r="H5639">
        <v>0.71967959439463103</v>
      </c>
      <c r="I5639">
        <v>0.964024700148848</v>
      </c>
      <c r="J5639">
        <v>1.0634557327898899</v>
      </c>
      <c r="K5639">
        <v>1.0635714797438101</v>
      </c>
      <c r="L5639">
        <v>15000</v>
      </c>
      <c r="M5639">
        <v>227.30081470156301</v>
      </c>
      <c r="O5639">
        <v>65.986735966522801</v>
      </c>
      <c r="P5639">
        <v>5.55484605883306E-2</v>
      </c>
      <c r="Q5639">
        <v>1.06450415231063</v>
      </c>
      <c r="R5639">
        <v>-7.1636577989741698E-2</v>
      </c>
      <c r="S5639" t="s">
        <v>12445</v>
      </c>
      <c r="T5639" t="s">
        <v>13610</v>
      </c>
      <c r="U5639" t="s">
        <v>13610</v>
      </c>
      <c r="V5639" t="s">
        <v>13610</v>
      </c>
      <c r="W5639" t="s">
        <v>19177</v>
      </c>
      <c r="X5639">
        <v>3</v>
      </c>
      <c r="Y5639" t="s">
        <v>25735</v>
      </c>
      <c r="Z5639" t="s">
        <v>32494</v>
      </c>
      <c r="AA5639">
        <v>1.008609053326402</v>
      </c>
      <c r="AB5639" t="str">
        <f>HYPERLINK("Melting_Curves/meltCurve_Q9C0D2_KIAA1731.pdf", "Melting_Curves/meltCurve_Q9C0D2_KIAA1731.pdf")</f>
        <v>Melting_Curves/meltCurve_Q9C0D2_KIAA1731.pdf</v>
      </c>
    </row>
    <row r="5640" spans="1:28" x14ac:dyDescent="0.25">
      <c r="A5640" t="s">
        <v>5644</v>
      </c>
      <c r="B5640">
        <v>0.995954080203443</v>
      </c>
      <c r="C5640">
        <v>0.95807782356988502</v>
      </c>
      <c r="D5640">
        <v>0.88190122286107198</v>
      </c>
      <c r="E5640">
        <v>0.83728880975060305</v>
      </c>
      <c r="F5640">
        <v>0.50270673254436204</v>
      </c>
      <c r="G5640">
        <v>0.169653060297351</v>
      </c>
      <c r="H5640">
        <v>9.9508862128728795E-2</v>
      </c>
      <c r="I5640">
        <v>9.1973691083716405E-2</v>
      </c>
      <c r="J5640">
        <v>9.8623245722460604E-2</v>
      </c>
      <c r="K5640">
        <v>0.10100458701731301</v>
      </c>
      <c r="L5640">
        <v>1410.99829652634</v>
      </c>
      <c r="M5640">
        <v>26.8224614987192</v>
      </c>
      <c r="N5640">
        <v>52.978793770189398</v>
      </c>
      <c r="O5640">
        <v>52.315297525866697</v>
      </c>
      <c r="P5640">
        <v>-0.11713086240213599</v>
      </c>
      <c r="Q5640">
        <v>8.6187575242342995E-2</v>
      </c>
      <c r="R5640">
        <v>0.99146057302422896</v>
      </c>
      <c r="S5640" t="s">
        <v>12446</v>
      </c>
      <c r="T5640" t="s">
        <v>13610</v>
      </c>
      <c r="U5640" t="s">
        <v>13610</v>
      </c>
      <c r="V5640" t="s">
        <v>13610</v>
      </c>
      <c r="W5640" t="s">
        <v>19178</v>
      </c>
      <c r="X5640">
        <v>16</v>
      </c>
      <c r="Y5640" t="s">
        <v>25736</v>
      </c>
      <c r="Z5640" t="s">
        <v>32495</v>
      </c>
      <c r="AA5640">
        <v>0.47747524749977011</v>
      </c>
      <c r="AB5640" t="str">
        <f>HYPERLINK("Melting_Curves/meltCurve_Q9C0D3_ZYG11B.pdf", "Melting_Curves/meltCurve_Q9C0D3_ZYG11B.pdf")</f>
        <v>Melting_Curves/meltCurve_Q9C0D3_ZYG11B.pdf</v>
      </c>
    </row>
    <row r="5641" spans="1:28" x14ac:dyDescent="0.25">
      <c r="A5641" t="s">
        <v>5645</v>
      </c>
      <c r="B5641">
        <v>0.995954080203443</v>
      </c>
      <c r="C5641">
        <v>0.94586596586460103</v>
      </c>
      <c r="D5641">
        <v>0.79819971099669196</v>
      </c>
      <c r="E5641">
        <v>0.54192429781195794</v>
      </c>
      <c r="F5641">
        <v>0.41599806207669299</v>
      </c>
      <c r="G5641">
        <v>0.30608674486208998</v>
      </c>
      <c r="H5641">
        <v>0.26634102872370902</v>
      </c>
      <c r="I5641">
        <v>0.29898999916740199</v>
      </c>
      <c r="J5641">
        <v>0.33715717823520702</v>
      </c>
      <c r="K5641">
        <v>0.336624016414101</v>
      </c>
      <c r="L5641">
        <v>959.55227917453897</v>
      </c>
      <c r="M5641">
        <v>19.8920108875182</v>
      </c>
      <c r="N5641">
        <v>50.595824103145702</v>
      </c>
      <c r="O5641">
        <v>47.758501213424204</v>
      </c>
      <c r="P5641">
        <v>-7.2671040591673494E-2</v>
      </c>
      <c r="Q5641">
        <v>0.30212294302281101</v>
      </c>
      <c r="R5641">
        <v>0.99234637999755204</v>
      </c>
      <c r="S5641" t="s">
        <v>12447</v>
      </c>
      <c r="T5641" t="s">
        <v>13610</v>
      </c>
      <c r="U5641" t="s">
        <v>13610</v>
      </c>
      <c r="V5641" t="s">
        <v>13610</v>
      </c>
      <c r="W5641" t="s">
        <v>19179</v>
      </c>
      <c r="X5641">
        <v>19</v>
      </c>
      <c r="Y5641" t="s">
        <v>25737</v>
      </c>
      <c r="Z5641" t="s">
        <v>32496</v>
      </c>
      <c r="AA5641">
        <v>0.50374759274507008</v>
      </c>
      <c r="AB5641" t="str">
        <f>HYPERLINK("Melting_Curves/meltCurve_Q9C0D5_TANC1.pdf", "Melting_Curves/meltCurve_Q9C0D5_TANC1.pdf")</f>
        <v>Melting_Curves/meltCurve_Q9C0D5_TANC1.pdf</v>
      </c>
    </row>
    <row r="5642" spans="1:28" x14ac:dyDescent="0.25">
      <c r="A5642" t="s">
        <v>5646</v>
      </c>
      <c r="B5642">
        <v>0.995954080203443</v>
      </c>
      <c r="C5642">
        <v>0.96690223268183895</v>
      </c>
      <c r="D5642">
        <v>0.91391479321498303</v>
      </c>
      <c r="E5642">
        <v>0.66112402475047405</v>
      </c>
      <c r="F5642">
        <v>0.40769398891762099</v>
      </c>
      <c r="G5642">
        <v>0.25299739726567799</v>
      </c>
      <c r="H5642">
        <v>0.17784633476818601</v>
      </c>
      <c r="I5642">
        <v>0.18914387528127799</v>
      </c>
      <c r="J5642">
        <v>0.227350492092247</v>
      </c>
      <c r="K5642">
        <v>0.197926447910313</v>
      </c>
      <c r="L5642">
        <v>1128.7422554913601</v>
      </c>
      <c r="M5642">
        <v>22.289737438485702</v>
      </c>
      <c r="N5642">
        <v>51.755587775369101</v>
      </c>
      <c r="O5642">
        <v>50.2372374472057</v>
      </c>
      <c r="P5642">
        <v>-8.9759343553523996E-2</v>
      </c>
      <c r="Q5642">
        <v>0.19080861571852001</v>
      </c>
      <c r="R5642">
        <v>0.99756076967426199</v>
      </c>
      <c r="S5642" t="s">
        <v>12448</v>
      </c>
      <c r="T5642" t="s">
        <v>13610</v>
      </c>
      <c r="U5642" t="s">
        <v>13610</v>
      </c>
      <c r="V5642" t="s">
        <v>13610</v>
      </c>
      <c r="W5642" t="s">
        <v>19180</v>
      </c>
      <c r="X5642">
        <v>10</v>
      </c>
      <c r="Y5642" t="s">
        <v>25738</v>
      </c>
      <c r="Z5642" t="s">
        <v>32497</v>
      </c>
      <c r="AA5642">
        <v>0.48691473141869412</v>
      </c>
      <c r="AB5642" t="str">
        <f>HYPERLINK("Melting_Curves/meltCurve_Q9C0F1_CEP44.pdf", "Melting_Curves/meltCurve_Q9C0F1_CEP44.pdf")</f>
        <v>Melting_Curves/meltCurve_Q9C0F1_CEP44.pdf</v>
      </c>
    </row>
    <row r="5643" spans="1:28" x14ac:dyDescent="0.25">
      <c r="A5643" t="s">
        <v>5647</v>
      </c>
      <c r="B5643">
        <v>0.995954080203443</v>
      </c>
      <c r="C5643">
        <v>1.04467460590365</v>
      </c>
      <c r="D5643">
        <v>0.98851062446996596</v>
      </c>
      <c r="E5643">
        <v>0.91687056868611205</v>
      </c>
      <c r="F5643">
        <v>0.68374771069292095</v>
      </c>
      <c r="G5643">
        <v>0.60740739313863601</v>
      </c>
      <c r="H5643">
        <v>0.47914502084102001</v>
      </c>
      <c r="I5643">
        <v>0.463961347747121</v>
      </c>
      <c r="J5643">
        <v>0.374927119248749</v>
      </c>
      <c r="K5643">
        <v>0.44195940834262398</v>
      </c>
      <c r="L5643">
        <v>986.20034077633102</v>
      </c>
      <c r="M5643">
        <v>18.354610655942601</v>
      </c>
      <c r="N5643">
        <v>59.476951888933797</v>
      </c>
      <c r="O5643">
        <v>53.1047693165794</v>
      </c>
      <c r="P5643">
        <v>-5.05402185505422E-2</v>
      </c>
      <c r="Q5643">
        <v>0.41512147780706499</v>
      </c>
      <c r="R5643">
        <v>0.97885423964090801</v>
      </c>
      <c r="S5643" t="s">
        <v>12449</v>
      </c>
      <c r="T5643" t="s">
        <v>13610</v>
      </c>
      <c r="U5643" t="s">
        <v>13610</v>
      </c>
      <c r="V5643" t="s">
        <v>13610</v>
      </c>
      <c r="W5643" t="s">
        <v>19181</v>
      </c>
      <c r="X5643">
        <v>8</v>
      </c>
      <c r="Y5643" t="s">
        <v>25739</v>
      </c>
      <c r="Z5643" t="s">
        <v>32498</v>
      </c>
      <c r="AA5643">
        <v>0.69195618944323756</v>
      </c>
      <c r="AB5643" t="str">
        <f>HYPERLINK("Melting_Curves/meltCurve_Q9C0G0_ZNF407.pdf", "Melting_Curves/meltCurve_Q9C0G0_ZNF407.pdf")</f>
        <v>Melting_Curves/meltCurve_Q9C0G0_ZNF407.pdf</v>
      </c>
    </row>
    <row r="5644" spans="1:28" x14ac:dyDescent="0.25">
      <c r="A5644" t="s">
        <v>5648</v>
      </c>
      <c r="B5644">
        <v>0.995954080203443</v>
      </c>
      <c r="C5644">
        <v>0.86967157939227302</v>
      </c>
      <c r="D5644">
        <v>0.83408699456443902</v>
      </c>
      <c r="E5644">
        <v>0.72388359336377095</v>
      </c>
      <c r="F5644">
        <v>0.59368212598861303</v>
      </c>
      <c r="G5644">
        <v>0.440065006985976</v>
      </c>
      <c r="H5644">
        <v>0.222115436466918</v>
      </c>
      <c r="I5644">
        <v>0.10776295697352101</v>
      </c>
      <c r="J5644">
        <v>0.101749897216649</v>
      </c>
      <c r="K5644">
        <v>0.10489739348712999</v>
      </c>
      <c r="L5644">
        <v>568.38617899274698</v>
      </c>
      <c r="M5644">
        <v>10.450276617396</v>
      </c>
      <c r="N5644">
        <v>54.389582093449803</v>
      </c>
      <c r="O5644">
        <v>52.511096356909803</v>
      </c>
      <c r="P5644">
        <v>-4.9773148984535102E-2</v>
      </c>
      <c r="Q5644">
        <v>0</v>
      </c>
      <c r="R5644">
        <v>0.985136200594112</v>
      </c>
      <c r="S5644" t="s">
        <v>12450</v>
      </c>
      <c r="T5644" t="s">
        <v>13610</v>
      </c>
      <c r="U5644" t="s">
        <v>13610</v>
      </c>
      <c r="V5644" t="s">
        <v>13610</v>
      </c>
      <c r="W5644" t="s">
        <v>19182</v>
      </c>
      <c r="X5644">
        <v>13</v>
      </c>
      <c r="Y5644" t="s">
        <v>25740</v>
      </c>
      <c r="Z5644" t="s">
        <v>32499</v>
      </c>
      <c r="AA5644">
        <v>0.50746684364308481</v>
      </c>
      <c r="AB5644" t="str">
        <f>HYPERLINK("Melting_Curves/meltCurve_Q9C0I1_MTMR12.pdf", "Melting_Curves/meltCurve_Q9C0I1_MTMR12.pdf")</f>
        <v>Melting_Curves/meltCurve_Q9C0I1_MTMR12.pdf</v>
      </c>
    </row>
    <row r="5645" spans="1:28" x14ac:dyDescent="0.25">
      <c r="A5645" t="s">
        <v>5649</v>
      </c>
      <c r="B5645">
        <v>0.995954080203443</v>
      </c>
      <c r="C5645">
        <v>0.81563654702009103</v>
      </c>
      <c r="D5645">
        <v>0.74110651873849998</v>
      </c>
      <c r="E5645">
        <v>0.53746157182719601</v>
      </c>
      <c r="F5645">
        <v>0.423199517051077</v>
      </c>
      <c r="G5645">
        <v>0.31782279427854199</v>
      </c>
      <c r="H5645">
        <v>0.29310543756881402</v>
      </c>
      <c r="I5645">
        <v>0.34112886789972902</v>
      </c>
      <c r="J5645">
        <v>0.42808867406892098</v>
      </c>
      <c r="K5645">
        <v>0.39950338463444401</v>
      </c>
      <c r="L5645">
        <v>770.993269755494</v>
      </c>
      <c r="M5645">
        <v>16.516973223437599</v>
      </c>
      <c r="N5645">
        <v>50.315512437921399</v>
      </c>
      <c r="O5645">
        <v>46.010700782893103</v>
      </c>
      <c r="P5645">
        <v>-5.8476112270833901E-2</v>
      </c>
      <c r="Q5645">
        <v>0.34846641944192802</v>
      </c>
      <c r="R5645">
        <v>0.95541194294877896</v>
      </c>
      <c r="S5645" t="s">
        <v>12451</v>
      </c>
      <c r="T5645" t="s">
        <v>13610</v>
      </c>
      <c r="U5645" t="s">
        <v>13610</v>
      </c>
      <c r="V5645" t="s">
        <v>13610</v>
      </c>
      <c r="W5645" t="s">
        <v>19183</v>
      </c>
      <c r="X5645">
        <v>43</v>
      </c>
      <c r="Y5645" t="s">
        <v>25741</v>
      </c>
      <c r="Z5645" t="s">
        <v>32500</v>
      </c>
      <c r="AA5645">
        <v>0.50826044209792209</v>
      </c>
      <c r="AB5645" t="str">
        <f>HYPERLINK("Melting_Curves/meltCurve_Q9C0J8_WDR33.pdf", "Melting_Curves/meltCurve_Q9C0J8_WDR33.pdf")</f>
        <v>Melting_Curves/meltCurve_Q9C0J8_WDR33.pdf</v>
      </c>
    </row>
    <row r="5646" spans="1:28" x14ac:dyDescent="0.25">
      <c r="A5646" t="s">
        <v>5650</v>
      </c>
      <c r="B5646">
        <v>0.995954080203443</v>
      </c>
      <c r="C5646">
        <v>0.92959893018728701</v>
      </c>
      <c r="D5646">
        <v>0.92884705375626098</v>
      </c>
      <c r="E5646">
        <v>0.72475009604623997</v>
      </c>
      <c r="F5646">
        <v>0.58120477852415398</v>
      </c>
      <c r="G5646">
        <v>0.32673424289375802</v>
      </c>
      <c r="H5646">
        <v>0.16336176629294</v>
      </c>
      <c r="I5646">
        <v>0.11236755271368</v>
      </c>
      <c r="J5646">
        <v>0.11015211802272901</v>
      </c>
      <c r="K5646">
        <v>0.111933821253745</v>
      </c>
      <c r="L5646">
        <v>782.68173958856698</v>
      </c>
      <c r="M5646">
        <v>14.6663511099612</v>
      </c>
      <c r="N5646">
        <v>53.820806795119204</v>
      </c>
      <c r="O5646">
        <v>52.403128559655698</v>
      </c>
      <c r="P5646">
        <v>-6.5896544787764397E-2</v>
      </c>
      <c r="Q5646">
        <v>5.8305867509219698E-2</v>
      </c>
      <c r="R5646">
        <v>0.99597967764273698</v>
      </c>
      <c r="S5646" t="s">
        <v>12452</v>
      </c>
      <c r="T5646" t="s">
        <v>13610</v>
      </c>
      <c r="U5646" t="s">
        <v>13610</v>
      </c>
      <c r="V5646" t="s">
        <v>13610</v>
      </c>
      <c r="W5646" t="s">
        <v>19184</v>
      </c>
      <c r="X5646">
        <v>2</v>
      </c>
      <c r="Y5646" t="s">
        <v>25742</v>
      </c>
      <c r="Z5646" t="s">
        <v>32501</v>
      </c>
      <c r="AA5646">
        <v>0.4983994300472035</v>
      </c>
      <c r="AB5646" t="str">
        <f>HYPERLINK("Melting_Curves/meltCurve_Q9C0K7_2_STRADB.pdf", "Melting_Curves/meltCurve_Q9C0K7_2_STRADB.pdf")</f>
        <v>Melting_Curves/meltCurve_Q9C0K7_2_STRADB.pdf</v>
      </c>
    </row>
    <row r="5647" spans="1:28" x14ac:dyDescent="0.25">
      <c r="A5647" t="s">
        <v>5651</v>
      </c>
      <c r="B5647">
        <v>0.995954080203443</v>
      </c>
      <c r="C5647">
        <v>0.86466140815033699</v>
      </c>
      <c r="D5647">
        <v>0.762218406948308</v>
      </c>
      <c r="E5647">
        <v>0.64021663432255704</v>
      </c>
      <c r="F5647">
        <v>0.57923746994539005</v>
      </c>
      <c r="G5647">
        <v>0.41509846063828498</v>
      </c>
      <c r="H5647">
        <v>0.27538089323941001</v>
      </c>
      <c r="I5647">
        <v>0.189957362268449</v>
      </c>
      <c r="J5647">
        <v>0.120209304171631</v>
      </c>
      <c r="K5647">
        <v>8.9675689363188996E-2</v>
      </c>
      <c r="L5647">
        <v>460.48782861243501</v>
      </c>
      <c r="M5647">
        <v>8.5635891025726902</v>
      </c>
      <c r="N5647">
        <v>53.772760566637899</v>
      </c>
      <c r="O5647">
        <v>51.0812776863987</v>
      </c>
      <c r="P5647">
        <v>-4.1948304321143201E-2</v>
      </c>
      <c r="Q5647">
        <v>0</v>
      </c>
      <c r="R5647">
        <v>0.98764004255048898</v>
      </c>
      <c r="S5647" t="s">
        <v>12453</v>
      </c>
      <c r="T5647" t="s">
        <v>13610</v>
      </c>
      <c r="U5647" t="s">
        <v>13610</v>
      </c>
      <c r="V5647" t="s">
        <v>13610</v>
      </c>
      <c r="W5647" t="s">
        <v>19185</v>
      </c>
      <c r="X5647">
        <v>15</v>
      </c>
      <c r="Y5647" t="s">
        <v>25743</v>
      </c>
      <c r="Z5647" t="s">
        <v>32502</v>
      </c>
      <c r="AA5647">
        <v>0.49349108749642079</v>
      </c>
      <c r="AB5647" t="str">
        <f>HYPERLINK("Melting_Curves/meltCurve_Q9GZL7_WDR12.pdf", "Melting_Curves/meltCurve_Q9GZL7_WDR12.pdf")</f>
        <v>Melting_Curves/meltCurve_Q9GZL7_WDR12.pdf</v>
      </c>
    </row>
    <row r="5648" spans="1:28" x14ac:dyDescent="0.25">
      <c r="A5648" t="s">
        <v>5652</v>
      </c>
      <c r="B5648">
        <v>0.995954080203443</v>
      </c>
      <c r="C5648">
        <v>0.89824982566513101</v>
      </c>
      <c r="D5648">
        <v>0.86853571513531802</v>
      </c>
      <c r="E5648">
        <v>0.712126648673438</v>
      </c>
      <c r="F5648">
        <v>0.35131353336717203</v>
      </c>
      <c r="G5648">
        <v>0.193075042225935</v>
      </c>
      <c r="H5648">
        <v>7.3610867261772697E-2</v>
      </c>
      <c r="I5648">
        <v>4.7903360223061998E-2</v>
      </c>
      <c r="J5648">
        <v>5.9101938804921497E-2</v>
      </c>
      <c r="K5648">
        <v>5.3783080686122503E-2</v>
      </c>
      <c r="L5648">
        <v>921.10725991617301</v>
      </c>
      <c r="M5648">
        <v>17.869468349626999</v>
      </c>
      <c r="N5648">
        <v>51.7339322258143</v>
      </c>
      <c r="O5648">
        <v>50.913885804578896</v>
      </c>
      <c r="P5648">
        <v>-8.49965632333506E-2</v>
      </c>
      <c r="Q5648">
        <v>3.1356610425369899E-2</v>
      </c>
      <c r="R5648">
        <v>0.98998528242203498</v>
      </c>
      <c r="S5648" t="s">
        <v>12454</v>
      </c>
      <c r="T5648" t="s">
        <v>13610</v>
      </c>
      <c r="U5648" t="s">
        <v>13610</v>
      </c>
      <c r="V5648" t="s">
        <v>13610</v>
      </c>
      <c r="W5648" t="s">
        <v>19186</v>
      </c>
      <c r="X5648">
        <v>4</v>
      </c>
      <c r="Y5648" t="s">
        <v>25744</v>
      </c>
      <c r="Z5648" t="s">
        <v>32503</v>
      </c>
      <c r="AA5648">
        <v>0.42059129153396729</v>
      </c>
      <c r="AB5648" t="str">
        <f>HYPERLINK("Melting_Curves/meltCurve_Q9GZN2_TGIF2.pdf", "Melting_Curves/meltCurve_Q9GZN2_TGIF2.pdf")</f>
        <v>Melting_Curves/meltCurve_Q9GZN2_TGIF2.pdf</v>
      </c>
    </row>
    <row r="5649" spans="1:28" x14ac:dyDescent="0.25">
      <c r="A5649" t="s">
        <v>5653</v>
      </c>
      <c r="B5649">
        <v>0.995954080203443</v>
      </c>
      <c r="C5649">
        <v>1.0276423380731401</v>
      </c>
      <c r="D5649">
        <v>0.98677459338448104</v>
      </c>
      <c r="E5649">
        <v>0.91347454833268504</v>
      </c>
      <c r="F5649">
        <v>0.85023121760485598</v>
      </c>
      <c r="G5649">
        <v>0.56079891511185798</v>
      </c>
      <c r="H5649">
        <v>0.31883660322182</v>
      </c>
      <c r="I5649">
        <v>0.177916643628454</v>
      </c>
      <c r="J5649">
        <v>0.13792806520978801</v>
      </c>
      <c r="K5649">
        <v>0.11893082255622001</v>
      </c>
      <c r="L5649">
        <v>1055.4500975247199</v>
      </c>
      <c r="M5649">
        <v>18.401903925638699</v>
      </c>
      <c r="N5649">
        <v>57.8847599582895</v>
      </c>
      <c r="O5649">
        <v>56.691024795609003</v>
      </c>
      <c r="P5649">
        <v>-7.4869682556140293E-2</v>
      </c>
      <c r="Q5649">
        <v>7.7433032645375197E-2</v>
      </c>
      <c r="R5649">
        <v>0.998093845289731</v>
      </c>
      <c r="S5649" t="s">
        <v>12455</v>
      </c>
      <c r="T5649" t="s">
        <v>13610</v>
      </c>
      <c r="U5649" t="s">
        <v>13610</v>
      </c>
      <c r="V5649" t="s">
        <v>13610</v>
      </c>
      <c r="W5649" t="s">
        <v>19187</v>
      </c>
      <c r="X5649">
        <v>8</v>
      </c>
      <c r="Y5649" t="s">
        <v>25745</v>
      </c>
      <c r="Z5649" t="s">
        <v>32504</v>
      </c>
      <c r="AA5649">
        <v>0.62316375838432314</v>
      </c>
      <c r="AB5649" t="str">
        <f>HYPERLINK("Melting_Curves/meltCurve_Q9GZN8_C20orf27.pdf", "Melting_Curves/meltCurve_Q9GZN8_C20orf27.pdf")</f>
        <v>Melting_Curves/meltCurve_Q9GZN8_C20orf27.pdf</v>
      </c>
    </row>
    <row r="5650" spans="1:28" x14ac:dyDescent="0.25">
      <c r="A5650" t="s">
        <v>5654</v>
      </c>
      <c r="B5650">
        <v>0.995954080203443</v>
      </c>
      <c r="C5650">
        <v>0.95889523867558002</v>
      </c>
      <c r="D5650">
        <v>0.93869240593227199</v>
      </c>
      <c r="E5650">
        <v>0.86959705170051005</v>
      </c>
      <c r="F5650">
        <v>0.82719174521612104</v>
      </c>
      <c r="G5650">
        <v>0.632126239108174</v>
      </c>
      <c r="H5650">
        <v>0.54642605202517902</v>
      </c>
      <c r="I5650">
        <v>0.53839459690230695</v>
      </c>
      <c r="J5650">
        <v>0.46379856128763702</v>
      </c>
      <c r="K5650">
        <v>0.22911587977296399</v>
      </c>
      <c r="L5650">
        <v>466.15161525857098</v>
      </c>
      <c r="M5650">
        <v>7.3925465567085702</v>
      </c>
      <c r="N5650">
        <v>63.056973399527799</v>
      </c>
      <c r="O5650">
        <v>58.935789608940603</v>
      </c>
      <c r="P5650">
        <v>-3.1406027939704498E-2</v>
      </c>
      <c r="Q5650">
        <v>0</v>
      </c>
      <c r="R5650">
        <v>0.96175946814623903</v>
      </c>
      <c r="S5650" t="s">
        <v>12456</v>
      </c>
      <c r="T5650" t="s">
        <v>13610</v>
      </c>
      <c r="U5650" t="s">
        <v>13610</v>
      </c>
      <c r="V5650" t="s">
        <v>13610</v>
      </c>
      <c r="W5650" t="s">
        <v>19188</v>
      </c>
      <c r="X5650">
        <v>18</v>
      </c>
      <c r="Y5650" t="s">
        <v>25746</v>
      </c>
      <c r="Z5650" t="s">
        <v>32505</v>
      </c>
      <c r="AA5650">
        <v>0.71196015447426475</v>
      </c>
      <c r="AB5650" t="str">
        <f>HYPERLINK("Melting_Curves/meltCurve_Q9GZP4_PITHD1.pdf", "Melting_Curves/meltCurve_Q9GZP4_PITHD1.pdf")</f>
        <v>Melting_Curves/meltCurve_Q9GZP4_PITHD1.pdf</v>
      </c>
    </row>
    <row r="5651" spans="1:28" x14ac:dyDescent="0.25">
      <c r="A5651" t="s">
        <v>5655</v>
      </c>
      <c r="B5651">
        <v>0.995954080203443</v>
      </c>
      <c r="C5651">
        <v>0.79079079781789696</v>
      </c>
      <c r="D5651">
        <v>0.62204031263578696</v>
      </c>
      <c r="E5651">
        <v>0.69511296235453501</v>
      </c>
      <c r="F5651">
        <v>0.50225603988129297</v>
      </c>
      <c r="G5651">
        <v>0.176735742605204</v>
      </c>
      <c r="H5651">
        <v>7.8397726670029894E-2</v>
      </c>
      <c r="I5651">
        <v>6.8784064540189996E-2</v>
      </c>
      <c r="J5651">
        <v>7.5879388704845396E-2</v>
      </c>
      <c r="K5651">
        <v>6.3693774051012106E-2</v>
      </c>
      <c r="L5651">
        <v>527.50727776776705</v>
      </c>
      <c r="M5651">
        <v>10.3424513538392</v>
      </c>
      <c r="N5651">
        <v>51.004110859725898</v>
      </c>
      <c r="O5651">
        <v>49.207744441090199</v>
      </c>
      <c r="P5651">
        <v>-5.25673120897397E-2</v>
      </c>
      <c r="Q5651">
        <v>0</v>
      </c>
      <c r="R5651">
        <v>0.93750325376085997</v>
      </c>
      <c r="S5651" t="s">
        <v>12457</v>
      </c>
      <c r="T5651" t="s">
        <v>13610</v>
      </c>
      <c r="U5651" t="s">
        <v>13610</v>
      </c>
      <c r="V5651" t="s">
        <v>13610</v>
      </c>
      <c r="W5651" t="s">
        <v>19189</v>
      </c>
      <c r="X5651">
        <v>8</v>
      </c>
      <c r="Y5651" t="s">
        <v>25747</v>
      </c>
      <c r="Z5651" t="s">
        <v>32506</v>
      </c>
      <c r="AA5651">
        <v>0.40666159576781752</v>
      </c>
      <c r="AB5651" t="str">
        <f>HYPERLINK("Melting_Curves/meltCurve_Q9GZQ3_COMMD5.pdf", "Melting_Curves/meltCurve_Q9GZQ3_COMMD5.pdf")</f>
        <v>Melting_Curves/meltCurve_Q9GZQ3_COMMD5.pdf</v>
      </c>
    </row>
    <row r="5652" spans="1:28" x14ac:dyDescent="0.25">
      <c r="A5652" t="s">
        <v>5656</v>
      </c>
      <c r="B5652">
        <v>0.995954080203443</v>
      </c>
      <c r="C5652">
        <v>0.97808938732705597</v>
      </c>
      <c r="D5652">
        <v>0.86430471019071597</v>
      </c>
      <c r="E5652">
        <v>0.48272502044495902</v>
      </c>
      <c r="F5652">
        <v>0.31495453601846601</v>
      </c>
      <c r="G5652">
        <v>0.20960654326219</v>
      </c>
      <c r="H5652">
        <v>0.15529749352782499</v>
      </c>
      <c r="I5652">
        <v>0.152920720880621</v>
      </c>
      <c r="J5652">
        <v>0.16819364297285599</v>
      </c>
      <c r="K5652">
        <v>0.18479617313004501</v>
      </c>
      <c r="L5652">
        <v>1133.38468916957</v>
      </c>
      <c r="M5652">
        <v>23.072934882742398</v>
      </c>
      <c r="N5652">
        <v>49.995399632647</v>
      </c>
      <c r="O5652">
        <v>48.757295143144397</v>
      </c>
      <c r="P5652">
        <v>-9.8680716720549302E-2</v>
      </c>
      <c r="Q5652">
        <v>0.165894426779152</v>
      </c>
      <c r="R5652">
        <v>0.99837132680461405</v>
      </c>
      <c r="S5652" t="s">
        <v>12458</v>
      </c>
      <c r="T5652" t="s">
        <v>13610</v>
      </c>
      <c r="U5652" t="s">
        <v>13610</v>
      </c>
      <c r="V5652" t="s">
        <v>13610</v>
      </c>
      <c r="W5652" t="s">
        <v>19190</v>
      </c>
      <c r="X5652">
        <v>13</v>
      </c>
      <c r="Y5652" t="s">
        <v>25748</v>
      </c>
      <c r="Z5652" t="s">
        <v>32507</v>
      </c>
      <c r="AA5652">
        <v>0.4282345726578175</v>
      </c>
      <c r="AB5652" t="str">
        <f>HYPERLINK("Melting_Curves/meltCurve_Q9GZR1_2_SENP6.pdf", "Melting_Curves/meltCurve_Q9GZR1_2_SENP6.pdf")</f>
        <v>Melting_Curves/meltCurve_Q9GZR1_2_SENP6.pdf</v>
      </c>
    </row>
    <row r="5653" spans="1:28" x14ac:dyDescent="0.25">
      <c r="A5653" t="s">
        <v>5657</v>
      </c>
      <c r="B5653">
        <v>0.995954080203443</v>
      </c>
      <c r="C5653">
        <v>0.62525803683542602</v>
      </c>
      <c r="D5653">
        <v>0.54285556141607005</v>
      </c>
      <c r="E5653">
        <v>0.46129724163287</v>
      </c>
      <c r="F5653">
        <v>0.44416422926462601</v>
      </c>
      <c r="G5653">
        <v>0.32959687543381</v>
      </c>
      <c r="H5653">
        <v>0.33971192671164802</v>
      </c>
      <c r="I5653">
        <v>0.39048348979154801</v>
      </c>
      <c r="J5653">
        <v>0.56343098472433395</v>
      </c>
      <c r="K5653">
        <v>0.47712028207020102</v>
      </c>
      <c r="L5653">
        <v>1780.8838457731899</v>
      </c>
      <c r="M5653">
        <v>42.0252840669351</v>
      </c>
      <c r="N5653">
        <v>44.611488606253403</v>
      </c>
      <c r="O5653">
        <v>42.2808703486551</v>
      </c>
      <c r="P5653">
        <v>-0.139376473338479</v>
      </c>
      <c r="Q5653">
        <v>0.43910446519979102</v>
      </c>
      <c r="R5653">
        <v>0.84922092839543595</v>
      </c>
      <c r="S5653" t="s">
        <v>12459</v>
      </c>
      <c r="T5653" t="s">
        <v>13610</v>
      </c>
      <c r="U5653" t="s">
        <v>13610</v>
      </c>
      <c r="V5653" t="s">
        <v>13610</v>
      </c>
      <c r="W5653" t="s">
        <v>19191</v>
      </c>
      <c r="X5653">
        <v>14</v>
      </c>
      <c r="Y5653" t="s">
        <v>25749</v>
      </c>
      <c r="Z5653" t="s">
        <v>32508</v>
      </c>
      <c r="AA5653">
        <v>0.48629620240082472</v>
      </c>
      <c r="AB5653" t="str">
        <f>HYPERLINK("Melting_Curves/meltCurve_Q9GZR2_REXO4.pdf", "Melting_Curves/meltCurve_Q9GZR2_REXO4.pdf")</f>
        <v>Melting_Curves/meltCurve_Q9GZR2_REXO4.pdf</v>
      </c>
    </row>
    <row r="5654" spans="1:28" x14ac:dyDescent="0.25">
      <c r="A5654" t="s">
        <v>5658</v>
      </c>
      <c r="B5654">
        <v>0.995954080203443</v>
      </c>
      <c r="C5654">
        <v>0.87482546348035395</v>
      </c>
      <c r="D5654">
        <v>0.65944171581033895</v>
      </c>
      <c r="E5654">
        <v>0.37452281591356401</v>
      </c>
      <c r="F5654">
        <v>0.20761117477852001</v>
      </c>
      <c r="G5654">
        <v>0.11213520479974801</v>
      </c>
      <c r="H5654">
        <v>8.28865730439408E-2</v>
      </c>
      <c r="I5654">
        <v>8.2754959907706593E-2</v>
      </c>
      <c r="J5654">
        <v>9.9916976037202801E-2</v>
      </c>
      <c r="K5654">
        <v>9.72241176716062E-2</v>
      </c>
      <c r="L5654">
        <v>833.47545705993696</v>
      </c>
      <c r="M5654">
        <v>17.522129139719599</v>
      </c>
      <c r="N5654">
        <v>48.040839179114698</v>
      </c>
      <c r="O5654">
        <v>46.960451098352202</v>
      </c>
      <c r="P5654">
        <v>-8.5883739618044894E-2</v>
      </c>
      <c r="Q5654">
        <v>7.9354730266242707E-2</v>
      </c>
      <c r="R5654">
        <v>0.99790274577004401</v>
      </c>
      <c r="S5654" t="s">
        <v>12460</v>
      </c>
      <c r="T5654" t="s">
        <v>13610</v>
      </c>
      <c r="U5654" t="s">
        <v>13610</v>
      </c>
      <c r="V5654" t="s">
        <v>13610</v>
      </c>
      <c r="W5654" t="s">
        <v>19192</v>
      </c>
      <c r="X5654">
        <v>15</v>
      </c>
      <c r="Y5654" t="s">
        <v>25750</v>
      </c>
      <c r="Z5654" t="s">
        <v>32509</v>
      </c>
      <c r="AA5654">
        <v>0.32912210647529438</v>
      </c>
      <c r="AB5654" t="str">
        <f>HYPERLINK("Melting_Curves/meltCurve_Q9GZS1_2_POLR1E.pdf", "Melting_Curves/meltCurve_Q9GZS1_2_POLR1E.pdf")</f>
        <v>Melting_Curves/meltCurve_Q9GZS1_2_POLR1E.pdf</v>
      </c>
    </row>
    <row r="5655" spans="1:28" x14ac:dyDescent="0.25">
      <c r="A5655" t="s">
        <v>5659</v>
      </c>
      <c r="B5655">
        <v>0.995954080203443</v>
      </c>
      <c r="C5655">
        <v>0.89156995780913295</v>
      </c>
      <c r="D5655">
        <v>0.74972085774988895</v>
      </c>
      <c r="E5655">
        <v>0.67196910480199201</v>
      </c>
      <c r="F5655">
        <v>0.51381677627737199</v>
      </c>
      <c r="G5655">
        <v>0.20106087725108601</v>
      </c>
      <c r="H5655">
        <v>7.5619963922678599E-2</v>
      </c>
      <c r="I5655">
        <v>5.7812498978061698E-2</v>
      </c>
      <c r="J5655">
        <v>6.7264713629074893E-2</v>
      </c>
      <c r="K5655">
        <v>5.7237358108042702E-2</v>
      </c>
      <c r="L5655">
        <v>654.23584952866497</v>
      </c>
      <c r="M5655">
        <v>12.589972575151799</v>
      </c>
      <c r="N5655">
        <v>51.964825878566202</v>
      </c>
      <c r="O5655">
        <v>50.706094337716699</v>
      </c>
      <c r="P5655">
        <v>-6.2085692826281402E-2</v>
      </c>
      <c r="Q5655">
        <v>0</v>
      </c>
      <c r="R5655">
        <v>0.98074591939619205</v>
      </c>
      <c r="S5655" t="s">
        <v>12461</v>
      </c>
      <c r="T5655" t="s">
        <v>13610</v>
      </c>
      <c r="U5655" t="s">
        <v>13610</v>
      </c>
      <c r="V5655" t="s">
        <v>13610</v>
      </c>
      <c r="W5655" t="s">
        <v>19193</v>
      </c>
      <c r="X5655">
        <v>13</v>
      </c>
      <c r="Y5655" t="s">
        <v>25751</v>
      </c>
      <c r="Z5655" t="s">
        <v>32510</v>
      </c>
      <c r="AA5655">
        <v>0.42762609015053538</v>
      </c>
      <c r="AB5655" t="str">
        <f>HYPERLINK("Melting_Curves/meltCurve_Q9GZS3_WDR61.pdf", "Melting_Curves/meltCurve_Q9GZS3_WDR61.pdf")</f>
        <v>Melting_Curves/meltCurve_Q9GZS3_WDR61.pdf</v>
      </c>
    </row>
    <row r="5656" spans="1:28" x14ac:dyDescent="0.25">
      <c r="A5656" t="s">
        <v>5660</v>
      </c>
      <c r="B5656">
        <v>0.995954080203443</v>
      </c>
      <c r="C5656">
        <v>0.85314603221079199</v>
      </c>
      <c r="D5656">
        <v>0.40021499630785401</v>
      </c>
      <c r="E5656">
        <v>0.34423646443650002</v>
      </c>
      <c r="F5656">
        <v>0.248383874570753</v>
      </c>
      <c r="G5656">
        <v>0.16198540578369999</v>
      </c>
      <c r="H5656">
        <v>0.116067918730121</v>
      </c>
      <c r="I5656">
        <v>0.12175562150836799</v>
      </c>
      <c r="J5656">
        <v>0.14195308854108199</v>
      </c>
      <c r="K5656">
        <v>0.15777279451377799</v>
      </c>
      <c r="L5656">
        <v>1032.1281007730399</v>
      </c>
      <c r="M5656">
        <v>22.872257601878101</v>
      </c>
      <c r="N5656">
        <v>45.899410298199903</v>
      </c>
      <c r="O5656">
        <v>44.785059868530603</v>
      </c>
      <c r="P5656">
        <v>-0.107257821419928</v>
      </c>
      <c r="Q5656">
        <v>0.15995069320651101</v>
      </c>
      <c r="R5656">
        <v>0.96648296327639704</v>
      </c>
      <c r="S5656" t="s">
        <v>12462</v>
      </c>
      <c r="T5656" t="s">
        <v>13610</v>
      </c>
      <c r="U5656" t="s">
        <v>13610</v>
      </c>
      <c r="V5656" t="s">
        <v>13610</v>
      </c>
      <c r="W5656" t="s">
        <v>19194</v>
      </c>
      <c r="X5656">
        <v>6</v>
      </c>
      <c r="Y5656" t="s">
        <v>25752</v>
      </c>
      <c r="Z5656" t="s">
        <v>32511</v>
      </c>
      <c r="AA5656">
        <v>0.31370172122664569</v>
      </c>
      <c r="AB5656" t="str">
        <f>HYPERLINK("Melting_Curves/meltCurve_Q9GZT3_2_SLIRP.pdf", "Melting_Curves/meltCurve_Q9GZT3_2_SLIRP.pdf")</f>
        <v>Melting_Curves/meltCurve_Q9GZT3_2_SLIRP.pdf</v>
      </c>
    </row>
    <row r="5657" spans="1:28" x14ac:dyDescent="0.25">
      <c r="A5657" t="s">
        <v>5661</v>
      </c>
      <c r="B5657">
        <v>0.995954080203443</v>
      </c>
      <c r="C5657">
        <v>0.95399289955283495</v>
      </c>
      <c r="D5657">
        <v>0.70618189350438898</v>
      </c>
      <c r="E5657">
        <v>0.38668810621766703</v>
      </c>
      <c r="F5657">
        <v>0.13546934770918501</v>
      </c>
      <c r="G5657">
        <v>8.0969737856759399E-2</v>
      </c>
      <c r="H5657">
        <v>5.9617196827529001E-2</v>
      </c>
      <c r="I5657">
        <v>3.9670582192554302E-2</v>
      </c>
      <c r="J5657">
        <v>6.3748303599126796E-2</v>
      </c>
      <c r="K5657">
        <v>5.40960417313779E-2</v>
      </c>
      <c r="L5657">
        <v>997.464222425907</v>
      </c>
      <c r="M5657">
        <v>20.717853859814799</v>
      </c>
      <c r="N5657">
        <v>48.369642392185803</v>
      </c>
      <c r="O5657">
        <v>47.703332175729699</v>
      </c>
      <c r="P5657">
        <v>-0.103602902956986</v>
      </c>
      <c r="Q5657">
        <v>4.5834802887194402E-2</v>
      </c>
      <c r="R5657">
        <v>0.99655828270800695</v>
      </c>
      <c r="S5657" t="s">
        <v>12463</v>
      </c>
      <c r="T5657" t="s">
        <v>13610</v>
      </c>
      <c r="U5657" t="s">
        <v>13610</v>
      </c>
      <c r="V5657" t="s">
        <v>13610</v>
      </c>
      <c r="W5657" t="s">
        <v>19195</v>
      </c>
      <c r="X5657">
        <v>6</v>
      </c>
      <c r="Y5657" t="s">
        <v>25753</v>
      </c>
      <c r="Z5657" t="s">
        <v>32512</v>
      </c>
      <c r="AA5657">
        <v>0.31744703657840673</v>
      </c>
      <c r="AB5657" t="str">
        <f>HYPERLINK("Melting_Curves/meltCurve_Q9GZT4_SRR.pdf", "Melting_Curves/meltCurve_Q9GZT4_SRR.pdf")</f>
        <v>Melting_Curves/meltCurve_Q9GZT4_SRR.pdf</v>
      </c>
    </row>
    <row r="5658" spans="1:28" x14ac:dyDescent="0.25">
      <c r="A5658" t="s">
        <v>5662</v>
      </c>
      <c r="B5658">
        <v>0.995954080203443</v>
      </c>
      <c r="C5658">
        <v>0.901349984662843</v>
      </c>
      <c r="D5658">
        <v>0.87576671071970402</v>
      </c>
      <c r="E5658">
        <v>0.94440259767397805</v>
      </c>
      <c r="F5658">
        <v>0.77025129552593696</v>
      </c>
      <c r="G5658">
        <v>0.62764197645144204</v>
      </c>
      <c r="H5658">
        <v>0.27790661190232502</v>
      </c>
      <c r="I5658">
        <v>0.14409460124965201</v>
      </c>
      <c r="J5658">
        <v>0.11785777015133</v>
      </c>
      <c r="K5658">
        <v>0.11173173823846</v>
      </c>
      <c r="L5658">
        <v>912.60434054237396</v>
      </c>
      <c r="M5658">
        <v>15.813727472350999</v>
      </c>
      <c r="N5658">
        <v>57.8402318341087</v>
      </c>
      <c r="O5658">
        <v>56.810424443805402</v>
      </c>
      <c r="P5658">
        <v>-6.8375003802616297E-2</v>
      </c>
      <c r="Q5658">
        <v>1.7538652987449801E-2</v>
      </c>
      <c r="R5658">
        <v>0.974626826032016</v>
      </c>
      <c r="S5658" t="s">
        <v>12464</v>
      </c>
      <c r="T5658" t="s">
        <v>13610</v>
      </c>
      <c r="U5658" t="s">
        <v>13610</v>
      </c>
      <c r="V5658" t="s">
        <v>13610</v>
      </c>
      <c r="W5658" t="s">
        <v>19196</v>
      </c>
      <c r="X5658">
        <v>16</v>
      </c>
      <c r="Y5658" t="s">
        <v>25754</v>
      </c>
      <c r="Z5658" t="s">
        <v>32513</v>
      </c>
      <c r="AA5658">
        <v>0.61115543847414122</v>
      </c>
      <c r="AB5658" t="str">
        <f>HYPERLINK("Melting_Curves/meltCurve_Q9GZT8_2_NIF3L1.pdf", "Melting_Curves/meltCurve_Q9GZT8_2_NIF3L1.pdf")</f>
        <v>Melting_Curves/meltCurve_Q9GZT8_2_NIF3L1.pdf</v>
      </c>
    </row>
    <row r="5659" spans="1:28" x14ac:dyDescent="0.25">
      <c r="A5659" t="s">
        <v>5663</v>
      </c>
      <c r="B5659">
        <v>0.995954080203443</v>
      </c>
      <c r="C5659">
        <v>0.79483574728439699</v>
      </c>
      <c r="D5659">
        <v>0.60082984241218595</v>
      </c>
      <c r="E5659">
        <v>0.41286339677533501</v>
      </c>
      <c r="F5659">
        <v>0.37247907318842199</v>
      </c>
      <c r="G5659">
        <v>0.29923934419095499</v>
      </c>
      <c r="H5659">
        <v>0.26242690162561799</v>
      </c>
      <c r="I5659">
        <v>0.29116326183078001</v>
      </c>
      <c r="J5659">
        <v>0.33608547618809798</v>
      </c>
      <c r="K5659">
        <v>0.33817516350860499</v>
      </c>
      <c r="L5659">
        <v>867.768995547911</v>
      </c>
      <c r="M5659">
        <v>19.170619120414202</v>
      </c>
      <c r="N5659">
        <v>47.627836728423098</v>
      </c>
      <c r="O5659">
        <v>44.781655401091697</v>
      </c>
      <c r="P5659">
        <v>-7.4192024667580195E-2</v>
      </c>
      <c r="Q5659">
        <v>0.30679051130042601</v>
      </c>
      <c r="R5659">
        <v>0.98441803470943801</v>
      </c>
      <c r="S5659" t="s">
        <v>12465</v>
      </c>
      <c r="T5659" t="s">
        <v>13610</v>
      </c>
      <c r="U5659" t="s">
        <v>13610</v>
      </c>
      <c r="V5659" t="s">
        <v>13610</v>
      </c>
      <c r="W5659" t="s">
        <v>19197</v>
      </c>
      <c r="X5659">
        <v>12</v>
      </c>
      <c r="Y5659" t="s">
        <v>25755</v>
      </c>
      <c r="Z5659" t="s">
        <v>32514</v>
      </c>
      <c r="AA5659">
        <v>0.44104433330518827</v>
      </c>
      <c r="AB5659" t="str">
        <f>HYPERLINK("Melting_Curves/meltCurve_Q9GZT9_EGLN1.pdf", "Melting_Curves/meltCurve_Q9GZT9_EGLN1.pdf")</f>
        <v>Melting_Curves/meltCurve_Q9GZT9_EGLN1.pdf</v>
      </c>
    </row>
    <row r="5660" spans="1:28" x14ac:dyDescent="0.25">
      <c r="A5660" t="s">
        <v>5664</v>
      </c>
      <c r="B5660">
        <v>0.995954080203443</v>
      </c>
      <c r="C5660">
        <v>0.88891867637929101</v>
      </c>
      <c r="D5660">
        <v>0.95208814781028295</v>
      </c>
      <c r="E5660">
        <v>0.81420948263923498</v>
      </c>
      <c r="F5660">
        <v>0.86609289377646803</v>
      </c>
      <c r="G5660">
        <v>0.65718446359840899</v>
      </c>
      <c r="H5660">
        <v>0.67129448688481097</v>
      </c>
      <c r="I5660">
        <v>0.73587044254790801</v>
      </c>
      <c r="J5660">
        <v>1.31727661466182</v>
      </c>
      <c r="K5660">
        <v>0.89622578755434301</v>
      </c>
      <c r="L5660">
        <v>944.68270989039502</v>
      </c>
      <c r="M5660">
        <v>21.960256935358402</v>
      </c>
      <c r="O5660">
        <v>42.665885937341997</v>
      </c>
      <c r="P5660">
        <v>-1.8571333457408998E-2</v>
      </c>
      <c r="Q5660">
        <v>0.85567663845021302</v>
      </c>
      <c r="R5660">
        <v>5.1167530852514798E-2</v>
      </c>
      <c r="S5660" t="s">
        <v>12466</v>
      </c>
      <c r="T5660" t="s">
        <v>13610</v>
      </c>
      <c r="U5660" t="s">
        <v>13610</v>
      </c>
      <c r="V5660" t="s">
        <v>13610</v>
      </c>
      <c r="W5660" t="s">
        <v>19198</v>
      </c>
      <c r="X5660">
        <v>17</v>
      </c>
      <c r="Y5660" t="s">
        <v>25756</v>
      </c>
      <c r="Z5660" t="s">
        <v>32515</v>
      </c>
      <c r="AA5660">
        <v>0.87295439025953392</v>
      </c>
      <c r="AB5660" t="str">
        <f>HYPERLINK("Melting_Curves/meltCurve_Q9GZU8_FAM192A.pdf", "Melting_Curves/meltCurve_Q9GZU8_FAM192A.pdf")</f>
        <v>Melting_Curves/meltCurve_Q9GZU8_FAM192A.pdf</v>
      </c>
    </row>
    <row r="5661" spans="1:28" x14ac:dyDescent="0.25">
      <c r="A5661" t="s">
        <v>5665</v>
      </c>
      <c r="B5661">
        <v>0.995954080203443</v>
      </c>
      <c r="C5661">
        <v>0.96834377705800601</v>
      </c>
      <c r="D5661">
        <v>0.88251932914529196</v>
      </c>
      <c r="E5661">
        <v>0.92503332426732199</v>
      </c>
      <c r="F5661">
        <v>0.63341101037162395</v>
      </c>
      <c r="G5661">
        <v>0.55816594455531199</v>
      </c>
      <c r="H5661">
        <v>0.46983237679002798</v>
      </c>
      <c r="I5661">
        <v>0.42794597130470202</v>
      </c>
      <c r="J5661">
        <v>0.46576538835298897</v>
      </c>
      <c r="K5661">
        <v>0.46764543451274099</v>
      </c>
      <c r="L5661">
        <v>1142.75296551781</v>
      </c>
      <c r="M5661">
        <v>21.8505626717733</v>
      </c>
      <c r="N5661">
        <v>58.4932731747449</v>
      </c>
      <c r="O5661">
        <v>51.866429718482998</v>
      </c>
      <c r="P5661">
        <v>-5.78678772454259E-2</v>
      </c>
      <c r="Q5661">
        <v>0.45057133837392099</v>
      </c>
      <c r="R5661">
        <v>0.96128608859425602</v>
      </c>
      <c r="S5661" t="s">
        <v>12467</v>
      </c>
      <c r="T5661" t="s">
        <v>13610</v>
      </c>
      <c r="U5661" t="s">
        <v>13610</v>
      </c>
      <c r="V5661" t="s">
        <v>13610</v>
      </c>
      <c r="W5661" t="s">
        <v>19199</v>
      </c>
      <c r="X5661">
        <v>3</v>
      </c>
      <c r="Y5661" t="s">
        <v>25757</v>
      </c>
      <c r="Z5661" t="s">
        <v>32516</v>
      </c>
      <c r="AA5661">
        <v>0.68228475638846153</v>
      </c>
      <c r="AB5661" t="str">
        <f>HYPERLINK("Melting_Curves/meltCurve_Q9GZX9_TWSG1.pdf", "Melting_Curves/meltCurve_Q9GZX9_TWSG1.pdf")</f>
        <v>Melting_Curves/meltCurve_Q9GZX9_TWSG1.pdf</v>
      </c>
    </row>
    <row r="5662" spans="1:28" x14ac:dyDescent="0.25">
      <c r="A5662" t="s">
        <v>5666</v>
      </c>
      <c r="B5662">
        <v>0.995954080203443</v>
      </c>
      <c r="C5662">
        <v>0.90243503461770103</v>
      </c>
      <c r="D5662">
        <v>0.81617953943195298</v>
      </c>
      <c r="E5662">
        <v>0.804998806069807</v>
      </c>
      <c r="F5662">
        <v>0.72010915692848498</v>
      </c>
      <c r="G5662">
        <v>0.50194414511484198</v>
      </c>
      <c r="H5662">
        <v>0.45093259765752902</v>
      </c>
      <c r="I5662">
        <v>0.48145703337896101</v>
      </c>
      <c r="J5662">
        <v>0.62166679072102904</v>
      </c>
      <c r="K5662">
        <v>0.60150476128758701</v>
      </c>
      <c r="L5662">
        <v>643.64937673744896</v>
      </c>
      <c r="M5662">
        <v>13.0531965353558</v>
      </c>
      <c r="O5662">
        <v>48.195447350995401</v>
      </c>
      <c r="P5662">
        <v>-3.2695722368542297E-2</v>
      </c>
      <c r="Q5662">
        <v>0.51720289818171505</v>
      </c>
      <c r="R5662">
        <v>0.84941082060137896</v>
      </c>
      <c r="S5662" t="s">
        <v>12468</v>
      </c>
      <c r="T5662" t="s">
        <v>13610</v>
      </c>
      <c r="U5662" t="s">
        <v>13610</v>
      </c>
      <c r="V5662" t="s">
        <v>13610</v>
      </c>
      <c r="W5662" t="s">
        <v>19200</v>
      </c>
      <c r="X5662">
        <v>4</v>
      </c>
      <c r="Y5662" t="s">
        <v>25758</v>
      </c>
      <c r="Z5662" t="s">
        <v>32517</v>
      </c>
      <c r="AA5662">
        <v>0.68213602785149385</v>
      </c>
      <c r="AB5662" t="str">
        <f>HYPERLINK("Melting_Curves/meltCurve_Q9GZY8_2_MFF.pdf", "Melting_Curves/meltCurve_Q9GZY8_2_MFF.pdf")</f>
        <v>Melting_Curves/meltCurve_Q9GZY8_2_MFF.pdf</v>
      </c>
    </row>
    <row r="5663" spans="1:28" x14ac:dyDescent="0.25">
      <c r="A5663" t="s">
        <v>5667</v>
      </c>
      <c r="B5663">
        <v>0.995954080203443</v>
      </c>
      <c r="C5663">
        <v>0.99007220770167903</v>
      </c>
      <c r="D5663">
        <v>0.816647278916108</v>
      </c>
      <c r="E5663">
        <v>0.64805266468686495</v>
      </c>
      <c r="F5663">
        <v>0.41958722653561298</v>
      </c>
      <c r="G5663">
        <v>0.24049837950337599</v>
      </c>
      <c r="H5663">
        <v>0.156211919814148</v>
      </c>
      <c r="I5663">
        <v>0.139375121302308</v>
      </c>
      <c r="J5663">
        <v>0.160943426176689</v>
      </c>
      <c r="K5663">
        <v>0.13326350303790899</v>
      </c>
      <c r="L5663">
        <v>822.40907280924296</v>
      </c>
      <c r="M5663">
        <v>16.171104369215801</v>
      </c>
      <c r="N5663">
        <v>51.721971728419902</v>
      </c>
      <c r="O5663">
        <v>50.098062191353897</v>
      </c>
      <c r="P5663">
        <v>-7.1139003448018601E-2</v>
      </c>
      <c r="Q5663">
        <v>0.118512115796675</v>
      </c>
      <c r="R5663">
        <v>0.99545460547948394</v>
      </c>
      <c r="S5663" t="s">
        <v>12469</v>
      </c>
      <c r="T5663" t="s">
        <v>13610</v>
      </c>
      <c r="U5663" t="s">
        <v>13610</v>
      </c>
      <c r="V5663" t="s">
        <v>13610</v>
      </c>
      <c r="W5663" t="s">
        <v>19201</v>
      </c>
      <c r="X5663">
        <v>8</v>
      </c>
      <c r="Y5663" t="s">
        <v>25759</v>
      </c>
      <c r="Z5663" t="s">
        <v>32518</v>
      </c>
      <c r="AA5663">
        <v>0.45551295382418128</v>
      </c>
      <c r="AB5663" t="str">
        <f>HYPERLINK("Melting_Curves/meltCurve_Q9GZZ9_UBA5.pdf", "Melting_Curves/meltCurve_Q9GZZ9_UBA5.pdf")</f>
        <v>Melting_Curves/meltCurve_Q9GZZ9_UBA5.pdf</v>
      </c>
    </row>
    <row r="5664" spans="1:28" x14ac:dyDescent="0.25">
      <c r="A5664" t="s">
        <v>5668</v>
      </c>
      <c r="B5664">
        <v>0.995954080203443</v>
      </c>
      <c r="C5664">
        <v>0.99401111631907901</v>
      </c>
      <c r="D5664">
        <v>1.03694958130527</v>
      </c>
      <c r="E5664">
        <v>0.89281044316446501</v>
      </c>
      <c r="F5664">
        <v>0.79839451719311905</v>
      </c>
      <c r="G5664">
        <v>0.45035764353854402</v>
      </c>
      <c r="H5664">
        <v>0.133855975685575</v>
      </c>
      <c r="I5664">
        <v>8.1567569718086305E-2</v>
      </c>
      <c r="J5664">
        <v>8.2337333297632806E-2</v>
      </c>
      <c r="K5664">
        <v>6.5026258128422304E-2</v>
      </c>
      <c r="L5664">
        <v>1280.3020568480899</v>
      </c>
      <c r="M5664">
        <v>22.866149936320799</v>
      </c>
      <c r="N5664">
        <v>56.2101135346498</v>
      </c>
      <c r="O5664">
        <v>55.568189463452804</v>
      </c>
      <c r="P5664">
        <v>-9.8492612301690499E-2</v>
      </c>
      <c r="Q5664">
        <v>4.2610797545677898E-2</v>
      </c>
      <c r="R5664">
        <v>0.99586076077899999</v>
      </c>
      <c r="S5664" t="s">
        <v>12470</v>
      </c>
      <c r="T5664" t="s">
        <v>13610</v>
      </c>
      <c r="U5664" t="s">
        <v>13610</v>
      </c>
      <c r="V5664" t="s">
        <v>13610</v>
      </c>
      <c r="W5664" t="s">
        <v>19202</v>
      </c>
      <c r="X5664">
        <v>9</v>
      </c>
      <c r="Y5664" t="s">
        <v>25760</v>
      </c>
      <c r="Z5664" t="s">
        <v>32519</v>
      </c>
      <c r="AA5664">
        <v>0.56308249698377044</v>
      </c>
      <c r="AB5664" t="str">
        <f>HYPERLINK("Melting_Curves/meltCurve_Q9H008_LHPP.pdf", "Melting_Curves/meltCurve_Q9H008_LHPP.pdf")</f>
        <v>Melting_Curves/meltCurve_Q9H008_LHPP.pdf</v>
      </c>
    </row>
    <row r="5665" spans="1:28" x14ac:dyDescent="0.25">
      <c r="A5665" t="s">
        <v>5669</v>
      </c>
      <c r="B5665">
        <v>0.995954080203443</v>
      </c>
      <c r="C5665">
        <v>0.94886800956097705</v>
      </c>
      <c r="D5665">
        <v>0.94583775274467197</v>
      </c>
      <c r="E5665">
        <v>0.86400761250962699</v>
      </c>
      <c r="F5665">
        <v>0.75703074446570595</v>
      </c>
      <c r="G5665">
        <v>0.56471957646530202</v>
      </c>
      <c r="H5665">
        <v>0.26588050316302198</v>
      </c>
      <c r="I5665">
        <v>0.13257261404712201</v>
      </c>
      <c r="J5665">
        <v>0.11475360991059</v>
      </c>
      <c r="K5665">
        <v>0.100018754095969</v>
      </c>
      <c r="L5665">
        <v>822.49305840291004</v>
      </c>
      <c r="M5665">
        <v>14.379959782245599</v>
      </c>
      <c r="N5665">
        <v>57.205033664620998</v>
      </c>
      <c r="O5665">
        <v>56.1251313531817</v>
      </c>
      <c r="P5665">
        <v>-6.3997510563208099E-2</v>
      </c>
      <c r="Q5665">
        <v>9.8691588404260593E-4</v>
      </c>
      <c r="R5665">
        <v>0.99266519846013501</v>
      </c>
      <c r="S5665" t="s">
        <v>12471</v>
      </c>
      <c r="T5665" t="s">
        <v>13610</v>
      </c>
      <c r="U5665" t="s">
        <v>13610</v>
      </c>
      <c r="V5665" t="s">
        <v>13610</v>
      </c>
      <c r="W5665" t="s">
        <v>19203</v>
      </c>
      <c r="X5665">
        <v>17</v>
      </c>
      <c r="Y5665" t="s">
        <v>25761</v>
      </c>
      <c r="Z5665" t="s">
        <v>32520</v>
      </c>
      <c r="AA5665">
        <v>0.58932782807419748</v>
      </c>
      <c r="AB5665" t="str">
        <f>HYPERLINK("Melting_Curves/meltCurve_Q9H074_PAIP1.pdf", "Melting_Curves/meltCurve_Q9H074_PAIP1.pdf")</f>
        <v>Melting_Curves/meltCurve_Q9H074_PAIP1.pdf</v>
      </c>
    </row>
    <row r="5666" spans="1:28" x14ac:dyDescent="0.25">
      <c r="A5666" t="s">
        <v>5670</v>
      </c>
      <c r="B5666">
        <v>0.995954080203443</v>
      </c>
      <c r="C5666">
        <v>1.1858847420223599</v>
      </c>
      <c r="D5666">
        <v>1.14002171389214</v>
      </c>
      <c r="E5666">
        <v>1.2298714263775099</v>
      </c>
      <c r="F5666">
        <v>1.34672854533887</v>
      </c>
      <c r="G5666">
        <v>1.5994209801435699</v>
      </c>
      <c r="H5666">
        <v>1.8699223770164799</v>
      </c>
      <c r="I5666">
        <v>2.53059503729154</v>
      </c>
      <c r="J5666">
        <v>1.30363194668241</v>
      </c>
      <c r="K5666">
        <v>2.7484098584695902</v>
      </c>
      <c r="L5666">
        <v>1271.1547570059199</v>
      </c>
      <c r="M5666">
        <v>25.6558969129335</v>
      </c>
      <c r="O5666">
        <v>49.248224643951197</v>
      </c>
      <c r="P5666">
        <v>6.5119628305445501E-2</v>
      </c>
      <c r="Q5666">
        <v>1.5</v>
      </c>
      <c r="R5666">
        <v>0.13137809169247899</v>
      </c>
      <c r="S5666" t="s">
        <v>12472</v>
      </c>
      <c r="T5666" t="s">
        <v>13610</v>
      </c>
      <c r="U5666" t="s">
        <v>13610</v>
      </c>
      <c r="V5666" t="s">
        <v>13610</v>
      </c>
      <c r="W5666" t="s">
        <v>19204</v>
      </c>
      <c r="X5666">
        <v>14</v>
      </c>
      <c r="Y5666" t="s">
        <v>25761</v>
      </c>
      <c r="Z5666" t="s">
        <v>32521</v>
      </c>
      <c r="AA5666">
        <v>1.336673702213713</v>
      </c>
      <c r="AB5666" t="str">
        <f>HYPERLINK("Melting_Curves/meltCurve_Q9H074_2_PAIP1.pdf", "Melting_Curves/meltCurve_Q9H074_2_PAIP1.pdf")</f>
        <v>Melting_Curves/meltCurve_Q9H074_2_PAIP1.pdf</v>
      </c>
    </row>
    <row r="5667" spans="1:28" x14ac:dyDescent="0.25">
      <c r="A5667" t="s">
        <v>5671</v>
      </c>
      <c r="B5667">
        <v>0.995954080203443</v>
      </c>
      <c r="C5667">
        <v>1.0767053713182699</v>
      </c>
      <c r="D5667">
        <v>0.90754289235925001</v>
      </c>
      <c r="E5667">
        <v>0.77385779630832296</v>
      </c>
      <c r="F5667">
        <v>0.561791159045257</v>
      </c>
      <c r="G5667">
        <v>0.28183418553706302</v>
      </c>
      <c r="H5667">
        <v>9.7260753746446299E-2</v>
      </c>
      <c r="I5667">
        <v>6.5916739238520899E-2</v>
      </c>
      <c r="J5667">
        <v>6.8207697911394194E-2</v>
      </c>
      <c r="K5667">
        <v>5.98412813746734E-2</v>
      </c>
      <c r="L5667">
        <v>959.86146631015094</v>
      </c>
      <c r="M5667">
        <v>17.9632299120113</v>
      </c>
      <c r="N5667">
        <v>53.6283795713953</v>
      </c>
      <c r="O5667">
        <v>52.785768407143102</v>
      </c>
      <c r="P5667">
        <v>-8.2409510049337401E-2</v>
      </c>
      <c r="Q5667">
        <v>3.13918053480658E-2</v>
      </c>
      <c r="R5667">
        <v>0.99297462529599101</v>
      </c>
      <c r="S5667" t="s">
        <v>12473</v>
      </c>
      <c r="T5667" t="s">
        <v>13610</v>
      </c>
      <c r="U5667" t="s">
        <v>13610</v>
      </c>
      <c r="V5667" t="s">
        <v>13610</v>
      </c>
      <c r="W5667" t="s">
        <v>19205</v>
      </c>
      <c r="X5667">
        <v>4</v>
      </c>
      <c r="Y5667" t="s">
        <v>25762</v>
      </c>
      <c r="Z5667" t="s">
        <v>32522</v>
      </c>
      <c r="AA5667">
        <v>0.48092793741730078</v>
      </c>
      <c r="AB5667" t="str">
        <f>HYPERLINK("Melting_Curves/meltCurve_Q9H079_KATNBL1.pdf", "Melting_Curves/meltCurve_Q9H079_KATNBL1.pdf")</f>
        <v>Melting_Curves/meltCurve_Q9H079_KATNBL1.pdf</v>
      </c>
    </row>
    <row r="5668" spans="1:28" x14ac:dyDescent="0.25">
      <c r="A5668" t="s">
        <v>5672</v>
      </c>
      <c r="B5668">
        <v>0.995954080203443</v>
      </c>
      <c r="C5668">
        <v>0.69789845597039601</v>
      </c>
      <c r="D5668">
        <v>1.1711109014521699</v>
      </c>
      <c r="E5668">
        <v>0.605272703258665</v>
      </c>
      <c r="F5668">
        <v>0.22787099131486099</v>
      </c>
      <c r="G5668">
        <v>0.113279805884117</v>
      </c>
      <c r="H5668">
        <v>7.2303019131311597E-2</v>
      </c>
      <c r="I5668">
        <v>6.2716596058652305E-2</v>
      </c>
      <c r="J5668">
        <v>8.4687125516700296E-2</v>
      </c>
      <c r="K5668">
        <v>6.7865919430857596E-2</v>
      </c>
      <c r="L5668">
        <v>2122.9422483714402</v>
      </c>
      <c r="M5668">
        <v>42.0535200273005</v>
      </c>
      <c r="N5668">
        <v>50.7009080024729</v>
      </c>
      <c r="O5668">
        <v>50.368178838099603</v>
      </c>
      <c r="P5668">
        <v>-0.19139590899053099</v>
      </c>
      <c r="Q5668">
        <v>8.3049965625334093E-2</v>
      </c>
      <c r="R5668">
        <v>0.92053950619356595</v>
      </c>
      <c r="S5668" t="s">
        <v>12474</v>
      </c>
      <c r="T5668" t="s">
        <v>13610</v>
      </c>
      <c r="U5668" t="s">
        <v>13610</v>
      </c>
      <c r="V5668" t="s">
        <v>13610</v>
      </c>
      <c r="W5668" t="s">
        <v>19206</v>
      </c>
      <c r="X5668">
        <v>9</v>
      </c>
      <c r="Y5668" t="s">
        <v>25763</v>
      </c>
      <c r="Z5668" t="s">
        <v>32523</v>
      </c>
      <c r="AA5668">
        <v>0.40632265927807681</v>
      </c>
      <c r="AB5668" t="str">
        <f>HYPERLINK("Melting_Curves/meltCurve_Q9H081_MIS12.pdf", "Melting_Curves/meltCurve_Q9H081_MIS12.pdf")</f>
        <v>Melting_Curves/meltCurve_Q9H081_MIS12.pdf</v>
      </c>
    </row>
    <row r="5669" spans="1:28" x14ac:dyDescent="0.25">
      <c r="A5669" t="s">
        <v>5673</v>
      </c>
      <c r="B5669">
        <v>0.995954080203443</v>
      </c>
      <c r="C5669">
        <v>1.0195044661536901</v>
      </c>
      <c r="D5669">
        <v>0.80374797167001599</v>
      </c>
      <c r="E5669">
        <v>0.74610398355713903</v>
      </c>
      <c r="F5669">
        <v>0.46665378832011301</v>
      </c>
      <c r="G5669">
        <v>0.27651773027482102</v>
      </c>
      <c r="H5669">
        <v>0.15021157481870601</v>
      </c>
      <c r="I5669">
        <v>0.11423447917379401</v>
      </c>
      <c r="J5669">
        <v>0.102887495059675</v>
      </c>
      <c r="K5669">
        <v>8.7157745215506802E-2</v>
      </c>
      <c r="L5669">
        <v>772.11100068686505</v>
      </c>
      <c r="M5669">
        <v>14.744605827613</v>
      </c>
      <c r="N5669">
        <v>52.809182695371497</v>
      </c>
      <c r="O5669">
        <v>51.4307238023925</v>
      </c>
      <c r="P5669">
        <v>-6.7505502438791706E-2</v>
      </c>
      <c r="Q5669">
        <v>5.8236819561495998E-2</v>
      </c>
      <c r="R5669">
        <v>0.98861781086668199</v>
      </c>
      <c r="S5669" t="s">
        <v>12475</v>
      </c>
      <c r="T5669" t="s">
        <v>13610</v>
      </c>
      <c r="U5669" t="s">
        <v>13610</v>
      </c>
      <c r="V5669" t="s">
        <v>13610</v>
      </c>
      <c r="W5669" t="s">
        <v>19207</v>
      </c>
      <c r="X5669">
        <v>2</v>
      </c>
      <c r="Y5669" t="s">
        <v>25764</v>
      </c>
      <c r="Z5669" t="s">
        <v>32524</v>
      </c>
      <c r="AA5669">
        <v>0.46773187828913698</v>
      </c>
      <c r="AB5669" t="str">
        <f>HYPERLINK("Melting_Curves/meltCurve_Q9H082_RAB33B.pdf", "Melting_Curves/meltCurve_Q9H082_RAB33B.pdf")</f>
        <v>Melting_Curves/meltCurve_Q9H082_RAB33B.pdf</v>
      </c>
    </row>
    <row r="5670" spans="1:28" x14ac:dyDescent="0.25">
      <c r="A5670" t="s">
        <v>5674</v>
      </c>
      <c r="B5670">
        <v>0.995954080203443</v>
      </c>
      <c r="C5670">
        <v>0.99375969098025396</v>
      </c>
      <c r="D5670">
        <v>1.0544392905508699</v>
      </c>
      <c r="E5670">
        <v>0.91920887765257697</v>
      </c>
      <c r="F5670">
        <v>0.67594977145785995</v>
      </c>
      <c r="G5670">
        <v>0.15434683104802599</v>
      </c>
      <c r="H5670">
        <v>8.6907211141335303E-2</v>
      </c>
      <c r="I5670">
        <v>7.7920050040911695E-2</v>
      </c>
      <c r="J5670">
        <v>9.6074006324129102E-2</v>
      </c>
      <c r="K5670">
        <v>6.5176785806862994E-2</v>
      </c>
      <c r="L5670">
        <v>2082.25593972039</v>
      </c>
      <c r="M5670">
        <v>38.728864056881299</v>
      </c>
      <c r="N5670">
        <v>53.9951740079945</v>
      </c>
      <c r="O5670">
        <v>53.622224816324596</v>
      </c>
      <c r="P5670">
        <v>-0.16682134285915401</v>
      </c>
      <c r="Q5670">
        <v>7.6109323993243994E-2</v>
      </c>
      <c r="R5670">
        <v>0.99718780451901501</v>
      </c>
      <c r="S5670" t="s">
        <v>12476</v>
      </c>
      <c r="T5670" t="s">
        <v>13610</v>
      </c>
      <c r="U5670" t="s">
        <v>13610</v>
      </c>
      <c r="V5670" t="s">
        <v>13610</v>
      </c>
      <c r="W5670" t="s">
        <v>19208</v>
      </c>
      <c r="X5670">
        <v>2</v>
      </c>
      <c r="Y5670" t="s">
        <v>25765</v>
      </c>
      <c r="Z5670" t="s">
        <v>32525</v>
      </c>
      <c r="AA5670">
        <v>0.50367613189622185</v>
      </c>
      <c r="AB5670" t="str">
        <f>HYPERLINK("Melting_Curves/meltCurve_Q9H094_2_NBPF3.pdf", "Melting_Curves/meltCurve_Q9H094_2_NBPF3.pdf")</f>
        <v>Melting_Curves/meltCurve_Q9H094_2_NBPF3.pdf</v>
      </c>
    </row>
    <row r="5671" spans="1:28" x14ac:dyDescent="0.25">
      <c r="A5671" t="s">
        <v>5675</v>
      </c>
      <c r="B5671">
        <v>0.995954080203443</v>
      </c>
      <c r="C5671">
        <v>1.1115262171673099</v>
      </c>
      <c r="D5671">
        <v>1.0710093739329201</v>
      </c>
      <c r="E5671">
        <v>1.0011227079378</v>
      </c>
      <c r="F5671">
        <v>0.97152206398951102</v>
      </c>
      <c r="G5671">
        <v>0.73887672721338804</v>
      </c>
      <c r="H5671">
        <v>0.72631857808653899</v>
      </c>
      <c r="I5671">
        <v>0.82166145797837398</v>
      </c>
      <c r="J5671">
        <v>1.0641955382172399</v>
      </c>
      <c r="K5671">
        <v>1.00220855508055</v>
      </c>
      <c r="L5671">
        <v>13317.029067126899</v>
      </c>
      <c r="M5671">
        <v>250</v>
      </c>
      <c r="O5671">
        <v>53.264707475557003</v>
      </c>
      <c r="P5671">
        <v>-0.151774777970894</v>
      </c>
      <c r="Q5671">
        <v>0.87065217377100101</v>
      </c>
      <c r="R5671">
        <v>0.346732263143881</v>
      </c>
      <c r="S5671" t="s">
        <v>12477</v>
      </c>
      <c r="T5671" t="s">
        <v>13610</v>
      </c>
      <c r="U5671" t="s">
        <v>13610</v>
      </c>
      <c r="V5671" t="s">
        <v>13610</v>
      </c>
      <c r="W5671" t="s">
        <v>19209</v>
      </c>
      <c r="X5671">
        <v>7</v>
      </c>
      <c r="Y5671" t="s">
        <v>25766</v>
      </c>
      <c r="Z5671" t="s">
        <v>32526</v>
      </c>
      <c r="AA5671">
        <v>0.92787099906517645</v>
      </c>
      <c r="AB5671" t="str">
        <f>HYPERLINK("Melting_Curves/meltCurve_Q9H098_FAM107B.pdf", "Melting_Curves/meltCurve_Q9H098_FAM107B.pdf")</f>
        <v>Melting_Curves/meltCurve_Q9H098_FAM107B.pdf</v>
      </c>
    </row>
    <row r="5672" spans="1:28" x14ac:dyDescent="0.25">
      <c r="A5672" t="s">
        <v>5676</v>
      </c>
      <c r="B5672">
        <v>0.995954080203443</v>
      </c>
      <c r="C5672">
        <v>0.63780477469693297</v>
      </c>
      <c r="D5672">
        <v>0.28385454579763902</v>
      </c>
      <c r="E5672">
        <v>0.266533485750306</v>
      </c>
      <c r="F5672">
        <v>0.194465484887655</v>
      </c>
      <c r="G5672">
        <v>0.13732771568914401</v>
      </c>
      <c r="H5672">
        <v>0.12487491906005101</v>
      </c>
      <c r="I5672">
        <v>0.140292073783714</v>
      </c>
      <c r="J5672">
        <v>0.16585305832505501</v>
      </c>
      <c r="K5672">
        <v>0.16122818188153001</v>
      </c>
      <c r="L5672">
        <v>1401.1227116661601</v>
      </c>
      <c r="M5672">
        <v>32.310782422410597</v>
      </c>
      <c r="N5672">
        <v>43.919105481795199</v>
      </c>
      <c r="O5672">
        <v>43.198856028082098</v>
      </c>
      <c r="P5672">
        <v>-0.15564004798174</v>
      </c>
      <c r="Q5672">
        <v>0.16765404590939101</v>
      </c>
      <c r="R5672">
        <v>0.98020997878802596</v>
      </c>
      <c r="S5672" t="s">
        <v>12478</v>
      </c>
      <c r="T5672" t="s">
        <v>13610</v>
      </c>
      <c r="U5672" t="s">
        <v>13610</v>
      </c>
      <c r="V5672" t="s">
        <v>13610</v>
      </c>
      <c r="W5672" t="s">
        <v>19210</v>
      </c>
      <c r="X5672">
        <v>30</v>
      </c>
      <c r="Y5672" t="s">
        <v>25767</v>
      </c>
      <c r="Z5672" t="s">
        <v>32527</v>
      </c>
      <c r="AA5672">
        <v>0.2667467586081374</v>
      </c>
      <c r="AB5672" t="str">
        <f>HYPERLINK("Melting_Curves/meltCurve_Q9H0A0_NAT10.pdf", "Melting_Curves/meltCurve_Q9H0A0_NAT10.pdf")</f>
        <v>Melting_Curves/meltCurve_Q9H0A0_NAT10.pdf</v>
      </c>
    </row>
    <row r="5673" spans="1:28" x14ac:dyDescent="0.25">
      <c r="A5673" t="s">
        <v>5677</v>
      </c>
      <c r="B5673">
        <v>0.995954080203443</v>
      </c>
      <c r="C5673">
        <v>0.76160758333882905</v>
      </c>
      <c r="D5673">
        <v>0.52738998021941796</v>
      </c>
      <c r="E5673">
        <v>0.48644494457441401</v>
      </c>
      <c r="F5673">
        <v>0.25249407708202798</v>
      </c>
      <c r="G5673">
        <v>0.12997779833839601</v>
      </c>
      <c r="H5673">
        <v>4.7387279079695803E-2</v>
      </c>
      <c r="I5673">
        <v>3.4322480288655297E-2</v>
      </c>
      <c r="J5673">
        <v>3.8401381325767502E-2</v>
      </c>
      <c r="K5673">
        <v>3.4017920140104498E-2</v>
      </c>
      <c r="L5673">
        <v>545.50719779178905</v>
      </c>
      <c r="M5673">
        <v>11.374435727261201</v>
      </c>
      <c r="N5673">
        <v>47.959056301779199</v>
      </c>
      <c r="O5673">
        <v>46.548435108764998</v>
      </c>
      <c r="P5673">
        <v>-6.1107363634388102E-2</v>
      </c>
      <c r="Q5673">
        <v>0</v>
      </c>
      <c r="R5673">
        <v>0.97289234876210196</v>
      </c>
      <c r="S5673" t="s">
        <v>12479</v>
      </c>
      <c r="T5673" t="s">
        <v>13610</v>
      </c>
      <c r="U5673" t="s">
        <v>13610</v>
      </c>
      <c r="V5673" t="s">
        <v>13610</v>
      </c>
      <c r="W5673" t="s">
        <v>19211</v>
      </c>
      <c r="X5673">
        <v>6</v>
      </c>
      <c r="Y5673" t="s">
        <v>25768</v>
      </c>
      <c r="Z5673" t="s">
        <v>32528</v>
      </c>
      <c r="AA5673">
        <v>0.30836898217333297</v>
      </c>
      <c r="AB5673" t="str">
        <f>HYPERLINK("Melting_Curves/meltCurve_Q9H0A8_COMMD4.pdf", "Melting_Curves/meltCurve_Q9H0A8_COMMD4.pdf")</f>
        <v>Melting_Curves/meltCurve_Q9H0A8_COMMD4.pdf</v>
      </c>
    </row>
    <row r="5674" spans="1:28" x14ac:dyDescent="0.25">
      <c r="A5674" t="s">
        <v>5678</v>
      </c>
      <c r="B5674">
        <v>0.995954080203443</v>
      </c>
      <c r="C5674">
        <v>0.84331980397015704</v>
      </c>
      <c r="D5674">
        <v>0.69153567651540104</v>
      </c>
      <c r="E5674">
        <v>0.37068163046875302</v>
      </c>
      <c r="F5674">
        <v>0.16686895855276099</v>
      </c>
      <c r="G5674">
        <v>0.11469107233072701</v>
      </c>
      <c r="H5674">
        <v>9.4241005224237201E-2</v>
      </c>
      <c r="I5674">
        <v>9.7403903246869594E-2</v>
      </c>
      <c r="J5674">
        <v>0.120620361966292</v>
      </c>
      <c r="K5674">
        <v>0.102654435275586</v>
      </c>
      <c r="L5674">
        <v>879.18911563489701</v>
      </c>
      <c r="M5674">
        <v>18.524431114038101</v>
      </c>
      <c r="N5674">
        <v>47.973475366789401</v>
      </c>
      <c r="O5674">
        <v>46.918321985563203</v>
      </c>
      <c r="P5674">
        <v>-8.9849914893999502E-2</v>
      </c>
      <c r="Q5674">
        <v>8.9759235043768107E-2</v>
      </c>
      <c r="R5674">
        <v>0.99451268678766502</v>
      </c>
      <c r="S5674" t="s">
        <v>12480</v>
      </c>
      <c r="T5674" t="s">
        <v>13610</v>
      </c>
      <c r="U5674" t="s">
        <v>13610</v>
      </c>
      <c r="V5674" t="s">
        <v>13610</v>
      </c>
      <c r="W5674" t="s">
        <v>19212</v>
      </c>
      <c r="X5674">
        <v>30</v>
      </c>
      <c r="Y5674" t="s">
        <v>25769</v>
      </c>
      <c r="Z5674" t="s">
        <v>32529</v>
      </c>
      <c r="AA5674">
        <v>0.33161072785725643</v>
      </c>
      <c r="AB5674" t="str">
        <f>HYPERLINK("Melting_Curves/meltCurve_Q9H0B6_KLC2.pdf", "Melting_Curves/meltCurve_Q9H0B6_KLC2.pdf")</f>
        <v>Melting_Curves/meltCurve_Q9H0B6_KLC2.pdf</v>
      </c>
    </row>
    <row r="5675" spans="1:28" x14ac:dyDescent="0.25">
      <c r="A5675" t="s">
        <v>5679</v>
      </c>
      <c r="B5675">
        <v>0.995954080203443</v>
      </c>
      <c r="C5675">
        <v>0.974267268702663</v>
      </c>
      <c r="D5675">
        <v>0.89196723231511699</v>
      </c>
      <c r="E5675">
        <v>0.41121287963282399</v>
      </c>
      <c r="F5675">
        <v>0.23541214290072099</v>
      </c>
      <c r="G5675">
        <v>0.153500016643079</v>
      </c>
      <c r="H5675">
        <v>0.104205162857002</v>
      </c>
      <c r="I5675">
        <v>8.2034967523504296E-2</v>
      </c>
      <c r="J5675">
        <v>9.6742366520919401E-2</v>
      </c>
      <c r="K5675">
        <v>8.2771065522998399E-2</v>
      </c>
      <c r="L5675">
        <v>1302.28498622795</v>
      </c>
      <c r="M5675">
        <v>26.5508906101403</v>
      </c>
      <c r="N5675">
        <v>49.463112271600799</v>
      </c>
      <c r="O5675">
        <v>48.772930331108199</v>
      </c>
      <c r="P5675">
        <v>-0.122522401516796</v>
      </c>
      <c r="Q5675">
        <v>9.9734412875136194E-2</v>
      </c>
      <c r="R5675">
        <v>0.99728268768675998</v>
      </c>
      <c r="S5675" t="s">
        <v>12481</v>
      </c>
      <c r="T5675" t="s">
        <v>13610</v>
      </c>
      <c r="U5675" t="s">
        <v>13610</v>
      </c>
      <c r="V5675" t="s">
        <v>13610</v>
      </c>
      <c r="W5675" t="s">
        <v>19213</v>
      </c>
      <c r="X5675">
        <v>19</v>
      </c>
      <c r="Y5675" t="s">
        <v>25770</v>
      </c>
      <c r="Z5675" t="s">
        <v>32530</v>
      </c>
      <c r="AA5675">
        <v>0.37832428104636251</v>
      </c>
      <c r="AB5675" t="str">
        <f>HYPERLINK("Melting_Curves/meltCurve_Q9H0C8_ILKAP.pdf", "Melting_Curves/meltCurve_Q9H0C8_ILKAP.pdf")</f>
        <v>Melting_Curves/meltCurve_Q9H0C8_ILKAP.pdf</v>
      </c>
    </row>
    <row r="5676" spans="1:28" x14ac:dyDescent="0.25">
      <c r="A5676" t="s">
        <v>5680</v>
      </c>
      <c r="B5676">
        <v>0.995954080203443</v>
      </c>
      <c r="C5676">
        <v>0.93800621720726596</v>
      </c>
      <c r="D5676">
        <v>0.92667524595010498</v>
      </c>
      <c r="E5676">
        <v>0.84949339053551798</v>
      </c>
      <c r="F5676">
        <v>0.75653145970705005</v>
      </c>
      <c r="G5676">
        <v>0.57393108457317499</v>
      </c>
      <c r="H5676">
        <v>0.32112236232833802</v>
      </c>
      <c r="I5676">
        <v>0.15517450256805901</v>
      </c>
      <c r="J5676">
        <v>0.11351359262315699</v>
      </c>
      <c r="K5676">
        <v>0.104162278525404</v>
      </c>
      <c r="L5676">
        <v>760.38514039633503</v>
      </c>
      <c r="M5676">
        <v>13.235207202842901</v>
      </c>
      <c r="N5676">
        <v>57.451701697580397</v>
      </c>
      <c r="O5676">
        <v>56.187634527215302</v>
      </c>
      <c r="P5676">
        <v>-5.8898136064376903E-2</v>
      </c>
      <c r="Q5676">
        <v>0</v>
      </c>
      <c r="R5676">
        <v>0.99152121209838495</v>
      </c>
      <c r="S5676" t="s">
        <v>12482</v>
      </c>
      <c r="T5676" t="s">
        <v>13610</v>
      </c>
      <c r="U5676" t="s">
        <v>13610</v>
      </c>
      <c r="V5676" t="s">
        <v>13610</v>
      </c>
      <c r="W5676" t="s">
        <v>19214</v>
      </c>
      <c r="X5676">
        <v>49</v>
      </c>
      <c r="Y5676" t="s">
        <v>25771</v>
      </c>
      <c r="Z5676" t="s">
        <v>32531</v>
      </c>
      <c r="AA5676">
        <v>0.59695898343671039</v>
      </c>
      <c r="AB5676" t="str">
        <f>HYPERLINK("Melting_Curves/meltCurve_Q9H0D6_XRN2.pdf", "Melting_Curves/meltCurve_Q9H0D6_XRN2.pdf")</f>
        <v>Melting_Curves/meltCurve_Q9H0D6_XRN2.pdf</v>
      </c>
    </row>
    <row r="5677" spans="1:28" x14ac:dyDescent="0.25">
      <c r="A5677" t="s">
        <v>5681</v>
      </c>
      <c r="B5677">
        <v>0.995954080203443</v>
      </c>
      <c r="C5677">
        <v>0.93373816453721503</v>
      </c>
      <c r="D5677">
        <v>0.90403012710432595</v>
      </c>
      <c r="E5677">
        <v>0.77051091277141104</v>
      </c>
      <c r="F5677">
        <v>0.58198682661244505</v>
      </c>
      <c r="G5677">
        <v>0.37880185940178801</v>
      </c>
      <c r="H5677">
        <v>0.32338143531166402</v>
      </c>
      <c r="I5677">
        <v>0.40116989015643101</v>
      </c>
      <c r="J5677">
        <v>0.45202046103939097</v>
      </c>
      <c r="K5677">
        <v>0.453461007776854</v>
      </c>
      <c r="L5677">
        <v>1183.3221666990601</v>
      </c>
      <c r="M5677">
        <v>23.313217967634301</v>
      </c>
      <c r="N5677">
        <v>54.382964152808498</v>
      </c>
      <c r="O5677">
        <v>50.388528248936801</v>
      </c>
      <c r="P5677">
        <v>-7.0059006916074806E-2</v>
      </c>
      <c r="Q5677">
        <v>0.39431656448916103</v>
      </c>
      <c r="R5677">
        <v>0.96084450350827599</v>
      </c>
      <c r="S5677" t="s">
        <v>12483</v>
      </c>
      <c r="T5677" t="s">
        <v>13610</v>
      </c>
      <c r="U5677" t="s">
        <v>13610</v>
      </c>
      <c r="V5677" t="s">
        <v>13610</v>
      </c>
      <c r="W5677" t="s">
        <v>19215</v>
      </c>
      <c r="X5677">
        <v>9</v>
      </c>
      <c r="Y5677" t="s">
        <v>25772</v>
      </c>
      <c r="Z5677" t="s">
        <v>32532</v>
      </c>
      <c r="AA5677">
        <v>0.61776736666593524</v>
      </c>
      <c r="AB5677" t="str">
        <f>HYPERLINK("Melting_Curves/meltCurve_Q9H0E2_TOLLIP.pdf", "Melting_Curves/meltCurve_Q9H0E2_TOLLIP.pdf")</f>
        <v>Melting_Curves/meltCurve_Q9H0E2_TOLLIP.pdf</v>
      </c>
    </row>
    <row r="5678" spans="1:28" x14ac:dyDescent="0.25">
      <c r="A5678" t="s">
        <v>5682</v>
      </c>
      <c r="B5678">
        <v>0.995954080203443</v>
      </c>
      <c r="C5678">
        <v>1.02877488524063</v>
      </c>
      <c r="D5678">
        <v>1.0160441772389801</v>
      </c>
      <c r="E5678">
        <v>0.88611649336561704</v>
      </c>
      <c r="F5678">
        <v>0.68533365796058998</v>
      </c>
      <c r="G5678">
        <v>0.49962401653527899</v>
      </c>
      <c r="H5678">
        <v>0.40097420267794698</v>
      </c>
      <c r="I5678">
        <v>0.45456557477173598</v>
      </c>
      <c r="J5678">
        <v>0.45964763194465302</v>
      </c>
      <c r="K5678">
        <v>0.52492289398095704</v>
      </c>
      <c r="L5678">
        <v>1664.8467231407899</v>
      </c>
      <c r="M5678">
        <v>31.816997301126101</v>
      </c>
      <c r="N5678">
        <v>56.823266170215</v>
      </c>
      <c r="O5678">
        <v>52.120313851045204</v>
      </c>
      <c r="P5678">
        <v>-8.24570087469675E-2</v>
      </c>
      <c r="Q5678">
        <v>0.45970241198919198</v>
      </c>
      <c r="R5678">
        <v>0.98337376100980201</v>
      </c>
      <c r="S5678" t="s">
        <v>12484</v>
      </c>
      <c r="T5678" t="s">
        <v>13610</v>
      </c>
      <c r="U5678" t="s">
        <v>13610</v>
      </c>
      <c r="V5678" t="s">
        <v>13610</v>
      </c>
      <c r="W5678" t="s">
        <v>19216</v>
      </c>
      <c r="X5678">
        <v>24</v>
      </c>
      <c r="Y5678" t="s">
        <v>25773</v>
      </c>
      <c r="Z5678" t="s">
        <v>32533</v>
      </c>
      <c r="AA5678">
        <v>0.68477511461603824</v>
      </c>
      <c r="AB5678" t="str">
        <f>HYPERLINK("Melting_Curves/meltCurve_Q9H0E9_2_BRD8.pdf", "Melting_Curves/meltCurve_Q9H0E9_2_BRD8.pdf")</f>
        <v>Melting_Curves/meltCurve_Q9H0E9_2_BRD8.pdf</v>
      </c>
    </row>
    <row r="5679" spans="1:28" x14ac:dyDescent="0.25">
      <c r="A5679" t="s">
        <v>5683</v>
      </c>
      <c r="B5679">
        <v>0.995954080203443</v>
      </c>
      <c r="C5679">
        <v>0.70782841279304098</v>
      </c>
      <c r="D5679">
        <v>0.73672245186004703</v>
      </c>
      <c r="E5679">
        <v>0.50880803425078602</v>
      </c>
      <c r="F5679">
        <v>0.39670031210798201</v>
      </c>
      <c r="G5679">
        <v>0.28175636916289098</v>
      </c>
      <c r="H5679">
        <v>0.242827741635225</v>
      </c>
      <c r="I5679">
        <v>0.281270176178472</v>
      </c>
      <c r="J5679">
        <v>0.32018861246352398</v>
      </c>
      <c r="K5679">
        <v>0.29826477805464602</v>
      </c>
      <c r="L5679">
        <v>599.98138677675797</v>
      </c>
      <c r="M5679">
        <v>12.8048695485069</v>
      </c>
      <c r="N5679">
        <v>49.695679629916398</v>
      </c>
      <c r="O5679">
        <v>45.757033672287399</v>
      </c>
      <c r="P5679">
        <v>-5.18181142125725E-2</v>
      </c>
      <c r="Q5679">
        <v>0.25946919151132197</v>
      </c>
      <c r="R5679">
        <v>0.946862942823674</v>
      </c>
      <c r="S5679" t="s">
        <v>12485</v>
      </c>
      <c r="T5679" t="s">
        <v>13610</v>
      </c>
      <c r="U5679" t="s">
        <v>13610</v>
      </c>
      <c r="V5679" t="s">
        <v>13610</v>
      </c>
      <c r="W5679" t="s">
        <v>19217</v>
      </c>
      <c r="X5679">
        <v>6</v>
      </c>
      <c r="Y5679" t="s">
        <v>25774</v>
      </c>
      <c r="Z5679" t="s">
        <v>32534</v>
      </c>
      <c r="AA5679">
        <v>0.45652764283603181</v>
      </c>
      <c r="AB5679" t="str">
        <f>HYPERLINK("Melting_Curves/meltCurve_Q9H0F6_SHARPIN.pdf", "Melting_Curves/meltCurve_Q9H0F6_SHARPIN.pdf")</f>
        <v>Melting_Curves/meltCurve_Q9H0F6_SHARPIN.pdf</v>
      </c>
    </row>
    <row r="5680" spans="1:28" x14ac:dyDescent="0.25">
      <c r="A5680" t="s">
        <v>5684</v>
      </c>
      <c r="B5680">
        <v>0.995954080203443</v>
      </c>
      <c r="C5680">
        <v>0.85033749615085497</v>
      </c>
      <c r="D5680">
        <v>0.65201834290684402</v>
      </c>
      <c r="E5680">
        <v>0.41145064739750598</v>
      </c>
      <c r="F5680">
        <v>0.26143258870665198</v>
      </c>
      <c r="G5680">
        <v>0.13336332400078399</v>
      </c>
      <c r="H5680">
        <v>8.8617875221923395E-2</v>
      </c>
      <c r="I5680">
        <v>5.76088702829285E-2</v>
      </c>
      <c r="J5680">
        <v>7.3102426698543804E-2</v>
      </c>
      <c r="K5680">
        <v>6.5954857882171203E-2</v>
      </c>
      <c r="L5680">
        <v>686.76525503250502</v>
      </c>
      <c r="M5680">
        <v>14.271491537357599</v>
      </c>
      <c r="N5680">
        <v>48.461615970677599</v>
      </c>
      <c r="O5680">
        <v>47.2062277108556</v>
      </c>
      <c r="P5680">
        <v>-7.1987249235329898E-2</v>
      </c>
      <c r="Q5680">
        <v>4.7659638096813103E-2</v>
      </c>
      <c r="R5680">
        <v>0.996938023991077</v>
      </c>
      <c r="S5680" t="s">
        <v>12486</v>
      </c>
      <c r="T5680" t="s">
        <v>13610</v>
      </c>
      <c r="U5680" t="s">
        <v>13610</v>
      </c>
      <c r="V5680" t="s">
        <v>13610</v>
      </c>
      <c r="W5680" t="s">
        <v>19218</v>
      </c>
      <c r="X5680">
        <v>2</v>
      </c>
      <c r="Y5680" t="s">
        <v>25775</v>
      </c>
      <c r="Z5680" t="s">
        <v>32535</v>
      </c>
      <c r="AA5680">
        <v>0.33232437813510901</v>
      </c>
      <c r="AB5680" t="str">
        <f>HYPERLINK("Melting_Curves/meltCurve_Q9H0F7_ARL6.pdf", "Melting_Curves/meltCurve_Q9H0F7_ARL6.pdf")</f>
        <v>Melting_Curves/meltCurve_Q9H0F7_ARL6.pdf</v>
      </c>
    </row>
    <row r="5681" spans="1:28" x14ac:dyDescent="0.25">
      <c r="A5681" t="s">
        <v>5685</v>
      </c>
      <c r="B5681">
        <v>0.995954080203443</v>
      </c>
      <c r="C5681">
        <v>0.87942881478623303</v>
      </c>
      <c r="D5681">
        <v>1.16460808135132</v>
      </c>
      <c r="E5681">
        <v>0.874791720827789</v>
      </c>
      <c r="F5681">
        <v>1.1808645028765401</v>
      </c>
      <c r="G5681">
        <v>1.0628927064059699</v>
      </c>
      <c r="H5681">
        <v>1.03331947784991</v>
      </c>
      <c r="I5681">
        <v>1.4596072865637799</v>
      </c>
      <c r="J5681">
        <v>1.7798381329227599</v>
      </c>
      <c r="K5681">
        <v>1.7164410840648601</v>
      </c>
      <c r="L5681">
        <v>6901.6357208293703</v>
      </c>
      <c r="M5681">
        <v>110.412306416988</v>
      </c>
      <c r="O5681">
        <v>62.487350086844799</v>
      </c>
      <c r="P5681">
        <v>0.22086932475660701</v>
      </c>
      <c r="Q5681">
        <v>1.5</v>
      </c>
      <c r="R5681">
        <v>0.77304328475708095</v>
      </c>
      <c r="S5681" t="s">
        <v>12487</v>
      </c>
      <c r="T5681" t="s">
        <v>13610</v>
      </c>
      <c r="U5681" t="s">
        <v>13610</v>
      </c>
      <c r="V5681" t="s">
        <v>13610</v>
      </c>
      <c r="W5681" t="s">
        <v>19219</v>
      </c>
      <c r="X5681">
        <v>21</v>
      </c>
      <c r="Y5681" t="s">
        <v>25776</v>
      </c>
      <c r="Z5681" t="s">
        <v>32536</v>
      </c>
      <c r="AA5681">
        <v>1.1245878187519629</v>
      </c>
      <c r="AB5681" t="str">
        <f>HYPERLINK("Melting_Curves/meltCurve_Q9H0G5_NSRP1.pdf", "Melting_Curves/meltCurve_Q9H0G5_NSRP1.pdf")</f>
        <v>Melting_Curves/meltCurve_Q9H0G5_NSRP1.pdf</v>
      </c>
    </row>
    <row r="5682" spans="1:28" x14ac:dyDescent="0.25">
      <c r="A5682" t="s">
        <v>5686</v>
      </c>
      <c r="B5682">
        <v>0.995954080203443</v>
      </c>
      <c r="C5682">
        <v>0.96148607858525903</v>
      </c>
      <c r="D5682">
        <v>0.93293673764380003</v>
      </c>
      <c r="E5682">
        <v>0.72835207678204705</v>
      </c>
      <c r="F5682">
        <v>0.48443845528732499</v>
      </c>
      <c r="G5682">
        <v>0.28914823765132702</v>
      </c>
      <c r="H5682">
        <v>0.23401514574226201</v>
      </c>
      <c r="I5682">
        <v>0.230400641701031</v>
      </c>
      <c r="J5682">
        <v>0.23984972789617101</v>
      </c>
      <c r="K5682">
        <v>0.21170888885523401</v>
      </c>
      <c r="L5682">
        <v>1106.9076734144501</v>
      </c>
      <c r="M5682">
        <v>21.547134093297501</v>
      </c>
      <c r="N5682">
        <v>52.759335678301603</v>
      </c>
      <c r="O5682">
        <v>50.935120802297099</v>
      </c>
      <c r="P5682">
        <v>-8.2880538361568307E-2</v>
      </c>
      <c r="Q5682">
        <v>0.21633612528766499</v>
      </c>
      <c r="R5682">
        <v>0.99857357263058899</v>
      </c>
      <c r="S5682" t="s">
        <v>12488</v>
      </c>
      <c r="T5682" t="s">
        <v>13610</v>
      </c>
      <c r="U5682" t="s">
        <v>13610</v>
      </c>
      <c r="V5682" t="s">
        <v>13610</v>
      </c>
      <c r="W5682" t="s">
        <v>19220</v>
      </c>
      <c r="X5682">
        <v>11</v>
      </c>
      <c r="Y5682" t="s">
        <v>25777</v>
      </c>
      <c r="Z5682" t="s">
        <v>32537</v>
      </c>
      <c r="AA5682">
        <v>0.52284069830532098</v>
      </c>
      <c r="AB5682" t="str">
        <f>HYPERLINK("Melting_Curves/meltCurve_Q9H0H5_RACGAP1.pdf", "Melting_Curves/meltCurve_Q9H0H5_RACGAP1.pdf")</f>
        <v>Melting_Curves/meltCurve_Q9H0H5_RACGAP1.pdf</v>
      </c>
    </row>
    <row r="5683" spans="1:28" x14ac:dyDescent="0.25">
      <c r="A5683" t="s">
        <v>5687</v>
      </c>
      <c r="B5683">
        <v>0.995954080203443</v>
      </c>
      <c r="C5683">
        <v>0.99207819867138103</v>
      </c>
      <c r="D5683">
        <v>0.92504777180412801</v>
      </c>
      <c r="E5683">
        <v>0.99684748894361896</v>
      </c>
      <c r="F5683">
        <v>0.82656802480855895</v>
      </c>
      <c r="G5683">
        <v>0.63901701523139298</v>
      </c>
      <c r="H5683">
        <v>0.469907267282343</v>
      </c>
      <c r="I5683">
        <v>0.49081855764297699</v>
      </c>
      <c r="J5683">
        <v>0.63733617082485905</v>
      </c>
      <c r="K5683">
        <v>0.52642788536312402</v>
      </c>
      <c r="L5683">
        <v>1777.6640369205099</v>
      </c>
      <c r="M5683">
        <v>32.858863514850398</v>
      </c>
      <c r="O5683">
        <v>53.900789351284203</v>
      </c>
      <c r="P5683">
        <v>-7.1102359928987099E-2</v>
      </c>
      <c r="Q5683">
        <v>0.53346457905237998</v>
      </c>
      <c r="R5683">
        <v>0.94102606301293001</v>
      </c>
      <c r="S5683" t="s">
        <v>12489</v>
      </c>
      <c r="T5683" t="s">
        <v>13610</v>
      </c>
      <c r="U5683" t="s">
        <v>13610</v>
      </c>
      <c r="V5683" t="s">
        <v>13610</v>
      </c>
      <c r="W5683" t="s">
        <v>19221</v>
      </c>
      <c r="X5683">
        <v>1</v>
      </c>
      <c r="Y5683" t="s">
        <v>25778</v>
      </c>
      <c r="Z5683" t="s">
        <v>32538</v>
      </c>
      <c r="AA5683">
        <v>0.75530664926865343</v>
      </c>
      <c r="AB5683" t="str">
        <f>HYPERLINK("Melting_Curves/meltCurve_Q9H0I2_2_ENKD1.pdf", "Melting_Curves/meltCurve_Q9H0I2_2_ENKD1.pdf")</f>
        <v>Melting_Curves/meltCurve_Q9H0I2_2_ENKD1.pdf</v>
      </c>
    </row>
    <row r="5684" spans="1:28" x14ac:dyDescent="0.25">
      <c r="A5684" t="s">
        <v>5688</v>
      </c>
      <c r="B5684">
        <v>0.995954080203443</v>
      </c>
      <c r="C5684">
        <v>0.95184172541899403</v>
      </c>
      <c r="D5684">
        <v>0.80595198899127196</v>
      </c>
      <c r="E5684">
        <v>0.50823056600049998</v>
      </c>
      <c r="F5684">
        <v>0.301811868929312</v>
      </c>
      <c r="G5684">
        <v>0.25017539221502799</v>
      </c>
      <c r="H5684">
        <v>0.13777663072134499</v>
      </c>
      <c r="I5684">
        <v>0.14405397308720899</v>
      </c>
      <c r="J5684">
        <v>0.14044181459419799</v>
      </c>
      <c r="K5684">
        <v>0.14323830598054699</v>
      </c>
      <c r="L5684">
        <v>890.44314317032399</v>
      </c>
      <c r="M5684">
        <v>18.100278772448998</v>
      </c>
      <c r="N5684">
        <v>50.077668906724902</v>
      </c>
      <c r="O5684">
        <v>48.606304254008798</v>
      </c>
      <c r="P5684">
        <v>-8.0385569716768801E-2</v>
      </c>
      <c r="Q5684">
        <v>0.13657532169162601</v>
      </c>
      <c r="R5684">
        <v>0.99699078708419597</v>
      </c>
      <c r="S5684" t="s">
        <v>12490</v>
      </c>
      <c r="T5684" t="s">
        <v>13610</v>
      </c>
      <c r="U5684" t="s">
        <v>13610</v>
      </c>
      <c r="V5684" t="s">
        <v>13610</v>
      </c>
      <c r="W5684" t="s">
        <v>19222</v>
      </c>
      <c r="X5684">
        <v>4</v>
      </c>
      <c r="Y5684" t="s">
        <v>25779</v>
      </c>
      <c r="Z5684" t="s">
        <v>32539</v>
      </c>
      <c r="AA5684">
        <v>0.41595470794707018</v>
      </c>
      <c r="AB5684" t="str">
        <f>HYPERLINK("Melting_Curves/meltCurve_Q9H0J9_PARP12.pdf", "Melting_Curves/meltCurve_Q9H0J9_PARP12.pdf")</f>
        <v>Melting_Curves/meltCurve_Q9H0J9_PARP12.pdf</v>
      </c>
    </row>
    <row r="5685" spans="1:28" x14ac:dyDescent="0.25">
      <c r="A5685" t="s">
        <v>5689</v>
      </c>
      <c r="B5685">
        <v>0.995954080203443</v>
      </c>
      <c r="C5685">
        <v>0.98069791001973705</v>
      </c>
      <c r="D5685">
        <v>0.83119664725124698</v>
      </c>
      <c r="E5685">
        <v>0.83511699116082305</v>
      </c>
      <c r="F5685">
        <v>0.59862973696592603</v>
      </c>
      <c r="G5685">
        <v>0.42042903348362298</v>
      </c>
      <c r="H5685">
        <v>0.34502097399698001</v>
      </c>
      <c r="I5685">
        <v>0.36926708269562297</v>
      </c>
      <c r="J5685">
        <v>0.49043738555500199</v>
      </c>
      <c r="K5685">
        <v>0.41142600698501303</v>
      </c>
      <c r="L5685">
        <v>1015.2989806386699</v>
      </c>
      <c r="M5685">
        <v>19.8134389457535</v>
      </c>
      <c r="N5685">
        <v>55.4375098726224</v>
      </c>
      <c r="O5685">
        <v>50.729516359653402</v>
      </c>
      <c r="P5685">
        <v>-5.9726137678206302E-2</v>
      </c>
      <c r="Q5685">
        <v>0.38833923076807603</v>
      </c>
      <c r="R5685">
        <v>0.94379504008542503</v>
      </c>
      <c r="S5685" t="s">
        <v>12491</v>
      </c>
      <c r="T5685" t="s">
        <v>13610</v>
      </c>
      <c r="U5685" t="s">
        <v>13610</v>
      </c>
      <c r="V5685" t="s">
        <v>13610</v>
      </c>
      <c r="W5685" t="s">
        <v>19223</v>
      </c>
      <c r="X5685">
        <v>2</v>
      </c>
      <c r="Y5685" t="s">
        <v>25780</v>
      </c>
      <c r="Z5685" t="s">
        <v>32540</v>
      </c>
      <c r="AA5685">
        <v>0.62620217768194875</v>
      </c>
      <c r="AB5685" t="str">
        <f>HYPERLINK("Melting_Curves/meltCurve_Q9H0K1_SIK2.pdf", "Melting_Curves/meltCurve_Q9H0K1_SIK2.pdf")</f>
        <v>Melting_Curves/meltCurve_Q9H0K1_SIK2.pdf</v>
      </c>
    </row>
    <row r="5686" spans="1:28" x14ac:dyDescent="0.25">
      <c r="A5686" t="s">
        <v>5690</v>
      </c>
      <c r="B5686">
        <v>0.995954080203443</v>
      </c>
      <c r="C5686">
        <v>0.97789037280531199</v>
      </c>
      <c r="D5686">
        <v>0.87278881131963604</v>
      </c>
      <c r="E5686">
        <v>0.75394361879539196</v>
      </c>
      <c r="F5686">
        <v>0.40495122346347101</v>
      </c>
      <c r="G5686">
        <v>0.19644696945779599</v>
      </c>
      <c r="H5686">
        <v>0.108089282957212</v>
      </c>
      <c r="I5686">
        <v>9.4779333259809501E-2</v>
      </c>
      <c r="J5686">
        <v>0.10114445216675599</v>
      </c>
      <c r="K5686">
        <v>9.3307094630035503E-2</v>
      </c>
      <c r="L5686">
        <v>1103.2087620954601</v>
      </c>
      <c r="M5686">
        <v>21.312334868418599</v>
      </c>
      <c r="N5686">
        <v>52.208480037765398</v>
      </c>
      <c r="O5686">
        <v>51.314588979851997</v>
      </c>
      <c r="P5686">
        <v>-9.5217257901702698E-2</v>
      </c>
      <c r="Q5686">
        <v>8.2989117127754905E-2</v>
      </c>
      <c r="R5686">
        <v>0.99437204747421803</v>
      </c>
      <c r="S5686" t="s">
        <v>12492</v>
      </c>
      <c r="T5686" t="s">
        <v>13610</v>
      </c>
      <c r="U5686" t="s">
        <v>13610</v>
      </c>
      <c r="V5686" t="s">
        <v>13610</v>
      </c>
      <c r="W5686" t="s">
        <v>19224</v>
      </c>
      <c r="X5686">
        <v>20</v>
      </c>
      <c r="Y5686" t="s">
        <v>25781</v>
      </c>
      <c r="Z5686" t="s">
        <v>32541</v>
      </c>
      <c r="AA5686">
        <v>0.45388056711806768</v>
      </c>
      <c r="AB5686" t="str">
        <f>HYPERLINK("Melting_Curves/meltCurve_Q9H0K6_PUS7L.pdf", "Melting_Curves/meltCurve_Q9H0K6_PUS7L.pdf")</f>
        <v>Melting_Curves/meltCurve_Q9H0K6_PUS7L.pdf</v>
      </c>
    </row>
    <row r="5687" spans="1:28" x14ac:dyDescent="0.25">
      <c r="A5687" t="s">
        <v>5691</v>
      </c>
      <c r="B5687">
        <v>0.995954080203443</v>
      </c>
      <c r="C5687">
        <v>0.83098314662110295</v>
      </c>
      <c r="D5687">
        <v>0.73308105594255302</v>
      </c>
      <c r="E5687">
        <v>0.71612023542316805</v>
      </c>
      <c r="F5687">
        <v>0.51748003311215196</v>
      </c>
      <c r="G5687">
        <v>0.36997509374632198</v>
      </c>
      <c r="H5687">
        <v>0.32575707639116902</v>
      </c>
      <c r="I5687">
        <v>0.37355704829066999</v>
      </c>
      <c r="J5687">
        <v>0.462023648417414</v>
      </c>
      <c r="K5687">
        <v>0.44876734790159101</v>
      </c>
      <c r="L5687">
        <v>609.65774075907098</v>
      </c>
      <c r="M5687">
        <v>12.714437884023599</v>
      </c>
      <c r="N5687">
        <v>53.820475402768302</v>
      </c>
      <c r="O5687">
        <v>46.8102878155402</v>
      </c>
      <c r="P5687">
        <v>-4.2443756387456302E-2</v>
      </c>
      <c r="Q5687">
        <v>0.37506577336005797</v>
      </c>
      <c r="R5687">
        <v>0.91108376700893501</v>
      </c>
      <c r="S5687" t="s">
        <v>12493</v>
      </c>
      <c r="T5687" t="s">
        <v>13610</v>
      </c>
      <c r="U5687" t="s">
        <v>13610</v>
      </c>
      <c r="V5687" t="s">
        <v>13610</v>
      </c>
      <c r="W5687" t="s">
        <v>19225</v>
      </c>
      <c r="X5687">
        <v>20</v>
      </c>
      <c r="Y5687" t="s">
        <v>25782</v>
      </c>
      <c r="Z5687" t="s">
        <v>32542</v>
      </c>
      <c r="AA5687">
        <v>0.56278351937532278</v>
      </c>
      <c r="AB5687" t="str">
        <f>HYPERLINK("Melting_Curves/meltCurve_Q9H0L4_CSTF2T.pdf", "Melting_Curves/meltCurve_Q9H0L4_CSTF2T.pdf")</f>
        <v>Melting_Curves/meltCurve_Q9H0L4_CSTF2T.pdf</v>
      </c>
    </row>
    <row r="5688" spans="1:28" x14ac:dyDescent="0.25">
      <c r="A5688" t="s">
        <v>5692</v>
      </c>
      <c r="B5688">
        <v>0.995954080203443</v>
      </c>
      <c r="C5688">
        <v>1.0126084268715401</v>
      </c>
      <c r="D5688">
        <v>0.93917145699464899</v>
      </c>
      <c r="E5688">
        <v>0.52593922852721797</v>
      </c>
      <c r="F5688">
        <v>0.14836519056380101</v>
      </c>
      <c r="G5688">
        <v>8.8877726150433004E-2</v>
      </c>
      <c r="H5688">
        <v>6.1223104277937201E-2</v>
      </c>
      <c r="I5688">
        <v>5.2912852326850501E-2</v>
      </c>
      <c r="J5688">
        <v>5.5665939984881001E-2</v>
      </c>
      <c r="K5688">
        <v>5.2561952572264599E-2</v>
      </c>
      <c r="L5688">
        <v>1776.33964865701</v>
      </c>
      <c r="M5688">
        <v>35.5739138974944</v>
      </c>
      <c r="N5688">
        <v>50.105622362177698</v>
      </c>
      <c r="O5688">
        <v>49.776766546056798</v>
      </c>
      <c r="P5688">
        <v>-0.16840686464771101</v>
      </c>
      <c r="Q5688">
        <v>5.7430513674371297E-2</v>
      </c>
      <c r="R5688">
        <v>0.99919083395747799</v>
      </c>
      <c r="S5688" t="s">
        <v>12494</v>
      </c>
      <c r="T5688" t="s">
        <v>13610</v>
      </c>
      <c r="U5688" t="s">
        <v>13610</v>
      </c>
      <c r="V5688" t="s">
        <v>13610</v>
      </c>
      <c r="W5688" t="s">
        <v>19226</v>
      </c>
      <c r="X5688">
        <v>10</v>
      </c>
      <c r="Y5688" t="s">
        <v>25783</v>
      </c>
      <c r="Z5688" t="s">
        <v>32543</v>
      </c>
      <c r="AA5688">
        <v>0.37366409680733059</v>
      </c>
      <c r="AB5688" t="str">
        <f>HYPERLINK("Melting_Curves/meltCurve_Q9H0P0_3_NT5C3A.pdf", "Melting_Curves/meltCurve_Q9H0P0_3_NT5C3A.pdf")</f>
        <v>Melting_Curves/meltCurve_Q9H0P0_3_NT5C3A.pdf</v>
      </c>
    </row>
    <row r="5689" spans="1:28" x14ac:dyDescent="0.25">
      <c r="A5689" t="s">
        <v>5693</v>
      </c>
      <c r="B5689">
        <v>0.995954080203443</v>
      </c>
      <c r="C5689">
        <v>0.71552886468627797</v>
      </c>
      <c r="D5689">
        <v>0.44452710440326298</v>
      </c>
      <c r="E5689">
        <v>0.43864463930502001</v>
      </c>
      <c r="F5689">
        <v>0.23201741852965399</v>
      </c>
      <c r="G5689">
        <v>9.8008901361557599E-2</v>
      </c>
      <c r="H5689">
        <v>5.42179970195905E-2</v>
      </c>
      <c r="I5689">
        <v>5.18397065181712E-2</v>
      </c>
      <c r="J5689">
        <v>3.38870852170714E-2</v>
      </c>
      <c r="K5689">
        <v>3.9217143090532203E-2</v>
      </c>
      <c r="L5689">
        <v>540.27169556809099</v>
      </c>
      <c r="M5689">
        <v>11.523835535695399</v>
      </c>
      <c r="N5689">
        <v>46.958603447947603</v>
      </c>
      <c r="O5689">
        <v>45.537853366017401</v>
      </c>
      <c r="P5689">
        <v>-6.2701190304302795E-2</v>
      </c>
      <c r="Q5689">
        <v>9.1934746751460295E-3</v>
      </c>
      <c r="R5689">
        <v>0.96024948981740899</v>
      </c>
      <c r="S5689" t="s">
        <v>12495</v>
      </c>
      <c r="T5689" t="s">
        <v>13610</v>
      </c>
      <c r="U5689" t="s">
        <v>13610</v>
      </c>
      <c r="V5689" t="s">
        <v>13610</v>
      </c>
      <c r="W5689" t="s">
        <v>19227</v>
      </c>
      <c r="X5689">
        <v>2</v>
      </c>
      <c r="Y5689" t="s">
        <v>25784</v>
      </c>
      <c r="Z5689" t="s">
        <v>32544</v>
      </c>
      <c r="AA5689">
        <v>0.28167652333695098</v>
      </c>
      <c r="AB5689" t="str">
        <f>HYPERLINK("Melting_Curves/meltCurve_Q9H0R1_AP5M1.pdf", "Melting_Curves/meltCurve_Q9H0R1_AP5M1.pdf")</f>
        <v>Melting_Curves/meltCurve_Q9H0R1_AP5M1.pdf</v>
      </c>
    </row>
    <row r="5690" spans="1:28" x14ac:dyDescent="0.25">
      <c r="A5690" t="s">
        <v>5694</v>
      </c>
      <c r="B5690">
        <v>0.995954080203443</v>
      </c>
      <c r="C5690">
        <v>0.94315753975818795</v>
      </c>
      <c r="D5690">
        <v>0.94650773176675396</v>
      </c>
      <c r="E5690">
        <v>0.80445485202122402</v>
      </c>
      <c r="F5690">
        <v>0.78752203198193005</v>
      </c>
      <c r="G5690">
        <v>0.583425996402958</v>
      </c>
      <c r="H5690">
        <v>0.48961386196805701</v>
      </c>
      <c r="I5690">
        <v>0.51598009341804796</v>
      </c>
      <c r="J5690">
        <v>0.57366727341233503</v>
      </c>
      <c r="K5690">
        <v>0.28829767393853301</v>
      </c>
      <c r="L5690">
        <v>494.51319441616698</v>
      </c>
      <c r="M5690">
        <v>8.7412067893155996</v>
      </c>
      <c r="N5690">
        <v>62.771619140116499</v>
      </c>
      <c r="O5690">
        <v>53.8460083577475</v>
      </c>
      <c r="P5690">
        <v>-2.88746939870578E-2</v>
      </c>
      <c r="Q5690">
        <v>0.28910178748046</v>
      </c>
      <c r="R5690">
        <v>0.91683527184618496</v>
      </c>
      <c r="S5690" t="s">
        <v>12496</v>
      </c>
      <c r="T5690" t="s">
        <v>13610</v>
      </c>
      <c r="U5690" t="s">
        <v>13610</v>
      </c>
      <c r="V5690" t="s">
        <v>13610</v>
      </c>
      <c r="W5690" t="s">
        <v>19228</v>
      </c>
      <c r="X5690">
        <v>15</v>
      </c>
      <c r="Y5690" t="s">
        <v>25785</v>
      </c>
      <c r="Z5690" t="s">
        <v>32545</v>
      </c>
      <c r="AA5690">
        <v>0.69375927667344017</v>
      </c>
      <c r="AB5690" t="str">
        <f>HYPERLINK("Melting_Curves/meltCurve_Q9H0R4_HDHD2.pdf", "Melting_Curves/meltCurve_Q9H0R4_HDHD2.pdf")</f>
        <v>Melting_Curves/meltCurve_Q9H0R4_HDHD2.pdf</v>
      </c>
    </row>
    <row r="5691" spans="1:28" x14ac:dyDescent="0.25">
      <c r="A5691" t="s">
        <v>5695</v>
      </c>
      <c r="B5691">
        <v>0.995954080203443</v>
      </c>
      <c r="C5691">
        <v>0.60351592238922203</v>
      </c>
      <c r="D5691">
        <v>0.40547914143201202</v>
      </c>
      <c r="E5691">
        <v>0.388092030483144</v>
      </c>
      <c r="F5691">
        <v>0.25811538281643398</v>
      </c>
      <c r="G5691">
        <v>0.19063154146804701</v>
      </c>
      <c r="H5691">
        <v>9.7690795406298506E-2</v>
      </c>
      <c r="I5691">
        <v>5.64824112903618E-2</v>
      </c>
      <c r="J5691">
        <v>5.4764772829245099E-2</v>
      </c>
      <c r="K5691">
        <v>4.6451248174069301E-2</v>
      </c>
      <c r="L5691">
        <v>500.25742512916003</v>
      </c>
      <c r="M5691">
        <v>10.9295185051523</v>
      </c>
      <c r="N5691">
        <v>46.166411998700099</v>
      </c>
      <c r="O5691">
        <v>44.318922485676502</v>
      </c>
      <c r="P5691">
        <v>-5.8919665286009101E-2</v>
      </c>
      <c r="Q5691">
        <v>4.4659033469983497E-2</v>
      </c>
      <c r="R5691">
        <v>0.93509460475430795</v>
      </c>
      <c r="S5691" t="s">
        <v>12497</v>
      </c>
      <c r="T5691" t="s">
        <v>13610</v>
      </c>
      <c r="U5691" t="s">
        <v>13610</v>
      </c>
      <c r="V5691" t="s">
        <v>13610</v>
      </c>
      <c r="W5691" t="s">
        <v>19229</v>
      </c>
      <c r="X5691">
        <v>2</v>
      </c>
      <c r="Y5691" t="s">
        <v>25786</v>
      </c>
      <c r="Z5691" t="s">
        <v>32546</v>
      </c>
      <c r="AA5691">
        <v>0.28094282376501961</v>
      </c>
      <c r="AB5691" t="str">
        <f>HYPERLINK("Melting_Curves/meltCurve_Q9H0R6_QRSL1.pdf", "Melting_Curves/meltCurve_Q9H0R6_QRSL1.pdf")</f>
        <v>Melting_Curves/meltCurve_Q9H0R6_QRSL1.pdf</v>
      </c>
    </row>
    <row r="5692" spans="1:28" x14ac:dyDescent="0.25">
      <c r="A5692" t="s">
        <v>5696</v>
      </c>
      <c r="B5692">
        <v>0.995954080203443</v>
      </c>
      <c r="C5692">
        <v>0.89467064043968403</v>
      </c>
      <c r="D5692">
        <v>0.81515755773010601</v>
      </c>
      <c r="E5692">
        <v>0.47156259965577002</v>
      </c>
      <c r="F5692">
        <v>0.24979518301106199</v>
      </c>
      <c r="G5692">
        <v>0.142359346683053</v>
      </c>
      <c r="H5692">
        <v>9.7797965515664401E-2</v>
      </c>
      <c r="I5692">
        <v>8.9199375408468201E-2</v>
      </c>
      <c r="J5692">
        <v>0.11541307818437301</v>
      </c>
      <c r="K5692">
        <v>8.7986994073652902E-2</v>
      </c>
      <c r="L5692">
        <v>929.54719716245904</v>
      </c>
      <c r="M5692">
        <v>18.948721075001998</v>
      </c>
      <c r="N5692">
        <v>49.543931200808302</v>
      </c>
      <c r="O5692">
        <v>48.519366292790799</v>
      </c>
      <c r="P5692">
        <v>-8.9326858138538801E-2</v>
      </c>
      <c r="Q5692">
        <v>8.5129194718265702E-2</v>
      </c>
      <c r="R5692">
        <v>0.99690076445981401</v>
      </c>
      <c r="S5692" t="s">
        <v>12498</v>
      </c>
      <c r="T5692" t="s">
        <v>13610</v>
      </c>
      <c r="U5692" t="s">
        <v>13610</v>
      </c>
      <c r="V5692" t="s">
        <v>13610</v>
      </c>
      <c r="W5692" t="s">
        <v>19230</v>
      </c>
      <c r="X5692">
        <v>9</v>
      </c>
      <c r="Y5692" t="s">
        <v>25787</v>
      </c>
      <c r="Z5692" t="s">
        <v>32547</v>
      </c>
      <c r="AA5692">
        <v>0.37558066296923381</v>
      </c>
      <c r="AB5692" t="str">
        <f>HYPERLINK("Melting_Curves/meltCurve_Q9H0S4_2_DDX47.pdf", "Melting_Curves/meltCurve_Q9H0S4_2_DDX47.pdf")</f>
        <v>Melting_Curves/meltCurve_Q9H0S4_2_DDX47.pdf</v>
      </c>
    </row>
    <row r="5693" spans="1:28" x14ac:dyDescent="0.25">
      <c r="A5693" t="s">
        <v>5697</v>
      </c>
      <c r="B5693">
        <v>0.995954080203443</v>
      </c>
      <c r="C5693">
        <v>1.1346627855261999</v>
      </c>
      <c r="D5693">
        <v>1.11163241282493</v>
      </c>
      <c r="E5693">
        <v>1.03614498004394</v>
      </c>
      <c r="F5693">
        <v>0.84510608801625897</v>
      </c>
      <c r="G5693">
        <v>0.31929759289145798</v>
      </c>
      <c r="H5693">
        <v>0.123795923694583</v>
      </c>
      <c r="I5693">
        <v>0.113967879449781</v>
      </c>
      <c r="J5693">
        <v>0.14715479459595801</v>
      </c>
      <c r="K5693">
        <v>0.124396386271479</v>
      </c>
      <c r="L5693">
        <v>2228.1801835808901</v>
      </c>
      <c r="M5693">
        <v>40.392128359892197</v>
      </c>
      <c r="N5693">
        <v>55.552786744217798</v>
      </c>
      <c r="O5693">
        <v>55.029042122169599</v>
      </c>
      <c r="P5693">
        <v>-0.16089590954656499</v>
      </c>
      <c r="Q5693">
        <v>0.123202632561069</v>
      </c>
      <c r="R5693">
        <v>0.98216291376592502</v>
      </c>
      <c r="S5693" t="s">
        <v>12499</v>
      </c>
      <c r="T5693" t="s">
        <v>13610</v>
      </c>
      <c r="U5693" t="s">
        <v>13610</v>
      </c>
      <c r="V5693" t="s">
        <v>13610</v>
      </c>
      <c r="W5693" t="s">
        <v>19231</v>
      </c>
      <c r="X5693">
        <v>12</v>
      </c>
      <c r="Y5693" t="s">
        <v>25788</v>
      </c>
      <c r="Z5693" t="s">
        <v>32548</v>
      </c>
      <c r="AA5693">
        <v>0.5696523031248274</v>
      </c>
      <c r="AB5693" t="str">
        <f>HYPERLINK("Melting_Curves/meltCurve_Q9H0U4_RAB1B.pdf", "Melting_Curves/meltCurve_Q9H0U4_RAB1B.pdf")</f>
        <v>Melting_Curves/meltCurve_Q9H0U4_RAB1B.pdf</v>
      </c>
    </row>
    <row r="5694" spans="1:28" x14ac:dyDescent="0.25">
      <c r="A5694" t="s">
        <v>5698</v>
      </c>
      <c r="B5694">
        <v>0.995954080203443</v>
      </c>
      <c r="C5694">
        <v>0.90331812325329597</v>
      </c>
      <c r="D5694">
        <v>0.73777779672180499</v>
      </c>
      <c r="E5694">
        <v>0.63105351239427898</v>
      </c>
      <c r="F5694">
        <v>0.41538066932759699</v>
      </c>
      <c r="G5694">
        <v>0.232696635707238</v>
      </c>
      <c r="H5694">
        <v>0.196266642887168</v>
      </c>
      <c r="I5694">
        <v>0.21100281146960501</v>
      </c>
      <c r="J5694">
        <v>0.249239272485445</v>
      </c>
      <c r="K5694">
        <v>0.28856851764824698</v>
      </c>
      <c r="L5694">
        <v>734.604424604565</v>
      </c>
      <c r="M5694">
        <v>14.9394712339893</v>
      </c>
      <c r="N5694">
        <v>51.0084911738697</v>
      </c>
      <c r="O5694">
        <v>48.316231771082002</v>
      </c>
      <c r="P5694">
        <v>-6.1228163299492301E-2</v>
      </c>
      <c r="Q5694">
        <v>0.208001277048246</v>
      </c>
      <c r="R5694">
        <v>0.97297306141398998</v>
      </c>
      <c r="S5694" t="s">
        <v>12500</v>
      </c>
      <c r="T5694" t="s">
        <v>13610</v>
      </c>
      <c r="U5694" t="s">
        <v>13610</v>
      </c>
      <c r="V5694" t="s">
        <v>13610</v>
      </c>
      <c r="W5694" t="s">
        <v>19232</v>
      </c>
      <c r="X5694">
        <v>5</v>
      </c>
      <c r="Y5694" t="s">
        <v>25789</v>
      </c>
      <c r="Z5694" t="s">
        <v>32549</v>
      </c>
      <c r="AA5694">
        <v>0.46971373220676738</v>
      </c>
      <c r="AB5694" t="str">
        <f>HYPERLINK("Melting_Curves/meltCurve_Q9H0U9_TSPYL1.pdf", "Melting_Curves/meltCurve_Q9H0U9_TSPYL1.pdf")</f>
        <v>Melting_Curves/meltCurve_Q9H0U9_TSPYL1.pdf</v>
      </c>
    </row>
    <row r="5695" spans="1:28" x14ac:dyDescent="0.25">
      <c r="A5695" t="s">
        <v>5699</v>
      </c>
      <c r="B5695">
        <v>0.995954080203443</v>
      </c>
      <c r="C5695">
        <v>0.81761335073736496</v>
      </c>
      <c r="D5695">
        <v>0.97319525201144697</v>
      </c>
      <c r="E5695">
        <v>0.74342938203971498</v>
      </c>
      <c r="F5695">
        <v>0.873685532898132</v>
      </c>
      <c r="G5695">
        <v>0.75975365608165202</v>
      </c>
      <c r="H5695">
        <v>0.714314940709179</v>
      </c>
      <c r="I5695">
        <v>0.88357708331176799</v>
      </c>
      <c r="J5695">
        <v>0.99577600254049503</v>
      </c>
      <c r="K5695">
        <v>1.02239353932766</v>
      </c>
      <c r="L5695">
        <v>10139.1101948172</v>
      </c>
      <c r="M5695">
        <v>250</v>
      </c>
      <c r="O5695">
        <v>40.553845448775903</v>
      </c>
      <c r="P5695">
        <v>-0.208272705512342</v>
      </c>
      <c r="Q5695">
        <v>0.86485985443202895</v>
      </c>
      <c r="R5695">
        <v>0.128596292171961</v>
      </c>
      <c r="S5695" t="s">
        <v>12501</v>
      </c>
      <c r="T5695" t="s">
        <v>13610</v>
      </c>
      <c r="U5695" t="s">
        <v>13610</v>
      </c>
      <c r="V5695" t="s">
        <v>13610</v>
      </c>
      <c r="W5695" t="s">
        <v>19233</v>
      </c>
      <c r="X5695">
        <v>7</v>
      </c>
      <c r="Y5695" t="s">
        <v>25790</v>
      </c>
      <c r="Z5695" t="s">
        <v>32550</v>
      </c>
      <c r="AA5695">
        <v>0.86739750313438058</v>
      </c>
      <c r="AB5695" t="str">
        <f>HYPERLINK("Melting_Curves/meltCurve_Q9H0W5_CCDC8.pdf", "Melting_Curves/meltCurve_Q9H0W5_CCDC8.pdf")</f>
        <v>Melting_Curves/meltCurve_Q9H0W5_CCDC8.pdf</v>
      </c>
    </row>
    <row r="5696" spans="1:28" x14ac:dyDescent="0.25">
      <c r="A5696" t="s">
        <v>5700</v>
      </c>
      <c r="B5696">
        <v>0.995954080203443</v>
      </c>
      <c r="C5696">
        <v>0.830629825720957</v>
      </c>
      <c r="D5696">
        <v>0.73499518867655</v>
      </c>
      <c r="E5696">
        <v>0.643881917139977</v>
      </c>
      <c r="F5696">
        <v>0.61601101264576696</v>
      </c>
      <c r="G5696">
        <v>0.48051921298093497</v>
      </c>
      <c r="H5696">
        <v>0.44602468046983201</v>
      </c>
      <c r="I5696">
        <v>0.52086086493646799</v>
      </c>
      <c r="J5696">
        <v>0.63497609030677904</v>
      </c>
      <c r="K5696">
        <v>0.59646451590648097</v>
      </c>
      <c r="L5696">
        <v>761.18567847587894</v>
      </c>
      <c r="M5696">
        <v>16.860563108880001</v>
      </c>
      <c r="O5696">
        <v>44.525193609878997</v>
      </c>
      <c r="P5696">
        <v>-4.3365950719579598E-2</v>
      </c>
      <c r="Q5696">
        <v>0.54194789617745298</v>
      </c>
      <c r="R5696">
        <v>0.86828934991932705</v>
      </c>
      <c r="S5696" t="s">
        <v>12502</v>
      </c>
      <c r="T5696" t="s">
        <v>13610</v>
      </c>
      <c r="U5696" t="s">
        <v>13610</v>
      </c>
      <c r="V5696" t="s">
        <v>13610</v>
      </c>
      <c r="W5696" t="s">
        <v>19234</v>
      </c>
      <c r="X5696">
        <v>9</v>
      </c>
      <c r="Y5696" t="s">
        <v>21370</v>
      </c>
      <c r="Z5696" t="s">
        <v>32551</v>
      </c>
      <c r="AA5696">
        <v>0.63177222016253343</v>
      </c>
      <c r="AB5696" t="str">
        <f>HYPERLINK("Melting_Curves/meltCurve_Q9H0W8_2_SMG9.pdf", "Melting_Curves/meltCurve_Q9H0W8_2_SMG9.pdf")</f>
        <v>Melting_Curves/meltCurve_Q9H0W8_2_SMG9.pdf</v>
      </c>
    </row>
    <row r="5697" spans="1:28" x14ac:dyDescent="0.25">
      <c r="A5697" t="s">
        <v>5701</v>
      </c>
      <c r="B5697">
        <v>0.995954080203443</v>
      </c>
      <c r="C5697">
        <v>1.09353396030484</v>
      </c>
      <c r="D5697">
        <v>1.09363307425835</v>
      </c>
      <c r="E5697">
        <v>1.0070144728710499</v>
      </c>
      <c r="F5697">
        <v>0.89871774041203101</v>
      </c>
      <c r="G5697">
        <v>0.62879296945180096</v>
      </c>
      <c r="H5697">
        <v>0.309065229000209</v>
      </c>
      <c r="I5697">
        <v>0.14544357882311601</v>
      </c>
      <c r="J5697">
        <v>0.11303613124129799</v>
      </c>
      <c r="K5697">
        <v>9.6835463316502196E-2</v>
      </c>
      <c r="L5697">
        <v>1391.1638521393099</v>
      </c>
      <c r="M5697">
        <v>23.990135743639598</v>
      </c>
      <c r="N5697">
        <v>58.392793662019002</v>
      </c>
      <c r="O5697">
        <v>57.590569337594602</v>
      </c>
      <c r="P5697">
        <v>-9.6182406017572705E-2</v>
      </c>
      <c r="Q5697">
        <v>7.6435107950103096E-2</v>
      </c>
      <c r="R5697">
        <v>0.98831771616561703</v>
      </c>
      <c r="S5697" t="s">
        <v>12503</v>
      </c>
      <c r="T5697" t="s">
        <v>13610</v>
      </c>
      <c r="U5697" t="s">
        <v>13610</v>
      </c>
      <c r="V5697" t="s">
        <v>13610</v>
      </c>
      <c r="W5697" t="s">
        <v>19235</v>
      </c>
      <c r="X5697">
        <v>15</v>
      </c>
      <c r="Y5697" t="s">
        <v>25791</v>
      </c>
      <c r="Z5697" t="s">
        <v>32552</v>
      </c>
      <c r="AA5697">
        <v>0.63873558276888809</v>
      </c>
      <c r="AB5697" t="str">
        <f>HYPERLINK("Melting_Curves/meltCurve_Q9H0W9_C11orf54.pdf", "Melting_Curves/meltCurve_Q9H0W9_C11orf54.pdf")</f>
        <v>Melting_Curves/meltCurve_Q9H0W9_C11orf54.pdf</v>
      </c>
    </row>
    <row r="5698" spans="1:28" x14ac:dyDescent="0.25">
      <c r="A5698" t="s">
        <v>5702</v>
      </c>
      <c r="B5698">
        <v>0.995954080203443</v>
      </c>
      <c r="C5698">
        <v>0.97235680375053302</v>
      </c>
      <c r="D5698">
        <v>1.34950881213536</v>
      </c>
      <c r="E5698">
        <v>0.984860129684764</v>
      </c>
      <c r="F5698">
        <v>1.2204329020822799</v>
      </c>
      <c r="G5698">
        <v>1.0090414521679101</v>
      </c>
      <c r="H5698">
        <v>0.783175885526328</v>
      </c>
      <c r="I5698">
        <v>0.56486240377016705</v>
      </c>
      <c r="J5698">
        <v>0.35862327480804601</v>
      </c>
      <c r="K5698">
        <v>0.14450349926067299</v>
      </c>
      <c r="L5698">
        <v>1582.61102569889</v>
      </c>
      <c r="M5698">
        <v>24.489622316205502</v>
      </c>
      <c r="N5698">
        <v>64.827844245878595</v>
      </c>
      <c r="O5698">
        <v>64.197461757514006</v>
      </c>
      <c r="P5698">
        <v>-9.1831273385287501E-2</v>
      </c>
      <c r="Q5698">
        <v>3.7102567002712999E-2</v>
      </c>
      <c r="R5698">
        <v>0.86142153615671302</v>
      </c>
      <c r="S5698" t="s">
        <v>12504</v>
      </c>
      <c r="T5698" t="s">
        <v>13610</v>
      </c>
      <c r="U5698" t="s">
        <v>13610</v>
      </c>
      <c r="V5698" t="s">
        <v>13610</v>
      </c>
      <c r="W5698" t="s">
        <v>19236</v>
      </c>
      <c r="X5698">
        <v>2</v>
      </c>
      <c r="Y5698" t="s">
        <v>25792</v>
      </c>
      <c r="Z5698" t="s">
        <v>32553</v>
      </c>
      <c r="AA5698">
        <v>0.82348724991673217</v>
      </c>
      <c r="AB5698" t="str">
        <f>HYPERLINK("Melting_Curves/meltCurve_Q9H116_GZF1.pdf", "Melting_Curves/meltCurve_Q9H116_GZF1.pdf")</f>
        <v>Melting_Curves/meltCurve_Q9H116_GZF1.pdf</v>
      </c>
    </row>
    <row r="5699" spans="1:28" x14ac:dyDescent="0.25">
      <c r="A5699" t="s">
        <v>5703</v>
      </c>
      <c r="B5699">
        <v>0.995954080203443</v>
      </c>
      <c r="C5699">
        <v>1.0025774513539101</v>
      </c>
      <c r="D5699">
        <v>0.938517970822491</v>
      </c>
      <c r="E5699">
        <v>0.62522902844895001</v>
      </c>
      <c r="F5699">
        <v>0.33383124317376001</v>
      </c>
      <c r="G5699">
        <v>0.23518598193498799</v>
      </c>
      <c r="H5699">
        <v>0.21000993738190901</v>
      </c>
      <c r="I5699">
        <v>0.236589261277588</v>
      </c>
      <c r="J5699">
        <v>0.32310411111897502</v>
      </c>
      <c r="K5699">
        <v>0.30629103062201102</v>
      </c>
      <c r="L5699">
        <v>1777.38069534278</v>
      </c>
      <c r="M5699">
        <v>35.624052969365103</v>
      </c>
      <c r="N5699">
        <v>50.940533545919699</v>
      </c>
      <c r="O5699">
        <v>49.736279094906301</v>
      </c>
      <c r="P5699">
        <v>-0.13256005613107599</v>
      </c>
      <c r="Q5699">
        <v>0.25971116555719498</v>
      </c>
      <c r="R5699">
        <v>0.98893516181283403</v>
      </c>
      <c r="S5699" t="s">
        <v>12505</v>
      </c>
      <c r="T5699" t="s">
        <v>13610</v>
      </c>
      <c r="U5699" t="s">
        <v>13610</v>
      </c>
      <c r="V5699" t="s">
        <v>13610</v>
      </c>
      <c r="W5699" t="s">
        <v>19237</v>
      </c>
      <c r="X5699">
        <v>5</v>
      </c>
      <c r="Y5699" t="s">
        <v>25793</v>
      </c>
      <c r="Z5699" t="s">
        <v>32554</v>
      </c>
      <c r="AA5699">
        <v>0.50705445121744031</v>
      </c>
      <c r="AB5699" t="str">
        <f>HYPERLINK("Melting_Curves/meltCurve_Q9H173_SIL1.pdf", "Melting_Curves/meltCurve_Q9H173_SIL1.pdf")</f>
        <v>Melting_Curves/meltCurve_Q9H173_SIL1.pdf</v>
      </c>
    </row>
    <row r="5700" spans="1:28" x14ac:dyDescent="0.25">
      <c r="A5700" t="s">
        <v>5704</v>
      </c>
      <c r="B5700">
        <v>0.995954080203443</v>
      </c>
      <c r="C5700">
        <v>0.78017563248758803</v>
      </c>
      <c r="D5700">
        <v>1.3470456077900199</v>
      </c>
      <c r="E5700">
        <v>0.94867860796440495</v>
      </c>
      <c r="F5700">
        <v>1.4824955721589199</v>
      </c>
      <c r="G5700">
        <v>1.22775307155364</v>
      </c>
      <c r="H5700">
        <v>1.1332691819344101</v>
      </c>
      <c r="I5700">
        <v>1.4955538761232099</v>
      </c>
      <c r="J5700">
        <v>1.3751284146043401</v>
      </c>
      <c r="K5700">
        <v>1.9006486827050499</v>
      </c>
      <c r="L5700">
        <v>608.36418085165496</v>
      </c>
      <c r="M5700">
        <v>11.3390871135087</v>
      </c>
      <c r="O5700">
        <v>52.064512324603498</v>
      </c>
      <c r="P5700">
        <v>2.72318168775556E-2</v>
      </c>
      <c r="Q5700">
        <v>1.5</v>
      </c>
      <c r="R5700">
        <v>0.44881776855593902</v>
      </c>
      <c r="S5700" t="s">
        <v>12506</v>
      </c>
      <c r="T5700" t="s">
        <v>13610</v>
      </c>
      <c r="U5700" t="s">
        <v>13610</v>
      </c>
      <c r="V5700" t="s">
        <v>13610</v>
      </c>
      <c r="W5700" t="s">
        <v>19238</v>
      </c>
      <c r="X5700">
        <v>2</v>
      </c>
      <c r="Y5700" t="s">
        <v>25794</v>
      </c>
      <c r="Z5700" t="s">
        <v>32555</v>
      </c>
      <c r="AA5700">
        <v>1.258232570972758</v>
      </c>
      <c r="AB5700" t="str">
        <f>HYPERLINK("Melting_Curves/meltCurve_Q9H175_CSRNP2.pdf", "Melting_Curves/meltCurve_Q9H175_CSRNP2.pdf")</f>
        <v>Melting_Curves/meltCurve_Q9H175_CSRNP2.pdf</v>
      </c>
    </row>
    <row r="5701" spans="1:28" x14ac:dyDescent="0.25">
      <c r="A5701" t="s">
        <v>5705</v>
      </c>
      <c r="B5701">
        <v>0.995954080203443</v>
      </c>
      <c r="C5701">
        <v>0.67234118527092102</v>
      </c>
      <c r="D5701">
        <v>0.50930543577656695</v>
      </c>
      <c r="E5701">
        <v>0.791328595582525</v>
      </c>
      <c r="F5701">
        <v>0.42983646279122301</v>
      </c>
      <c r="G5701">
        <v>0.15521254955684599</v>
      </c>
      <c r="H5701">
        <v>8.6265248472646897E-2</v>
      </c>
      <c r="I5701">
        <v>7.6115060264159706E-2</v>
      </c>
      <c r="J5701">
        <v>8.3336029293447397E-2</v>
      </c>
      <c r="K5701">
        <v>8.3641063308366001E-2</v>
      </c>
      <c r="L5701">
        <v>444.36052176244903</v>
      </c>
      <c r="M5701">
        <v>8.8898748359635604</v>
      </c>
      <c r="N5701">
        <v>49.984991345618198</v>
      </c>
      <c r="O5701">
        <v>47.6497057444845</v>
      </c>
      <c r="P5701">
        <v>-4.66773014601101E-2</v>
      </c>
      <c r="Q5701">
        <v>0</v>
      </c>
      <c r="R5701">
        <v>0.84361457800578299</v>
      </c>
      <c r="S5701" t="s">
        <v>12507</v>
      </c>
      <c r="T5701" t="s">
        <v>13610</v>
      </c>
      <c r="U5701" t="s">
        <v>13610</v>
      </c>
      <c r="V5701" t="s">
        <v>13610</v>
      </c>
      <c r="W5701" t="s">
        <v>19239</v>
      </c>
      <c r="X5701">
        <v>22</v>
      </c>
      <c r="Y5701" t="s">
        <v>25795</v>
      </c>
      <c r="Z5701" t="s">
        <v>32556</v>
      </c>
      <c r="AA5701">
        <v>0.38558383991483519</v>
      </c>
      <c r="AB5701" t="str">
        <f>HYPERLINK("Melting_Curves/meltCurve_Q9H1A4_ANAPC1.pdf", "Melting_Curves/meltCurve_Q9H1A4_ANAPC1.pdf")</f>
        <v>Melting_Curves/meltCurve_Q9H1A4_ANAPC1.pdf</v>
      </c>
    </row>
    <row r="5702" spans="1:28" x14ac:dyDescent="0.25">
      <c r="A5702" t="s">
        <v>5706</v>
      </c>
      <c r="B5702">
        <v>0.995954080203443</v>
      </c>
      <c r="C5702">
        <v>1.02107028197351</v>
      </c>
      <c r="D5702">
        <v>1.10725633438329</v>
      </c>
      <c r="E5702">
        <v>0.74965196656812005</v>
      </c>
      <c r="F5702">
        <v>0.44991845466172098</v>
      </c>
      <c r="G5702">
        <v>0.239925710327936</v>
      </c>
      <c r="H5702">
        <v>0.18289349707389899</v>
      </c>
      <c r="I5702">
        <v>0.18919772132083901</v>
      </c>
      <c r="J5702">
        <v>0.223064434133142</v>
      </c>
      <c r="K5702">
        <v>0.22070885357029599</v>
      </c>
      <c r="L5702">
        <v>1683.44715416793</v>
      </c>
      <c r="M5702">
        <v>32.694970253981801</v>
      </c>
      <c r="N5702">
        <v>52.334001152243097</v>
      </c>
      <c r="O5702">
        <v>51.298000230385199</v>
      </c>
      <c r="P5702">
        <v>-0.12667598267348301</v>
      </c>
      <c r="Q5702">
        <v>0.20499144385776899</v>
      </c>
      <c r="R5702">
        <v>0.98622350630092304</v>
      </c>
      <c r="S5702" t="s">
        <v>12508</v>
      </c>
      <c r="T5702" t="s">
        <v>13610</v>
      </c>
      <c r="U5702" t="s">
        <v>13610</v>
      </c>
      <c r="V5702" t="s">
        <v>13610</v>
      </c>
      <c r="W5702" t="s">
        <v>19240</v>
      </c>
      <c r="X5702">
        <v>27</v>
      </c>
      <c r="Y5702" t="s">
        <v>25796</v>
      </c>
      <c r="Z5702" t="s">
        <v>32557</v>
      </c>
      <c r="AA5702">
        <v>0.51370854038408997</v>
      </c>
      <c r="AB5702" t="str">
        <f>HYPERLINK("Melting_Curves/meltCurve_Q9H1B7_IRF2BPL.pdf", "Melting_Curves/meltCurve_Q9H1B7_IRF2BPL.pdf")</f>
        <v>Melting_Curves/meltCurve_Q9H1B7_IRF2BPL.pdf</v>
      </c>
    </row>
    <row r="5703" spans="1:28" x14ac:dyDescent="0.25">
      <c r="A5703" t="s">
        <v>5707</v>
      </c>
      <c r="B5703">
        <v>0.995954080203443</v>
      </c>
      <c r="C5703">
        <v>0.89733892483240996</v>
      </c>
      <c r="D5703">
        <v>0.816911807171814</v>
      </c>
      <c r="E5703">
        <v>0.69355217568573702</v>
      </c>
      <c r="F5703">
        <v>0.35038301575378999</v>
      </c>
      <c r="G5703">
        <v>0.172251624410976</v>
      </c>
      <c r="H5703">
        <v>7.4562965051051602E-2</v>
      </c>
      <c r="I5703">
        <v>5.3564741830405903E-2</v>
      </c>
      <c r="J5703">
        <v>4.7773015088538498E-2</v>
      </c>
      <c r="K5703">
        <v>4.8236105452198703E-2</v>
      </c>
      <c r="L5703">
        <v>801.78575954124301</v>
      </c>
      <c r="M5703">
        <v>15.609840922574699</v>
      </c>
      <c r="N5703">
        <v>51.450616157058001</v>
      </c>
      <c r="O5703">
        <v>50.543302088647501</v>
      </c>
      <c r="P5703">
        <v>-7.6216918532129599E-2</v>
      </c>
      <c r="Q5703">
        <v>1.29503859721388E-2</v>
      </c>
      <c r="R5703">
        <v>0.98909912610182504</v>
      </c>
      <c r="S5703" t="s">
        <v>12509</v>
      </c>
      <c r="T5703" t="s">
        <v>13610</v>
      </c>
      <c r="U5703" t="s">
        <v>13610</v>
      </c>
      <c r="V5703" t="s">
        <v>13610</v>
      </c>
      <c r="W5703" t="s">
        <v>19241</v>
      </c>
      <c r="X5703">
        <v>10</v>
      </c>
      <c r="Y5703" t="s">
        <v>25797</v>
      </c>
      <c r="Z5703" t="s">
        <v>32558</v>
      </c>
      <c r="AA5703">
        <v>0.40797483777060578</v>
      </c>
      <c r="AB5703" t="str">
        <f>HYPERLINK("Melting_Curves/meltCurve_Q9H1D9_POLR3F.pdf", "Melting_Curves/meltCurve_Q9H1D9_POLR3F.pdf")</f>
        <v>Melting_Curves/meltCurve_Q9H1D9_POLR3F.pdf</v>
      </c>
    </row>
    <row r="5704" spans="1:28" x14ac:dyDescent="0.25">
      <c r="A5704" t="s">
        <v>5708</v>
      </c>
      <c r="B5704">
        <v>0.995954080203443</v>
      </c>
      <c r="C5704">
        <v>0.93345767346062802</v>
      </c>
      <c r="D5704">
        <v>0.94890452216571997</v>
      </c>
      <c r="E5704">
        <v>0.93806022714345505</v>
      </c>
      <c r="F5704">
        <v>1.0582068655077299</v>
      </c>
      <c r="G5704">
        <v>0.93245916697377496</v>
      </c>
      <c r="H5704">
        <v>1.07617068305945</v>
      </c>
      <c r="I5704">
        <v>1.3224326990491899</v>
      </c>
      <c r="J5704">
        <v>1.5699474388863699</v>
      </c>
      <c r="K5704">
        <v>1.3235035773431201</v>
      </c>
      <c r="L5704">
        <v>4070.1540469901202</v>
      </c>
      <c r="M5704">
        <v>64.863959978392202</v>
      </c>
      <c r="O5704">
        <v>62.689508476034398</v>
      </c>
      <c r="P5704">
        <v>0.11429766767737599</v>
      </c>
      <c r="Q5704">
        <v>1.44186410427139</v>
      </c>
      <c r="R5704">
        <v>0.881404160879387</v>
      </c>
      <c r="S5704" t="s">
        <v>12510</v>
      </c>
      <c r="T5704" t="s">
        <v>13610</v>
      </c>
      <c r="U5704" t="s">
        <v>13610</v>
      </c>
      <c r="V5704" t="s">
        <v>13610</v>
      </c>
      <c r="W5704" t="s">
        <v>19242</v>
      </c>
      <c r="X5704">
        <v>24</v>
      </c>
      <c r="Y5704" t="s">
        <v>25798</v>
      </c>
      <c r="Z5704" t="s">
        <v>32559</v>
      </c>
      <c r="AA5704">
        <v>1.1060944328683351</v>
      </c>
      <c r="AB5704" t="str">
        <f>HYPERLINK("Melting_Curves/meltCurve_Q9H1E3_NUCKS1.pdf", "Melting_Curves/meltCurve_Q9H1E3_NUCKS1.pdf")</f>
        <v>Melting_Curves/meltCurve_Q9H1E3_NUCKS1.pdf</v>
      </c>
    </row>
    <row r="5705" spans="1:28" x14ac:dyDescent="0.25">
      <c r="A5705" t="s">
        <v>5709</v>
      </c>
      <c r="B5705">
        <v>0.995954080203443</v>
      </c>
      <c r="C5705">
        <v>1.00979839901512</v>
      </c>
      <c r="D5705">
        <v>0.71277754035803398</v>
      </c>
      <c r="E5705">
        <v>0.45100756679797699</v>
      </c>
      <c r="F5705">
        <v>0.30594767593808903</v>
      </c>
      <c r="G5705">
        <v>0.174089310008715</v>
      </c>
      <c r="H5705">
        <v>0.12795003495702201</v>
      </c>
      <c r="I5705">
        <v>0.132016685273498</v>
      </c>
      <c r="J5705">
        <v>0.158861302443078</v>
      </c>
      <c r="K5705">
        <v>0.14309605866587599</v>
      </c>
      <c r="L5705">
        <v>915.786180351854</v>
      </c>
      <c r="M5705">
        <v>18.9075944317756</v>
      </c>
      <c r="N5705">
        <v>49.2577156505278</v>
      </c>
      <c r="O5705">
        <v>47.902794404189898</v>
      </c>
      <c r="P5705">
        <v>-8.5317469236773094E-2</v>
      </c>
      <c r="Q5705">
        <v>0.135420611923282</v>
      </c>
      <c r="R5705">
        <v>0.99001498899027496</v>
      </c>
      <c r="S5705" t="s">
        <v>12511</v>
      </c>
      <c r="T5705" t="s">
        <v>13610</v>
      </c>
      <c r="U5705" t="s">
        <v>13610</v>
      </c>
      <c r="V5705" t="s">
        <v>13610</v>
      </c>
      <c r="W5705" t="s">
        <v>19243</v>
      </c>
      <c r="X5705">
        <v>8</v>
      </c>
      <c r="Y5705" t="s">
        <v>25799</v>
      </c>
      <c r="Z5705" t="s">
        <v>32560</v>
      </c>
      <c r="AA5705">
        <v>0.3922062923737587</v>
      </c>
      <c r="AB5705" t="str">
        <f>HYPERLINK("Melting_Curves/meltCurve_Q9H1I8_ASCC2.pdf", "Melting_Curves/meltCurve_Q9H1I8_ASCC2.pdf")</f>
        <v>Melting_Curves/meltCurve_Q9H1I8_ASCC2.pdf</v>
      </c>
    </row>
    <row r="5706" spans="1:28" x14ac:dyDescent="0.25">
      <c r="A5706" t="s">
        <v>5710</v>
      </c>
      <c r="B5706">
        <v>0.995954080203443</v>
      </c>
      <c r="C5706">
        <v>1.0373764928587199</v>
      </c>
      <c r="D5706">
        <v>1.1891521030491601</v>
      </c>
      <c r="E5706">
        <v>1.0295616904254401</v>
      </c>
      <c r="F5706">
        <v>1.18964115476932</v>
      </c>
      <c r="G5706">
        <v>0.93710353990503503</v>
      </c>
      <c r="H5706">
        <v>1.0065698409705499</v>
      </c>
      <c r="I5706">
        <v>1.2229040061216201</v>
      </c>
      <c r="J5706">
        <v>1.6264254263404601</v>
      </c>
      <c r="K5706">
        <v>1.50835266675969</v>
      </c>
      <c r="L5706">
        <v>15000</v>
      </c>
      <c r="M5706">
        <v>234.15752150479301</v>
      </c>
      <c r="O5706">
        <v>64.054768520197101</v>
      </c>
      <c r="P5706">
        <v>0.45694787316671198</v>
      </c>
      <c r="Q5706">
        <v>1.5</v>
      </c>
      <c r="R5706">
        <v>0.80180999288238997</v>
      </c>
      <c r="S5706" t="s">
        <v>12512</v>
      </c>
      <c r="T5706" t="s">
        <v>13610</v>
      </c>
      <c r="U5706" t="s">
        <v>13610</v>
      </c>
      <c r="V5706" t="s">
        <v>13610</v>
      </c>
      <c r="W5706" t="s">
        <v>19244</v>
      </c>
      <c r="X5706">
        <v>5</v>
      </c>
      <c r="Y5706" t="s">
        <v>25800</v>
      </c>
      <c r="Z5706" t="s">
        <v>32561</v>
      </c>
      <c r="AA5706">
        <v>1.098945234730222</v>
      </c>
      <c r="AB5706" t="str">
        <f>HYPERLINK("Melting_Curves/meltCurve_Q9H1J1_2_UPF3A.pdf", "Melting_Curves/meltCurve_Q9H1J1_2_UPF3A.pdf")</f>
        <v>Melting_Curves/meltCurve_Q9H1J1_2_UPF3A.pdf</v>
      </c>
    </row>
    <row r="5707" spans="1:28" x14ac:dyDescent="0.25">
      <c r="A5707" t="s">
        <v>5711</v>
      </c>
      <c r="B5707">
        <v>0.995954080203443</v>
      </c>
      <c r="C5707">
        <v>1.04287040893234</v>
      </c>
      <c r="D5707">
        <v>1.0478190577267601</v>
      </c>
      <c r="E5707">
        <v>0.92359660566962198</v>
      </c>
      <c r="F5707">
        <v>0.86635389784043104</v>
      </c>
      <c r="G5707">
        <v>0.63111395444445295</v>
      </c>
      <c r="H5707">
        <v>0.55820285362470501</v>
      </c>
      <c r="I5707">
        <v>0.62655986168520195</v>
      </c>
      <c r="J5707">
        <v>0.67729751912707603</v>
      </c>
      <c r="K5707">
        <v>0.56521993358096501</v>
      </c>
      <c r="L5707">
        <v>1926.6968699430499</v>
      </c>
      <c r="M5707">
        <v>35.904133414118398</v>
      </c>
      <c r="O5707">
        <v>53.496605179579198</v>
      </c>
      <c r="P5707">
        <v>-6.6593398696689801E-2</v>
      </c>
      <c r="Q5707">
        <v>0.60310872330315102</v>
      </c>
      <c r="R5707">
        <v>0.952659644764421</v>
      </c>
      <c r="S5707" t="s">
        <v>12513</v>
      </c>
      <c r="T5707" t="s">
        <v>13610</v>
      </c>
      <c r="U5707" t="s">
        <v>13610</v>
      </c>
      <c r="V5707" t="s">
        <v>13610</v>
      </c>
      <c r="W5707" t="s">
        <v>19245</v>
      </c>
      <c r="X5707">
        <v>8</v>
      </c>
      <c r="Y5707" t="s">
        <v>25801</v>
      </c>
      <c r="Z5707" t="s">
        <v>32562</v>
      </c>
      <c r="AA5707">
        <v>0.78567982852772333</v>
      </c>
      <c r="AB5707" t="str">
        <f>HYPERLINK("Melting_Curves/meltCurve_Q9H1K1_ISCU.pdf", "Melting_Curves/meltCurve_Q9H1K1_ISCU.pdf")</f>
        <v>Melting_Curves/meltCurve_Q9H1K1_ISCU.pdf</v>
      </c>
    </row>
    <row r="5708" spans="1:28" x14ac:dyDescent="0.25">
      <c r="A5708" t="s">
        <v>5712</v>
      </c>
      <c r="B5708">
        <v>0.995954080203443</v>
      </c>
      <c r="C5708">
        <v>0.998320522392943</v>
      </c>
      <c r="D5708">
        <v>0.89256345858661101</v>
      </c>
      <c r="E5708">
        <v>0.87417113180892703</v>
      </c>
      <c r="F5708">
        <v>0.70882596225028205</v>
      </c>
      <c r="G5708">
        <v>0.33869780678233302</v>
      </c>
      <c r="H5708">
        <v>0.15182035220071199</v>
      </c>
      <c r="I5708">
        <v>0.106127559728504</v>
      </c>
      <c r="J5708">
        <v>7.7590692078252005E-2</v>
      </c>
      <c r="K5708">
        <v>8.7298882558928995E-2</v>
      </c>
      <c r="L5708">
        <v>1110.31368862811</v>
      </c>
      <c r="M5708">
        <v>20.279783745052001</v>
      </c>
      <c r="N5708">
        <v>55.091554917229097</v>
      </c>
      <c r="O5708">
        <v>54.225765459544697</v>
      </c>
      <c r="P5708">
        <v>-8.7973185502350601E-2</v>
      </c>
      <c r="Q5708">
        <v>5.9109160814996203E-2</v>
      </c>
      <c r="R5708">
        <v>0.99381691324302501</v>
      </c>
      <c r="S5708" t="s">
        <v>12514</v>
      </c>
      <c r="T5708" t="s">
        <v>13610</v>
      </c>
      <c r="U5708" t="s">
        <v>13610</v>
      </c>
      <c r="V5708" t="s">
        <v>13610</v>
      </c>
      <c r="W5708" t="s">
        <v>19246</v>
      </c>
      <c r="X5708">
        <v>4</v>
      </c>
      <c r="Y5708" t="s">
        <v>25802</v>
      </c>
      <c r="Z5708" t="s">
        <v>32563</v>
      </c>
      <c r="AA5708">
        <v>0.53404567339339981</v>
      </c>
      <c r="AB5708" t="str">
        <f>HYPERLINK("Melting_Curves/meltCurve_Q9H1K6_MESDC1.pdf", "Melting_Curves/meltCurve_Q9H1K6_MESDC1.pdf")</f>
        <v>Melting_Curves/meltCurve_Q9H1K6_MESDC1.pdf</v>
      </c>
    </row>
    <row r="5709" spans="1:28" x14ac:dyDescent="0.25">
      <c r="A5709" t="s">
        <v>5713</v>
      </c>
      <c r="B5709">
        <v>0.995954080203443</v>
      </c>
      <c r="C5709">
        <v>0.98104624371941596</v>
      </c>
      <c r="D5709">
        <v>0.50660571305383195</v>
      </c>
      <c r="E5709">
        <v>0.30294945106588</v>
      </c>
      <c r="F5709">
        <v>0.15148650425576099</v>
      </c>
      <c r="G5709">
        <v>9.4723428892148298E-2</v>
      </c>
      <c r="H5709">
        <v>7.1562827837025694E-2</v>
      </c>
      <c r="I5709">
        <v>6.9103429010198003E-2</v>
      </c>
      <c r="J5709">
        <v>5.59637817722278E-2</v>
      </c>
      <c r="K5709">
        <v>5.3157192102874402E-2</v>
      </c>
      <c r="L5709">
        <v>1034.8363156047601</v>
      </c>
      <c r="M5709">
        <v>22.2250478690578</v>
      </c>
      <c r="N5709">
        <v>46.895626252152098</v>
      </c>
      <c r="O5709">
        <v>46.189682110961201</v>
      </c>
      <c r="P5709">
        <v>-0.111491535830317</v>
      </c>
      <c r="Q5709">
        <v>7.3181403080599006E-2</v>
      </c>
      <c r="R5709">
        <v>0.98054496131026603</v>
      </c>
      <c r="S5709" t="s">
        <v>12515</v>
      </c>
      <c r="T5709" t="s">
        <v>13610</v>
      </c>
      <c r="U5709" t="s">
        <v>13610</v>
      </c>
      <c r="V5709" t="s">
        <v>13610</v>
      </c>
      <c r="W5709" t="s">
        <v>19247</v>
      </c>
      <c r="X5709">
        <v>4</v>
      </c>
      <c r="Y5709" t="s">
        <v>25803</v>
      </c>
      <c r="Z5709" t="s">
        <v>32564</v>
      </c>
      <c r="AA5709">
        <v>0.28681059475143089</v>
      </c>
      <c r="AB5709" t="str">
        <f>HYPERLINK("Melting_Curves/meltCurve_Q9H1P3_2_OSBPL2.pdf", "Melting_Curves/meltCurve_Q9H1P3_2_OSBPL2.pdf")</f>
        <v>Melting_Curves/meltCurve_Q9H1P3_2_OSBPL2.pdf</v>
      </c>
    </row>
    <row r="5710" spans="1:28" x14ac:dyDescent="0.25">
      <c r="A5710" t="s">
        <v>5714</v>
      </c>
      <c r="B5710">
        <v>0.995954080203443</v>
      </c>
      <c r="C5710">
        <v>0.81201798866640096</v>
      </c>
      <c r="D5710">
        <v>0.70332843927112898</v>
      </c>
      <c r="E5710">
        <v>0.62750042339302203</v>
      </c>
      <c r="F5710">
        <v>0.45265064580918801</v>
      </c>
      <c r="G5710">
        <v>0.13056598891974899</v>
      </c>
      <c r="H5710">
        <v>7.5472369458912794E-2</v>
      </c>
      <c r="I5710">
        <v>6.27629860692476E-2</v>
      </c>
      <c r="J5710">
        <v>6.3730550593626104E-2</v>
      </c>
      <c r="K5710">
        <v>5.9525855320237298E-2</v>
      </c>
      <c r="L5710">
        <v>587.47053802156495</v>
      </c>
      <c r="M5710">
        <v>11.5787388191138</v>
      </c>
      <c r="N5710">
        <v>50.7370056639745</v>
      </c>
      <c r="O5710">
        <v>49.294416385077902</v>
      </c>
      <c r="P5710">
        <v>-5.8738594505096997E-2</v>
      </c>
      <c r="Q5710">
        <v>0</v>
      </c>
      <c r="R5710">
        <v>0.969985543277878</v>
      </c>
      <c r="S5710" t="s">
        <v>12516</v>
      </c>
      <c r="T5710" t="s">
        <v>13610</v>
      </c>
      <c r="U5710" t="s">
        <v>13610</v>
      </c>
      <c r="V5710" t="s">
        <v>13610</v>
      </c>
      <c r="W5710" t="s">
        <v>19248</v>
      </c>
      <c r="X5710">
        <v>10</v>
      </c>
      <c r="Y5710" t="s">
        <v>25804</v>
      </c>
      <c r="Z5710" t="s">
        <v>32565</v>
      </c>
      <c r="AA5710">
        <v>0.39279702535297362</v>
      </c>
      <c r="AB5710" t="str">
        <f>HYPERLINK("Melting_Curves/meltCurve_Q9H1Y0_ATG5.pdf", "Melting_Curves/meltCurve_Q9H1Y0_ATG5.pdf")</f>
        <v>Melting_Curves/meltCurve_Q9H1Y0_ATG5.pdf</v>
      </c>
    </row>
    <row r="5711" spans="1:28" x14ac:dyDescent="0.25">
      <c r="A5711" t="s">
        <v>5715</v>
      </c>
      <c r="B5711">
        <v>0.995954080203443</v>
      </c>
      <c r="C5711">
        <v>0.93519803577383898</v>
      </c>
      <c r="D5711">
        <v>0.806014311176804</v>
      </c>
      <c r="E5711">
        <v>0.76304262861597005</v>
      </c>
      <c r="F5711">
        <v>0.545700103260225</v>
      </c>
      <c r="G5711">
        <v>0.36318241578421101</v>
      </c>
      <c r="H5711">
        <v>0.26327046022636502</v>
      </c>
      <c r="I5711">
        <v>0.15836456094908899</v>
      </c>
      <c r="J5711">
        <v>0.13791494724925299</v>
      </c>
      <c r="K5711">
        <v>0.14338619138467301</v>
      </c>
      <c r="L5711">
        <v>583.21485503852205</v>
      </c>
      <c r="M5711">
        <v>10.872706562967201</v>
      </c>
      <c r="N5711">
        <v>54.141436241138798</v>
      </c>
      <c r="O5711">
        <v>51.921405095313801</v>
      </c>
      <c r="P5711">
        <v>-4.9863079076661099E-2</v>
      </c>
      <c r="Q5711">
        <v>4.7873526103098002E-2</v>
      </c>
      <c r="R5711">
        <v>0.99087640175087299</v>
      </c>
      <c r="S5711" t="s">
        <v>12517</v>
      </c>
      <c r="T5711" t="s">
        <v>13610</v>
      </c>
      <c r="U5711" t="s">
        <v>13610</v>
      </c>
      <c r="V5711" t="s">
        <v>13610</v>
      </c>
      <c r="W5711" t="s">
        <v>19249</v>
      </c>
      <c r="X5711">
        <v>7</v>
      </c>
      <c r="Y5711" t="s">
        <v>25805</v>
      </c>
      <c r="Z5711" t="s">
        <v>32566</v>
      </c>
      <c r="AA5711">
        <v>0.50895993573667841</v>
      </c>
      <c r="AB5711" t="str">
        <f>HYPERLINK("Melting_Curves/meltCurve_Q9H1Z4_WDR13.pdf", "Melting_Curves/meltCurve_Q9H1Z4_WDR13.pdf")</f>
        <v>Melting_Curves/meltCurve_Q9H1Z4_WDR13.pdf</v>
      </c>
    </row>
    <row r="5712" spans="1:28" x14ac:dyDescent="0.25">
      <c r="A5712" t="s">
        <v>5716</v>
      </c>
      <c r="B5712">
        <v>0.995954080203443</v>
      </c>
      <c r="C5712">
        <v>0.88879336006494103</v>
      </c>
      <c r="D5712">
        <v>1.2779356138726301</v>
      </c>
      <c r="E5712">
        <v>0.97769510183642405</v>
      </c>
      <c r="F5712">
        <v>1.1615989519798999</v>
      </c>
      <c r="G5712">
        <v>0.98115149111108302</v>
      </c>
      <c r="H5712">
        <v>0.65504143197939801</v>
      </c>
      <c r="I5712">
        <v>0.75252139068714596</v>
      </c>
      <c r="J5712">
        <v>0.70193947735655304</v>
      </c>
      <c r="K5712">
        <v>0.931626278855331</v>
      </c>
      <c r="L5712">
        <v>14390.281470845301</v>
      </c>
      <c r="M5712">
        <v>250</v>
      </c>
      <c r="O5712">
        <v>57.557442429621702</v>
      </c>
      <c r="P5712">
        <v>-0.26030285040057499</v>
      </c>
      <c r="Q5712">
        <v>0.76028213938043898</v>
      </c>
      <c r="R5712">
        <v>0.53540720745493797</v>
      </c>
      <c r="S5712" t="s">
        <v>12518</v>
      </c>
      <c r="T5712" t="s">
        <v>13610</v>
      </c>
      <c r="U5712" t="s">
        <v>13610</v>
      </c>
      <c r="V5712" t="s">
        <v>13610</v>
      </c>
      <c r="W5712" t="s">
        <v>19250</v>
      </c>
      <c r="X5712">
        <v>3</v>
      </c>
      <c r="Y5712" t="s">
        <v>25806</v>
      </c>
      <c r="Z5712" t="s">
        <v>32567</v>
      </c>
      <c r="AA5712">
        <v>0.90063020630475099</v>
      </c>
      <c r="AB5712" t="str">
        <f>HYPERLINK("Melting_Curves/meltCurve_Q9H204_MED28.pdf", "Melting_Curves/meltCurve_Q9H204_MED28.pdf")</f>
        <v>Melting_Curves/meltCurve_Q9H204_MED28.pdf</v>
      </c>
    </row>
    <row r="5713" spans="1:28" x14ac:dyDescent="0.25">
      <c r="A5713" t="s">
        <v>5717</v>
      </c>
      <c r="B5713">
        <v>0.995954080203443</v>
      </c>
      <c r="C5713">
        <v>1.0464689142872901</v>
      </c>
      <c r="D5713">
        <v>0.98725059634955203</v>
      </c>
      <c r="E5713">
        <v>0.84826628198111598</v>
      </c>
      <c r="F5713">
        <v>0.467024016508858</v>
      </c>
      <c r="G5713">
        <v>0.23189437982394601</v>
      </c>
      <c r="H5713">
        <v>0.155465178360712</v>
      </c>
      <c r="I5713">
        <v>0.13329817990458201</v>
      </c>
      <c r="J5713">
        <v>0.14266660368377199</v>
      </c>
      <c r="K5713">
        <v>0.149813156260237</v>
      </c>
      <c r="L5713">
        <v>1661.47125526635</v>
      </c>
      <c r="M5713">
        <v>31.786922548297699</v>
      </c>
      <c r="N5713">
        <v>52.848125360260902</v>
      </c>
      <c r="O5713">
        <v>52.063453544872701</v>
      </c>
      <c r="P5713">
        <v>-0.13018903397773801</v>
      </c>
      <c r="Q5713">
        <v>0.14706365480351399</v>
      </c>
      <c r="R5713">
        <v>0.99751468044156499</v>
      </c>
      <c r="S5713" t="s">
        <v>12519</v>
      </c>
      <c r="T5713" t="s">
        <v>13610</v>
      </c>
      <c r="U5713" t="s">
        <v>13610</v>
      </c>
      <c r="V5713" t="s">
        <v>13610</v>
      </c>
      <c r="W5713" t="s">
        <v>19251</v>
      </c>
      <c r="X5713">
        <v>9</v>
      </c>
      <c r="Y5713" t="s">
        <v>25807</v>
      </c>
      <c r="Z5713" t="s">
        <v>32568</v>
      </c>
      <c r="AA5713">
        <v>0.50076590098639528</v>
      </c>
      <c r="AB5713" t="str">
        <f>HYPERLINK("Melting_Curves/meltCurve_Q9H211_CDT1.pdf", "Melting_Curves/meltCurve_Q9H211_CDT1.pdf")</f>
        <v>Melting_Curves/meltCurve_Q9H211_CDT1.pdf</v>
      </c>
    </row>
    <row r="5714" spans="1:28" x14ac:dyDescent="0.25">
      <c r="A5714" t="s">
        <v>5718</v>
      </c>
      <c r="B5714">
        <v>0.995954080203443</v>
      </c>
      <c r="C5714">
        <v>0.81427877895935197</v>
      </c>
      <c r="D5714">
        <v>0.382872864347861</v>
      </c>
      <c r="E5714">
        <v>0.23774542947518101</v>
      </c>
      <c r="F5714">
        <v>0.14998178014209801</v>
      </c>
      <c r="G5714">
        <v>9.6657677585130497E-2</v>
      </c>
      <c r="H5714">
        <v>7.6410763023878697E-2</v>
      </c>
      <c r="I5714">
        <v>8.23529712908668E-2</v>
      </c>
      <c r="J5714">
        <v>8.9221466748264103E-2</v>
      </c>
      <c r="K5714">
        <v>8.8723945227369996E-2</v>
      </c>
      <c r="L5714">
        <v>1131.3238653082301</v>
      </c>
      <c r="M5714">
        <v>25.153726000929598</v>
      </c>
      <c r="N5714">
        <v>45.379166100398201</v>
      </c>
      <c r="O5714">
        <v>44.695011895361802</v>
      </c>
      <c r="P5714">
        <v>-0.12662208879793899</v>
      </c>
      <c r="Q5714">
        <v>0.100045618583797</v>
      </c>
      <c r="R5714">
        <v>0.989359870047954</v>
      </c>
      <c r="S5714" t="s">
        <v>12520</v>
      </c>
      <c r="T5714" t="s">
        <v>13610</v>
      </c>
      <c r="U5714" t="s">
        <v>13610</v>
      </c>
      <c r="V5714" t="s">
        <v>13610</v>
      </c>
      <c r="W5714" t="s">
        <v>19252</v>
      </c>
      <c r="X5714">
        <v>17</v>
      </c>
      <c r="Y5714" t="s">
        <v>25808</v>
      </c>
      <c r="Z5714" t="s">
        <v>32569</v>
      </c>
      <c r="AA5714">
        <v>0.25818705033739647</v>
      </c>
      <c r="AB5714" t="str">
        <f>HYPERLINK("Melting_Curves/meltCurve_Q9H223_EHD4.pdf", "Melting_Curves/meltCurve_Q9H223_EHD4.pdf")</f>
        <v>Melting_Curves/meltCurve_Q9H223_EHD4.pdf</v>
      </c>
    </row>
    <row r="5715" spans="1:28" x14ac:dyDescent="0.25">
      <c r="A5715" t="s">
        <v>5719</v>
      </c>
      <c r="B5715">
        <v>0.995954080203443</v>
      </c>
      <c r="C5715">
        <v>0.83851954641930304</v>
      </c>
      <c r="D5715">
        <v>0.554659710956939</v>
      </c>
      <c r="E5715">
        <v>0.26655795610718502</v>
      </c>
      <c r="F5715">
        <v>0.13889280242650801</v>
      </c>
      <c r="G5715">
        <v>9.0503880180426502E-2</v>
      </c>
      <c r="H5715">
        <v>7.2776181387651101E-2</v>
      </c>
      <c r="I5715">
        <v>7.1500888610164695E-2</v>
      </c>
      <c r="J5715">
        <v>7.6746354882062703E-2</v>
      </c>
      <c r="K5715">
        <v>7.5501178342303299E-2</v>
      </c>
      <c r="L5715">
        <v>917.115109352128</v>
      </c>
      <c r="M5715">
        <v>19.79473082502</v>
      </c>
      <c r="N5715">
        <v>46.694227981340802</v>
      </c>
      <c r="O5715">
        <v>45.866183915836402</v>
      </c>
      <c r="P5715">
        <v>-0.100203832743587</v>
      </c>
      <c r="Q5715">
        <v>7.1305829608193594E-2</v>
      </c>
      <c r="R5715">
        <v>0.99830926367233297</v>
      </c>
      <c r="S5715" t="s">
        <v>12521</v>
      </c>
      <c r="T5715" t="s">
        <v>13610</v>
      </c>
      <c r="U5715" t="s">
        <v>13610</v>
      </c>
      <c r="V5715" t="s">
        <v>13610</v>
      </c>
      <c r="W5715" t="s">
        <v>19253</v>
      </c>
      <c r="X5715">
        <v>19</v>
      </c>
      <c r="Y5715" t="s">
        <v>25809</v>
      </c>
      <c r="Z5715" t="s">
        <v>32570</v>
      </c>
      <c r="AA5715">
        <v>0.28168342029336663</v>
      </c>
      <c r="AB5715" t="str">
        <f>HYPERLINK("Melting_Curves/meltCurve_Q9H267_VPS33B.pdf", "Melting_Curves/meltCurve_Q9H267_VPS33B.pdf")</f>
        <v>Melting_Curves/meltCurve_Q9H267_VPS33B.pdf</v>
      </c>
    </row>
    <row r="5716" spans="1:28" x14ac:dyDescent="0.25">
      <c r="A5716" t="s">
        <v>5720</v>
      </c>
      <c r="B5716">
        <v>0.995954080203443</v>
      </c>
      <c r="C5716">
        <v>0.74940172888515999</v>
      </c>
      <c r="D5716">
        <v>0.52427834264819795</v>
      </c>
      <c r="E5716">
        <v>0.415744961717954</v>
      </c>
      <c r="F5716">
        <v>0.170105586216899</v>
      </c>
      <c r="G5716">
        <v>9.5543172865389103E-2</v>
      </c>
      <c r="H5716">
        <v>5.9995437932744602E-2</v>
      </c>
      <c r="I5716">
        <v>5.8770197318117202E-2</v>
      </c>
      <c r="J5716">
        <v>6.7456337014107998E-2</v>
      </c>
      <c r="K5716">
        <v>6.0970970760587197E-2</v>
      </c>
      <c r="L5716">
        <v>636.19415442578997</v>
      </c>
      <c r="M5716">
        <v>13.5846446588824</v>
      </c>
      <c r="N5716">
        <v>47.106104591694198</v>
      </c>
      <c r="O5716">
        <v>45.8519953475531</v>
      </c>
      <c r="P5716">
        <v>-7.1262416524954506E-2</v>
      </c>
      <c r="Q5716">
        <v>3.8020793085468699E-2</v>
      </c>
      <c r="R5716">
        <v>0.97925603371174497</v>
      </c>
      <c r="S5716" t="s">
        <v>12522</v>
      </c>
      <c r="T5716" t="s">
        <v>13610</v>
      </c>
      <c r="U5716" t="s">
        <v>13610</v>
      </c>
      <c r="V5716" t="s">
        <v>13610</v>
      </c>
      <c r="W5716" t="s">
        <v>19254</v>
      </c>
      <c r="X5716">
        <v>16</v>
      </c>
      <c r="Y5716" t="s">
        <v>25810</v>
      </c>
      <c r="Z5716" t="s">
        <v>32571</v>
      </c>
      <c r="AA5716">
        <v>0.28937484644257128</v>
      </c>
      <c r="AB5716" t="str">
        <f>HYPERLINK("Melting_Curves/meltCurve_Q9H269_VPS16.pdf", "Melting_Curves/meltCurve_Q9H269_VPS16.pdf")</f>
        <v>Melting_Curves/meltCurve_Q9H269_VPS16.pdf</v>
      </c>
    </row>
    <row r="5717" spans="1:28" x14ac:dyDescent="0.25">
      <c r="A5717" t="s">
        <v>5721</v>
      </c>
      <c r="B5717">
        <v>0.995954080203443</v>
      </c>
      <c r="C5717">
        <v>0.74169396436012902</v>
      </c>
      <c r="D5717">
        <v>0.56993536269452605</v>
      </c>
      <c r="E5717">
        <v>0.40598431902958498</v>
      </c>
      <c r="F5717">
        <v>0.18270055029249799</v>
      </c>
      <c r="G5717">
        <v>0.110388085034516</v>
      </c>
      <c r="H5717">
        <v>7.9096713736846305E-2</v>
      </c>
      <c r="I5717">
        <v>7.9179692223938405E-2</v>
      </c>
      <c r="J5717">
        <v>0.10187827520948101</v>
      </c>
      <c r="K5717">
        <v>8.7075037361915297E-2</v>
      </c>
      <c r="L5717">
        <v>656.97919855287103</v>
      </c>
      <c r="M5717">
        <v>14.038526869938501</v>
      </c>
      <c r="N5717">
        <v>47.260919492326799</v>
      </c>
      <c r="O5717">
        <v>45.879411275251996</v>
      </c>
      <c r="P5717">
        <v>-7.1595404304554106E-2</v>
      </c>
      <c r="Q5717">
        <v>6.4196987312847495E-2</v>
      </c>
      <c r="R5717">
        <v>0.98290593152186101</v>
      </c>
      <c r="S5717" t="s">
        <v>12523</v>
      </c>
      <c r="T5717" t="s">
        <v>13610</v>
      </c>
      <c r="U5717" t="s">
        <v>13610</v>
      </c>
      <c r="V5717" t="s">
        <v>13610</v>
      </c>
      <c r="W5717" t="s">
        <v>19255</v>
      </c>
      <c r="X5717">
        <v>27</v>
      </c>
      <c r="Y5717" t="s">
        <v>25811</v>
      </c>
      <c r="Z5717" t="s">
        <v>32572</v>
      </c>
      <c r="AA5717">
        <v>0.305743824851063</v>
      </c>
      <c r="AB5717" t="str">
        <f>HYPERLINK("Melting_Curves/meltCurve_Q9H270_VPS11.pdf", "Melting_Curves/meltCurve_Q9H270_VPS11.pdf")</f>
        <v>Melting_Curves/meltCurve_Q9H270_VPS11.pdf</v>
      </c>
    </row>
    <row r="5718" spans="1:28" x14ac:dyDescent="0.25">
      <c r="A5718" t="s">
        <v>5722</v>
      </c>
      <c r="B5718">
        <v>0.995954080203443</v>
      </c>
      <c r="C5718">
        <v>0.98284077821424498</v>
      </c>
      <c r="D5718">
        <v>0.90763940819912203</v>
      </c>
      <c r="E5718">
        <v>0.87125806536612105</v>
      </c>
      <c r="F5718">
        <v>0.67514651433054196</v>
      </c>
      <c r="G5718">
        <v>0.48197114144755998</v>
      </c>
      <c r="H5718">
        <v>9.9164310945369094E-2</v>
      </c>
      <c r="I5718">
        <v>9.5676423471002706E-2</v>
      </c>
      <c r="J5718">
        <v>9.7162423570616899E-2</v>
      </c>
      <c r="K5718">
        <v>8.8684438593383597E-2</v>
      </c>
      <c r="L5718">
        <v>951.85917124456</v>
      </c>
      <c r="M5718">
        <v>17.174610466025701</v>
      </c>
      <c r="N5718">
        <v>55.604598101938699</v>
      </c>
      <c r="O5718">
        <v>54.687442433823797</v>
      </c>
      <c r="P5718">
        <v>-7.6369644647526699E-2</v>
      </c>
      <c r="Q5718">
        <v>2.7351999496876798E-2</v>
      </c>
      <c r="R5718">
        <v>0.98451628647593403</v>
      </c>
      <c r="S5718" t="s">
        <v>12524</v>
      </c>
      <c r="T5718" t="s">
        <v>13610</v>
      </c>
      <c r="U5718" t="s">
        <v>13610</v>
      </c>
      <c r="V5718" t="s">
        <v>13610</v>
      </c>
      <c r="W5718" t="s">
        <v>19256</v>
      </c>
      <c r="X5718">
        <v>29</v>
      </c>
      <c r="Y5718" t="s">
        <v>25812</v>
      </c>
      <c r="Z5718" t="s">
        <v>32573</v>
      </c>
      <c r="AA5718">
        <v>0.5430341005545396</v>
      </c>
      <c r="AB5718" t="str">
        <f>HYPERLINK("Melting_Curves/meltCurve_Q9H2C0_GAN.pdf", "Melting_Curves/meltCurve_Q9H2C0_GAN.pdf")</f>
        <v>Melting_Curves/meltCurve_Q9H2C0_GAN.pdf</v>
      </c>
    </row>
    <row r="5719" spans="1:28" x14ac:dyDescent="0.25">
      <c r="A5719" t="s">
        <v>5723</v>
      </c>
      <c r="B5719">
        <v>0.995954080203443</v>
      </c>
      <c r="C5719">
        <v>0.94816089255913405</v>
      </c>
      <c r="D5719">
        <v>0.97234182112952605</v>
      </c>
      <c r="E5719">
        <v>0.71852502923362505</v>
      </c>
      <c r="F5719">
        <v>0.59083992762895499</v>
      </c>
      <c r="G5719">
        <v>0.39059464171881503</v>
      </c>
      <c r="H5719">
        <v>0.32259785814764202</v>
      </c>
      <c r="I5719">
        <v>0.36197956158613598</v>
      </c>
      <c r="J5719">
        <v>0.47935963760796002</v>
      </c>
      <c r="K5719">
        <v>0.44727831191439699</v>
      </c>
      <c r="L5719">
        <v>1261.76102554258</v>
      </c>
      <c r="M5719">
        <v>24.9333682567426</v>
      </c>
      <c r="N5719">
        <v>54.017082481527602</v>
      </c>
      <c r="O5719">
        <v>50.2831596472858</v>
      </c>
      <c r="P5719">
        <v>-7.4816656638653306E-2</v>
      </c>
      <c r="Q5719">
        <v>0.39647676564268602</v>
      </c>
      <c r="R5719">
        <v>0.96225035522903402</v>
      </c>
      <c r="S5719" t="s">
        <v>12525</v>
      </c>
      <c r="T5719" t="s">
        <v>13610</v>
      </c>
      <c r="U5719" t="s">
        <v>13610</v>
      </c>
      <c r="V5719" t="s">
        <v>13610</v>
      </c>
      <c r="W5719" t="s">
        <v>19257</v>
      </c>
      <c r="X5719">
        <v>17</v>
      </c>
      <c r="Y5719" t="s">
        <v>25813</v>
      </c>
      <c r="Z5719" t="s">
        <v>32574</v>
      </c>
      <c r="AA5719">
        <v>0.61528621443005316</v>
      </c>
      <c r="AB5719" t="str">
        <f>HYPERLINK("Melting_Curves/meltCurve_Q9H2D6_5_TRIOBP.pdf", "Melting_Curves/meltCurve_Q9H2D6_5_TRIOBP.pdf")</f>
        <v>Melting_Curves/meltCurve_Q9H2D6_5_TRIOBP.pdf</v>
      </c>
    </row>
    <row r="5720" spans="1:28" x14ac:dyDescent="0.25">
      <c r="A5720" t="s">
        <v>5724</v>
      </c>
      <c r="B5720">
        <v>0.995954080203443</v>
      </c>
      <c r="C5720">
        <v>0.90175930917546698</v>
      </c>
      <c r="D5720">
        <v>0.99120843045843299</v>
      </c>
      <c r="E5720">
        <v>0.65826251932898805</v>
      </c>
      <c r="F5720">
        <v>0.28162727562362899</v>
      </c>
      <c r="G5720">
        <v>0.208681190500247</v>
      </c>
      <c r="H5720">
        <v>0.165832987921262</v>
      </c>
      <c r="I5720">
        <v>0.19665285898624199</v>
      </c>
      <c r="J5720">
        <v>0.19402462105756399</v>
      </c>
      <c r="K5720">
        <v>0.23591250519100601</v>
      </c>
      <c r="L5720">
        <v>2165.1549367884299</v>
      </c>
      <c r="M5720">
        <v>43.007734924165099</v>
      </c>
      <c r="N5720">
        <v>50.944465961584498</v>
      </c>
      <c r="O5720">
        <v>50.2349050711451</v>
      </c>
      <c r="P5720">
        <v>-0.171444646059915</v>
      </c>
      <c r="Q5720">
        <v>0.198982027507071</v>
      </c>
      <c r="R5720">
        <v>0.98962561899492896</v>
      </c>
      <c r="S5720" t="s">
        <v>12526</v>
      </c>
      <c r="T5720" t="s">
        <v>13610</v>
      </c>
      <c r="U5720" t="s">
        <v>13610</v>
      </c>
      <c r="V5720" t="s">
        <v>13610</v>
      </c>
      <c r="W5720" t="s">
        <v>19258</v>
      </c>
      <c r="X5720">
        <v>6</v>
      </c>
      <c r="Y5720" t="s">
        <v>25814</v>
      </c>
      <c r="Z5720" t="s">
        <v>32575</v>
      </c>
      <c r="AA5720">
        <v>0.47756550568698097</v>
      </c>
      <c r="AB5720" t="str">
        <f>HYPERLINK("Melting_Curves/meltCurve_Q9H2F5_2_EPC1.pdf", "Melting_Curves/meltCurve_Q9H2F5_2_EPC1.pdf")</f>
        <v>Melting_Curves/meltCurve_Q9H2F5_2_EPC1.pdf</v>
      </c>
    </row>
    <row r="5721" spans="1:28" x14ac:dyDescent="0.25">
      <c r="A5721" t="s">
        <v>5725</v>
      </c>
      <c r="B5721">
        <v>0.995954080203443</v>
      </c>
      <c r="C5721">
        <v>0.95153209505636605</v>
      </c>
      <c r="D5721">
        <v>0.86376220589177799</v>
      </c>
      <c r="E5721">
        <v>0.494047812958471</v>
      </c>
      <c r="F5721">
        <v>0.27030512988083499</v>
      </c>
      <c r="G5721">
        <v>0.19007851742699799</v>
      </c>
      <c r="H5721">
        <v>0.15938930255001599</v>
      </c>
      <c r="I5721">
        <v>0.180897688976698</v>
      </c>
      <c r="J5721">
        <v>0.19524255856162601</v>
      </c>
      <c r="K5721">
        <v>0.21131212461472201</v>
      </c>
      <c r="L5721">
        <v>1247.01445605038</v>
      </c>
      <c r="M5721">
        <v>25.4802501210747</v>
      </c>
      <c r="N5721">
        <v>49.816454812935397</v>
      </c>
      <c r="O5721">
        <v>48.641967673014797</v>
      </c>
      <c r="P5721">
        <v>-0.10731231779349699</v>
      </c>
      <c r="Q5721">
        <v>0.180570463626334</v>
      </c>
      <c r="R5721">
        <v>0.99731699417386099</v>
      </c>
      <c r="S5721" t="s">
        <v>12527</v>
      </c>
      <c r="T5721" t="s">
        <v>13610</v>
      </c>
      <c r="U5721" t="s">
        <v>13610</v>
      </c>
      <c r="V5721" t="s">
        <v>13610</v>
      </c>
      <c r="W5721" t="s">
        <v>19259</v>
      </c>
      <c r="X5721">
        <v>42</v>
      </c>
      <c r="Y5721" t="s">
        <v>25815</v>
      </c>
      <c r="Z5721" t="s">
        <v>32576</v>
      </c>
      <c r="AA5721">
        <v>0.43175137707017652</v>
      </c>
      <c r="AB5721" t="str">
        <f>HYPERLINK("Melting_Curves/meltCurve_Q9H2G2_2_SLK.pdf", "Melting_Curves/meltCurve_Q9H2G2_2_SLK.pdf")</f>
        <v>Melting_Curves/meltCurve_Q9H2G2_2_SLK.pdf</v>
      </c>
    </row>
    <row r="5722" spans="1:28" x14ac:dyDescent="0.25">
      <c r="A5722" t="s">
        <v>5726</v>
      </c>
      <c r="B5722">
        <v>0.995954080203443</v>
      </c>
      <c r="C5722">
        <v>1.0883699554287101</v>
      </c>
      <c r="D5722">
        <v>1.10966105975919</v>
      </c>
      <c r="E5722">
        <v>0.64835070275833895</v>
      </c>
      <c r="F5722">
        <v>0.263999050364843</v>
      </c>
      <c r="G5722">
        <v>0.146676632075837</v>
      </c>
      <c r="H5722">
        <v>7.2839575742613794E-2</v>
      </c>
      <c r="I5722">
        <v>6.1598069266970701E-2</v>
      </c>
      <c r="J5722">
        <v>6.3711481837138498E-2</v>
      </c>
      <c r="K5722">
        <v>6.9254574693249596E-2</v>
      </c>
      <c r="L5722">
        <v>1865.00094245637</v>
      </c>
      <c r="M5722">
        <v>36.695088495517901</v>
      </c>
      <c r="N5722">
        <v>51.067449969447601</v>
      </c>
      <c r="O5722">
        <v>50.674038810682497</v>
      </c>
      <c r="P5722">
        <v>-0.166524431700906</v>
      </c>
      <c r="Q5722">
        <v>8.0155968055392907E-2</v>
      </c>
      <c r="R5722">
        <v>0.98473080082212705</v>
      </c>
      <c r="S5722" t="s">
        <v>12528</v>
      </c>
      <c r="T5722" t="s">
        <v>13610</v>
      </c>
      <c r="U5722" t="s">
        <v>13610</v>
      </c>
      <c r="V5722" t="s">
        <v>13610</v>
      </c>
      <c r="W5722" t="s">
        <v>19260</v>
      </c>
      <c r="X5722">
        <v>9</v>
      </c>
      <c r="Y5722" t="s">
        <v>25816</v>
      </c>
      <c r="Z5722" t="s">
        <v>32577</v>
      </c>
      <c r="AA5722">
        <v>0.41588871680182482</v>
      </c>
      <c r="AB5722" t="str">
        <f>HYPERLINK("Melting_Curves/meltCurve_Q9H2H8_PPIL3.pdf", "Melting_Curves/meltCurve_Q9H2H8_PPIL3.pdf")</f>
        <v>Melting_Curves/meltCurve_Q9H2H8_PPIL3.pdf</v>
      </c>
    </row>
    <row r="5723" spans="1:28" x14ac:dyDescent="0.25">
      <c r="A5723" t="s">
        <v>5727</v>
      </c>
      <c r="B5723">
        <v>0.995954080203443</v>
      </c>
      <c r="C5723">
        <v>0.62570773220053899</v>
      </c>
      <c r="D5723">
        <v>0.41454719311589799</v>
      </c>
      <c r="E5723">
        <v>1.12005986344588</v>
      </c>
      <c r="F5723">
        <v>0.76934060935789195</v>
      </c>
      <c r="G5723">
        <v>0.60354540630331699</v>
      </c>
      <c r="H5723">
        <v>0.27077233443960103</v>
      </c>
      <c r="I5723">
        <v>0.13815821461327299</v>
      </c>
      <c r="J5723">
        <v>0.14074107552389201</v>
      </c>
      <c r="K5723">
        <v>0.14064235496573199</v>
      </c>
      <c r="L5723">
        <v>532.51957756232002</v>
      </c>
      <c r="M5723">
        <v>9.3629117505401407</v>
      </c>
      <c r="N5723">
        <v>56.8754303886614</v>
      </c>
      <c r="O5723">
        <v>54.461814174149097</v>
      </c>
      <c r="P5723">
        <v>-4.3006116756225697E-2</v>
      </c>
      <c r="Q5723">
        <v>0</v>
      </c>
      <c r="R5723">
        <v>0.56946510484069202</v>
      </c>
      <c r="S5723" t="s">
        <v>12529</v>
      </c>
      <c r="T5723" t="s">
        <v>13610</v>
      </c>
      <c r="U5723" t="s">
        <v>13610</v>
      </c>
      <c r="V5723" t="s">
        <v>13610</v>
      </c>
      <c r="W5723" t="s">
        <v>19261</v>
      </c>
      <c r="X5723">
        <v>8</v>
      </c>
      <c r="Y5723" t="s">
        <v>25817</v>
      </c>
      <c r="Z5723" t="s">
        <v>32578</v>
      </c>
      <c r="AA5723">
        <v>0.57826449779770916</v>
      </c>
      <c r="AB5723" t="str">
        <f>HYPERLINK("Melting_Curves/meltCurve_Q9H2J4_PDCL3.pdf", "Melting_Curves/meltCurve_Q9H2J4_PDCL3.pdf")</f>
        <v>Melting_Curves/meltCurve_Q9H2J4_PDCL3.pdf</v>
      </c>
    </row>
    <row r="5724" spans="1:28" x14ac:dyDescent="0.25">
      <c r="A5724" t="s">
        <v>5728</v>
      </c>
      <c r="B5724">
        <v>0.995954080203443</v>
      </c>
      <c r="C5724">
        <v>1.05249676163567</v>
      </c>
      <c r="D5724">
        <v>0.91156212046571405</v>
      </c>
      <c r="E5724">
        <v>0.50154252861126103</v>
      </c>
      <c r="F5724">
        <v>0.143762924691305</v>
      </c>
      <c r="G5724">
        <v>0.16295355823777799</v>
      </c>
      <c r="H5724">
        <v>7.5811299413994199E-2</v>
      </c>
      <c r="I5724">
        <v>7.7672835231146098E-2</v>
      </c>
      <c r="J5724">
        <v>7.4684215374296606E-2</v>
      </c>
      <c r="K5724">
        <v>0.119100046930511</v>
      </c>
      <c r="L5724">
        <v>1719.25757516514</v>
      </c>
      <c r="M5724">
        <v>34.667750424885099</v>
      </c>
      <c r="N5724">
        <v>49.893206586526901</v>
      </c>
      <c r="O5724">
        <v>49.428276698495701</v>
      </c>
      <c r="P5724">
        <v>-0.158809006148218</v>
      </c>
      <c r="Q5724">
        <v>9.4302188297916895E-2</v>
      </c>
      <c r="R5724">
        <v>0.99287291165151503</v>
      </c>
      <c r="S5724" t="s">
        <v>12530</v>
      </c>
      <c r="T5724" t="s">
        <v>13610</v>
      </c>
      <c r="U5724" t="s">
        <v>13610</v>
      </c>
      <c r="V5724" t="s">
        <v>13610</v>
      </c>
      <c r="W5724" t="s">
        <v>19262</v>
      </c>
      <c r="X5724">
        <v>1</v>
      </c>
      <c r="Y5724" t="s">
        <v>25818</v>
      </c>
      <c r="Z5724" t="s">
        <v>32579</v>
      </c>
      <c r="AA5724">
        <v>0.38804605187493069</v>
      </c>
      <c r="AB5724" t="str">
        <f>HYPERLINK("Melting_Curves/meltCurve_Q9H2K0_MTIF3.pdf", "Melting_Curves/meltCurve_Q9H2K0_MTIF3.pdf")</f>
        <v>Melting_Curves/meltCurve_Q9H2K0_MTIF3.pdf</v>
      </c>
    </row>
    <row r="5725" spans="1:28" x14ac:dyDescent="0.25">
      <c r="A5725" t="s">
        <v>5729</v>
      </c>
      <c r="B5725">
        <v>0.995954080203443</v>
      </c>
      <c r="C5725">
        <v>0.93342351624502096</v>
      </c>
      <c r="D5725">
        <v>0.88831786465124596</v>
      </c>
      <c r="E5725">
        <v>0.61994774501448002</v>
      </c>
      <c r="F5725">
        <v>0.17540182432249601</v>
      </c>
      <c r="G5725">
        <v>0.10459712016763099</v>
      </c>
      <c r="H5725">
        <v>7.1219141708278297E-2</v>
      </c>
      <c r="I5725">
        <v>6.9916179761581598E-2</v>
      </c>
      <c r="J5725">
        <v>8.1907342481274001E-2</v>
      </c>
      <c r="K5725">
        <v>7.3843373296785295E-2</v>
      </c>
      <c r="L5725">
        <v>1660.13594873029</v>
      </c>
      <c r="M5725">
        <v>32.988648163951197</v>
      </c>
      <c r="N5725">
        <v>50.5585140249974</v>
      </c>
      <c r="O5725">
        <v>50.140609876168298</v>
      </c>
      <c r="P5725">
        <v>-0.152833966263756</v>
      </c>
      <c r="Q5725">
        <v>7.0813150166763497E-2</v>
      </c>
      <c r="R5725">
        <v>0.99151881026671196</v>
      </c>
      <c r="S5725" t="s">
        <v>12531</v>
      </c>
      <c r="T5725" t="s">
        <v>13610</v>
      </c>
      <c r="U5725" t="s">
        <v>13610</v>
      </c>
      <c r="V5725" t="s">
        <v>13610</v>
      </c>
      <c r="W5725" t="s">
        <v>19263</v>
      </c>
      <c r="X5725">
        <v>33</v>
      </c>
      <c r="Y5725" t="s">
        <v>25819</v>
      </c>
      <c r="Z5725" t="s">
        <v>32580</v>
      </c>
      <c r="AA5725">
        <v>0.39536159249049441</v>
      </c>
      <c r="AB5725" t="str">
        <f>HYPERLINK("Melting_Curves/meltCurve_Q9H2K8_TAOK3.pdf", "Melting_Curves/meltCurve_Q9H2K8_TAOK3.pdf")</f>
        <v>Melting_Curves/meltCurve_Q9H2K8_TAOK3.pdf</v>
      </c>
    </row>
    <row r="5726" spans="1:28" x14ac:dyDescent="0.25">
      <c r="A5726" t="s">
        <v>5730</v>
      </c>
      <c r="B5726">
        <v>0.995954080203443</v>
      </c>
      <c r="C5726">
        <v>0.88691525180459396</v>
      </c>
      <c r="D5726">
        <v>0.62365384588296202</v>
      </c>
      <c r="E5726">
        <v>0.33714225652531399</v>
      </c>
      <c r="F5726">
        <v>0.152284530623752</v>
      </c>
      <c r="G5726">
        <v>8.6521915288150203E-2</v>
      </c>
      <c r="H5726">
        <v>5.9188587347116101E-2</v>
      </c>
      <c r="I5726">
        <v>5.1361796820418901E-2</v>
      </c>
      <c r="J5726">
        <v>5.61685307543527E-2</v>
      </c>
      <c r="K5726">
        <v>5.8968805445969302E-2</v>
      </c>
      <c r="L5726">
        <v>870.546285792204</v>
      </c>
      <c r="M5726">
        <v>18.3872093668489</v>
      </c>
      <c r="N5726">
        <v>47.610338650067902</v>
      </c>
      <c r="O5726">
        <v>46.7958570911386</v>
      </c>
      <c r="P5726">
        <v>-9.3455012098783E-2</v>
      </c>
      <c r="Q5726">
        <v>4.8662754131634102E-2</v>
      </c>
      <c r="R5726">
        <v>0.99787543571412896</v>
      </c>
      <c r="S5726" t="s">
        <v>12532</v>
      </c>
      <c r="T5726" t="s">
        <v>13610</v>
      </c>
      <c r="U5726" t="s">
        <v>13610</v>
      </c>
      <c r="V5726" t="s">
        <v>13610</v>
      </c>
      <c r="W5726" t="s">
        <v>19264</v>
      </c>
      <c r="X5726">
        <v>46</v>
      </c>
      <c r="Y5726" t="s">
        <v>25820</v>
      </c>
      <c r="Z5726" t="s">
        <v>32581</v>
      </c>
      <c r="AA5726">
        <v>0.29809400680880838</v>
      </c>
      <c r="AB5726" t="str">
        <f>HYPERLINK("Melting_Curves/meltCurve_Q9H2M9_RAB3GAP2.pdf", "Melting_Curves/meltCurve_Q9H2M9_RAB3GAP2.pdf")</f>
        <v>Melting_Curves/meltCurve_Q9H2M9_RAB3GAP2.pdf</v>
      </c>
    </row>
    <row r="5727" spans="1:28" x14ac:dyDescent="0.25">
      <c r="A5727" t="s">
        <v>5731</v>
      </c>
      <c r="B5727">
        <v>0.995954080203443</v>
      </c>
      <c r="C5727">
        <v>0.93895351329821497</v>
      </c>
      <c r="D5727">
        <v>0.80091037549397803</v>
      </c>
      <c r="E5727">
        <v>0.53347377191596201</v>
      </c>
      <c r="F5727">
        <v>0.35624039298682603</v>
      </c>
      <c r="G5727">
        <v>0.240421704024741</v>
      </c>
      <c r="H5727">
        <v>0.19203550890618901</v>
      </c>
      <c r="I5727">
        <v>0.21084528600688099</v>
      </c>
      <c r="J5727">
        <v>0.240420491071175</v>
      </c>
      <c r="K5727">
        <v>0.23758767589506999</v>
      </c>
      <c r="L5727">
        <v>924.38225965329298</v>
      </c>
      <c r="M5727">
        <v>18.9346103160503</v>
      </c>
      <c r="N5727">
        <v>50.262868388492798</v>
      </c>
      <c r="O5727">
        <v>48.284952013339598</v>
      </c>
      <c r="P5727">
        <v>-7.7481970007335504E-2</v>
      </c>
      <c r="Q5727">
        <v>0.209688137125742</v>
      </c>
      <c r="R5727">
        <v>0.99630331756270296</v>
      </c>
      <c r="S5727" t="s">
        <v>12533</v>
      </c>
      <c r="T5727" t="s">
        <v>13610</v>
      </c>
      <c r="U5727" t="s">
        <v>13610</v>
      </c>
      <c r="V5727" t="s">
        <v>13610</v>
      </c>
      <c r="W5727" t="s">
        <v>19265</v>
      </c>
      <c r="X5727">
        <v>23</v>
      </c>
      <c r="Y5727" t="s">
        <v>25821</v>
      </c>
      <c r="Z5727" t="s">
        <v>32582</v>
      </c>
      <c r="AA5727">
        <v>0.45443341230640849</v>
      </c>
      <c r="AB5727" t="str">
        <f>HYPERLINK("Melting_Curves/meltCurve_Q9H2P0_ADNP.pdf", "Melting_Curves/meltCurve_Q9H2P0_ADNP.pdf")</f>
        <v>Melting_Curves/meltCurve_Q9H2P0_ADNP.pdf</v>
      </c>
    </row>
    <row r="5728" spans="1:28" x14ac:dyDescent="0.25">
      <c r="A5728" t="s">
        <v>5732</v>
      </c>
      <c r="B5728">
        <v>0.995954080203443</v>
      </c>
      <c r="C5728">
        <v>0.93764951292786103</v>
      </c>
      <c r="D5728">
        <v>0.85566422978356904</v>
      </c>
      <c r="E5728">
        <v>0.74963617047672104</v>
      </c>
      <c r="F5728">
        <v>0.49589513135918201</v>
      </c>
      <c r="G5728">
        <v>0.18130080586742001</v>
      </c>
      <c r="H5728">
        <v>8.2474099298124603E-2</v>
      </c>
      <c r="I5728">
        <v>7.2447442306272203E-2</v>
      </c>
      <c r="J5728">
        <v>8.0337007611278294E-2</v>
      </c>
      <c r="K5728">
        <v>7.1406956398824495E-2</v>
      </c>
      <c r="L5728">
        <v>949.93874486086497</v>
      </c>
      <c r="M5728">
        <v>18.129890532452599</v>
      </c>
      <c r="N5728">
        <v>52.641263442883997</v>
      </c>
      <c r="O5728">
        <v>51.771281281731198</v>
      </c>
      <c r="P5728">
        <v>-8.4009998558838797E-2</v>
      </c>
      <c r="Q5728">
        <v>4.0458251415985698E-2</v>
      </c>
      <c r="R5728">
        <v>0.99134802301862601</v>
      </c>
      <c r="S5728" t="s">
        <v>12534</v>
      </c>
      <c r="T5728" t="s">
        <v>13610</v>
      </c>
      <c r="U5728" t="s">
        <v>13610</v>
      </c>
      <c r="V5728" t="s">
        <v>13610</v>
      </c>
      <c r="W5728" t="s">
        <v>19266</v>
      </c>
      <c r="X5728">
        <v>11</v>
      </c>
      <c r="Y5728" t="s">
        <v>25822</v>
      </c>
      <c r="Z5728" t="s">
        <v>32583</v>
      </c>
      <c r="AA5728">
        <v>0.45263584534337709</v>
      </c>
      <c r="AB5728" t="str">
        <f>HYPERLINK("Melting_Curves/meltCurve_Q9H2P9_DPH5.pdf", "Melting_Curves/meltCurve_Q9H2P9_DPH5.pdf")</f>
        <v>Melting_Curves/meltCurve_Q9H2P9_DPH5.pdf</v>
      </c>
    </row>
    <row r="5729" spans="1:28" x14ac:dyDescent="0.25">
      <c r="A5729" t="s">
        <v>5733</v>
      </c>
      <c r="B5729">
        <v>0.995954080203443</v>
      </c>
      <c r="C5729">
        <v>0.96076026620178201</v>
      </c>
      <c r="D5729">
        <v>0.92165087658928602</v>
      </c>
      <c r="E5729">
        <v>0.71515021352307495</v>
      </c>
      <c r="F5729">
        <v>0.28094321288388202</v>
      </c>
      <c r="G5729">
        <v>0.17655508436168699</v>
      </c>
      <c r="H5729">
        <v>0.15072103522566899</v>
      </c>
      <c r="I5729">
        <v>0.15657942775852801</v>
      </c>
      <c r="J5729">
        <v>0.20460689768815099</v>
      </c>
      <c r="K5729">
        <v>0.18695159875581999</v>
      </c>
      <c r="L5729">
        <v>2089.79730260728</v>
      </c>
      <c r="M5729">
        <v>41.205239633551798</v>
      </c>
      <c r="N5729">
        <v>51.240412673901901</v>
      </c>
      <c r="O5729">
        <v>50.597766867870597</v>
      </c>
      <c r="P5729">
        <v>-0.16860926905488999</v>
      </c>
      <c r="Q5729">
        <v>0.171829864670655</v>
      </c>
      <c r="R5729">
        <v>0.99346738958835301</v>
      </c>
      <c r="S5729" t="s">
        <v>12535</v>
      </c>
      <c r="T5729" t="s">
        <v>13610</v>
      </c>
      <c r="U5729" t="s">
        <v>13610</v>
      </c>
      <c r="V5729" t="s">
        <v>13610</v>
      </c>
      <c r="W5729" t="s">
        <v>19267</v>
      </c>
      <c r="X5729">
        <v>23</v>
      </c>
      <c r="Y5729" t="s">
        <v>25823</v>
      </c>
      <c r="Z5729" t="s">
        <v>32584</v>
      </c>
      <c r="AA5729">
        <v>0.47040876618686761</v>
      </c>
      <c r="AB5729" t="str">
        <f>HYPERLINK("Melting_Curves/meltCurve_Q9H2U1_3_DHX36.pdf", "Melting_Curves/meltCurve_Q9H2U1_3_DHX36.pdf")</f>
        <v>Melting_Curves/meltCurve_Q9H2U1_3_DHX36.pdf</v>
      </c>
    </row>
    <row r="5730" spans="1:28" x14ac:dyDescent="0.25">
      <c r="A5730" t="s">
        <v>5734</v>
      </c>
      <c r="B5730">
        <v>0.995954080203443</v>
      </c>
      <c r="C5730">
        <v>1.03171474526021</v>
      </c>
      <c r="D5730">
        <v>1.0356486744862501</v>
      </c>
      <c r="E5730">
        <v>0.85363795934589404</v>
      </c>
      <c r="F5730">
        <v>0.39826846469105698</v>
      </c>
      <c r="G5730">
        <v>0.15892933479927401</v>
      </c>
      <c r="H5730">
        <v>8.2874493033444602E-2</v>
      </c>
      <c r="I5730">
        <v>5.93052154506108E-2</v>
      </c>
      <c r="J5730">
        <v>6.0062309341108497E-2</v>
      </c>
      <c r="K5730">
        <v>4.7037677227108901E-2</v>
      </c>
      <c r="L5730">
        <v>1869.8612447078599</v>
      </c>
      <c r="M5730">
        <v>35.805037880603003</v>
      </c>
      <c r="N5730">
        <v>52.441820887153398</v>
      </c>
      <c r="O5730">
        <v>52.061312635186901</v>
      </c>
      <c r="P5730">
        <v>-0.16002789194511199</v>
      </c>
      <c r="Q5730">
        <v>6.9266731012617003E-2</v>
      </c>
      <c r="R5730">
        <v>0.99662875690229102</v>
      </c>
      <c r="S5730" t="s">
        <v>12536</v>
      </c>
      <c r="T5730" t="s">
        <v>13610</v>
      </c>
      <c r="U5730" t="s">
        <v>13610</v>
      </c>
      <c r="V5730" t="s">
        <v>13610</v>
      </c>
      <c r="W5730" t="s">
        <v>19268</v>
      </c>
      <c r="X5730">
        <v>16</v>
      </c>
      <c r="Y5730" t="s">
        <v>25824</v>
      </c>
      <c r="Z5730" t="s">
        <v>32585</v>
      </c>
      <c r="AA5730">
        <v>0.45268551830184189</v>
      </c>
      <c r="AB5730" t="str">
        <f>HYPERLINK("Melting_Curves/meltCurve_Q9H2U2_PPA2.pdf", "Melting_Curves/meltCurve_Q9H2U2_PPA2.pdf")</f>
        <v>Melting_Curves/meltCurve_Q9H2U2_PPA2.pdf</v>
      </c>
    </row>
    <row r="5731" spans="1:28" x14ac:dyDescent="0.25">
      <c r="A5731" t="s">
        <v>5735</v>
      </c>
      <c r="B5731">
        <v>0.995954080203443</v>
      </c>
      <c r="C5731">
        <v>0.96793966507596996</v>
      </c>
      <c r="D5731">
        <v>0.52567080940046595</v>
      </c>
      <c r="E5731">
        <v>0.30086971984668198</v>
      </c>
      <c r="F5731">
        <v>0.135940664889137</v>
      </c>
      <c r="G5731">
        <v>7.5674432254543705E-2</v>
      </c>
      <c r="H5731">
        <v>4.9848962163385899E-2</v>
      </c>
      <c r="I5731">
        <v>3.9147166777308499E-2</v>
      </c>
      <c r="J5731">
        <v>5.68652603614032E-2</v>
      </c>
      <c r="K5731">
        <v>4.4029815398051703E-2</v>
      </c>
      <c r="L5731">
        <v>994.32567906083602</v>
      </c>
      <c r="M5731">
        <v>21.261350832675301</v>
      </c>
      <c r="N5731">
        <v>47.015537754675201</v>
      </c>
      <c r="O5731">
        <v>46.358992252996899</v>
      </c>
      <c r="P5731">
        <v>-0.108560124846247</v>
      </c>
      <c r="Q5731">
        <v>5.3191031801757799E-2</v>
      </c>
      <c r="R5731">
        <v>0.98526380804066305</v>
      </c>
      <c r="S5731" t="s">
        <v>12537</v>
      </c>
      <c r="T5731" t="s">
        <v>13610</v>
      </c>
      <c r="U5731" t="s">
        <v>13610</v>
      </c>
      <c r="V5731" t="s">
        <v>13610</v>
      </c>
      <c r="W5731" t="s">
        <v>19269</v>
      </c>
      <c r="X5731">
        <v>5</v>
      </c>
      <c r="Y5731" t="s">
        <v>25825</v>
      </c>
      <c r="Z5731" t="s">
        <v>32586</v>
      </c>
      <c r="AA5731">
        <v>0.27896531512659922</v>
      </c>
      <c r="AB5731" t="str">
        <f>HYPERLINK("Melting_Curves/meltCurve_Q9H2W6_MRPL46.pdf", "Melting_Curves/meltCurve_Q9H2W6_MRPL46.pdf")</f>
        <v>Melting_Curves/meltCurve_Q9H2W6_MRPL46.pdf</v>
      </c>
    </row>
    <row r="5732" spans="1:28" x14ac:dyDescent="0.25">
      <c r="A5732" t="s">
        <v>5736</v>
      </c>
      <c r="B5732">
        <v>0.995954080203443</v>
      </c>
      <c r="C5732">
        <v>0.95337424704041696</v>
      </c>
      <c r="D5732">
        <v>0.89668975045542398</v>
      </c>
      <c r="E5732">
        <v>0.80443183980080901</v>
      </c>
      <c r="F5732">
        <v>0.68831812584048102</v>
      </c>
      <c r="G5732">
        <v>0.45182395844432499</v>
      </c>
      <c r="H5732">
        <v>0.36891265789220101</v>
      </c>
      <c r="I5732">
        <v>0.395903095172219</v>
      </c>
      <c r="J5732">
        <v>0.462687140397605</v>
      </c>
      <c r="K5732">
        <v>0.46022628556376299</v>
      </c>
      <c r="L5732">
        <v>987.25715678839003</v>
      </c>
      <c r="M5732">
        <v>19.073002036985201</v>
      </c>
      <c r="N5732">
        <v>56.736350542414797</v>
      </c>
      <c r="O5732">
        <v>51.203078998184303</v>
      </c>
      <c r="P5732">
        <v>-5.5310115743733797E-2</v>
      </c>
      <c r="Q5732">
        <v>0.40608467800611697</v>
      </c>
      <c r="R5732">
        <v>0.96618937929141402</v>
      </c>
      <c r="S5732" t="s">
        <v>12538</v>
      </c>
      <c r="T5732" t="s">
        <v>13610</v>
      </c>
      <c r="U5732" t="s">
        <v>13610</v>
      </c>
      <c r="V5732" t="s">
        <v>13610</v>
      </c>
      <c r="W5732" t="s">
        <v>19270</v>
      </c>
      <c r="X5732">
        <v>13</v>
      </c>
      <c r="Y5732" t="s">
        <v>25826</v>
      </c>
      <c r="Z5732" t="s">
        <v>32587</v>
      </c>
      <c r="AA5732">
        <v>0.64789719779636423</v>
      </c>
      <c r="AB5732" t="str">
        <f>HYPERLINK("Melting_Curves/meltCurve_Q9H2Y7_ZNF106.pdf", "Melting_Curves/meltCurve_Q9H2Y7_ZNF106.pdf")</f>
        <v>Melting_Curves/meltCurve_Q9H2Y7_ZNF106.pdf</v>
      </c>
    </row>
    <row r="5733" spans="1:28" x14ac:dyDescent="0.25">
      <c r="A5733" t="s">
        <v>5737</v>
      </c>
      <c r="B5733">
        <v>0.995954080203443</v>
      </c>
      <c r="C5733">
        <v>0.95772217352558398</v>
      </c>
      <c r="D5733">
        <v>0.977716529637086</v>
      </c>
      <c r="E5733">
        <v>0.86383028220341296</v>
      </c>
      <c r="F5733">
        <v>0.81873021152374204</v>
      </c>
      <c r="G5733">
        <v>0.64878188212688703</v>
      </c>
      <c r="H5733">
        <v>0.642150434400378</v>
      </c>
      <c r="I5733">
        <v>0.79314155167335498</v>
      </c>
      <c r="J5733">
        <v>0.97792878779209802</v>
      </c>
      <c r="K5733">
        <v>0.933637124681023</v>
      </c>
      <c r="L5733">
        <v>1869.6737443703601</v>
      </c>
      <c r="M5733">
        <v>38.278984078256897</v>
      </c>
      <c r="O5733">
        <v>48.710616745198202</v>
      </c>
      <c r="P5733">
        <v>-3.9065336813567102E-2</v>
      </c>
      <c r="Q5733">
        <v>0.80115543945249501</v>
      </c>
      <c r="R5733">
        <v>0.37616980304555298</v>
      </c>
      <c r="S5733" t="s">
        <v>12539</v>
      </c>
      <c r="T5733" t="s">
        <v>13610</v>
      </c>
      <c r="U5733" t="s">
        <v>13610</v>
      </c>
      <c r="V5733" t="s">
        <v>13610</v>
      </c>
      <c r="W5733" t="s">
        <v>19271</v>
      </c>
      <c r="X5733">
        <v>24</v>
      </c>
      <c r="Y5733" t="s">
        <v>25827</v>
      </c>
      <c r="Z5733" t="s">
        <v>32588</v>
      </c>
      <c r="AA5733">
        <v>0.86050534074669405</v>
      </c>
      <c r="AB5733" t="str">
        <f>HYPERLINK("Melting_Curves/meltCurve_Q9H307_PNN.pdf", "Melting_Curves/meltCurve_Q9H307_PNN.pdf")</f>
        <v>Melting_Curves/meltCurve_Q9H307_PNN.pdf</v>
      </c>
    </row>
    <row r="5734" spans="1:28" x14ac:dyDescent="0.25">
      <c r="A5734" t="s">
        <v>5738</v>
      </c>
      <c r="B5734">
        <v>0.995954080203443</v>
      </c>
      <c r="C5734">
        <v>1.03708961467385</v>
      </c>
      <c r="D5734">
        <v>0.92401936650414496</v>
      </c>
      <c r="E5734">
        <v>0.89323493533103704</v>
      </c>
      <c r="F5734">
        <v>0.67117453068601496</v>
      </c>
      <c r="G5734">
        <v>0.54994280411056795</v>
      </c>
      <c r="H5734">
        <v>0.48606365107250599</v>
      </c>
      <c r="I5734">
        <v>0.47351920688076998</v>
      </c>
      <c r="J5734">
        <v>0.58408762968257499</v>
      </c>
      <c r="K5734">
        <v>0.59190051956521395</v>
      </c>
      <c r="L5734">
        <v>1732.51397917178</v>
      </c>
      <c r="M5734">
        <v>33.541348064754899</v>
      </c>
      <c r="O5734">
        <v>51.470519804583198</v>
      </c>
      <c r="P5734">
        <v>-7.6136293992776202E-2</v>
      </c>
      <c r="Q5734">
        <v>0.53266546913162804</v>
      </c>
      <c r="R5734">
        <v>0.95731578765729397</v>
      </c>
      <c r="S5734" t="s">
        <v>12540</v>
      </c>
      <c r="T5734" t="s">
        <v>13610</v>
      </c>
      <c r="U5734" t="s">
        <v>13610</v>
      </c>
      <c r="V5734" t="s">
        <v>13610</v>
      </c>
      <c r="W5734" t="s">
        <v>19272</v>
      </c>
      <c r="X5734">
        <v>4</v>
      </c>
      <c r="Y5734" t="s">
        <v>25828</v>
      </c>
      <c r="Z5734" t="s">
        <v>32589</v>
      </c>
      <c r="AA5734">
        <v>0.71657124732849575</v>
      </c>
      <c r="AB5734" t="str">
        <f>HYPERLINK("Melting_Curves/meltCurve_Q9H3C7_GGNBP2.pdf", "Melting_Curves/meltCurve_Q9H3C7_GGNBP2.pdf")</f>
        <v>Melting_Curves/meltCurve_Q9H3C7_GGNBP2.pdf</v>
      </c>
    </row>
    <row r="5735" spans="1:28" x14ac:dyDescent="0.25">
      <c r="A5735" t="s">
        <v>5739</v>
      </c>
      <c r="B5735">
        <v>0.995954080203443</v>
      </c>
      <c r="C5735">
        <v>0.93738084807533495</v>
      </c>
      <c r="D5735">
        <v>0.85020473408633501</v>
      </c>
      <c r="E5735">
        <v>0.76694264383802702</v>
      </c>
      <c r="F5735">
        <v>0.54080682069648101</v>
      </c>
      <c r="G5735">
        <v>0.33365439852161399</v>
      </c>
      <c r="H5735">
        <v>0.16437116280219499</v>
      </c>
      <c r="I5735">
        <v>8.01077913170926E-2</v>
      </c>
      <c r="J5735">
        <v>5.8150405813802999E-2</v>
      </c>
      <c r="K5735">
        <v>5.6217622061641097E-2</v>
      </c>
      <c r="L5735">
        <v>707.68828740809897</v>
      </c>
      <c r="M5735">
        <v>13.169247703541901</v>
      </c>
      <c r="N5735">
        <v>53.737944469269102</v>
      </c>
      <c r="O5735">
        <v>52.5441507903695</v>
      </c>
      <c r="P5735">
        <v>-6.2668535932449407E-2</v>
      </c>
      <c r="Q5735">
        <v>0</v>
      </c>
      <c r="R5735">
        <v>0.99530267942173201</v>
      </c>
      <c r="S5735" t="s">
        <v>12541</v>
      </c>
      <c r="T5735" t="s">
        <v>13610</v>
      </c>
      <c r="U5735" t="s">
        <v>13610</v>
      </c>
      <c r="V5735" t="s">
        <v>13610</v>
      </c>
      <c r="W5735" t="s">
        <v>19273</v>
      </c>
      <c r="X5735">
        <v>3</v>
      </c>
      <c r="Y5735" t="s">
        <v>25829</v>
      </c>
      <c r="Z5735" t="s">
        <v>32590</v>
      </c>
      <c r="AA5735">
        <v>0.48222495137625732</v>
      </c>
      <c r="AB5735" t="str">
        <f>HYPERLINK("Melting_Curves/meltCurve_Q9H3F6_KCTD10.pdf", "Melting_Curves/meltCurve_Q9H3F6_KCTD10.pdf")</f>
        <v>Melting_Curves/meltCurve_Q9H3F6_KCTD10.pdf</v>
      </c>
    </row>
    <row r="5736" spans="1:28" x14ac:dyDescent="0.25">
      <c r="A5736" t="s">
        <v>5740</v>
      </c>
      <c r="B5736">
        <v>0.995954080203443</v>
      </c>
      <c r="C5736">
        <v>0.87956855248490895</v>
      </c>
      <c r="D5736">
        <v>0.77970562088405504</v>
      </c>
      <c r="E5736">
        <v>0.736351810829738</v>
      </c>
      <c r="F5736">
        <v>0.53084173545672297</v>
      </c>
      <c r="G5736">
        <v>0.35130062035115001</v>
      </c>
      <c r="H5736">
        <v>0.23169016251101099</v>
      </c>
      <c r="I5736">
        <v>0.20342996433184299</v>
      </c>
      <c r="J5736">
        <v>0.141154068340545</v>
      </c>
      <c r="K5736">
        <v>0.12336815911247299</v>
      </c>
      <c r="L5736">
        <v>504.36003537070201</v>
      </c>
      <c r="M5736">
        <v>9.4101964451863207</v>
      </c>
      <c r="N5736">
        <v>53.765826374481698</v>
      </c>
      <c r="O5736">
        <v>51.343929220605403</v>
      </c>
      <c r="P5736">
        <v>-4.5180787045969603E-2</v>
      </c>
      <c r="Q5736">
        <v>1.45423949683272E-2</v>
      </c>
      <c r="R5736">
        <v>0.98914983092133402</v>
      </c>
      <c r="S5736" t="s">
        <v>12542</v>
      </c>
      <c r="T5736" t="s">
        <v>13610</v>
      </c>
      <c r="U5736" t="s">
        <v>13610</v>
      </c>
      <c r="V5736" t="s">
        <v>13610</v>
      </c>
      <c r="W5736" t="s">
        <v>19274</v>
      </c>
      <c r="X5736">
        <v>3</v>
      </c>
      <c r="Y5736" t="s">
        <v>25830</v>
      </c>
      <c r="Z5736" t="s">
        <v>32591</v>
      </c>
      <c r="AA5736">
        <v>0.49402347934507213</v>
      </c>
      <c r="AB5736" t="str">
        <f>HYPERLINK("Melting_Curves/meltCurve_Q9H3G5_CPVL.pdf", "Melting_Curves/meltCurve_Q9H3G5_CPVL.pdf")</f>
        <v>Melting_Curves/meltCurve_Q9H3G5_CPVL.pdf</v>
      </c>
    </row>
    <row r="5737" spans="1:28" x14ac:dyDescent="0.25">
      <c r="A5737" t="s">
        <v>5741</v>
      </c>
      <c r="B5737">
        <v>0.995954080203443</v>
      </c>
      <c r="C5737">
        <v>0.87430747777416995</v>
      </c>
      <c r="D5737">
        <v>0.68494440626025999</v>
      </c>
      <c r="E5737">
        <v>0.30849042189230103</v>
      </c>
      <c r="F5737">
        <v>0.21509106915691401</v>
      </c>
      <c r="G5737">
        <v>0.14661550677068699</v>
      </c>
      <c r="H5737">
        <v>0.117095910674021</v>
      </c>
      <c r="I5737">
        <v>0.111583582347223</v>
      </c>
      <c r="J5737">
        <v>0.13653701900285001</v>
      </c>
      <c r="K5737">
        <v>0.125016507776676</v>
      </c>
      <c r="L5737">
        <v>972.11691396385004</v>
      </c>
      <c r="M5737">
        <v>20.631722897835001</v>
      </c>
      <c r="N5737">
        <v>47.754933622868201</v>
      </c>
      <c r="O5737">
        <v>46.681630841603798</v>
      </c>
      <c r="P5737">
        <v>-9.7196851389629593E-2</v>
      </c>
      <c r="Q5737">
        <v>0.120349384193358</v>
      </c>
      <c r="R5737">
        <v>0.99799855728794595</v>
      </c>
      <c r="S5737" t="s">
        <v>12543</v>
      </c>
      <c r="T5737" t="s">
        <v>13610</v>
      </c>
      <c r="U5737" t="s">
        <v>13610</v>
      </c>
      <c r="V5737" t="s">
        <v>13610</v>
      </c>
      <c r="W5737" t="s">
        <v>19275</v>
      </c>
      <c r="X5737">
        <v>15</v>
      </c>
      <c r="Y5737" t="s">
        <v>25831</v>
      </c>
      <c r="Z5737" t="s">
        <v>32592</v>
      </c>
      <c r="AA5737">
        <v>0.34101908355042337</v>
      </c>
      <c r="AB5737" t="str">
        <f>HYPERLINK("Melting_Curves/meltCurve_Q9H3H1_4_TRIT1.pdf", "Melting_Curves/meltCurve_Q9H3H1_4_TRIT1.pdf")</f>
        <v>Melting_Curves/meltCurve_Q9H3H1_4_TRIT1.pdf</v>
      </c>
    </row>
    <row r="5738" spans="1:28" x14ac:dyDescent="0.25">
      <c r="A5738" t="s">
        <v>5742</v>
      </c>
      <c r="B5738">
        <v>0.995954080203443</v>
      </c>
      <c r="C5738">
        <v>1.0187666067999299</v>
      </c>
      <c r="D5738">
        <v>0.96492764629413796</v>
      </c>
      <c r="E5738">
        <v>0.88606431345944203</v>
      </c>
      <c r="F5738">
        <v>0.63106930865475896</v>
      </c>
      <c r="G5738">
        <v>0.235371905694781</v>
      </c>
      <c r="H5738">
        <v>0.111421466052532</v>
      </c>
      <c r="I5738">
        <v>7.2497915022456505E-2</v>
      </c>
      <c r="J5738">
        <v>7.4613545507500503E-2</v>
      </c>
      <c r="K5738">
        <v>6.4737362318971495E-2</v>
      </c>
      <c r="L5738">
        <v>1401.61905729828</v>
      </c>
      <c r="M5738">
        <v>26.038541207729999</v>
      </c>
      <c r="N5738">
        <v>54.112113163322903</v>
      </c>
      <c r="O5738">
        <v>53.514159017907197</v>
      </c>
      <c r="P5738">
        <v>-0.113888874613262</v>
      </c>
      <c r="Q5738">
        <v>6.3757607176287395E-2</v>
      </c>
      <c r="R5738">
        <v>0.99930315674304104</v>
      </c>
      <c r="S5738" t="s">
        <v>12544</v>
      </c>
      <c r="T5738" t="s">
        <v>13610</v>
      </c>
      <c r="U5738" t="s">
        <v>13610</v>
      </c>
      <c r="V5738" t="s">
        <v>13610</v>
      </c>
      <c r="W5738" t="s">
        <v>19276</v>
      </c>
      <c r="X5738">
        <v>11</v>
      </c>
      <c r="Y5738" t="s">
        <v>25832</v>
      </c>
      <c r="Z5738" t="s">
        <v>32593</v>
      </c>
      <c r="AA5738">
        <v>0.50335497609824342</v>
      </c>
      <c r="AB5738" t="str">
        <f>HYPERLINK("Melting_Curves/meltCurve_Q9H3H3_2_C11orf68.pdf", "Melting_Curves/meltCurve_Q9H3H3_2_C11orf68.pdf")</f>
        <v>Melting_Curves/meltCurve_Q9H3H3_2_C11orf68.pdf</v>
      </c>
    </row>
    <row r="5739" spans="1:28" x14ac:dyDescent="0.25">
      <c r="A5739" t="s">
        <v>5743</v>
      </c>
      <c r="B5739">
        <v>0.995954080203443</v>
      </c>
      <c r="C5739">
        <v>1.0016289090395101</v>
      </c>
      <c r="D5739">
        <v>1.18518867691359</v>
      </c>
      <c r="E5739">
        <v>0.88676364092478299</v>
      </c>
      <c r="F5739">
        <v>0.96585399009199102</v>
      </c>
      <c r="G5739">
        <v>0.62259872355315005</v>
      </c>
      <c r="H5739">
        <v>0.35651434546691302</v>
      </c>
      <c r="I5739">
        <v>0.23625426437995201</v>
      </c>
      <c r="J5739">
        <v>0.20314171287851099</v>
      </c>
      <c r="K5739">
        <v>0.16716383353528599</v>
      </c>
      <c r="L5739">
        <v>1412.3735008303399</v>
      </c>
      <c r="M5739">
        <v>24.485413477864899</v>
      </c>
      <c r="N5739">
        <v>58.668163475816598</v>
      </c>
      <c r="O5739">
        <v>57.301618935823498</v>
      </c>
      <c r="P5739">
        <v>-8.8810179397872502E-2</v>
      </c>
      <c r="Q5739">
        <v>0.16866541407506699</v>
      </c>
      <c r="R5739">
        <v>0.96552314355115598</v>
      </c>
      <c r="S5739" t="s">
        <v>12545</v>
      </c>
      <c r="T5739" t="s">
        <v>13610</v>
      </c>
      <c r="U5739" t="s">
        <v>13610</v>
      </c>
      <c r="V5739" t="s">
        <v>13610</v>
      </c>
      <c r="W5739" t="s">
        <v>19277</v>
      </c>
      <c r="X5739">
        <v>6</v>
      </c>
      <c r="Y5739" t="s">
        <v>25833</v>
      </c>
      <c r="Z5739" t="s">
        <v>32594</v>
      </c>
      <c r="AA5739">
        <v>0.66620979306485872</v>
      </c>
      <c r="AB5739" t="str">
        <f>HYPERLINK("Melting_Curves/meltCurve_Q9H3K6_BOLA2.pdf", "Melting_Curves/meltCurve_Q9H3K6_BOLA2.pdf")</f>
        <v>Melting_Curves/meltCurve_Q9H3K6_BOLA2.pdf</v>
      </c>
    </row>
    <row r="5740" spans="1:28" x14ac:dyDescent="0.25">
      <c r="A5740" t="s">
        <v>5744</v>
      </c>
      <c r="B5740">
        <v>0.995954080203443</v>
      </c>
      <c r="C5740">
        <v>1.0299164676722801</v>
      </c>
      <c r="D5740">
        <v>0.93931620798675897</v>
      </c>
      <c r="E5740">
        <v>0.81762010283522202</v>
      </c>
      <c r="F5740">
        <v>0.450949873293012</v>
      </c>
      <c r="G5740">
        <v>0.23493381267501301</v>
      </c>
      <c r="H5740">
        <v>0.15357421611109101</v>
      </c>
      <c r="I5740">
        <v>0.13752144965059299</v>
      </c>
      <c r="J5740">
        <v>0.16545392482888399</v>
      </c>
      <c r="K5740">
        <v>0.157302776065602</v>
      </c>
      <c r="L5740">
        <v>1508.44804549322</v>
      </c>
      <c r="M5740">
        <v>28.9934911433389</v>
      </c>
      <c r="N5740">
        <v>52.687266331919098</v>
      </c>
      <c r="O5740">
        <v>51.781510780047398</v>
      </c>
      <c r="P5740">
        <v>-0.118661685098744</v>
      </c>
      <c r="Q5740">
        <v>0.152301446772003</v>
      </c>
      <c r="R5740">
        <v>0.99683867881289001</v>
      </c>
      <c r="S5740" t="s">
        <v>12546</v>
      </c>
      <c r="T5740" t="s">
        <v>13610</v>
      </c>
      <c r="U5740" t="s">
        <v>13610</v>
      </c>
      <c r="V5740" t="s">
        <v>13610</v>
      </c>
      <c r="W5740" t="s">
        <v>19278</v>
      </c>
      <c r="X5740">
        <v>5</v>
      </c>
      <c r="Y5740" t="s">
        <v>25834</v>
      </c>
      <c r="Z5740" t="s">
        <v>32595</v>
      </c>
      <c r="AA5740">
        <v>0.49794432832807428</v>
      </c>
      <c r="AB5740" t="str">
        <f>HYPERLINK("Melting_Curves/meltCurve_Q9H3L0_MMADHC.pdf", "Melting_Curves/meltCurve_Q9H3L0_MMADHC.pdf")</f>
        <v>Melting_Curves/meltCurve_Q9H3L0_MMADHC.pdf</v>
      </c>
    </row>
    <row r="5741" spans="1:28" x14ac:dyDescent="0.25">
      <c r="A5741" t="s">
        <v>5745</v>
      </c>
      <c r="B5741">
        <v>0.995954080203443</v>
      </c>
      <c r="C5741">
        <v>0.79340515667253497</v>
      </c>
      <c r="D5741">
        <v>0.89783146074268905</v>
      </c>
      <c r="E5741">
        <v>0.82030563123898004</v>
      </c>
      <c r="F5741">
        <v>0.70564448043876205</v>
      </c>
      <c r="G5741">
        <v>0.50616930481438605</v>
      </c>
      <c r="H5741">
        <v>0.47767233737375397</v>
      </c>
      <c r="I5741">
        <v>0.56126260695889096</v>
      </c>
      <c r="J5741">
        <v>0.71420442968209397</v>
      </c>
      <c r="K5741">
        <v>0.697021963711285</v>
      </c>
      <c r="L5741">
        <v>621.54122637491503</v>
      </c>
      <c r="M5741">
        <v>12.9811772869562</v>
      </c>
      <c r="O5741">
        <v>46.786651754544103</v>
      </c>
      <c r="P5741">
        <v>-2.85498211292626E-2</v>
      </c>
      <c r="Q5741">
        <v>0.58847699776625595</v>
      </c>
      <c r="R5741">
        <v>0.65302121016880499</v>
      </c>
      <c r="S5741" t="s">
        <v>12547</v>
      </c>
      <c r="T5741" t="s">
        <v>13610</v>
      </c>
      <c r="U5741" t="s">
        <v>13610</v>
      </c>
      <c r="V5741" t="s">
        <v>13610</v>
      </c>
      <c r="W5741" t="s">
        <v>19279</v>
      </c>
      <c r="X5741">
        <v>5</v>
      </c>
      <c r="Y5741" t="s">
        <v>25835</v>
      </c>
      <c r="Z5741" t="s">
        <v>32596</v>
      </c>
      <c r="AA5741">
        <v>0.71064514995781836</v>
      </c>
      <c r="AB5741" t="str">
        <f>HYPERLINK("Melting_Curves/meltCurve_Q9H3N1_TMX1.pdf", "Melting_Curves/meltCurve_Q9H3N1_TMX1.pdf")</f>
        <v>Melting_Curves/meltCurve_Q9H3N1_TMX1.pdf</v>
      </c>
    </row>
    <row r="5742" spans="1:28" x14ac:dyDescent="0.25">
      <c r="A5742" t="s">
        <v>5746</v>
      </c>
      <c r="B5742">
        <v>0.995954080203443</v>
      </c>
      <c r="C5742">
        <v>0.99662596256955605</v>
      </c>
      <c r="D5742">
        <v>0.94656714282634202</v>
      </c>
      <c r="E5742">
        <v>0.74664827374492804</v>
      </c>
      <c r="F5742">
        <v>0.63908692331455297</v>
      </c>
      <c r="G5742">
        <v>0.472289493365322</v>
      </c>
      <c r="H5742">
        <v>0.435946286310678</v>
      </c>
      <c r="I5742">
        <v>0.51332067752781596</v>
      </c>
      <c r="J5742">
        <v>0.66384253592430598</v>
      </c>
      <c r="K5742">
        <v>0.63024657046079702</v>
      </c>
      <c r="L5742">
        <v>1453.7469030864199</v>
      </c>
      <c r="M5742">
        <v>29.292621822790199</v>
      </c>
      <c r="O5742">
        <v>49.398861803570902</v>
      </c>
      <c r="P5742">
        <v>-6.72855505187549E-2</v>
      </c>
      <c r="Q5742">
        <v>0.54612382529051595</v>
      </c>
      <c r="R5742">
        <v>0.89428212794923501</v>
      </c>
      <c r="S5742" t="s">
        <v>12548</v>
      </c>
      <c r="T5742" t="s">
        <v>13610</v>
      </c>
      <c r="U5742" t="s">
        <v>13610</v>
      </c>
      <c r="V5742" t="s">
        <v>13610</v>
      </c>
      <c r="W5742" t="s">
        <v>19280</v>
      </c>
      <c r="X5742">
        <v>11</v>
      </c>
      <c r="Y5742" t="s">
        <v>25836</v>
      </c>
      <c r="Z5742" t="s">
        <v>32597</v>
      </c>
      <c r="AA5742">
        <v>0.69472372712114883</v>
      </c>
      <c r="AB5742" t="str">
        <f>HYPERLINK("Melting_Curves/meltCurve_Q9H3P2_NELFA.pdf", "Melting_Curves/meltCurve_Q9H3P2_NELFA.pdf")</f>
        <v>Melting_Curves/meltCurve_Q9H3P2_NELFA.pdf</v>
      </c>
    </row>
    <row r="5743" spans="1:28" x14ac:dyDescent="0.25">
      <c r="A5743" t="s">
        <v>5747</v>
      </c>
      <c r="B5743">
        <v>0.995954080203443</v>
      </c>
      <c r="C5743">
        <v>1.0262229101623099</v>
      </c>
      <c r="D5743">
        <v>0.97126209474282799</v>
      </c>
      <c r="E5743">
        <v>0.71156163684933804</v>
      </c>
      <c r="F5743">
        <v>0.47214839655484198</v>
      </c>
      <c r="G5743">
        <v>0.33586621314595999</v>
      </c>
      <c r="H5743">
        <v>0.26456625113450599</v>
      </c>
      <c r="I5743">
        <v>0.24890803832736699</v>
      </c>
      <c r="J5743">
        <v>0.20980040448847601</v>
      </c>
      <c r="K5743">
        <v>0.17651623289446899</v>
      </c>
      <c r="L5743">
        <v>1084.8573737726099</v>
      </c>
      <c r="M5743">
        <v>21.0929363461413</v>
      </c>
      <c r="N5743">
        <v>52.852425296505203</v>
      </c>
      <c r="O5743">
        <v>50.976667730767701</v>
      </c>
      <c r="P5743">
        <v>-8.1068678664316801E-2</v>
      </c>
      <c r="Q5743">
        <v>0.21632494121176801</v>
      </c>
      <c r="R5743">
        <v>0.99401831949746</v>
      </c>
      <c r="S5743" t="s">
        <v>12549</v>
      </c>
      <c r="T5743" t="s">
        <v>13610</v>
      </c>
      <c r="U5743" t="s">
        <v>13610</v>
      </c>
      <c r="V5743" t="s">
        <v>13610</v>
      </c>
      <c r="W5743" t="s">
        <v>19281</v>
      </c>
      <c r="X5743">
        <v>17</v>
      </c>
      <c r="Y5743" t="s">
        <v>25837</v>
      </c>
      <c r="Z5743" t="s">
        <v>32598</v>
      </c>
      <c r="AA5743">
        <v>0.52480954244328981</v>
      </c>
      <c r="AB5743" t="str">
        <f>HYPERLINK("Melting_Curves/meltCurve_Q9H3P7_ACBD3.pdf", "Melting_Curves/meltCurve_Q9H3P7_ACBD3.pdf")</f>
        <v>Melting_Curves/meltCurve_Q9H3P7_ACBD3.pdf</v>
      </c>
    </row>
    <row r="5744" spans="1:28" x14ac:dyDescent="0.25">
      <c r="A5744" t="s">
        <v>5748</v>
      </c>
      <c r="B5744">
        <v>0.995954080203443</v>
      </c>
      <c r="C5744">
        <v>0.99083894223656499</v>
      </c>
      <c r="D5744">
        <v>0.92936604013702595</v>
      </c>
      <c r="E5744">
        <v>0.90564840640958499</v>
      </c>
      <c r="F5744">
        <v>0.81344797469302599</v>
      </c>
      <c r="G5744">
        <v>0.60597786866953496</v>
      </c>
      <c r="H5744">
        <v>0.58908848400229596</v>
      </c>
      <c r="I5744">
        <v>0.67685518245023502</v>
      </c>
      <c r="J5744">
        <v>0.80363766184936303</v>
      </c>
      <c r="K5744">
        <v>0.83593140140255695</v>
      </c>
      <c r="L5744">
        <v>1764.3605814078001</v>
      </c>
      <c r="M5744">
        <v>34.408125726275699</v>
      </c>
      <c r="O5744">
        <v>51.105171588200299</v>
      </c>
      <c r="P5744">
        <v>-4.9563838738981597E-2</v>
      </c>
      <c r="Q5744">
        <v>0.70553950200037796</v>
      </c>
      <c r="R5744">
        <v>0.70543760938632905</v>
      </c>
      <c r="S5744" t="s">
        <v>12550</v>
      </c>
      <c r="T5744" t="s">
        <v>13610</v>
      </c>
      <c r="U5744" t="s">
        <v>13610</v>
      </c>
      <c r="V5744" t="s">
        <v>13610</v>
      </c>
      <c r="W5744" t="s">
        <v>19282</v>
      </c>
      <c r="X5744">
        <v>12</v>
      </c>
      <c r="Y5744" t="s">
        <v>25838</v>
      </c>
      <c r="Z5744" t="s">
        <v>32599</v>
      </c>
      <c r="AA5744">
        <v>0.8176444024327213</v>
      </c>
      <c r="AB5744" t="str">
        <f>HYPERLINK("Melting_Curves/meltCurve_Q9H3Q1_CDC42EP4.pdf", "Melting_Curves/meltCurve_Q9H3Q1_CDC42EP4.pdf")</f>
        <v>Melting_Curves/meltCurve_Q9H3Q1_CDC42EP4.pdf</v>
      </c>
    </row>
    <row r="5745" spans="1:28" x14ac:dyDescent="0.25">
      <c r="A5745" t="s">
        <v>5749</v>
      </c>
      <c r="B5745">
        <v>0.995954080203443</v>
      </c>
      <c r="C5745">
        <v>1.0575450857431701</v>
      </c>
      <c r="D5745">
        <v>1.0834342517522599</v>
      </c>
      <c r="E5745">
        <v>0.82171328185460402</v>
      </c>
      <c r="F5745">
        <v>0.28901064777919899</v>
      </c>
      <c r="G5745">
        <v>0.15113571018063701</v>
      </c>
      <c r="H5745">
        <v>9.0498584803620705E-2</v>
      </c>
      <c r="I5745">
        <v>7.9636611041115704E-2</v>
      </c>
      <c r="J5745">
        <v>8.8123458072560404E-2</v>
      </c>
      <c r="K5745">
        <v>8.1331268866727799E-2</v>
      </c>
      <c r="L5745">
        <v>2379.3998035826799</v>
      </c>
      <c r="M5745">
        <v>46.1712880902084</v>
      </c>
      <c r="N5745">
        <v>51.771015577258197</v>
      </c>
      <c r="O5745">
        <v>51.4378158538577</v>
      </c>
      <c r="P5745">
        <v>-0.20304235594166201</v>
      </c>
      <c r="Q5745">
        <v>9.51919537795472E-2</v>
      </c>
      <c r="R5745">
        <v>0.99271470466725598</v>
      </c>
      <c r="S5745" t="s">
        <v>12551</v>
      </c>
      <c r="T5745" t="s">
        <v>13610</v>
      </c>
      <c r="U5745" t="s">
        <v>13610</v>
      </c>
      <c r="V5745" t="s">
        <v>13610</v>
      </c>
      <c r="W5745" t="s">
        <v>13774</v>
      </c>
      <c r="X5745">
        <v>44</v>
      </c>
      <c r="Y5745" t="s">
        <v>20495</v>
      </c>
      <c r="Z5745" t="s">
        <v>32600</v>
      </c>
      <c r="AA5745">
        <v>0.44548024765261268</v>
      </c>
      <c r="AB5745" t="str">
        <f>HYPERLINK("Melting_Curves/meltCurve_Q9H3S7_PTPN23.pdf", "Melting_Curves/meltCurve_Q9H3S7_PTPN23.pdf")</f>
        <v>Melting_Curves/meltCurve_Q9H3S7_PTPN23.pdf</v>
      </c>
    </row>
    <row r="5746" spans="1:28" x14ac:dyDescent="0.25">
      <c r="A5746" t="s">
        <v>5750</v>
      </c>
      <c r="B5746">
        <v>0.995954080203443</v>
      </c>
      <c r="C5746">
        <v>0.93268101384054802</v>
      </c>
      <c r="D5746">
        <v>0.653284710872857</v>
      </c>
      <c r="E5746">
        <v>0.251661874948514</v>
      </c>
      <c r="F5746">
        <v>0.13335432793075999</v>
      </c>
      <c r="G5746">
        <v>8.26153412405293E-2</v>
      </c>
      <c r="H5746">
        <v>6.0743753147629399E-2</v>
      </c>
      <c r="I5746">
        <v>6.1616780675560798E-2</v>
      </c>
      <c r="J5746">
        <v>7.2665311198645499E-2</v>
      </c>
      <c r="K5746">
        <v>6.6171484692546301E-2</v>
      </c>
      <c r="L5746">
        <v>1139.20307471973</v>
      </c>
      <c r="M5746">
        <v>24.197511833226901</v>
      </c>
      <c r="N5746">
        <v>47.358059896838697</v>
      </c>
      <c r="O5746">
        <v>46.761349023351201</v>
      </c>
      <c r="P5746">
        <v>-0.12078334800931299</v>
      </c>
      <c r="Q5746">
        <v>6.63660706143233E-2</v>
      </c>
      <c r="R5746">
        <v>0.99955455106851998</v>
      </c>
      <c r="S5746" t="s">
        <v>12552</v>
      </c>
      <c r="T5746" t="s">
        <v>13610</v>
      </c>
      <c r="U5746" t="s">
        <v>13610</v>
      </c>
      <c r="V5746" t="s">
        <v>13610</v>
      </c>
      <c r="W5746" t="s">
        <v>19283</v>
      </c>
      <c r="X5746">
        <v>39</v>
      </c>
      <c r="Y5746" t="s">
        <v>25839</v>
      </c>
      <c r="Z5746" t="s">
        <v>32601</v>
      </c>
      <c r="AA5746">
        <v>0.29562666191477682</v>
      </c>
      <c r="AB5746" t="str">
        <f>HYPERLINK("Melting_Curves/meltCurve_Q9H3U1_UNC45A.pdf", "Melting_Curves/meltCurve_Q9H3U1_UNC45A.pdf")</f>
        <v>Melting_Curves/meltCurve_Q9H3U1_UNC45A.pdf</v>
      </c>
    </row>
    <row r="5747" spans="1:28" x14ac:dyDescent="0.25">
      <c r="A5747" t="s">
        <v>5751</v>
      </c>
      <c r="B5747">
        <v>0.995954080203443</v>
      </c>
      <c r="C5747">
        <v>1.14415190384236</v>
      </c>
      <c r="D5747">
        <v>0.968119543608018</v>
      </c>
      <c r="E5747">
        <v>0.80568154922481905</v>
      </c>
      <c r="F5747">
        <v>1.0890684126035299</v>
      </c>
      <c r="G5747">
        <v>1.26412176809373</v>
      </c>
      <c r="H5747">
        <v>1.2713543056850001</v>
      </c>
      <c r="I5747">
        <v>1.9441992105599</v>
      </c>
      <c r="J5747">
        <v>2.1616196322602201</v>
      </c>
      <c r="K5747">
        <v>2.4735997180492699</v>
      </c>
      <c r="L5747">
        <v>2295.5407312010102</v>
      </c>
      <c r="M5747">
        <v>40.311139012543599</v>
      </c>
      <c r="O5747">
        <v>56.805966420735601</v>
      </c>
      <c r="P5747">
        <v>8.8703754736887699E-2</v>
      </c>
      <c r="Q5747">
        <v>1.5</v>
      </c>
      <c r="R5747">
        <v>0.42153052813084801</v>
      </c>
      <c r="S5747" t="s">
        <v>12553</v>
      </c>
      <c r="T5747" t="s">
        <v>13610</v>
      </c>
      <c r="U5747" t="s">
        <v>13610</v>
      </c>
      <c r="V5747" t="s">
        <v>13610</v>
      </c>
      <c r="W5747" t="s">
        <v>19284</v>
      </c>
      <c r="X5747">
        <v>1</v>
      </c>
      <c r="Y5747" t="s">
        <v>25840</v>
      </c>
      <c r="Z5747" t="s">
        <v>32602</v>
      </c>
      <c r="AA5747">
        <v>1.2156563357936601</v>
      </c>
      <c r="AB5747" t="str">
        <f>HYPERLINK("Melting_Curves/meltCurve_Q9H3Y8_PPDPF.pdf", "Melting_Curves/meltCurve_Q9H3Y8_PPDPF.pdf")</f>
        <v>Melting_Curves/meltCurve_Q9H3Y8_PPDPF.pdf</v>
      </c>
    </row>
    <row r="5748" spans="1:28" x14ac:dyDescent="0.25">
      <c r="A5748" t="s">
        <v>5752</v>
      </c>
      <c r="B5748">
        <v>0.995954080203443</v>
      </c>
      <c r="C5748">
        <v>0.96564911120547503</v>
      </c>
      <c r="D5748">
        <v>0.74805401269227301</v>
      </c>
      <c r="E5748">
        <v>0.49391573625594998</v>
      </c>
      <c r="F5748">
        <v>0.37795252035782601</v>
      </c>
      <c r="G5748">
        <v>0.25916034170659602</v>
      </c>
      <c r="H5748">
        <v>0.239167644683037</v>
      </c>
      <c r="I5748">
        <v>0.24670063344745299</v>
      </c>
      <c r="J5748">
        <v>0.32434079723362003</v>
      </c>
      <c r="K5748">
        <v>0.28482383197801803</v>
      </c>
      <c r="L5748">
        <v>976.17450673272594</v>
      </c>
      <c r="M5748">
        <v>20.4049272156184</v>
      </c>
      <c r="N5748">
        <v>49.701193924184203</v>
      </c>
      <c r="O5748">
        <v>47.387760207684202</v>
      </c>
      <c r="P5748">
        <v>-7.8896572390284997E-2</v>
      </c>
      <c r="Q5748">
        <v>0.26711438118437703</v>
      </c>
      <c r="R5748">
        <v>0.98906877909634705</v>
      </c>
      <c r="S5748" t="s">
        <v>12554</v>
      </c>
      <c r="T5748" t="s">
        <v>13610</v>
      </c>
      <c r="U5748" t="s">
        <v>13610</v>
      </c>
      <c r="V5748" t="s">
        <v>13610</v>
      </c>
      <c r="W5748" t="s">
        <v>19285</v>
      </c>
      <c r="X5748">
        <v>13</v>
      </c>
      <c r="Y5748" t="s">
        <v>25841</v>
      </c>
      <c r="Z5748" t="s">
        <v>32603</v>
      </c>
      <c r="AA5748">
        <v>0.46865883707657402</v>
      </c>
      <c r="AB5748" t="str">
        <f>HYPERLINK("Melting_Curves/meltCurve_Q9H410_DSN1.pdf", "Melting_Curves/meltCurve_Q9H410_DSN1.pdf")</f>
        <v>Melting_Curves/meltCurve_Q9H410_DSN1.pdf</v>
      </c>
    </row>
    <row r="5749" spans="1:28" x14ac:dyDescent="0.25">
      <c r="A5749" t="s">
        <v>5753</v>
      </c>
      <c r="B5749">
        <v>0.995954080203443</v>
      </c>
      <c r="C5749">
        <v>0.94014485257998404</v>
      </c>
      <c r="D5749">
        <v>0.93739158266649802</v>
      </c>
      <c r="E5749">
        <v>0.79792588401153097</v>
      </c>
      <c r="F5749">
        <v>0.74200540021648398</v>
      </c>
      <c r="G5749">
        <v>0.56042262099428097</v>
      </c>
      <c r="H5749">
        <v>0.53146199294316498</v>
      </c>
      <c r="I5749">
        <v>0.64105040261211599</v>
      </c>
      <c r="J5749">
        <v>0.77850290959613</v>
      </c>
      <c r="K5749">
        <v>0.772261389782812</v>
      </c>
      <c r="L5749">
        <v>1207.45791278157</v>
      </c>
      <c r="M5749">
        <v>24.658790995992</v>
      </c>
      <c r="O5749">
        <v>48.648000005272998</v>
      </c>
      <c r="P5749">
        <v>-4.2889478189696698E-2</v>
      </c>
      <c r="Q5749">
        <v>0.66154745043993202</v>
      </c>
      <c r="R5749">
        <v>0.73535932766127998</v>
      </c>
      <c r="S5749" t="s">
        <v>12555</v>
      </c>
      <c r="T5749" t="s">
        <v>13610</v>
      </c>
      <c r="U5749" t="s">
        <v>13610</v>
      </c>
      <c r="V5749" t="s">
        <v>13610</v>
      </c>
      <c r="W5749" t="s">
        <v>19286</v>
      </c>
      <c r="X5749">
        <v>9</v>
      </c>
      <c r="Y5749" t="s">
        <v>25842</v>
      </c>
      <c r="Z5749" t="s">
        <v>32604</v>
      </c>
      <c r="AA5749">
        <v>0.76579149379868128</v>
      </c>
      <c r="AB5749" t="str">
        <f>HYPERLINK("Melting_Curves/meltCurve_Q9H425_3_C1orf198.pdf", "Melting_Curves/meltCurve_Q9H425_3_C1orf198.pdf")</f>
        <v>Melting_Curves/meltCurve_Q9H425_3_C1orf198.pdf</v>
      </c>
    </row>
    <row r="5750" spans="1:28" x14ac:dyDescent="0.25">
      <c r="A5750" t="s">
        <v>5754</v>
      </c>
      <c r="B5750">
        <v>0.995954080203443</v>
      </c>
      <c r="C5750">
        <v>0.97799819768974405</v>
      </c>
      <c r="D5750">
        <v>1.1134601336368199</v>
      </c>
      <c r="E5750">
        <v>0.85300422534651799</v>
      </c>
      <c r="F5750">
        <v>0.98207542295273198</v>
      </c>
      <c r="G5750">
        <v>0.85257242304081404</v>
      </c>
      <c r="H5750">
        <v>0.87223488877325805</v>
      </c>
      <c r="I5750">
        <v>1.20986849261651</v>
      </c>
      <c r="J5750">
        <v>1.58382441420303</v>
      </c>
      <c r="K5750">
        <v>1.4924983820315201</v>
      </c>
      <c r="L5750">
        <v>15000</v>
      </c>
      <c r="M5750">
        <v>234.05122427112201</v>
      </c>
      <c r="O5750">
        <v>64.083855533203703</v>
      </c>
      <c r="P5750">
        <v>0.45653312904550503</v>
      </c>
      <c r="Q5750">
        <v>1.5</v>
      </c>
      <c r="R5750">
        <v>0.86890632690737601</v>
      </c>
      <c r="S5750" t="s">
        <v>12556</v>
      </c>
      <c r="T5750" t="s">
        <v>13610</v>
      </c>
      <c r="U5750" t="s">
        <v>13610</v>
      </c>
      <c r="V5750" t="s">
        <v>13610</v>
      </c>
      <c r="W5750" t="s">
        <v>19287</v>
      </c>
      <c r="X5750">
        <v>14</v>
      </c>
      <c r="Y5750" t="s">
        <v>25843</v>
      </c>
      <c r="Z5750" t="s">
        <v>32605</v>
      </c>
      <c r="AA5750">
        <v>1.0984602576926179</v>
      </c>
      <c r="AB5750" t="str">
        <f>HYPERLINK("Melting_Curves/meltCurve_Q9H444_CHMP4B.pdf", "Melting_Curves/meltCurve_Q9H444_CHMP4B.pdf")</f>
        <v>Melting_Curves/meltCurve_Q9H444_CHMP4B.pdf</v>
      </c>
    </row>
    <row r="5751" spans="1:28" x14ac:dyDescent="0.25">
      <c r="A5751" t="s">
        <v>5755</v>
      </c>
      <c r="B5751">
        <v>0.995954080203443</v>
      </c>
      <c r="C5751">
        <v>0.66234323373864701</v>
      </c>
      <c r="D5751">
        <v>0.47471890532685701</v>
      </c>
      <c r="E5751">
        <v>0.21784764071412599</v>
      </c>
      <c r="F5751">
        <v>0.165969233018679</v>
      </c>
      <c r="G5751">
        <v>0.140703172187058</v>
      </c>
      <c r="H5751">
        <v>6.5791671007954799E-2</v>
      </c>
      <c r="I5751">
        <v>6.7880623585351296E-2</v>
      </c>
      <c r="J5751">
        <v>2.8193144945841998E-2</v>
      </c>
      <c r="K5751">
        <v>3.7087718383968502E-2</v>
      </c>
      <c r="L5751">
        <v>732.82375195616805</v>
      </c>
      <c r="M5751">
        <v>16.1905758011291</v>
      </c>
      <c r="N5751">
        <v>45.609227643173497</v>
      </c>
      <c r="O5751">
        <v>44.588758119239799</v>
      </c>
      <c r="P5751">
        <v>-8.5525251133615005E-2</v>
      </c>
      <c r="Q5751">
        <v>5.7926216959612399E-2</v>
      </c>
      <c r="R5751">
        <v>0.98049055535048302</v>
      </c>
      <c r="S5751" t="s">
        <v>12557</v>
      </c>
      <c r="T5751" t="s">
        <v>13610</v>
      </c>
      <c r="U5751" t="s">
        <v>13610</v>
      </c>
      <c r="V5751" t="s">
        <v>13610</v>
      </c>
      <c r="W5751" t="s">
        <v>19288</v>
      </c>
      <c r="X5751">
        <v>3</v>
      </c>
      <c r="Y5751" t="s">
        <v>25844</v>
      </c>
      <c r="Z5751" t="s">
        <v>32606</v>
      </c>
      <c r="AA5751">
        <v>0.2481740638132626</v>
      </c>
      <c r="AB5751" t="str">
        <f>HYPERLINK("Melting_Curves/meltCurve_Q9H469_FBXL15.pdf", "Melting_Curves/meltCurve_Q9H469_FBXL15.pdf")</f>
        <v>Melting_Curves/meltCurve_Q9H469_FBXL15.pdf</v>
      </c>
    </row>
    <row r="5752" spans="1:28" x14ac:dyDescent="0.25">
      <c r="A5752" t="s">
        <v>5756</v>
      </c>
      <c r="B5752">
        <v>0.995954080203443</v>
      </c>
      <c r="C5752">
        <v>1.0061314926235601</v>
      </c>
      <c r="D5752">
        <v>1.0455315278391299</v>
      </c>
      <c r="E5752">
        <v>0.93654274015238703</v>
      </c>
      <c r="F5752">
        <v>0.88842293895406599</v>
      </c>
      <c r="G5752">
        <v>0.65886164005775205</v>
      </c>
      <c r="H5752">
        <v>0.31288042255361598</v>
      </c>
      <c r="I5752">
        <v>0.135326170704403</v>
      </c>
      <c r="J5752">
        <v>7.7611031147458695E-2</v>
      </c>
      <c r="K5752">
        <v>7.8156098829570295E-2</v>
      </c>
      <c r="L5752">
        <v>1254.6877764252999</v>
      </c>
      <c r="M5752">
        <v>21.4719078085649</v>
      </c>
      <c r="N5752">
        <v>58.593296579908497</v>
      </c>
      <c r="O5752">
        <v>57.934160610755299</v>
      </c>
      <c r="P5752">
        <v>-9.0030639109351801E-2</v>
      </c>
      <c r="Q5752">
        <v>2.83636910387037E-2</v>
      </c>
      <c r="R5752">
        <v>0.99647457726683997</v>
      </c>
      <c r="S5752" t="s">
        <v>12558</v>
      </c>
      <c r="T5752" t="s">
        <v>13610</v>
      </c>
      <c r="U5752" t="s">
        <v>13610</v>
      </c>
      <c r="V5752" t="s">
        <v>13610</v>
      </c>
      <c r="W5752" t="s">
        <v>19289</v>
      </c>
      <c r="X5752">
        <v>16</v>
      </c>
      <c r="Y5752" t="s">
        <v>25845</v>
      </c>
      <c r="Z5752" t="s">
        <v>32607</v>
      </c>
      <c r="AA5752">
        <v>0.63525948440856272</v>
      </c>
      <c r="AB5752" t="str">
        <f>HYPERLINK("Melting_Curves/meltCurve_Q9H479_FN3K.pdf", "Melting_Curves/meltCurve_Q9H479_FN3K.pdf")</f>
        <v>Melting_Curves/meltCurve_Q9H479_FN3K.pdf</v>
      </c>
    </row>
    <row r="5753" spans="1:28" x14ac:dyDescent="0.25">
      <c r="A5753" t="s">
        <v>5757</v>
      </c>
      <c r="B5753">
        <v>0.995954080203443</v>
      </c>
      <c r="C5753">
        <v>0.99649588866276795</v>
      </c>
      <c r="D5753">
        <v>0.91977992754897198</v>
      </c>
      <c r="E5753">
        <v>0.78568073201059896</v>
      </c>
      <c r="F5753">
        <v>0.67091361976240005</v>
      </c>
      <c r="G5753">
        <v>0.27346063108873198</v>
      </c>
      <c r="H5753">
        <v>7.9612457227507899E-2</v>
      </c>
      <c r="I5753">
        <v>7.1839756320100701E-2</v>
      </c>
      <c r="J5753">
        <v>8.2120916581595899E-2</v>
      </c>
      <c r="K5753">
        <v>7.30522082066309E-2</v>
      </c>
      <c r="L5753">
        <v>1065.0156753496201</v>
      </c>
      <c r="M5753">
        <v>19.722847328376101</v>
      </c>
      <c r="N5753">
        <v>54.215081976969103</v>
      </c>
      <c r="O5753">
        <v>53.453124970293601</v>
      </c>
      <c r="P5753">
        <v>-8.8761293404014993E-2</v>
      </c>
      <c r="Q5753">
        <v>3.77846060736345E-2</v>
      </c>
      <c r="R5753">
        <v>0.99165845344888204</v>
      </c>
      <c r="S5753" t="s">
        <v>12559</v>
      </c>
      <c r="T5753" t="s">
        <v>13610</v>
      </c>
      <c r="U5753" t="s">
        <v>13610</v>
      </c>
      <c r="V5753" t="s">
        <v>13610</v>
      </c>
      <c r="W5753" t="s">
        <v>19290</v>
      </c>
      <c r="X5753">
        <v>11</v>
      </c>
      <c r="Y5753" t="s">
        <v>25846</v>
      </c>
      <c r="Z5753" t="s">
        <v>32608</v>
      </c>
      <c r="AA5753">
        <v>0.50016281995618805</v>
      </c>
      <c r="AB5753" t="str">
        <f>HYPERLINK("Melting_Curves/meltCurve_Q9H488_POFUT1.pdf", "Melting_Curves/meltCurve_Q9H488_POFUT1.pdf")</f>
        <v>Melting_Curves/meltCurve_Q9H488_POFUT1.pdf</v>
      </c>
    </row>
    <row r="5754" spans="1:28" x14ac:dyDescent="0.25">
      <c r="A5754" t="s">
        <v>5758</v>
      </c>
      <c r="B5754">
        <v>0.995954080203443</v>
      </c>
      <c r="C5754">
        <v>0.873183045333773</v>
      </c>
      <c r="D5754">
        <v>0.73126692727322296</v>
      </c>
      <c r="E5754">
        <v>0.53374773926034502</v>
      </c>
      <c r="F5754">
        <v>0.30305241678705203</v>
      </c>
      <c r="G5754">
        <v>0.165872648821277</v>
      </c>
      <c r="H5754">
        <v>9.2198455704367299E-2</v>
      </c>
      <c r="I5754">
        <v>6.5965790758773304E-2</v>
      </c>
      <c r="J5754">
        <v>6.9230933092180605E-2</v>
      </c>
      <c r="K5754">
        <v>8.3730637654821805E-2</v>
      </c>
      <c r="L5754">
        <v>679.62045324717303</v>
      </c>
      <c r="M5754">
        <v>13.7132428442904</v>
      </c>
      <c r="N5754">
        <v>49.852414678318901</v>
      </c>
      <c r="O5754">
        <v>48.541175991115402</v>
      </c>
      <c r="P5754">
        <v>-6.7902207415240806E-2</v>
      </c>
      <c r="Q5754">
        <v>3.8715999244896597E-2</v>
      </c>
      <c r="R5754">
        <v>0.99538650922935001</v>
      </c>
      <c r="S5754" t="s">
        <v>12560</v>
      </c>
      <c r="T5754" t="s">
        <v>13610</v>
      </c>
      <c r="U5754" t="s">
        <v>13610</v>
      </c>
      <c r="V5754" t="s">
        <v>13610</v>
      </c>
      <c r="W5754" t="s">
        <v>19291</v>
      </c>
      <c r="X5754">
        <v>3</v>
      </c>
      <c r="Y5754" t="s">
        <v>25847</v>
      </c>
      <c r="Z5754" t="s">
        <v>32609</v>
      </c>
      <c r="AA5754">
        <v>0.37231950194774682</v>
      </c>
      <c r="AB5754" t="str">
        <f>HYPERLINK("Melting_Curves/meltCurve_Q9H496_IFRG15.pdf", "Melting_Curves/meltCurve_Q9H496_IFRG15.pdf")</f>
        <v>Melting_Curves/meltCurve_Q9H496_IFRG15.pdf</v>
      </c>
    </row>
    <row r="5755" spans="1:28" x14ac:dyDescent="0.25">
      <c r="A5755" t="s">
        <v>5759</v>
      </c>
      <c r="B5755">
        <v>0.995954080203443</v>
      </c>
      <c r="C5755">
        <v>1.0543828757718099</v>
      </c>
      <c r="D5755">
        <v>1.0538606722700501</v>
      </c>
      <c r="E5755">
        <v>0.89043308658596398</v>
      </c>
      <c r="F5755">
        <v>0.74221322465863204</v>
      </c>
      <c r="G5755">
        <v>0.167824268610273</v>
      </c>
      <c r="H5755">
        <v>9.3635024729973398E-2</v>
      </c>
      <c r="I5755">
        <v>7.5097973896460404E-2</v>
      </c>
      <c r="J5755">
        <v>9.0394084610680603E-2</v>
      </c>
      <c r="K5755">
        <v>7.7880525284019494E-2</v>
      </c>
      <c r="L5755">
        <v>2114.0369072500598</v>
      </c>
      <c r="M5755">
        <v>39.062208775147496</v>
      </c>
      <c r="N5755">
        <v>54.352568698995697</v>
      </c>
      <c r="O5755">
        <v>53.978493545602298</v>
      </c>
      <c r="P5755">
        <v>-0.16697822167047199</v>
      </c>
      <c r="Q5755">
        <v>7.7040213788993103E-2</v>
      </c>
      <c r="R5755">
        <v>0.993199269519487</v>
      </c>
      <c r="S5755" t="s">
        <v>12561</v>
      </c>
      <c r="T5755" t="s">
        <v>13610</v>
      </c>
      <c r="U5755" t="s">
        <v>13610</v>
      </c>
      <c r="V5755" t="s">
        <v>13610</v>
      </c>
      <c r="W5755" t="s">
        <v>19292</v>
      </c>
      <c r="X5755">
        <v>34</v>
      </c>
      <c r="Y5755" t="s">
        <v>25848</v>
      </c>
      <c r="Z5755" t="s">
        <v>32610</v>
      </c>
      <c r="AA5755">
        <v>0.51505114673816976</v>
      </c>
      <c r="AB5755" t="str">
        <f>HYPERLINK("Melting_Curves/meltCurve_Q9H4A4_RNPEP.pdf", "Melting_Curves/meltCurve_Q9H4A4_RNPEP.pdf")</f>
        <v>Melting_Curves/meltCurve_Q9H4A4_RNPEP.pdf</v>
      </c>
    </row>
    <row r="5756" spans="1:28" x14ac:dyDescent="0.25">
      <c r="A5756" t="s">
        <v>5760</v>
      </c>
      <c r="B5756">
        <v>0.995954080203443</v>
      </c>
      <c r="C5756">
        <v>0.90259067885314603</v>
      </c>
      <c r="D5756">
        <v>0.68460345471418504</v>
      </c>
      <c r="E5756">
        <v>0.412621923766823</v>
      </c>
      <c r="F5756">
        <v>0.22271679817064499</v>
      </c>
      <c r="G5756">
        <v>0.12244945543098</v>
      </c>
      <c r="H5756">
        <v>8.8686964205892893E-2</v>
      </c>
      <c r="I5756">
        <v>9.0146540150200904E-2</v>
      </c>
      <c r="J5756">
        <v>0.101912118724181</v>
      </c>
      <c r="K5756">
        <v>9.0675163124898206E-2</v>
      </c>
      <c r="L5756">
        <v>835.24047691118005</v>
      </c>
      <c r="M5756">
        <v>17.395150126668501</v>
      </c>
      <c r="N5756">
        <v>48.501435457099497</v>
      </c>
      <c r="O5756">
        <v>47.3946212724059</v>
      </c>
      <c r="P5756">
        <v>-8.4426654451996097E-2</v>
      </c>
      <c r="Q5756">
        <v>7.9940465568934305E-2</v>
      </c>
      <c r="R5756">
        <v>0.99792376293723495</v>
      </c>
      <c r="S5756" t="s">
        <v>12562</v>
      </c>
      <c r="T5756" t="s">
        <v>13610</v>
      </c>
      <c r="U5756" t="s">
        <v>13610</v>
      </c>
      <c r="V5756" t="s">
        <v>13610</v>
      </c>
      <c r="W5756" t="s">
        <v>19293</v>
      </c>
      <c r="X5756">
        <v>6</v>
      </c>
      <c r="Y5756" t="s">
        <v>25849</v>
      </c>
      <c r="Z5756" t="s">
        <v>32611</v>
      </c>
      <c r="AA5756">
        <v>0.3432898842347869</v>
      </c>
      <c r="AB5756" t="str">
        <f>HYPERLINK("Melting_Curves/meltCurve_Q9H4A5_GOLPH3L.pdf", "Melting_Curves/meltCurve_Q9H4A5_GOLPH3L.pdf")</f>
        <v>Melting_Curves/meltCurve_Q9H4A5_GOLPH3L.pdf</v>
      </c>
    </row>
    <row r="5757" spans="1:28" x14ac:dyDescent="0.25">
      <c r="A5757" t="s">
        <v>5761</v>
      </c>
      <c r="B5757">
        <v>0.995954080203443</v>
      </c>
      <c r="C5757">
        <v>0.98080565082293902</v>
      </c>
      <c r="D5757">
        <v>0.85160473280676097</v>
      </c>
      <c r="E5757">
        <v>0.64940589991626896</v>
      </c>
      <c r="F5757">
        <v>0.23170706636441199</v>
      </c>
      <c r="G5757">
        <v>9.2354187684639003E-2</v>
      </c>
      <c r="H5757">
        <v>5.5011747474817199E-2</v>
      </c>
      <c r="I5757">
        <v>4.1645876762873298E-2</v>
      </c>
      <c r="J5757">
        <v>4.7397493380238201E-2</v>
      </c>
      <c r="K5757">
        <v>3.9802771751497101E-2</v>
      </c>
      <c r="L5757">
        <v>1244.3702739146299</v>
      </c>
      <c r="M5757">
        <v>24.5751564004972</v>
      </c>
      <c r="N5757">
        <v>50.788306597942601</v>
      </c>
      <c r="O5757">
        <v>50.303582427403498</v>
      </c>
      <c r="P5757">
        <v>-0.117777929965418</v>
      </c>
      <c r="Q5757">
        <v>3.56819811860212E-2</v>
      </c>
      <c r="R5757">
        <v>0.99310625819081</v>
      </c>
      <c r="S5757" t="s">
        <v>12563</v>
      </c>
      <c r="T5757" t="s">
        <v>13610</v>
      </c>
      <c r="U5757" t="s">
        <v>13610</v>
      </c>
      <c r="V5757" t="s">
        <v>13610</v>
      </c>
      <c r="W5757" t="s">
        <v>19294</v>
      </c>
      <c r="X5757">
        <v>7</v>
      </c>
      <c r="Y5757" t="s">
        <v>25850</v>
      </c>
      <c r="Z5757" t="s">
        <v>32612</v>
      </c>
      <c r="AA5757">
        <v>0.38651883276235122</v>
      </c>
      <c r="AB5757" t="str">
        <f>HYPERLINK("Melting_Curves/meltCurve_Q9H4A6_GOLPH3.pdf", "Melting_Curves/meltCurve_Q9H4A6_GOLPH3.pdf")</f>
        <v>Melting_Curves/meltCurve_Q9H4A6_GOLPH3.pdf</v>
      </c>
    </row>
    <row r="5758" spans="1:28" x14ac:dyDescent="0.25">
      <c r="A5758" t="s">
        <v>5762</v>
      </c>
      <c r="B5758">
        <v>0.995954080203443</v>
      </c>
      <c r="C5758">
        <v>0.89899890960191797</v>
      </c>
      <c r="D5758">
        <v>0.53425824985800596</v>
      </c>
      <c r="E5758">
        <v>0.25526064859914999</v>
      </c>
      <c r="F5758">
        <v>0.14098271152765399</v>
      </c>
      <c r="G5758">
        <v>7.6204051712528906E-2</v>
      </c>
      <c r="H5758">
        <v>5.5507672213199799E-2</v>
      </c>
      <c r="I5758">
        <v>5.4112420037479597E-2</v>
      </c>
      <c r="J5758">
        <v>6.1211957143973303E-2</v>
      </c>
      <c r="K5758">
        <v>5.5135272792742503E-2</v>
      </c>
      <c r="L5758">
        <v>994.31792795562103</v>
      </c>
      <c r="M5758">
        <v>21.4177076781694</v>
      </c>
      <c r="N5758">
        <v>46.7061536606872</v>
      </c>
      <c r="O5758">
        <v>46.026005832477502</v>
      </c>
      <c r="P5758">
        <v>-0.109302475308051</v>
      </c>
      <c r="Q5758">
        <v>6.0472547419611798E-2</v>
      </c>
      <c r="R5758">
        <v>0.99575180250670303</v>
      </c>
      <c r="S5758" t="s">
        <v>12564</v>
      </c>
      <c r="T5758" t="s">
        <v>13610</v>
      </c>
      <c r="U5758" t="s">
        <v>13610</v>
      </c>
      <c r="V5758" t="s">
        <v>13610</v>
      </c>
      <c r="W5758" t="s">
        <v>19295</v>
      </c>
      <c r="X5758">
        <v>20</v>
      </c>
      <c r="Y5758" t="s">
        <v>25851</v>
      </c>
      <c r="Z5758" t="s">
        <v>32613</v>
      </c>
      <c r="AA5758">
        <v>0.27379550566103822</v>
      </c>
      <c r="AB5758" t="str">
        <f>HYPERLINK("Melting_Curves/meltCurve_Q9H4E7_DEF6.pdf", "Melting_Curves/meltCurve_Q9H4E7_DEF6.pdf")</f>
        <v>Melting_Curves/meltCurve_Q9H4E7_DEF6.pdf</v>
      </c>
    </row>
    <row r="5759" spans="1:28" x14ac:dyDescent="0.25">
      <c r="A5759" t="s">
        <v>5763</v>
      </c>
      <c r="B5759">
        <v>0.995954080203443</v>
      </c>
      <c r="C5759">
        <v>0.78164599620445396</v>
      </c>
      <c r="D5759">
        <v>0.91141774085496297</v>
      </c>
      <c r="E5759">
        <v>0.72463010620800905</v>
      </c>
      <c r="F5759">
        <v>0.85894773383538603</v>
      </c>
      <c r="G5759">
        <v>0.57236712264214795</v>
      </c>
      <c r="H5759">
        <v>0.58334050846313601</v>
      </c>
      <c r="I5759">
        <v>0.72378229112139603</v>
      </c>
      <c r="J5759">
        <v>0.78134352525748496</v>
      </c>
      <c r="K5759">
        <v>0.79721797648277304</v>
      </c>
      <c r="L5759">
        <v>584.03556847918298</v>
      </c>
      <c r="M5759">
        <v>13.116161607396799</v>
      </c>
      <c r="O5759">
        <v>43.531017277797702</v>
      </c>
      <c r="P5759">
        <v>-2.2129731718295999E-2</v>
      </c>
      <c r="Q5759">
        <v>0.70626610761418795</v>
      </c>
      <c r="R5759">
        <v>0.42660703578619902</v>
      </c>
      <c r="S5759" t="s">
        <v>12565</v>
      </c>
      <c r="T5759" t="s">
        <v>13610</v>
      </c>
      <c r="U5759" t="s">
        <v>13610</v>
      </c>
      <c r="V5759" t="s">
        <v>13610</v>
      </c>
      <c r="W5759" t="s">
        <v>19296</v>
      </c>
      <c r="X5759">
        <v>10</v>
      </c>
      <c r="Y5759" t="s">
        <v>25852</v>
      </c>
      <c r="Z5759" t="s">
        <v>32614</v>
      </c>
      <c r="AA5759">
        <v>0.76363316437086148</v>
      </c>
      <c r="AB5759" t="str">
        <f>HYPERLINK("Melting_Curves/meltCurve_Q9H4G0_2_EPB41L1.pdf", "Melting_Curves/meltCurve_Q9H4G0_2_EPB41L1.pdf")</f>
        <v>Melting_Curves/meltCurve_Q9H4G0_2_EPB41L1.pdf</v>
      </c>
    </row>
    <row r="5760" spans="1:28" x14ac:dyDescent="0.25">
      <c r="A5760" t="s">
        <v>5764</v>
      </c>
      <c r="B5760">
        <v>0.995954080203443</v>
      </c>
      <c r="C5760">
        <v>0.86166130387589801</v>
      </c>
      <c r="D5760">
        <v>0.75702640428435797</v>
      </c>
      <c r="E5760">
        <v>0.70605681281812904</v>
      </c>
      <c r="F5760">
        <v>0.39979338057105301</v>
      </c>
      <c r="G5760">
        <v>0.26248422387402098</v>
      </c>
      <c r="H5760">
        <v>0.20299474782170501</v>
      </c>
      <c r="I5760">
        <v>0.17668916672920701</v>
      </c>
      <c r="J5760">
        <v>0.22465904716565299</v>
      </c>
      <c r="K5760">
        <v>0.18249116812965899</v>
      </c>
      <c r="L5760">
        <v>644.28699345359303</v>
      </c>
      <c r="M5760">
        <v>12.7910437599859</v>
      </c>
      <c r="N5760">
        <v>51.7423411281695</v>
      </c>
      <c r="O5760">
        <v>49.186615439234998</v>
      </c>
      <c r="P5760">
        <v>-5.56722455264409E-2</v>
      </c>
      <c r="Q5760">
        <v>0.143833609810608</v>
      </c>
      <c r="R5760">
        <v>0.97221625444551796</v>
      </c>
      <c r="S5760" t="s">
        <v>12566</v>
      </c>
      <c r="T5760" t="s">
        <v>13610</v>
      </c>
      <c r="U5760" t="s">
        <v>13610</v>
      </c>
      <c r="V5760" t="s">
        <v>13610</v>
      </c>
      <c r="W5760" t="s">
        <v>19297</v>
      </c>
      <c r="X5760">
        <v>3</v>
      </c>
      <c r="Y5760" t="s">
        <v>25853</v>
      </c>
      <c r="Z5760" t="s">
        <v>32615</v>
      </c>
      <c r="AA5760">
        <v>0.46605573442433601</v>
      </c>
      <c r="AB5760" t="str">
        <f>HYPERLINK("Melting_Curves/meltCurve_Q9H4H8_2_FAM83D.pdf", "Melting_Curves/meltCurve_Q9H4H8_2_FAM83D.pdf")</f>
        <v>Melting_Curves/meltCurve_Q9H4H8_2_FAM83D.pdf</v>
      </c>
    </row>
    <row r="5761" spans="1:28" x14ac:dyDescent="0.25">
      <c r="A5761" t="s">
        <v>5765</v>
      </c>
      <c r="B5761">
        <v>0.995954080203443</v>
      </c>
      <c r="C5761">
        <v>1.00309046750344</v>
      </c>
      <c r="D5761">
        <v>1.01468992804272</v>
      </c>
      <c r="E5761">
        <v>0.81227738217754597</v>
      </c>
      <c r="F5761">
        <v>1.0750457436721199</v>
      </c>
      <c r="G5761">
        <v>0.63483806365870898</v>
      </c>
      <c r="H5761">
        <v>0.44810911256407199</v>
      </c>
      <c r="I5761">
        <v>0.53834560474872695</v>
      </c>
      <c r="J5761">
        <v>0.72668616418424004</v>
      </c>
      <c r="K5761">
        <v>0.67629086747673905</v>
      </c>
      <c r="L5761">
        <v>14120.2378965672</v>
      </c>
      <c r="M5761">
        <v>250</v>
      </c>
      <c r="O5761">
        <v>56.477337294654298</v>
      </c>
      <c r="P5761">
        <v>-0.44557925249306601</v>
      </c>
      <c r="Q5761">
        <v>0.59735792553653899</v>
      </c>
      <c r="R5761">
        <v>0.79641463137444402</v>
      </c>
      <c r="S5761" t="s">
        <v>12567</v>
      </c>
      <c r="T5761" t="s">
        <v>13610</v>
      </c>
      <c r="U5761" t="s">
        <v>13610</v>
      </c>
      <c r="V5761" t="s">
        <v>13610</v>
      </c>
      <c r="W5761" t="s">
        <v>19298</v>
      </c>
      <c r="X5761">
        <v>5</v>
      </c>
      <c r="Y5761" t="s">
        <v>25854</v>
      </c>
      <c r="Z5761" t="s">
        <v>32616</v>
      </c>
      <c r="AA5761">
        <v>0.81859532123136192</v>
      </c>
      <c r="AB5761" t="str">
        <f>HYPERLINK("Melting_Curves/meltCurve_Q9H4I2_ZHX3.pdf", "Melting_Curves/meltCurve_Q9H4I2_ZHX3.pdf")</f>
        <v>Melting_Curves/meltCurve_Q9H4I2_ZHX3.pdf</v>
      </c>
    </row>
    <row r="5762" spans="1:28" x14ac:dyDescent="0.25">
      <c r="A5762" t="s">
        <v>5766</v>
      </c>
      <c r="B5762">
        <v>0.995954080203443</v>
      </c>
      <c r="C5762">
        <v>0.723419246740584</v>
      </c>
      <c r="D5762">
        <v>0.35455635515909001</v>
      </c>
      <c r="E5762">
        <v>0.25960745153069698</v>
      </c>
      <c r="F5762">
        <v>0.19243981256651699</v>
      </c>
      <c r="G5762">
        <v>9.8247724459970195E-2</v>
      </c>
      <c r="H5762">
        <v>9.0651573086775197E-2</v>
      </c>
      <c r="I5762">
        <v>8.3980517504676194E-2</v>
      </c>
      <c r="J5762">
        <v>0.15043558544549299</v>
      </c>
      <c r="K5762">
        <v>0.100370383756806</v>
      </c>
      <c r="L5762">
        <v>1031.02892759061</v>
      </c>
      <c r="M5762">
        <v>23.220023283675499</v>
      </c>
      <c r="N5762">
        <v>44.9457645247549</v>
      </c>
      <c r="O5762">
        <v>44.077180297566997</v>
      </c>
      <c r="P5762">
        <v>-0.115590315387508</v>
      </c>
      <c r="Q5762">
        <v>0.122343104304504</v>
      </c>
      <c r="R5762">
        <v>0.97916955103319103</v>
      </c>
      <c r="S5762" t="s">
        <v>12568</v>
      </c>
      <c r="T5762" t="s">
        <v>13610</v>
      </c>
      <c r="U5762" t="s">
        <v>13610</v>
      </c>
      <c r="V5762" t="s">
        <v>13610</v>
      </c>
      <c r="W5762" t="s">
        <v>19299</v>
      </c>
      <c r="X5762">
        <v>12</v>
      </c>
      <c r="Y5762" t="s">
        <v>25855</v>
      </c>
      <c r="Z5762" t="s">
        <v>32617</v>
      </c>
      <c r="AA5762">
        <v>0.26240426372983883</v>
      </c>
      <c r="AB5762" t="str">
        <f>HYPERLINK("Melting_Curves/meltCurve_Q9H4L5_OSBPL3.pdf", "Melting_Curves/meltCurve_Q9H4L5_OSBPL3.pdf")</f>
        <v>Melting_Curves/meltCurve_Q9H4L5_OSBPL3.pdf</v>
      </c>
    </row>
    <row r="5763" spans="1:28" x14ac:dyDescent="0.25">
      <c r="A5763" t="s">
        <v>5767</v>
      </c>
      <c r="B5763">
        <v>0.995954080203443</v>
      </c>
      <c r="C5763">
        <v>0.89753938388198296</v>
      </c>
      <c r="D5763">
        <v>0.789494265160127</v>
      </c>
      <c r="E5763">
        <v>0.679158188386082</v>
      </c>
      <c r="F5763">
        <v>0.60923483881027296</v>
      </c>
      <c r="G5763">
        <v>0.47814004269836002</v>
      </c>
      <c r="H5763">
        <v>0.45187680120128398</v>
      </c>
      <c r="I5763">
        <v>0.53012557308026298</v>
      </c>
      <c r="J5763">
        <v>0.61244972573274403</v>
      </c>
      <c r="K5763">
        <v>0.59998581048170496</v>
      </c>
      <c r="L5763">
        <v>809.11928848095999</v>
      </c>
      <c r="M5763">
        <v>17.333007513284201</v>
      </c>
      <c r="O5763">
        <v>46.072774885190697</v>
      </c>
      <c r="P5763">
        <v>-4.3665505107725398E-2</v>
      </c>
      <c r="Q5763">
        <v>0.53575843449462301</v>
      </c>
      <c r="R5763">
        <v>0.90897817144773896</v>
      </c>
      <c r="S5763" t="s">
        <v>12569</v>
      </c>
      <c r="T5763" t="s">
        <v>13610</v>
      </c>
      <c r="U5763" t="s">
        <v>13610</v>
      </c>
      <c r="V5763" t="s">
        <v>13610</v>
      </c>
      <c r="W5763" t="s">
        <v>19300</v>
      </c>
      <c r="X5763">
        <v>21</v>
      </c>
      <c r="Y5763" t="s">
        <v>25856</v>
      </c>
      <c r="Z5763" t="s">
        <v>32618</v>
      </c>
      <c r="AA5763">
        <v>0.64860492072663323</v>
      </c>
      <c r="AB5763" t="str">
        <f>HYPERLINK("Melting_Curves/meltCurve_Q9H4L7_SMARCAD1.pdf", "Melting_Curves/meltCurve_Q9H4L7_SMARCAD1.pdf")</f>
        <v>Melting_Curves/meltCurve_Q9H4L7_SMARCAD1.pdf</v>
      </c>
    </row>
    <row r="5764" spans="1:28" x14ac:dyDescent="0.25">
      <c r="A5764" t="s">
        <v>5768</v>
      </c>
      <c r="B5764">
        <v>0.995954080203443</v>
      </c>
      <c r="C5764">
        <v>1.0781271061945501</v>
      </c>
      <c r="D5764">
        <v>1.3444532227006101</v>
      </c>
      <c r="E5764">
        <v>1.08206816136733</v>
      </c>
      <c r="F5764">
        <v>1.35888894981539</v>
      </c>
      <c r="G5764">
        <v>0.87474859479857503</v>
      </c>
      <c r="H5764">
        <v>1.01424017495456</v>
      </c>
      <c r="I5764">
        <v>1.2513221178864899</v>
      </c>
      <c r="J5764">
        <v>1.1637152767546799</v>
      </c>
      <c r="K5764">
        <v>1.0061921514106</v>
      </c>
      <c r="L5764">
        <v>10712.8272978804</v>
      </c>
      <c r="M5764">
        <v>250</v>
      </c>
      <c r="O5764">
        <v>42.848557377406202</v>
      </c>
      <c r="P5764">
        <v>0.19976394252553201</v>
      </c>
      <c r="Q5764">
        <v>1.1369535787295399</v>
      </c>
      <c r="R5764">
        <v>8.42804165347395E-2</v>
      </c>
      <c r="S5764" t="s">
        <v>12570</v>
      </c>
      <c r="T5764" t="s">
        <v>13610</v>
      </c>
      <c r="U5764" t="s">
        <v>13610</v>
      </c>
      <c r="V5764" t="s">
        <v>13610</v>
      </c>
      <c r="W5764" t="s">
        <v>19301</v>
      </c>
      <c r="X5764">
        <v>3</v>
      </c>
      <c r="Y5764" t="s">
        <v>25857</v>
      </c>
      <c r="Z5764" t="s">
        <v>32619</v>
      </c>
      <c r="AA5764">
        <v>1.123926712750309</v>
      </c>
      <c r="AB5764" t="str">
        <f>HYPERLINK("Melting_Curves/meltCurve_Q9H4M3_2_FBXO44.pdf", "Melting_Curves/meltCurve_Q9H4M3_2_FBXO44.pdf")</f>
        <v>Melting_Curves/meltCurve_Q9H4M3_2_FBXO44.pdf</v>
      </c>
    </row>
    <row r="5765" spans="1:28" x14ac:dyDescent="0.25">
      <c r="A5765" t="s">
        <v>5769</v>
      </c>
      <c r="B5765">
        <v>0.995954080203443</v>
      </c>
      <c r="C5765">
        <v>1.30673275068293</v>
      </c>
      <c r="D5765">
        <v>1.21220136015653</v>
      </c>
      <c r="E5765">
        <v>0.97352599359116199</v>
      </c>
      <c r="F5765">
        <v>0.95039022984820498</v>
      </c>
      <c r="G5765">
        <v>0.74525009199953995</v>
      </c>
      <c r="H5765">
        <v>0.726082663560493</v>
      </c>
      <c r="I5765">
        <v>0.696872733416941</v>
      </c>
      <c r="J5765">
        <v>0.77535248437053494</v>
      </c>
      <c r="K5765">
        <v>0.63679652496063999</v>
      </c>
      <c r="L5765">
        <v>2491.1173796810299</v>
      </c>
      <c r="M5765">
        <v>45.500337333308998</v>
      </c>
      <c r="O5765">
        <v>54.6439934649405</v>
      </c>
      <c r="P5765">
        <v>-6.0940565056532003E-2</v>
      </c>
      <c r="Q5765">
        <v>0.70725217848654598</v>
      </c>
      <c r="R5765">
        <v>0.67484964155502103</v>
      </c>
      <c r="S5765" t="s">
        <v>12571</v>
      </c>
      <c r="T5765" t="s">
        <v>13610</v>
      </c>
      <c r="U5765" t="s">
        <v>13610</v>
      </c>
      <c r="V5765" t="s">
        <v>13610</v>
      </c>
      <c r="W5765" t="s">
        <v>19302</v>
      </c>
      <c r="X5765">
        <v>2</v>
      </c>
      <c r="Y5765" t="s">
        <v>25858</v>
      </c>
      <c r="Z5765" t="s">
        <v>32620</v>
      </c>
      <c r="AA5765">
        <v>0.85203466153761265</v>
      </c>
      <c r="AB5765" t="str">
        <f>HYPERLINK("Melting_Curves/meltCurve_Q9H4M7_2_PLEKHA4.pdf", "Melting_Curves/meltCurve_Q9H4M7_2_PLEKHA4.pdf")</f>
        <v>Melting_Curves/meltCurve_Q9H4M7_2_PLEKHA4.pdf</v>
      </c>
    </row>
    <row r="5766" spans="1:28" x14ac:dyDescent="0.25">
      <c r="A5766" t="s">
        <v>5770</v>
      </c>
      <c r="B5766">
        <v>0.995954080203443</v>
      </c>
      <c r="C5766">
        <v>0.94654388071046403</v>
      </c>
      <c r="D5766">
        <v>0.76626404209726695</v>
      </c>
      <c r="E5766">
        <v>0.37204592061557301</v>
      </c>
      <c r="F5766">
        <v>0.17740953879084301</v>
      </c>
      <c r="G5766">
        <v>0.104347877441287</v>
      </c>
      <c r="H5766">
        <v>6.8770770076441196E-2</v>
      </c>
      <c r="I5766">
        <v>6.8745313216719894E-2</v>
      </c>
      <c r="J5766">
        <v>7.2944308115918496E-2</v>
      </c>
      <c r="K5766">
        <v>6.9825498174965694E-2</v>
      </c>
      <c r="L5766">
        <v>1065.6044890272799</v>
      </c>
      <c r="M5766">
        <v>22.053602737565399</v>
      </c>
      <c r="N5766">
        <v>48.6348012047007</v>
      </c>
      <c r="O5766">
        <v>47.926805668346503</v>
      </c>
      <c r="P5766">
        <v>-0.107362475089117</v>
      </c>
      <c r="Q5766">
        <v>6.6741628419522303E-2</v>
      </c>
      <c r="R5766">
        <v>0.99984564499863304</v>
      </c>
      <c r="S5766" t="s">
        <v>12572</v>
      </c>
      <c r="T5766" t="s">
        <v>13610</v>
      </c>
      <c r="U5766" t="s">
        <v>13610</v>
      </c>
      <c r="V5766" t="s">
        <v>13610</v>
      </c>
      <c r="W5766" t="s">
        <v>19303</v>
      </c>
      <c r="X5766">
        <v>22</v>
      </c>
      <c r="Y5766" t="s">
        <v>25859</v>
      </c>
      <c r="Z5766" t="s">
        <v>32621</v>
      </c>
      <c r="AA5766">
        <v>0.33626783428506501</v>
      </c>
      <c r="AB5766" t="str">
        <f>HYPERLINK("Melting_Curves/meltCurve_Q9H4M9_EHD1.pdf", "Melting_Curves/meltCurve_Q9H4M9_EHD1.pdf")</f>
        <v>Melting_Curves/meltCurve_Q9H4M9_EHD1.pdf</v>
      </c>
    </row>
    <row r="5767" spans="1:28" x14ac:dyDescent="0.25">
      <c r="A5767" t="s">
        <v>5771</v>
      </c>
      <c r="B5767">
        <v>0.995954080203443</v>
      </c>
      <c r="C5767">
        <v>0.92914118667999201</v>
      </c>
      <c r="D5767">
        <v>0.68927885576029901</v>
      </c>
      <c r="E5767">
        <v>0.54870758444371004</v>
      </c>
      <c r="F5767">
        <v>0.32043825683312599</v>
      </c>
      <c r="G5767">
        <v>0.208216525377073</v>
      </c>
      <c r="H5767">
        <v>0.120396645509299</v>
      </c>
      <c r="I5767">
        <v>0.10156558821266901</v>
      </c>
      <c r="J5767">
        <v>0.113216620983342</v>
      </c>
      <c r="K5767">
        <v>0.109844938170262</v>
      </c>
      <c r="L5767">
        <v>683.11737414960896</v>
      </c>
      <c r="M5767">
        <v>13.8398834101621</v>
      </c>
      <c r="N5767">
        <v>49.980650248123602</v>
      </c>
      <c r="O5767">
        <v>48.362342879056797</v>
      </c>
      <c r="P5767">
        <v>-6.5891742084964899E-2</v>
      </c>
      <c r="Q5767">
        <v>7.9114204263748794E-2</v>
      </c>
      <c r="R5767">
        <v>0.99117569535920702</v>
      </c>
      <c r="S5767" t="s">
        <v>12573</v>
      </c>
      <c r="T5767" t="s">
        <v>13610</v>
      </c>
      <c r="U5767" t="s">
        <v>13610</v>
      </c>
      <c r="V5767" t="s">
        <v>13610</v>
      </c>
      <c r="W5767" t="s">
        <v>19304</v>
      </c>
      <c r="X5767">
        <v>4</v>
      </c>
      <c r="Y5767" t="s">
        <v>25860</v>
      </c>
      <c r="Z5767" t="s">
        <v>32622</v>
      </c>
      <c r="AA5767">
        <v>0.39234167795449942</v>
      </c>
      <c r="AB5767" t="str">
        <f>HYPERLINK("Melting_Curves/meltCurve_Q9H4P4_2_RNF41.pdf", "Melting_Curves/meltCurve_Q9H4P4_2_RNF41.pdf")</f>
        <v>Melting_Curves/meltCurve_Q9H4P4_2_RNF41.pdf</v>
      </c>
    </row>
    <row r="5768" spans="1:28" x14ac:dyDescent="0.25">
      <c r="A5768" t="s">
        <v>5772</v>
      </c>
      <c r="B5768">
        <v>0.995954080203443</v>
      </c>
      <c r="C5768">
        <v>0.98269265916868598</v>
      </c>
      <c r="D5768">
        <v>1.0585971291604801</v>
      </c>
      <c r="E5768">
        <v>0.85452695618671304</v>
      </c>
      <c r="F5768">
        <v>0.84587566187705399</v>
      </c>
      <c r="G5768">
        <v>0.60209848940156097</v>
      </c>
      <c r="H5768">
        <v>0.56561876883606699</v>
      </c>
      <c r="I5768">
        <v>0.67525087397567396</v>
      </c>
      <c r="J5768">
        <v>0.69303167978847402</v>
      </c>
      <c r="K5768">
        <v>0.75668718121296796</v>
      </c>
      <c r="L5768">
        <v>1534.1418303093301</v>
      </c>
      <c r="M5768">
        <v>29.602343097174199</v>
      </c>
      <c r="O5768">
        <v>51.590234985992097</v>
      </c>
      <c r="P5768">
        <v>-4.8671857270554703E-2</v>
      </c>
      <c r="Q5768">
        <v>0.66070587534070901</v>
      </c>
      <c r="R5768">
        <v>0.851270255920899</v>
      </c>
      <c r="S5768" t="s">
        <v>12574</v>
      </c>
      <c r="T5768" t="s">
        <v>13610</v>
      </c>
      <c r="U5768" t="s">
        <v>13610</v>
      </c>
      <c r="V5768" t="s">
        <v>13610</v>
      </c>
      <c r="W5768" t="s">
        <v>19305</v>
      </c>
      <c r="X5768">
        <v>2</v>
      </c>
      <c r="Y5768" t="s">
        <v>25861</v>
      </c>
      <c r="Z5768" t="s">
        <v>32623</v>
      </c>
      <c r="AA5768">
        <v>0.79666440409797068</v>
      </c>
      <c r="AB5768" t="str">
        <f>HYPERLINK("Melting_Curves/meltCurve_Q9H4Z2_2_ZNF335.pdf", "Melting_Curves/meltCurve_Q9H4Z2_2_ZNF335.pdf")</f>
        <v>Melting_Curves/meltCurve_Q9H4Z2_2_ZNF335.pdf</v>
      </c>
    </row>
    <row r="5769" spans="1:28" x14ac:dyDescent="0.25">
      <c r="A5769" t="s">
        <v>5773</v>
      </c>
      <c r="B5769">
        <v>0.995954080203443</v>
      </c>
      <c r="C5769">
        <v>0.91590263015766304</v>
      </c>
      <c r="D5769">
        <v>0.71649108293255104</v>
      </c>
      <c r="E5769">
        <v>0.36034484274662398</v>
      </c>
      <c r="F5769">
        <v>0.246009520739321</v>
      </c>
      <c r="G5769">
        <v>0.16563178982333299</v>
      </c>
      <c r="H5769">
        <v>0.12821381589512201</v>
      </c>
      <c r="I5769">
        <v>0.123694081412432</v>
      </c>
      <c r="J5769">
        <v>0.15160351960962901</v>
      </c>
      <c r="K5769">
        <v>0.13239028841869299</v>
      </c>
      <c r="L5769">
        <v>971.19187618057299</v>
      </c>
      <c r="M5769">
        <v>20.395975283188701</v>
      </c>
      <c r="N5769">
        <v>48.346196173547</v>
      </c>
      <c r="O5769">
        <v>47.166197365135602</v>
      </c>
      <c r="P5769">
        <v>-9.3793356992032201E-2</v>
      </c>
      <c r="Q5769">
        <v>0.13242852668744601</v>
      </c>
      <c r="R5769">
        <v>0.99886210143973997</v>
      </c>
      <c r="S5769" t="s">
        <v>12575</v>
      </c>
      <c r="T5769" t="s">
        <v>13610</v>
      </c>
      <c r="U5769" t="s">
        <v>13610</v>
      </c>
      <c r="V5769" t="s">
        <v>13610</v>
      </c>
      <c r="W5769" t="s">
        <v>19306</v>
      </c>
      <c r="X5769">
        <v>13</v>
      </c>
      <c r="Y5769" t="s">
        <v>25862</v>
      </c>
      <c r="Z5769" t="s">
        <v>32624</v>
      </c>
      <c r="AA5769">
        <v>0.36462728483365903</v>
      </c>
      <c r="AB5769" t="str">
        <f>HYPERLINK("Melting_Curves/meltCurve_Q9H4Z3_PCIF1.pdf", "Melting_Curves/meltCurve_Q9H4Z3_PCIF1.pdf")</f>
        <v>Melting_Curves/meltCurve_Q9H4Z3_PCIF1.pdf</v>
      </c>
    </row>
    <row r="5770" spans="1:28" x14ac:dyDescent="0.25">
      <c r="A5770" t="s">
        <v>5774</v>
      </c>
      <c r="B5770">
        <v>0.995954080203443</v>
      </c>
      <c r="C5770">
        <v>0.95878591228247101</v>
      </c>
      <c r="D5770">
        <v>0.91127960410826203</v>
      </c>
      <c r="E5770">
        <v>0.77629301507510196</v>
      </c>
      <c r="F5770">
        <v>0.68575351095392401</v>
      </c>
      <c r="G5770">
        <v>0.52486759044900499</v>
      </c>
      <c r="H5770">
        <v>0.49658699212801899</v>
      </c>
      <c r="I5770">
        <v>0.624096254784131</v>
      </c>
      <c r="J5770">
        <v>0.72432999090741301</v>
      </c>
      <c r="K5770">
        <v>0.72841900181225405</v>
      </c>
      <c r="L5770">
        <v>1186.0660488188701</v>
      </c>
      <c r="M5770">
        <v>24.358681986154298</v>
      </c>
      <c r="O5770">
        <v>48.367090213650201</v>
      </c>
      <c r="P5770">
        <v>-4.7509970626997002E-2</v>
      </c>
      <c r="Q5770">
        <v>0.62265847923238804</v>
      </c>
      <c r="R5770">
        <v>0.80638252251698095</v>
      </c>
      <c r="S5770" t="s">
        <v>12576</v>
      </c>
      <c r="T5770" t="s">
        <v>13610</v>
      </c>
      <c r="U5770" t="s">
        <v>13610</v>
      </c>
      <c r="V5770" t="s">
        <v>13610</v>
      </c>
      <c r="W5770" t="s">
        <v>19307</v>
      </c>
      <c r="X5770">
        <v>32</v>
      </c>
      <c r="Y5770" t="s">
        <v>25863</v>
      </c>
      <c r="Z5770" t="s">
        <v>32625</v>
      </c>
      <c r="AA5770">
        <v>0.73550681853079647</v>
      </c>
      <c r="AB5770" t="str">
        <f>HYPERLINK("Melting_Curves/meltCurve_Q9H501_ESF1.pdf", "Melting_Curves/meltCurve_Q9H501_ESF1.pdf")</f>
        <v>Melting_Curves/meltCurve_Q9H501_ESF1.pdf</v>
      </c>
    </row>
    <row r="5771" spans="1:28" x14ac:dyDescent="0.25">
      <c r="A5771" t="s">
        <v>5775</v>
      </c>
      <c r="B5771">
        <v>0.995954080203443</v>
      </c>
      <c r="C5771">
        <v>0.875131779993501</v>
      </c>
      <c r="D5771">
        <v>0.91758027345780002</v>
      </c>
      <c r="E5771">
        <v>0.77558541000006997</v>
      </c>
      <c r="F5771">
        <v>0.62630689908612702</v>
      </c>
      <c r="G5771">
        <v>0.26616295234167298</v>
      </c>
      <c r="H5771">
        <v>0.13396722237015399</v>
      </c>
      <c r="I5771">
        <v>0.131680595054601</v>
      </c>
      <c r="J5771">
        <v>0.137928094728622</v>
      </c>
      <c r="K5771">
        <v>0.125603931042889</v>
      </c>
      <c r="L5771">
        <v>974.30762172724803</v>
      </c>
      <c r="M5771">
        <v>18.290207550173399</v>
      </c>
      <c r="N5771">
        <v>53.874245588625698</v>
      </c>
      <c r="O5771">
        <v>52.6448238176228</v>
      </c>
      <c r="P5771">
        <v>-7.8798056697732696E-2</v>
      </c>
      <c r="Q5771">
        <v>9.2822164303767898E-2</v>
      </c>
      <c r="R5771">
        <v>0.98244699397966295</v>
      </c>
      <c r="S5771" t="s">
        <v>12577</v>
      </c>
      <c r="T5771" t="s">
        <v>13610</v>
      </c>
      <c r="U5771" t="s">
        <v>13610</v>
      </c>
      <c r="V5771" t="s">
        <v>13610</v>
      </c>
      <c r="W5771" t="s">
        <v>19308</v>
      </c>
      <c r="X5771">
        <v>10</v>
      </c>
      <c r="Y5771" t="s">
        <v>25864</v>
      </c>
      <c r="Z5771" t="s">
        <v>32626</v>
      </c>
      <c r="AA5771">
        <v>0.50848313863604433</v>
      </c>
      <c r="AB5771" t="str">
        <f>HYPERLINK("Melting_Curves/meltCurve_Q9H568_ACTL8.pdf", "Melting_Curves/meltCurve_Q9H568_ACTL8.pdf")</f>
        <v>Melting_Curves/meltCurve_Q9H568_ACTL8.pdf</v>
      </c>
    </row>
    <row r="5772" spans="1:28" x14ac:dyDescent="0.25">
      <c r="A5772" t="s">
        <v>5776</v>
      </c>
      <c r="B5772">
        <v>0.995954080203443</v>
      </c>
      <c r="C5772">
        <v>0.99783364875344904</v>
      </c>
      <c r="D5772">
        <v>0.99740050262907998</v>
      </c>
      <c r="E5772">
        <v>0.87090339029872699</v>
      </c>
      <c r="F5772">
        <v>0.856133289805875</v>
      </c>
      <c r="G5772">
        <v>0.61416616722018103</v>
      </c>
      <c r="H5772">
        <v>0.57583820377121597</v>
      </c>
      <c r="I5772">
        <v>0</v>
      </c>
      <c r="J5772">
        <v>0.91853759484868902</v>
      </c>
      <c r="K5772">
        <v>0.82564184373107496</v>
      </c>
      <c r="L5772">
        <v>1671.7129256036401</v>
      </c>
      <c r="M5772">
        <v>31.363875732201901</v>
      </c>
      <c r="O5772">
        <v>53.085306063762403</v>
      </c>
      <c r="P5772">
        <v>-6.2293782839152601E-2</v>
      </c>
      <c r="Q5772">
        <v>0.57825793091447597</v>
      </c>
      <c r="R5772">
        <v>0.38659521453823897</v>
      </c>
      <c r="S5772" t="s">
        <v>12578</v>
      </c>
      <c r="T5772" t="s">
        <v>13610</v>
      </c>
      <c r="U5772" t="s">
        <v>13610</v>
      </c>
      <c r="V5772" t="s">
        <v>13610</v>
      </c>
      <c r="W5772" t="s">
        <v>19309</v>
      </c>
      <c r="X5772">
        <v>2</v>
      </c>
      <c r="Y5772" t="s">
        <v>25865</v>
      </c>
      <c r="Z5772" t="s">
        <v>32627</v>
      </c>
      <c r="AA5772">
        <v>0.76775578519584475</v>
      </c>
      <c r="AB5772" t="str">
        <f>HYPERLINK("Melting_Curves/meltCurve_Q9H582_2_ZNF644.pdf", "Melting_Curves/meltCurve_Q9H582_2_ZNF644.pdf")</f>
        <v>Melting_Curves/meltCurve_Q9H582_2_ZNF644.pdf</v>
      </c>
    </row>
    <row r="5773" spans="1:28" x14ac:dyDescent="0.25">
      <c r="A5773" t="s">
        <v>5777</v>
      </c>
      <c r="B5773">
        <v>0.995954080203443</v>
      </c>
      <c r="C5773">
        <v>0.469622086006938</v>
      </c>
      <c r="D5773">
        <v>0.21616779262133601</v>
      </c>
      <c r="E5773">
        <v>0.21363514589756499</v>
      </c>
      <c r="F5773">
        <v>0.12470463136985301</v>
      </c>
      <c r="G5773">
        <v>6.8976433730625203E-2</v>
      </c>
      <c r="H5773">
        <v>4.4517877916460898E-2</v>
      </c>
      <c r="I5773">
        <v>4.1558087613669199E-2</v>
      </c>
      <c r="J5773">
        <v>4.3577249044736602E-2</v>
      </c>
      <c r="K5773">
        <v>4.4649213025257303E-2</v>
      </c>
      <c r="L5773">
        <v>1519.56580159035</v>
      </c>
      <c r="M5773">
        <v>35.568329640299901</v>
      </c>
      <c r="N5773">
        <v>42.955938670824402</v>
      </c>
      <c r="O5773">
        <v>42.588067509612202</v>
      </c>
      <c r="P5773">
        <v>-0.19044091149522999</v>
      </c>
      <c r="Q5773">
        <v>8.7898292952754697E-2</v>
      </c>
      <c r="R5773">
        <v>0.95802902731011197</v>
      </c>
      <c r="S5773" t="s">
        <v>12579</v>
      </c>
      <c r="T5773" t="s">
        <v>13610</v>
      </c>
      <c r="U5773" t="s">
        <v>13610</v>
      </c>
      <c r="V5773" t="s">
        <v>13610</v>
      </c>
      <c r="W5773" t="s">
        <v>19310</v>
      </c>
      <c r="X5773">
        <v>7</v>
      </c>
      <c r="Y5773" t="s">
        <v>25866</v>
      </c>
      <c r="Z5773" t="s">
        <v>32628</v>
      </c>
      <c r="AA5773">
        <v>0.17667420642918741</v>
      </c>
      <c r="AB5773" t="str">
        <f>HYPERLINK("Melting_Curves/meltCurve_Q9H583_HEATR1.pdf", "Melting_Curves/meltCurve_Q9H583_HEATR1.pdf")</f>
        <v>Melting_Curves/meltCurve_Q9H583_HEATR1.pdf</v>
      </c>
    </row>
    <row r="5774" spans="1:28" x14ac:dyDescent="0.25">
      <c r="A5774" t="s">
        <v>5778</v>
      </c>
      <c r="B5774">
        <v>0.995954080203443</v>
      </c>
      <c r="C5774">
        <v>0.95830115833868901</v>
      </c>
      <c r="D5774">
        <v>1.0981018103332501</v>
      </c>
      <c r="E5774">
        <v>0.94905351415046202</v>
      </c>
      <c r="F5774">
        <v>1.0663782701086</v>
      </c>
      <c r="G5774">
        <v>0.91939422714184504</v>
      </c>
      <c r="H5774">
        <v>0.93679892466262005</v>
      </c>
      <c r="I5774">
        <v>1.1098201190032899</v>
      </c>
      <c r="J5774">
        <v>1.1616968829874601</v>
      </c>
      <c r="K5774">
        <v>1.2624722290174399</v>
      </c>
      <c r="L5774">
        <v>2622.0988199387798</v>
      </c>
      <c r="M5774">
        <v>39.868821728285603</v>
      </c>
      <c r="O5774">
        <v>65.603331975574307</v>
      </c>
      <c r="P5774">
        <v>4.1778955945066198E-2</v>
      </c>
      <c r="Q5774">
        <v>1.2749851361182001</v>
      </c>
      <c r="R5774">
        <v>0.713401194219212</v>
      </c>
      <c r="S5774" t="s">
        <v>12580</v>
      </c>
      <c r="T5774" t="s">
        <v>13610</v>
      </c>
      <c r="U5774" t="s">
        <v>13610</v>
      </c>
      <c r="V5774" t="s">
        <v>13610</v>
      </c>
      <c r="W5774" t="s">
        <v>19311</v>
      </c>
      <c r="X5774">
        <v>12</v>
      </c>
      <c r="Y5774" t="s">
        <v>25867</v>
      </c>
      <c r="Z5774" t="s">
        <v>32629</v>
      </c>
      <c r="AA5774">
        <v>1.039091569918833</v>
      </c>
      <c r="AB5774" t="str">
        <f>HYPERLINK("Melting_Curves/meltCurve_Q9H5H4_ZNF768.pdf", "Melting_Curves/meltCurve_Q9H5H4_ZNF768.pdf")</f>
        <v>Melting_Curves/meltCurve_Q9H5H4_ZNF768.pdf</v>
      </c>
    </row>
    <row r="5775" spans="1:28" x14ac:dyDescent="0.25">
      <c r="A5775" t="s">
        <v>5779</v>
      </c>
      <c r="B5775">
        <v>0.995954080203443</v>
      </c>
      <c r="C5775">
        <v>0.982642342780355</v>
      </c>
      <c r="D5775">
        <v>0.82319964694746395</v>
      </c>
      <c r="E5775">
        <v>0.773945269864591</v>
      </c>
      <c r="F5775">
        <v>0.58506661925157599</v>
      </c>
      <c r="G5775">
        <v>0.419790015120936</v>
      </c>
      <c r="H5775">
        <v>0.30069948271325603</v>
      </c>
      <c r="I5775">
        <v>0.32638421851945998</v>
      </c>
      <c r="J5775">
        <v>0.254598594969148</v>
      </c>
      <c r="K5775">
        <v>0.21757198446813</v>
      </c>
      <c r="L5775">
        <v>631.93493156807699</v>
      </c>
      <c r="M5775">
        <v>11.9478252099521</v>
      </c>
      <c r="N5775">
        <v>55.1227165296226</v>
      </c>
      <c r="O5775">
        <v>51.474842723480698</v>
      </c>
      <c r="P5775">
        <v>-4.6912606500223497E-2</v>
      </c>
      <c r="Q5775">
        <v>0.19174340044159</v>
      </c>
      <c r="R5775">
        <v>0.98816241325931997</v>
      </c>
      <c r="S5775" t="s">
        <v>12581</v>
      </c>
      <c r="T5775" t="s">
        <v>13610</v>
      </c>
      <c r="U5775" t="s">
        <v>13610</v>
      </c>
      <c r="V5775" t="s">
        <v>13610</v>
      </c>
      <c r="W5775" t="s">
        <v>19312</v>
      </c>
      <c r="X5775">
        <v>3</v>
      </c>
      <c r="Y5775" t="s">
        <v>25868</v>
      </c>
      <c r="Z5775" t="s">
        <v>32630</v>
      </c>
      <c r="AA5775">
        <v>0.56237842237504665</v>
      </c>
      <c r="AB5775" t="str">
        <f>HYPERLINK("Melting_Curves/meltCurve_Q9H5J0_ZBTB3.pdf", "Melting_Curves/meltCurve_Q9H5J0_ZBTB3.pdf")</f>
        <v>Melting_Curves/meltCurve_Q9H5J0_ZBTB3.pdf</v>
      </c>
    </row>
    <row r="5776" spans="1:28" x14ac:dyDescent="0.25">
      <c r="A5776" t="s">
        <v>5780</v>
      </c>
      <c r="B5776">
        <v>0.995954080203443</v>
      </c>
      <c r="C5776">
        <v>0.84355546572039297</v>
      </c>
      <c r="D5776">
        <v>0.74772708744803695</v>
      </c>
      <c r="E5776">
        <v>0.83961057528364702</v>
      </c>
      <c r="F5776">
        <v>0.72909179934676005</v>
      </c>
      <c r="G5776">
        <v>0.56298228782034798</v>
      </c>
      <c r="H5776">
        <v>0.54679714244272204</v>
      </c>
      <c r="I5776">
        <v>0.59415314863818702</v>
      </c>
      <c r="J5776">
        <v>0.833949455411236</v>
      </c>
      <c r="K5776">
        <v>0.60886083725212004</v>
      </c>
      <c r="L5776">
        <v>545.147742923191</v>
      </c>
      <c r="M5776">
        <v>11.950235738316101</v>
      </c>
      <c r="O5776">
        <v>44.397003276549498</v>
      </c>
      <c r="P5776">
        <v>-2.47186984871836E-2</v>
      </c>
      <c r="Q5776">
        <v>0.63275438478173696</v>
      </c>
      <c r="R5776">
        <v>0.58607257327190299</v>
      </c>
      <c r="S5776" t="s">
        <v>12582</v>
      </c>
      <c r="T5776" t="s">
        <v>13610</v>
      </c>
      <c r="U5776" t="s">
        <v>13610</v>
      </c>
      <c r="V5776" t="s">
        <v>13610</v>
      </c>
      <c r="W5776" t="s">
        <v>19313</v>
      </c>
      <c r="X5776">
        <v>1</v>
      </c>
      <c r="Y5776" t="s">
        <v>25869</v>
      </c>
      <c r="Z5776" t="s">
        <v>32631</v>
      </c>
      <c r="AA5776">
        <v>0.71895179414252852</v>
      </c>
      <c r="AB5776" t="str">
        <f>HYPERLINK("Melting_Curves/meltCurve_Q9H5J8_TAF1D.pdf", "Melting_Curves/meltCurve_Q9H5J8_TAF1D.pdf")</f>
        <v>Melting_Curves/meltCurve_Q9H5J8_TAF1D.pdf</v>
      </c>
    </row>
    <row r="5777" spans="1:28" x14ac:dyDescent="0.25">
      <c r="A5777" t="s">
        <v>5781</v>
      </c>
      <c r="B5777">
        <v>0.995954080203443</v>
      </c>
      <c r="C5777">
        <v>0.98792882220461298</v>
      </c>
      <c r="D5777">
        <v>0.89623512502156799</v>
      </c>
      <c r="E5777">
        <v>0.670116839666272</v>
      </c>
      <c r="F5777">
        <v>0.51640009794432695</v>
      </c>
      <c r="G5777">
        <v>0.35460606422158403</v>
      </c>
      <c r="H5777">
        <v>0.284002874830944</v>
      </c>
      <c r="I5777">
        <v>0.33010466223250701</v>
      </c>
      <c r="J5777">
        <v>0.41345847455722201</v>
      </c>
      <c r="K5777">
        <v>0.41728537673234201</v>
      </c>
      <c r="L5777">
        <v>1122.9556512517499</v>
      </c>
      <c r="M5777">
        <v>22.5172374902013</v>
      </c>
      <c r="N5777">
        <v>52.751138532221702</v>
      </c>
      <c r="O5777">
        <v>49.482590876620797</v>
      </c>
      <c r="P5777">
        <v>-7.3518685914286896E-2</v>
      </c>
      <c r="Q5777">
        <v>0.35377135510521601</v>
      </c>
      <c r="R5777">
        <v>0.97610029545606103</v>
      </c>
      <c r="S5777" t="s">
        <v>12583</v>
      </c>
      <c r="T5777" t="s">
        <v>13610</v>
      </c>
      <c r="U5777" t="s">
        <v>13610</v>
      </c>
      <c r="V5777" t="s">
        <v>13610</v>
      </c>
      <c r="W5777" t="s">
        <v>19314</v>
      </c>
      <c r="X5777">
        <v>27</v>
      </c>
      <c r="Y5777" t="s">
        <v>25870</v>
      </c>
      <c r="Z5777" t="s">
        <v>32632</v>
      </c>
      <c r="AA5777">
        <v>0.5735175682746444</v>
      </c>
      <c r="AB5777" t="str">
        <f>HYPERLINK("Melting_Curves/meltCurve_Q9H5N1_RABEP2.pdf", "Melting_Curves/meltCurve_Q9H5N1_RABEP2.pdf")</f>
        <v>Melting_Curves/meltCurve_Q9H5N1_RABEP2.pdf</v>
      </c>
    </row>
    <row r="5778" spans="1:28" x14ac:dyDescent="0.25">
      <c r="A5778" t="s">
        <v>5782</v>
      </c>
      <c r="B5778">
        <v>0.995954080203443</v>
      </c>
      <c r="C5778">
        <v>0.96298115976995302</v>
      </c>
      <c r="D5778">
        <v>0.82945821683413701</v>
      </c>
      <c r="E5778">
        <v>0.49930831070103998</v>
      </c>
      <c r="F5778">
        <v>8.8042460121760993E-2</v>
      </c>
      <c r="G5778">
        <v>4.2580724868063101E-2</v>
      </c>
      <c r="H5778">
        <v>2.8049043925229802E-2</v>
      </c>
      <c r="I5778">
        <v>1.45619602979477E-2</v>
      </c>
      <c r="J5778">
        <v>1.5578363334522701E-2</v>
      </c>
      <c r="K5778">
        <v>1.6205936016014302E-2</v>
      </c>
      <c r="L5778">
        <v>1272.4159242870901</v>
      </c>
      <c r="M5778">
        <v>25.709821027988902</v>
      </c>
      <c r="N5778">
        <v>49.5211121895777</v>
      </c>
      <c r="O5778">
        <v>49.194923947759797</v>
      </c>
      <c r="P5778">
        <v>-0.129655559570064</v>
      </c>
      <c r="Q5778">
        <v>7.6448004221710804E-3</v>
      </c>
      <c r="R5778">
        <v>0.99288540106693701</v>
      </c>
      <c r="S5778" t="s">
        <v>12584</v>
      </c>
      <c r="T5778" t="s">
        <v>13610</v>
      </c>
      <c r="U5778" t="s">
        <v>13610</v>
      </c>
      <c r="V5778" t="s">
        <v>13610</v>
      </c>
      <c r="W5778" t="s">
        <v>19315</v>
      </c>
      <c r="X5778">
        <v>6</v>
      </c>
      <c r="Y5778" t="s">
        <v>25871</v>
      </c>
      <c r="Z5778" t="s">
        <v>32633</v>
      </c>
      <c r="AA5778">
        <v>0.32994501155792227</v>
      </c>
      <c r="AB5778" t="str">
        <f>HYPERLINK("Melting_Curves/meltCurve_Q9H5Q4_TFB2M.pdf", "Melting_Curves/meltCurve_Q9H5Q4_TFB2M.pdf")</f>
        <v>Melting_Curves/meltCurve_Q9H5Q4_TFB2M.pdf</v>
      </c>
    </row>
    <row r="5779" spans="1:28" x14ac:dyDescent="0.25">
      <c r="A5779" t="s">
        <v>5783</v>
      </c>
      <c r="B5779">
        <v>0.995954080203443</v>
      </c>
      <c r="C5779">
        <v>0.82593518614027805</v>
      </c>
      <c r="D5779">
        <v>0.78979225010699505</v>
      </c>
      <c r="E5779">
        <v>0.63143942110656404</v>
      </c>
      <c r="F5779">
        <v>0.45897461593160399</v>
      </c>
      <c r="G5779">
        <v>0.245309568483422</v>
      </c>
      <c r="H5779">
        <v>0.19241926827726499</v>
      </c>
      <c r="I5779">
        <v>0.22410351123769201</v>
      </c>
      <c r="J5779">
        <v>0.251360027520247</v>
      </c>
      <c r="K5779">
        <v>0.22564257599271301</v>
      </c>
      <c r="L5779">
        <v>642.49149452691995</v>
      </c>
      <c r="M5779">
        <v>12.902907640787101</v>
      </c>
      <c r="N5779">
        <v>51.5525649129196</v>
      </c>
      <c r="O5779">
        <v>48.643757086904202</v>
      </c>
      <c r="P5779">
        <v>-5.4519276933607898E-2</v>
      </c>
      <c r="Q5779">
        <v>0.17800237154680901</v>
      </c>
      <c r="R5779">
        <v>0.97405437757499702</v>
      </c>
      <c r="S5779" t="s">
        <v>12585</v>
      </c>
      <c r="T5779" t="s">
        <v>13610</v>
      </c>
      <c r="U5779" t="s">
        <v>13610</v>
      </c>
      <c r="V5779" t="s">
        <v>13610</v>
      </c>
      <c r="W5779" t="s">
        <v>19316</v>
      </c>
      <c r="X5779">
        <v>3</v>
      </c>
      <c r="Y5779" t="s">
        <v>25872</v>
      </c>
      <c r="Z5779" t="s">
        <v>32634</v>
      </c>
      <c r="AA5779">
        <v>0.47196840123221478</v>
      </c>
      <c r="AB5779" t="str">
        <f>HYPERLINK("Melting_Curves/meltCurve_Q9H5V7_IKZF5.pdf", "Melting_Curves/meltCurve_Q9H5V7_IKZF5.pdf")</f>
        <v>Melting_Curves/meltCurve_Q9H5V7_IKZF5.pdf</v>
      </c>
    </row>
    <row r="5780" spans="1:28" x14ac:dyDescent="0.25">
      <c r="A5780" t="s">
        <v>5784</v>
      </c>
      <c r="B5780">
        <v>0.995954080203443</v>
      </c>
      <c r="C5780">
        <v>1.0652489760650301</v>
      </c>
      <c r="D5780">
        <v>0.98593192041700195</v>
      </c>
      <c r="E5780">
        <v>0.89174317406200798</v>
      </c>
      <c r="F5780">
        <v>0.65065587369785205</v>
      </c>
      <c r="G5780">
        <v>0.39714864448272102</v>
      </c>
      <c r="H5780">
        <v>0.32366569290089803</v>
      </c>
      <c r="I5780">
        <v>0.358374002339997</v>
      </c>
      <c r="J5780">
        <v>0.44181041622563</v>
      </c>
      <c r="K5780">
        <v>0.439611254945106</v>
      </c>
      <c r="L5780">
        <v>1881.08670404036</v>
      </c>
      <c r="M5780">
        <v>35.8748285763604</v>
      </c>
      <c r="N5780">
        <v>54.6907964572409</v>
      </c>
      <c r="O5780">
        <v>52.2725988138152</v>
      </c>
      <c r="P5780">
        <v>-0.10531892985951501</v>
      </c>
      <c r="Q5780">
        <v>0.38616835970790903</v>
      </c>
      <c r="R5780">
        <v>0.97944145852012099</v>
      </c>
      <c r="S5780" t="s">
        <v>12586</v>
      </c>
      <c r="T5780" t="s">
        <v>13610</v>
      </c>
      <c r="U5780" t="s">
        <v>13610</v>
      </c>
      <c r="V5780" t="s">
        <v>13610</v>
      </c>
      <c r="W5780" t="s">
        <v>19317</v>
      </c>
      <c r="X5780">
        <v>7</v>
      </c>
      <c r="Y5780" t="s">
        <v>25873</v>
      </c>
      <c r="Z5780" t="s">
        <v>32635</v>
      </c>
      <c r="AA5780">
        <v>0.64336172005298164</v>
      </c>
      <c r="AB5780" t="str">
        <f>HYPERLINK("Melting_Curves/meltCurve_Q9H5V9_2_CXorf56.pdf", "Melting_Curves/meltCurve_Q9H5V9_2_CXorf56.pdf")</f>
        <v>Melting_Curves/meltCurve_Q9H5V9_2_CXorf56.pdf</v>
      </c>
    </row>
    <row r="5781" spans="1:28" x14ac:dyDescent="0.25">
      <c r="A5781" t="s">
        <v>5785</v>
      </c>
      <c r="B5781">
        <v>0.995954080203443</v>
      </c>
      <c r="C5781">
        <v>1.0021786633258201</v>
      </c>
      <c r="D5781">
        <v>0.91527468736457995</v>
      </c>
      <c r="E5781">
        <v>0.87209744726537397</v>
      </c>
      <c r="F5781">
        <v>0.74160968488661305</v>
      </c>
      <c r="G5781">
        <v>0.53467837281022901</v>
      </c>
      <c r="H5781">
        <v>0.32763629123209798</v>
      </c>
      <c r="I5781">
        <v>0.24293793478025999</v>
      </c>
      <c r="J5781">
        <v>0.16482484698734101</v>
      </c>
      <c r="K5781">
        <v>0.102158127709904</v>
      </c>
      <c r="L5781">
        <v>684.92389113045499</v>
      </c>
      <c r="M5781">
        <v>11.886564930247401</v>
      </c>
      <c r="N5781">
        <v>57.621672393999603</v>
      </c>
      <c r="O5781">
        <v>56.063403438400101</v>
      </c>
      <c r="P5781">
        <v>-5.3018266167858999E-2</v>
      </c>
      <c r="Q5781">
        <v>0</v>
      </c>
      <c r="R5781">
        <v>0.998037229349093</v>
      </c>
      <c r="S5781" t="s">
        <v>12587</v>
      </c>
      <c r="T5781" t="s">
        <v>13610</v>
      </c>
      <c r="U5781" t="s">
        <v>13610</v>
      </c>
      <c r="V5781" t="s">
        <v>13610</v>
      </c>
      <c r="W5781" t="s">
        <v>19318</v>
      </c>
      <c r="X5781">
        <v>3</v>
      </c>
      <c r="Y5781" t="s">
        <v>25874</v>
      </c>
      <c r="Z5781" t="s">
        <v>32636</v>
      </c>
      <c r="AA5781">
        <v>0.60166649143977269</v>
      </c>
      <c r="AB5781" t="str">
        <f>HYPERLINK("Melting_Curves/meltCurve_Q9H5X1_FAM96A.pdf", "Melting_Curves/meltCurve_Q9H5X1_FAM96A.pdf")</f>
        <v>Melting_Curves/meltCurve_Q9H5X1_FAM96A.pdf</v>
      </c>
    </row>
    <row r="5782" spans="1:28" x14ac:dyDescent="0.25">
      <c r="A5782" t="s">
        <v>5786</v>
      </c>
      <c r="B5782">
        <v>0.995954080203443</v>
      </c>
      <c r="C5782">
        <v>0.84227728703517801</v>
      </c>
      <c r="D5782">
        <v>0.41855679735433599</v>
      </c>
      <c r="E5782">
        <v>0.27287692504141903</v>
      </c>
      <c r="F5782">
        <v>0.19927011011899701</v>
      </c>
      <c r="G5782">
        <v>8.5402063682163895E-2</v>
      </c>
      <c r="H5782">
        <v>7.3957458186698702E-2</v>
      </c>
      <c r="I5782">
        <v>8.0650983087606501E-2</v>
      </c>
      <c r="J5782">
        <v>5.6772351619210099E-2</v>
      </c>
      <c r="K5782">
        <v>8.8728924847946603E-2</v>
      </c>
      <c r="L5782">
        <v>940.02669657747504</v>
      </c>
      <c r="M5782">
        <v>20.644631278354598</v>
      </c>
      <c r="N5782">
        <v>45.968201810006001</v>
      </c>
      <c r="O5782">
        <v>45.112940070455998</v>
      </c>
      <c r="P5782">
        <v>-0.10426772406299301</v>
      </c>
      <c r="Q5782">
        <v>8.8637087341044293E-2</v>
      </c>
      <c r="R5782">
        <v>0.98146077404797805</v>
      </c>
      <c r="S5782" t="s">
        <v>12588</v>
      </c>
      <c r="T5782" t="s">
        <v>13610</v>
      </c>
      <c r="U5782" t="s">
        <v>13610</v>
      </c>
      <c r="V5782" t="s">
        <v>13610</v>
      </c>
      <c r="W5782" t="s">
        <v>19319</v>
      </c>
      <c r="X5782">
        <v>1</v>
      </c>
      <c r="Y5782" t="s">
        <v>25875</v>
      </c>
      <c r="Z5782" t="s">
        <v>32637</v>
      </c>
      <c r="AA5782">
        <v>0.27032698983655551</v>
      </c>
      <c r="AB5782" t="str">
        <f>HYPERLINK("Melting_Curves/meltCurve_Q9H5Z1_2_DHX35.pdf", "Melting_Curves/meltCurve_Q9H5Z1_2_DHX35.pdf")</f>
        <v>Melting_Curves/meltCurve_Q9H5Z1_2_DHX35.pdf</v>
      </c>
    </row>
    <row r="5783" spans="1:28" x14ac:dyDescent="0.25">
      <c r="A5783" t="s">
        <v>5787</v>
      </c>
      <c r="B5783">
        <v>0.995954080203443</v>
      </c>
      <c r="C5783">
        <v>0.49516772804426301</v>
      </c>
      <c r="D5783">
        <v>0.341094258851459</v>
      </c>
      <c r="E5783">
        <v>0.34409811112963701</v>
      </c>
      <c r="F5783">
        <v>0.27347040579357201</v>
      </c>
      <c r="G5783">
        <v>0.134429834261626</v>
      </c>
      <c r="H5783">
        <v>8.9665216288490404E-2</v>
      </c>
      <c r="I5783">
        <v>0.101052100739133</v>
      </c>
      <c r="J5783">
        <v>0.124180153175607</v>
      </c>
      <c r="K5783">
        <v>0.101405859050591</v>
      </c>
      <c r="L5783">
        <v>791.20493530851104</v>
      </c>
      <c r="M5783">
        <v>18.239417184268</v>
      </c>
      <c r="N5783">
        <v>44.182770532212203</v>
      </c>
      <c r="O5783">
        <v>42.867495022576698</v>
      </c>
      <c r="P5783">
        <v>-9.1354447542801795E-2</v>
      </c>
      <c r="Q5783">
        <v>0.141211014876198</v>
      </c>
      <c r="R5783">
        <v>0.89877103755453003</v>
      </c>
      <c r="S5783" t="s">
        <v>12589</v>
      </c>
      <c r="T5783" t="s">
        <v>13610</v>
      </c>
      <c r="U5783" t="s">
        <v>13610</v>
      </c>
      <c r="V5783" t="s">
        <v>13610</v>
      </c>
      <c r="W5783" t="s">
        <v>19320</v>
      </c>
      <c r="X5783">
        <v>1</v>
      </c>
      <c r="Y5783" t="s">
        <v>25876</v>
      </c>
      <c r="Z5783" t="s">
        <v>32638</v>
      </c>
      <c r="AA5783">
        <v>0.26076757933287908</v>
      </c>
      <c r="AB5783" t="str">
        <f>HYPERLINK("Melting_Curves/meltCurve_Q9H633_3_RPP21.pdf", "Melting_Curves/meltCurve_Q9H633_3_RPP21.pdf")</f>
        <v>Melting_Curves/meltCurve_Q9H633_3_RPP21.pdf</v>
      </c>
    </row>
    <row r="5784" spans="1:28" x14ac:dyDescent="0.25">
      <c r="A5784" t="s">
        <v>5788</v>
      </c>
      <c r="B5784">
        <v>0.995954080203443</v>
      </c>
      <c r="C5784">
        <v>1.02857792487607</v>
      </c>
      <c r="D5784">
        <v>0.96515040068769997</v>
      </c>
      <c r="E5784">
        <v>0.86698121805846495</v>
      </c>
      <c r="F5784">
        <v>0.79983425865014901</v>
      </c>
      <c r="G5784">
        <v>0.59587208993241603</v>
      </c>
      <c r="H5784">
        <v>0.51160064136609296</v>
      </c>
      <c r="I5784">
        <v>0.55775928777360295</v>
      </c>
      <c r="J5784">
        <v>0.591648199286122</v>
      </c>
      <c r="K5784">
        <v>0.62518405456148296</v>
      </c>
      <c r="L5784">
        <v>1287.5744042065401</v>
      </c>
      <c r="M5784">
        <v>24.545292762008302</v>
      </c>
      <c r="O5784">
        <v>52.112606346936602</v>
      </c>
      <c r="P5784">
        <v>-5.1146231013042602E-2</v>
      </c>
      <c r="Q5784">
        <v>0.56564789726840203</v>
      </c>
      <c r="R5784">
        <v>0.96170278524896802</v>
      </c>
      <c r="S5784" t="s">
        <v>12590</v>
      </c>
      <c r="T5784" t="s">
        <v>13610</v>
      </c>
      <c r="U5784" t="s">
        <v>13610</v>
      </c>
      <c r="V5784" t="s">
        <v>13610</v>
      </c>
      <c r="W5784" t="s">
        <v>19321</v>
      </c>
      <c r="X5784">
        <v>3</v>
      </c>
      <c r="Y5784" t="s">
        <v>25877</v>
      </c>
      <c r="Z5784" t="s">
        <v>32639</v>
      </c>
      <c r="AA5784">
        <v>0.7501298245968856</v>
      </c>
      <c r="AB5784" t="str">
        <f>HYPERLINK("Melting_Curves/meltCurve_Q9H6A9_2_PCNXL3.pdf", "Melting_Curves/meltCurve_Q9H6A9_2_PCNXL3.pdf")</f>
        <v>Melting_Curves/meltCurve_Q9H6A9_2_PCNXL3.pdf</v>
      </c>
    </row>
    <row r="5785" spans="1:28" x14ac:dyDescent="0.25">
      <c r="A5785" t="s">
        <v>5789</v>
      </c>
      <c r="B5785">
        <v>0.995954080203443</v>
      </c>
      <c r="C5785">
        <v>0.88242405057421103</v>
      </c>
      <c r="D5785">
        <v>0.65675494409561896</v>
      </c>
      <c r="E5785">
        <v>0.33245363781847798</v>
      </c>
      <c r="F5785">
        <v>0.187284571444535</v>
      </c>
      <c r="G5785">
        <v>0.11837296257122799</v>
      </c>
      <c r="H5785">
        <v>8.6133748437448407E-2</v>
      </c>
      <c r="I5785">
        <v>8.0558295931390203E-2</v>
      </c>
      <c r="J5785">
        <v>9.58381398881826E-2</v>
      </c>
      <c r="K5785">
        <v>8.3215611837205994E-2</v>
      </c>
      <c r="L5785">
        <v>896.46808730806504</v>
      </c>
      <c r="M5785">
        <v>18.942332333572399</v>
      </c>
      <c r="N5785">
        <v>47.7728447954836</v>
      </c>
      <c r="O5785">
        <v>46.8081823793</v>
      </c>
      <c r="P5785">
        <v>-9.2963292972671405E-2</v>
      </c>
      <c r="Q5785">
        <v>8.11549184796682E-2</v>
      </c>
      <c r="R5785">
        <v>0.99922021098249603</v>
      </c>
      <c r="S5785" t="s">
        <v>12591</v>
      </c>
      <c r="T5785" t="s">
        <v>13610</v>
      </c>
      <c r="U5785" t="s">
        <v>13610</v>
      </c>
      <c r="V5785" t="s">
        <v>13610</v>
      </c>
      <c r="W5785" t="s">
        <v>19322</v>
      </c>
      <c r="X5785">
        <v>12</v>
      </c>
      <c r="Y5785" t="s">
        <v>25878</v>
      </c>
      <c r="Z5785" t="s">
        <v>32640</v>
      </c>
      <c r="AA5785">
        <v>0.3205021006420547</v>
      </c>
      <c r="AB5785" t="str">
        <f>HYPERLINK("Melting_Curves/meltCurve_Q9H6D7_HAUS4.pdf", "Melting_Curves/meltCurve_Q9H6D7_HAUS4.pdf")</f>
        <v>Melting_Curves/meltCurve_Q9H6D7_HAUS4.pdf</v>
      </c>
    </row>
    <row r="5786" spans="1:28" x14ac:dyDescent="0.25">
      <c r="A5786" t="s">
        <v>5790</v>
      </c>
      <c r="B5786">
        <v>0.995954080203443</v>
      </c>
      <c r="C5786">
        <v>1.0138609330168</v>
      </c>
      <c r="D5786">
        <v>0.972907565937284</v>
      </c>
      <c r="E5786">
        <v>0.77036637608104597</v>
      </c>
      <c r="F5786">
        <v>0.33797347282954698</v>
      </c>
      <c r="G5786">
        <v>0.19903181340953299</v>
      </c>
      <c r="H5786">
        <v>0.13157434460907899</v>
      </c>
      <c r="I5786">
        <v>0.10302131080946</v>
      </c>
      <c r="J5786">
        <v>9.8992228810996105E-2</v>
      </c>
      <c r="K5786">
        <v>0.10640630137941499</v>
      </c>
      <c r="L5786">
        <v>1723.75784518807</v>
      </c>
      <c r="M5786">
        <v>33.502110593659999</v>
      </c>
      <c r="N5786">
        <v>51.866186073184103</v>
      </c>
      <c r="O5786">
        <v>51.2699160904561</v>
      </c>
      <c r="P5786">
        <v>-0.144197936325413</v>
      </c>
      <c r="Q5786">
        <v>0.11731085664039501</v>
      </c>
      <c r="R5786">
        <v>0.99728067370503004</v>
      </c>
      <c r="S5786" t="s">
        <v>12592</v>
      </c>
      <c r="T5786" t="s">
        <v>13610</v>
      </c>
      <c r="U5786" t="s">
        <v>13610</v>
      </c>
      <c r="V5786" t="s">
        <v>13610</v>
      </c>
      <c r="W5786" t="s">
        <v>19323</v>
      </c>
      <c r="X5786">
        <v>4</v>
      </c>
      <c r="Y5786" t="s">
        <v>25879</v>
      </c>
      <c r="Z5786" t="s">
        <v>32641</v>
      </c>
      <c r="AA5786">
        <v>0.45875170948752031</v>
      </c>
      <c r="AB5786" t="str">
        <f>HYPERLINK("Melting_Curves/meltCurve_Q9H6E4_CCDC134.pdf", "Melting_Curves/meltCurve_Q9H6E4_CCDC134.pdf")</f>
        <v>Melting_Curves/meltCurve_Q9H6E4_CCDC134.pdf</v>
      </c>
    </row>
    <row r="5787" spans="1:28" x14ac:dyDescent="0.25">
      <c r="A5787" t="s">
        <v>5791</v>
      </c>
      <c r="B5787">
        <v>0.995954080203443</v>
      </c>
      <c r="C5787">
        <v>0.80342519451438099</v>
      </c>
      <c r="D5787">
        <v>0.55152927106502603</v>
      </c>
      <c r="E5787">
        <v>0.248516925495751</v>
      </c>
      <c r="F5787">
        <v>0.120689451001466</v>
      </c>
      <c r="G5787">
        <v>7.8157053620253797E-2</v>
      </c>
      <c r="H5787">
        <v>5.6074035730556103E-2</v>
      </c>
      <c r="I5787">
        <v>5.2431583037053198E-2</v>
      </c>
      <c r="J5787">
        <v>5.5706285245004102E-2</v>
      </c>
      <c r="K5787">
        <v>5.25831330021716E-2</v>
      </c>
      <c r="L5787">
        <v>874.41975665688096</v>
      </c>
      <c r="M5787">
        <v>18.896447802099601</v>
      </c>
      <c r="N5787">
        <v>46.533066680341399</v>
      </c>
      <c r="O5787">
        <v>45.7654185409965</v>
      </c>
      <c r="P5787">
        <v>-9.8080119729422904E-2</v>
      </c>
      <c r="Q5787">
        <v>4.98758467204031E-2</v>
      </c>
      <c r="R5787">
        <v>0.997770355469913</v>
      </c>
      <c r="S5787" t="s">
        <v>12593</v>
      </c>
      <c r="T5787" t="s">
        <v>13610</v>
      </c>
      <c r="U5787" t="s">
        <v>13610</v>
      </c>
      <c r="V5787" t="s">
        <v>13610</v>
      </c>
      <c r="W5787" t="s">
        <v>19324</v>
      </c>
      <c r="X5787">
        <v>15</v>
      </c>
      <c r="Y5787" t="s">
        <v>25880</v>
      </c>
      <c r="Z5787" t="s">
        <v>32642</v>
      </c>
      <c r="AA5787">
        <v>0.26498831532686079</v>
      </c>
      <c r="AB5787" t="str">
        <f>HYPERLINK("Melting_Curves/meltCurve_Q9H6E5_TUT1.pdf", "Melting_Curves/meltCurve_Q9H6E5_TUT1.pdf")</f>
        <v>Melting_Curves/meltCurve_Q9H6E5_TUT1.pdf</v>
      </c>
    </row>
    <row r="5788" spans="1:28" x14ac:dyDescent="0.25">
      <c r="A5788" t="s">
        <v>5792</v>
      </c>
      <c r="B5788">
        <v>0.995954080203443</v>
      </c>
      <c r="C5788">
        <v>0.92476088385696698</v>
      </c>
      <c r="D5788">
        <v>1.06283468517928</v>
      </c>
      <c r="E5788">
        <v>0.88066473463374995</v>
      </c>
      <c r="F5788">
        <v>0.98467849707571997</v>
      </c>
      <c r="G5788">
        <v>0.87840819877402498</v>
      </c>
      <c r="H5788">
        <v>0.92051533618165704</v>
      </c>
      <c r="I5788">
        <v>1.2271103075954599</v>
      </c>
      <c r="J5788">
        <v>1.3866265807489699</v>
      </c>
      <c r="K5788">
        <v>1.4210132445932699</v>
      </c>
      <c r="L5788">
        <v>15000</v>
      </c>
      <c r="M5788">
        <v>234.62584003474501</v>
      </c>
      <c r="O5788">
        <v>63.926934273044097</v>
      </c>
      <c r="P5788">
        <v>0.37053202166253901</v>
      </c>
      <c r="Q5788">
        <v>1.4038255194956999</v>
      </c>
      <c r="R5788">
        <v>0.87850304749698704</v>
      </c>
      <c r="S5788" t="s">
        <v>12594</v>
      </c>
      <c r="T5788" t="s">
        <v>13610</v>
      </c>
      <c r="U5788" t="s">
        <v>13610</v>
      </c>
      <c r="V5788" t="s">
        <v>13610</v>
      </c>
      <c r="W5788" t="s">
        <v>19325</v>
      </c>
      <c r="X5788">
        <v>11</v>
      </c>
      <c r="Y5788" t="s">
        <v>25881</v>
      </c>
      <c r="Z5788" t="s">
        <v>32643</v>
      </c>
      <c r="AA5788">
        <v>1.0816346905971039</v>
      </c>
      <c r="AB5788" t="str">
        <f>HYPERLINK("Melting_Curves/meltCurve_Q9H6F5_CCDC86.pdf", "Melting_Curves/meltCurve_Q9H6F5_CCDC86.pdf")</f>
        <v>Melting_Curves/meltCurve_Q9H6F5_CCDC86.pdf</v>
      </c>
    </row>
    <row r="5789" spans="1:28" x14ac:dyDescent="0.25">
      <c r="A5789" t="s">
        <v>5793</v>
      </c>
      <c r="B5789">
        <v>0.995954080203443</v>
      </c>
      <c r="C5789">
        <v>0.97643518965947795</v>
      </c>
      <c r="D5789">
        <v>0.91689355466804701</v>
      </c>
      <c r="E5789">
        <v>0.86887935832527197</v>
      </c>
      <c r="F5789">
        <v>0.80259194597535799</v>
      </c>
      <c r="G5789">
        <v>0.53980339851394898</v>
      </c>
      <c r="H5789">
        <v>0.44467161136342198</v>
      </c>
      <c r="I5789">
        <v>0.51703875357856799</v>
      </c>
      <c r="J5789">
        <v>0.60425202172522896</v>
      </c>
      <c r="K5789">
        <v>0.53252621171709902</v>
      </c>
      <c r="L5789">
        <v>1328.2075422677899</v>
      </c>
      <c r="M5789">
        <v>25.167229499697399</v>
      </c>
      <c r="O5789">
        <v>52.445460218450499</v>
      </c>
      <c r="P5789">
        <v>-5.8112236283755399E-2</v>
      </c>
      <c r="Q5789">
        <v>0.51561091148181104</v>
      </c>
      <c r="R5789">
        <v>0.93358633265056501</v>
      </c>
      <c r="S5789" t="s">
        <v>12595</v>
      </c>
      <c r="T5789" t="s">
        <v>13610</v>
      </c>
      <c r="U5789" t="s">
        <v>13610</v>
      </c>
      <c r="V5789" t="s">
        <v>13610</v>
      </c>
      <c r="W5789" t="s">
        <v>19326</v>
      </c>
      <c r="X5789">
        <v>3</v>
      </c>
      <c r="Y5789" t="s">
        <v>25882</v>
      </c>
      <c r="Z5789" t="s">
        <v>32644</v>
      </c>
      <c r="AA5789">
        <v>0.72628108762747501</v>
      </c>
      <c r="AB5789" t="str">
        <f>HYPERLINK("Melting_Curves/meltCurve_Q9H6H4_REEP4.pdf", "Melting_Curves/meltCurve_Q9H6H4_REEP4.pdf")</f>
        <v>Melting_Curves/meltCurve_Q9H6H4_REEP4.pdf</v>
      </c>
    </row>
    <row r="5790" spans="1:28" x14ac:dyDescent="0.25">
      <c r="A5790" t="s">
        <v>5794</v>
      </c>
      <c r="B5790">
        <v>0.995954080203443</v>
      </c>
      <c r="C5790">
        <v>1.0101449766596799</v>
      </c>
      <c r="D5790">
        <v>0.96157614221603005</v>
      </c>
      <c r="E5790">
        <v>0.80627355141546098</v>
      </c>
      <c r="F5790">
        <v>0.54763319729169602</v>
      </c>
      <c r="G5790">
        <v>0.336728299013143</v>
      </c>
      <c r="H5790">
        <v>0.32460584450535901</v>
      </c>
      <c r="I5790">
        <v>0.379910264365586</v>
      </c>
      <c r="J5790">
        <v>0.49723218404637598</v>
      </c>
      <c r="K5790">
        <v>0.45027145701587501</v>
      </c>
      <c r="L5790">
        <v>1847.311054085</v>
      </c>
      <c r="M5790">
        <v>36.157669953469799</v>
      </c>
      <c r="N5790">
        <v>53.436781450304103</v>
      </c>
      <c r="O5790">
        <v>50.934915392900201</v>
      </c>
      <c r="P5790">
        <v>-0.106873481311412</v>
      </c>
      <c r="Q5790">
        <v>0.39779587164279101</v>
      </c>
      <c r="R5790">
        <v>0.96442494408805701</v>
      </c>
      <c r="S5790" t="s">
        <v>12596</v>
      </c>
      <c r="T5790" t="s">
        <v>13610</v>
      </c>
      <c r="U5790" t="s">
        <v>13610</v>
      </c>
      <c r="V5790" t="s">
        <v>13610</v>
      </c>
      <c r="W5790" t="s">
        <v>19327</v>
      </c>
      <c r="X5790">
        <v>6</v>
      </c>
      <c r="Y5790" t="s">
        <v>25883</v>
      </c>
      <c r="Z5790" t="s">
        <v>32645</v>
      </c>
      <c r="AA5790">
        <v>0.62302547413877352</v>
      </c>
      <c r="AB5790" t="str">
        <f>HYPERLINK("Melting_Curves/meltCurve_Q9H6K1_C6orf106.pdf", "Melting_Curves/meltCurve_Q9H6K1_C6orf106.pdf")</f>
        <v>Melting_Curves/meltCurve_Q9H6K1_C6orf106.pdf</v>
      </c>
    </row>
    <row r="5791" spans="1:28" x14ac:dyDescent="0.25">
      <c r="A5791" t="s">
        <v>5795</v>
      </c>
      <c r="B5791">
        <v>0.995954080203443</v>
      </c>
      <c r="C5791">
        <v>1.4421340364448401</v>
      </c>
      <c r="D5791">
        <v>0.99537397520858495</v>
      </c>
      <c r="E5791">
        <v>0.94566961448284403</v>
      </c>
      <c r="F5791">
        <v>0.80846686636447995</v>
      </c>
      <c r="G5791">
        <v>0.49941345376344298</v>
      </c>
      <c r="H5791">
        <v>0.15487091374579601</v>
      </c>
      <c r="I5791">
        <v>0</v>
      </c>
      <c r="J5791">
        <v>0</v>
      </c>
      <c r="K5791">
        <v>0</v>
      </c>
      <c r="L5791">
        <v>1385.7596746750401</v>
      </c>
      <c r="M5791">
        <v>24.4490337069284</v>
      </c>
      <c r="N5791">
        <v>56.679528463552003</v>
      </c>
      <c r="O5791">
        <v>56.304429241626202</v>
      </c>
      <c r="P5791">
        <v>-0.108558938620404</v>
      </c>
      <c r="Q5791">
        <v>0</v>
      </c>
      <c r="R5791">
        <v>0.91802185170120498</v>
      </c>
      <c r="S5791" t="s">
        <v>12597</v>
      </c>
      <c r="T5791" t="s">
        <v>13610</v>
      </c>
      <c r="U5791" t="s">
        <v>13610</v>
      </c>
      <c r="V5791" t="s">
        <v>13610</v>
      </c>
      <c r="W5791" t="s">
        <v>19328</v>
      </c>
      <c r="X5791">
        <v>2</v>
      </c>
      <c r="Y5791" t="s">
        <v>25884</v>
      </c>
      <c r="Z5791" t="s">
        <v>32646</v>
      </c>
      <c r="AA5791">
        <v>0.56538402796840737</v>
      </c>
      <c r="AB5791" t="str">
        <f>HYPERLINK("Melting_Curves/meltCurve_Q9H6L4_ARMC7.pdf", "Melting_Curves/meltCurve_Q9H6L4_ARMC7.pdf")</f>
        <v>Melting_Curves/meltCurve_Q9H6L4_ARMC7.pdf</v>
      </c>
    </row>
    <row r="5792" spans="1:28" x14ac:dyDescent="0.25">
      <c r="A5792" t="s">
        <v>5796</v>
      </c>
      <c r="B5792">
        <v>0.995954080203443</v>
      </c>
      <c r="C5792">
        <v>0.89625406043900402</v>
      </c>
      <c r="D5792">
        <v>0.79690750326422399</v>
      </c>
      <c r="E5792">
        <v>0.67175492676744197</v>
      </c>
      <c r="F5792">
        <v>0.38167296735205603</v>
      </c>
      <c r="G5792">
        <v>0.18435678243422199</v>
      </c>
      <c r="H5792">
        <v>0.107809025363032</v>
      </c>
      <c r="I5792">
        <v>0.10394396956577601</v>
      </c>
      <c r="J5792">
        <v>0.101879026058061</v>
      </c>
      <c r="K5792">
        <v>9.7968610040924595E-2</v>
      </c>
      <c r="L5792">
        <v>755.333117534797</v>
      </c>
      <c r="M5792">
        <v>14.8220115880544</v>
      </c>
      <c r="N5792">
        <v>51.389078889051</v>
      </c>
      <c r="O5792">
        <v>50.059588529663799</v>
      </c>
      <c r="P5792">
        <v>-6.9723081896636896E-2</v>
      </c>
      <c r="Q5792">
        <v>5.81739032071905E-2</v>
      </c>
      <c r="R5792">
        <v>0.98901511642976603</v>
      </c>
      <c r="S5792" t="s">
        <v>12598</v>
      </c>
      <c r="T5792" t="s">
        <v>13610</v>
      </c>
      <c r="U5792" t="s">
        <v>13610</v>
      </c>
      <c r="V5792" t="s">
        <v>13610</v>
      </c>
      <c r="W5792" t="s">
        <v>19329</v>
      </c>
      <c r="X5792">
        <v>13</v>
      </c>
      <c r="Y5792" t="s">
        <v>25885</v>
      </c>
      <c r="Z5792" t="s">
        <v>32647</v>
      </c>
      <c r="AA5792">
        <v>0.42448383290508063</v>
      </c>
      <c r="AB5792" t="str">
        <f>HYPERLINK("Melting_Curves/meltCurve_Q9H6Q4_NARFL.pdf", "Melting_Curves/meltCurve_Q9H6Q4_NARFL.pdf")</f>
        <v>Melting_Curves/meltCurve_Q9H6Q4_NARFL.pdf</v>
      </c>
    </row>
    <row r="5793" spans="1:28" x14ac:dyDescent="0.25">
      <c r="A5793" t="s">
        <v>5797</v>
      </c>
      <c r="B5793">
        <v>0.995954080203443</v>
      </c>
      <c r="C5793">
        <v>0.86509085048613799</v>
      </c>
      <c r="D5793">
        <v>0.91408913067176001</v>
      </c>
      <c r="E5793">
        <v>0.74382947396215304</v>
      </c>
      <c r="F5793">
        <v>0.92585734793206798</v>
      </c>
      <c r="G5793">
        <v>0.80929892642259604</v>
      </c>
      <c r="H5793">
        <v>0.85478199029618196</v>
      </c>
      <c r="I5793">
        <v>1.1296061422383801</v>
      </c>
      <c r="J5793">
        <v>1.22359441559954</v>
      </c>
      <c r="K5793">
        <v>1.3151398454735399</v>
      </c>
      <c r="L5793">
        <v>15000</v>
      </c>
      <c r="M5793">
        <v>234.299358412955</v>
      </c>
      <c r="O5793">
        <v>64.015997587718005</v>
      </c>
      <c r="P5793">
        <v>0.24647784809449599</v>
      </c>
      <c r="Q5793">
        <v>1.26937376876469</v>
      </c>
      <c r="R5793">
        <v>0.49776342529712703</v>
      </c>
      <c r="S5793" t="s">
        <v>12599</v>
      </c>
      <c r="T5793" t="s">
        <v>13610</v>
      </c>
      <c r="U5793" t="s">
        <v>13610</v>
      </c>
      <c r="V5793" t="s">
        <v>13610</v>
      </c>
      <c r="W5793" t="s">
        <v>19330</v>
      </c>
      <c r="X5793">
        <v>9</v>
      </c>
      <c r="Y5793" t="s">
        <v>25886</v>
      </c>
      <c r="Z5793" t="s">
        <v>32648</v>
      </c>
      <c r="AA5793">
        <v>1.053654769505852</v>
      </c>
      <c r="AB5793" t="str">
        <f>HYPERLINK("Melting_Curves/meltCurve_Q9H6R4_4_NOL6.pdf", "Melting_Curves/meltCurve_Q9H6R4_4_NOL6.pdf")</f>
        <v>Melting_Curves/meltCurve_Q9H6R4_4_NOL6.pdf</v>
      </c>
    </row>
    <row r="5794" spans="1:28" x14ac:dyDescent="0.25">
      <c r="A5794" t="s">
        <v>5798</v>
      </c>
      <c r="B5794">
        <v>0.995954080203443</v>
      </c>
      <c r="C5794">
        <v>0.98345311362208199</v>
      </c>
      <c r="D5794">
        <v>0.90209170819446005</v>
      </c>
      <c r="E5794">
        <v>0.84254095783900995</v>
      </c>
      <c r="F5794">
        <v>0.72184242145906996</v>
      </c>
      <c r="G5794">
        <v>0.50930234368351002</v>
      </c>
      <c r="H5794">
        <v>0.407953519975433</v>
      </c>
      <c r="I5794">
        <v>0.40011069051771803</v>
      </c>
      <c r="J5794">
        <v>0.367858532254631</v>
      </c>
      <c r="K5794">
        <v>0.23759421975894501</v>
      </c>
      <c r="L5794">
        <v>633.28835082587102</v>
      </c>
      <c r="M5794">
        <v>11.4636303458096</v>
      </c>
      <c r="N5794">
        <v>58.350255250877296</v>
      </c>
      <c r="O5794">
        <v>53.642381040846999</v>
      </c>
      <c r="P5794">
        <v>-4.1233632510064601E-2</v>
      </c>
      <c r="Q5794">
        <v>0.22843500188531399</v>
      </c>
      <c r="R5794">
        <v>0.98619058708932605</v>
      </c>
      <c r="S5794" t="s">
        <v>12600</v>
      </c>
      <c r="T5794" t="s">
        <v>13610</v>
      </c>
      <c r="U5794" t="s">
        <v>13610</v>
      </c>
      <c r="V5794" t="s">
        <v>13610</v>
      </c>
      <c r="W5794" t="s">
        <v>19331</v>
      </c>
      <c r="X5794">
        <v>11</v>
      </c>
      <c r="Y5794" t="s">
        <v>25887</v>
      </c>
      <c r="Z5794" t="s">
        <v>32649</v>
      </c>
      <c r="AA5794">
        <v>0.63849847351102484</v>
      </c>
      <c r="AB5794" t="str">
        <f>HYPERLINK("Melting_Curves/meltCurve_Q9H6R7_C2orf44.pdf", "Melting_Curves/meltCurve_Q9H6R7_C2orf44.pdf")</f>
        <v>Melting_Curves/meltCurve_Q9H6R7_C2orf44.pdf</v>
      </c>
    </row>
    <row r="5795" spans="1:28" x14ac:dyDescent="0.25">
      <c r="A5795" t="s">
        <v>5799</v>
      </c>
      <c r="B5795">
        <v>0.995954080203443</v>
      </c>
      <c r="C5795">
        <v>0.75202699948281904</v>
      </c>
      <c r="D5795">
        <v>0.44909388732222599</v>
      </c>
      <c r="E5795">
        <v>0.33628927112981899</v>
      </c>
      <c r="F5795">
        <v>0.194512607338239</v>
      </c>
      <c r="G5795">
        <v>0.108267005193028</v>
      </c>
      <c r="H5795">
        <v>8.1034323809989497E-2</v>
      </c>
      <c r="I5795">
        <v>8.3235363295234496E-2</v>
      </c>
      <c r="J5795">
        <v>9.9218345474187494E-2</v>
      </c>
      <c r="K5795">
        <v>9.1036966841287703E-2</v>
      </c>
      <c r="L5795">
        <v>739.00830124405695</v>
      </c>
      <c r="M5795">
        <v>16.1896743505351</v>
      </c>
      <c r="N5795">
        <v>46.198483927138703</v>
      </c>
      <c r="O5795">
        <v>44.967478125799097</v>
      </c>
      <c r="P5795">
        <v>-8.2103737774452498E-2</v>
      </c>
      <c r="Q5795">
        <v>8.7882242334153204E-2</v>
      </c>
      <c r="R5795">
        <v>0.98178596060402001</v>
      </c>
      <c r="S5795" t="s">
        <v>12601</v>
      </c>
      <c r="T5795" t="s">
        <v>13610</v>
      </c>
      <c r="U5795" t="s">
        <v>13610</v>
      </c>
      <c r="V5795" t="s">
        <v>13610</v>
      </c>
      <c r="W5795" t="s">
        <v>19332</v>
      </c>
      <c r="X5795">
        <v>21</v>
      </c>
      <c r="Y5795" t="s">
        <v>25888</v>
      </c>
      <c r="Z5795" t="s">
        <v>32650</v>
      </c>
      <c r="AA5795">
        <v>0.28289413068438313</v>
      </c>
      <c r="AB5795" t="str">
        <f>HYPERLINK("Melting_Curves/meltCurve_Q9H6S0_YTHDC2.pdf", "Melting_Curves/meltCurve_Q9H6S0_YTHDC2.pdf")</f>
        <v>Melting_Curves/meltCurve_Q9H6S0_YTHDC2.pdf</v>
      </c>
    </row>
    <row r="5796" spans="1:28" x14ac:dyDescent="0.25">
      <c r="A5796" t="s">
        <v>5800</v>
      </c>
      <c r="B5796">
        <v>0.995954080203443</v>
      </c>
      <c r="C5796">
        <v>0.95969160345494098</v>
      </c>
      <c r="D5796">
        <v>0.73504462819275596</v>
      </c>
      <c r="E5796">
        <v>0.56719191581492201</v>
      </c>
      <c r="F5796">
        <v>0.44095759173245502</v>
      </c>
      <c r="G5796">
        <v>0.27083081190030101</v>
      </c>
      <c r="H5796">
        <v>0.21538632432316801</v>
      </c>
      <c r="I5796">
        <v>0.231431392363775</v>
      </c>
      <c r="J5796">
        <v>0.28424351605297898</v>
      </c>
      <c r="K5796">
        <v>0.28547320391441</v>
      </c>
      <c r="L5796">
        <v>781.64594903987404</v>
      </c>
      <c r="M5796">
        <v>16.032170559368399</v>
      </c>
      <c r="N5796">
        <v>50.815179068048202</v>
      </c>
      <c r="O5796">
        <v>48.015212535856399</v>
      </c>
      <c r="P5796">
        <v>-6.3530149475762798E-2</v>
      </c>
      <c r="Q5796">
        <v>0.23898607976087299</v>
      </c>
      <c r="R5796">
        <v>0.98278748420064799</v>
      </c>
      <c r="S5796" t="s">
        <v>12602</v>
      </c>
      <c r="T5796" t="s">
        <v>13610</v>
      </c>
      <c r="U5796" t="s">
        <v>13610</v>
      </c>
      <c r="V5796" t="s">
        <v>13610</v>
      </c>
      <c r="W5796" t="s">
        <v>19333</v>
      </c>
      <c r="X5796">
        <v>4</v>
      </c>
      <c r="Y5796" t="s">
        <v>25889</v>
      </c>
      <c r="Z5796" t="s">
        <v>32651</v>
      </c>
      <c r="AA5796">
        <v>0.47774446509160678</v>
      </c>
      <c r="AB5796" t="str">
        <f>HYPERLINK("Melting_Curves/meltCurve_Q9H6S1_AZI2.pdf", "Melting_Curves/meltCurve_Q9H6S1_AZI2.pdf")</f>
        <v>Melting_Curves/meltCurve_Q9H6S1_AZI2.pdf</v>
      </c>
    </row>
    <row r="5797" spans="1:28" x14ac:dyDescent="0.25">
      <c r="A5797" t="s">
        <v>5801</v>
      </c>
      <c r="B5797">
        <v>0.995954080203443</v>
      </c>
      <c r="C5797">
        <v>0.978133959919119</v>
      </c>
      <c r="D5797">
        <v>0.91623169209467903</v>
      </c>
      <c r="E5797">
        <v>0.86462557861358502</v>
      </c>
      <c r="F5797">
        <v>0.61628763260381203</v>
      </c>
      <c r="G5797">
        <v>0.405934918001922</v>
      </c>
      <c r="H5797">
        <v>0.33428898690176101</v>
      </c>
      <c r="I5797">
        <v>0.37527297917063701</v>
      </c>
      <c r="J5797">
        <v>0.47024385479449898</v>
      </c>
      <c r="K5797">
        <v>0.44497416688750802</v>
      </c>
      <c r="L5797">
        <v>1664.65726389867</v>
      </c>
      <c r="M5797">
        <v>32.075816380370803</v>
      </c>
      <c r="N5797">
        <v>54.643301103264903</v>
      </c>
      <c r="O5797">
        <v>51.6970873941248</v>
      </c>
      <c r="P5797">
        <v>-9.3033080815814601E-2</v>
      </c>
      <c r="Q5797">
        <v>0.40023132722238702</v>
      </c>
      <c r="R5797">
        <v>0.97036344935162899</v>
      </c>
      <c r="S5797" t="s">
        <v>12603</v>
      </c>
      <c r="T5797" t="s">
        <v>13610</v>
      </c>
      <c r="U5797" t="s">
        <v>13610</v>
      </c>
      <c r="V5797" t="s">
        <v>13610</v>
      </c>
      <c r="W5797" t="s">
        <v>19334</v>
      </c>
      <c r="X5797">
        <v>1</v>
      </c>
      <c r="Y5797" t="s">
        <v>25890</v>
      </c>
      <c r="Z5797" t="s">
        <v>32652</v>
      </c>
      <c r="AA5797">
        <v>0.64144004986572345</v>
      </c>
      <c r="AB5797" t="str">
        <f>HYPERLINK("Melting_Curves/meltCurve_Q9H6S3_2_EPS8L2.pdf", "Melting_Curves/meltCurve_Q9H6S3_2_EPS8L2.pdf")</f>
        <v>Melting_Curves/meltCurve_Q9H6S3_2_EPS8L2.pdf</v>
      </c>
    </row>
    <row r="5798" spans="1:28" x14ac:dyDescent="0.25">
      <c r="A5798" t="s">
        <v>5802</v>
      </c>
      <c r="B5798">
        <v>0.995954080203443</v>
      </c>
      <c r="C5798">
        <v>0.85994079609657204</v>
      </c>
      <c r="D5798">
        <v>0.749397114107614</v>
      </c>
      <c r="E5798">
        <v>0.559147269751891</v>
      </c>
      <c r="F5798">
        <v>0.28516323444515801</v>
      </c>
      <c r="G5798">
        <v>0.175718169013585</v>
      </c>
      <c r="H5798">
        <v>0.12569760813714401</v>
      </c>
      <c r="I5798">
        <v>0.125349583094859</v>
      </c>
      <c r="J5798">
        <v>0.135946448799556</v>
      </c>
      <c r="K5798">
        <v>0.14146444763617</v>
      </c>
      <c r="L5798">
        <v>741.23629315947005</v>
      </c>
      <c r="M5798">
        <v>15.0949860357542</v>
      </c>
      <c r="N5798">
        <v>49.864246843240103</v>
      </c>
      <c r="O5798">
        <v>48.267179440570501</v>
      </c>
      <c r="P5798">
        <v>-7.0162386451857406E-2</v>
      </c>
      <c r="Q5798">
        <v>0.10269363513285901</v>
      </c>
      <c r="R5798">
        <v>0.98900058118301704</v>
      </c>
      <c r="S5798" t="s">
        <v>12604</v>
      </c>
      <c r="T5798" t="s">
        <v>13610</v>
      </c>
      <c r="U5798" t="s">
        <v>13610</v>
      </c>
      <c r="V5798" t="s">
        <v>13610</v>
      </c>
      <c r="W5798" t="s">
        <v>19335</v>
      </c>
      <c r="X5798">
        <v>28</v>
      </c>
      <c r="Y5798" t="s">
        <v>25891</v>
      </c>
      <c r="Z5798" t="s">
        <v>32653</v>
      </c>
      <c r="AA5798">
        <v>0.39682147864704559</v>
      </c>
      <c r="AB5798" t="str">
        <f>HYPERLINK("Melting_Curves/meltCurve_Q9H6T3_2_RPAP3.pdf", "Melting_Curves/meltCurve_Q9H6T3_2_RPAP3.pdf")</f>
        <v>Melting_Curves/meltCurve_Q9H6T3_2_RPAP3.pdf</v>
      </c>
    </row>
    <row r="5799" spans="1:28" x14ac:dyDescent="0.25">
      <c r="A5799" t="s">
        <v>5803</v>
      </c>
      <c r="B5799">
        <v>0.995954080203443</v>
      </c>
      <c r="C5799">
        <v>0.94809135319306703</v>
      </c>
      <c r="D5799">
        <v>0.91787750166467696</v>
      </c>
      <c r="E5799">
        <v>0.798445871211939</v>
      </c>
      <c r="F5799">
        <v>0.60512866371947205</v>
      </c>
      <c r="G5799">
        <v>0.27985306259000398</v>
      </c>
      <c r="H5799">
        <v>0.138342104104791</v>
      </c>
      <c r="I5799">
        <v>0.126592714612589</v>
      </c>
      <c r="J5799">
        <v>0.14604568329560999</v>
      </c>
      <c r="K5799">
        <v>0.13655081558694501</v>
      </c>
      <c r="L5799">
        <v>1059.5091598713</v>
      </c>
      <c r="M5799">
        <v>19.910029671911701</v>
      </c>
      <c r="N5799">
        <v>53.873438205012398</v>
      </c>
      <c r="O5799">
        <v>52.686736454645001</v>
      </c>
      <c r="P5799">
        <v>-8.4271426277152006E-2</v>
      </c>
      <c r="Q5799">
        <v>0.108019553105591</v>
      </c>
      <c r="R5799">
        <v>0.99404947970639601</v>
      </c>
      <c r="S5799" t="s">
        <v>12605</v>
      </c>
      <c r="T5799" t="s">
        <v>13610</v>
      </c>
      <c r="U5799" t="s">
        <v>13610</v>
      </c>
      <c r="V5799" t="s">
        <v>13610</v>
      </c>
      <c r="W5799" t="s">
        <v>19336</v>
      </c>
      <c r="X5799">
        <v>8</v>
      </c>
      <c r="Y5799" t="s">
        <v>25892</v>
      </c>
      <c r="Z5799" t="s">
        <v>32654</v>
      </c>
      <c r="AA5799">
        <v>0.51326964813032683</v>
      </c>
      <c r="AB5799" t="str">
        <f>HYPERLINK("Melting_Curves/meltCurve_Q9H6U6_2_BCAS3.pdf", "Melting_Curves/meltCurve_Q9H6U6_2_BCAS3.pdf")</f>
        <v>Melting_Curves/meltCurve_Q9H6U6_2_BCAS3.pdf</v>
      </c>
    </row>
    <row r="5800" spans="1:28" x14ac:dyDescent="0.25">
      <c r="A5800" t="s">
        <v>5804</v>
      </c>
      <c r="B5800">
        <v>0.995954080203443</v>
      </c>
      <c r="C5800">
        <v>0.70356577511225205</v>
      </c>
      <c r="D5800">
        <v>0.53441715754866903</v>
      </c>
      <c r="E5800">
        <v>0.44263526022976102</v>
      </c>
      <c r="F5800">
        <v>0.36026911710404802</v>
      </c>
      <c r="G5800">
        <v>0.25579316188226098</v>
      </c>
      <c r="H5800">
        <v>0.224270800851499</v>
      </c>
      <c r="I5800">
        <v>0.242262314476171</v>
      </c>
      <c r="J5800">
        <v>0.28320647304991098</v>
      </c>
      <c r="K5800">
        <v>0.28057821759888601</v>
      </c>
      <c r="L5800">
        <v>695.08202889590495</v>
      </c>
      <c r="M5800">
        <v>15.4655834598647</v>
      </c>
      <c r="N5800">
        <v>47.158036913738599</v>
      </c>
      <c r="O5800">
        <v>44.212498814584698</v>
      </c>
      <c r="P5800">
        <v>-6.4883504616041698E-2</v>
      </c>
      <c r="Q5800">
        <v>0.25811957556194198</v>
      </c>
      <c r="R5800">
        <v>0.96210342657030801</v>
      </c>
      <c r="S5800" t="s">
        <v>12606</v>
      </c>
      <c r="T5800" t="s">
        <v>13610</v>
      </c>
      <c r="U5800" t="s">
        <v>13610</v>
      </c>
      <c r="V5800" t="s">
        <v>13610</v>
      </c>
      <c r="W5800" t="s">
        <v>19337</v>
      </c>
      <c r="X5800">
        <v>10</v>
      </c>
      <c r="Y5800" t="s">
        <v>25893</v>
      </c>
      <c r="Z5800" t="s">
        <v>32655</v>
      </c>
      <c r="AA5800">
        <v>0.40285342155864379</v>
      </c>
      <c r="AB5800" t="str">
        <f>HYPERLINK("Melting_Curves/meltCurve_Q9H6W3_NO66.pdf", "Melting_Curves/meltCurve_Q9H6W3_NO66.pdf")</f>
        <v>Melting_Curves/meltCurve_Q9H6W3_NO66.pdf</v>
      </c>
    </row>
    <row r="5801" spans="1:28" x14ac:dyDescent="0.25">
      <c r="A5801" t="s">
        <v>5805</v>
      </c>
      <c r="B5801">
        <v>0.995954080203443</v>
      </c>
      <c r="C5801">
        <v>0.85877124487587397</v>
      </c>
      <c r="D5801">
        <v>0.70584030119211705</v>
      </c>
      <c r="E5801">
        <v>0.59677334858097297</v>
      </c>
      <c r="F5801">
        <v>0.392347789127586</v>
      </c>
      <c r="G5801">
        <v>0.18243769252702899</v>
      </c>
      <c r="H5801">
        <v>0.121789461702778</v>
      </c>
      <c r="I5801">
        <v>0.121531287237076</v>
      </c>
      <c r="J5801">
        <v>0.14107996986923699</v>
      </c>
      <c r="K5801">
        <v>0.123898779368308</v>
      </c>
      <c r="L5801">
        <v>611.14100664349598</v>
      </c>
      <c r="M5801">
        <v>12.2528179805739</v>
      </c>
      <c r="N5801">
        <v>50.509138411616398</v>
      </c>
      <c r="O5801">
        <v>48.6048508592934</v>
      </c>
      <c r="P5801">
        <v>-5.8559578415567901E-2</v>
      </c>
      <c r="Q5801">
        <v>7.1023245902960705E-2</v>
      </c>
      <c r="R5801">
        <v>0.98454360653749895</v>
      </c>
      <c r="S5801" t="s">
        <v>12607</v>
      </c>
      <c r="T5801" t="s">
        <v>13610</v>
      </c>
      <c r="U5801" t="s">
        <v>13610</v>
      </c>
      <c r="V5801" t="s">
        <v>13610</v>
      </c>
      <c r="W5801" t="s">
        <v>19338</v>
      </c>
      <c r="X5801">
        <v>8</v>
      </c>
      <c r="Y5801" t="s">
        <v>25894</v>
      </c>
      <c r="Z5801" t="s">
        <v>32656</v>
      </c>
      <c r="AA5801">
        <v>0.40822793006218833</v>
      </c>
      <c r="AB5801" t="str">
        <f>HYPERLINK("Melting_Curves/meltCurve_Q9H6Y2_WDR55.pdf", "Melting_Curves/meltCurve_Q9H6Y2_WDR55.pdf")</f>
        <v>Melting_Curves/meltCurve_Q9H6Y2_WDR55.pdf</v>
      </c>
    </row>
    <row r="5802" spans="1:28" x14ac:dyDescent="0.25">
      <c r="A5802" t="s">
        <v>5806</v>
      </c>
      <c r="B5802">
        <v>0.995954080203443</v>
      </c>
      <c r="C5802">
        <v>1.0572695294014101</v>
      </c>
      <c r="D5802">
        <v>0.96949700690509799</v>
      </c>
      <c r="E5802">
        <v>0.96970295417408503</v>
      </c>
      <c r="F5802">
        <v>0.80963995369604103</v>
      </c>
      <c r="G5802">
        <v>0.66123400215629802</v>
      </c>
      <c r="H5802">
        <v>0.55502874516287803</v>
      </c>
      <c r="I5802">
        <v>0.62931543896992304</v>
      </c>
      <c r="J5802">
        <v>0.45430984342538999</v>
      </c>
      <c r="K5802">
        <v>0.64177141066716503</v>
      </c>
      <c r="L5802">
        <v>1458.0888183418799</v>
      </c>
      <c r="M5802">
        <v>27.121807207350699</v>
      </c>
      <c r="O5802">
        <v>53.471039546593801</v>
      </c>
      <c r="P5802">
        <v>-5.4943694080567297E-2</v>
      </c>
      <c r="Q5802">
        <v>0.56671505316542004</v>
      </c>
      <c r="R5802">
        <v>0.93235269650441099</v>
      </c>
      <c r="S5802" t="s">
        <v>12608</v>
      </c>
      <c r="T5802" t="s">
        <v>13610</v>
      </c>
      <c r="U5802" t="s">
        <v>13610</v>
      </c>
      <c r="V5802" t="s">
        <v>13610</v>
      </c>
      <c r="W5802" t="s">
        <v>19339</v>
      </c>
      <c r="X5802">
        <v>22</v>
      </c>
      <c r="Y5802" t="s">
        <v>25895</v>
      </c>
      <c r="Z5802" t="s">
        <v>32657</v>
      </c>
      <c r="AA5802">
        <v>0.76890157481340438</v>
      </c>
      <c r="AB5802" t="str">
        <f>HYPERLINK("Melting_Curves/meltCurve_Q9H6Z4_RANBP3.pdf", "Melting_Curves/meltCurve_Q9H6Z4_RANBP3.pdf")</f>
        <v>Melting_Curves/meltCurve_Q9H6Z4_RANBP3.pdf</v>
      </c>
    </row>
    <row r="5803" spans="1:28" x14ac:dyDescent="0.25">
      <c r="A5803" t="s">
        <v>5807</v>
      </c>
      <c r="B5803">
        <v>0.995954080203443</v>
      </c>
      <c r="C5803">
        <v>1.0431496519548999</v>
      </c>
      <c r="D5803">
        <v>1.03681310225555</v>
      </c>
      <c r="E5803">
        <v>0.94775797921982896</v>
      </c>
      <c r="F5803">
        <v>0.87988956169343702</v>
      </c>
      <c r="G5803">
        <v>0.71432805621761197</v>
      </c>
      <c r="H5803">
        <v>0.56866217541425201</v>
      </c>
      <c r="I5803">
        <v>0.55876723483227897</v>
      </c>
      <c r="J5803">
        <v>0.45409258428722699</v>
      </c>
      <c r="K5803">
        <v>0.44905793076080303</v>
      </c>
      <c r="L5803">
        <v>955.98365046618403</v>
      </c>
      <c r="M5803">
        <v>16.717364041123101</v>
      </c>
      <c r="N5803">
        <v>64.872890243010204</v>
      </c>
      <c r="O5803">
        <v>56.385596276311702</v>
      </c>
      <c r="P5803">
        <v>-4.2174360963604697E-2</v>
      </c>
      <c r="Q5803">
        <v>0.43104199641497598</v>
      </c>
      <c r="R5803">
        <v>0.98670644172834399</v>
      </c>
      <c r="S5803" t="s">
        <v>12609</v>
      </c>
      <c r="T5803" t="s">
        <v>13610</v>
      </c>
      <c r="U5803" t="s">
        <v>13610</v>
      </c>
      <c r="V5803" t="s">
        <v>13610</v>
      </c>
      <c r="W5803" t="s">
        <v>19340</v>
      </c>
      <c r="X5803">
        <v>22</v>
      </c>
      <c r="Y5803" t="s">
        <v>25895</v>
      </c>
      <c r="Z5803" t="s">
        <v>32658</v>
      </c>
      <c r="AA5803">
        <v>0.76514278824061466</v>
      </c>
      <c r="AB5803" t="str">
        <f>HYPERLINK("Melting_Curves/meltCurve_Q9H6Z4_2_RANBP3.pdf", "Melting_Curves/meltCurve_Q9H6Z4_2_RANBP3.pdf")</f>
        <v>Melting_Curves/meltCurve_Q9H6Z4_2_RANBP3.pdf</v>
      </c>
    </row>
    <row r="5804" spans="1:28" x14ac:dyDescent="0.25">
      <c r="A5804" t="s">
        <v>5808</v>
      </c>
      <c r="B5804">
        <v>0.995954080203443</v>
      </c>
      <c r="C5804">
        <v>1.05242454833899</v>
      </c>
      <c r="D5804">
        <v>1.0885519224753999</v>
      </c>
      <c r="E5804">
        <v>0.95028635082878699</v>
      </c>
      <c r="F5804">
        <v>0.83869434199697601</v>
      </c>
      <c r="G5804">
        <v>0.59291896126084798</v>
      </c>
      <c r="H5804">
        <v>0.39443321066258802</v>
      </c>
      <c r="I5804">
        <v>0.32636234768308697</v>
      </c>
      <c r="J5804">
        <v>0.29419031530186202</v>
      </c>
      <c r="K5804">
        <v>0.24412197898195501</v>
      </c>
      <c r="L5804">
        <v>1148.40636713854</v>
      </c>
      <c r="M5804">
        <v>20.303235994104199</v>
      </c>
      <c r="N5804">
        <v>58.578369340328599</v>
      </c>
      <c r="O5804">
        <v>56.022573632081198</v>
      </c>
      <c r="P5804">
        <v>-6.7830616142088601E-2</v>
      </c>
      <c r="Q5804">
        <v>0.25136471435762198</v>
      </c>
      <c r="R5804">
        <v>0.98781010185071905</v>
      </c>
      <c r="S5804" t="s">
        <v>12610</v>
      </c>
      <c r="T5804" t="s">
        <v>13610</v>
      </c>
      <c r="U5804" t="s">
        <v>13610</v>
      </c>
      <c r="V5804" t="s">
        <v>13610</v>
      </c>
      <c r="W5804" t="s">
        <v>19341</v>
      </c>
      <c r="X5804">
        <v>12</v>
      </c>
      <c r="Y5804" t="s">
        <v>25896</v>
      </c>
      <c r="Z5804" t="s">
        <v>32659</v>
      </c>
      <c r="AA5804">
        <v>0.67389588162914515</v>
      </c>
      <c r="AB5804" t="str">
        <f>HYPERLINK("Melting_Curves/meltCurve_Q9H773_DCTPP1.pdf", "Melting_Curves/meltCurve_Q9H773_DCTPP1.pdf")</f>
        <v>Melting_Curves/meltCurve_Q9H773_DCTPP1.pdf</v>
      </c>
    </row>
    <row r="5805" spans="1:28" x14ac:dyDescent="0.25">
      <c r="A5805" t="s">
        <v>5809</v>
      </c>
      <c r="B5805">
        <v>0.995954080203443</v>
      </c>
      <c r="C5805">
        <v>0.850821316643669</v>
      </c>
      <c r="D5805">
        <v>0.69194242512648096</v>
      </c>
      <c r="E5805">
        <v>0.74414699409023399</v>
      </c>
      <c r="F5805">
        <v>0.50564484563149104</v>
      </c>
      <c r="G5805">
        <v>0.36448728622608301</v>
      </c>
      <c r="H5805">
        <v>0.260868990723303</v>
      </c>
      <c r="I5805">
        <v>0.22605916616847299</v>
      </c>
      <c r="J5805">
        <v>0.214713914135547</v>
      </c>
      <c r="K5805">
        <v>0.176759145298725</v>
      </c>
      <c r="L5805">
        <v>442.89679422249498</v>
      </c>
      <c r="M5805">
        <v>8.4210408200825295</v>
      </c>
      <c r="N5805">
        <v>53.470614722457903</v>
      </c>
      <c r="O5805">
        <v>49.879239474283999</v>
      </c>
      <c r="P5805">
        <v>-3.9522841215946299E-2</v>
      </c>
      <c r="Q5805">
        <v>6.4471356507619898E-2</v>
      </c>
      <c r="R5805">
        <v>0.96648119227319795</v>
      </c>
      <c r="S5805" t="s">
        <v>12611</v>
      </c>
      <c r="T5805" t="s">
        <v>13610</v>
      </c>
      <c r="U5805" t="s">
        <v>13610</v>
      </c>
      <c r="V5805" t="s">
        <v>13610</v>
      </c>
      <c r="W5805" t="s">
        <v>19342</v>
      </c>
      <c r="X5805">
        <v>3</v>
      </c>
      <c r="Y5805" t="s">
        <v>25897</v>
      </c>
      <c r="Z5805" t="s">
        <v>32660</v>
      </c>
      <c r="AA5805">
        <v>0.49617131135038101</v>
      </c>
      <c r="AB5805" t="str">
        <f>HYPERLINK("Melting_Curves/meltCurve_Q9H777_ELAC1.pdf", "Melting_Curves/meltCurve_Q9H777_ELAC1.pdf")</f>
        <v>Melting_Curves/meltCurve_Q9H777_ELAC1.pdf</v>
      </c>
    </row>
    <row r="5806" spans="1:28" x14ac:dyDescent="0.25">
      <c r="A5806" t="s">
        <v>5810</v>
      </c>
      <c r="B5806">
        <v>0.995954080203443</v>
      </c>
      <c r="C5806">
        <v>0.76045743681339595</v>
      </c>
      <c r="D5806">
        <v>0.18574194288212501</v>
      </c>
      <c r="E5806">
        <v>0.163067670743825</v>
      </c>
      <c r="F5806">
        <v>7.6047019971204999E-2</v>
      </c>
      <c r="G5806">
        <v>5.4040260640304101E-2</v>
      </c>
      <c r="H5806">
        <v>3.9702178617589699E-2</v>
      </c>
      <c r="I5806">
        <v>3.9861563903803403E-2</v>
      </c>
      <c r="J5806">
        <v>5.4040506803577699E-2</v>
      </c>
      <c r="K5806">
        <v>4.8598760804475602E-2</v>
      </c>
      <c r="L5806">
        <v>1836.23478232093</v>
      </c>
      <c r="M5806">
        <v>41.747941846498797</v>
      </c>
      <c r="N5806">
        <v>44.132958946710403</v>
      </c>
      <c r="O5806">
        <v>43.883280111852599</v>
      </c>
      <c r="P5806">
        <v>-0.22218997346276201</v>
      </c>
      <c r="Q5806">
        <v>6.5783148702918695E-2</v>
      </c>
      <c r="R5806">
        <v>0.99010996923980599</v>
      </c>
      <c r="S5806" t="s">
        <v>12612</v>
      </c>
      <c r="T5806" t="s">
        <v>13610</v>
      </c>
      <c r="U5806" t="s">
        <v>13610</v>
      </c>
      <c r="V5806" t="s">
        <v>13610</v>
      </c>
      <c r="W5806" t="s">
        <v>19343</v>
      </c>
      <c r="X5806">
        <v>3</v>
      </c>
      <c r="Y5806" t="s">
        <v>25898</v>
      </c>
      <c r="Z5806" t="s">
        <v>32661</v>
      </c>
      <c r="AA5806">
        <v>0.19285220363739719</v>
      </c>
      <c r="AB5806" t="str">
        <f>HYPERLINK("Melting_Curves/meltCurve_Q9H7B4_SMYD3.pdf", "Melting_Curves/meltCurve_Q9H7B4_SMYD3.pdf")</f>
        <v>Melting_Curves/meltCurve_Q9H7B4_SMYD3.pdf</v>
      </c>
    </row>
    <row r="5807" spans="1:28" x14ac:dyDescent="0.25">
      <c r="A5807" t="s">
        <v>5811</v>
      </c>
      <c r="B5807">
        <v>0.995954080203443</v>
      </c>
      <c r="C5807">
        <v>1.0444089896819</v>
      </c>
      <c r="D5807">
        <v>1.0170787200989799</v>
      </c>
      <c r="E5807">
        <v>0.92975808940066595</v>
      </c>
      <c r="F5807">
        <v>0.85135683856615896</v>
      </c>
      <c r="G5807">
        <v>0.63257103986312502</v>
      </c>
      <c r="H5807">
        <v>0.54332815224942199</v>
      </c>
      <c r="I5807">
        <v>0.65579936781881698</v>
      </c>
      <c r="J5807">
        <v>0.66388952693033998</v>
      </c>
      <c r="K5807">
        <v>0.69975420778134101</v>
      </c>
      <c r="L5807">
        <v>2159.45201834114</v>
      </c>
      <c r="M5807">
        <v>40.5911178918305</v>
      </c>
      <c r="O5807">
        <v>53.071475412417598</v>
      </c>
      <c r="P5807">
        <v>-6.9673222032326398E-2</v>
      </c>
      <c r="Q5807">
        <v>0.63561943629145001</v>
      </c>
      <c r="R5807">
        <v>0.936427258314389</v>
      </c>
      <c r="S5807" t="s">
        <v>12613</v>
      </c>
      <c r="T5807" t="s">
        <v>13610</v>
      </c>
      <c r="U5807" t="s">
        <v>13610</v>
      </c>
      <c r="V5807" t="s">
        <v>13610</v>
      </c>
      <c r="W5807" t="s">
        <v>19344</v>
      </c>
      <c r="X5807">
        <v>9</v>
      </c>
      <c r="Y5807" t="s">
        <v>25899</v>
      </c>
      <c r="Z5807" t="s">
        <v>32662</v>
      </c>
      <c r="AA5807">
        <v>0.79724777148292103</v>
      </c>
      <c r="AB5807" t="str">
        <f>HYPERLINK("Melting_Curves/meltCurve_Q9H7C9_AAMDC.pdf", "Melting_Curves/meltCurve_Q9H7C9_AAMDC.pdf")</f>
        <v>Melting_Curves/meltCurve_Q9H7C9_AAMDC.pdf</v>
      </c>
    </row>
    <row r="5808" spans="1:28" x14ac:dyDescent="0.25">
      <c r="A5808" t="s">
        <v>5812</v>
      </c>
      <c r="B5808">
        <v>0.995954080203443</v>
      </c>
      <c r="C5808">
        <v>0.71781249594502605</v>
      </c>
      <c r="D5808">
        <v>0.48965601562544703</v>
      </c>
      <c r="E5808">
        <v>0.63526360315902397</v>
      </c>
      <c r="F5808">
        <v>0.29770107642004001</v>
      </c>
      <c r="G5808">
        <v>0.117496439787465</v>
      </c>
      <c r="H5808">
        <v>5.51989681602457E-2</v>
      </c>
      <c r="I5808">
        <v>3.7126184797844103E-2</v>
      </c>
      <c r="J5808">
        <v>3.6058459301671501E-2</v>
      </c>
      <c r="K5808">
        <v>3.8986124338629601E-2</v>
      </c>
      <c r="L5808">
        <v>499.661079480512</v>
      </c>
      <c r="M5808">
        <v>10.3142403212636</v>
      </c>
      <c r="N5808">
        <v>48.443808356000801</v>
      </c>
      <c r="O5808">
        <v>46.728823031236502</v>
      </c>
      <c r="P5808">
        <v>-5.5205201217757099E-2</v>
      </c>
      <c r="Q5808">
        <v>0</v>
      </c>
      <c r="R5808">
        <v>0.91768150941938997</v>
      </c>
      <c r="S5808" t="s">
        <v>12614</v>
      </c>
      <c r="T5808" t="s">
        <v>13610</v>
      </c>
      <c r="U5808" t="s">
        <v>13610</v>
      </c>
      <c r="V5808" t="s">
        <v>13610</v>
      </c>
      <c r="W5808" t="s">
        <v>19345</v>
      </c>
      <c r="X5808">
        <v>12</v>
      </c>
      <c r="Y5808" t="s">
        <v>25900</v>
      </c>
      <c r="Z5808" t="s">
        <v>32663</v>
      </c>
      <c r="AA5808">
        <v>0.33022321899800988</v>
      </c>
      <c r="AB5808" t="str">
        <f>HYPERLINK("Melting_Curves/meltCurve_Q9H7D7_2_WDR26.pdf", "Melting_Curves/meltCurve_Q9H7D7_2_WDR26.pdf")</f>
        <v>Melting_Curves/meltCurve_Q9H7D7_2_WDR26.pdf</v>
      </c>
    </row>
    <row r="5809" spans="1:28" x14ac:dyDescent="0.25">
      <c r="A5809" t="s">
        <v>5813</v>
      </c>
      <c r="B5809">
        <v>0.995954080203443</v>
      </c>
      <c r="C5809">
        <v>0.99681517434961797</v>
      </c>
      <c r="D5809">
        <v>1.0040133389075001</v>
      </c>
      <c r="E5809">
        <v>0.93770166990013903</v>
      </c>
      <c r="F5809">
        <v>0.83807223324284097</v>
      </c>
      <c r="G5809">
        <v>0.57824507340974696</v>
      </c>
      <c r="H5809">
        <v>0.45906441435761303</v>
      </c>
      <c r="I5809">
        <v>0.55796062760001197</v>
      </c>
      <c r="J5809">
        <v>0.64754956449491896</v>
      </c>
      <c r="K5809">
        <v>0.61969838759324103</v>
      </c>
      <c r="L5809">
        <v>2421.2383732941298</v>
      </c>
      <c r="M5809">
        <v>45.2913676004896</v>
      </c>
      <c r="O5809">
        <v>53.355232760891198</v>
      </c>
      <c r="P5809">
        <v>-9.1657957178815405E-2</v>
      </c>
      <c r="Q5809">
        <v>0.56809189573716401</v>
      </c>
      <c r="R5809">
        <v>0.94164019054330494</v>
      </c>
      <c r="S5809" t="s">
        <v>12615</v>
      </c>
      <c r="T5809" t="s">
        <v>13610</v>
      </c>
      <c r="U5809" t="s">
        <v>13610</v>
      </c>
      <c r="V5809" t="s">
        <v>13610</v>
      </c>
      <c r="W5809" t="s">
        <v>19346</v>
      </c>
      <c r="X5809">
        <v>22</v>
      </c>
      <c r="Y5809" t="s">
        <v>25901</v>
      </c>
      <c r="Z5809" t="s">
        <v>32664</v>
      </c>
      <c r="AA5809">
        <v>0.76310464612745377</v>
      </c>
      <c r="AB5809" t="str">
        <f>HYPERLINK("Melting_Curves/meltCurve_Q9H7E2_3_TDRD3.pdf", "Melting_Curves/meltCurve_Q9H7E2_3_TDRD3.pdf")</f>
        <v>Melting_Curves/meltCurve_Q9H7E2_3_TDRD3.pdf</v>
      </c>
    </row>
    <row r="5810" spans="1:28" x14ac:dyDescent="0.25">
      <c r="A5810" t="s">
        <v>5814</v>
      </c>
      <c r="B5810">
        <v>0.995954080203443</v>
      </c>
      <c r="C5810">
        <v>0.78253240032518701</v>
      </c>
      <c r="D5810">
        <v>0.56287776400034795</v>
      </c>
      <c r="E5810">
        <v>0.43173564602744702</v>
      </c>
      <c r="F5810">
        <v>0.32736495938584098</v>
      </c>
      <c r="G5810">
        <v>0.21509496650629401</v>
      </c>
      <c r="H5810">
        <v>0.16179584005150799</v>
      </c>
      <c r="I5810">
        <v>0.191037080837931</v>
      </c>
      <c r="J5810">
        <v>0.18877612539758301</v>
      </c>
      <c r="K5810">
        <v>0.168362706478799</v>
      </c>
      <c r="L5810">
        <v>641.434920466672</v>
      </c>
      <c r="M5810">
        <v>13.792115199483201</v>
      </c>
      <c r="N5810">
        <v>47.904925928779903</v>
      </c>
      <c r="O5810">
        <v>45.562354054105001</v>
      </c>
      <c r="P5810">
        <v>-6.3151430845256207E-2</v>
      </c>
      <c r="Q5810">
        <v>0.16563218995309101</v>
      </c>
      <c r="R5810">
        <v>0.98364998134235504</v>
      </c>
      <c r="S5810" t="s">
        <v>12616</v>
      </c>
      <c r="T5810" t="s">
        <v>13610</v>
      </c>
      <c r="U5810" t="s">
        <v>13610</v>
      </c>
      <c r="V5810" t="s">
        <v>13610</v>
      </c>
      <c r="W5810" t="s">
        <v>19347</v>
      </c>
      <c r="X5810">
        <v>4</v>
      </c>
      <c r="Y5810" t="s">
        <v>25902</v>
      </c>
      <c r="Z5810" t="s">
        <v>32665</v>
      </c>
      <c r="AA5810">
        <v>0.37443840596834982</v>
      </c>
      <c r="AB5810" t="str">
        <f>HYPERLINK("Melting_Curves/meltCurve_Q9H7E9_C8orf33.pdf", "Melting_Curves/meltCurve_Q9H7E9_C8orf33.pdf")</f>
        <v>Melting_Curves/meltCurve_Q9H7E9_C8orf33.pdf</v>
      </c>
    </row>
    <row r="5811" spans="1:28" x14ac:dyDescent="0.25">
      <c r="A5811" t="s">
        <v>5815</v>
      </c>
      <c r="B5811">
        <v>0.995954080203443</v>
      </c>
      <c r="C5811">
        <v>0.94107051292186905</v>
      </c>
      <c r="D5811">
        <v>0.91004289545430395</v>
      </c>
      <c r="E5811">
        <v>0.80750153723727702</v>
      </c>
      <c r="F5811">
        <v>0.64666929947386098</v>
      </c>
      <c r="G5811">
        <v>0.46261412050713502</v>
      </c>
      <c r="H5811">
        <v>0.41635774196113601</v>
      </c>
      <c r="I5811">
        <v>0.48294309908545902</v>
      </c>
      <c r="J5811">
        <v>0.553686163796136</v>
      </c>
      <c r="K5811">
        <v>0.55929821772711596</v>
      </c>
      <c r="L5811">
        <v>1206.5646048052899</v>
      </c>
      <c r="M5811">
        <v>23.801038908894899</v>
      </c>
      <c r="N5811">
        <v>60.795386048962897</v>
      </c>
      <c r="O5811">
        <v>50.3399727725525</v>
      </c>
      <c r="P5811">
        <v>-6.0234324108809099E-2</v>
      </c>
      <c r="Q5811">
        <v>0.49041797424932598</v>
      </c>
      <c r="R5811">
        <v>0.94022483960311798</v>
      </c>
      <c r="S5811" t="s">
        <v>12617</v>
      </c>
      <c r="T5811" t="s">
        <v>13610</v>
      </c>
      <c r="U5811" t="s">
        <v>13610</v>
      </c>
      <c r="V5811" t="s">
        <v>13610</v>
      </c>
      <c r="W5811" t="s">
        <v>19348</v>
      </c>
      <c r="X5811">
        <v>11</v>
      </c>
      <c r="Y5811" t="s">
        <v>25903</v>
      </c>
      <c r="Z5811" t="s">
        <v>32666</v>
      </c>
      <c r="AA5811">
        <v>0.67711884360288077</v>
      </c>
      <c r="AB5811" t="str">
        <f>HYPERLINK("Melting_Curves/meltCurve_Q9H7L9_SUDS3.pdf", "Melting_Curves/meltCurve_Q9H7L9_SUDS3.pdf")</f>
        <v>Melting_Curves/meltCurve_Q9H7L9_SUDS3.pdf</v>
      </c>
    </row>
    <row r="5812" spans="1:28" x14ac:dyDescent="0.25">
      <c r="A5812" t="s">
        <v>5816</v>
      </c>
      <c r="B5812">
        <v>0.995954080203443</v>
      </c>
      <c r="C5812">
        <v>0.93100929851981096</v>
      </c>
      <c r="D5812">
        <v>0.93826621331451299</v>
      </c>
      <c r="E5812">
        <v>0.83500543658785398</v>
      </c>
      <c r="F5812">
        <v>0.78918700853385704</v>
      </c>
      <c r="G5812">
        <v>0.59149209440004202</v>
      </c>
      <c r="H5812">
        <v>0.52907931788343698</v>
      </c>
      <c r="I5812">
        <v>0.63058899071904695</v>
      </c>
      <c r="J5812">
        <v>0.783369867531995</v>
      </c>
      <c r="K5812">
        <v>0.72628250450346399</v>
      </c>
      <c r="L5812">
        <v>1103.94977696923</v>
      </c>
      <c r="M5812">
        <v>22.041516084544401</v>
      </c>
      <c r="O5812">
        <v>49.678222712570197</v>
      </c>
      <c r="P5812">
        <v>-3.8257905343237697E-2</v>
      </c>
      <c r="Q5812">
        <v>0.65509765703783895</v>
      </c>
      <c r="R5812">
        <v>0.75629946384956503</v>
      </c>
      <c r="S5812" t="s">
        <v>12618</v>
      </c>
      <c r="T5812" t="s">
        <v>13610</v>
      </c>
      <c r="U5812" t="s">
        <v>13610</v>
      </c>
      <c r="V5812" t="s">
        <v>13610</v>
      </c>
      <c r="W5812" t="s">
        <v>19349</v>
      </c>
      <c r="X5812">
        <v>20</v>
      </c>
      <c r="Y5812" t="s">
        <v>25904</v>
      </c>
      <c r="Z5812" t="s">
        <v>32667</v>
      </c>
      <c r="AA5812">
        <v>0.7750089698270467</v>
      </c>
      <c r="AB5812" t="str">
        <f>HYPERLINK("Melting_Curves/meltCurve_Q9H7N4_SCAF1.pdf", "Melting_Curves/meltCurve_Q9H7N4_SCAF1.pdf")</f>
        <v>Melting_Curves/meltCurve_Q9H7N4_SCAF1.pdf</v>
      </c>
    </row>
    <row r="5813" spans="1:28" x14ac:dyDescent="0.25">
      <c r="A5813" t="s">
        <v>5817</v>
      </c>
      <c r="B5813">
        <v>0.995954080203443</v>
      </c>
      <c r="C5813">
        <v>0.94268957820230204</v>
      </c>
      <c r="D5813">
        <v>0.96529564616578001</v>
      </c>
      <c r="E5813">
        <v>0.78817345090317703</v>
      </c>
      <c r="F5813">
        <v>0.76913319626016596</v>
      </c>
      <c r="G5813">
        <v>0.55243070078054801</v>
      </c>
      <c r="H5813">
        <v>0.47742221877574098</v>
      </c>
      <c r="I5813">
        <v>0.53651189074489802</v>
      </c>
      <c r="J5813">
        <v>0.65132703196262398</v>
      </c>
      <c r="K5813">
        <v>0.66139678937331003</v>
      </c>
      <c r="L5813">
        <v>1103.32666191216</v>
      </c>
      <c r="M5813">
        <v>21.751344368725601</v>
      </c>
      <c r="O5813">
        <v>50.301647775497401</v>
      </c>
      <c r="P5813">
        <v>-4.6008644422964297E-2</v>
      </c>
      <c r="Q5813">
        <v>0.57441610531512999</v>
      </c>
      <c r="R5813">
        <v>0.87871302263096196</v>
      </c>
      <c r="S5813" t="s">
        <v>12619</v>
      </c>
      <c r="T5813" t="s">
        <v>13610</v>
      </c>
      <c r="U5813" t="s">
        <v>13610</v>
      </c>
      <c r="V5813" t="s">
        <v>13610</v>
      </c>
      <c r="W5813" t="s">
        <v>19350</v>
      </c>
      <c r="X5813">
        <v>5</v>
      </c>
      <c r="Y5813" t="s">
        <v>25905</v>
      </c>
      <c r="Z5813" t="s">
        <v>32668</v>
      </c>
      <c r="AA5813">
        <v>0.73158990713175676</v>
      </c>
      <c r="AB5813" t="str">
        <f>HYPERLINK("Melting_Curves/meltCurve_Q9H7P9_PLEKHG2.pdf", "Melting_Curves/meltCurve_Q9H7P9_PLEKHG2.pdf")</f>
        <v>Melting_Curves/meltCurve_Q9H7P9_PLEKHG2.pdf</v>
      </c>
    </row>
    <row r="5814" spans="1:28" x14ac:dyDescent="0.25">
      <c r="A5814" t="s">
        <v>5818</v>
      </c>
      <c r="B5814">
        <v>0.995954080203443</v>
      </c>
      <c r="C5814">
        <v>1.0521291558919701</v>
      </c>
      <c r="D5814">
        <v>1.05808684764954</v>
      </c>
      <c r="E5814">
        <v>1.00658902738191</v>
      </c>
      <c r="F5814">
        <v>0.93640804476053197</v>
      </c>
      <c r="G5814">
        <v>0.71055351326632799</v>
      </c>
      <c r="H5814">
        <v>0.66951536301146497</v>
      </c>
      <c r="I5814">
        <v>0.76466217125005398</v>
      </c>
      <c r="J5814">
        <v>0.87009266306773303</v>
      </c>
      <c r="K5814">
        <v>0.79977272980168601</v>
      </c>
      <c r="L5814">
        <v>13303.1921560345</v>
      </c>
      <c r="M5814">
        <v>250</v>
      </c>
      <c r="O5814">
        <v>53.209387146306597</v>
      </c>
      <c r="P5814">
        <v>-0.27847626094091399</v>
      </c>
      <c r="Q5814">
        <v>0.76291928664997599</v>
      </c>
      <c r="R5814">
        <v>0.836597334608978</v>
      </c>
      <c r="S5814" t="s">
        <v>12620</v>
      </c>
      <c r="T5814" t="s">
        <v>13610</v>
      </c>
      <c r="U5814" t="s">
        <v>13610</v>
      </c>
      <c r="V5814" t="s">
        <v>13610</v>
      </c>
      <c r="W5814" t="s">
        <v>19351</v>
      </c>
      <c r="X5814">
        <v>4</v>
      </c>
      <c r="Y5814" t="s">
        <v>25906</v>
      </c>
      <c r="Z5814" t="s">
        <v>32669</v>
      </c>
      <c r="AA5814">
        <v>0.86735784740222288</v>
      </c>
      <c r="AB5814" t="str">
        <f>HYPERLINK("Melting_Curves/meltCurve_Q9H7X3_ZNF696.pdf", "Melting_Curves/meltCurve_Q9H7X3_ZNF696.pdf")</f>
        <v>Melting_Curves/meltCurve_Q9H7X3_ZNF696.pdf</v>
      </c>
    </row>
    <row r="5815" spans="1:28" x14ac:dyDescent="0.25">
      <c r="A5815" t="s">
        <v>5819</v>
      </c>
      <c r="B5815">
        <v>0.995954080203443</v>
      </c>
      <c r="C5815">
        <v>0.80518461281419196</v>
      </c>
      <c r="D5815">
        <v>0.696971371680564</v>
      </c>
      <c r="E5815">
        <v>0.57280178984132202</v>
      </c>
      <c r="F5815">
        <v>0.50602162737490397</v>
      </c>
      <c r="G5815">
        <v>0.368628489940661</v>
      </c>
      <c r="H5815">
        <v>0.34302075540978799</v>
      </c>
      <c r="I5815">
        <v>0.407311039673388</v>
      </c>
      <c r="J5815">
        <v>0.49198043761856802</v>
      </c>
      <c r="K5815">
        <v>0.469790537893708</v>
      </c>
      <c r="L5815">
        <v>722.13053663785604</v>
      </c>
      <c r="M5815">
        <v>15.774194493667</v>
      </c>
      <c r="N5815">
        <v>51.633372309878403</v>
      </c>
      <c r="O5815">
        <v>45.0624451196039</v>
      </c>
      <c r="P5815">
        <v>-5.1077570086774299E-2</v>
      </c>
      <c r="Q5815">
        <v>0.41639140831712002</v>
      </c>
      <c r="R5815">
        <v>0.93121189162449103</v>
      </c>
      <c r="S5815" t="s">
        <v>12621</v>
      </c>
      <c r="T5815" t="s">
        <v>13610</v>
      </c>
      <c r="U5815" t="s">
        <v>13610</v>
      </c>
      <c r="V5815" t="s">
        <v>13610</v>
      </c>
      <c r="W5815" t="s">
        <v>19352</v>
      </c>
      <c r="X5815">
        <v>15</v>
      </c>
      <c r="Y5815" t="s">
        <v>25907</v>
      </c>
      <c r="Z5815" t="s">
        <v>32670</v>
      </c>
      <c r="AA5815">
        <v>0.54442167620773063</v>
      </c>
      <c r="AB5815" t="str">
        <f>HYPERLINK("Melting_Curves/meltCurve_Q9H7Z6_KAT8.pdf", "Melting_Curves/meltCurve_Q9H7Z6_KAT8.pdf")</f>
        <v>Melting_Curves/meltCurve_Q9H7Z6_KAT8.pdf</v>
      </c>
    </row>
    <row r="5816" spans="1:28" x14ac:dyDescent="0.25">
      <c r="A5816" t="s">
        <v>5820</v>
      </c>
      <c r="B5816">
        <v>0.995954080203443</v>
      </c>
      <c r="C5816">
        <v>0.88427587699846899</v>
      </c>
      <c r="D5816">
        <v>0.64694280924407099</v>
      </c>
      <c r="E5816">
        <v>0.44210333758511999</v>
      </c>
      <c r="F5816">
        <v>0.14462306299385499</v>
      </c>
      <c r="G5816">
        <v>7.8420930093942395E-2</v>
      </c>
      <c r="H5816">
        <v>4.7665810172850202E-2</v>
      </c>
      <c r="I5816">
        <v>4.6203962281257498E-2</v>
      </c>
      <c r="J5816">
        <v>4.2250998897068001E-2</v>
      </c>
      <c r="K5816">
        <v>3.2883740584233899E-2</v>
      </c>
      <c r="L5816">
        <v>787.63235064001196</v>
      </c>
      <c r="M5816">
        <v>16.356998654719899</v>
      </c>
      <c r="N5816">
        <v>48.279154947855503</v>
      </c>
      <c r="O5816">
        <v>47.450158156758498</v>
      </c>
      <c r="P5816">
        <v>-8.4377739722391001E-2</v>
      </c>
      <c r="Q5816">
        <v>2.09819642886977E-2</v>
      </c>
      <c r="R5816">
        <v>0.99082402287133897</v>
      </c>
      <c r="S5816" t="s">
        <v>12622</v>
      </c>
      <c r="T5816" t="s">
        <v>13610</v>
      </c>
      <c r="U5816" t="s">
        <v>13610</v>
      </c>
      <c r="V5816" t="s">
        <v>13610</v>
      </c>
      <c r="W5816" t="s">
        <v>19353</v>
      </c>
      <c r="X5816">
        <v>6</v>
      </c>
      <c r="Y5816" t="s">
        <v>25908</v>
      </c>
      <c r="Z5816" t="s">
        <v>32671</v>
      </c>
      <c r="AA5816">
        <v>0.30807847519572618</v>
      </c>
      <c r="AB5816" t="str">
        <f>HYPERLINK("Melting_Curves/meltCurve_Q9H7Z7_PTGES2.pdf", "Melting_Curves/meltCurve_Q9H7Z7_PTGES2.pdf")</f>
        <v>Melting_Curves/meltCurve_Q9H7Z7_PTGES2.pdf</v>
      </c>
    </row>
    <row r="5817" spans="1:28" x14ac:dyDescent="0.25">
      <c r="A5817" t="s">
        <v>5821</v>
      </c>
      <c r="B5817">
        <v>0.995954080203443</v>
      </c>
      <c r="C5817">
        <v>0.93141598975138495</v>
      </c>
      <c r="D5817">
        <v>0.80979107670477102</v>
      </c>
      <c r="E5817">
        <v>0.91717516537989596</v>
      </c>
      <c r="F5817">
        <v>0.646885748621298</v>
      </c>
      <c r="G5817">
        <v>0.397588155202378</v>
      </c>
      <c r="H5817">
        <v>0.24241229021188601</v>
      </c>
      <c r="I5817">
        <v>0.25100371043554398</v>
      </c>
      <c r="J5817">
        <v>0.29277449890910801</v>
      </c>
      <c r="K5817">
        <v>0.32684894609085502</v>
      </c>
      <c r="L5817">
        <v>1306.2490628015</v>
      </c>
      <c r="M5817">
        <v>24.553139298207899</v>
      </c>
      <c r="N5817">
        <v>54.929285077973603</v>
      </c>
      <c r="O5817">
        <v>52.851760588522801</v>
      </c>
      <c r="P5817">
        <v>-8.4890219999396402E-2</v>
      </c>
      <c r="Q5817">
        <v>0.26909016006206399</v>
      </c>
      <c r="R5817">
        <v>0.94873991078328901</v>
      </c>
      <c r="S5817" t="s">
        <v>12623</v>
      </c>
      <c r="T5817" t="s">
        <v>13610</v>
      </c>
      <c r="U5817" t="s">
        <v>13610</v>
      </c>
      <c r="V5817" t="s">
        <v>13610</v>
      </c>
      <c r="W5817" t="s">
        <v>19354</v>
      </c>
      <c r="X5817">
        <v>10</v>
      </c>
      <c r="Y5817" t="s">
        <v>25909</v>
      </c>
      <c r="Z5817" t="s">
        <v>32672</v>
      </c>
      <c r="AA5817">
        <v>0.59768111708298433</v>
      </c>
      <c r="AB5817" t="str">
        <f>HYPERLINK("Melting_Curves/meltCurve_Q9H814_PHAX.pdf", "Melting_Curves/meltCurve_Q9H814_PHAX.pdf")</f>
        <v>Melting_Curves/meltCurve_Q9H814_PHAX.pdf</v>
      </c>
    </row>
    <row r="5818" spans="1:28" x14ac:dyDescent="0.25">
      <c r="A5818" t="s">
        <v>5822</v>
      </c>
      <c r="B5818">
        <v>0.995954080203443</v>
      </c>
      <c r="C5818">
        <v>0.96789557239201396</v>
      </c>
      <c r="D5818">
        <v>1.1072906696673901</v>
      </c>
      <c r="E5818">
        <v>0.856682032007405</v>
      </c>
      <c r="F5818">
        <v>0.73931960335647795</v>
      </c>
      <c r="G5818">
        <v>0.19344578922807601</v>
      </c>
      <c r="H5818">
        <v>0.123546407957246</v>
      </c>
      <c r="I5818">
        <v>0.110801344851781</v>
      </c>
      <c r="J5818">
        <v>0.128737490488046</v>
      </c>
      <c r="K5818">
        <v>0.118541002227528</v>
      </c>
      <c r="L5818">
        <v>1956.4117956750899</v>
      </c>
      <c r="M5818">
        <v>36.227463009943598</v>
      </c>
      <c r="N5818">
        <v>54.3794282193481</v>
      </c>
      <c r="O5818">
        <v>53.839798772632399</v>
      </c>
      <c r="P5818">
        <v>-0.14958732841588501</v>
      </c>
      <c r="Q5818">
        <v>0.110760103323457</v>
      </c>
      <c r="R5818">
        <v>0.98502534095691097</v>
      </c>
      <c r="S5818" t="s">
        <v>12624</v>
      </c>
      <c r="T5818" t="s">
        <v>13610</v>
      </c>
      <c r="U5818" t="s">
        <v>13610</v>
      </c>
      <c r="V5818" t="s">
        <v>13610</v>
      </c>
      <c r="W5818" t="s">
        <v>19355</v>
      </c>
      <c r="X5818">
        <v>13</v>
      </c>
      <c r="Y5818" t="s">
        <v>25910</v>
      </c>
      <c r="Z5818" t="s">
        <v>32673</v>
      </c>
      <c r="AA5818">
        <v>0.52987967694115878</v>
      </c>
      <c r="AB5818" t="str">
        <f>HYPERLINK("Melting_Curves/meltCurve_Q9H832_UBE2Z.pdf", "Melting_Curves/meltCurve_Q9H832_UBE2Z.pdf")</f>
        <v>Melting_Curves/meltCurve_Q9H832_UBE2Z.pdf</v>
      </c>
    </row>
    <row r="5819" spans="1:28" x14ac:dyDescent="0.25">
      <c r="A5819" t="s">
        <v>5823</v>
      </c>
      <c r="B5819">
        <v>0.995954080203443</v>
      </c>
      <c r="C5819">
        <v>1.02257799922436</v>
      </c>
      <c r="D5819">
        <v>1.08216326686982</v>
      </c>
      <c r="E5819">
        <v>0.94920991716861502</v>
      </c>
      <c r="F5819">
        <v>0.92722770978505598</v>
      </c>
      <c r="G5819">
        <v>0.53774575207222897</v>
      </c>
      <c r="H5819">
        <v>0.19805040339045099</v>
      </c>
      <c r="I5819">
        <v>0.110961768253085</v>
      </c>
      <c r="J5819">
        <v>0.104143815661383</v>
      </c>
      <c r="K5819">
        <v>9.7049803998003406E-2</v>
      </c>
      <c r="L5819">
        <v>1765.81871012486</v>
      </c>
      <c r="M5819">
        <v>31.007363236238199</v>
      </c>
      <c r="N5819">
        <v>57.322667108768201</v>
      </c>
      <c r="O5819">
        <v>56.713073592235098</v>
      </c>
      <c r="P5819">
        <v>-0.124159489241301</v>
      </c>
      <c r="Q5819">
        <v>9.1644685867550701E-2</v>
      </c>
      <c r="R5819">
        <v>0.994654879327311</v>
      </c>
      <c r="S5819" t="s">
        <v>12625</v>
      </c>
      <c r="T5819" t="s">
        <v>13610</v>
      </c>
      <c r="U5819" t="s">
        <v>13610</v>
      </c>
      <c r="V5819" t="s">
        <v>13610</v>
      </c>
      <c r="W5819" t="s">
        <v>19356</v>
      </c>
      <c r="X5819">
        <v>3</v>
      </c>
      <c r="Y5819" t="s">
        <v>25911</v>
      </c>
      <c r="Z5819" t="s">
        <v>32674</v>
      </c>
      <c r="AA5819">
        <v>0.61052173035784496</v>
      </c>
      <c r="AB5819" t="str">
        <f>HYPERLINK("Melting_Curves/meltCurve_Q9H840_GEMIN7.pdf", "Melting_Curves/meltCurve_Q9H840_GEMIN7.pdf")</f>
        <v>Melting_Curves/meltCurve_Q9H840_GEMIN7.pdf</v>
      </c>
    </row>
    <row r="5820" spans="1:28" x14ac:dyDescent="0.25">
      <c r="A5820" t="s">
        <v>5824</v>
      </c>
      <c r="B5820">
        <v>0.995954080203443</v>
      </c>
      <c r="C5820">
        <v>0.94446857472165102</v>
      </c>
      <c r="D5820">
        <v>0.78405130712960003</v>
      </c>
      <c r="E5820">
        <v>0.55094669231287496</v>
      </c>
      <c r="F5820">
        <v>0.19870036340841901</v>
      </c>
      <c r="G5820">
        <v>0.104515679150305</v>
      </c>
      <c r="H5820">
        <v>6.4919553877659006E-2</v>
      </c>
      <c r="I5820">
        <v>5.7205144506529401E-2</v>
      </c>
      <c r="J5820">
        <v>6.0207304867776201E-2</v>
      </c>
      <c r="K5820">
        <v>5.8362216038085502E-2</v>
      </c>
      <c r="L5820">
        <v>959.88405223129405</v>
      </c>
      <c r="M5820">
        <v>19.361804945987299</v>
      </c>
      <c r="N5820">
        <v>49.805305920637501</v>
      </c>
      <c r="O5820">
        <v>49.056401561937498</v>
      </c>
      <c r="P5820">
        <v>-9.4469969350671895E-2</v>
      </c>
      <c r="Q5820">
        <v>4.2612952868518503E-2</v>
      </c>
      <c r="R5820">
        <v>0.99270278297737302</v>
      </c>
      <c r="S5820" t="s">
        <v>12626</v>
      </c>
      <c r="T5820" t="s">
        <v>13610</v>
      </c>
      <c r="U5820" t="s">
        <v>13610</v>
      </c>
      <c r="V5820" t="s">
        <v>13610</v>
      </c>
      <c r="W5820" t="s">
        <v>19357</v>
      </c>
      <c r="X5820">
        <v>11</v>
      </c>
      <c r="Y5820" t="s">
        <v>25912</v>
      </c>
      <c r="Z5820" t="s">
        <v>32675</v>
      </c>
      <c r="AA5820">
        <v>0.36245569657090199</v>
      </c>
      <c r="AB5820" t="str">
        <f>HYPERLINK("Melting_Curves/meltCurve_Q9H845_ACAD9.pdf", "Melting_Curves/meltCurve_Q9H845_ACAD9.pdf")</f>
        <v>Melting_Curves/meltCurve_Q9H845_ACAD9.pdf</v>
      </c>
    </row>
    <row r="5821" spans="1:28" x14ac:dyDescent="0.25">
      <c r="A5821" t="s">
        <v>5825</v>
      </c>
      <c r="B5821">
        <v>0.995954080203443</v>
      </c>
      <c r="C5821">
        <v>1.01942222985914</v>
      </c>
      <c r="D5821">
        <v>0.76969939144511901</v>
      </c>
      <c r="E5821">
        <v>0.61254964795757805</v>
      </c>
      <c r="F5821">
        <v>0.38646351741767598</v>
      </c>
      <c r="G5821">
        <v>0.21659431253261499</v>
      </c>
      <c r="H5821">
        <v>0.19455219176709701</v>
      </c>
      <c r="I5821">
        <v>0.17361354041716801</v>
      </c>
      <c r="J5821">
        <v>0.13997078090762499</v>
      </c>
      <c r="K5821">
        <v>0.164643410358317</v>
      </c>
      <c r="L5821">
        <v>831.15372707567997</v>
      </c>
      <c r="M5821">
        <v>16.601166220557399</v>
      </c>
      <c r="N5821">
        <v>51.1041401189662</v>
      </c>
      <c r="O5821">
        <v>49.356435760142098</v>
      </c>
      <c r="P5821">
        <v>-7.2057325222842694E-2</v>
      </c>
      <c r="Q5821">
        <v>0.14313213916571699</v>
      </c>
      <c r="R5821">
        <v>0.98891948483623304</v>
      </c>
      <c r="S5821" t="s">
        <v>12627</v>
      </c>
      <c r="T5821" t="s">
        <v>13610</v>
      </c>
      <c r="U5821" t="s">
        <v>13610</v>
      </c>
      <c r="V5821" t="s">
        <v>13610</v>
      </c>
      <c r="W5821" t="s">
        <v>19358</v>
      </c>
      <c r="X5821">
        <v>2</v>
      </c>
      <c r="Y5821" t="s">
        <v>25913</v>
      </c>
      <c r="Z5821" t="s">
        <v>32676</v>
      </c>
      <c r="AA5821">
        <v>0.44762079621620299</v>
      </c>
      <c r="AB5821" t="str">
        <f>HYPERLINK("Melting_Curves/meltCurve_Q9H867_5_METTL21D.pdf", "Melting_Curves/meltCurve_Q9H867_5_METTL21D.pdf")</f>
        <v>Melting_Curves/meltCurve_Q9H867_5_METTL21D.pdf</v>
      </c>
    </row>
    <row r="5822" spans="1:28" x14ac:dyDescent="0.25">
      <c r="A5822" t="s">
        <v>5826</v>
      </c>
      <c r="B5822">
        <v>0.995954080203443</v>
      </c>
      <c r="C5822">
        <v>0.99975588095227097</v>
      </c>
      <c r="D5822">
        <v>0.97294084981669804</v>
      </c>
      <c r="E5822">
        <v>0.90379972356164195</v>
      </c>
      <c r="F5822">
        <v>0.92168872188634898</v>
      </c>
      <c r="G5822">
        <v>0.75133934227936106</v>
      </c>
      <c r="H5822">
        <v>0.70170274263152599</v>
      </c>
      <c r="I5822">
        <v>0.90625402703531699</v>
      </c>
      <c r="J5822">
        <v>0.87647812975569905</v>
      </c>
      <c r="K5822">
        <v>1.0863865603735401</v>
      </c>
      <c r="L5822">
        <v>1464.9662253858</v>
      </c>
      <c r="M5822">
        <v>30.3020167298885</v>
      </c>
      <c r="O5822">
        <v>48.136414818057403</v>
      </c>
      <c r="P5822">
        <v>-2.01926352356929E-2</v>
      </c>
      <c r="Q5822">
        <v>0.87169237884628303</v>
      </c>
      <c r="R5822">
        <v>0.228596752511839</v>
      </c>
      <c r="S5822" t="s">
        <v>12628</v>
      </c>
      <c r="T5822" t="s">
        <v>13610</v>
      </c>
      <c r="U5822" t="s">
        <v>13610</v>
      </c>
      <c r="V5822" t="s">
        <v>13610</v>
      </c>
      <c r="W5822" t="s">
        <v>19359</v>
      </c>
      <c r="X5822">
        <v>12</v>
      </c>
      <c r="Y5822" t="s">
        <v>25914</v>
      </c>
      <c r="Z5822" t="s">
        <v>32677</v>
      </c>
      <c r="AA5822">
        <v>0.90814442838303011</v>
      </c>
      <c r="AB5822" t="str">
        <f>HYPERLINK("Melting_Curves/meltCurve_Q9H869_5_YY1AP1.pdf", "Melting_Curves/meltCurve_Q9H869_5_YY1AP1.pdf")</f>
        <v>Melting_Curves/meltCurve_Q9H869_5_YY1AP1.pdf</v>
      </c>
    </row>
    <row r="5823" spans="1:28" x14ac:dyDescent="0.25">
      <c r="A5823" t="s">
        <v>5827</v>
      </c>
      <c r="B5823">
        <v>0.995954080203443</v>
      </c>
      <c r="C5823">
        <v>0.63600940367952197</v>
      </c>
      <c r="D5823">
        <v>0.415549101558081</v>
      </c>
      <c r="E5823">
        <v>0.57555350540031003</v>
      </c>
      <c r="F5823">
        <v>0.24891670512210601</v>
      </c>
      <c r="G5823">
        <v>0.14171638445366899</v>
      </c>
      <c r="H5823">
        <v>0.106426797464451</v>
      </c>
      <c r="I5823">
        <v>0.105078217405524</v>
      </c>
      <c r="J5823">
        <v>0.124659052100875</v>
      </c>
      <c r="K5823">
        <v>0.11432283100304801</v>
      </c>
      <c r="L5823">
        <v>477.86008963909501</v>
      </c>
      <c r="M5823">
        <v>10.287248349247699</v>
      </c>
      <c r="N5823">
        <v>47.1160739790568</v>
      </c>
      <c r="O5823">
        <v>44.799069803313699</v>
      </c>
      <c r="P5823">
        <v>-5.3555122685033298E-2</v>
      </c>
      <c r="Q5823">
        <v>6.7515699556927905E-2</v>
      </c>
      <c r="R5823">
        <v>0.88581004550995801</v>
      </c>
      <c r="S5823" t="s">
        <v>12629</v>
      </c>
      <c r="T5823" t="s">
        <v>13610</v>
      </c>
      <c r="U5823" t="s">
        <v>13610</v>
      </c>
      <c r="V5823" t="s">
        <v>13610</v>
      </c>
      <c r="W5823" t="s">
        <v>19360</v>
      </c>
      <c r="X5823">
        <v>5</v>
      </c>
      <c r="Y5823" t="s">
        <v>25915</v>
      </c>
      <c r="Z5823" t="s">
        <v>32678</v>
      </c>
      <c r="AA5823">
        <v>0.32160454186982379</v>
      </c>
      <c r="AB5823" t="str">
        <f>HYPERLINK("Melting_Curves/meltCurve_Q9H871_RMND5A.pdf", "Melting_Curves/meltCurve_Q9H871_RMND5A.pdf")</f>
        <v>Melting_Curves/meltCurve_Q9H871_RMND5A.pdf</v>
      </c>
    </row>
    <row r="5824" spans="1:28" x14ac:dyDescent="0.25">
      <c r="A5824" t="s">
        <v>5828</v>
      </c>
      <c r="B5824">
        <v>0.995954080203443</v>
      </c>
      <c r="C5824">
        <v>0.85835780944555595</v>
      </c>
      <c r="D5824">
        <v>0.94907391102824501</v>
      </c>
      <c r="E5824">
        <v>0.88727221201099804</v>
      </c>
      <c r="F5824">
        <v>0.90936024551133998</v>
      </c>
      <c r="G5824">
        <v>0.76919836060435398</v>
      </c>
      <c r="H5824">
        <v>0.63610587021520204</v>
      </c>
      <c r="I5824">
        <v>0.761736869721232</v>
      </c>
      <c r="J5824">
        <v>0.89761982554042097</v>
      </c>
      <c r="K5824">
        <v>0.99840383945414601</v>
      </c>
      <c r="L5824">
        <v>552.68404711293704</v>
      </c>
      <c r="M5824">
        <v>12.3278300575824</v>
      </c>
      <c r="O5824">
        <v>43.7015401417192</v>
      </c>
      <c r="P5824">
        <v>-1.2355329924020501E-2</v>
      </c>
      <c r="Q5824">
        <v>0.82484201887106001</v>
      </c>
      <c r="R5824">
        <v>0.19165004715572601</v>
      </c>
      <c r="S5824" t="s">
        <v>12630</v>
      </c>
      <c r="T5824" t="s">
        <v>13610</v>
      </c>
      <c r="U5824" t="s">
        <v>13610</v>
      </c>
      <c r="V5824" t="s">
        <v>13610</v>
      </c>
      <c r="W5824" t="s">
        <v>19361</v>
      </c>
      <c r="X5824">
        <v>6</v>
      </c>
      <c r="Y5824" t="s">
        <v>25916</v>
      </c>
      <c r="Z5824" t="s">
        <v>32679</v>
      </c>
      <c r="AA5824">
        <v>0.86151915876399054</v>
      </c>
      <c r="AB5824" t="str">
        <f>HYPERLINK("Melting_Curves/meltCurve_Q9H875_PRKRIP1.pdf", "Melting_Curves/meltCurve_Q9H875_PRKRIP1.pdf")</f>
        <v>Melting_Curves/meltCurve_Q9H875_PRKRIP1.pdf</v>
      </c>
    </row>
    <row r="5825" spans="1:28" x14ac:dyDescent="0.25">
      <c r="A5825" t="s">
        <v>5829</v>
      </c>
      <c r="B5825">
        <v>0.995954080203443</v>
      </c>
      <c r="C5825">
        <v>1.0182730394744799</v>
      </c>
      <c r="D5825">
        <v>0.95518378793772996</v>
      </c>
      <c r="E5825">
        <v>0.76292851621270297</v>
      </c>
      <c r="F5825">
        <v>0.64379981588424395</v>
      </c>
      <c r="G5825">
        <v>0.42618688218068601</v>
      </c>
      <c r="H5825">
        <v>0.35523870004728397</v>
      </c>
      <c r="I5825">
        <v>0.43328282851148597</v>
      </c>
      <c r="J5825">
        <v>0.34280835364268702</v>
      </c>
      <c r="K5825">
        <v>0.30172727471067001</v>
      </c>
      <c r="L5825">
        <v>957.23247247521294</v>
      </c>
      <c r="M5825">
        <v>18.3814732384139</v>
      </c>
      <c r="N5825">
        <v>55.435872109774699</v>
      </c>
      <c r="O5825">
        <v>51.471328899712702</v>
      </c>
      <c r="P5825">
        <v>-5.9294168656497698E-2</v>
      </c>
      <c r="Q5825">
        <v>0.33589414861792799</v>
      </c>
      <c r="R5825">
        <v>0.98536472083539195</v>
      </c>
      <c r="S5825" t="s">
        <v>12631</v>
      </c>
      <c r="T5825" t="s">
        <v>13610</v>
      </c>
      <c r="U5825" t="s">
        <v>13610</v>
      </c>
      <c r="V5825" t="s">
        <v>13610</v>
      </c>
      <c r="W5825" t="s">
        <v>19362</v>
      </c>
      <c r="X5825">
        <v>4</v>
      </c>
      <c r="Y5825" t="s">
        <v>25917</v>
      </c>
      <c r="Z5825" t="s">
        <v>32680</v>
      </c>
      <c r="AA5825">
        <v>0.61386884899912275</v>
      </c>
      <c r="AB5825" t="str">
        <f>HYPERLINK("Melting_Curves/meltCurve_Q9H8E8_CSRP2BP.pdf", "Melting_Curves/meltCurve_Q9H8E8_CSRP2BP.pdf")</f>
        <v>Melting_Curves/meltCurve_Q9H8E8_CSRP2BP.pdf</v>
      </c>
    </row>
    <row r="5826" spans="1:28" x14ac:dyDescent="0.25">
      <c r="A5826" t="s">
        <v>5830</v>
      </c>
      <c r="B5826">
        <v>0.995954080203443</v>
      </c>
      <c r="C5826">
        <v>0.94067343396808101</v>
      </c>
      <c r="D5826">
        <v>0.85375311914758001</v>
      </c>
      <c r="E5826">
        <v>0.80812155614714598</v>
      </c>
      <c r="F5826">
        <v>0.83742492977479299</v>
      </c>
      <c r="G5826">
        <v>0.66474256039504198</v>
      </c>
      <c r="H5826">
        <v>0.64936710839213296</v>
      </c>
      <c r="I5826">
        <v>0.74579983827153296</v>
      </c>
      <c r="J5826">
        <v>0.99839162465744702</v>
      </c>
      <c r="K5826">
        <v>0.91249834254330797</v>
      </c>
      <c r="L5826">
        <v>1276.4922265688199</v>
      </c>
      <c r="M5826">
        <v>28.8264462097018</v>
      </c>
      <c r="O5826">
        <v>44.0705046891322</v>
      </c>
      <c r="P5826">
        <v>-3.2519081332571503E-2</v>
      </c>
      <c r="Q5826">
        <v>0.80113790898765103</v>
      </c>
      <c r="R5826">
        <v>0.31415472354377799</v>
      </c>
      <c r="S5826" t="s">
        <v>12632</v>
      </c>
      <c r="T5826" t="s">
        <v>13610</v>
      </c>
      <c r="U5826" t="s">
        <v>13610</v>
      </c>
      <c r="V5826" t="s">
        <v>13610</v>
      </c>
      <c r="W5826" t="s">
        <v>19363</v>
      </c>
      <c r="X5826">
        <v>13</v>
      </c>
      <c r="Y5826" t="s">
        <v>25918</v>
      </c>
      <c r="Z5826" t="s">
        <v>32681</v>
      </c>
      <c r="AA5826">
        <v>0.83105322934416004</v>
      </c>
      <c r="AB5826" t="str">
        <f>HYPERLINK("Melting_Curves/meltCurve_Q9H8G2_CAAP1.pdf", "Melting_Curves/meltCurve_Q9H8G2_CAAP1.pdf")</f>
        <v>Melting_Curves/meltCurve_Q9H8G2_CAAP1.pdf</v>
      </c>
    </row>
    <row r="5827" spans="1:28" x14ac:dyDescent="0.25">
      <c r="A5827" t="s">
        <v>5831</v>
      </c>
      <c r="B5827">
        <v>0.995954080203443</v>
      </c>
      <c r="C5827">
        <v>1.1387169037505001</v>
      </c>
      <c r="D5827">
        <v>1.14490920568877</v>
      </c>
      <c r="E5827">
        <v>1.05147764750729</v>
      </c>
      <c r="F5827">
        <v>0.93377667914541695</v>
      </c>
      <c r="G5827">
        <v>0.51088404731392201</v>
      </c>
      <c r="H5827">
        <v>0.136457895908149</v>
      </c>
      <c r="I5827">
        <v>8.6016391085794799E-2</v>
      </c>
      <c r="J5827">
        <v>7.81769504738037E-2</v>
      </c>
      <c r="K5827">
        <v>8.2812146013412094E-2</v>
      </c>
      <c r="L5827">
        <v>2201.29235793014</v>
      </c>
      <c r="M5827">
        <v>38.748204531273402</v>
      </c>
      <c r="N5827">
        <v>57.057347399368801</v>
      </c>
      <c r="O5827">
        <v>56.659497851371398</v>
      </c>
      <c r="P5827">
        <v>-0.15775972699985599</v>
      </c>
      <c r="Q5827">
        <v>7.7266611440703806E-2</v>
      </c>
      <c r="R5827">
        <v>0.97905250055008797</v>
      </c>
      <c r="S5827" t="s">
        <v>12633</v>
      </c>
      <c r="T5827" t="s">
        <v>13610</v>
      </c>
      <c r="U5827" t="s">
        <v>13610</v>
      </c>
      <c r="V5827" t="s">
        <v>13610</v>
      </c>
      <c r="W5827" t="s">
        <v>19364</v>
      </c>
      <c r="X5827">
        <v>12</v>
      </c>
      <c r="Y5827" t="s">
        <v>25919</v>
      </c>
      <c r="Z5827" t="s">
        <v>32682</v>
      </c>
      <c r="AA5827">
        <v>0.59812563340708969</v>
      </c>
      <c r="AB5827" t="str">
        <f>HYPERLINK("Melting_Curves/meltCurve_Q9H8H0_NOL11.pdf", "Melting_Curves/meltCurve_Q9H8H0_NOL11.pdf")</f>
        <v>Melting_Curves/meltCurve_Q9H8H0_NOL11.pdf</v>
      </c>
    </row>
    <row r="5828" spans="1:28" x14ac:dyDescent="0.25">
      <c r="A5828" t="s">
        <v>5832</v>
      </c>
      <c r="B5828">
        <v>0.995954080203443</v>
      </c>
      <c r="C5828">
        <v>0.91516311100859105</v>
      </c>
      <c r="D5828">
        <v>0.83459934134799396</v>
      </c>
      <c r="E5828">
        <v>0.85271419071936605</v>
      </c>
      <c r="F5828">
        <v>0.83301813790621204</v>
      </c>
      <c r="G5828">
        <v>0.49686126502841499</v>
      </c>
      <c r="H5828">
        <v>0.326187524998096</v>
      </c>
      <c r="I5828">
        <v>0.227024810706389</v>
      </c>
      <c r="J5828">
        <v>0.13045651844314299</v>
      </c>
      <c r="K5828">
        <v>5.3593847095003901E-2</v>
      </c>
      <c r="L5828">
        <v>733.608902445848</v>
      </c>
      <c r="M5828">
        <v>12.765486659580899</v>
      </c>
      <c r="N5828">
        <v>57.468171606732497</v>
      </c>
      <c r="O5828">
        <v>56.112642948779701</v>
      </c>
      <c r="P5828">
        <v>-5.6885164059363703E-2</v>
      </c>
      <c r="Q5828">
        <v>0</v>
      </c>
      <c r="R5828">
        <v>0.97288035903144199</v>
      </c>
      <c r="S5828" t="s">
        <v>12634</v>
      </c>
      <c r="T5828" t="s">
        <v>13610</v>
      </c>
      <c r="U5828" t="s">
        <v>13610</v>
      </c>
      <c r="V5828" t="s">
        <v>13610</v>
      </c>
      <c r="W5828" t="s">
        <v>19365</v>
      </c>
      <c r="X5828">
        <v>4</v>
      </c>
      <c r="Y5828" t="s">
        <v>25920</v>
      </c>
      <c r="Z5828" t="s">
        <v>32683</v>
      </c>
      <c r="AA5828">
        <v>0.59743642680728959</v>
      </c>
      <c r="AB5828" t="str">
        <f>HYPERLINK("Melting_Curves/meltCurve_Q9H8K7_C10orf88.pdf", "Melting_Curves/meltCurve_Q9H8K7_C10orf88.pdf")</f>
        <v>Melting_Curves/meltCurve_Q9H8K7_C10orf88.pdf</v>
      </c>
    </row>
    <row r="5829" spans="1:28" x14ac:dyDescent="0.25">
      <c r="A5829" t="s">
        <v>5833</v>
      </c>
      <c r="B5829">
        <v>0.995954080203443</v>
      </c>
      <c r="C5829">
        <v>0.96028789946926896</v>
      </c>
      <c r="D5829">
        <v>0.92393341141664898</v>
      </c>
      <c r="E5829">
        <v>0.71465829093199496</v>
      </c>
      <c r="F5829">
        <v>0.58829376190678495</v>
      </c>
      <c r="G5829">
        <v>0.43148131227771602</v>
      </c>
      <c r="H5829">
        <v>0.35653584959269902</v>
      </c>
      <c r="I5829">
        <v>0.43461579483878898</v>
      </c>
      <c r="J5829">
        <v>0.456748689184164</v>
      </c>
      <c r="K5829">
        <v>0.50234122251994795</v>
      </c>
      <c r="L5829">
        <v>1115.7343731256301</v>
      </c>
      <c r="M5829">
        <v>22.297097932630201</v>
      </c>
      <c r="N5829">
        <v>54.903518056691198</v>
      </c>
      <c r="O5829">
        <v>49.642158286047902</v>
      </c>
      <c r="P5829">
        <v>-6.3933725060657504E-2</v>
      </c>
      <c r="Q5829">
        <v>0.43064502339086402</v>
      </c>
      <c r="R5829">
        <v>0.97109207461650804</v>
      </c>
      <c r="S5829" t="s">
        <v>12635</v>
      </c>
      <c r="T5829" t="s">
        <v>13610</v>
      </c>
      <c r="U5829" t="s">
        <v>13610</v>
      </c>
      <c r="V5829" t="s">
        <v>13610</v>
      </c>
      <c r="W5829" t="s">
        <v>19366</v>
      </c>
      <c r="X5829">
        <v>10</v>
      </c>
      <c r="Y5829" t="s">
        <v>25921</v>
      </c>
      <c r="Z5829" t="s">
        <v>32684</v>
      </c>
      <c r="AA5829">
        <v>0.6275772150142469</v>
      </c>
      <c r="AB5829" t="str">
        <f>HYPERLINK("Melting_Curves/meltCurve_Q9H8M2_BRD9.pdf", "Melting_Curves/meltCurve_Q9H8M2_BRD9.pdf")</f>
        <v>Melting_Curves/meltCurve_Q9H8M2_BRD9.pdf</v>
      </c>
    </row>
    <row r="5830" spans="1:28" x14ac:dyDescent="0.25">
      <c r="A5830" t="s">
        <v>5834</v>
      </c>
      <c r="B5830">
        <v>0.995954080203443</v>
      </c>
      <c r="C5830">
        <v>1.06467117736821</v>
      </c>
      <c r="D5830">
        <v>1.0194577501695901</v>
      </c>
      <c r="E5830">
        <v>0.88297466174244998</v>
      </c>
      <c r="F5830">
        <v>0.54010395200890104</v>
      </c>
      <c r="G5830">
        <v>9.6693628931581593E-2</v>
      </c>
      <c r="H5830">
        <v>6.3748330400895295E-2</v>
      </c>
      <c r="I5830">
        <v>4.43664854479872E-2</v>
      </c>
      <c r="J5830">
        <v>4.6798171761137597E-2</v>
      </c>
      <c r="K5830">
        <v>3.9685241503183998E-2</v>
      </c>
      <c r="L5830">
        <v>1888.4508577335801</v>
      </c>
      <c r="M5830">
        <v>35.600281688599203</v>
      </c>
      <c r="N5830">
        <v>53.176939685445802</v>
      </c>
      <c r="O5830">
        <v>52.879410092331</v>
      </c>
      <c r="P5830">
        <v>-0.16124382965433101</v>
      </c>
      <c r="Q5830">
        <v>4.1979458525358899E-2</v>
      </c>
      <c r="R5830">
        <v>0.99700823886948198</v>
      </c>
      <c r="S5830" t="s">
        <v>12636</v>
      </c>
      <c r="T5830" t="s">
        <v>13610</v>
      </c>
      <c r="U5830" t="s">
        <v>13610</v>
      </c>
      <c r="V5830" t="s">
        <v>13610</v>
      </c>
      <c r="W5830" t="s">
        <v>19367</v>
      </c>
      <c r="X5830">
        <v>8</v>
      </c>
      <c r="Y5830" t="s">
        <v>25922</v>
      </c>
      <c r="Z5830" t="s">
        <v>32685</v>
      </c>
      <c r="AA5830">
        <v>0.46301960563314148</v>
      </c>
      <c r="AB5830" t="str">
        <f>HYPERLINK("Melting_Curves/meltCurve_Q9H8M7_FAM188A.pdf", "Melting_Curves/meltCurve_Q9H8M7_FAM188A.pdf")</f>
        <v>Melting_Curves/meltCurve_Q9H8M7_FAM188A.pdf</v>
      </c>
    </row>
    <row r="5831" spans="1:28" x14ac:dyDescent="0.25">
      <c r="A5831" t="s">
        <v>5835</v>
      </c>
      <c r="B5831">
        <v>0.995954080203443</v>
      </c>
      <c r="C5831">
        <v>1.0495978371850101</v>
      </c>
      <c r="D5831">
        <v>1.07772731819781</v>
      </c>
      <c r="E5831">
        <v>0.96403977129588903</v>
      </c>
      <c r="F5831">
        <v>0.91711841875927802</v>
      </c>
      <c r="G5831">
        <v>0.60284450537495504</v>
      </c>
      <c r="H5831">
        <v>0.170043724950103</v>
      </c>
      <c r="I5831">
        <v>8.3948525482657604E-2</v>
      </c>
      <c r="J5831">
        <v>8.1840812302794594E-2</v>
      </c>
      <c r="K5831">
        <v>7.6663403708193106E-2</v>
      </c>
      <c r="L5831">
        <v>1866.1347362254701</v>
      </c>
      <c r="M5831">
        <v>32.4966851037941</v>
      </c>
      <c r="N5831">
        <v>57.666654830555402</v>
      </c>
      <c r="O5831">
        <v>57.209236804928402</v>
      </c>
      <c r="P5831">
        <v>-0.132982233174229</v>
      </c>
      <c r="Q5831">
        <v>6.3562811925348101E-2</v>
      </c>
      <c r="R5831">
        <v>0.99407196916973894</v>
      </c>
      <c r="S5831" t="s">
        <v>12637</v>
      </c>
      <c r="T5831" t="s">
        <v>13610</v>
      </c>
      <c r="U5831" t="s">
        <v>13610</v>
      </c>
      <c r="V5831" t="s">
        <v>13610</v>
      </c>
      <c r="W5831" t="s">
        <v>19368</v>
      </c>
      <c r="X5831">
        <v>8</v>
      </c>
      <c r="Y5831" t="s">
        <v>25923</v>
      </c>
      <c r="Z5831" t="s">
        <v>32686</v>
      </c>
      <c r="AA5831">
        <v>0.61288947881063549</v>
      </c>
      <c r="AB5831" t="str">
        <f>HYPERLINK("Melting_Curves/meltCurve_Q9H8S9_MOB1A.pdf", "Melting_Curves/meltCurve_Q9H8S9_MOB1A.pdf")</f>
        <v>Melting_Curves/meltCurve_Q9H8S9_MOB1A.pdf</v>
      </c>
    </row>
    <row r="5832" spans="1:28" x14ac:dyDescent="0.25">
      <c r="A5832" t="s">
        <v>5836</v>
      </c>
      <c r="B5832">
        <v>0.995954080203443</v>
      </c>
      <c r="C5832">
        <v>0.97718003837091505</v>
      </c>
      <c r="D5832">
        <v>0.992452489947101</v>
      </c>
      <c r="E5832">
        <v>0.796756795873102</v>
      </c>
      <c r="F5832">
        <v>0.71845718469773501</v>
      </c>
      <c r="G5832">
        <v>0.53951851466823297</v>
      </c>
      <c r="H5832">
        <v>0.48377234980562001</v>
      </c>
      <c r="I5832">
        <v>0.548439436209331</v>
      </c>
      <c r="J5832">
        <v>0.71656807602959105</v>
      </c>
      <c r="K5832">
        <v>0.67982545674285999</v>
      </c>
      <c r="L5832">
        <v>1500.5578635418501</v>
      </c>
      <c r="M5832">
        <v>29.8184288641229</v>
      </c>
      <c r="O5832">
        <v>50.098480411799699</v>
      </c>
      <c r="P5832">
        <v>-5.9928878800484697E-2</v>
      </c>
      <c r="Q5832">
        <v>0.59725247126507097</v>
      </c>
      <c r="R5832">
        <v>0.86565786983185</v>
      </c>
      <c r="S5832" t="s">
        <v>12638</v>
      </c>
      <c r="T5832" t="s">
        <v>13610</v>
      </c>
      <c r="U5832" t="s">
        <v>13610</v>
      </c>
      <c r="V5832" t="s">
        <v>13610</v>
      </c>
      <c r="W5832" t="s">
        <v>19369</v>
      </c>
      <c r="X5832">
        <v>7</v>
      </c>
      <c r="Y5832" t="s">
        <v>25924</v>
      </c>
      <c r="Z5832" t="s">
        <v>32687</v>
      </c>
      <c r="AA5832">
        <v>0.73837523969277086</v>
      </c>
      <c r="AB5832" t="str">
        <f>HYPERLINK("Melting_Curves/meltCurve_Q9H8U3_ZFAND3.pdf", "Melting_Curves/meltCurve_Q9H8U3_ZFAND3.pdf")</f>
        <v>Melting_Curves/meltCurve_Q9H8U3_ZFAND3.pdf</v>
      </c>
    </row>
    <row r="5833" spans="1:28" x14ac:dyDescent="0.25">
      <c r="A5833" t="s">
        <v>5837</v>
      </c>
      <c r="B5833">
        <v>0.995954080203443</v>
      </c>
      <c r="C5833">
        <v>0.97205788383968605</v>
      </c>
      <c r="D5833">
        <v>0.79920646724736</v>
      </c>
      <c r="E5833">
        <v>0.56562300580513303</v>
      </c>
      <c r="F5833">
        <v>0.34286989699153397</v>
      </c>
      <c r="G5833">
        <v>0.213507504642625</v>
      </c>
      <c r="H5833">
        <v>0.16300740535057701</v>
      </c>
      <c r="I5833">
        <v>0.12178763491933001</v>
      </c>
      <c r="J5833">
        <v>0.150445500769809</v>
      </c>
      <c r="K5833">
        <v>0.129400300052156</v>
      </c>
      <c r="L5833">
        <v>850.89431409397196</v>
      </c>
      <c r="M5833">
        <v>17.088761596044201</v>
      </c>
      <c r="N5833">
        <v>50.627198060905499</v>
      </c>
      <c r="O5833">
        <v>49.125785885475203</v>
      </c>
      <c r="P5833">
        <v>-7.6294049497741406E-2</v>
      </c>
      <c r="Q5833">
        <v>0.122750520945528</v>
      </c>
      <c r="R5833">
        <v>0.99764318708433197</v>
      </c>
      <c r="S5833" t="s">
        <v>12639</v>
      </c>
      <c r="T5833" t="s">
        <v>13610</v>
      </c>
      <c r="U5833" t="s">
        <v>13610</v>
      </c>
      <c r="V5833" t="s">
        <v>13610</v>
      </c>
      <c r="W5833" t="s">
        <v>19370</v>
      </c>
      <c r="X5833">
        <v>7</v>
      </c>
      <c r="Y5833" t="s">
        <v>25925</v>
      </c>
      <c r="Z5833" t="s">
        <v>32688</v>
      </c>
      <c r="AA5833">
        <v>0.42566461654699439</v>
      </c>
      <c r="AB5833" t="str">
        <f>HYPERLINK("Melting_Curves/meltCurve_Q9H8V3_ECT2.pdf", "Melting_Curves/meltCurve_Q9H8V3_ECT2.pdf")</f>
        <v>Melting_Curves/meltCurve_Q9H8V3_ECT2.pdf</v>
      </c>
    </row>
    <row r="5834" spans="1:28" x14ac:dyDescent="0.25">
      <c r="A5834" t="s">
        <v>5838</v>
      </c>
      <c r="B5834">
        <v>0.995954080203443</v>
      </c>
      <c r="C5834">
        <v>0.93555493597759198</v>
      </c>
      <c r="D5834">
        <v>0.87983453206574702</v>
      </c>
      <c r="E5834">
        <v>0.43020102280333</v>
      </c>
      <c r="F5834">
        <v>0.16916848062475001</v>
      </c>
      <c r="G5834">
        <v>0.10302545665358</v>
      </c>
      <c r="H5834">
        <v>6.5727769352268595E-2</v>
      </c>
      <c r="I5834">
        <v>6.8361091593646298E-2</v>
      </c>
      <c r="J5834">
        <v>7.0085838967599803E-2</v>
      </c>
      <c r="K5834">
        <v>9.6547277218914998E-2</v>
      </c>
      <c r="L5834">
        <v>1338.91227179725</v>
      </c>
      <c r="M5834">
        <v>27.272114214864001</v>
      </c>
      <c r="N5834">
        <v>49.382355499895702</v>
      </c>
      <c r="O5834">
        <v>48.8328650239743</v>
      </c>
      <c r="P5834">
        <v>-0.12936213746288899</v>
      </c>
      <c r="Q5834">
        <v>7.3476510548695598E-2</v>
      </c>
      <c r="R5834">
        <v>0.99771461816566598</v>
      </c>
      <c r="S5834" t="s">
        <v>12640</v>
      </c>
      <c r="T5834" t="s">
        <v>13610</v>
      </c>
      <c r="U5834" t="s">
        <v>13610</v>
      </c>
      <c r="V5834" t="s">
        <v>13610</v>
      </c>
      <c r="W5834" t="s">
        <v>19371</v>
      </c>
      <c r="X5834">
        <v>7</v>
      </c>
      <c r="Y5834" t="s">
        <v>25926</v>
      </c>
      <c r="Z5834" t="s">
        <v>32689</v>
      </c>
      <c r="AA5834">
        <v>0.36122448578613542</v>
      </c>
      <c r="AB5834" t="str">
        <f>HYPERLINK("Melting_Curves/meltCurve_Q9H8W4_PLEKHF2.pdf", "Melting_Curves/meltCurve_Q9H8W4_PLEKHF2.pdf")</f>
        <v>Melting_Curves/meltCurve_Q9H8W4_PLEKHF2.pdf</v>
      </c>
    </row>
    <row r="5835" spans="1:28" x14ac:dyDescent="0.25">
      <c r="A5835" t="s">
        <v>5839</v>
      </c>
      <c r="B5835">
        <v>0.995954080203443</v>
      </c>
      <c r="C5835">
        <v>0.744041419120272</v>
      </c>
      <c r="D5835">
        <v>0.83234744984759801</v>
      </c>
      <c r="E5835">
        <v>0.62800139403092503</v>
      </c>
      <c r="F5835">
        <v>0.31673024741092598</v>
      </c>
      <c r="G5835">
        <v>0.16117236511445701</v>
      </c>
      <c r="H5835">
        <v>0.104274995632652</v>
      </c>
      <c r="I5835">
        <v>0.108153220180675</v>
      </c>
      <c r="J5835">
        <v>0.107502929643295</v>
      </c>
      <c r="K5835">
        <v>0.113192539493418</v>
      </c>
      <c r="L5835">
        <v>677.30802022057003</v>
      </c>
      <c r="M5835">
        <v>13.5078486783817</v>
      </c>
      <c r="N5835">
        <v>50.587725833982198</v>
      </c>
      <c r="O5835">
        <v>49.081130151946297</v>
      </c>
      <c r="P5835">
        <v>-6.4951896560117295E-2</v>
      </c>
      <c r="Q5835">
        <v>5.6125799144392502E-2</v>
      </c>
      <c r="R5835">
        <v>0.95785475721531999</v>
      </c>
      <c r="S5835" t="s">
        <v>12641</v>
      </c>
      <c r="T5835" t="s">
        <v>13610</v>
      </c>
      <c r="U5835" t="s">
        <v>13610</v>
      </c>
      <c r="V5835" t="s">
        <v>13610</v>
      </c>
      <c r="W5835" t="s">
        <v>19372</v>
      </c>
      <c r="X5835">
        <v>15</v>
      </c>
      <c r="Y5835" t="s">
        <v>25927</v>
      </c>
      <c r="Z5835" t="s">
        <v>32690</v>
      </c>
      <c r="AA5835">
        <v>0.4020125070262176</v>
      </c>
      <c r="AB5835" t="str">
        <f>HYPERLINK("Melting_Curves/meltCurve_Q9H8Y5_ANKZF1.pdf", "Melting_Curves/meltCurve_Q9H8Y5_ANKZF1.pdf")</f>
        <v>Melting_Curves/meltCurve_Q9H8Y5_ANKZF1.pdf</v>
      </c>
    </row>
    <row r="5836" spans="1:28" x14ac:dyDescent="0.25">
      <c r="A5836" t="s">
        <v>5840</v>
      </c>
      <c r="B5836">
        <v>0.995954080203443</v>
      </c>
      <c r="C5836">
        <v>0.96204097581169701</v>
      </c>
      <c r="D5836">
        <v>0.78727047076088996</v>
      </c>
      <c r="E5836">
        <v>0.47105433325274099</v>
      </c>
      <c r="F5836">
        <v>0.33192252500407499</v>
      </c>
      <c r="G5836">
        <v>0.213246766701263</v>
      </c>
      <c r="H5836">
        <v>0.19872409609285899</v>
      </c>
      <c r="I5836">
        <v>0.223789027931389</v>
      </c>
      <c r="J5836">
        <v>0.35699745733345301</v>
      </c>
      <c r="K5836">
        <v>0.25887958530979899</v>
      </c>
      <c r="L5836">
        <v>1127.20903220475</v>
      </c>
      <c r="M5836">
        <v>23.494999554620001</v>
      </c>
      <c r="N5836">
        <v>49.422427076357302</v>
      </c>
      <c r="O5836">
        <v>47.633044607452497</v>
      </c>
      <c r="P5836">
        <v>-9.2665008457124595E-2</v>
      </c>
      <c r="Q5836">
        <v>0.248548091854188</v>
      </c>
      <c r="R5836">
        <v>0.97915390159461102</v>
      </c>
      <c r="S5836" t="s">
        <v>12642</v>
      </c>
      <c r="T5836" t="s">
        <v>13610</v>
      </c>
      <c r="U5836" t="s">
        <v>13610</v>
      </c>
      <c r="V5836" t="s">
        <v>13610</v>
      </c>
      <c r="W5836" t="s">
        <v>19373</v>
      </c>
      <c r="X5836">
        <v>12</v>
      </c>
      <c r="Y5836" t="s">
        <v>25928</v>
      </c>
      <c r="Z5836" t="s">
        <v>32691</v>
      </c>
      <c r="AA5836">
        <v>0.45592869528054131</v>
      </c>
      <c r="AB5836" t="str">
        <f>HYPERLINK("Melting_Curves/meltCurve_Q9H8Y8_GORASP2.pdf", "Melting_Curves/meltCurve_Q9H8Y8_GORASP2.pdf")</f>
        <v>Melting_Curves/meltCurve_Q9H8Y8_GORASP2.pdf</v>
      </c>
    </row>
    <row r="5837" spans="1:28" x14ac:dyDescent="0.25">
      <c r="A5837" t="s">
        <v>5841</v>
      </c>
      <c r="B5837">
        <v>0.995954080203443</v>
      </c>
      <c r="C5837">
        <v>0.72098440942893005</v>
      </c>
      <c r="D5837">
        <v>0.48972077931476599</v>
      </c>
      <c r="E5837">
        <v>0.50974910729808798</v>
      </c>
      <c r="F5837">
        <v>0.249092065725914</v>
      </c>
      <c r="G5837">
        <v>0.11977323569697</v>
      </c>
      <c r="H5837">
        <v>5.9254578992141899E-2</v>
      </c>
      <c r="I5837">
        <v>4.49913023531524E-2</v>
      </c>
      <c r="J5837">
        <v>4.8869182555980703E-2</v>
      </c>
      <c r="K5837">
        <v>4.35787540723718E-2</v>
      </c>
      <c r="L5837">
        <v>511.84665060253099</v>
      </c>
      <c r="M5837">
        <v>10.731249221825401</v>
      </c>
      <c r="N5837">
        <v>47.696838442778997</v>
      </c>
      <c r="O5837">
        <v>46.130057434916303</v>
      </c>
      <c r="P5837">
        <v>-5.8179159754764599E-2</v>
      </c>
      <c r="Q5837">
        <v>0</v>
      </c>
      <c r="R5837">
        <v>0.95601963035172399</v>
      </c>
      <c r="S5837" t="s">
        <v>12643</v>
      </c>
      <c r="T5837" t="s">
        <v>13610</v>
      </c>
      <c r="U5837" t="s">
        <v>13610</v>
      </c>
      <c r="V5837" t="s">
        <v>13610</v>
      </c>
      <c r="W5837" t="s">
        <v>19374</v>
      </c>
      <c r="X5837">
        <v>8</v>
      </c>
      <c r="Y5837" t="s">
        <v>25929</v>
      </c>
      <c r="Z5837" t="s">
        <v>32692</v>
      </c>
      <c r="AA5837">
        <v>0.30498533060177591</v>
      </c>
      <c r="AB5837" t="str">
        <f>HYPERLINK("Melting_Curves/meltCurve_Q9H900_ZWILCH.pdf", "Melting_Curves/meltCurve_Q9H900_ZWILCH.pdf")</f>
        <v>Melting_Curves/meltCurve_Q9H900_ZWILCH.pdf</v>
      </c>
    </row>
    <row r="5838" spans="1:28" x14ac:dyDescent="0.25">
      <c r="A5838" t="s">
        <v>5842</v>
      </c>
      <c r="B5838">
        <v>0.995954080203443</v>
      </c>
      <c r="C5838">
        <v>0.88521017376160904</v>
      </c>
      <c r="D5838">
        <v>0.827547723168228</v>
      </c>
      <c r="E5838">
        <v>0.78422380285086002</v>
      </c>
      <c r="F5838">
        <v>0.75810470314596901</v>
      </c>
      <c r="G5838">
        <v>0.65764916415334396</v>
      </c>
      <c r="H5838">
        <v>0.62122270672417501</v>
      </c>
      <c r="I5838">
        <v>0.77582547898946896</v>
      </c>
      <c r="J5838">
        <v>1.0524521861037699</v>
      </c>
      <c r="K5838">
        <v>0.85311491704253095</v>
      </c>
      <c r="L5838">
        <v>1387.0354983848899</v>
      </c>
      <c r="M5838">
        <v>32.2974200702457</v>
      </c>
      <c r="O5838">
        <v>42.782090927098999</v>
      </c>
      <c r="P5838">
        <v>-4.01175958151802E-2</v>
      </c>
      <c r="Q5838">
        <v>0.787437457762868</v>
      </c>
      <c r="R5838">
        <v>0.26087249702073301</v>
      </c>
      <c r="S5838" t="s">
        <v>12644</v>
      </c>
      <c r="T5838" t="s">
        <v>13610</v>
      </c>
      <c r="U5838" t="s">
        <v>13610</v>
      </c>
      <c r="V5838" t="s">
        <v>13610</v>
      </c>
      <c r="W5838" t="s">
        <v>19375</v>
      </c>
      <c r="X5838">
        <v>13</v>
      </c>
      <c r="Y5838" t="s">
        <v>20364</v>
      </c>
      <c r="Z5838" t="s">
        <v>32693</v>
      </c>
      <c r="AA5838">
        <v>0.80996686316148436</v>
      </c>
      <c r="AB5838" t="str">
        <f>HYPERLINK("Melting_Curves/meltCurve_Q9H910_2_HN1L.pdf", "Melting_Curves/meltCurve_Q9H910_2_HN1L.pdf")</f>
        <v>Melting_Curves/meltCurve_Q9H910_2_HN1L.pdf</v>
      </c>
    </row>
    <row r="5839" spans="1:28" x14ac:dyDescent="0.25">
      <c r="A5839" t="s">
        <v>5843</v>
      </c>
      <c r="B5839">
        <v>0.995954080203443</v>
      </c>
      <c r="C5839">
        <v>0.96344272205889603</v>
      </c>
      <c r="D5839">
        <v>0.49664850219519202</v>
      </c>
      <c r="E5839">
        <v>0.388597252011741</v>
      </c>
      <c r="F5839">
        <v>0.160632566022513</v>
      </c>
      <c r="G5839">
        <v>0.104842869731713</v>
      </c>
      <c r="H5839">
        <v>7.7605938978769107E-2</v>
      </c>
      <c r="I5839">
        <v>7.7430782157613107E-2</v>
      </c>
      <c r="J5839">
        <v>9.9515549951084095E-2</v>
      </c>
      <c r="K5839">
        <v>8.6564410172096595E-2</v>
      </c>
      <c r="L5839">
        <v>895.56499365783804</v>
      </c>
      <c r="M5839">
        <v>19.142374666916201</v>
      </c>
      <c r="N5839">
        <v>47.246831374244103</v>
      </c>
      <c r="O5839">
        <v>46.282821651262502</v>
      </c>
      <c r="P5839">
        <v>-9.4570031168236604E-2</v>
      </c>
      <c r="Q5839">
        <v>8.5422042163096595E-2</v>
      </c>
      <c r="R5839">
        <v>0.97010240836557005</v>
      </c>
      <c r="S5839" t="s">
        <v>12645</v>
      </c>
      <c r="T5839" t="s">
        <v>13610</v>
      </c>
      <c r="U5839" t="s">
        <v>13610</v>
      </c>
      <c r="V5839" t="s">
        <v>13610</v>
      </c>
      <c r="W5839" t="s">
        <v>19376</v>
      </c>
      <c r="X5839">
        <v>16</v>
      </c>
      <c r="Y5839" t="s">
        <v>25930</v>
      </c>
      <c r="Z5839" t="s">
        <v>32694</v>
      </c>
      <c r="AA5839">
        <v>0.30714847111715199</v>
      </c>
      <c r="AB5839" t="str">
        <f>HYPERLINK("Melting_Curves/meltCurve_Q9H939_PSTPIP2.pdf", "Melting_Curves/meltCurve_Q9H939_PSTPIP2.pdf")</f>
        <v>Melting_Curves/meltCurve_Q9H939_PSTPIP2.pdf</v>
      </c>
    </row>
    <row r="5840" spans="1:28" x14ac:dyDescent="0.25">
      <c r="A5840" t="s">
        <v>5844</v>
      </c>
      <c r="B5840">
        <v>0.995954080203443</v>
      </c>
      <c r="C5840">
        <v>0.95708548450207698</v>
      </c>
      <c r="D5840">
        <v>1.0883966898901101</v>
      </c>
      <c r="E5840">
        <v>0.85059060254650598</v>
      </c>
      <c r="F5840">
        <v>0.67738082868589899</v>
      </c>
      <c r="G5840">
        <v>0.30176552150909097</v>
      </c>
      <c r="H5840">
        <v>9.9877145459793898E-2</v>
      </c>
      <c r="I5840">
        <v>7.669924992379E-2</v>
      </c>
      <c r="J5840">
        <v>8.4017259474621603E-2</v>
      </c>
      <c r="K5840">
        <v>7.3233808610906906E-2</v>
      </c>
      <c r="L5840">
        <v>1290.9175683026299</v>
      </c>
      <c r="M5840">
        <v>23.7639017809622</v>
      </c>
      <c r="N5840">
        <v>54.6149097798071</v>
      </c>
      <c r="O5840">
        <v>53.942335079262499</v>
      </c>
      <c r="P5840">
        <v>-0.103561035552662</v>
      </c>
      <c r="Q5840">
        <v>5.9711282810618799E-2</v>
      </c>
      <c r="R5840">
        <v>0.99113959348476499</v>
      </c>
      <c r="S5840" t="s">
        <v>12646</v>
      </c>
      <c r="T5840" t="s">
        <v>13610</v>
      </c>
      <c r="U5840" t="s">
        <v>13610</v>
      </c>
      <c r="V5840" t="s">
        <v>13610</v>
      </c>
      <c r="W5840" t="s">
        <v>19377</v>
      </c>
      <c r="X5840">
        <v>9</v>
      </c>
      <c r="Y5840" t="s">
        <v>25931</v>
      </c>
      <c r="Z5840" t="s">
        <v>32695</v>
      </c>
      <c r="AA5840">
        <v>0.51815310091539013</v>
      </c>
      <c r="AB5840" t="str">
        <f>HYPERLINK("Melting_Curves/meltCurve_Q9H944_MED20.pdf", "Melting_Curves/meltCurve_Q9H944_MED20.pdf")</f>
        <v>Melting_Curves/meltCurve_Q9H944_MED20.pdf</v>
      </c>
    </row>
    <row r="5841" spans="1:28" x14ac:dyDescent="0.25">
      <c r="A5841" t="s">
        <v>5845</v>
      </c>
      <c r="B5841">
        <v>0.995954080203443</v>
      </c>
      <c r="C5841">
        <v>0.95814641752685303</v>
      </c>
      <c r="D5841">
        <v>0.63952124780390496</v>
      </c>
      <c r="E5841">
        <v>0.30618705906441501</v>
      </c>
      <c r="F5841">
        <v>0.18067012051741799</v>
      </c>
      <c r="G5841">
        <v>0.12819213367596</v>
      </c>
      <c r="H5841">
        <v>8.5291193045806402E-2</v>
      </c>
      <c r="I5841">
        <v>9.4642596853129299E-2</v>
      </c>
      <c r="J5841">
        <v>0.117406843882602</v>
      </c>
      <c r="K5841">
        <v>9.6265907760888697E-2</v>
      </c>
      <c r="L5841">
        <v>1076.03580226091</v>
      </c>
      <c r="M5841">
        <v>22.843082112408101</v>
      </c>
      <c r="N5841">
        <v>47.583549220145699</v>
      </c>
      <c r="O5841">
        <v>46.7489944100952</v>
      </c>
      <c r="P5841">
        <v>-0.109636167399859</v>
      </c>
      <c r="Q5841">
        <v>0.102523562610272</v>
      </c>
      <c r="R5841">
        <v>0.99633073599163902</v>
      </c>
      <c r="S5841" t="s">
        <v>12647</v>
      </c>
      <c r="T5841" t="s">
        <v>13610</v>
      </c>
      <c r="U5841" t="s">
        <v>13610</v>
      </c>
      <c r="V5841" t="s">
        <v>13610</v>
      </c>
      <c r="W5841" t="s">
        <v>19378</v>
      </c>
      <c r="X5841">
        <v>5</v>
      </c>
      <c r="Y5841" t="s">
        <v>25932</v>
      </c>
      <c r="Z5841" t="s">
        <v>32696</v>
      </c>
      <c r="AA5841">
        <v>0.32484874311036438</v>
      </c>
      <c r="AB5841" t="str">
        <f>HYPERLINK("Melting_Curves/meltCurve_Q9H967_WDR76.pdf", "Melting_Curves/meltCurve_Q9H967_WDR76.pdf")</f>
        <v>Melting_Curves/meltCurve_Q9H967_WDR76.pdf</v>
      </c>
    </row>
    <row r="5842" spans="1:28" x14ac:dyDescent="0.25">
      <c r="A5842" t="s">
        <v>5846</v>
      </c>
      <c r="B5842">
        <v>0.995954080203443</v>
      </c>
      <c r="C5842">
        <v>0.91820618401713805</v>
      </c>
      <c r="D5842">
        <v>0.76944010938069396</v>
      </c>
      <c r="E5842">
        <v>0.68088664162811396</v>
      </c>
      <c r="F5842">
        <v>0.44052031335360098</v>
      </c>
      <c r="G5842">
        <v>0.25738661747978497</v>
      </c>
      <c r="H5842">
        <v>0.100567491700273</v>
      </c>
      <c r="I5842">
        <v>8.6550184254526305E-2</v>
      </c>
      <c r="J5842">
        <v>9.0765703457799995E-2</v>
      </c>
      <c r="K5842">
        <v>8.3154150234787505E-2</v>
      </c>
      <c r="L5842">
        <v>642.42390859183297</v>
      </c>
      <c r="M5842">
        <v>12.389339974367299</v>
      </c>
      <c r="N5842">
        <v>51.991428307622698</v>
      </c>
      <c r="O5842">
        <v>50.557602513666602</v>
      </c>
      <c r="P5842">
        <v>-6.02820555093685E-2</v>
      </c>
      <c r="Q5842">
        <v>1.62293711596764E-2</v>
      </c>
      <c r="R5842">
        <v>0.99022762626629302</v>
      </c>
      <c r="S5842" t="s">
        <v>12648</v>
      </c>
      <c r="T5842" t="s">
        <v>13610</v>
      </c>
      <c r="U5842" t="s">
        <v>13610</v>
      </c>
      <c r="V5842" t="s">
        <v>13610</v>
      </c>
      <c r="W5842" t="s">
        <v>19379</v>
      </c>
      <c r="X5842">
        <v>13</v>
      </c>
      <c r="Y5842" t="s">
        <v>25933</v>
      </c>
      <c r="Z5842" t="s">
        <v>32697</v>
      </c>
      <c r="AA5842">
        <v>0.43405987773374438</v>
      </c>
      <c r="AB5842" t="str">
        <f>HYPERLINK("Melting_Curves/meltCurve_Q9H974_QTRTD1.pdf", "Melting_Curves/meltCurve_Q9H974_QTRTD1.pdf")</f>
        <v>Melting_Curves/meltCurve_Q9H974_QTRTD1.pdf</v>
      </c>
    </row>
    <row r="5843" spans="1:28" x14ac:dyDescent="0.25">
      <c r="A5843" t="s">
        <v>5847</v>
      </c>
      <c r="B5843">
        <v>0.995954080203443</v>
      </c>
      <c r="C5843">
        <v>1.00844989776622</v>
      </c>
      <c r="D5843">
        <v>0.88029806828204904</v>
      </c>
      <c r="E5843">
        <v>0.24707414061889901</v>
      </c>
      <c r="F5843">
        <v>0.10423344940818299</v>
      </c>
      <c r="G5843">
        <v>6.3283873667047894E-2</v>
      </c>
      <c r="H5843">
        <v>3.9855280901242997E-2</v>
      </c>
      <c r="I5843">
        <v>3.4666275226756998E-2</v>
      </c>
      <c r="J5843">
        <v>3.4784033335127397E-2</v>
      </c>
      <c r="K5843">
        <v>2.8861759314335999E-2</v>
      </c>
      <c r="L5843">
        <v>1819.54233047961</v>
      </c>
      <c r="M5843">
        <v>37.645081177306203</v>
      </c>
      <c r="N5843">
        <v>48.451405398112101</v>
      </c>
      <c r="O5843">
        <v>48.198343301522897</v>
      </c>
      <c r="P5843">
        <v>-0.18675917046401699</v>
      </c>
      <c r="Q5843">
        <v>4.3544728804251399E-2</v>
      </c>
      <c r="R5843">
        <v>0.99894326981581905</v>
      </c>
      <c r="S5843" t="s">
        <v>12649</v>
      </c>
      <c r="T5843" t="s">
        <v>13610</v>
      </c>
      <c r="U5843" t="s">
        <v>13610</v>
      </c>
      <c r="V5843" t="s">
        <v>13610</v>
      </c>
      <c r="W5843" t="s">
        <v>19380</v>
      </c>
      <c r="X5843">
        <v>11</v>
      </c>
      <c r="Y5843" t="s">
        <v>25934</v>
      </c>
      <c r="Z5843" t="s">
        <v>32698</v>
      </c>
      <c r="AA5843">
        <v>0.31287496082182342</v>
      </c>
      <c r="AB5843" t="str">
        <f>HYPERLINK("Melting_Curves/meltCurve_Q9H993_C6orf211.pdf", "Melting_Curves/meltCurve_Q9H993_C6orf211.pdf")</f>
        <v>Melting_Curves/meltCurve_Q9H993_C6orf211.pdf</v>
      </c>
    </row>
    <row r="5844" spans="1:28" x14ac:dyDescent="0.25">
      <c r="A5844" t="s">
        <v>5848</v>
      </c>
      <c r="B5844">
        <v>0.995954080203443</v>
      </c>
      <c r="C5844">
        <v>0.99690861254799401</v>
      </c>
      <c r="D5844">
        <v>0.89542493462759098</v>
      </c>
      <c r="E5844">
        <v>0.75126233266902498</v>
      </c>
      <c r="F5844">
        <v>0.35738493356381501</v>
      </c>
      <c r="G5844">
        <v>9.7240138228293305E-2</v>
      </c>
      <c r="H5844">
        <v>6.0322416892164603E-2</v>
      </c>
      <c r="I5844">
        <v>6.3557308143344607E-2</v>
      </c>
      <c r="J5844">
        <v>5.5791652940050999E-2</v>
      </c>
      <c r="K5844">
        <v>4.2562418896637699E-2</v>
      </c>
      <c r="L5844">
        <v>1422.69691457452</v>
      </c>
      <c r="M5844">
        <v>27.537240313496699</v>
      </c>
      <c r="N5844">
        <v>51.847913769814298</v>
      </c>
      <c r="O5844">
        <v>51.394314532209897</v>
      </c>
      <c r="P5844">
        <v>-0.12773447045707201</v>
      </c>
      <c r="Q5844">
        <v>4.6416384287816602E-2</v>
      </c>
      <c r="R5844">
        <v>0.99601656235215097</v>
      </c>
      <c r="S5844" t="s">
        <v>12650</v>
      </c>
      <c r="T5844" t="s">
        <v>13610</v>
      </c>
      <c r="U5844" t="s">
        <v>13610</v>
      </c>
      <c r="V5844" t="s">
        <v>13610</v>
      </c>
      <c r="W5844" t="s">
        <v>19381</v>
      </c>
      <c r="X5844">
        <v>8</v>
      </c>
      <c r="Y5844" t="s">
        <v>25935</v>
      </c>
      <c r="Z5844" t="s">
        <v>32699</v>
      </c>
      <c r="AA5844">
        <v>0.42436591328754669</v>
      </c>
      <c r="AB5844" t="str">
        <f>HYPERLINK("Melting_Curves/meltCurve_Q9H999_PANK3.pdf", "Melting_Curves/meltCurve_Q9H999_PANK3.pdf")</f>
        <v>Melting_Curves/meltCurve_Q9H999_PANK3.pdf</v>
      </c>
    </row>
    <row r="5845" spans="1:28" x14ac:dyDescent="0.25">
      <c r="A5845" t="s">
        <v>5849</v>
      </c>
      <c r="B5845">
        <v>0.995954080203443</v>
      </c>
      <c r="C5845">
        <v>0.89359757316897903</v>
      </c>
      <c r="D5845">
        <v>0.84780720579864599</v>
      </c>
      <c r="E5845">
        <v>0.63485260244005104</v>
      </c>
      <c r="F5845">
        <v>0.24889121905011799</v>
      </c>
      <c r="G5845">
        <v>0.13583806084189501</v>
      </c>
      <c r="H5845">
        <v>8.7521639793500902E-2</v>
      </c>
      <c r="I5845">
        <v>8.7884352655637502E-2</v>
      </c>
      <c r="J5845">
        <v>9.4408068574757198E-2</v>
      </c>
      <c r="K5845">
        <v>8.8863563205586901E-2</v>
      </c>
      <c r="L5845">
        <v>1058.79066107322</v>
      </c>
      <c r="M5845">
        <v>21.062086010413399</v>
      </c>
      <c r="N5845">
        <v>50.6527299662948</v>
      </c>
      <c r="O5845">
        <v>49.823397269560999</v>
      </c>
      <c r="P5845">
        <v>-9.7911511624724806E-2</v>
      </c>
      <c r="Q5845">
        <v>7.3566639548216406E-2</v>
      </c>
      <c r="R5845">
        <v>0.986980065478955</v>
      </c>
      <c r="S5845" t="s">
        <v>12651</v>
      </c>
      <c r="T5845" t="s">
        <v>13610</v>
      </c>
      <c r="U5845" t="s">
        <v>13610</v>
      </c>
      <c r="V5845" t="s">
        <v>13610</v>
      </c>
      <c r="W5845" t="s">
        <v>19382</v>
      </c>
      <c r="X5845">
        <v>20</v>
      </c>
      <c r="Y5845" t="s">
        <v>25936</v>
      </c>
      <c r="Z5845" t="s">
        <v>32700</v>
      </c>
      <c r="AA5845">
        <v>0.40236933617437592</v>
      </c>
      <c r="AB5845" t="str">
        <f>HYPERLINK("Melting_Curves/meltCurve_Q9H9A5_2_CNOT10.pdf", "Melting_Curves/meltCurve_Q9H9A5_2_CNOT10.pdf")</f>
        <v>Melting_Curves/meltCurve_Q9H9A5_2_CNOT10.pdf</v>
      </c>
    </row>
    <row r="5846" spans="1:28" x14ac:dyDescent="0.25">
      <c r="A5846" t="s">
        <v>5850</v>
      </c>
      <c r="B5846">
        <v>0.995954080203443</v>
      </c>
      <c r="C5846">
        <v>1.0274830629238101</v>
      </c>
      <c r="D5846">
        <v>0.91827995302566001</v>
      </c>
      <c r="E5846">
        <v>0.55493311456391403</v>
      </c>
      <c r="F5846">
        <v>0.17085957953098199</v>
      </c>
      <c r="G5846">
        <v>9.0235096212942706E-2</v>
      </c>
      <c r="H5846">
        <v>5.8700484710904097E-2</v>
      </c>
      <c r="I5846">
        <v>4.9219873546429198E-2</v>
      </c>
      <c r="J5846">
        <v>4.82723789184566E-2</v>
      </c>
      <c r="K5846">
        <v>4.6559706822857601E-2</v>
      </c>
      <c r="L5846">
        <v>1591.4140330043999</v>
      </c>
      <c r="M5846">
        <v>31.7672677508906</v>
      </c>
      <c r="N5846">
        <v>50.266518996352197</v>
      </c>
      <c r="O5846">
        <v>49.898762199569397</v>
      </c>
      <c r="P5846">
        <v>-0.151030928879098</v>
      </c>
      <c r="Q5846">
        <v>5.1071288083849899E-2</v>
      </c>
      <c r="R5846">
        <v>0.99821094903929097</v>
      </c>
      <c r="S5846" t="s">
        <v>12652</v>
      </c>
      <c r="T5846" t="s">
        <v>13610</v>
      </c>
      <c r="U5846" t="s">
        <v>13610</v>
      </c>
      <c r="V5846" t="s">
        <v>13610</v>
      </c>
      <c r="W5846" t="s">
        <v>19383</v>
      </c>
      <c r="X5846">
        <v>28</v>
      </c>
      <c r="Y5846" t="s">
        <v>25937</v>
      </c>
      <c r="Z5846" t="s">
        <v>32701</v>
      </c>
      <c r="AA5846">
        <v>0.3756543945625121</v>
      </c>
      <c r="AB5846" t="str">
        <f>HYPERLINK("Melting_Curves/meltCurve_Q9H9A6_LRRC40.pdf", "Melting_Curves/meltCurve_Q9H9A6_LRRC40.pdf")</f>
        <v>Melting_Curves/meltCurve_Q9H9A6_LRRC40.pdf</v>
      </c>
    </row>
    <row r="5847" spans="1:28" x14ac:dyDescent="0.25">
      <c r="A5847" t="s">
        <v>5851</v>
      </c>
      <c r="B5847">
        <v>0.995954080203443</v>
      </c>
      <c r="C5847">
        <v>0.95940198910663299</v>
      </c>
      <c r="D5847">
        <v>1.1598151568791699</v>
      </c>
      <c r="E5847">
        <v>0.880606915036802</v>
      </c>
      <c r="F5847">
        <v>1.0739657947798</v>
      </c>
      <c r="G5847">
        <v>0.76298415006708897</v>
      </c>
      <c r="H5847">
        <v>0.55761327815764306</v>
      </c>
      <c r="I5847">
        <v>0.56669613393262397</v>
      </c>
      <c r="J5847">
        <v>0.51759879978835699</v>
      </c>
      <c r="K5847">
        <v>0.54410811477301302</v>
      </c>
      <c r="L5847">
        <v>14244.834178347901</v>
      </c>
      <c r="M5847">
        <v>250</v>
      </c>
      <c r="O5847">
        <v>56.975679624825197</v>
      </c>
      <c r="P5847">
        <v>-0.49746646781431803</v>
      </c>
      <c r="Q5847">
        <v>0.54650407289414304</v>
      </c>
      <c r="R5847">
        <v>0.90964163300676404</v>
      </c>
      <c r="S5847" t="s">
        <v>12653</v>
      </c>
      <c r="T5847" t="s">
        <v>13610</v>
      </c>
      <c r="U5847" t="s">
        <v>13610</v>
      </c>
      <c r="V5847" t="s">
        <v>13610</v>
      </c>
      <c r="W5847" t="s">
        <v>19384</v>
      </c>
      <c r="X5847">
        <v>2</v>
      </c>
      <c r="Y5847" t="s">
        <v>25938</v>
      </c>
      <c r="Z5847" t="s">
        <v>32702</v>
      </c>
      <c r="AA5847">
        <v>0.80321808966084762</v>
      </c>
      <c r="AB5847" t="str">
        <f>HYPERLINK("Melting_Curves/meltCurve_Q9H9A7_RMI1.pdf", "Melting_Curves/meltCurve_Q9H9A7_RMI1.pdf")</f>
        <v>Melting_Curves/meltCurve_Q9H9A7_RMI1.pdf</v>
      </c>
    </row>
    <row r="5848" spans="1:28" x14ac:dyDescent="0.25">
      <c r="A5848" t="s">
        <v>5852</v>
      </c>
      <c r="B5848">
        <v>0.995954080203443</v>
      </c>
      <c r="C5848">
        <v>0.93799071346702101</v>
      </c>
      <c r="D5848">
        <v>0.82557485948009401</v>
      </c>
      <c r="E5848">
        <v>0.58952478116771601</v>
      </c>
      <c r="F5848">
        <v>0.42505961794042701</v>
      </c>
      <c r="G5848">
        <v>0.29726517644971701</v>
      </c>
      <c r="H5848">
        <v>0.274067980230423</v>
      </c>
      <c r="I5848">
        <v>0.30939251802675799</v>
      </c>
      <c r="J5848">
        <v>0.37326387928042798</v>
      </c>
      <c r="K5848">
        <v>0.36248876662138801</v>
      </c>
      <c r="L5848">
        <v>992.71566695157696</v>
      </c>
      <c r="M5848">
        <v>20.418479959210099</v>
      </c>
      <c r="N5848">
        <v>51.125942693861397</v>
      </c>
      <c r="O5848">
        <v>48.159359379643497</v>
      </c>
      <c r="P5848">
        <v>-7.2468327484690703E-2</v>
      </c>
      <c r="Q5848">
        <v>0.316320670161922</v>
      </c>
      <c r="R5848">
        <v>0.98335164477570303</v>
      </c>
      <c r="S5848" t="s">
        <v>12654</v>
      </c>
      <c r="T5848" t="s">
        <v>13610</v>
      </c>
      <c r="U5848" t="s">
        <v>13610</v>
      </c>
      <c r="V5848" t="s">
        <v>13610</v>
      </c>
      <c r="W5848" t="s">
        <v>19385</v>
      </c>
      <c r="X5848">
        <v>23</v>
      </c>
      <c r="Y5848" t="s">
        <v>25939</v>
      </c>
      <c r="Z5848" t="s">
        <v>32703</v>
      </c>
      <c r="AA5848">
        <v>0.521944113219587</v>
      </c>
      <c r="AB5848" t="str">
        <f>HYPERLINK("Melting_Curves/meltCurve_Q9H9B1_EHMT1.pdf", "Melting_Curves/meltCurve_Q9H9B1_EHMT1.pdf")</f>
        <v>Melting_Curves/meltCurve_Q9H9B1_EHMT1.pdf</v>
      </c>
    </row>
    <row r="5849" spans="1:28" x14ac:dyDescent="0.25">
      <c r="A5849" t="s">
        <v>5853</v>
      </c>
      <c r="B5849">
        <v>0.995954080203443</v>
      </c>
      <c r="C5849">
        <v>0.939232086568904</v>
      </c>
      <c r="D5849">
        <v>0.75630398971135904</v>
      </c>
      <c r="E5849">
        <v>0.70255842596057105</v>
      </c>
      <c r="F5849">
        <v>0.49315636347209901</v>
      </c>
      <c r="G5849">
        <v>9.5288202925453105E-2</v>
      </c>
      <c r="H5849">
        <v>6.2230380706744699E-2</v>
      </c>
      <c r="I5849">
        <v>3.6162216750663501E-2</v>
      </c>
      <c r="J5849">
        <v>3.53775945928455E-2</v>
      </c>
      <c r="K5849">
        <v>3.7558083264733602E-2</v>
      </c>
      <c r="L5849">
        <v>813.768613385707</v>
      </c>
      <c r="M5849">
        <v>15.685567002067099</v>
      </c>
      <c r="N5849">
        <v>51.880068322253003</v>
      </c>
      <c r="O5849">
        <v>51.0588033792</v>
      </c>
      <c r="P5849">
        <v>-7.6807996744881604E-2</v>
      </c>
      <c r="Q5849">
        <v>0</v>
      </c>
      <c r="R5849">
        <v>0.97494806928679001</v>
      </c>
      <c r="S5849" t="s">
        <v>12655</v>
      </c>
      <c r="T5849" t="s">
        <v>13610</v>
      </c>
      <c r="U5849" t="s">
        <v>13610</v>
      </c>
      <c r="V5849" t="s">
        <v>13610</v>
      </c>
      <c r="W5849" t="s">
        <v>19386</v>
      </c>
      <c r="X5849">
        <v>2</v>
      </c>
      <c r="Y5849" t="s">
        <v>25940</v>
      </c>
      <c r="Z5849" t="s">
        <v>32704</v>
      </c>
      <c r="AA5849">
        <v>0.41693461460274239</v>
      </c>
      <c r="AB5849" t="str">
        <f>HYPERLINK("Melting_Curves/meltCurve_Q9H9B4_SFXN1.pdf", "Melting_Curves/meltCurve_Q9H9B4_SFXN1.pdf")</f>
        <v>Melting_Curves/meltCurve_Q9H9B4_SFXN1.pdf</v>
      </c>
    </row>
    <row r="5850" spans="1:28" x14ac:dyDescent="0.25">
      <c r="A5850" t="s">
        <v>5854</v>
      </c>
      <c r="B5850">
        <v>0.995954080203443</v>
      </c>
      <c r="C5850">
        <v>0.76112350718457</v>
      </c>
      <c r="D5850">
        <v>0.59121035222118101</v>
      </c>
      <c r="E5850">
        <v>0.37476421808371801</v>
      </c>
      <c r="F5850">
        <v>0.28011232435352601</v>
      </c>
      <c r="G5850">
        <v>0.193171483376849</v>
      </c>
      <c r="H5850">
        <v>0.17774242662425099</v>
      </c>
      <c r="I5850">
        <v>0.20259898853283401</v>
      </c>
      <c r="J5850">
        <v>0.26992635547826199</v>
      </c>
      <c r="K5850">
        <v>0.241067268232143</v>
      </c>
      <c r="L5850">
        <v>802.36050785394798</v>
      </c>
      <c r="M5850">
        <v>17.574817544638702</v>
      </c>
      <c r="N5850">
        <v>47.141251307780202</v>
      </c>
      <c r="O5850">
        <v>45.075209015077398</v>
      </c>
      <c r="P5850">
        <v>-7.6735334871331204E-2</v>
      </c>
      <c r="Q5850">
        <v>0.21281145905861701</v>
      </c>
      <c r="R5850">
        <v>0.98080115270883295</v>
      </c>
      <c r="S5850" t="s">
        <v>12656</v>
      </c>
      <c r="T5850" t="s">
        <v>13610</v>
      </c>
      <c r="U5850" t="s">
        <v>13610</v>
      </c>
      <c r="V5850" t="s">
        <v>13610</v>
      </c>
      <c r="W5850" t="s">
        <v>19387</v>
      </c>
      <c r="X5850">
        <v>11</v>
      </c>
      <c r="Y5850" t="s">
        <v>25941</v>
      </c>
      <c r="Z5850" t="s">
        <v>32705</v>
      </c>
      <c r="AA5850">
        <v>0.37794872253494699</v>
      </c>
      <c r="AB5850" t="str">
        <f>HYPERLINK("Melting_Curves/meltCurve_Q9H9C1_2_VIPAS39.pdf", "Melting_Curves/meltCurve_Q9H9C1_2_VIPAS39.pdf")</f>
        <v>Melting_Curves/meltCurve_Q9H9C1_2_VIPAS39.pdf</v>
      </c>
    </row>
    <row r="5851" spans="1:28" x14ac:dyDescent="0.25">
      <c r="A5851" t="s">
        <v>5855</v>
      </c>
      <c r="B5851">
        <v>0.995954080203443</v>
      </c>
      <c r="C5851">
        <v>0.72647755812925396</v>
      </c>
      <c r="D5851">
        <v>0.35927632261887898</v>
      </c>
      <c r="E5851">
        <v>0.24724221323732401</v>
      </c>
      <c r="F5851">
        <v>0.14406740354564099</v>
      </c>
      <c r="G5851">
        <v>8.8387169076256503E-2</v>
      </c>
      <c r="H5851">
        <v>6.7051337665709004E-2</v>
      </c>
      <c r="I5851">
        <v>6.1820391149369699E-2</v>
      </c>
      <c r="J5851">
        <v>6.7429579428275294E-2</v>
      </c>
      <c r="K5851">
        <v>6.3302165559349505E-2</v>
      </c>
      <c r="L5851">
        <v>938.29274229804798</v>
      </c>
      <c r="M5851">
        <v>20.9842034156087</v>
      </c>
      <c r="N5851">
        <v>45.090859342180103</v>
      </c>
      <c r="O5851">
        <v>44.314121135755101</v>
      </c>
      <c r="P5851">
        <v>-0.10886953047135001</v>
      </c>
      <c r="Q5851">
        <v>8.0389051398535499E-2</v>
      </c>
      <c r="R5851">
        <v>0.98432112210939005</v>
      </c>
      <c r="S5851" t="s">
        <v>12657</v>
      </c>
      <c r="T5851" t="s">
        <v>13610</v>
      </c>
      <c r="U5851" t="s">
        <v>13610</v>
      </c>
      <c r="V5851" t="s">
        <v>13610</v>
      </c>
      <c r="W5851" t="s">
        <v>19388</v>
      </c>
      <c r="X5851">
        <v>23</v>
      </c>
      <c r="Y5851" t="s">
        <v>25942</v>
      </c>
      <c r="Z5851" t="s">
        <v>32706</v>
      </c>
      <c r="AA5851">
        <v>0.23929269504234141</v>
      </c>
      <c r="AB5851" t="str">
        <f>HYPERLINK("Melting_Curves/meltCurve_Q9H9E3_COG4.pdf", "Melting_Curves/meltCurve_Q9H9E3_COG4.pdf")</f>
        <v>Melting_Curves/meltCurve_Q9H9E3_COG4.pdf</v>
      </c>
    </row>
    <row r="5852" spans="1:28" x14ac:dyDescent="0.25">
      <c r="A5852" t="s">
        <v>5856</v>
      </c>
      <c r="B5852">
        <v>0.995954080203443</v>
      </c>
      <c r="C5852">
        <v>0.85095800103437302</v>
      </c>
      <c r="D5852">
        <v>0.95354344614877096</v>
      </c>
      <c r="E5852">
        <v>0.71907171010958304</v>
      </c>
      <c r="F5852">
        <v>0.76893987586475898</v>
      </c>
      <c r="G5852">
        <v>0.62180187364804096</v>
      </c>
      <c r="H5852">
        <v>0.53822128708837702</v>
      </c>
      <c r="I5852">
        <v>0.542628752246746</v>
      </c>
      <c r="J5852">
        <v>0.52491297499980405</v>
      </c>
      <c r="K5852">
        <v>0.65163412006263999</v>
      </c>
      <c r="L5852">
        <v>587.75058789248703</v>
      </c>
      <c r="M5852">
        <v>11.731399234783</v>
      </c>
      <c r="O5852">
        <v>48.711329457772003</v>
      </c>
      <c r="P5852">
        <v>-2.76595029951274E-2</v>
      </c>
      <c r="Q5852">
        <v>0.54072779987140496</v>
      </c>
      <c r="R5852">
        <v>0.86353014376704196</v>
      </c>
      <c r="S5852" t="s">
        <v>12658</v>
      </c>
      <c r="T5852" t="s">
        <v>13610</v>
      </c>
      <c r="U5852" t="s">
        <v>13610</v>
      </c>
      <c r="V5852" t="s">
        <v>13610</v>
      </c>
      <c r="W5852" t="s">
        <v>19389</v>
      </c>
      <c r="X5852">
        <v>2</v>
      </c>
      <c r="Y5852" t="s">
        <v>25943</v>
      </c>
      <c r="Z5852" t="s">
        <v>32707</v>
      </c>
      <c r="AA5852">
        <v>0.71172316145070746</v>
      </c>
      <c r="AB5852" t="str">
        <f>HYPERLINK("Melting_Curves/meltCurve_Q9H9F9_ACTR5.pdf", "Melting_Curves/meltCurve_Q9H9F9_ACTR5.pdf")</f>
        <v>Melting_Curves/meltCurve_Q9H9F9_ACTR5.pdf</v>
      </c>
    </row>
    <row r="5853" spans="1:28" x14ac:dyDescent="0.25">
      <c r="A5853" t="s">
        <v>5857</v>
      </c>
      <c r="B5853">
        <v>0.995954080203443</v>
      </c>
      <c r="C5853">
        <v>0.83012181887764103</v>
      </c>
      <c r="D5853">
        <v>0.69184411106328503</v>
      </c>
      <c r="E5853">
        <v>0.77441042329908805</v>
      </c>
      <c r="F5853">
        <v>0.60595706936474503</v>
      </c>
      <c r="G5853">
        <v>0.49523644769858299</v>
      </c>
      <c r="H5853">
        <v>0.283774836654138</v>
      </c>
      <c r="I5853">
        <v>0.24853993878351699</v>
      </c>
      <c r="J5853">
        <v>0.16082254052126599</v>
      </c>
      <c r="K5853">
        <v>9.7747486707394998E-2</v>
      </c>
      <c r="L5853">
        <v>435.10118058057401</v>
      </c>
      <c r="M5853">
        <v>7.9134146780480599</v>
      </c>
      <c r="N5853">
        <v>54.982734771431502</v>
      </c>
      <c r="O5853">
        <v>51.804025833002903</v>
      </c>
      <c r="P5853">
        <v>-3.8234167258054397E-2</v>
      </c>
      <c r="Q5853">
        <v>0</v>
      </c>
      <c r="R5853">
        <v>0.95013554344012097</v>
      </c>
      <c r="S5853" t="s">
        <v>12659</v>
      </c>
      <c r="T5853" t="s">
        <v>13610</v>
      </c>
      <c r="U5853" t="s">
        <v>13610</v>
      </c>
      <c r="V5853" t="s">
        <v>13610</v>
      </c>
      <c r="W5853" t="s">
        <v>19390</v>
      </c>
      <c r="X5853">
        <v>22</v>
      </c>
      <c r="Y5853" t="s">
        <v>25944</v>
      </c>
      <c r="Z5853" t="s">
        <v>32708</v>
      </c>
      <c r="AA5853">
        <v>0.52672561036317311</v>
      </c>
      <c r="AB5853" t="str">
        <f>HYPERLINK("Melting_Curves/meltCurve_Q9H9G7_AGO3.pdf", "Melting_Curves/meltCurve_Q9H9G7_AGO3.pdf")</f>
        <v>Melting_Curves/meltCurve_Q9H9G7_AGO3.pdf</v>
      </c>
    </row>
    <row r="5854" spans="1:28" x14ac:dyDescent="0.25">
      <c r="A5854" t="s">
        <v>5858</v>
      </c>
      <c r="B5854">
        <v>0.995954080203443</v>
      </c>
      <c r="C5854">
        <v>1.05025002353957</v>
      </c>
      <c r="D5854">
        <v>0.97313759194502303</v>
      </c>
      <c r="E5854">
        <v>0.74374955627127604</v>
      </c>
      <c r="F5854">
        <v>0.30715768586295999</v>
      </c>
      <c r="G5854">
        <v>0.15057423107566301</v>
      </c>
      <c r="H5854">
        <v>7.4050135384920696E-2</v>
      </c>
      <c r="I5854">
        <v>6.64611099904725E-2</v>
      </c>
      <c r="J5854">
        <v>7.0486858533072905E-2</v>
      </c>
      <c r="K5854">
        <v>5.6059383011552097E-2</v>
      </c>
      <c r="L5854">
        <v>1684.4768232401</v>
      </c>
      <c r="M5854">
        <v>32.774117541647698</v>
      </c>
      <c r="N5854">
        <v>51.644188679535901</v>
      </c>
      <c r="O5854">
        <v>51.206341444811102</v>
      </c>
      <c r="P5854">
        <v>-0.148376065245614</v>
      </c>
      <c r="Q5854">
        <v>7.2712099188453602E-2</v>
      </c>
      <c r="R5854">
        <v>0.99694438905524296</v>
      </c>
      <c r="S5854" t="s">
        <v>12660</v>
      </c>
      <c r="T5854" t="s">
        <v>13610</v>
      </c>
      <c r="U5854" t="s">
        <v>13610</v>
      </c>
      <c r="V5854" t="s">
        <v>13610</v>
      </c>
      <c r="W5854" t="s">
        <v>19391</v>
      </c>
      <c r="X5854">
        <v>6</v>
      </c>
      <c r="Y5854" t="s">
        <v>25945</v>
      </c>
      <c r="Z5854" t="s">
        <v>32709</v>
      </c>
      <c r="AA5854">
        <v>0.429891525265446</v>
      </c>
      <c r="AB5854" t="str">
        <f>HYPERLINK("Melting_Curves/meltCurve_Q9H9H4_VPS37B.pdf", "Melting_Curves/meltCurve_Q9H9H4_VPS37B.pdf")</f>
        <v>Melting_Curves/meltCurve_Q9H9H4_VPS37B.pdf</v>
      </c>
    </row>
    <row r="5855" spans="1:28" x14ac:dyDescent="0.25">
      <c r="A5855" t="s">
        <v>5859</v>
      </c>
      <c r="B5855">
        <v>0.995954080203443</v>
      </c>
      <c r="C5855">
        <v>0.93462879008778699</v>
      </c>
      <c r="D5855">
        <v>1.3139011250416699</v>
      </c>
      <c r="E5855">
        <v>0.83707329366243499</v>
      </c>
      <c r="F5855">
        <v>0.83712889380732802</v>
      </c>
      <c r="G5855">
        <v>0.51586561340154702</v>
      </c>
      <c r="H5855">
        <v>0.54239865391196396</v>
      </c>
      <c r="I5855">
        <v>0.63020041426260198</v>
      </c>
      <c r="J5855">
        <v>0.85234357911398695</v>
      </c>
      <c r="K5855">
        <v>0.88975060185094001</v>
      </c>
      <c r="L5855">
        <v>2043.44027872943</v>
      </c>
      <c r="M5855">
        <v>40.1458948766521</v>
      </c>
      <c r="O5855">
        <v>50.774560841415401</v>
      </c>
      <c r="P5855">
        <v>-5.9862533813470703E-2</v>
      </c>
      <c r="Q5855">
        <v>0.69715590273453598</v>
      </c>
      <c r="R5855">
        <v>0.51500668203183497</v>
      </c>
      <c r="S5855" t="s">
        <v>12661</v>
      </c>
      <c r="T5855" t="s">
        <v>13610</v>
      </c>
      <c r="U5855" t="s">
        <v>13610</v>
      </c>
      <c r="V5855" t="s">
        <v>13610</v>
      </c>
      <c r="W5855" t="s">
        <v>19392</v>
      </c>
      <c r="X5855">
        <v>3</v>
      </c>
      <c r="Y5855" t="s">
        <v>25946</v>
      </c>
      <c r="Z5855" t="s">
        <v>32710</v>
      </c>
      <c r="AA5855">
        <v>0.8082505416032284</v>
      </c>
      <c r="AB5855" t="str">
        <f>HYPERLINK("Melting_Curves/meltCurve_Q9H9J2_MRPL44.pdf", "Melting_Curves/meltCurve_Q9H9J2_MRPL44.pdf")</f>
        <v>Melting_Curves/meltCurve_Q9H9J2_MRPL44.pdf</v>
      </c>
    </row>
    <row r="5856" spans="1:28" x14ac:dyDescent="0.25">
      <c r="A5856" t="s">
        <v>5860</v>
      </c>
      <c r="B5856">
        <v>0.995954080203443</v>
      </c>
      <c r="C5856">
        <v>1.0586400870411901</v>
      </c>
      <c r="D5856">
        <v>1.0520596189249301</v>
      </c>
      <c r="E5856">
        <v>0.91254082481640297</v>
      </c>
      <c r="F5856">
        <v>0.89774467496974397</v>
      </c>
      <c r="G5856">
        <v>0.67452682694002997</v>
      </c>
      <c r="H5856">
        <v>0.65735521409414999</v>
      </c>
      <c r="I5856">
        <v>0.71421676486379804</v>
      </c>
      <c r="J5856">
        <v>0.86347718473308099</v>
      </c>
      <c r="K5856">
        <v>0.86393113409125999</v>
      </c>
      <c r="L5856">
        <v>1995.84999266822</v>
      </c>
      <c r="M5856">
        <v>38.076920013149397</v>
      </c>
      <c r="O5856">
        <v>52.272317556136699</v>
      </c>
      <c r="P5856">
        <v>-4.4237033093486103E-2</v>
      </c>
      <c r="Q5856">
        <v>0.75708472474775002</v>
      </c>
      <c r="R5856">
        <v>0.71954084129431695</v>
      </c>
      <c r="S5856" t="s">
        <v>12662</v>
      </c>
      <c r="T5856" t="s">
        <v>13610</v>
      </c>
      <c r="U5856" t="s">
        <v>13610</v>
      </c>
      <c r="V5856" t="s">
        <v>13610</v>
      </c>
      <c r="W5856" t="s">
        <v>19393</v>
      </c>
      <c r="X5856">
        <v>3</v>
      </c>
      <c r="Y5856" t="s">
        <v>25947</v>
      </c>
      <c r="Z5856" t="s">
        <v>32711</v>
      </c>
      <c r="AA5856">
        <v>0.85859240730246955</v>
      </c>
      <c r="AB5856" t="str">
        <f>HYPERLINK("Melting_Curves/meltCurve_Q9H9L3_ISG20L2.pdf", "Melting_Curves/meltCurve_Q9H9L3_ISG20L2.pdf")</f>
        <v>Melting_Curves/meltCurve_Q9H9L3_ISG20L2.pdf</v>
      </c>
    </row>
    <row r="5857" spans="1:28" x14ac:dyDescent="0.25">
      <c r="A5857" t="s">
        <v>5861</v>
      </c>
      <c r="B5857">
        <v>0.995954080203443</v>
      </c>
      <c r="C5857">
        <v>1.0150215536918199</v>
      </c>
      <c r="D5857">
        <v>0.84920787155295296</v>
      </c>
      <c r="E5857">
        <v>0.80540740929337495</v>
      </c>
      <c r="F5857">
        <v>0.65372940008151204</v>
      </c>
      <c r="G5857">
        <v>0.27403645661956</v>
      </c>
      <c r="H5857">
        <v>8.6223173542635007E-2</v>
      </c>
      <c r="I5857">
        <v>5.1163652472121901E-2</v>
      </c>
      <c r="J5857">
        <v>3.5464700797792202E-2</v>
      </c>
      <c r="K5857">
        <v>3.5634857070532301E-2</v>
      </c>
      <c r="L5857">
        <v>970.87269674037304</v>
      </c>
      <c r="M5857">
        <v>17.9171027896559</v>
      </c>
      <c r="N5857">
        <v>54.186924673479403</v>
      </c>
      <c r="O5857">
        <v>53.5254393045158</v>
      </c>
      <c r="P5857">
        <v>-8.3689191108102398E-2</v>
      </c>
      <c r="Q5857">
        <v>0</v>
      </c>
      <c r="R5857">
        <v>0.98879540906060004</v>
      </c>
      <c r="S5857" t="s">
        <v>12663</v>
      </c>
      <c r="T5857" t="s">
        <v>13610</v>
      </c>
      <c r="U5857" t="s">
        <v>13610</v>
      </c>
      <c r="V5857" t="s">
        <v>13610</v>
      </c>
      <c r="W5857" t="s">
        <v>19394</v>
      </c>
      <c r="X5857">
        <v>6</v>
      </c>
      <c r="Y5857" t="s">
        <v>25948</v>
      </c>
      <c r="Z5857" t="s">
        <v>32712</v>
      </c>
      <c r="AA5857">
        <v>0.4889191358361592</v>
      </c>
      <c r="AB5857" t="str">
        <f>HYPERLINK("Melting_Curves/meltCurve_Q9H9Q4_NHEJ1.pdf", "Melting_Curves/meltCurve_Q9H9Q4_NHEJ1.pdf")</f>
        <v>Melting_Curves/meltCurve_Q9H9Q4_NHEJ1.pdf</v>
      </c>
    </row>
    <row r="5858" spans="1:28" x14ac:dyDescent="0.25">
      <c r="A5858" t="s">
        <v>5862</v>
      </c>
      <c r="B5858">
        <v>0.995954080203443</v>
      </c>
      <c r="C5858">
        <v>0.98528670443977395</v>
      </c>
      <c r="D5858">
        <v>0.96464148657012705</v>
      </c>
      <c r="E5858">
        <v>0.84280571472708499</v>
      </c>
      <c r="F5858">
        <v>0.76251701542707295</v>
      </c>
      <c r="G5858">
        <v>0.25929280994828102</v>
      </c>
      <c r="H5858">
        <v>0.121239919047766</v>
      </c>
      <c r="I5858">
        <v>0.114031800488684</v>
      </c>
      <c r="J5858">
        <v>0.14150741301494801</v>
      </c>
      <c r="K5858">
        <v>0.11899453181508</v>
      </c>
      <c r="L5858">
        <v>1598.40870906695</v>
      </c>
      <c r="M5858">
        <v>29.4302482062892</v>
      </c>
      <c r="N5858">
        <v>54.769174360407398</v>
      </c>
      <c r="O5858">
        <v>54.062858505238303</v>
      </c>
      <c r="P5858">
        <v>-0.12126535786142199</v>
      </c>
      <c r="Q5858">
        <v>0.10895682302780101</v>
      </c>
      <c r="R5858">
        <v>0.99026148257871904</v>
      </c>
      <c r="S5858" t="s">
        <v>12664</v>
      </c>
      <c r="T5858" t="s">
        <v>13610</v>
      </c>
      <c r="U5858" t="s">
        <v>13610</v>
      </c>
      <c r="V5858" t="s">
        <v>13610</v>
      </c>
      <c r="W5858" t="s">
        <v>19395</v>
      </c>
      <c r="X5858">
        <v>13</v>
      </c>
      <c r="Y5858" t="s">
        <v>25949</v>
      </c>
      <c r="Z5858" t="s">
        <v>32713</v>
      </c>
      <c r="AA5858">
        <v>0.54012936887095386</v>
      </c>
      <c r="AB5858" t="str">
        <f>HYPERLINK("Melting_Curves/meltCurve_Q9H9S4_CAB39L.pdf", "Melting_Curves/meltCurve_Q9H9S4_CAB39L.pdf")</f>
        <v>Melting_Curves/meltCurve_Q9H9S4_CAB39L.pdf</v>
      </c>
    </row>
    <row r="5859" spans="1:28" x14ac:dyDescent="0.25">
      <c r="A5859" t="s">
        <v>5863</v>
      </c>
      <c r="B5859">
        <v>0.995954080203443</v>
      </c>
      <c r="C5859">
        <v>0.720046746542228</v>
      </c>
      <c r="D5859">
        <v>0.50350848556436101</v>
      </c>
      <c r="E5859">
        <v>0.74987118093975202</v>
      </c>
      <c r="F5859">
        <v>0.50089914654683798</v>
      </c>
      <c r="G5859">
        <v>0.19415390833472901</v>
      </c>
      <c r="H5859">
        <v>8.1200728695549895E-2</v>
      </c>
      <c r="I5859">
        <v>6.7097038228224701E-2</v>
      </c>
      <c r="J5859">
        <v>7.2362052502063096E-2</v>
      </c>
      <c r="K5859">
        <v>6.7487796815524803E-2</v>
      </c>
      <c r="L5859">
        <v>454.62000343755</v>
      </c>
      <c r="M5859">
        <v>9.0263067595808906</v>
      </c>
      <c r="N5859">
        <v>50.366115767253703</v>
      </c>
      <c r="O5859">
        <v>48.078377206148801</v>
      </c>
      <c r="P5859">
        <v>-4.6969087120597303E-2</v>
      </c>
      <c r="Q5859">
        <v>0</v>
      </c>
      <c r="R5859">
        <v>0.86812927803515505</v>
      </c>
      <c r="S5859" t="s">
        <v>12665</v>
      </c>
      <c r="T5859" t="s">
        <v>13610</v>
      </c>
      <c r="U5859" t="s">
        <v>13610</v>
      </c>
      <c r="V5859" t="s">
        <v>13610</v>
      </c>
      <c r="W5859" t="s">
        <v>19396</v>
      </c>
      <c r="X5859">
        <v>22</v>
      </c>
      <c r="Y5859" t="s">
        <v>25950</v>
      </c>
      <c r="Z5859" t="s">
        <v>32714</v>
      </c>
      <c r="AA5859">
        <v>0.3954803801929011</v>
      </c>
      <c r="AB5859" t="str">
        <f>HYPERLINK("Melting_Curves/meltCurve_Q9H9T3_2_ELP3.pdf", "Melting_Curves/meltCurve_Q9H9T3_2_ELP3.pdf")</f>
        <v>Melting_Curves/meltCurve_Q9H9T3_2_ELP3.pdf</v>
      </c>
    </row>
    <row r="5860" spans="1:28" x14ac:dyDescent="0.25">
      <c r="A5860" t="s">
        <v>5864</v>
      </c>
      <c r="B5860">
        <v>0.995954080203443</v>
      </c>
      <c r="C5860">
        <v>0.948804701376879</v>
      </c>
      <c r="D5860">
        <v>0.76981688869854303</v>
      </c>
      <c r="E5860">
        <v>0.473319132983752</v>
      </c>
      <c r="F5860">
        <v>0.29607849047790702</v>
      </c>
      <c r="G5860">
        <v>0.16964085977655999</v>
      </c>
      <c r="H5860">
        <v>0.15022257874571801</v>
      </c>
      <c r="I5860">
        <v>0.18305372599876299</v>
      </c>
      <c r="J5860">
        <v>0.21965856696260999</v>
      </c>
      <c r="K5860">
        <v>0.20514316320956799</v>
      </c>
      <c r="L5860">
        <v>1001.0742154691</v>
      </c>
      <c r="M5860">
        <v>20.708963242013098</v>
      </c>
      <c r="N5860">
        <v>49.387411301363699</v>
      </c>
      <c r="O5860">
        <v>47.896157077771498</v>
      </c>
      <c r="P5860">
        <v>-8.88869914138328E-2</v>
      </c>
      <c r="Q5860">
        <v>0.17770396586568801</v>
      </c>
      <c r="R5860">
        <v>0.99387116062433101</v>
      </c>
      <c r="S5860" t="s">
        <v>12666</v>
      </c>
      <c r="T5860" t="s">
        <v>13610</v>
      </c>
      <c r="U5860" t="s">
        <v>13610</v>
      </c>
      <c r="V5860" t="s">
        <v>13610</v>
      </c>
      <c r="W5860" t="s">
        <v>19397</v>
      </c>
      <c r="X5860">
        <v>6</v>
      </c>
      <c r="Y5860" t="s">
        <v>25951</v>
      </c>
      <c r="Z5860" t="s">
        <v>32715</v>
      </c>
      <c r="AA5860">
        <v>0.41710284760901212</v>
      </c>
      <c r="AB5860" t="str">
        <f>HYPERLINK("Melting_Curves/meltCurve_Q9H9V9_2_JMJD4.pdf", "Melting_Curves/meltCurve_Q9H9V9_2_JMJD4.pdf")</f>
        <v>Melting_Curves/meltCurve_Q9H9V9_2_JMJD4.pdf</v>
      </c>
    </row>
    <row r="5861" spans="1:28" x14ac:dyDescent="0.25">
      <c r="A5861" t="s">
        <v>5865</v>
      </c>
      <c r="B5861">
        <v>0.995954080203443</v>
      </c>
      <c r="C5861">
        <v>0.95704815684482503</v>
      </c>
      <c r="D5861">
        <v>0.87050560587441395</v>
      </c>
      <c r="E5861">
        <v>0.76070634290516803</v>
      </c>
      <c r="F5861">
        <v>0.49189860706959199</v>
      </c>
      <c r="G5861">
        <v>0.29423600519913401</v>
      </c>
      <c r="H5861">
        <v>0.158516213202442</v>
      </c>
      <c r="I5861">
        <v>0.115114685761361</v>
      </c>
      <c r="J5861">
        <v>0.12697781800035701</v>
      </c>
      <c r="K5861">
        <v>9.9098913161102406E-2</v>
      </c>
      <c r="L5861">
        <v>823.42344641740999</v>
      </c>
      <c r="M5861">
        <v>15.6518305229815</v>
      </c>
      <c r="N5861">
        <v>53.170167764906203</v>
      </c>
      <c r="O5861">
        <v>51.772440797949002</v>
      </c>
      <c r="P5861">
        <v>-6.9829420714664595E-2</v>
      </c>
      <c r="Q5861">
        <v>7.6164178827540299E-2</v>
      </c>
      <c r="R5861">
        <v>0.99593012438805995</v>
      </c>
      <c r="S5861" t="s">
        <v>12667</v>
      </c>
      <c r="T5861" t="s">
        <v>13610</v>
      </c>
      <c r="U5861" t="s">
        <v>13610</v>
      </c>
      <c r="V5861" t="s">
        <v>13610</v>
      </c>
      <c r="W5861" t="s">
        <v>19398</v>
      </c>
      <c r="X5861">
        <v>5</v>
      </c>
      <c r="Y5861" t="s">
        <v>25952</v>
      </c>
      <c r="Z5861" t="s">
        <v>32716</v>
      </c>
      <c r="AA5861">
        <v>0.4834170689991229</v>
      </c>
      <c r="AB5861" t="str">
        <f>HYPERLINK("Melting_Curves/meltCurve_Q9H9Y4_GPN2.pdf", "Melting_Curves/meltCurve_Q9H9Y4_GPN2.pdf")</f>
        <v>Melting_Curves/meltCurve_Q9H9Y4_GPN2.pdf</v>
      </c>
    </row>
    <row r="5862" spans="1:28" x14ac:dyDescent="0.25">
      <c r="A5862" t="s">
        <v>5866</v>
      </c>
      <c r="B5862">
        <v>0.995954080203443</v>
      </c>
      <c r="C5862">
        <v>0.63912454511388594</v>
      </c>
      <c r="D5862">
        <v>0.37161642266189798</v>
      </c>
      <c r="E5862">
        <v>0.34517780873374398</v>
      </c>
      <c r="F5862">
        <v>0.16328056539236099</v>
      </c>
      <c r="G5862">
        <v>0.101620925033042</v>
      </c>
      <c r="H5862">
        <v>7.71406928549737E-2</v>
      </c>
      <c r="I5862">
        <v>7.1611368730642E-2</v>
      </c>
      <c r="J5862">
        <v>8.0578946820772102E-2</v>
      </c>
      <c r="K5862">
        <v>8.23890747307153E-2</v>
      </c>
      <c r="L5862">
        <v>714.76870364299498</v>
      </c>
      <c r="M5862">
        <v>15.9810002865848</v>
      </c>
      <c r="N5862">
        <v>45.247913206492001</v>
      </c>
      <c r="O5862">
        <v>44.043389884203798</v>
      </c>
      <c r="P5862">
        <v>-8.3084919724425402E-2</v>
      </c>
      <c r="Q5862">
        <v>8.4148944909167106E-2</v>
      </c>
      <c r="R5862">
        <v>0.95784729869515095</v>
      </c>
      <c r="S5862" t="s">
        <v>12668</v>
      </c>
      <c r="T5862" t="s">
        <v>13610</v>
      </c>
      <c r="U5862" t="s">
        <v>13610</v>
      </c>
      <c r="V5862" t="s">
        <v>13610</v>
      </c>
      <c r="W5862" t="s">
        <v>19399</v>
      </c>
      <c r="X5862">
        <v>7</v>
      </c>
      <c r="Y5862" t="s">
        <v>25953</v>
      </c>
      <c r="Z5862" t="s">
        <v>32717</v>
      </c>
      <c r="AA5862">
        <v>0.25495136252894529</v>
      </c>
      <c r="AB5862" t="str">
        <f>HYPERLINK("Melting_Curves/meltCurve_Q9H9Y6_2_POLR1B.pdf", "Melting_Curves/meltCurve_Q9H9Y6_2_POLR1B.pdf")</f>
        <v>Melting_Curves/meltCurve_Q9H9Y6_2_POLR1B.pdf</v>
      </c>
    </row>
    <row r="5863" spans="1:28" x14ac:dyDescent="0.25">
      <c r="A5863" t="s">
        <v>5867</v>
      </c>
      <c r="B5863">
        <v>0.995954080203443</v>
      </c>
      <c r="C5863">
        <v>1.01337788650618</v>
      </c>
      <c r="D5863">
        <v>1.0204964054523999</v>
      </c>
      <c r="E5863">
        <v>0.85115822694503496</v>
      </c>
      <c r="F5863">
        <v>0.73874955318558899</v>
      </c>
      <c r="G5863">
        <v>0.58344687312356003</v>
      </c>
      <c r="H5863">
        <v>0.51274822895365002</v>
      </c>
      <c r="I5863">
        <v>0.51729148097628797</v>
      </c>
      <c r="J5863">
        <v>0.65012415488818498</v>
      </c>
      <c r="K5863">
        <v>0.61900535431853898</v>
      </c>
      <c r="L5863">
        <v>1476.9029618360501</v>
      </c>
      <c r="M5863">
        <v>28.616893520608802</v>
      </c>
      <c r="O5863">
        <v>51.359441360616103</v>
      </c>
      <c r="P5863">
        <v>-5.95324279870212E-2</v>
      </c>
      <c r="Q5863">
        <v>0.57262622664931595</v>
      </c>
      <c r="R5863">
        <v>0.95064937995629295</v>
      </c>
      <c r="S5863" t="s">
        <v>12669</v>
      </c>
      <c r="T5863" t="s">
        <v>13610</v>
      </c>
      <c r="U5863" t="s">
        <v>13610</v>
      </c>
      <c r="V5863" t="s">
        <v>13610</v>
      </c>
      <c r="W5863" t="s">
        <v>19400</v>
      </c>
      <c r="X5863">
        <v>3</v>
      </c>
      <c r="Y5863" t="s">
        <v>25954</v>
      </c>
      <c r="Z5863" t="s">
        <v>32718</v>
      </c>
      <c r="AA5863">
        <v>0.740993017139428</v>
      </c>
      <c r="AB5863" t="str">
        <f>HYPERLINK("Melting_Curves/meltCurve_Q9HA38_2_ZMAT3.pdf", "Melting_Curves/meltCurve_Q9HA38_2_ZMAT3.pdf")</f>
        <v>Melting_Curves/meltCurve_Q9HA38_2_ZMAT3.pdf</v>
      </c>
    </row>
    <row r="5864" spans="1:28" x14ac:dyDescent="0.25">
      <c r="A5864" t="s">
        <v>5868</v>
      </c>
      <c r="B5864">
        <v>0.995954080203443</v>
      </c>
      <c r="C5864">
        <v>0.89141152641616594</v>
      </c>
      <c r="D5864">
        <v>0.81206245662718701</v>
      </c>
      <c r="E5864">
        <v>0.45924646155832</v>
      </c>
      <c r="F5864">
        <v>0.27052517226610401</v>
      </c>
      <c r="G5864">
        <v>0.134804052034012</v>
      </c>
      <c r="H5864">
        <v>0.143854284898985</v>
      </c>
      <c r="I5864">
        <v>7.3517996598969099E-2</v>
      </c>
      <c r="J5864">
        <v>7.1372090239840202E-2</v>
      </c>
      <c r="K5864">
        <v>6.6140488896826694E-2</v>
      </c>
      <c r="L5864">
        <v>858.73615564775901</v>
      </c>
      <c r="M5864">
        <v>17.469156203119901</v>
      </c>
      <c r="N5864">
        <v>49.583682955920203</v>
      </c>
      <c r="O5864">
        <v>48.526687519625703</v>
      </c>
      <c r="P5864">
        <v>-8.3725453055471799E-2</v>
      </c>
      <c r="Q5864">
        <v>6.9744858564888795E-2</v>
      </c>
      <c r="R5864">
        <v>0.99597704149870103</v>
      </c>
      <c r="S5864" t="s">
        <v>12670</v>
      </c>
      <c r="T5864" t="s">
        <v>13610</v>
      </c>
      <c r="U5864" t="s">
        <v>13610</v>
      </c>
      <c r="V5864" t="s">
        <v>13610</v>
      </c>
      <c r="W5864" t="s">
        <v>19401</v>
      </c>
      <c r="X5864">
        <v>5</v>
      </c>
      <c r="Y5864" t="s">
        <v>25955</v>
      </c>
      <c r="Z5864" t="s">
        <v>32719</v>
      </c>
      <c r="AA5864">
        <v>0.37074178227833982</v>
      </c>
      <c r="AB5864" t="str">
        <f>HYPERLINK("Melting_Curves/meltCurve_Q9HA47_3_UCK1.pdf", "Melting_Curves/meltCurve_Q9HA47_3_UCK1.pdf")</f>
        <v>Melting_Curves/meltCurve_Q9HA47_3_UCK1.pdf</v>
      </c>
    </row>
    <row r="5865" spans="1:28" x14ac:dyDescent="0.25">
      <c r="A5865" t="s">
        <v>5869</v>
      </c>
      <c r="B5865">
        <v>0.995954080203443</v>
      </c>
      <c r="C5865">
        <v>0.92729664260155498</v>
      </c>
      <c r="D5865">
        <v>0.95503477475960297</v>
      </c>
      <c r="E5865">
        <v>0.85688111602420003</v>
      </c>
      <c r="F5865">
        <v>0.83985017189676903</v>
      </c>
      <c r="G5865">
        <v>0.63469950725012902</v>
      </c>
      <c r="H5865">
        <v>0.41829445947349397</v>
      </c>
      <c r="I5865">
        <v>0.19925357161165</v>
      </c>
      <c r="J5865">
        <v>0.101161134220472</v>
      </c>
      <c r="K5865">
        <v>0.108078746279879</v>
      </c>
      <c r="L5865">
        <v>841.52752483207598</v>
      </c>
      <c r="M5865">
        <v>14.3081165214001</v>
      </c>
      <c r="N5865">
        <v>58.814696304110903</v>
      </c>
      <c r="O5865">
        <v>57.701607514602202</v>
      </c>
      <c r="P5865">
        <v>-6.1999380312227799E-2</v>
      </c>
      <c r="Q5865">
        <v>0</v>
      </c>
      <c r="R5865">
        <v>0.98610275501759104</v>
      </c>
      <c r="S5865" t="s">
        <v>12671</v>
      </c>
      <c r="T5865" t="s">
        <v>13610</v>
      </c>
      <c r="U5865" t="s">
        <v>13610</v>
      </c>
      <c r="V5865" t="s">
        <v>13610</v>
      </c>
      <c r="W5865" t="s">
        <v>19402</v>
      </c>
      <c r="X5865">
        <v>14</v>
      </c>
      <c r="Y5865" t="s">
        <v>25956</v>
      </c>
      <c r="Z5865" t="s">
        <v>32720</v>
      </c>
      <c r="AA5865">
        <v>0.63800810444266487</v>
      </c>
      <c r="AB5865" t="str">
        <f>HYPERLINK("Melting_Curves/meltCurve_Q9HA64_FN3KRP.pdf", "Melting_Curves/meltCurve_Q9HA64_FN3KRP.pdf")</f>
        <v>Melting_Curves/meltCurve_Q9HA64_FN3KRP.pdf</v>
      </c>
    </row>
    <row r="5866" spans="1:28" x14ac:dyDescent="0.25">
      <c r="A5866" t="s">
        <v>5870</v>
      </c>
      <c r="B5866">
        <v>0.995954080203443</v>
      </c>
      <c r="C5866">
        <v>0.94123138263227901</v>
      </c>
      <c r="D5866">
        <v>0.88065475182047204</v>
      </c>
      <c r="E5866">
        <v>0.66703684766260696</v>
      </c>
      <c r="F5866">
        <v>0.30222972713753199</v>
      </c>
      <c r="G5866">
        <v>0.14129618977299099</v>
      </c>
      <c r="H5866">
        <v>9.2749643647514493E-2</v>
      </c>
      <c r="I5866">
        <v>8.7144705123668897E-2</v>
      </c>
      <c r="J5866">
        <v>8.9149129474743793E-2</v>
      </c>
      <c r="K5866">
        <v>8.1316161770040196E-2</v>
      </c>
      <c r="L5866">
        <v>1170.823037013</v>
      </c>
      <c r="M5866">
        <v>23.042356787628702</v>
      </c>
      <c r="N5866">
        <v>51.178597175908799</v>
      </c>
      <c r="O5866">
        <v>50.433715813736598</v>
      </c>
      <c r="P5866">
        <v>-0.105528534472899</v>
      </c>
      <c r="Q5866">
        <v>7.61193315492317E-2</v>
      </c>
      <c r="R5866">
        <v>0.995042490963577</v>
      </c>
      <c r="S5866" t="s">
        <v>12672</v>
      </c>
      <c r="T5866" t="s">
        <v>13610</v>
      </c>
      <c r="U5866" t="s">
        <v>13610</v>
      </c>
      <c r="V5866" t="s">
        <v>13610</v>
      </c>
      <c r="W5866" t="s">
        <v>19403</v>
      </c>
      <c r="X5866">
        <v>7</v>
      </c>
      <c r="Y5866" t="s">
        <v>25957</v>
      </c>
      <c r="Z5866" t="s">
        <v>32721</v>
      </c>
      <c r="AA5866">
        <v>0.41885444549401851</v>
      </c>
      <c r="AB5866" t="str">
        <f>HYPERLINK("Melting_Curves/meltCurve_Q9HA65_2_TBC1D17.pdf", "Melting_Curves/meltCurve_Q9HA65_2_TBC1D17.pdf")</f>
        <v>Melting_Curves/meltCurve_Q9HA65_2_TBC1D17.pdf</v>
      </c>
    </row>
    <row r="5867" spans="1:28" x14ac:dyDescent="0.25">
      <c r="A5867" t="s">
        <v>5871</v>
      </c>
      <c r="B5867">
        <v>0.995954080203443</v>
      </c>
      <c r="C5867">
        <v>0.95674691819296398</v>
      </c>
      <c r="D5867">
        <v>0.90087003172080504</v>
      </c>
      <c r="E5867">
        <v>0.81232376257800398</v>
      </c>
      <c r="F5867">
        <v>0.600800643563555</v>
      </c>
      <c r="G5867">
        <v>0.33717810796564801</v>
      </c>
      <c r="H5867">
        <v>0.141695379995567</v>
      </c>
      <c r="I5867">
        <v>0.104797291961769</v>
      </c>
      <c r="J5867">
        <v>0.11189960148472</v>
      </c>
      <c r="K5867">
        <v>9.8095571394999206E-2</v>
      </c>
      <c r="L5867">
        <v>899.07957150271602</v>
      </c>
      <c r="M5867">
        <v>16.695439558382301</v>
      </c>
      <c r="N5867">
        <v>54.266302199534103</v>
      </c>
      <c r="O5867">
        <v>53.0969988230068</v>
      </c>
      <c r="P5867">
        <v>-7.3907538919759402E-2</v>
      </c>
      <c r="Q5867">
        <v>5.9861076030240601E-2</v>
      </c>
      <c r="R5867">
        <v>0.99571574954959496</v>
      </c>
      <c r="S5867" t="s">
        <v>12673</v>
      </c>
      <c r="T5867" t="s">
        <v>13610</v>
      </c>
      <c r="U5867" t="s">
        <v>13610</v>
      </c>
      <c r="V5867" t="s">
        <v>13610</v>
      </c>
      <c r="W5867" t="s">
        <v>19404</v>
      </c>
      <c r="X5867">
        <v>5</v>
      </c>
      <c r="Y5867" t="s">
        <v>25958</v>
      </c>
      <c r="Z5867" t="s">
        <v>32722</v>
      </c>
      <c r="AA5867">
        <v>0.51079828263156679</v>
      </c>
      <c r="AB5867" t="str">
        <f>HYPERLINK("Melting_Curves/meltCurve_Q9HA77_CARS2.pdf", "Melting_Curves/meltCurve_Q9HA77_CARS2.pdf")</f>
        <v>Melting_Curves/meltCurve_Q9HA77_CARS2.pdf</v>
      </c>
    </row>
    <row r="5868" spans="1:28" x14ac:dyDescent="0.25">
      <c r="A5868" t="s">
        <v>5872</v>
      </c>
      <c r="B5868">
        <v>0.995954080203443</v>
      </c>
      <c r="C5868">
        <v>1.01539807629846</v>
      </c>
      <c r="D5868">
        <v>1.12701796555706</v>
      </c>
      <c r="E5868">
        <v>0.84008375362304899</v>
      </c>
      <c r="F5868">
        <v>0.51534485934268204</v>
      </c>
      <c r="G5868">
        <v>0.15348523569840999</v>
      </c>
      <c r="H5868">
        <v>0.105402637199167</v>
      </c>
      <c r="I5868">
        <v>9.8691185265647602E-2</v>
      </c>
      <c r="J5868">
        <v>0.117926592635273</v>
      </c>
      <c r="K5868">
        <v>9.9893393288529003E-2</v>
      </c>
      <c r="L5868">
        <v>1764.03773370777</v>
      </c>
      <c r="M5868">
        <v>33.5034262532482</v>
      </c>
      <c r="N5868">
        <v>53.008484458299499</v>
      </c>
      <c r="O5868">
        <v>52.465935144449404</v>
      </c>
      <c r="P5868">
        <v>-0.14356038071077901</v>
      </c>
      <c r="Q5868">
        <v>0.100748921317193</v>
      </c>
      <c r="R5868">
        <v>0.98877945181780003</v>
      </c>
      <c r="S5868" t="s">
        <v>12674</v>
      </c>
      <c r="T5868" t="s">
        <v>13610</v>
      </c>
      <c r="U5868" t="s">
        <v>13610</v>
      </c>
      <c r="V5868" t="s">
        <v>13610</v>
      </c>
      <c r="W5868" t="s">
        <v>19405</v>
      </c>
      <c r="X5868">
        <v>14</v>
      </c>
      <c r="Y5868" t="s">
        <v>25959</v>
      </c>
      <c r="Z5868" t="s">
        <v>32723</v>
      </c>
      <c r="AA5868">
        <v>0.48466926716229608</v>
      </c>
      <c r="AB5868" t="str">
        <f>HYPERLINK("Melting_Curves/meltCurve_Q9HAB8_PPCS.pdf", "Melting_Curves/meltCurve_Q9HAB8_PPCS.pdf")</f>
        <v>Melting_Curves/meltCurve_Q9HAB8_PPCS.pdf</v>
      </c>
    </row>
    <row r="5869" spans="1:28" x14ac:dyDescent="0.25">
      <c r="A5869" t="s">
        <v>5873</v>
      </c>
      <c r="B5869">
        <v>0.995954080203443</v>
      </c>
      <c r="C5869">
        <v>0.86686401966257098</v>
      </c>
      <c r="D5869">
        <v>0.811552400739734</v>
      </c>
      <c r="E5869">
        <v>0.64114391507005197</v>
      </c>
      <c r="F5869">
        <v>0.46454353929336201</v>
      </c>
      <c r="G5869">
        <v>0.307094594316345</v>
      </c>
      <c r="H5869">
        <v>0.223028714241362</v>
      </c>
      <c r="I5869">
        <v>0.253202806698897</v>
      </c>
      <c r="J5869">
        <v>0.27153224113497698</v>
      </c>
      <c r="K5869">
        <v>0.27791837510568901</v>
      </c>
      <c r="L5869">
        <v>697.98630932163098</v>
      </c>
      <c r="M5869">
        <v>14.017630839749501</v>
      </c>
      <c r="N5869">
        <v>52.012997483834397</v>
      </c>
      <c r="O5869">
        <v>48.812920791726398</v>
      </c>
      <c r="P5869">
        <v>-5.5639903086577097E-2</v>
      </c>
      <c r="Q5869">
        <v>0.22509343606333099</v>
      </c>
      <c r="R5869">
        <v>0.98448693985587099</v>
      </c>
      <c r="S5869" t="s">
        <v>12675</v>
      </c>
      <c r="T5869" t="s">
        <v>13610</v>
      </c>
      <c r="U5869" t="s">
        <v>13610</v>
      </c>
      <c r="V5869" t="s">
        <v>13610</v>
      </c>
      <c r="W5869" t="s">
        <v>19406</v>
      </c>
      <c r="X5869">
        <v>5</v>
      </c>
      <c r="Y5869" t="s">
        <v>25960</v>
      </c>
      <c r="Z5869" t="s">
        <v>32724</v>
      </c>
      <c r="AA5869">
        <v>0.49902820670159442</v>
      </c>
      <c r="AB5869" t="str">
        <f>HYPERLINK("Melting_Curves/meltCurve_Q9HAF1_2_MEAF6.pdf", "Melting_Curves/meltCurve_Q9HAF1_2_MEAF6.pdf")</f>
        <v>Melting_Curves/meltCurve_Q9HAF1_2_MEAF6.pdf</v>
      </c>
    </row>
    <row r="5870" spans="1:28" x14ac:dyDescent="0.25">
      <c r="A5870" t="s">
        <v>5874</v>
      </c>
      <c r="B5870">
        <v>0.995954080203443</v>
      </c>
      <c r="C5870">
        <v>0.67456302704147098</v>
      </c>
      <c r="D5870">
        <v>0.48811146955925599</v>
      </c>
      <c r="E5870">
        <v>0.34747381574693398</v>
      </c>
      <c r="F5870">
        <v>0.17836204865295199</v>
      </c>
      <c r="G5870">
        <v>0.13035851130010501</v>
      </c>
      <c r="H5870">
        <v>8.2928835140017906E-2</v>
      </c>
      <c r="I5870">
        <v>0.100236174845432</v>
      </c>
      <c r="J5870">
        <v>9.9836563264409303E-2</v>
      </c>
      <c r="K5870">
        <v>0.103395615146595</v>
      </c>
      <c r="L5870">
        <v>674.34462968648404</v>
      </c>
      <c r="M5870">
        <v>14.8060600094894</v>
      </c>
      <c r="N5870">
        <v>46.161130299055003</v>
      </c>
      <c r="O5870">
        <v>44.738553946264901</v>
      </c>
      <c r="P5870">
        <v>-7.5328337295798894E-2</v>
      </c>
      <c r="Q5870">
        <v>8.9636908700750001E-2</v>
      </c>
      <c r="R5870">
        <v>0.97696970763675495</v>
      </c>
      <c r="S5870" t="s">
        <v>12676</v>
      </c>
      <c r="T5870" t="s">
        <v>13610</v>
      </c>
      <c r="U5870" t="s">
        <v>13610</v>
      </c>
      <c r="V5870" t="s">
        <v>13610</v>
      </c>
      <c r="W5870" t="s">
        <v>19407</v>
      </c>
      <c r="X5870">
        <v>3</v>
      </c>
      <c r="Y5870" t="s">
        <v>25961</v>
      </c>
      <c r="Z5870" t="s">
        <v>32725</v>
      </c>
      <c r="AA5870">
        <v>0.28635338067569799</v>
      </c>
      <c r="AB5870" t="str">
        <f>HYPERLINK("Melting_Curves/meltCurve_Q9HAJ7_SAP30L.pdf", "Melting_Curves/meltCurve_Q9HAJ7_SAP30L.pdf")</f>
        <v>Melting_Curves/meltCurve_Q9HAJ7_SAP30L.pdf</v>
      </c>
    </row>
    <row r="5871" spans="1:28" x14ac:dyDescent="0.25">
      <c r="A5871" t="s">
        <v>5875</v>
      </c>
      <c r="B5871">
        <v>0.995954080203443</v>
      </c>
      <c r="C5871">
        <v>0.86255355033855097</v>
      </c>
      <c r="D5871">
        <v>0.69884670080753097</v>
      </c>
      <c r="E5871">
        <v>0.73044782248072304</v>
      </c>
      <c r="F5871">
        <v>0.49284837600692499</v>
      </c>
      <c r="G5871">
        <v>0.34807819904228199</v>
      </c>
      <c r="H5871">
        <v>0.233097156129978</v>
      </c>
      <c r="I5871">
        <v>0.17359770295753699</v>
      </c>
      <c r="J5871">
        <v>8.5697495404425103E-2</v>
      </c>
      <c r="K5871">
        <v>7.3873056059051395E-2</v>
      </c>
      <c r="L5871">
        <v>486.68845567468799</v>
      </c>
      <c r="M5871">
        <v>9.1904931057544896</v>
      </c>
      <c r="N5871">
        <v>52.955639972308198</v>
      </c>
      <c r="O5871">
        <v>50.629359829777599</v>
      </c>
      <c r="P5871">
        <v>-4.5411685369681397E-2</v>
      </c>
      <c r="Q5871">
        <v>0</v>
      </c>
      <c r="R5871">
        <v>0.97504148940500401</v>
      </c>
      <c r="S5871" t="s">
        <v>12677</v>
      </c>
      <c r="T5871" t="s">
        <v>13610</v>
      </c>
      <c r="U5871" t="s">
        <v>13610</v>
      </c>
      <c r="V5871" t="s">
        <v>13610</v>
      </c>
      <c r="W5871" t="s">
        <v>19408</v>
      </c>
      <c r="X5871">
        <v>11</v>
      </c>
      <c r="Y5871" t="s">
        <v>25962</v>
      </c>
      <c r="Z5871" t="s">
        <v>32726</v>
      </c>
      <c r="AA5871">
        <v>0.46883180254704171</v>
      </c>
      <c r="AB5871" t="str">
        <f>HYPERLINK("Melting_Curves/meltCurve_Q9HAN9_NMNAT1.pdf", "Melting_Curves/meltCurve_Q9HAN9_NMNAT1.pdf")</f>
        <v>Melting_Curves/meltCurve_Q9HAN9_NMNAT1.pdf</v>
      </c>
    </row>
    <row r="5872" spans="1:28" x14ac:dyDescent="0.25">
      <c r="A5872" t="s">
        <v>5876</v>
      </c>
      <c r="B5872">
        <v>0.995954080203443</v>
      </c>
      <c r="C5872">
        <v>0.78951475004859994</v>
      </c>
      <c r="D5872">
        <v>0</v>
      </c>
      <c r="E5872">
        <v>0.87473478437201102</v>
      </c>
      <c r="F5872">
        <v>0.40772673591619202</v>
      </c>
      <c r="G5872">
        <v>9.0910415549227797E-2</v>
      </c>
      <c r="H5872">
        <v>4.7401487442355499E-2</v>
      </c>
      <c r="I5872">
        <v>4.4205073399329699E-2</v>
      </c>
      <c r="J5872">
        <v>6.6537169818486397E-2</v>
      </c>
      <c r="K5872">
        <v>5.3184872902374697E-2</v>
      </c>
      <c r="L5872">
        <v>403.78897195240501</v>
      </c>
      <c r="M5872">
        <v>8.4816138173380402</v>
      </c>
      <c r="N5872">
        <v>47.607564584567299</v>
      </c>
      <c r="O5872">
        <v>45.182236654087902</v>
      </c>
      <c r="P5872">
        <v>-4.6972681040935597E-2</v>
      </c>
      <c r="Q5872">
        <v>0</v>
      </c>
      <c r="R5872">
        <v>0.56593832346768702</v>
      </c>
      <c r="S5872" t="s">
        <v>12678</v>
      </c>
      <c r="T5872" t="s">
        <v>13610</v>
      </c>
      <c r="U5872" t="s">
        <v>13610</v>
      </c>
      <c r="V5872" t="s">
        <v>13610</v>
      </c>
      <c r="W5872" t="s">
        <v>19409</v>
      </c>
      <c r="X5872">
        <v>2</v>
      </c>
      <c r="Y5872" t="s">
        <v>25963</v>
      </c>
      <c r="Z5872" t="s">
        <v>32727</v>
      </c>
      <c r="AA5872">
        <v>0.32326135127098599</v>
      </c>
      <c r="AB5872" t="str">
        <f>HYPERLINK("Melting_Curves/meltCurve_Q9HAR2_3_LPHN3.pdf", "Melting_Curves/meltCurve_Q9HAR2_3_LPHN3.pdf")</f>
        <v>Melting_Curves/meltCurve_Q9HAR2_3_LPHN3.pdf</v>
      </c>
    </row>
    <row r="5873" spans="1:28" x14ac:dyDescent="0.25">
      <c r="A5873" t="s">
        <v>5877</v>
      </c>
      <c r="B5873">
        <v>0.995954080203443</v>
      </c>
      <c r="C5873">
        <v>1.1566342083383501</v>
      </c>
      <c r="D5873">
        <v>1.5831062757558501</v>
      </c>
      <c r="E5873">
        <v>1.2244215047471401</v>
      </c>
      <c r="F5873">
        <v>1.5796051808654701</v>
      </c>
      <c r="G5873">
        <v>1.6673524851094399</v>
      </c>
      <c r="H5873">
        <v>1.2126214877691599</v>
      </c>
      <c r="I5873">
        <v>1.01618647159806</v>
      </c>
      <c r="J5873">
        <v>0.33212944811821898</v>
      </c>
      <c r="K5873">
        <v>0.22090250850689</v>
      </c>
      <c r="L5873">
        <v>15000</v>
      </c>
      <c r="M5873">
        <v>225.67266082865299</v>
      </c>
      <c r="N5873">
        <v>66.640115400921303</v>
      </c>
      <c r="O5873">
        <v>66.462735030867904</v>
      </c>
      <c r="P5873">
        <v>-0.66137315020037701</v>
      </c>
      <c r="Q5873">
        <v>0.220877398379624</v>
      </c>
      <c r="R5873">
        <v>0.43480516371914801</v>
      </c>
      <c r="S5873" t="s">
        <v>12679</v>
      </c>
      <c r="T5873" t="s">
        <v>13610</v>
      </c>
      <c r="U5873" t="s">
        <v>13610</v>
      </c>
      <c r="V5873" t="s">
        <v>13610</v>
      </c>
      <c r="W5873" t="s">
        <v>19410</v>
      </c>
      <c r="X5873">
        <v>4</v>
      </c>
      <c r="Y5873" t="s">
        <v>25964</v>
      </c>
      <c r="Z5873" t="s">
        <v>32728</v>
      </c>
      <c r="AA5873">
        <v>0.90838154395863802</v>
      </c>
      <c r="AB5873" t="str">
        <f>HYPERLINK("Melting_Curves/meltCurve_Q9HAT2_SIAE.pdf", "Melting_Curves/meltCurve_Q9HAT2_SIAE.pdf")</f>
        <v>Melting_Curves/meltCurve_Q9HAT2_SIAE.pdf</v>
      </c>
    </row>
    <row r="5874" spans="1:28" x14ac:dyDescent="0.25">
      <c r="A5874" t="s">
        <v>5878</v>
      </c>
      <c r="B5874">
        <v>0.995954080203443</v>
      </c>
      <c r="C5874">
        <v>0.83716920505696302</v>
      </c>
      <c r="D5874">
        <v>0.61045861863765805</v>
      </c>
      <c r="E5874">
        <v>0.44107840097330597</v>
      </c>
      <c r="F5874">
        <v>0.23528779015665</v>
      </c>
      <c r="G5874">
        <v>0.15118068692563799</v>
      </c>
      <c r="H5874">
        <v>0.12214744796978701</v>
      </c>
      <c r="I5874">
        <v>0.13062996106097799</v>
      </c>
      <c r="J5874">
        <v>0.210420273737012</v>
      </c>
      <c r="K5874">
        <v>0.113275626676347</v>
      </c>
      <c r="L5874">
        <v>741.78804129540401</v>
      </c>
      <c r="M5874">
        <v>15.738856103530701</v>
      </c>
      <c r="N5874">
        <v>48.0285339758981</v>
      </c>
      <c r="O5874">
        <v>46.389823371214099</v>
      </c>
      <c r="P5874">
        <v>-7.4018365849526604E-2</v>
      </c>
      <c r="Q5874">
        <v>0.127405356515743</v>
      </c>
      <c r="R5874">
        <v>0.98343414037126498</v>
      </c>
      <c r="S5874" t="s">
        <v>12680</v>
      </c>
      <c r="T5874" t="s">
        <v>13610</v>
      </c>
      <c r="U5874" t="s">
        <v>13610</v>
      </c>
      <c r="V5874" t="s">
        <v>13610</v>
      </c>
      <c r="W5874" t="s">
        <v>19411</v>
      </c>
      <c r="X5874">
        <v>3</v>
      </c>
      <c r="Y5874" t="s">
        <v>25965</v>
      </c>
      <c r="Z5874" t="s">
        <v>32729</v>
      </c>
      <c r="AA5874">
        <v>0.356113565431809</v>
      </c>
      <c r="AB5874" t="str">
        <f>HYPERLINK("Melting_Curves/meltCurve_Q9HAT8_PELI2.pdf", "Melting_Curves/meltCurve_Q9HAT8_PELI2.pdf")</f>
        <v>Melting_Curves/meltCurve_Q9HAT8_PELI2.pdf</v>
      </c>
    </row>
    <row r="5875" spans="1:28" x14ac:dyDescent="0.25">
      <c r="A5875" t="s">
        <v>5879</v>
      </c>
      <c r="B5875">
        <v>0.995954080203443</v>
      </c>
      <c r="C5875">
        <v>1.0022113091324301</v>
      </c>
      <c r="D5875">
        <v>0.93910536794682697</v>
      </c>
      <c r="E5875">
        <v>0.67968512366123501</v>
      </c>
      <c r="F5875">
        <v>0.62749972971787005</v>
      </c>
      <c r="G5875">
        <v>0.448308159911044</v>
      </c>
      <c r="H5875">
        <v>0.40036358083969897</v>
      </c>
      <c r="I5875">
        <v>0.458653818382114</v>
      </c>
      <c r="J5875">
        <v>0.55692363318724003</v>
      </c>
      <c r="K5875">
        <v>0.55690935939072295</v>
      </c>
      <c r="L5875">
        <v>1251.8335495490001</v>
      </c>
      <c r="M5875">
        <v>25.331889982595701</v>
      </c>
      <c r="N5875">
        <v>57.865303952111503</v>
      </c>
      <c r="O5875">
        <v>49.112423533552899</v>
      </c>
      <c r="P5875">
        <v>-6.6071809864379202E-2</v>
      </c>
      <c r="Q5875">
        <v>0.48761734954295599</v>
      </c>
      <c r="R5875">
        <v>0.94481225118606704</v>
      </c>
      <c r="S5875" t="s">
        <v>12681</v>
      </c>
      <c r="T5875" t="s">
        <v>13610</v>
      </c>
      <c r="U5875" t="s">
        <v>13610</v>
      </c>
      <c r="V5875" t="s">
        <v>13610</v>
      </c>
      <c r="W5875" t="s">
        <v>19412</v>
      </c>
      <c r="X5875">
        <v>22</v>
      </c>
      <c r="Y5875" t="s">
        <v>25966</v>
      </c>
      <c r="Z5875" t="s">
        <v>32730</v>
      </c>
      <c r="AA5875">
        <v>0.65289312474681582</v>
      </c>
      <c r="AB5875" t="str">
        <f>HYPERLINK("Melting_Curves/meltCurve_Q9HAU0_PLEKHA5.pdf", "Melting_Curves/meltCurve_Q9HAU0_PLEKHA5.pdf")</f>
        <v>Melting_Curves/meltCurve_Q9HAU0_PLEKHA5.pdf</v>
      </c>
    </row>
    <row r="5876" spans="1:28" x14ac:dyDescent="0.25">
      <c r="A5876" t="s">
        <v>5880</v>
      </c>
      <c r="B5876">
        <v>0.995954080203443</v>
      </c>
      <c r="C5876">
        <v>0.94148019162021501</v>
      </c>
      <c r="D5876">
        <v>0.70563487445275197</v>
      </c>
      <c r="E5876">
        <v>0.40176382947499401</v>
      </c>
      <c r="F5876">
        <v>0.19358597994382101</v>
      </c>
      <c r="G5876">
        <v>0.118042171959626</v>
      </c>
      <c r="H5876">
        <v>7.3330881280142604E-2</v>
      </c>
      <c r="I5876">
        <v>8.2243100419699205E-2</v>
      </c>
      <c r="J5876">
        <v>7.8071846741409906E-2</v>
      </c>
      <c r="K5876">
        <v>8.4632808416342797E-2</v>
      </c>
      <c r="L5876">
        <v>927.99162617006198</v>
      </c>
      <c r="M5876">
        <v>19.272539712499299</v>
      </c>
      <c r="N5876">
        <v>48.5435713963452</v>
      </c>
      <c r="O5876">
        <v>47.641550511660199</v>
      </c>
      <c r="P5876">
        <v>-9.3838869872542002E-2</v>
      </c>
      <c r="Q5876">
        <v>7.2159483909224206E-2</v>
      </c>
      <c r="R5876">
        <v>0.99803522008839296</v>
      </c>
      <c r="S5876" t="s">
        <v>12682</v>
      </c>
      <c r="T5876" t="s">
        <v>13610</v>
      </c>
      <c r="U5876" t="s">
        <v>13610</v>
      </c>
      <c r="V5876" t="s">
        <v>13610</v>
      </c>
      <c r="W5876" t="s">
        <v>19413</v>
      </c>
      <c r="X5876">
        <v>4</v>
      </c>
      <c r="Y5876" t="s">
        <v>25967</v>
      </c>
      <c r="Z5876" t="s">
        <v>32731</v>
      </c>
      <c r="AA5876">
        <v>0.33846518961391592</v>
      </c>
      <c r="AB5876" t="str">
        <f>HYPERLINK("Melting_Curves/meltCurve_Q9HAU4_SMURF2.pdf", "Melting_Curves/meltCurve_Q9HAU4_SMURF2.pdf")</f>
        <v>Melting_Curves/meltCurve_Q9HAU4_SMURF2.pdf</v>
      </c>
    </row>
    <row r="5877" spans="1:28" x14ac:dyDescent="0.25">
      <c r="A5877" t="s">
        <v>5881</v>
      </c>
      <c r="B5877">
        <v>0.995954080203443</v>
      </c>
      <c r="C5877">
        <v>0.91265454506724697</v>
      </c>
      <c r="D5877">
        <v>0.80934263121620198</v>
      </c>
      <c r="E5877">
        <v>0.54088192707854599</v>
      </c>
      <c r="F5877">
        <v>0.213677271984375</v>
      </c>
      <c r="G5877">
        <v>0.13349658441812901</v>
      </c>
      <c r="H5877">
        <v>0.100625792463394</v>
      </c>
      <c r="I5877">
        <v>9.9341626063268407E-2</v>
      </c>
      <c r="J5877">
        <v>0.112941065338863</v>
      </c>
      <c r="K5877">
        <v>0.1056592614633</v>
      </c>
      <c r="L5877">
        <v>995.93434075370806</v>
      </c>
      <c r="M5877">
        <v>20.1923836971254</v>
      </c>
      <c r="N5877">
        <v>49.806156964116397</v>
      </c>
      <c r="O5877">
        <v>48.846173311408002</v>
      </c>
      <c r="P5877">
        <v>-9.4145139750718199E-2</v>
      </c>
      <c r="Q5877">
        <v>8.9065312792146106E-2</v>
      </c>
      <c r="R5877">
        <v>0.99234521631595096</v>
      </c>
      <c r="S5877" t="s">
        <v>12683</v>
      </c>
      <c r="T5877" t="s">
        <v>13610</v>
      </c>
      <c r="U5877" t="s">
        <v>13610</v>
      </c>
      <c r="V5877" t="s">
        <v>13610</v>
      </c>
      <c r="W5877" t="s">
        <v>19414</v>
      </c>
      <c r="X5877">
        <v>42</v>
      </c>
      <c r="Y5877" t="s">
        <v>25968</v>
      </c>
      <c r="Z5877" t="s">
        <v>32732</v>
      </c>
      <c r="AA5877">
        <v>0.38461595877495808</v>
      </c>
      <c r="AB5877" t="str">
        <f>HYPERLINK("Melting_Curves/meltCurve_Q9HAU5_UPF2.pdf", "Melting_Curves/meltCurve_Q9HAU5_UPF2.pdf")</f>
        <v>Melting_Curves/meltCurve_Q9HAU5_UPF2.pdf</v>
      </c>
    </row>
    <row r="5878" spans="1:28" x14ac:dyDescent="0.25">
      <c r="A5878" t="s">
        <v>5882</v>
      </c>
      <c r="B5878">
        <v>0.995954080203443</v>
      </c>
      <c r="C5878">
        <v>0.96519055404979903</v>
      </c>
      <c r="D5878">
        <v>0.87049099367426797</v>
      </c>
      <c r="E5878">
        <v>0.56643052245951298</v>
      </c>
      <c r="F5878">
        <v>0.162025805200016</v>
      </c>
      <c r="G5878">
        <v>0.104918706008062</v>
      </c>
      <c r="H5878">
        <v>5.7664673795736102E-2</v>
      </c>
      <c r="I5878">
        <v>4.73859286685527E-2</v>
      </c>
      <c r="J5878">
        <v>2.2473179097163801E-2</v>
      </c>
      <c r="K5878">
        <v>2.1797815097859798E-2</v>
      </c>
      <c r="L5878">
        <v>1284.2529429650299</v>
      </c>
      <c r="M5878">
        <v>25.664511418359599</v>
      </c>
      <c r="N5878">
        <v>50.1767102222326</v>
      </c>
      <c r="O5878">
        <v>49.739184277565101</v>
      </c>
      <c r="P5878">
        <v>-0.124641974415145</v>
      </c>
      <c r="Q5878">
        <v>3.3760673563227497E-2</v>
      </c>
      <c r="R5878">
        <v>0.99446782375204601</v>
      </c>
      <c r="S5878" t="s">
        <v>12684</v>
      </c>
      <c r="T5878" t="s">
        <v>13610</v>
      </c>
      <c r="U5878" t="s">
        <v>13610</v>
      </c>
      <c r="V5878" t="s">
        <v>13610</v>
      </c>
      <c r="W5878" t="s">
        <v>19415</v>
      </c>
      <c r="X5878">
        <v>3</v>
      </c>
      <c r="Y5878" t="s">
        <v>25969</v>
      </c>
      <c r="Z5878" t="s">
        <v>32733</v>
      </c>
      <c r="AA5878">
        <v>0.36532534826456903</v>
      </c>
      <c r="AB5878" t="str">
        <f>HYPERLINK("Melting_Curves/meltCurve_Q9HAU8_RNPEPL1.pdf", "Melting_Curves/meltCurve_Q9HAU8_RNPEPL1.pdf")</f>
        <v>Melting_Curves/meltCurve_Q9HAU8_RNPEPL1.pdf</v>
      </c>
    </row>
    <row r="5879" spans="1:28" x14ac:dyDescent="0.25">
      <c r="A5879" t="s">
        <v>5883</v>
      </c>
      <c r="B5879">
        <v>0.995954080203443</v>
      </c>
      <c r="C5879">
        <v>0.96575218352339798</v>
      </c>
      <c r="D5879">
        <v>0.71382126310354799</v>
      </c>
      <c r="E5879">
        <v>0.33351082839201401</v>
      </c>
      <c r="F5879">
        <v>0.115697609592116</v>
      </c>
      <c r="G5879">
        <v>6.7601816002853907E-2</v>
      </c>
      <c r="H5879">
        <v>4.4165189471105197E-2</v>
      </c>
      <c r="I5879">
        <v>4.0395157003101798E-2</v>
      </c>
      <c r="J5879">
        <v>4.4683375870273198E-2</v>
      </c>
      <c r="K5879">
        <v>4.2411168489053699E-2</v>
      </c>
      <c r="L5879">
        <v>1093.82227932401</v>
      </c>
      <c r="M5879">
        <v>22.807733763772301</v>
      </c>
      <c r="N5879">
        <v>48.128979713829999</v>
      </c>
      <c r="O5879">
        <v>47.5942786181473</v>
      </c>
      <c r="P5879">
        <v>-0.11515305506615001</v>
      </c>
      <c r="Q5879">
        <v>3.8831226438005698E-2</v>
      </c>
      <c r="R5879">
        <v>0.99840377477425502</v>
      </c>
      <c r="S5879" t="s">
        <v>12685</v>
      </c>
      <c r="T5879" t="s">
        <v>13610</v>
      </c>
      <c r="U5879" t="s">
        <v>13610</v>
      </c>
      <c r="V5879" t="s">
        <v>13610</v>
      </c>
      <c r="W5879" t="s">
        <v>19416</v>
      </c>
      <c r="X5879">
        <v>48</v>
      </c>
      <c r="Y5879" t="s">
        <v>25970</v>
      </c>
      <c r="Z5879" t="s">
        <v>32734</v>
      </c>
      <c r="AA5879">
        <v>0.30414193075527618</v>
      </c>
      <c r="AB5879" t="str">
        <f>HYPERLINK("Melting_Curves/meltCurve_Q9HAV4_XPO5.pdf", "Melting_Curves/meltCurve_Q9HAV4_XPO5.pdf")</f>
        <v>Melting_Curves/meltCurve_Q9HAV4_XPO5.pdf</v>
      </c>
    </row>
    <row r="5880" spans="1:28" x14ac:dyDescent="0.25">
      <c r="A5880" t="s">
        <v>5884</v>
      </c>
      <c r="B5880">
        <v>0.995954080203443</v>
      </c>
      <c r="C5880">
        <v>1.1104465363034</v>
      </c>
      <c r="D5880">
        <v>1.2866535779930801</v>
      </c>
      <c r="E5880">
        <v>0.96336280292154797</v>
      </c>
      <c r="F5880">
        <v>0.32372569238340698</v>
      </c>
      <c r="G5880">
        <v>0.17026283313159801</v>
      </c>
      <c r="H5880">
        <v>0.11549500971415699</v>
      </c>
      <c r="I5880">
        <v>0.11995032353834199</v>
      </c>
      <c r="J5880">
        <v>0.13949992028862901</v>
      </c>
      <c r="K5880">
        <v>0.141458582547903</v>
      </c>
      <c r="L5880">
        <v>3873.0965150771599</v>
      </c>
      <c r="M5880">
        <v>74.360501799800204</v>
      </c>
      <c r="N5880">
        <v>52.310599863524097</v>
      </c>
      <c r="O5880">
        <v>52.047767634568203</v>
      </c>
      <c r="P5880">
        <v>-0.30825487086544601</v>
      </c>
      <c r="Q5880">
        <v>0.13696251775249599</v>
      </c>
      <c r="R5880">
        <v>0.95481747072931999</v>
      </c>
      <c r="S5880" t="s">
        <v>12686</v>
      </c>
      <c r="T5880" t="s">
        <v>13610</v>
      </c>
      <c r="U5880" t="s">
        <v>13610</v>
      </c>
      <c r="V5880" t="s">
        <v>13610</v>
      </c>
      <c r="W5880" t="s">
        <v>19417</v>
      </c>
      <c r="X5880">
        <v>12</v>
      </c>
      <c r="Y5880" t="s">
        <v>25971</v>
      </c>
      <c r="Z5880" t="s">
        <v>32735</v>
      </c>
      <c r="AA5880">
        <v>0.48552803801158467</v>
      </c>
      <c r="AB5880" t="str">
        <f>HYPERLINK("Melting_Curves/meltCurve_Q9HAV7_GRPEL1.pdf", "Melting_Curves/meltCurve_Q9HAV7_GRPEL1.pdf")</f>
        <v>Melting_Curves/meltCurve_Q9HAV7_GRPEL1.pdf</v>
      </c>
    </row>
    <row r="5881" spans="1:28" x14ac:dyDescent="0.25">
      <c r="A5881" t="s">
        <v>5885</v>
      </c>
      <c r="B5881">
        <v>0.995954080203443</v>
      </c>
      <c r="C5881">
        <v>0.96187798920079504</v>
      </c>
      <c r="D5881">
        <v>0.79857240929653295</v>
      </c>
      <c r="E5881">
        <v>0.89949978997619795</v>
      </c>
      <c r="F5881">
        <v>0.825080924629507</v>
      </c>
      <c r="G5881">
        <v>0.58449684019859205</v>
      </c>
      <c r="H5881">
        <v>0.59313339602631399</v>
      </c>
      <c r="I5881">
        <v>0.665648598884097</v>
      </c>
      <c r="J5881">
        <v>0.87521502074372604</v>
      </c>
      <c r="K5881">
        <v>0.80588602306774004</v>
      </c>
      <c r="L5881">
        <v>702.55672131158803</v>
      </c>
      <c r="M5881">
        <v>14.9668555130171</v>
      </c>
      <c r="O5881">
        <v>46.1267538744574</v>
      </c>
      <c r="P5881">
        <v>-2.2805143649239201E-2</v>
      </c>
      <c r="Q5881">
        <v>0.71889351069987195</v>
      </c>
      <c r="R5881">
        <v>0.48473352895226801</v>
      </c>
      <c r="S5881" t="s">
        <v>12687</v>
      </c>
      <c r="T5881" t="s">
        <v>13610</v>
      </c>
      <c r="U5881" t="s">
        <v>13610</v>
      </c>
      <c r="V5881" t="s">
        <v>13610</v>
      </c>
      <c r="W5881" t="s">
        <v>19418</v>
      </c>
      <c r="X5881">
        <v>13</v>
      </c>
      <c r="Y5881" t="s">
        <v>25972</v>
      </c>
      <c r="Z5881" t="s">
        <v>32736</v>
      </c>
      <c r="AA5881">
        <v>0.79163169264587629</v>
      </c>
      <c r="AB5881" t="str">
        <f>HYPERLINK("Melting_Curves/meltCurve_Q9HAW4_2_CLSPN.pdf", "Melting_Curves/meltCurve_Q9HAW4_2_CLSPN.pdf")</f>
        <v>Melting_Curves/meltCurve_Q9HAW4_2_CLSPN.pdf</v>
      </c>
    </row>
    <row r="5882" spans="1:28" x14ac:dyDescent="0.25">
      <c r="A5882" t="s">
        <v>5886</v>
      </c>
      <c r="B5882">
        <v>0.995954080203443</v>
      </c>
      <c r="C5882">
        <v>0.96524772725952201</v>
      </c>
      <c r="D5882">
        <v>0.86638317444301005</v>
      </c>
      <c r="E5882">
        <v>0.73239858318025797</v>
      </c>
      <c r="F5882">
        <v>0.46262346523028602</v>
      </c>
      <c r="G5882">
        <v>0.32620487647011998</v>
      </c>
      <c r="H5882">
        <v>0.25807158760744398</v>
      </c>
      <c r="I5882">
        <v>0.28455125365384798</v>
      </c>
      <c r="J5882">
        <v>0.36246964133410497</v>
      </c>
      <c r="K5882">
        <v>0.317233662439519</v>
      </c>
      <c r="L5882">
        <v>1093.3242572054701</v>
      </c>
      <c r="M5882">
        <v>21.655875613968</v>
      </c>
      <c r="N5882">
        <v>52.641441403324698</v>
      </c>
      <c r="O5882">
        <v>50.061680532533003</v>
      </c>
      <c r="P5882">
        <v>-7.6355807095909306E-2</v>
      </c>
      <c r="Q5882">
        <v>0.29397283887715198</v>
      </c>
      <c r="R5882">
        <v>0.98193843731910602</v>
      </c>
      <c r="S5882" t="s">
        <v>12688</v>
      </c>
      <c r="T5882" t="s">
        <v>13610</v>
      </c>
      <c r="U5882" t="s">
        <v>13610</v>
      </c>
      <c r="V5882" t="s">
        <v>13610</v>
      </c>
      <c r="W5882" t="s">
        <v>19419</v>
      </c>
      <c r="X5882">
        <v>5</v>
      </c>
      <c r="Y5882" t="s">
        <v>25973</v>
      </c>
      <c r="Z5882" t="s">
        <v>32737</v>
      </c>
      <c r="AA5882">
        <v>0.54917574921728429</v>
      </c>
      <c r="AB5882" t="str">
        <f>HYPERLINK("Melting_Curves/meltCurve_Q9HB19_PLEKHA2.pdf", "Melting_Curves/meltCurve_Q9HB19_PLEKHA2.pdf")</f>
        <v>Melting_Curves/meltCurve_Q9HB19_PLEKHA2.pdf</v>
      </c>
    </row>
    <row r="5883" spans="1:28" x14ac:dyDescent="0.25">
      <c r="A5883" t="s">
        <v>5887</v>
      </c>
      <c r="B5883">
        <v>0.995954080203443</v>
      </c>
      <c r="C5883">
        <v>0.94564364784125599</v>
      </c>
      <c r="D5883">
        <v>0.87091758235968597</v>
      </c>
      <c r="E5883">
        <v>0.526718308533629</v>
      </c>
      <c r="F5883">
        <v>0.41221116818199999</v>
      </c>
      <c r="G5883">
        <v>0.279065037570282</v>
      </c>
      <c r="H5883">
        <v>0.24468096819275501</v>
      </c>
      <c r="I5883">
        <v>0.262360245108199</v>
      </c>
      <c r="J5883">
        <v>0.37613130861157601</v>
      </c>
      <c r="K5883">
        <v>0.32457104621134503</v>
      </c>
      <c r="L5883">
        <v>1170.81568596337</v>
      </c>
      <c r="M5883">
        <v>24.061447229304498</v>
      </c>
      <c r="N5883">
        <v>50.540983873107201</v>
      </c>
      <c r="O5883">
        <v>48.327016506534498</v>
      </c>
      <c r="P5883">
        <v>-8.7647655903851304E-2</v>
      </c>
      <c r="Q5883">
        <v>0.29585530236376101</v>
      </c>
      <c r="R5883">
        <v>0.98146019203383095</v>
      </c>
      <c r="S5883" t="s">
        <v>12689</v>
      </c>
      <c r="T5883" t="s">
        <v>13610</v>
      </c>
      <c r="U5883" t="s">
        <v>13610</v>
      </c>
      <c r="V5883" t="s">
        <v>13610</v>
      </c>
      <c r="W5883" t="s">
        <v>19420</v>
      </c>
      <c r="X5883">
        <v>3</v>
      </c>
      <c r="Y5883" t="s">
        <v>25974</v>
      </c>
      <c r="Z5883" t="s">
        <v>32738</v>
      </c>
      <c r="AA5883">
        <v>0.50584908264649964</v>
      </c>
      <c r="AB5883" t="str">
        <f>HYPERLINK("Melting_Curves/meltCurve_Q9HB21_PLEKHA1.pdf", "Melting_Curves/meltCurve_Q9HB21_PLEKHA1.pdf")</f>
        <v>Melting_Curves/meltCurve_Q9HB21_PLEKHA1.pdf</v>
      </c>
    </row>
    <row r="5884" spans="1:28" x14ac:dyDescent="0.25">
      <c r="A5884" t="s">
        <v>5888</v>
      </c>
      <c r="B5884">
        <v>0.995954080203443</v>
      </c>
      <c r="C5884">
        <v>0.75838809803117602</v>
      </c>
      <c r="D5884">
        <v>0.55389883847890098</v>
      </c>
      <c r="E5884">
        <v>0.414559065975172</v>
      </c>
      <c r="F5884">
        <v>0.21498064530579</v>
      </c>
      <c r="G5884">
        <v>0.109621974142231</v>
      </c>
      <c r="H5884">
        <v>7.9857586806963504E-2</v>
      </c>
      <c r="I5884">
        <v>6.8314143999220395E-2</v>
      </c>
      <c r="J5884">
        <v>6.4378800732973807E-2</v>
      </c>
      <c r="K5884">
        <v>6.3441270024972907E-2</v>
      </c>
      <c r="L5884">
        <v>616.62284072306295</v>
      </c>
      <c r="M5884">
        <v>13.075545329721599</v>
      </c>
      <c r="N5884">
        <v>47.467978983852298</v>
      </c>
      <c r="O5884">
        <v>46.096341897843899</v>
      </c>
      <c r="P5884">
        <v>-6.8028209899179903E-2</v>
      </c>
      <c r="Q5884">
        <v>4.0862946866784003E-2</v>
      </c>
      <c r="R5884">
        <v>0.98562818358638105</v>
      </c>
      <c r="S5884" t="s">
        <v>12690</v>
      </c>
      <c r="T5884" t="s">
        <v>13610</v>
      </c>
      <c r="U5884" t="s">
        <v>13610</v>
      </c>
      <c r="V5884" t="s">
        <v>13610</v>
      </c>
      <c r="W5884" t="s">
        <v>19421</v>
      </c>
      <c r="X5884">
        <v>2</v>
      </c>
      <c r="Y5884" t="s">
        <v>25975</v>
      </c>
      <c r="Z5884" t="s">
        <v>32739</v>
      </c>
      <c r="AA5884">
        <v>0.3036218021304215</v>
      </c>
      <c r="AB5884" t="str">
        <f>HYPERLINK("Melting_Curves/meltCurve_Q9HB40_SCPEP1.pdf", "Melting_Curves/meltCurve_Q9HB40_SCPEP1.pdf")</f>
        <v>Melting_Curves/meltCurve_Q9HB40_SCPEP1.pdf</v>
      </c>
    </row>
    <row r="5885" spans="1:28" x14ac:dyDescent="0.25">
      <c r="A5885" t="s">
        <v>5889</v>
      </c>
      <c r="B5885">
        <v>0.995954080203443</v>
      </c>
      <c r="C5885">
        <v>0.96930645015806305</v>
      </c>
      <c r="D5885">
        <v>1.0015998126750201</v>
      </c>
      <c r="E5885">
        <v>0.86601494533648304</v>
      </c>
      <c r="F5885">
        <v>0.71604233111934601</v>
      </c>
      <c r="G5885">
        <v>0.51320102290564595</v>
      </c>
      <c r="H5885">
        <v>0.44877089564234501</v>
      </c>
      <c r="I5885">
        <v>0.56595961082927904</v>
      </c>
      <c r="J5885">
        <v>0.68357053356872099</v>
      </c>
      <c r="K5885">
        <v>0.63790154803997701</v>
      </c>
      <c r="L5885">
        <v>1803.1014688175901</v>
      </c>
      <c r="M5885">
        <v>35.056261186696197</v>
      </c>
      <c r="O5885">
        <v>51.267997669102002</v>
      </c>
      <c r="P5885">
        <v>-7.3327007875528399E-2</v>
      </c>
      <c r="Q5885">
        <v>0.57105343696102895</v>
      </c>
      <c r="R5885">
        <v>0.89549537854307404</v>
      </c>
      <c r="S5885" t="s">
        <v>12691</v>
      </c>
      <c r="T5885" t="s">
        <v>13610</v>
      </c>
      <c r="U5885" t="s">
        <v>13610</v>
      </c>
      <c r="V5885" t="s">
        <v>13610</v>
      </c>
      <c r="W5885" t="s">
        <v>19422</v>
      </c>
      <c r="X5885">
        <v>6</v>
      </c>
      <c r="Y5885" t="s">
        <v>25976</v>
      </c>
      <c r="Z5885" t="s">
        <v>32740</v>
      </c>
      <c r="AA5885">
        <v>0.73653461187778446</v>
      </c>
      <c r="AB5885" t="str">
        <f>HYPERLINK("Melting_Curves/meltCurve_Q9HB58_6_SP110.pdf", "Melting_Curves/meltCurve_Q9HB58_6_SP110.pdf")</f>
        <v>Melting_Curves/meltCurve_Q9HB58_6_SP110.pdf</v>
      </c>
    </row>
    <row r="5886" spans="1:28" x14ac:dyDescent="0.25">
      <c r="A5886" t="s">
        <v>5890</v>
      </c>
      <c r="B5886">
        <v>0.995954080203443</v>
      </c>
      <c r="C5886">
        <v>0.95959051645661697</v>
      </c>
      <c r="D5886">
        <v>1.0226856100708599</v>
      </c>
      <c r="E5886">
        <v>0.83595783211493102</v>
      </c>
      <c r="F5886">
        <v>0.66252641114474098</v>
      </c>
      <c r="G5886">
        <v>0.25262778027837002</v>
      </c>
      <c r="H5886">
        <v>0.116899439436777</v>
      </c>
      <c r="I5886">
        <v>0.11703840149712599</v>
      </c>
      <c r="J5886">
        <v>0.13189721046811001</v>
      </c>
      <c r="K5886">
        <v>0.118557711062392</v>
      </c>
      <c r="L5886">
        <v>1393.34490951111</v>
      </c>
      <c r="M5886">
        <v>25.950323308991099</v>
      </c>
      <c r="N5886">
        <v>54.188080283704302</v>
      </c>
      <c r="O5886">
        <v>53.376948706286797</v>
      </c>
      <c r="P5886">
        <v>-0.108711184919366</v>
      </c>
      <c r="Q5886">
        <v>0.10558238294019801</v>
      </c>
      <c r="R5886">
        <v>0.99475088160202696</v>
      </c>
      <c r="S5886" t="s">
        <v>12692</v>
      </c>
      <c r="T5886" t="s">
        <v>13610</v>
      </c>
      <c r="U5886" t="s">
        <v>13610</v>
      </c>
      <c r="V5886" t="s">
        <v>13610</v>
      </c>
      <c r="W5886" t="s">
        <v>19423</v>
      </c>
      <c r="X5886">
        <v>23</v>
      </c>
      <c r="Y5886" t="s">
        <v>25977</v>
      </c>
      <c r="Z5886" t="s">
        <v>32741</v>
      </c>
      <c r="AA5886">
        <v>0.52153344334895613</v>
      </c>
      <c r="AB5886" t="str">
        <f>HYPERLINK("Melting_Curves/meltCurve_Q9HB71_CACYBP.pdf", "Melting_Curves/meltCurve_Q9HB71_CACYBP.pdf")</f>
        <v>Melting_Curves/meltCurve_Q9HB71_CACYBP.pdf</v>
      </c>
    </row>
    <row r="5887" spans="1:28" x14ac:dyDescent="0.25">
      <c r="A5887" t="s">
        <v>5891</v>
      </c>
      <c r="B5887">
        <v>0.995954080203443</v>
      </c>
      <c r="C5887">
        <v>0.97340521401397595</v>
      </c>
      <c r="D5887">
        <v>0.92614677980918003</v>
      </c>
      <c r="E5887">
        <v>0.84908296314185805</v>
      </c>
      <c r="F5887">
        <v>0.69602294563307099</v>
      </c>
      <c r="G5887">
        <v>0.50260133129884399</v>
      </c>
      <c r="H5887">
        <v>0.32929135129738601</v>
      </c>
      <c r="I5887">
        <v>0.22376787904067399</v>
      </c>
      <c r="J5887">
        <v>0.15857498225203501</v>
      </c>
      <c r="K5887">
        <v>0.112545671032813</v>
      </c>
      <c r="L5887">
        <v>648.41234051575395</v>
      </c>
      <c r="M5887">
        <v>11.3703345357952</v>
      </c>
      <c r="N5887">
        <v>57.062920790510198</v>
      </c>
      <c r="O5887">
        <v>55.348193177471003</v>
      </c>
      <c r="P5887">
        <v>-5.1188586398004998E-2</v>
      </c>
      <c r="Q5887">
        <v>3.5984466381111298E-3</v>
      </c>
      <c r="R5887">
        <v>0.999494312296063</v>
      </c>
      <c r="S5887" t="s">
        <v>12693</v>
      </c>
      <c r="T5887" t="s">
        <v>13610</v>
      </c>
      <c r="U5887" t="s">
        <v>13610</v>
      </c>
      <c r="V5887" t="s">
        <v>13610</v>
      </c>
      <c r="W5887" t="s">
        <v>19424</v>
      </c>
      <c r="X5887">
        <v>11</v>
      </c>
      <c r="Y5887" t="s">
        <v>25978</v>
      </c>
      <c r="Z5887" t="s">
        <v>32742</v>
      </c>
      <c r="AA5887">
        <v>0.58565654984176085</v>
      </c>
      <c r="AB5887" t="str">
        <f>HYPERLINK("Melting_Curves/meltCurve_Q9HB90_RRAGC.pdf", "Melting_Curves/meltCurve_Q9HB90_RRAGC.pdf")</f>
        <v>Melting_Curves/meltCurve_Q9HB90_RRAGC.pdf</v>
      </c>
    </row>
    <row r="5888" spans="1:28" x14ac:dyDescent="0.25">
      <c r="A5888" t="s">
        <v>5892</v>
      </c>
      <c r="B5888">
        <v>0.995954080203443</v>
      </c>
      <c r="C5888">
        <v>0.74587240776782204</v>
      </c>
      <c r="D5888">
        <v>0.68974468056784399</v>
      </c>
      <c r="E5888">
        <v>0.60610060939552202</v>
      </c>
      <c r="F5888">
        <v>0.46238705347682302</v>
      </c>
      <c r="G5888">
        <v>0.39096544874382799</v>
      </c>
      <c r="H5888">
        <v>0.42799878611637099</v>
      </c>
      <c r="I5888">
        <v>0.55199913159645597</v>
      </c>
      <c r="J5888">
        <v>0.68280132962223805</v>
      </c>
      <c r="K5888">
        <v>0.61957971905320197</v>
      </c>
      <c r="L5888">
        <v>954.57153562760902</v>
      </c>
      <c r="M5888">
        <v>21.9081810069539</v>
      </c>
      <c r="O5888">
        <v>43.213310290331002</v>
      </c>
      <c r="P5888">
        <v>-5.9414175887107401E-2</v>
      </c>
      <c r="Q5888">
        <v>0.53123905581735098</v>
      </c>
      <c r="R5888">
        <v>0.72115045740598305</v>
      </c>
      <c r="S5888" t="s">
        <v>12694</v>
      </c>
      <c r="T5888" t="s">
        <v>13610</v>
      </c>
      <c r="U5888" t="s">
        <v>13610</v>
      </c>
      <c r="V5888" t="s">
        <v>13610</v>
      </c>
      <c r="W5888" t="s">
        <v>19425</v>
      </c>
      <c r="X5888">
        <v>2</v>
      </c>
      <c r="Y5888" t="s">
        <v>25979</v>
      </c>
      <c r="Z5888" t="s">
        <v>32743</v>
      </c>
      <c r="AA5888">
        <v>0.59502787351694775</v>
      </c>
      <c r="AB5888" t="str">
        <f>HYPERLINK("Melting_Curves/meltCurve_Q9HB96_FANCE.pdf", "Melting_Curves/meltCurve_Q9HB96_FANCE.pdf")</f>
        <v>Melting_Curves/meltCurve_Q9HB96_FANCE.pdf</v>
      </c>
    </row>
    <row r="5889" spans="1:28" x14ac:dyDescent="0.25">
      <c r="A5889" t="s">
        <v>5893</v>
      </c>
      <c r="B5889">
        <v>0.995954080203443</v>
      </c>
      <c r="C5889">
        <v>0.847876426462007</v>
      </c>
      <c r="D5889">
        <v>0.65944397133136301</v>
      </c>
      <c r="E5889">
        <v>0.60836531604348298</v>
      </c>
      <c r="F5889">
        <v>0.46458079921337098</v>
      </c>
      <c r="G5889">
        <v>0.30009520308727999</v>
      </c>
      <c r="H5889">
        <v>0.22804242026765401</v>
      </c>
      <c r="I5889">
        <v>0.201559160822844</v>
      </c>
      <c r="J5889">
        <v>0.243049066575345</v>
      </c>
      <c r="K5889">
        <v>0.16194132222395799</v>
      </c>
      <c r="L5889">
        <v>497.09019843200099</v>
      </c>
      <c r="M5889">
        <v>9.9775344900820002</v>
      </c>
      <c r="N5889">
        <v>51.392369192075101</v>
      </c>
      <c r="O5889">
        <v>47.943623963407397</v>
      </c>
      <c r="P5889">
        <v>-4.5209613257532602E-2</v>
      </c>
      <c r="Q5889">
        <v>0.13146886232921701</v>
      </c>
      <c r="R5889">
        <v>0.97776523271024496</v>
      </c>
      <c r="S5889" t="s">
        <v>12695</v>
      </c>
      <c r="T5889" t="s">
        <v>13610</v>
      </c>
      <c r="U5889" t="s">
        <v>13610</v>
      </c>
      <c r="V5889" t="s">
        <v>13610</v>
      </c>
      <c r="W5889" t="s">
        <v>19426</v>
      </c>
      <c r="X5889">
        <v>4</v>
      </c>
      <c r="Y5889" t="s">
        <v>25980</v>
      </c>
      <c r="Z5889" t="s">
        <v>32744</v>
      </c>
      <c r="AA5889">
        <v>0.45575229115123522</v>
      </c>
      <c r="AB5889" t="str">
        <f>HYPERLINK("Melting_Curves/meltCurve_Q9HBE1_4_PATZ1.pdf", "Melting_Curves/meltCurve_Q9HBE1_4_PATZ1.pdf")</f>
        <v>Melting_Curves/meltCurve_Q9HBE1_4_PATZ1.pdf</v>
      </c>
    </row>
    <row r="5890" spans="1:28" x14ac:dyDescent="0.25">
      <c r="A5890" t="s">
        <v>5894</v>
      </c>
      <c r="B5890">
        <v>0.995954080203443</v>
      </c>
      <c r="C5890">
        <v>1.1057073989916699</v>
      </c>
      <c r="D5890">
        <v>0.98501943391386004</v>
      </c>
      <c r="E5890">
        <v>0.95365456744202404</v>
      </c>
      <c r="F5890">
        <v>0.852601046298608</v>
      </c>
      <c r="G5890">
        <v>0.54764408858601998</v>
      </c>
      <c r="H5890">
        <v>0.248163719041018</v>
      </c>
      <c r="I5890">
        <v>0.13499959100952999</v>
      </c>
      <c r="J5890">
        <v>8.0164247308922798E-2</v>
      </c>
      <c r="K5890">
        <v>9.9384794269670701E-2</v>
      </c>
      <c r="L5890">
        <v>1263.3356342457901</v>
      </c>
      <c r="M5890">
        <v>22.120648048082099</v>
      </c>
      <c r="N5890">
        <v>57.461009489073099</v>
      </c>
      <c r="O5890">
        <v>56.650560028267897</v>
      </c>
      <c r="P5890">
        <v>-9.1470414584515602E-2</v>
      </c>
      <c r="Q5890">
        <v>6.3004593382556595E-2</v>
      </c>
      <c r="R5890">
        <v>0.99235630659648799</v>
      </c>
      <c r="S5890" t="s">
        <v>12696</v>
      </c>
      <c r="T5890" t="s">
        <v>13610</v>
      </c>
      <c r="U5890" t="s">
        <v>13610</v>
      </c>
      <c r="V5890" t="s">
        <v>13610</v>
      </c>
      <c r="W5890" t="s">
        <v>19427</v>
      </c>
      <c r="X5890">
        <v>1</v>
      </c>
      <c r="Y5890" t="s">
        <v>25981</v>
      </c>
      <c r="Z5890" t="s">
        <v>32745</v>
      </c>
      <c r="AA5890">
        <v>0.60747643611549973</v>
      </c>
      <c r="AB5890" t="str">
        <f>HYPERLINK("Melting_Curves/meltCurve_Q9HBE4_2_IL21.pdf", "Melting_Curves/meltCurve_Q9HBE4_2_IL21.pdf")</f>
        <v>Melting_Curves/meltCurve_Q9HBE4_2_IL21.pdf</v>
      </c>
    </row>
    <row r="5891" spans="1:28" x14ac:dyDescent="0.25">
      <c r="A5891" t="s">
        <v>5895</v>
      </c>
      <c r="B5891">
        <v>0.995954080203443</v>
      </c>
      <c r="C5891">
        <v>0.88332464017923096</v>
      </c>
      <c r="D5891">
        <v>0.780104543913267</v>
      </c>
      <c r="E5891">
        <v>0.442529559057947</v>
      </c>
      <c r="F5891">
        <v>0.16896487772163399</v>
      </c>
      <c r="G5891">
        <v>9.5581449303229704E-2</v>
      </c>
      <c r="H5891">
        <v>7.5054035781179501E-2</v>
      </c>
      <c r="I5891">
        <v>8.7205047790072099E-2</v>
      </c>
      <c r="J5891">
        <v>9.4504844614315506E-2</v>
      </c>
      <c r="K5891">
        <v>9.67522234143499E-2</v>
      </c>
      <c r="L5891">
        <v>989.81676810966906</v>
      </c>
      <c r="M5891">
        <v>20.388220470736201</v>
      </c>
      <c r="N5891">
        <v>48.927753524730001</v>
      </c>
      <c r="O5891">
        <v>48.088645194732301</v>
      </c>
      <c r="P5891">
        <v>-9.8248134177137597E-2</v>
      </c>
      <c r="Q5891">
        <v>7.3096664796917593E-2</v>
      </c>
      <c r="R5891">
        <v>0.99328688106059504</v>
      </c>
      <c r="S5891" t="s">
        <v>12697</v>
      </c>
      <c r="T5891" t="s">
        <v>13610</v>
      </c>
      <c r="U5891" t="s">
        <v>13610</v>
      </c>
      <c r="V5891" t="s">
        <v>13610</v>
      </c>
      <c r="W5891" t="s">
        <v>19428</v>
      </c>
      <c r="X5891">
        <v>8</v>
      </c>
      <c r="Y5891" t="s">
        <v>25982</v>
      </c>
      <c r="Z5891" t="s">
        <v>32746</v>
      </c>
      <c r="AA5891">
        <v>0.34975713308357831</v>
      </c>
      <c r="AB5891" t="str">
        <f>HYPERLINK("Melting_Curves/meltCurve_Q9HBI1_PARVB.pdf", "Melting_Curves/meltCurve_Q9HBI1_PARVB.pdf")</f>
        <v>Melting_Curves/meltCurve_Q9HBI1_PARVB.pdf</v>
      </c>
    </row>
    <row r="5892" spans="1:28" x14ac:dyDescent="0.25">
      <c r="A5892" t="s">
        <v>5896</v>
      </c>
      <c r="B5892">
        <v>0.995954080203443</v>
      </c>
      <c r="C5892">
        <v>0.967121049643346</v>
      </c>
      <c r="D5892">
        <v>0.79012811063964805</v>
      </c>
      <c r="E5892">
        <v>0.30728442718957</v>
      </c>
      <c r="F5892">
        <v>0.19809393684300999</v>
      </c>
      <c r="G5892">
        <v>0.13137134965945699</v>
      </c>
      <c r="H5892">
        <v>0.103903962425362</v>
      </c>
      <c r="I5892">
        <v>9.2159551982956306E-2</v>
      </c>
      <c r="J5892">
        <v>9.7317461592780499E-2</v>
      </c>
      <c r="K5892">
        <v>8.17667363366366E-2</v>
      </c>
      <c r="L5892">
        <v>1280.81534434782</v>
      </c>
      <c r="M5892">
        <v>26.701153608934401</v>
      </c>
      <c r="N5892">
        <v>48.3765589325576</v>
      </c>
      <c r="O5892">
        <v>47.701912017403899</v>
      </c>
      <c r="P5892">
        <v>-0.125829947038962</v>
      </c>
      <c r="Q5892">
        <v>0.100823004425961</v>
      </c>
      <c r="R5892">
        <v>0.99828166424265097</v>
      </c>
      <c r="S5892" t="s">
        <v>12698</v>
      </c>
      <c r="T5892" t="s">
        <v>13610</v>
      </c>
      <c r="U5892" t="s">
        <v>13610</v>
      </c>
      <c r="V5892" t="s">
        <v>13610</v>
      </c>
      <c r="W5892" t="s">
        <v>19429</v>
      </c>
      <c r="X5892">
        <v>13</v>
      </c>
      <c r="Y5892" t="s">
        <v>25983</v>
      </c>
      <c r="Z5892" t="s">
        <v>32747</v>
      </c>
      <c r="AA5892">
        <v>0.34657298243530132</v>
      </c>
      <c r="AB5892" t="str">
        <f>HYPERLINK("Melting_Curves/meltCurve_Q9HBL8_NMRAL1.pdf", "Melting_Curves/meltCurve_Q9HBL8_NMRAL1.pdf")</f>
        <v>Melting_Curves/meltCurve_Q9HBL8_NMRAL1.pdf</v>
      </c>
    </row>
    <row r="5893" spans="1:28" x14ac:dyDescent="0.25">
      <c r="A5893" t="s">
        <v>5897</v>
      </c>
      <c r="B5893">
        <v>0.995954080203443</v>
      </c>
      <c r="C5893">
        <v>1.0061104747640699</v>
      </c>
      <c r="D5893">
        <v>0.88123621923936601</v>
      </c>
      <c r="E5893">
        <v>0.68920441583664305</v>
      </c>
      <c r="F5893">
        <v>0.29397567692749199</v>
      </c>
      <c r="G5893">
        <v>0.164254167351255</v>
      </c>
      <c r="H5893">
        <v>0.10282130162579201</v>
      </c>
      <c r="I5893">
        <v>8.2060035663881301E-2</v>
      </c>
      <c r="J5893">
        <v>8.4771681102003602E-2</v>
      </c>
      <c r="K5893">
        <v>7.8463792417127504E-2</v>
      </c>
      <c r="L5893">
        <v>1265.2173123683899</v>
      </c>
      <c r="M5893">
        <v>24.8382346195</v>
      </c>
      <c r="N5893">
        <v>51.307268266091199</v>
      </c>
      <c r="O5893">
        <v>50.611554332573803</v>
      </c>
      <c r="P5893">
        <v>-0.112657311642775</v>
      </c>
      <c r="Q5893">
        <v>8.1789335526598395E-2</v>
      </c>
      <c r="R5893">
        <v>0.99473593516248704</v>
      </c>
      <c r="S5893" t="s">
        <v>12699</v>
      </c>
      <c r="T5893" t="s">
        <v>13610</v>
      </c>
      <c r="U5893" t="s">
        <v>13610</v>
      </c>
      <c r="V5893" t="s">
        <v>13610</v>
      </c>
      <c r="W5893" t="s">
        <v>19430</v>
      </c>
      <c r="X5893">
        <v>8</v>
      </c>
      <c r="Y5893" t="s">
        <v>25984</v>
      </c>
      <c r="Z5893" t="s">
        <v>32748</v>
      </c>
      <c r="AA5893">
        <v>0.42497410074894149</v>
      </c>
      <c r="AB5893" t="str">
        <f>HYPERLINK("Melting_Curves/meltCurve_Q9HBM1_SPC25.pdf", "Melting_Curves/meltCurve_Q9HBM1_SPC25.pdf")</f>
        <v>Melting_Curves/meltCurve_Q9HBM1_SPC25.pdf</v>
      </c>
    </row>
    <row r="5894" spans="1:28" x14ac:dyDescent="0.25">
      <c r="A5894" t="s">
        <v>5898</v>
      </c>
      <c r="B5894">
        <v>0.995954080203443</v>
      </c>
      <c r="C5894">
        <v>0.82231321870940499</v>
      </c>
      <c r="D5894">
        <v>0.58927747609895298</v>
      </c>
      <c r="E5894">
        <v>0.51687117938281801</v>
      </c>
      <c r="F5894">
        <v>0.35974480313303903</v>
      </c>
      <c r="G5894">
        <v>0.19686760893206401</v>
      </c>
      <c r="H5894">
        <v>0.15658073434255901</v>
      </c>
      <c r="I5894">
        <v>0.16937836622024499</v>
      </c>
      <c r="J5894">
        <v>0.15858985078847401</v>
      </c>
      <c r="K5894">
        <v>0.16641681280098899</v>
      </c>
      <c r="L5894">
        <v>580.43497381634995</v>
      </c>
      <c r="M5894">
        <v>12.1270650845098</v>
      </c>
      <c r="N5894">
        <v>49.050508371158699</v>
      </c>
      <c r="O5894">
        <v>46.617060923848904</v>
      </c>
      <c r="P5894">
        <v>-5.67742494617169E-2</v>
      </c>
      <c r="Q5894">
        <v>0.12722946465200299</v>
      </c>
      <c r="R5894">
        <v>0.97771759478120002</v>
      </c>
      <c r="S5894" t="s">
        <v>12700</v>
      </c>
      <c r="T5894" t="s">
        <v>13610</v>
      </c>
      <c r="U5894" t="s">
        <v>13610</v>
      </c>
      <c r="V5894" t="s">
        <v>13610</v>
      </c>
      <c r="W5894" t="s">
        <v>19431</v>
      </c>
      <c r="X5894">
        <v>8</v>
      </c>
      <c r="Y5894" t="s">
        <v>25985</v>
      </c>
      <c r="Z5894" t="s">
        <v>32749</v>
      </c>
      <c r="AA5894">
        <v>0.38980256983801581</v>
      </c>
      <c r="AB5894" t="str">
        <f>HYPERLINK("Melting_Curves/meltCurve_Q9HBM6_TAF9B.pdf", "Melting_Curves/meltCurve_Q9HBM6_TAF9B.pdf")</f>
        <v>Melting_Curves/meltCurve_Q9HBM6_TAF9B.pdf</v>
      </c>
    </row>
    <row r="5895" spans="1:28" x14ac:dyDescent="0.25">
      <c r="A5895" t="s">
        <v>5899</v>
      </c>
      <c r="B5895">
        <v>0.995954080203443</v>
      </c>
      <c r="C5895">
        <v>1.04997758556418</v>
      </c>
      <c r="D5895">
        <v>1.05947973604269</v>
      </c>
      <c r="E5895">
        <v>0.800263992179296</v>
      </c>
      <c r="F5895">
        <v>0.55550422893420404</v>
      </c>
      <c r="G5895">
        <v>0.226448574441909</v>
      </c>
      <c r="H5895">
        <v>0.17921744984603899</v>
      </c>
      <c r="I5895">
        <v>0.19582104311237</v>
      </c>
      <c r="J5895">
        <v>0.21640792028184999</v>
      </c>
      <c r="K5895">
        <v>0.27705199072388198</v>
      </c>
      <c r="L5895">
        <v>1617.34521870053</v>
      </c>
      <c r="M5895">
        <v>30.9530821931715</v>
      </c>
      <c r="N5895">
        <v>53.1801724807748</v>
      </c>
      <c r="O5895">
        <v>52.034871665997102</v>
      </c>
      <c r="P5895">
        <v>-0.11766584970946201</v>
      </c>
      <c r="Q5895">
        <v>0.208777794836636</v>
      </c>
      <c r="R5895">
        <v>0.98591994812400696</v>
      </c>
      <c r="S5895" t="s">
        <v>12701</v>
      </c>
      <c r="T5895" t="s">
        <v>13610</v>
      </c>
      <c r="U5895" t="s">
        <v>13610</v>
      </c>
      <c r="V5895" t="s">
        <v>13610</v>
      </c>
      <c r="W5895" t="s">
        <v>19432</v>
      </c>
      <c r="X5895">
        <v>1</v>
      </c>
      <c r="Y5895" t="s">
        <v>25986</v>
      </c>
      <c r="Z5895" t="s">
        <v>32750</v>
      </c>
      <c r="AA5895">
        <v>0.53667017538662087</v>
      </c>
      <c r="AB5895" t="str">
        <f>HYPERLINK("Melting_Curves/meltCurve_Q9HBM8_AGPAT1.pdf", "Melting_Curves/meltCurve_Q9HBM8_AGPAT1.pdf")</f>
        <v>Melting_Curves/meltCurve_Q9HBM8_AGPAT1.pdf</v>
      </c>
    </row>
    <row r="5896" spans="1:28" x14ac:dyDescent="0.25">
      <c r="A5896" t="s">
        <v>5900</v>
      </c>
      <c r="B5896">
        <v>0.995954080203443</v>
      </c>
      <c r="C5896">
        <v>0.806007667248821</v>
      </c>
      <c r="D5896">
        <v>0.50301308514056797</v>
      </c>
      <c r="E5896">
        <v>0.29683396440797899</v>
      </c>
      <c r="F5896">
        <v>0.20076864286388499</v>
      </c>
      <c r="G5896">
        <v>0.119736702241506</v>
      </c>
      <c r="H5896">
        <v>0.112674946261881</v>
      </c>
      <c r="I5896">
        <v>0.118127473934844</v>
      </c>
      <c r="J5896">
        <v>0.17850134137853399</v>
      </c>
      <c r="K5896">
        <v>0.128555352123285</v>
      </c>
      <c r="L5896">
        <v>908.64459742552299</v>
      </c>
      <c r="M5896">
        <v>19.9203850590972</v>
      </c>
      <c r="N5896">
        <v>46.332875982083699</v>
      </c>
      <c r="O5896">
        <v>45.1615994255937</v>
      </c>
      <c r="P5896">
        <v>-9.5613310502844703E-2</v>
      </c>
      <c r="Q5896">
        <v>0.13296722498741001</v>
      </c>
      <c r="R5896">
        <v>0.99105541271744002</v>
      </c>
      <c r="S5896" t="s">
        <v>12702</v>
      </c>
      <c r="T5896" t="s">
        <v>13610</v>
      </c>
      <c r="U5896" t="s">
        <v>13610</v>
      </c>
      <c r="V5896" t="s">
        <v>13610</v>
      </c>
      <c r="W5896" t="s">
        <v>19433</v>
      </c>
      <c r="X5896">
        <v>2</v>
      </c>
      <c r="Y5896" t="s">
        <v>25987</v>
      </c>
      <c r="Z5896" t="s">
        <v>32751</v>
      </c>
      <c r="AA5896">
        <v>0.30915334520889759</v>
      </c>
      <c r="AB5896" t="str">
        <f>HYPERLINK("Melting_Curves/meltCurve_Q9HBN3_POLL.pdf", "Melting_Curves/meltCurve_Q9HBN3_POLL.pdf")</f>
        <v>Melting_Curves/meltCurve_Q9HBN3_POLL.pdf</v>
      </c>
    </row>
    <row r="5897" spans="1:28" x14ac:dyDescent="0.25">
      <c r="A5897" t="s">
        <v>5901</v>
      </c>
      <c r="B5897">
        <v>0.995954080203443</v>
      </c>
      <c r="C5897">
        <v>0.81349384572404504</v>
      </c>
      <c r="D5897">
        <v>1.3080675101764301</v>
      </c>
      <c r="E5897">
        <v>0.67366681142009299</v>
      </c>
      <c r="F5897">
        <v>1.5691930569085599</v>
      </c>
      <c r="G5897">
        <v>0.98526429520834402</v>
      </c>
      <c r="H5897">
        <v>1.16543055543936</v>
      </c>
      <c r="I5897">
        <v>1.4341067092433799</v>
      </c>
      <c r="J5897">
        <v>1.7536421733312899</v>
      </c>
      <c r="K5897">
        <v>1.89253684931369</v>
      </c>
      <c r="L5897">
        <v>4352.7154131980697</v>
      </c>
      <c r="M5897">
        <v>70.606844806979694</v>
      </c>
      <c r="O5897">
        <v>61.597820725026601</v>
      </c>
      <c r="P5897">
        <v>0.14328198007406101</v>
      </c>
      <c r="Q5897">
        <v>1.5</v>
      </c>
      <c r="R5897">
        <v>0.468560674286705</v>
      </c>
      <c r="S5897" t="s">
        <v>12703</v>
      </c>
      <c r="T5897" t="s">
        <v>13610</v>
      </c>
      <c r="U5897" t="s">
        <v>13610</v>
      </c>
      <c r="V5897" t="s">
        <v>13610</v>
      </c>
      <c r="W5897" t="s">
        <v>19434</v>
      </c>
      <c r="X5897">
        <v>2</v>
      </c>
      <c r="Y5897" t="s">
        <v>25988</v>
      </c>
      <c r="Z5897" t="s">
        <v>32752</v>
      </c>
      <c r="AA5897">
        <v>1.1385374010163609</v>
      </c>
      <c r="AB5897" t="str">
        <f>HYPERLINK("Melting_Curves/meltCurve_Q9HBR0_SLC38A10.pdf", "Melting_Curves/meltCurve_Q9HBR0_SLC38A10.pdf")</f>
        <v>Melting_Curves/meltCurve_Q9HBR0_SLC38A10.pdf</v>
      </c>
    </row>
    <row r="5898" spans="1:28" x14ac:dyDescent="0.25">
      <c r="A5898" t="s">
        <v>5902</v>
      </c>
      <c r="B5898">
        <v>0.995954080203443</v>
      </c>
      <c r="C5898">
        <v>0.99791257942649603</v>
      </c>
      <c r="D5898">
        <v>0.92041180445571502</v>
      </c>
      <c r="E5898">
        <v>0.84534930052191504</v>
      </c>
      <c r="F5898">
        <v>0.56382030205182598</v>
      </c>
      <c r="G5898">
        <v>0.28698548455671302</v>
      </c>
      <c r="H5898">
        <v>0.192489125953241</v>
      </c>
      <c r="I5898">
        <v>0.16597824573391301</v>
      </c>
      <c r="J5898">
        <v>0.17594211426099601</v>
      </c>
      <c r="K5898">
        <v>0.124034135503995</v>
      </c>
      <c r="L5898">
        <v>1176.83963628883</v>
      </c>
      <c r="M5898">
        <v>22.208063223698499</v>
      </c>
      <c r="N5898">
        <v>53.818775589586302</v>
      </c>
      <c r="O5898">
        <v>52.567489924993097</v>
      </c>
      <c r="P5898">
        <v>-9.0346786500368897E-2</v>
      </c>
      <c r="Q5898">
        <v>0.14459869725414401</v>
      </c>
      <c r="R5898">
        <v>0.99649652167196301</v>
      </c>
      <c r="S5898" t="s">
        <v>12704</v>
      </c>
      <c r="T5898" t="s">
        <v>13610</v>
      </c>
      <c r="U5898" t="s">
        <v>13610</v>
      </c>
      <c r="V5898" t="s">
        <v>13610</v>
      </c>
      <c r="W5898" t="s">
        <v>19435</v>
      </c>
      <c r="X5898">
        <v>6</v>
      </c>
      <c r="Y5898" t="s">
        <v>25989</v>
      </c>
      <c r="Z5898" t="s">
        <v>32753</v>
      </c>
      <c r="AA5898">
        <v>0.52482352986671477</v>
      </c>
      <c r="AB5898" t="str">
        <f>HYPERLINK("Melting_Curves/meltCurve_Q9HBU6_ETNK1.pdf", "Melting_Curves/meltCurve_Q9HBU6_ETNK1.pdf")</f>
        <v>Melting_Curves/meltCurve_Q9HBU6_ETNK1.pdf</v>
      </c>
    </row>
    <row r="5899" spans="1:28" x14ac:dyDescent="0.25">
      <c r="A5899" t="s">
        <v>5903</v>
      </c>
      <c r="B5899">
        <v>0.995954080203443</v>
      </c>
      <c r="C5899">
        <v>0.96747205393538405</v>
      </c>
      <c r="D5899">
        <v>0.95890388406580296</v>
      </c>
      <c r="E5899">
        <v>0.50804024646661405</v>
      </c>
      <c r="F5899">
        <v>0.28676698483365398</v>
      </c>
      <c r="G5899">
        <v>0.18315003643158201</v>
      </c>
      <c r="H5899">
        <v>0.143211441579361</v>
      </c>
      <c r="I5899">
        <v>0.155964212024371</v>
      </c>
      <c r="J5899">
        <v>0.18523720144438099</v>
      </c>
      <c r="K5899">
        <v>0.170583796854895</v>
      </c>
      <c r="L5899">
        <v>1563.6862168334301</v>
      </c>
      <c r="M5899">
        <v>31.556322276612502</v>
      </c>
      <c r="N5899">
        <v>50.1996558456323</v>
      </c>
      <c r="O5899">
        <v>49.354510499090303</v>
      </c>
      <c r="P5899">
        <v>-0.133124325622722</v>
      </c>
      <c r="Q5899">
        <v>0.16717153173518101</v>
      </c>
      <c r="R5899">
        <v>0.997251128903899</v>
      </c>
      <c r="S5899" t="s">
        <v>12705</v>
      </c>
      <c r="T5899" t="s">
        <v>13610</v>
      </c>
      <c r="U5899" t="s">
        <v>13610</v>
      </c>
      <c r="V5899" t="s">
        <v>13610</v>
      </c>
      <c r="W5899" t="s">
        <v>19436</v>
      </c>
      <c r="X5899">
        <v>44</v>
      </c>
      <c r="Y5899" t="s">
        <v>25990</v>
      </c>
      <c r="Z5899" t="s">
        <v>32754</v>
      </c>
      <c r="AA5899">
        <v>0.43696530891539093</v>
      </c>
      <c r="AB5899" t="str">
        <f>HYPERLINK("Melting_Curves/meltCurve_Q9HC35_EML4.pdf", "Melting_Curves/meltCurve_Q9HC35_EML4.pdf")</f>
        <v>Melting_Curves/meltCurve_Q9HC35_EML4.pdf</v>
      </c>
    </row>
    <row r="5900" spans="1:28" x14ac:dyDescent="0.25">
      <c r="A5900" t="s">
        <v>5904</v>
      </c>
      <c r="B5900">
        <v>0.995954080203443</v>
      </c>
      <c r="C5900">
        <v>0.92193442797958403</v>
      </c>
      <c r="D5900">
        <v>1.0875499508165301</v>
      </c>
      <c r="E5900">
        <v>0.79207898014149503</v>
      </c>
      <c r="F5900">
        <v>0.195762448858666</v>
      </c>
      <c r="G5900">
        <v>8.7131490482078397E-2</v>
      </c>
      <c r="H5900">
        <v>5.0659075802940698E-2</v>
      </c>
      <c r="I5900">
        <v>4.67680514961588E-2</v>
      </c>
      <c r="J5900">
        <v>5.4108192862844399E-2</v>
      </c>
      <c r="K5900">
        <v>4.6048816059196702E-2</v>
      </c>
      <c r="L5900">
        <v>2680.7466305804201</v>
      </c>
      <c r="M5900">
        <v>52.334857952896598</v>
      </c>
      <c r="N5900">
        <v>51.339425813012298</v>
      </c>
      <c r="O5900">
        <v>51.148340191495897</v>
      </c>
      <c r="P5900">
        <v>-0.241482368915277</v>
      </c>
      <c r="Q5900">
        <v>5.59704122583796E-2</v>
      </c>
      <c r="R5900">
        <v>0.99193915421185497</v>
      </c>
      <c r="S5900" t="s">
        <v>12706</v>
      </c>
      <c r="T5900" t="s">
        <v>13610</v>
      </c>
      <c r="U5900" t="s">
        <v>13610</v>
      </c>
      <c r="V5900" t="s">
        <v>13610</v>
      </c>
      <c r="W5900" t="s">
        <v>19437</v>
      </c>
      <c r="X5900">
        <v>27</v>
      </c>
      <c r="Y5900" t="s">
        <v>25991</v>
      </c>
      <c r="Z5900" t="s">
        <v>32755</v>
      </c>
      <c r="AA5900">
        <v>0.41107672933475409</v>
      </c>
      <c r="AB5900" t="str">
        <f>HYPERLINK("Melting_Curves/meltCurve_Q9HC38_2_GLOD4.pdf", "Melting_Curves/meltCurve_Q9HC38_2_GLOD4.pdf")</f>
        <v>Melting_Curves/meltCurve_Q9HC38_2_GLOD4.pdf</v>
      </c>
    </row>
    <row r="5901" spans="1:28" x14ac:dyDescent="0.25">
      <c r="A5901" t="s">
        <v>5905</v>
      </c>
      <c r="B5901">
        <v>0.995954080203443</v>
      </c>
      <c r="C5901">
        <v>1.0694388982015901</v>
      </c>
      <c r="D5901">
        <v>0.90867671164938102</v>
      </c>
      <c r="E5901">
        <v>0.81479349846891402</v>
      </c>
      <c r="F5901">
        <v>0.77924628808275798</v>
      </c>
      <c r="G5901">
        <v>0.58324079891474701</v>
      </c>
      <c r="H5901">
        <v>0.56361218917385203</v>
      </c>
      <c r="I5901">
        <v>0.66363376162044996</v>
      </c>
      <c r="J5901">
        <v>0.78250266379062705</v>
      </c>
      <c r="K5901">
        <v>0.76074890337622902</v>
      </c>
      <c r="L5901">
        <v>1217.7770327164701</v>
      </c>
      <c r="M5901">
        <v>24.7110909260577</v>
      </c>
      <c r="O5901">
        <v>48.961255354347102</v>
      </c>
      <c r="P5901">
        <v>-4.0723405601585001E-2</v>
      </c>
      <c r="Q5901">
        <v>0.67725571100666904</v>
      </c>
      <c r="R5901">
        <v>0.782498449858547</v>
      </c>
      <c r="S5901" t="s">
        <v>12707</v>
      </c>
      <c r="T5901" t="s">
        <v>13610</v>
      </c>
      <c r="U5901" t="s">
        <v>13610</v>
      </c>
      <c r="V5901" t="s">
        <v>13610</v>
      </c>
      <c r="W5901" t="s">
        <v>19438</v>
      </c>
      <c r="X5901">
        <v>4</v>
      </c>
      <c r="Y5901" t="s">
        <v>25992</v>
      </c>
      <c r="Z5901" t="s">
        <v>32756</v>
      </c>
      <c r="AA5901">
        <v>0.78003224140127214</v>
      </c>
      <c r="AB5901" t="str">
        <f>HYPERLINK("Melting_Curves/meltCurve_Q9HC44_GPBP1L1.pdf", "Melting_Curves/meltCurve_Q9HC44_GPBP1L1.pdf")</f>
        <v>Melting_Curves/meltCurve_Q9HC44_GPBP1L1.pdf</v>
      </c>
    </row>
    <row r="5902" spans="1:28" x14ac:dyDescent="0.25">
      <c r="A5902" t="s">
        <v>5906</v>
      </c>
      <c r="B5902">
        <v>0.995954080203443</v>
      </c>
      <c r="C5902">
        <v>0.86462094461707895</v>
      </c>
      <c r="D5902">
        <v>0.99802901435630398</v>
      </c>
      <c r="E5902">
        <v>0.68912490837312101</v>
      </c>
      <c r="F5902">
        <v>0.79109888262719097</v>
      </c>
      <c r="G5902">
        <v>0.75425374257617295</v>
      </c>
      <c r="H5902">
        <v>0.87189402704868502</v>
      </c>
      <c r="I5902">
        <v>1.2902115572250299</v>
      </c>
      <c r="J5902">
        <v>1.35768862503745</v>
      </c>
      <c r="K5902">
        <v>1.51877454104163</v>
      </c>
      <c r="L5902">
        <v>15000</v>
      </c>
      <c r="M5902">
        <v>235.048045218868</v>
      </c>
      <c r="O5902">
        <v>63.8121202078853</v>
      </c>
      <c r="P5902">
        <v>0.40355697575127603</v>
      </c>
      <c r="Q5902">
        <v>1.43823935943037</v>
      </c>
      <c r="R5902">
        <v>0.65257091602688799</v>
      </c>
      <c r="S5902" t="s">
        <v>12708</v>
      </c>
      <c r="T5902" t="s">
        <v>13610</v>
      </c>
      <c r="U5902" t="s">
        <v>13610</v>
      </c>
      <c r="V5902" t="s">
        <v>13610</v>
      </c>
      <c r="W5902" t="s">
        <v>19439</v>
      </c>
      <c r="X5902">
        <v>9</v>
      </c>
      <c r="Y5902" t="s">
        <v>25993</v>
      </c>
      <c r="Z5902" t="s">
        <v>32757</v>
      </c>
      <c r="AA5902">
        <v>1.0902694031051321</v>
      </c>
      <c r="AB5902" t="str">
        <f>HYPERLINK("Melting_Curves/meltCurve_Q9HC52_CBX8.pdf", "Melting_Curves/meltCurve_Q9HC52_CBX8.pdf")</f>
        <v>Melting_Curves/meltCurve_Q9HC52_CBX8.pdf</v>
      </c>
    </row>
    <row r="5903" spans="1:28" x14ac:dyDescent="0.25">
      <c r="A5903" t="s">
        <v>5907</v>
      </c>
      <c r="B5903">
        <v>0.995954080203443</v>
      </c>
      <c r="C5903">
        <v>1.0028357571695901</v>
      </c>
      <c r="D5903">
        <v>1.02701253527183</v>
      </c>
      <c r="E5903">
        <v>0.93432180601039705</v>
      </c>
      <c r="F5903">
        <v>0.94874844283036097</v>
      </c>
      <c r="G5903">
        <v>0.78555031997137903</v>
      </c>
      <c r="H5903">
        <v>0.78445152189994505</v>
      </c>
      <c r="I5903">
        <v>0.94150341506863799</v>
      </c>
      <c r="J5903">
        <v>1.06425265488132</v>
      </c>
      <c r="K5903">
        <v>1.1345936547786899</v>
      </c>
      <c r="L5903">
        <v>15000</v>
      </c>
      <c r="M5903">
        <v>223.78972681253899</v>
      </c>
      <c r="O5903">
        <v>67.021847181127399</v>
      </c>
      <c r="P5903">
        <v>0.11236344563174901</v>
      </c>
      <c r="Q5903">
        <v>1.13460504020544</v>
      </c>
      <c r="R5903">
        <v>6.9574796884569107E-2</v>
      </c>
      <c r="S5903" t="s">
        <v>12709</v>
      </c>
      <c r="T5903" t="s">
        <v>13610</v>
      </c>
      <c r="U5903" t="s">
        <v>13610</v>
      </c>
      <c r="V5903" t="s">
        <v>13610</v>
      </c>
      <c r="W5903" t="s">
        <v>19440</v>
      </c>
      <c r="X5903">
        <v>14</v>
      </c>
      <c r="Y5903" t="s">
        <v>25994</v>
      </c>
      <c r="Z5903" t="s">
        <v>32758</v>
      </c>
      <c r="AA5903">
        <v>1.013318786883098</v>
      </c>
      <c r="AB5903" t="str">
        <f>HYPERLINK("Melting_Curves/meltCurve_Q9HC77_CENPJ.pdf", "Melting_Curves/meltCurve_Q9HC77_CENPJ.pdf")</f>
        <v>Melting_Curves/meltCurve_Q9HC77_CENPJ.pdf</v>
      </c>
    </row>
    <row r="5904" spans="1:28" x14ac:dyDescent="0.25">
      <c r="A5904" t="s">
        <v>5908</v>
      </c>
      <c r="B5904">
        <v>0.995954080203443</v>
      </c>
      <c r="C5904">
        <v>0.633896182903675</v>
      </c>
      <c r="D5904">
        <v>0.437076098252833</v>
      </c>
      <c r="E5904">
        <v>0.45780510771746002</v>
      </c>
      <c r="F5904">
        <v>0.37427874280073498</v>
      </c>
      <c r="G5904">
        <v>0.27848971944003398</v>
      </c>
      <c r="H5904">
        <v>0.20918155141911501</v>
      </c>
      <c r="I5904">
        <v>0.21181481455815901</v>
      </c>
      <c r="J5904">
        <v>0.138947554232938</v>
      </c>
      <c r="K5904">
        <v>7.6228267235541797E-2</v>
      </c>
      <c r="L5904">
        <v>427.87339074796699</v>
      </c>
      <c r="M5904">
        <v>9.2456855602017107</v>
      </c>
      <c r="N5904">
        <v>47.576696479930803</v>
      </c>
      <c r="O5904">
        <v>44.267695819402597</v>
      </c>
      <c r="P5904">
        <v>-4.6422481799232598E-2</v>
      </c>
      <c r="Q5904">
        <v>0.111512037236073</v>
      </c>
      <c r="R5904">
        <v>0.90513555974461601</v>
      </c>
      <c r="S5904" t="s">
        <v>12710</v>
      </c>
      <c r="T5904" t="s">
        <v>13610</v>
      </c>
      <c r="U5904" t="s">
        <v>13610</v>
      </c>
      <c r="V5904" t="s">
        <v>13610</v>
      </c>
      <c r="W5904" t="s">
        <v>19441</v>
      </c>
      <c r="X5904">
        <v>18</v>
      </c>
      <c r="Y5904" t="s">
        <v>25995</v>
      </c>
      <c r="Z5904" t="s">
        <v>32759</v>
      </c>
      <c r="AA5904">
        <v>0.35885026556876992</v>
      </c>
      <c r="AB5904" t="str">
        <f>HYPERLINK("Melting_Curves/meltCurve_Q9HCC0_MCCC2.pdf", "Melting_Curves/meltCurve_Q9HCC0_MCCC2.pdf")</f>
        <v>Melting_Curves/meltCurve_Q9HCC0_MCCC2.pdf</v>
      </c>
    </row>
    <row r="5905" spans="1:28" x14ac:dyDescent="0.25">
      <c r="A5905" t="s">
        <v>5909</v>
      </c>
      <c r="B5905">
        <v>0.995954080203443</v>
      </c>
      <c r="C5905">
        <v>1.0907155147317</v>
      </c>
      <c r="D5905">
        <v>0.82914042631992202</v>
      </c>
      <c r="E5905">
        <v>0.72152226368943395</v>
      </c>
      <c r="F5905">
        <v>0.41050160165065602</v>
      </c>
      <c r="G5905">
        <v>0.27180510976297101</v>
      </c>
      <c r="H5905">
        <v>0.22970758592239501</v>
      </c>
      <c r="I5905">
        <v>0.22523060151931801</v>
      </c>
      <c r="J5905">
        <v>0.32277313676032998</v>
      </c>
      <c r="K5905">
        <v>0.22820985919574999</v>
      </c>
      <c r="L5905">
        <v>1170.2080583904999</v>
      </c>
      <c r="M5905">
        <v>23.1483471414932</v>
      </c>
      <c r="N5905">
        <v>52.025145616309601</v>
      </c>
      <c r="O5905">
        <v>50.179815933953797</v>
      </c>
      <c r="P5905">
        <v>-8.7611305474741205E-2</v>
      </c>
      <c r="Q5905">
        <v>0.24033643774670899</v>
      </c>
      <c r="R5905">
        <v>0.96951615553299397</v>
      </c>
      <c r="S5905" t="s">
        <v>12711</v>
      </c>
      <c r="T5905" t="s">
        <v>13610</v>
      </c>
      <c r="U5905" t="s">
        <v>13610</v>
      </c>
      <c r="V5905" t="s">
        <v>13610</v>
      </c>
      <c r="W5905" t="s">
        <v>19442</v>
      </c>
      <c r="X5905">
        <v>4</v>
      </c>
      <c r="Y5905" t="s">
        <v>25996</v>
      </c>
      <c r="Z5905" t="s">
        <v>32760</v>
      </c>
      <c r="AA5905">
        <v>0.51550091147611632</v>
      </c>
      <c r="AB5905" t="str">
        <f>HYPERLINK("Melting_Curves/meltCurve_Q9HCC9_2_ZFYVE28.pdf", "Melting_Curves/meltCurve_Q9HCC9_2_ZFYVE28.pdf")</f>
        <v>Melting_Curves/meltCurve_Q9HCC9_2_ZFYVE28.pdf</v>
      </c>
    </row>
    <row r="5906" spans="1:28" x14ac:dyDescent="0.25">
      <c r="A5906" t="s">
        <v>5910</v>
      </c>
      <c r="B5906">
        <v>0.995954080203443</v>
      </c>
      <c r="C5906">
        <v>0.78031407473492997</v>
      </c>
      <c r="D5906">
        <v>0.75886823792598201</v>
      </c>
      <c r="E5906">
        <v>0.88948296498577495</v>
      </c>
      <c r="F5906">
        <v>0.76859396162805604</v>
      </c>
      <c r="G5906">
        <v>0.59562095191259001</v>
      </c>
      <c r="H5906">
        <v>0.17251746439471399</v>
      </c>
      <c r="I5906">
        <v>1.2858375004761301E-2</v>
      </c>
      <c r="J5906">
        <v>0</v>
      </c>
      <c r="K5906">
        <v>1.5901627867431301E-3</v>
      </c>
      <c r="L5906">
        <v>1149.17183429138</v>
      </c>
      <c r="M5906">
        <v>20.2036782296783</v>
      </c>
      <c r="N5906">
        <v>56.879337480309502</v>
      </c>
      <c r="O5906">
        <v>56.3308899825225</v>
      </c>
      <c r="P5906">
        <v>-8.9667986820022999E-2</v>
      </c>
      <c r="Q5906">
        <v>0</v>
      </c>
      <c r="R5906">
        <v>0.91261691277308499</v>
      </c>
      <c r="S5906" t="s">
        <v>12712</v>
      </c>
      <c r="T5906" t="s">
        <v>13610</v>
      </c>
      <c r="U5906" t="s">
        <v>13610</v>
      </c>
      <c r="V5906" t="s">
        <v>13610</v>
      </c>
      <c r="W5906" t="s">
        <v>19443</v>
      </c>
      <c r="X5906">
        <v>4</v>
      </c>
      <c r="Y5906" t="s">
        <v>25996</v>
      </c>
      <c r="Z5906" t="s">
        <v>32761</v>
      </c>
      <c r="AA5906">
        <v>0.57482467615057375</v>
      </c>
      <c r="AB5906" t="str">
        <f>HYPERLINK("Melting_Curves/meltCurve_Q9HCC9_5_ZFYVE28.pdf", "Melting_Curves/meltCurve_Q9HCC9_5_ZFYVE28.pdf")</f>
        <v>Melting_Curves/meltCurve_Q9HCC9_5_ZFYVE28.pdf</v>
      </c>
    </row>
    <row r="5907" spans="1:28" x14ac:dyDescent="0.25">
      <c r="A5907" t="s">
        <v>5911</v>
      </c>
      <c r="B5907">
        <v>0.995954080203443</v>
      </c>
      <c r="C5907">
        <v>1.00232798796694</v>
      </c>
      <c r="D5907">
        <v>0.86912452123859696</v>
      </c>
      <c r="E5907">
        <v>1.03339824710642</v>
      </c>
      <c r="F5907">
        <v>1.12738889841754</v>
      </c>
      <c r="G5907">
        <v>0.836063063202101</v>
      </c>
      <c r="H5907">
        <v>0.77972728842514605</v>
      </c>
      <c r="I5907">
        <v>0.97579112895375097</v>
      </c>
      <c r="J5907">
        <v>1.25833168086925</v>
      </c>
      <c r="K5907">
        <v>0.97381560820114899</v>
      </c>
      <c r="L5907">
        <v>15000</v>
      </c>
      <c r="M5907">
        <v>229.996843778759</v>
      </c>
      <c r="O5907">
        <v>65.213355310096006</v>
      </c>
      <c r="P5907">
        <v>0.102177055500889</v>
      </c>
      <c r="Q5907">
        <v>1.1158852183180801</v>
      </c>
      <c r="R5907">
        <v>0.14006038626440401</v>
      </c>
      <c r="S5907" t="s">
        <v>12713</v>
      </c>
      <c r="T5907" t="s">
        <v>13610</v>
      </c>
      <c r="U5907" t="s">
        <v>13610</v>
      </c>
      <c r="V5907" t="s">
        <v>13610</v>
      </c>
      <c r="W5907" t="s">
        <v>19444</v>
      </c>
      <c r="X5907">
        <v>2</v>
      </c>
      <c r="Y5907" t="s">
        <v>25997</v>
      </c>
      <c r="Z5907" t="s">
        <v>32762</v>
      </c>
      <c r="AA5907">
        <v>1.018455326155796</v>
      </c>
      <c r="AB5907" t="str">
        <f>HYPERLINK("Melting_Curves/meltCurve_Q9HCD5_NCOA5.pdf", "Melting_Curves/meltCurve_Q9HCD5_NCOA5.pdf")</f>
        <v>Melting_Curves/meltCurve_Q9HCD5_NCOA5.pdf</v>
      </c>
    </row>
    <row r="5908" spans="1:28" x14ac:dyDescent="0.25">
      <c r="A5908" t="s">
        <v>5912</v>
      </c>
      <c r="B5908">
        <v>0.995954080203443</v>
      </c>
      <c r="C5908">
        <v>0.953181366682743</v>
      </c>
      <c r="D5908">
        <v>0.85788035084877201</v>
      </c>
      <c r="E5908">
        <v>0.68683306570381597</v>
      </c>
      <c r="F5908">
        <v>0.47277041242996198</v>
      </c>
      <c r="G5908">
        <v>0.32433695574635502</v>
      </c>
      <c r="H5908">
        <v>0.28779435990084601</v>
      </c>
      <c r="I5908">
        <v>0.30767849249572299</v>
      </c>
      <c r="J5908">
        <v>0.35753031071192098</v>
      </c>
      <c r="K5908">
        <v>0.36366777426550401</v>
      </c>
      <c r="L5908">
        <v>997.68535060104898</v>
      </c>
      <c r="M5908">
        <v>20.0067186798987</v>
      </c>
      <c r="N5908">
        <v>52.469642038074902</v>
      </c>
      <c r="O5908">
        <v>49.377338294777097</v>
      </c>
      <c r="P5908">
        <v>-6.9428032194084194E-2</v>
      </c>
      <c r="Q5908">
        <v>0.314618510720647</v>
      </c>
      <c r="R5908">
        <v>0.98519624964727104</v>
      </c>
      <c r="S5908" t="s">
        <v>12714</v>
      </c>
      <c r="T5908" t="s">
        <v>13610</v>
      </c>
      <c r="U5908" t="s">
        <v>13610</v>
      </c>
      <c r="V5908" t="s">
        <v>13610</v>
      </c>
      <c r="W5908" t="s">
        <v>19445</v>
      </c>
      <c r="X5908">
        <v>7</v>
      </c>
      <c r="Y5908" t="s">
        <v>25998</v>
      </c>
      <c r="Z5908" t="s">
        <v>32763</v>
      </c>
      <c r="AA5908">
        <v>0.54959252264076708</v>
      </c>
      <c r="AB5908" t="str">
        <f>HYPERLINK("Melting_Curves/meltCurve_Q9HCE0_2_EPG5.pdf", "Melting_Curves/meltCurve_Q9HCE0_2_EPG5.pdf")</f>
        <v>Melting_Curves/meltCurve_Q9HCE0_2_EPG5.pdf</v>
      </c>
    </row>
    <row r="5909" spans="1:28" x14ac:dyDescent="0.25">
      <c r="A5909" t="s">
        <v>5913</v>
      </c>
      <c r="B5909">
        <v>0.995954080203443</v>
      </c>
      <c r="C5909">
        <v>0.77998094766549098</v>
      </c>
      <c r="D5909">
        <v>0.61860227392704603</v>
      </c>
      <c r="E5909">
        <v>0.79712206007117103</v>
      </c>
      <c r="F5909">
        <v>0.50660631738762396</v>
      </c>
      <c r="G5909">
        <v>0.25281224579990502</v>
      </c>
      <c r="H5909">
        <v>8.6198265644101699E-2</v>
      </c>
      <c r="I5909">
        <v>6.5266746638215495E-2</v>
      </c>
      <c r="J5909">
        <v>7.1990829205756501E-2</v>
      </c>
      <c r="K5909">
        <v>7.00434891134641E-2</v>
      </c>
      <c r="L5909">
        <v>536.365451390982</v>
      </c>
      <c r="M5909">
        <v>10.3404213125604</v>
      </c>
      <c r="N5909">
        <v>51.870744392895602</v>
      </c>
      <c r="O5909">
        <v>50.043202809345999</v>
      </c>
      <c r="P5909">
        <v>-5.1679574751140302E-2</v>
      </c>
      <c r="Q5909">
        <v>0</v>
      </c>
      <c r="R5909">
        <v>0.912577198441889</v>
      </c>
      <c r="S5909" t="s">
        <v>12715</v>
      </c>
      <c r="T5909" t="s">
        <v>13610</v>
      </c>
      <c r="U5909" t="s">
        <v>13610</v>
      </c>
      <c r="V5909" t="s">
        <v>13610</v>
      </c>
      <c r="W5909" t="s">
        <v>19446</v>
      </c>
      <c r="X5909">
        <v>24</v>
      </c>
      <c r="Y5909" t="s">
        <v>25999</v>
      </c>
      <c r="Z5909" t="s">
        <v>32764</v>
      </c>
      <c r="AA5909">
        <v>0.43271487031443379</v>
      </c>
      <c r="AB5909" t="str">
        <f>HYPERLINK("Melting_Curves/meltCurve_Q9HCE1_MOV10.pdf", "Melting_Curves/meltCurve_Q9HCE1_MOV10.pdf")</f>
        <v>Melting_Curves/meltCurve_Q9HCE1_MOV10.pdf</v>
      </c>
    </row>
    <row r="5910" spans="1:28" x14ac:dyDescent="0.25">
      <c r="A5910" t="s">
        <v>5914</v>
      </c>
      <c r="B5910">
        <v>0.995954080203443</v>
      </c>
      <c r="C5910">
        <v>0.94463783726118</v>
      </c>
      <c r="D5910">
        <v>1.02648186152747</v>
      </c>
      <c r="E5910">
        <v>0.84887098169388397</v>
      </c>
      <c r="F5910">
        <v>0.53699338343518599</v>
      </c>
      <c r="G5910">
        <v>0.21019759065388099</v>
      </c>
      <c r="H5910">
        <v>0.18216453884492501</v>
      </c>
      <c r="I5910">
        <v>0.187547229866771</v>
      </c>
      <c r="J5910">
        <v>0.24375858231626499</v>
      </c>
      <c r="K5910">
        <v>0.21732502031350401</v>
      </c>
      <c r="L5910">
        <v>1826.3384031079299</v>
      </c>
      <c r="M5910">
        <v>34.878186234556402</v>
      </c>
      <c r="N5910">
        <v>53.141302902834603</v>
      </c>
      <c r="O5910">
        <v>52.192099609666698</v>
      </c>
      <c r="P5910">
        <v>-0.13366500281260099</v>
      </c>
      <c r="Q5910">
        <v>0.199931744479796</v>
      </c>
      <c r="R5910">
        <v>0.99277783815492104</v>
      </c>
      <c r="S5910" t="s">
        <v>12716</v>
      </c>
      <c r="T5910" t="s">
        <v>13610</v>
      </c>
      <c r="U5910" t="s">
        <v>13610</v>
      </c>
      <c r="V5910" t="s">
        <v>13610</v>
      </c>
      <c r="W5910" t="s">
        <v>19447</v>
      </c>
      <c r="X5910">
        <v>11</v>
      </c>
      <c r="Y5910" t="s">
        <v>26000</v>
      </c>
      <c r="Z5910" t="s">
        <v>32765</v>
      </c>
      <c r="AA5910">
        <v>0.53345827402192536</v>
      </c>
      <c r="AB5910" t="str">
        <f>HYPERLINK("Melting_Curves/meltCurve_Q9HCE5_METTL14.pdf", "Melting_Curves/meltCurve_Q9HCE5_METTL14.pdf")</f>
        <v>Melting_Curves/meltCurve_Q9HCE5_METTL14.pdf</v>
      </c>
    </row>
    <row r="5911" spans="1:28" x14ac:dyDescent="0.25">
      <c r="A5911" t="s">
        <v>5915</v>
      </c>
      <c r="B5911">
        <v>0.995954080203443</v>
      </c>
      <c r="C5911">
        <v>0.94713539054629603</v>
      </c>
      <c r="D5911">
        <v>0.94944601726418398</v>
      </c>
      <c r="E5911">
        <v>0.88050042633737302</v>
      </c>
      <c r="F5911">
        <v>0.79723261323426498</v>
      </c>
      <c r="G5911">
        <v>0.56094759683654605</v>
      </c>
      <c r="H5911">
        <v>0.54033720143761099</v>
      </c>
      <c r="I5911">
        <v>0.63799974574714002</v>
      </c>
      <c r="J5911">
        <v>0.75284584377724495</v>
      </c>
      <c r="K5911">
        <v>0.76095257532399396</v>
      </c>
      <c r="L5911">
        <v>1629.28834940763</v>
      </c>
      <c r="M5911">
        <v>31.718577935028499</v>
      </c>
      <c r="O5911">
        <v>51.164119245437</v>
      </c>
      <c r="P5911">
        <v>-5.3631790949364898E-2</v>
      </c>
      <c r="Q5911">
        <v>0.65395560506378703</v>
      </c>
      <c r="R5911">
        <v>0.77691754584750405</v>
      </c>
      <c r="S5911" t="s">
        <v>12717</v>
      </c>
      <c r="T5911" t="s">
        <v>13610</v>
      </c>
      <c r="U5911" t="s">
        <v>13610</v>
      </c>
      <c r="V5911" t="s">
        <v>13610</v>
      </c>
      <c r="W5911" t="s">
        <v>19448</v>
      </c>
      <c r="X5911">
        <v>17</v>
      </c>
      <c r="Y5911" t="s">
        <v>26001</v>
      </c>
      <c r="Z5911" t="s">
        <v>32766</v>
      </c>
      <c r="AA5911">
        <v>0.78702999018302189</v>
      </c>
      <c r="AB5911" t="str">
        <f>HYPERLINK("Melting_Curves/meltCurve_Q9HCH0_3_NCKAP5L.pdf", "Melting_Curves/meltCurve_Q9HCH0_3_NCKAP5L.pdf")</f>
        <v>Melting_Curves/meltCurve_Q9HCH0_3_NCKAP5L.pdf</v>
      </c>
    </row>
    <row r="5912" spans="1:28" x14ac:dyDescent="0.25">
      <c r="A5912" t="s">
        <v>5916</v>
      </c>
      <c r="B5912">
        <v>0.995954080203443</v>
      </c>
      <c r="C5912">
        <v>1.07120416394756</v>
      </c>
      <c r="D5912">
        <v>1.03046600042213</v>
      </c>
      <c r="E5912">
        <v>0.93027033952198801</v>
      </c>
      <c r="F5912">
        <v>0.840588985704531</v>
      </c>
      <c r="G5912">
        <v>0.59200247184132704</v>
      </c>
      <c r="H5912">
        <v>0.47669747701350401</v>
      </c>
      <c r="I5912">
        <v>0.534826591295536</v>
      </c>
      <c r="J5912">
        <v>0.55739736787914596</v>
      </c>
      <c r="K5912">
        <v>0.57163478909465404</v>
      </c>
      <c r="L5912">
        <v>1864.4847178796599</v>
      </c>
      <c r="M5912">
        <v>34.655673667399498</v>
      </c>
      <c r="O5912">
        <v>53.622079161703603</v>
      </c>
      <c r="P5912">
        <v>-7.5363537235131201E-2</v>
      </c>
      <c r="Q5912">
        <v>0.53356731468588403</v>
      </c>
      <c r="R5912">
        <v>0.97195454595334496</v>
      </c>
      <c r="S5912" t="s">
        <v>12718</v>
      </c>
      <c r="T5912" t="s">
        <v>13610</v>
      </c>
      <c r="U5912" t="s">
        <v>13610</v>
      </c>
      <c r="V5912" t="s">
        <v>13610</v>
      </c>
      <c r="W5912" t="s">
        <v>19449</v>
      </c>
      <c r="X5912">
        <v>5</v>
      </c>
      <c r="Y5912" t="s">
        <v>26002</v>
      </c>
      <c r="Z5912" t="s">
        <v>32767</v>
      </c>
      <c r="AA5912">
        <v>0.75043448956204484</v>
      </c>
      <c r="AB5912" t="str">
        <f>HYPERLINK("Melting_Curves/meltCurve_Q9HCI7_MSL2.pdf", "Melting_Curves/meltCurve_Q9HCI7_MSL2.pdf")</f>
        <v>Melting_Curves/meltCurve_Q9HCI7_MSL2.pdf</v>
      </c>
    </row>
    <row r="5913" spans="1:28" x14ac:dyDescent="0.25">
      <c r="A5913" t="s">
        <v>5917</v>
      </c>
      <c r="B5913">
        <v>0.995954080203443</v>
      </c>
      <c r="C5913">
        <v>0.93148799383524405</v>
      </c>
      <c r="D5913">
        <v>0.74547586979409997</v>
      </c>
      <c r="E5913">
        <v>0.66684288785730095</v>
      </c>
      <c r="F5913">
        <v>0.57669522161521303</v>
      </c>
      <c r="G5913">
        <v>0.45311438567364598</v>
      </c>
      <c r="H5913">
        <v>0.28540216926523099</v>
      </c>
      <c r="I5913">
        <v>0.293700491550212</v>
      </c>
      <c r="J5913">
        <v>0.31806955584291902</v>
      </c>
      <c r="K5913">
        <v>0.28712497549798199</v>
      </c>
      <c r="L5913">
        <v>526.82382593571106</v>
      </c>
      <c r="M5913">
        <v>10.309049733740499</v>
      </c>
      <c r="N5913">
        <v>54.310321514892898</v>
      </c>
      <c r="O5913">
        <v>49.292210203224897</v>
      </c>
      <c r="P5913">
        <v>-4.0381899442659602E-2</v>
      </c>
      <c r="Q5913">
        <v>0.22799810020925901</v>
      </c>
      <c r="R5913">
        <v>0.97857010003087996</v>
      </c>
      <c r="S5913" t="s">
        <v>12719</v>
      </c>
      <c r="T5913" t="s">
        <v>13610</v>
      </c>
      <c r="U5913" t="s">
        <v>13610</v>
      </c>
      <c r="V5913" t="s">
        <v>13610</v>
      </c>
      <c r="W5913" t="s">
        <v>19450</v>
      </c>
      <c r="X5913">
        <v>2</v>
      </c>
      <c r="Y5913" t="s">
        <v>26003</v>
      </c>
      <c r="Z5913" t="s">
        <v>32768</v>
      </c>
      <c r="AA5913">
        <v>0.5443632168525524</v>
      </c>
      <c r="AB5913" t="str">
        <f>HYPERLINK("Melting_Curves/meltCurve_Q9HCJ0_TNRC6C.pdf", "Melting_Curves/meltCurve_Q9HCJ0_TNRC6C.pdf")</f>
        <v>Melting_Curves/meltCurve_Q9HCJ0_TNRC6C.pdf</v>
      </c>
    </row>
    <row r="5914" spans="1:28" x14ac:dyDescent="0.25">
      <c r="A5914" t="s">
        <v>5918</v>
      </c>
      <c r="B5914">
        <v>0.995954080203443</v>
      </c>
      <c r="C5914">
        <v>1.02513250200323</v>
      </c>
      <c r="D5914">
        <v>0.98790502225749899</v>
      </c>
      <c r="E5914">
        <v>0.79734036653138796</v>
      </c>
      <c r="F5914">
        <v>0.595419319800086</v>
      </c>
      <c r="G5914">
        <v>0.29996985704894102</v>
      </c>
      <c r="H5914">
        <v>0.25892485691119099</v>
      </c>
      <c r="I5914">
        <v>0.36108885541317398</v>
      </c>
      <c r="J5914">
        <v>0.48699306176507401</v>
      </c>
      <c r="K5914">
        <v>0.40694185572571001</v>
      </c>
      <c r="L5914">
        <v>1664.63635568464</v>
      </c>
      <c r="M5914">
        <v>32.3090478199789</v>
      </c>
      <c r="N5914">
        <v>53.665525314649699</v>
      </c>
      <c r="O5914">
        <v>51.326120123312101</v>
      </c>
      <c r="P5914">
        <v>-0.100339028000331</v>
      </c>
      <c r="Q5914">
        <v>0.36240916923677102</v>
      </c>
      <c r="R5914">
        <v>0.95095108182437404</v>
      </c>
      <c r="S5914" t="s">
        <v>12720</v>
      </c>
      <c r="T5914" t="s">
        <v>13610</v>
      </c>
      <c r="U5914" t="s">
        <v>13610</v>
      </c>
      <c r="V5914" t="s">
        <v>13610</v>
      </c>
      <c r="W5914" t="s">
        <v>19451</v>
      </c>
      <c r="X5914">
        <v>7</v>
      </c>
      <c r="Y5914" t="s">
        <v>26004</v>
      </c>
      <c r="Z5914" t="s">
        <v>32769</v>
      </c>
      <c r="AA5914">
        <v>0.61077920432981148</v>
      </c>
      <c r="AB5914" t="str">
        <f>HYPERLINK("Melting_Curves/meltCurve_Q9HCJ3_2_RAVER2.pdf", "Melting_Curves/meltCurve_Q9HCJ3_2_RAVER2.pdf")</f>
        <v>Melting_Curves/meltCurve_Q9HCJ3_2_RAVER2.pdf</v>
      </c>
    </row>
    <row r="5915" spans="1:28" x14ac:dyDescent="0.25">
      <c r="A5915" t="s">
        <v>5919</v>
      </c>
      <c r="B5915">
        <v>0.995954080203443</v>
      </c>
      <c r="C5915">
        <v>0.956875347188617</v>
      </c>
      <c r="D5915">
        <v>0.76603775725838796</v>
      </c>
      <c r="E5915">
        <v>0.55315122901293601</v>
      </c>
      <c r="F5915">
        <v>0.39048651725245298</v>
      </c>
      <c r="G5915">
        <v>0.25884316913913902</v>
      </c>
      <c r="H5915">
        <v>0.23597859470581101</v>
      </c>
      <c r="I5915">
        <v>0.26321031737095502</v>
      </c>
      <c r="J5915">
        <v>0.29332656889141101</v>
      </c>
      <c r="K5915">
        <v>0.31598747394003002</v>
      </c>
      <c r="L5915">
        <v>916.69498837282595</v>
      </c>
      <c r="M5915">
        <v>18.949643743162099</v>
      </c>
      <c r="N5915">
        <v>50.3770689925582</v>
      </c>
      <c r="O5915">
        <v>47.846245652202199</v>
      </c>
      <c r="P5915">
        <v>-7.2825417691282396E-2</v>
      </c>
      <c r="Q5915">
        <v>0.26451761623591202</v>
      </c>
      <c r="R5915">
        <v>0.98814790779028205</v>
      </c>
      <c r="S5915" t="s">
        <v>12721</v>
      </c>
      <c r="T5915" t="s">
        <v>13610</v>
      </c>
      <c r="U5915" t="s">
        <v>13610</v>
      </c>
      <c r="V5915" t="s">
        <v>13610</v>
      </c>
      <c r="W5915" t="s">
        <v>19452</v>
      </c>
      <c r="X5915">
        <v>32</v>
      </c>
      <c r="Y5915" t="s">
        <v>26005</v>
      </c>
      <c r="Z5915" t="s">
        <v>32770</v>
      </c>
      <c r="AA5915">
        <v>0.48146201624648999</v>
      </c>
      <c r="AB5915" t="str">
        <f>HYPERLINK("Melting_Curves/meltCurve_Q9HCK8_CHD8.pdf", "Melting_Curves/meltCurve_Q9HCK8_CHD8.pdf")</f>
        <v>Melting_Curves/meltCurve_Q9HCK8_CHD8.pdf</v>
      </c>
    </row>
    <row r="5916" spans="1:28" x14ac:dyDescent="0.25">
      <c r="A5916" t="s">
        <v>5920</v>
      </c>
      <c r="B5916">
        <v>0.995954080203443</v>
      </c>
      <c r="C5916">
        <v>1.0638754362279199</v>
      </c>
      <c r="D5916">
        <v>0.97629070214744595</v>
      </c>
      <c r="E5916">
        <v>0.98789731409536896</v>
      </c>
      <c r="F5916">
        <v>0.88405247371912099</v>
      </c>
      <c r="G5916">
        <v>0.61954932358065096</v>
      </c>
      <c r="H5916">
        <v>0.59229560944843995</v>
      </c>
      <c r="I5916">
        <v>0.59306447824533004</v>
      </c>
      <c r="J5916">
        <v>0.86687545843504499</v>
      </c>
      <c r="K5916">
        <v>0.75507454350011904</v>
      </c>
      <c r="L5916">
        <v>13278.543704801499</v>
      </c>
      <c r="M5916">
        <v>250</v>
      </c>
      <c r="O5916">
        <v>53.110781304760501</v>
      </c>
      <c r="P5916">
        <v>-0.370249861525355</v>
      </c>
      <c r="Q5916">
        <v>0.68537188176911401</v>
      </c>
      <c r="R5916">
        <v>0.78283503753067496</v>
      </c>
      <c r="S5916" t="s">
        <v>12722</v>
      </c>
      <c r="T5916" t="s">
        <v>13610</v>
      </c>
      <c r="U5916" t="s">
        <v>13610</v>
      </c>
      <c r="V5916" t="s">
        <v>13610</v>
      </c>
      <c r="W5916" t="s">
        <v>19453</v>
      </c>
      <c r="X5916">
        <v>7</v>
      </c>
      <c r="Y5916" t="s">
        <v>26006</v>
      </c>
      <c r="Z5916" t="s">
        <v>32771</v>
      </c>
      <c r="AA5916">
        <v>0.82293748120488019</v>
      </c>
      <c r="AB5916" t="str">
        <f>HYPERLINK("Melting_Curves/meltCurve_Q9HCM4_4_EPB41L5.pdf", "Melting_Curves/meltCurve_Q9HCM4_4_EPB41L5.pdf")</f>
        <v>Melting_Curves/meltCurve_Q9HCM4_4_EPB41L5.pdf</v>
      </c>
    </row>
    <row r="5917" spans="1:28" x14ac:dyDescent="0.25">
      <c r="A5917" t="s">
        <v>5921</v>
      </c>
      <c r="B5917">
        <v>0.995954080203443</v>
      </c>
      <c r="C5917">
        <v>0.91609965898720203</v>
      </c>
      <c r="D5917">
        <v>0.993252379251791</v>
      </c>
      <c r="E5917">
        <v>0.86886040934112996</v>
      </c>
      <c r="F5917">
        <v>0.91689805187490803</v>
      </c>
      <c r="G5917">
        <v>0.77021976297288897</v>
      </c>
      <c r="H5917">
        <v>0.49577680231503501</v>
      </c>
      <c r="I5917">
        <v>0.21671773222711899</v>
      </c>
      <c r="J5917">
        <v>0.17338899615495401</v>
      </c>
      <c r="K5917">
        <v>0.168654402358278</v>
      </c>
      <c r="L5917">
        <v>1165.16305286234</v>
      </c>
      <c r="M5917">
        <v>19.466606234093799</v>
      </c>
      <c r="N5917">
        <v>60.3970503949174</v>
      </c>
      <c r="O5917">
        <v>59.233554309531399</v>
      </c>
      <c r="P5917">
        <v>-7.5572105272356596E-2</v>
      </c>
      <c r="Q5917">
        <v>8.0221372881046193E-2</v>
      </c>
      <c r="R5917">
        <v>0.97521736588365904</v>
      </c>
      <c r="S5917" t="s">
        <v>12723</v>
      </c>
      <c r="T5917" t="s">
        <v>13610</v>
      </c>
      <c r="U5917" t="s">
        <v>13610</v>
      </c>
      <c r="V5917" t="s">
        <v>13610</v>
      </c>
      <c r="W5917" t="s">
        <v>19454</v>
      </c>
      <c r="X5917">
        <v>8</v>
      </c>
      <c r="Y5917" t="s">
        <v>26007</v>
      </c>
      <c r="Z5917" t="s">
        <v>32772</v>
      </c>
      <c r="AA5917">
        <v>0.69692896854088604</v>
      </c>
      <c r="AB5917" t="str">
        <f>HYPERLINK("Melting_Curves/meltCurve_Q9HCN4_2_GPN1.pdf", "Melting_Curves/meltCurve_Q9HCN4_2_GPN1.pdf")</f>
        <v>Melting_Curves/meltCurve_Q9HCN4_2_GPN1.pdf</v>
      </c>
    </row>
    <row r="5918" spans="1:28" x14ac:dyDescent="0.25">
      <c r="A5918" t="s">
        <v>5922</v>
      </c>
      <c r="B5918">
        <v>0.995954080203443</v>
      </c>
      <c r="C5918">
        <v>0.96543815999318605</v>
      </c>
      <c r="D5918">
        <v>0.81191344109100105</v>
      </c>
      <c r="E5918">
        <v>0.55506825193854703</v>
      </c>
      <c r="F5918">
        <v>0.26850339760832198</v>
      </c>
      <c r="G5918">
        <v>0.17878601000781599</v>
      </c>
      <c r="H5918">
        <v>0.10201405152250401</v>
      </c>
      <c r="I5918">
        <v>6.6738873246315195E-2</v>
      </c>
      <c r="J5918">
        <v>7.5364162700676696E-2</v>
      </c>
      <c r="K5918">
        <v>7.4025599602210404E-2</v>
      </c>
      <c r="L5918">
        <v>903.35550050943198</v>
      </c>
      <c r="M5918">
        <v>18.1038811638068</v>
      </c>
      <c r="N5918">
        <v>50.286713639576803</v>
      </c>
      <c r="O5918">
        <v>49.301560040892397</v>
      </c>
      <c r="P5918">
        <v>-8.5818017900811602E-2</v>
      </c>
      <c r="Q5918">
        <v>6.52261440085255E-2</v>
      </c>
      <c r="R5918">
        <v>0.99708635575189397</v>
      </c>
      <c r="S5918" t="s">
        <v>12724</v>
      </c>
      <c r="T5918" t="s">
        <v>13610</v>
      </c>
      <c r="U5918" t="s">
        <v>13610</v>
      </c>
      <c r="V5918" t="s">
        <v>13610</v>
      </c>
      <c r="W5918" t="s">
        <v>19455</v>
      </c>
      <c r="X5918">
        <v>4</v>
      </c>
      <c r="Y5918" t="s">
        <v>26008</v>
      </c>
      <c r="Z5918" t="s">
        <v>32773</v>
      </c>
      <c r="AA5918">
        <v>0.38944121756329558</v>
      </c>
      <c r="AB5918" t="str">
        <f>HYPERLINK("Melting_Curves/meltCurve_Q9HCN8_SDF2L1.pdf", "Melting_Curves/meltCurve_Q9HCN8_SDF2L1.pdf")</f>
        <v>Melting_Curves/meltCurve_Q9HCN8_SDF2L1.pdf</v>
      </c>
    </row>
    <row r="5919" spans="1:28" x14ac:dyDescent="0.25">
      <c r="A5919" t="s">
        <v>5923</v>
      </c>
      <c r="B5919">
        <v>0.995954080203443</v>
      </c>
      <c r="C5919">
        <v>0.87022768766681202</v>
      </c>
      <c r="D5919">
        <v>0.68136674733091296</v>
      </c>
      <c r="E5919">
        <v>0.71690689015438203</v>
      </c>
      <c r="F5919">
        <v>0.47298454049807898</v>
      </c>
      <c r="G5919">
        <v>0.29214746148362197</v>
      </c>
      <c r="H5919">
        <v>0.16365499248064699</v>
      </c>
      <c r="I5919">
        <v>0.133611348558038</v>
      </c>
      <c r="J5919">
        <v>0.14672058485244499</v>
      </c>
      <c r="K5919">
        <v>0.125338472249276</v>
      </c>
      <c r="L5919">
        <v>504.10159544284198</v>
      </c>
      <c r="M5919">
        <v>9.6880696629390606</v>
      </c>
      <c r="N5919">
        <v>52.261142206203402</v>
      </c>
      <c r="O5919">
        <v>49.961373139478098</v>
      </c>
      <c r="P5919">
        <v>-4.7501071732751303E-2</v>
      </c>
      <c r="Q5919">
        <v>2.0685512645830802E-2</v>
      </c>
      <c r="R5919">
        <v>0.96948654206345097</v>
      </c>
      <c r="S5919" t="s">
        <v>12725</v>
      </c>
      <c r="T5919" t="s">
        <v>13610</v>
      </c>
      <c r="U5919" t="s">
        <v>13610</v>
      </c>
      <c r="V5919" t="s">
        <v>13610</v>
      </c>
      <c r="W5919" t="s">
        <v>19456</v>
      </c>
      <c r="X5919">
        <v>2</v>
      </c>
      <c r="Y5919" t="s">
        <v>26009</v>
      </c>
      <c r="Z5919" t="s">
        <v>32774</v>
      </c>
      <c r="AA5919">
        <v>0.45182416930713493</v>
      </c>
      <c r="AB5919" t="str">
        <f>HYPERLINK("Melting_Curves/meltCurve_Q9HCU8_POLD4.pdf", "Melting_Curves/meltCurve_Q9HCU8_POLD4.pdf")</f>
        <v>Melting_Curves/meltCurve_Q9HCU8_POLD4.pdf</v>
      </c>
    </row>
    <row r="5920" spans="1:28" x14ac:dyDescent="0.25">
      <c r="A5920" t="s">
        <v>5924</v>
      </c>
      <c r="B5920">
        <v>0.995954080203443</v>
      </c>
      <c r="C5920">
        <v>0.99360075511291202</v>
      </c>
      <c r="D5920">
        <v>1.0823546239339401</v>
      </c>
      <c r="E5920">
        <v>0.97198097110055703</v>
      </c>
      <c r="F5920">
        <v>1.071456786625</v>
      </c>
      <c r="G5920">
        <v>0.89333982552475699</v>
      </c>
      <c r="H5920">
        <v>0.75105473526564004</v>
      </c>
      <c r="I5920">
        <v>0.80417466793379999</v>
      </c>
      <c r="J5920">
        <v>0.78028826736941903</v>
      </c>
      <c r="K5920">
        <v>0.78400316876260601</v>
      </c>
      <c r="L5920">
        <v>14253.5225444647</v>
      </c>
      <c r="M5920">
        <v>250</v>
      </c>
      <c r="O5920">
        <v>57.0104462445222</v>
      </c>
      <c r="P5920">
        <v>-0.241315216849188</v>
      </c>
      <c r="Q5920">
        <v>0.77988020678839098</v>
      </c>
      <c r="R5920">
        <v>0.90116061731470598</v>
      </c>
      <c r="S5920" t="s">
        <v>12726</v>
      </c>
      <c r="T5920" t="s">
        <v>13610</v>
      </c>
      <c r="U5920" t="s">
        <v>13610</v>
      </c>
      <c r="V5920" t="s">
        <v>13610</v>
      </c>
      <c r="W5920" t="s">
        <v>19457</v>
      </c>
      <c r="X5920">
        <v>12</v>
      </c>
      <c r="Y5920" t="s">
        <v>26010</v>
      </c>
      <c r="Z5920" t="s">
        <v>32775</v>
      </c>
      <c r="AA5920">
        <v>0.90474016544089642</v>
      </c>
      <c r="AB5920" t="str">
        <f>HYPERLINK("Melting_Curves/meltCurve_Q9HD15_SRA1.pdf", "Melting_Curves/meltCurve_Q9HD15_SRA1.pdf")</f>
        <v>Melting_Curves/meltCurve_Q9HD15_SRA1.pdf</v>
      </c>
    </row>
    <row r="5921" spans="1:28" x14ac:dyDescent="0.25">
      <c r="A5921" t="s">
        <v>5925</v>
      </c>
      <c r="B5921">
        <v>0.995954080203443</v>
      </c>
      <c r="C5921">
        <v>0.83464464876039901</v>
      </c>
      <c r="D5921">
        <v>0.79193199433918704</v>
      </c>
      <c r="E5921">
        <v>0.79405726413409194</v>
      </c>
      <c r="F5921">
        <v>0.42527480209205998</v>
      </c>
      <c r="G5921">
        <v>0.22171513711069599</v>
      </c>
      <c r="H5921">
        <v>0.18270215647981999</v>
      </c>
      <c r="I5921">
        <v>0.21669031577776299</v>
      </c>
      <c r="J5921">
        <v>0.26875655823651501</v>
      </c>
      <c r="K5921">
        <v>0.20462037713355199</v>
      </c>
      <c r="L5921">
        <v>803.09446039600596</v>
      </c>
      <c r="M5921">
        <v>15.7874215244951</v>
      </c>
      <c r="N5921">
        <v>52.3224596122867</v>
      </c>
      <c r="O5921">
        <v>50.074064328050603</v>
      </c>
      <c r="P5921">
        <v>-6.4835953455624595E-2</v>
      </c>
      <c r="Q5921">
        <v>0.177489154709186</v>
      </c>
      <c r="R5921">
        <v>0.93550566045139805</v>
      </c>
      <c r="S5921" t="s">
        <v>12727</v>
      </c>
      <c r="T5921" t="s">
        <v>13610</v>
      </c>
      <c r="U5921" t="s">
        <v>13610</v>
      </c>
      <c r="V5921" t="s">
        <v>13610</v>
      </c>
      <c r="W5921" t="s">
        <v>19458</v>
      </c>
      <c r="X5921">
        <v>4</v>
      </c>
      <c r="Y5921" t="s">
        <v>26011</v>
      </c>
      <c r="Z5921" t="s">
        <v>32776</v>
      </c>
      <c r="AA5921">
        <v>0.49299185488802932</v>
      </c>
      <c r="AB5921" t="str">
        <f>HYPERLINK("Melting_Curves/meltCurve_Q9HD20_2_ATP13A1.pdf", "Melting_Curves/meltCurve_Q9HD20_2_ATP13A1.pdf")</f>
        <v>Melting_Curves/meltCurve_Q9HD20_2_ATP13A1.pdf</v>
      </c>
    </row>
    <row r="5922" spans="1:28" x14ac:dyDescent="0.25">
      <c r="A5922" t="s">
        <v>5926</v>
      </c>
      <c r="B5922">
        <v>0.995954080203443</v>
      </c>
      <c r="C5922">
        <v>0.87036169696672405</v>
      </c>
      <c r="D5922">
        <v>0.60162264959545197</v>
      </c>
      <c r="E5922">
        <v>0.39405880643601698</v>
      </c>
      <c r="F5922">
        <v>0.31333358771098402</v>
      </c>
      <c r="G5922">
        <v>0.22609355659733299</v>
      </c>
      <c r="H5922">
        <v>0.187925480363236</v>
      </c>
      <c r="I5922">
        <v>0.25173636833387097</v>
      </c>
      <c r="J5922">
        <v>0.24536398158317599</v>
      </c>
      <c r="K5922">
        <v>0.27295878360362602</v>
      </c>
      <c r="L5922">
        <v>926.19302633535096</v>
      </c>
      <c r="M5922">
        <v>20.086345725553699</v>
      </c>
      <c r="N5922">
        <v>47.643100791639299</v>
      </c>
      <c r="O5922">
        <v>45.660840739921497</v>
      </c>
      <c r="P5922">
        <v>-8.3808648901888799E-2</v>
      </c>
      <c r="Q5922">
        <v>0.237959748184804</v>
      </c>
      <c r="R5922">
        <v>0.98932312188613802</v>
      </c>
      <c r="S5922" t="s">
        <v>12728</v>
      </c>
      <c r="T5922" t="s">
        <v>13610</v>
      </c>
      <c r="U5922" t="s">
        <v>13610</v>
      </c>
      <c r="V5922" t="s">
        <v>13610</v>
      </c>
      <c r="W5922" t="s">
        <v>19459</v>
      </c>
      <c r="X5922">
        <v>13</v>
      </c>
      <c r="Y5922" t="s">
        <v>26012</v>
      </c>
      <c r="Z5922" t="s">
        <v>32777</v>
      </c>
      <c r="AA5922">
        <v>0.4047534034738689</v>
      </c>
      <c r="AB5922" t="str">
        <f>HYPERLINK("Melting_Curves/meltCurve_Q9HD26_GOPC.pdf", "Melting_Curves/meltCurve_Q9HD26_GOPC.pdf")</f>
        <v>Melting_Curves/meltCurve_Q9HD26_GOPC.pdf</v>
      </c>
    </row>
    <row r="5923" spans="1:28" x14ac:dyDescent="0.25">
      <c r="A5923" t="s">
        <v>5927</v>
      </c>
      <c r="B5923">
        <v>0.995954080203443</v>
      </c>
      <c r="C5923">
        <v>0.72705512817215201</v>
      </c>
      <c r="D5923">
        <v>0.60916839061995598</v>
      </c>
      <c r="E5923">
        <v>0.89128146500007499</v>
      </c>
      <c r="F5923">
        <v>0.82652304687636102</v>
      </c>
      <c r="G5923">
        <v>0.76267517078253699</v>
      </c>
      <c r="H5923">
        <v>0.38440829810147797</v>
      </c>
      <c r="I5923">
        <v>0.34127266210245599</v>
      </c>
      <c r="J5923">
        <v>0.115325166792091</v>
      </c>
      <c r="K5923">
        <v>0.10825435188294</v>
      </c>
      <c r="L5923">
        <v>635.45526422498301</v>
      </c>
      <c r="M5923">
        <v>10.7276183885031</v>
      </c>
      <c r="N5923">
        <v>59.2354687348708</v>
      </c>
      <c r="O5923">
        <v>57.2884054692598</v>
      </c>
      <c r="P5923">
        <v>-4.6831498777487303E-2</v>
      </c>
      <c r="Q5923">
        <v>0</v>
      </c>
      <c r="R5923">
        <v>0.74897904088756395</v>
      </c>
      <c r="S5923" t="s">
        <v>12729</v>
      </c>
      <c r="T5923" t="s">
        <v>13610</v>
      </c>
      <c r="U5923" t="s">
        <v>13610</v>
      </c>
      <c r="V5923" t="s">
        <v>13610</v>
      </c>
      <c r="W5923" t="s">
        <v>19460</v>
      </c>
      <c r="X5923">
        <v>16</v>
      </c>
      <c r="Y5923" t="s">
        <v>26013</v>
      </c>
      <c r="Z5923" t="s">
        <v>32778</v>
      </c>
      <c r="AA5923">
        <v>0.64507404684085412</v>
      </c>
      <c r="AB5923" t="str">
        <f>HYPERLINK("Melting_Curves/meltCurve_Q9HD40_SEPSECS.pdf", "Melting_Curves/meltCurve_Q9HD40_SEPSECS.pdf")</f>
        <v>Melting_Curves/meltCurve_Q9HD40_SEPSECS.pdf</v>
      </c>
    </row>
    <row r="5924" spans="1:28" x14ac:dyDescent="0.25">
      <c r="A5924" t="s">
        <v>5928</v>
      </c>
      <c r="B5924">
        <v>0.995954080203443</v>
      </c>
      <c r="C5924">
        <v>0.93103801639413297</v>
      </c>
      <c r="D5924">
        <v>1.1899102306649501</v>
      </c>
      <c r="E5924">
        <v>0.85714421926536799</v>
      </c>
      <c r="F5924">
        <v>1.0487173465460999</v>
      </c>
      <c r="G5924">
        <v>0.96152847676957298</v>
      </c>
      <c r="H5924">
        <v>0.73168727623149399</v>
      </c>
      <c r="I5924">
        <v>0.68355740890818595</v>
      </c>
      <c r="J5924">
        <v>0.77861078901115799</v>
      </c>
      <c r="K5924">
        <v>0.66194205972004005</v>
      </c>
      <c r="L5924">
        <v>3904.7317382200799</v>
      </c>
      <c r="M5924">
        <v>66.585379860389693</v>
      </c>
      <c r="O5924">
        <v>58.589651229271198</v>
      </c>
      <c r="P5924">
        <v>-8.2838422880486304E-2</v>
      </c>
      <c r="Q5924">
        <v>0.70843611615625202</v>
      </c>
      <c r="R5924">
        <v>0.73155630001173599</v>
      </c>
      <c r="S5924" t="s">
        <v>12730</v>
      </c>
      <c r="T5924" t="s">
        <v>13610</v>
      </c>
      <c r="U5924" t="s">
        <v>13610</v>
      </c>
      <c r="V5924" t="s">
        <v>13610</v>
      </c>
      <c r="W5924" t="s">
        <v>13639</v>
      </c>
      <c r="X5924">
        <v>8</v>
      </c>
      <c r="Y5924" t="s">
        <v>20360</v>
      </c>
      <c r="Z5924" t="s">
        <v>32779</v>
      </c>
      <c r="AA5924">
        <v>0.89004254630144597</v>
      </c>
      <c r="AB5924" t="str">
        <f>HYPERLINK("Melting_Curves/meltCurve_Q9HD42_CHMP1A.pdf", "Melting_Curves/meltCurve_Q9HD42_CHMP1A.pdf")</f>
        <v>Melting_Curves/meltCurve_Q9HD42_CHMP1A.pdf</v>
      </c>
    </row>
    <row r="5925" spans="1:28" x14ac:dyDescent="0.25">
      <c r="A5925" t="s">
        <v>5929</v>
      </c>
      <c r="B5925">
        <v>0.995954080203443</v>
      </c>
      <c r="C5925">
        <v>1.0286195176204</v>
      </c>
      <c r="D5925">
        <v>0.98043267627404296</v>
      </c>
      <c r="E5925">
        <v>1.0952853241746501</v>
      </c>
      <c r="F5925">
        <v>0.39322996234368601</v>
      </c>
      <c r="G5925">
        <v>0.16765353570154701</v>
      </c>
      <c r="H5925">
        <v>0.13482639823144299</v>
      </c>
      <c r="I5925">
        <v>0.143364975696714</v>
      </c>
      <c r="J5925">
        <v>0.16191412774748701</v>
      </c>
      <c r="K5925">
        <v>0.127825603438668</v>
      </c>
      <c r="L5925">
        <v>13202.1751038245</v>
      </c>
      <c r="M5925">
        <v>250</v>
      </c>
      <c r="N5925">
        <v>52.882399716125498</v>
      </c>
      <c r="O5925">
        <v>52.805318857064101</v>
      </c>
      <c r="P5925">
        <v>-1.00946635175217</v>
      </c>
      <c r="Q5925">
        <v>0.147116884948577</v>
      </c>
      <c r="R5925">
        <v>0.99340682851144502</v>
      </c>
      <c r="S5925" t="s">
        <v>12731</v>
      </c>
      <c r="T5925" t="s">
        <v>13610</v>
      </c>
      <c r="U5925" t="s">
        <v>13610</v>
      </c>
      <c r="V5925" t="s">
        <v>13610</v>
      </c>
      <c r="W5925" t="s">
        <v>19461</v>
      </c>
      <c r="X5925">
        <v>2</v>
      </c>
      <c r="Y5925" t="s">
        <v>26014</v>
      </c>
      <c r="Z5925" t="s">
        <v>32780</v>
      </c>
      <c r="AA5925">
        <v>0.51134007249677293</v>
      </c>
      <c r="AB5925" t="str">
        <f>HYPERLINK("Melting_Curves/meltCurve_Q9HD45_TM9SF3.pdf", "Melting_Curves/meltCurve_Q9HD45_TM9SF3.pdf")</f>
        <v>Melting_Curves/meltCurve_Q9HD45_TM9SF3.pdf</v>
      </c>
    </row>
    <row r="5926" spans="1:28" x14ac:dyDescent="0.25">
      <c r="A5926" t="s">
        <v>5930</v>
      </c>
      <c r="B5926">
        <v>0.995954080203443</v>
      </c>
      <c r="C5926">
        <v>1.0548021879437199</v>
      </c>
      <c r="D5926">
        <v>1.08649129837708</v>
      </c>
      <c r="E5926">
        <v>0.91632195056799104</v>
      </c>
      <c r="F5926">
        <v>0.90110756392716995</v>
      </c>
      <c r="G5926">
        <v>0.66323271375618498</v>
      </c>
      <c r="H5926">
        <v>0.31891361656346701</v>
      </c>
      <c r="I5926">
        <v>0.211680910088278</v>
      </c>
      <c r="J5926">
        <v>0.22937332098178601</v>
      </c>
      <c r="K5926">
        <v>0.22593566311724</v>
      </c>
      <c r="L5926">
        <v>1531.93638627941</v>
      </c>
      <c r="M5926">
        <v>26.687782348282202</v>
      </c>
      <c r="N5926">
        <v>58.503112704192603</v>
      </c>
      <c r="O5926">
        <v>57.082770108195099</v>
      </c>
      <c r="P5926">
        <v>-9.3809277210156694E-2</v>
      </c>
      <c r="Q5926">
        <v>0.197409841938645</v>
      </c>
      <c r="R5926">
        <v>0.98527844657287</v>
      </c>
      <c r="S5926" t="s">
        <v>12732</v>
      </c>
      <c r="T5926" t="s">
        <v>13610</v>
      </c>
      <c r="U5926" t="s">
        <v>13610</v>
      </c>
      <c r="V5926" t="s">
        <v>13610</v>
      </c>
      <c r="W5926" t="s">
        <v>19462</v>
      </c>
      <c r="X5926">
        <v>4</v>
      </c>
      <c r="Y5926" t="s">
        <v>26015</v>
      </c>
      <c r="Z5926" t="s">
        <v>32781</v>
      </c>
      <c r="AA5926">
        <v>0.66943357106907664</v>
      </c>
      <c r="AB5926" t="str">
        <f>HYPERLINK("Melting_Curves/meltCurve_Q9HD47_2_RANGRF.pdf", "Melting_Curves/meltCurve_Q9HD47_2_RANGRF.pdf")</f>
        <v>Melting_Curves/meltCurve_Q9HD47_2_RANGRF.pdf</v>
      </c>
    </row>
    <row r="5927" spans="1:28" x14ac:dyDescent="0.25">
      <c r="A5927" t="s">
        <v>5931</v>
      </c>
      <c r="B5927">
        <v>0.995954080203443</v>
      </c>
      <c r="C5927">
        <v>1.0487529416249299</v>
      </c>
      <c r="D5927">
        <v>0.94582599145495905</v>
      </c>
      <c r="E5927">
        <v>0.97599924359197199</v>
      </c>
      <c r="F5927">
        <v>0.82864077424753102</v>
      </c>
      <c r="G5927">
        <v>0.47860702701936497</v>
      </c>
      <c r="H5927">
        <v>0.37399052410335898</v>
      </c>
      <c r="I5927">
        <v>0.493174424955582</v>
      </c>
      <c r="J5927">
        <v>0.55869261503665302</v>
      </c>
      <c r="K5927">
        <v>0.56365421023230999</v>
      </c>
      <c r="L5927">
        <v>5688.3081661754104</v>
      </c>
      <c r="M5927">
        <v>106.657264510404</v>
      </c>
      <c r="N5927">
        <v>55.598641890327201</v>
      </c>
      <c r="O5927">
        <v>53.313848824312601</v>
      </c>
      <c r="P5927">
        <v>-0.25330628917258002</v>
      </c>
      <c r="Q5927">
        <v>0.49352789023912602</v>
      </c>
      <c r="R5927">
        <v>0.95004530069454196</v>
      </c>
      <c r="S5927" t="s">
        <v>12733</v>
      </c>
      <c r="T5927" t="s">
        <v>13610</v>
      </c>
      <c r="U5927" t="s">
        <v>13610</v>
      </c>
      <c r="V5927" t="s">
        <v>13610</v>
      </c>
      <c r="W5927" t="s">
        <v>19463</v>
      </c>
      <c r="X5927">
        <v>4</v>
      </c>
      <c r="Y5927" t="s">
        <v>26016</v>
      </c>
      <c r="Z5927" t="s">
        <v>32782</v>
      </c>
      <c r="AA5927">
        <v>0.71887476493497282</v>
      </c>
      <c r="AB5927" t="str">
        <f>HYPERLINK("Melting_Curves/meltCurve_Q9HDC5_JPH1.pdf", "Melting_Curves/meltCurve_Q9HDC5_JPH1.pdf")</f>
        <v>Melting_Curves/meltCurve_Q9HDC5_JPH1.pdf</v>
      </c>
    </row>
    <row r="5928" spans="1:28" x14ac:dyDescent="0.25">
      <c r="A5928" t="s">
        <v>5932</v>
      </c>
      <c r="B5928">
        <v>0.995954080203443</v>
      </c>
      <c r="C5928">
        <v>0.93452714448034402</v>
      </c>
      <c r="D5928">
        <v>0.69417789448085698</v>
      </c>
      <c r="E5928">
        <v>0.74559848592319</v>
      </c>
      <c r="F5928">
        <v>0.28332831698382499</v>
      </c>
      <c r="G5928">
        <v>7.3657603223415399E-2</v>
      </c>
      <c r="H5928">
        <v>5.3510638739155597E-2</v>
      </c>
      <c r="I5928">
        <v>2.5702096904969499E-2</v>
      </c>
      <c r="J5928">
        <v>6.2191280741099898E-2</v>
      </c>
      <c r="K5928">
        <v>4.03415081385455E-2</v>
      </c>
      <c r="L5928">
        <v>819.86278613388504</v>
      </c>
      <c r="M5928">
        <v>16.1201415789381</v>
      </c>
      <c r="N5928">
        <v>50.859521991912899</v>
      </c>
      <c r="O5928">
        <v>50.0961580408947</v>
      </c>
      <c r="P5928">
        <v>-8.0452124296469599E-2</v>
      </c>
      <c r="Q5928">
        <v>0</v>
      </c>
      <c r="R5928">
        <v>0.95458829866601602</v>
      </c>
      <c r="S5928" t="s">
        <v>12734</v>
      </c>
      <c r="T5928" t="s">
        <v>13610</v>
      </c>
      <c r="U5928" t="s">
        <v>13610</v>
      </c>
      <c r="V5928" t="s">
        <v>13610</v>
      </c>
      <c r="W5928" t="s">
        <v>19464</v>
      </c>
      <c r="X5928">
        <v>1</v>
      </c>
      <c r="Y5928" t="s">
        <v>26017</v>
      </c>
      <c r="Z5928" t="s">
        <v>32783</v>
      </c>
      <c r="AA5928">
        <v>0.38251397566006118</v>
      </c>
      <c r="AB5928" t="str">
        <f>HYPERLINK("Melting_Curves/meltCurve_Q9HDC9_2_APMAP.pdf", "Melting_Curves/meltCurve_Q9HDC9_2_APMAP.pdf")</f>
        <v>Melting_Curves/meltCurve_Q9HDC9_2_APMAP.pdf</v>
      </c>
    </row>
    <row r="5929" spans="1:28" x14ac:dyDescent="0.25">
      <c r="A5929" t="s">
        <v>5933</v>
      </c>
      <c r="B5929">
        <v>0.995954080203443</v>
      </c>
      <c r="C5929">
        <v>0.82788266883656902</v>
      </c>
      <c r="D5929">
        <v>0.70569115655366099</v>
      </c>
      <c r="E5929">
        <v>0.69612852531232206</v>
      </c>
      <c r="F5929">
        <v>0.28664551966461999</v>
      </c>
      <c r="G5929">
        <v>0.14491416817733399</v>
      </c>
      <c r="H5929">
        <v>0.102740654436846</v>
      </c>
      <c r="I5929">
        <v>0.11009097434245101</v>
      </c>
      <c r="J5929">
        <v>0.105827701691981</v>
      </c>
      <c r="K5929">
        <v>0.104765209736104</v>
      </c>
      <c r="L5929">
        <v>650.63862863673296</v>
      </c>
      <c r="M5929">
        <v>13.002421466111601</v>
      </c>
      <c r="N5929">
        <v>50.428887305691497</v>
      </c>
      <c r="O5929">
        <v>48.900534765481503</v>
      </c>
      <c r="P5929">
        <v>-6.3312468152958504E-2</v>
      </c>
      <c r="Q5929">
        <v>4.7725965041386903E-2</v>
      </c>
      <c r="R5929">
        <v>0.955110945208415</v>
      </c>
      <c r="S5929" t="s">
        <v>12735</v>
      </c>
      <c r="T5929" t="s">
        <v>13610</v>
      </c>
      <c r="U5929" t="s">
        <v>13610</v>
      </c>
      <c r="V5929" t="s">
        <v>13610</v>
      </c>
      <c r="W5929" t="s">
        <v>19465</v>
      </c>
      <c r="X5929">
        <v>12</v>
      </c>
      <c r="Y5929" t="s">
        <v>26018</v>
      </c>
      <c r="Z5929" t="s">
        <v>32784</v>
      </c>
      <c r="AA5929">
        <v>0.39534582020056841</v>
      </c>
      <c r="AB5929" t="str">
        <f>HYPERLINK("Melting_Curves/meltCurve_Q9NNW5_WDR6.pdf", "Melting_Curves/meltCurve_Q9NNW5_WDR6.pdf")</f>
        <v>Melting_Curves/meltCurve_Q9NNW5_WDR6.pdf</v>
      </c>
    </row>
    <row r="5930" spans="1:28" x14ac:dyDescent="0.25">
      <c r="A5930" t="s">
        <v>5934</v>
      </c>
      <c r="B5930">
        <v>0.995954080203443</v>
      </c>
      <c r="C5930">
        <v>0.865914506121651</v>
      </c>
      <c r="D5930">
        <v>0.95190314169462698</v>
      </c>
      <c r="E5930">
        <v>0.66406904994665805</v>
      </c>
      <c r="F5930">
        <v>0.68947931124001405</v>
      </c>
      <c r="G5930">
        <v>0.51053043124564401</v>
      </c>
      <c r="H5930">
        <v>0.43078392670196303</v>
      </c>
      <c r="I5930">
        <v>0.52484434068531005</v>
      </c>
      <c r="J5930">
        <v>0.62865635236490203</v>
      </c>
      <c r="K5930">
        <v>0.62194737444142301</v>
      </c>
      <c r="L5930">
        <v>980.34457469531299</v>
      </c>
      <c r="M5930">
        <v>20.174669587443798</v>
      </c>
      <c r="O5930">
        <v>48.122970017466102</v>
      </c>
      <c r="P5930">
        <v>-4.7667556665709099E-2</v>
      </c>
      <c r="Q5930">
        <v>0.54520548018194503</v>
      </c>
      <c r="R5930">
        <v>0.83795761993027995</v>
      </c>
      <c r="S5930" t="s">
        <v>12736</v>
      </c>
      <c r="T5930" t="s">
        <v>13610</v>
      </c>
      <c r="U5930" t="s">
        <v>13610</v>
      </c>
      <c r="V5930" t="s">
        <v>13610</v>
      </c>
      <c r="W5930" t="s">
        <v>19466</v>
      </c>
      <c r="X5930">
        <v>12</v>
      </c>
      <c r="Y5930" t="s">
        <v>26019</v>
      </c>
      <c r="Z5930" t="s">
        <v>32785</v>
      </c>
      <c r="AA5930">
        <v>0.68175694280449572</v>
      </c>
      <c r="AB5930" t="str">
        <f>HYPERLINK("Melting_Curves/meltCurve_Q9NNX1_3_TUFT1.pdf", "Melting_Curves/meltCurve_Q9NNX1_3_TUFT1.pdf")</f>
        <v>Melting_Curves/meltCurve_Q9NNX1_3_TUFT1.pdf</v>
      </c>
    </row>
    <row r="5931" spans="1:28" x14ac:dyDescent="0.25">
      <c r="A5931" t="s">
        <v>5935</v>
      </c>
      <c r="B5931">
        <v>0.995954080203443</v>
      </c>
      <c r="C5931">
        <v>0.80923451564260396</v>
      </c>
      <c r="D5931">
        <v>0.66482020663233998</v>
      </c>
      <c r="E5931">
        <v>0.46625213537657501</v>
      </c>
      <c r="F5931">
        <v>0.225142362205486</v>
      </c>
      <c r="G5931">
        <v>0.130102250006459</v>
      </c>
      <c r="H5931">
        <v>8.7909906783478098E-2</v>
      </c>
      <c r="I5931">
        <v>7.0446245854294098E-2</v>
      </c>
      <c r="J5931">
        <v>7.9769262031639296E-2</v>
      </c>
      <c r="K5931">
        <v>7.4282866542124404E-2</v>
      </c>
      <c r="L5931">
        <v>664.62148982593499</v>
      </c>
      <c r="M5931">
        <v>13.782262666451601</v>
      </c>
      <c r="N5931">
        <v>48.562623335646101</v>
      </c>
      <c r="O5931">
        <v>47.2417350928689</v>
      </c>
      <c r="P5931">
        <v>-6.9593091590104406E-2</v>
      </c>
      <c r="Q5931">
        <v>4.5951746017759199E-2</v>
      </c>
      <c r="R5931">
        <v>0.99097043527980999</v>
      </c>
      <c r="S5931" t="s">
        <v>12737</v>
      </c>
      <c r="T5931" t="s">
        <v>13610</v>
      </c>
      <c r="U5931" t="s">
        <v>13610</v>
      </c>
      <c r="V5931" t="s">
        <v>13610</v>
      </c>
      <c r="W5931" t="s">
        <v>19467</v>
      </c>
      <c r="X5931">
        <v>4</v>
      </c>
      <c r="Y5931" t="s">
        <v>26020</v>
      </c>
      <c r="Z5931" t="s">
        <v>32786</v>
      </c>
      <c r="AA5931">
        <v>0.33605546492625332</v>
      </c>
      <c r="AB5931" t="str">
        <f>HYPERLINK("Melting_Curves/meltCurve_Q9NP50_FAM60A.pdf", "Melting_Curves/meltCurve_Q9NP50_FAM60A.pdf")</f>
        <v>Melting_Curves/meltCurve_Q9NP50_FAM60A.pdf</v>
      </c>
    </row>
    <row r="5932" spans="1:28" x14ac:dyDescent="0.25">
      <c r="A5932" t="s">
        <v>5936</v>
      </c>
      <c r="B5932">
        <v>0.995954080203443</v>
      </c>
      <c r="C5932">
        <v>0.96044593612880003</v>
      </c>
      <c r="D5932">
        <v>1.0146272857349601</v>
      </c>
      <c r="E5932">
        <v>0.81101901046013103</v>
      </c>
      <c r="F5932">
        <v>0.64473605045030402</v>
      </c>
      <c r="G5932">
        <v>0.27393898186092303</v>
      </c>
      <c r="H5932">
        <v>0.17887729579005701</v>
      </c>
      <c r="I5932">
        <v>0.19786814301904099</v>
      </c>
      <c r="J5932">
        <v>0.23584933762176499</v>
      </c>
      <c r="K5932">
        <v>0.26084766268455301</v>
      </c>
      <c r="L5932">
        <v>1440.01760158395</v>
      </c>
      <c r="M5932">
        <v>27.209701140208299</v>
      </c>
      <c r="N5932">
        <v>53.987406674327801</v>
      </c>
      <c r="O5932">
        <v>52.639569237506997</v>
      </c>
      <c r="P5932">
        <v>-0.10239993319460999</v>
      </c>
      <c r="Q5932">
        <v>0.20760077530551599</v>
      </c>
      <c r="R5932">
        <v>0.98743267844341598</v>
      </c>
      <c r="S5932" t="s">
        <v>12738</v>
      </c>
      <c r="T5932" t="s">
        <v>13610</v>
      </c>
      <c r="U5932" t="s">
        <v>13610</v>
      </c>
      <c r="V5932" t="s">
        <v>13610</v>
      </c>
      <c r="W5932" t="s">
        <v>19468</v>
      </c>
      <c r="X5932">
        <v>13</v>
      </c>
      <c r="Y5932" t="s">
        <v>26021</v>
      </c>
      <c r="Z5932" t="s">
        <v>32787</v>
      </c>
      <c r="AA5932">
        <v>0.555144398687348</v>
      </c>
      <c r="AB5932" t="str">
        <f>HYPERLINK("Melting_Curves/meltCurve_Q9NP66_HMG20A.pdf", "Melting_Curves/meltCurve_Q9NP66_HMG20A.pdf")</f>
        <v>Melting_Curves/meltCurve_Q9NP66_HMG20A.pdf</v>
      </c>
    </row>
    <row r="5933" spans="1:28" x14ac:dyDescent="0.25">
      <c r="A5933" t="s">
        <v>5937</v>
      </c>
      <c r="B5933">
        <v>0.995954080203443</v>
      </c>
      <c r="C5933">
        <v>0.86520814215983599</v>
      </c>
      <c r="D5933">
        <v>0.70176805631438199</v>
      </c>
      <c r="E5933">
        <v>0.73557701689423804</v>
      </c>
      <c r="F5933">
        <v>0.456626231259462</v>
      </c>
      <c r="G5933">
        <v>0.188035851464641</v>
      </c>
      <c r="H5933">
        <v>8.1774488930754896E-2</v>
      </c>
      <c r="I5933">
        <v>7.8916358773702205E-2</v>
      </c>
      <c r="J5933">
        <v>9.4229748515657297E-2</v>
      </c>
      <c r="K5933">
        <v>7.1918854320670494E-2</v>
      </c>
      <c r="L5933">
        <v>612.15657059014097</v>
      </c>
      <c r="M5933">
        <v>11.827538185399799</v>
      </c>
      <c r="N5933">
        <v>51.756886148047698</v>
      </c>
      <c r="O5933">
        <v>50.343848320705902</v>
      </c>
      <c r="P5933">
        <v>-5.8748772692514398E-2</v>
      </c>
      <c r="Q5933">
        <v>0</v>
      </c>
      <c r="R5933">
        <v>0.96351599048598202</v>
      </c>
      <c r="S5933" t="s">
        <v>12739</v>
      </c>
      <c r="T5933" t="s">
        <v>13610</v>
      </c>
      <c r="U5933" t="s">
        <v>13610</v>
      </c>
      <c r="V5933" t="s">
        <v>13610</v>
      </c>
      <c r="W5933" t="s">
        <v>19469</v>
      </c>
      <c r="X5933">
        <v>6</v>
      </c>
      <c r="Y5933" t="s">
        <v>26022</v>
      </c>
      <c r="Z5933" t="s">
        <v>32788</v>
      </c>
      <c r="AA5933">
        <v>0.42359257762803948</v>
      </c>
      <c r="AB5933" t="str">
        <f>HYPERLINK("Melting_Curves/meltCurve_Q9NP72_RAB18.pdf", "Melting_Curves/meltCurve_Q9NP72_RAB18.pdf")</f>
        <v>Melting_Curves/meltCurve_Q9NP72_RAB18.pdf</v>
      </c>
    </row>
    <row r="5934" spans="1:28" x14ac:dyDescent="0.25">
      <c r="A5934" t="s">
        <v>5938</v>
      </c>
      <c r="B5934">
        <v>0.995954080203443</v>
      </c>
      <c r="C5934">
        <v>0.99842132502817404</v>
      </c>
      <c r="D5934">
        <v>0.95073909304331095</v>
      </c>
      <c r="E5934">
        <v>0.74358919652876698</v>
      </c>
      <c r="F5934">
        <v>0.51251807838963903</v>
      </c>
      <c r="G5934">
        <v>0.19590758734531699</v>
      </c>
      <c r="H5934">
        <v>0.102217512851942</v>
      </c>
      <c r="I5934">
        <v>9.3502996407668806E-2</v>
      </c>
      <c r="J5934">
        <v>0.10816750445130099</v>
      </c>
      <c r="K5934">
        <v>9.9968426753258899E-2</v>
      </c>
      <c r="L5934">
        <v>1150.0893500970701</v>
      </c>
      <c r="M5934">
        <v>21.952136262182201</v>
      </c>
      <c r="N5934">
        <v>52.826296220761499</v>
      </c>
      <c r="O5934">
        <v>51.961821290859703</v>
      </c>
      <c r="P5934">
        <v>-9.6876392797570696E-2</v>
      </c>
      <c r="Q5934">
        <v>8.2775286922485994E-2</v>
      </c>
      <c r="R5934">
        <v>0.99824417913823305</v>
      </c>
      <c r="S5934" t="s">
        <v>12740</v>
      </c>
      <c r="T5934" t="s">
        <v>13610</v>
      </c>
      <c r="U5934" t="s">
        <v>13610</v>
      </c>
      <c r="V5934" t="s">
        <v>13610</v>
      </c>
      <c r="W5934" t="s">
        <v>19470</v>
      </c>
      <c r="X5934">
        <v>9</v>
      </c>
      <c r="Y5934" t="s">
        <v>26023</v>
      </c>
      <c r="Z5934" t="s">
        <v>32789</v>
      </c>
      <c r="AA5934">
        <v>0.472330582449426</v>
      </c>
      <c r="AB5934" t="str">
        <f>HYPERLINK("Melting_Curves/meltCurve_Q9NP73_ALG13.pdf", "Melting_Curves/meltCurve_Q9NP73_ALG13.pdf")</f>
        <v>Melting_Curves/meltCurve_Q9NP73_ALG13.pdf</v>
      </c>
    </row>
    <row r="5935" spans="1:28" x14ac:dyDescent="0.25">
      <c r="A5935" t="s">
        <v>5939</v>
      </c>
      <c r="B5935">
        <v>0.995954080203443</v>
      </c>
      <c r="C5935">
        <v>0.80340455968795599</v>
      </c>
      <c r="D5935">
        <v>1.0041525021816999</v>
      </c>
      <c r="E5935">
        <v>0.69973787592461401</v>
      </c>
      <c r="F5935">
        <v>1.02015942954457</v>
      </c>
      <c r="G5935">
        <v>0.89541043451205604</v>
      </c>
      <c r="H5935">
        <v>0.95288924509724604</v>
      </c>
      <c r="I5935">
        <v>1.18321372751179</v>
      </c>
      <c r="J5935">
        <v>1.5255263604765601</v>
      </c>
      <c r="K5935">
        <v>1.5116409193589699</v>
      </c>
      <c r="L5935">
        <v>15000</v>
      </c>
      <c r="M5935">
        <v>233.82746146925101</v>
      </c>
      <c r="O5935">
        <v>64.145172093224005</v>
      </c>
      <c r="P5935">
        <v>0.45566068033013801</v>
      </c>
      <c r="Q5935">
        <v>1.5</v>
      </c>
      <c r="R5935">
        <v>0.78906996091954795</v>
      </c>
      <c r="S5935" t="s">
        <v>12741</v>
      </c>
      <c r="T5935" t="s">
        <v>13610</v>
      </c>
      <c r="U5935" t="s">
        <v>13610</v>
      </c>
      <c r="V5935" t="s">
        <v>13610</v>
      </c>
      <c r="W5935" t="s">
        <v>19471</v>
      </c>
      <c r="X5935">
        <v>3</v>
      </c>
      <c r="Y5935" t="s">
        <v>26024</v>
      </c>
      <c r="Z5935" t="s">
        <v>32790</v>
      </c>
      <c r="AA5935">
        <v>1.0974379071932061</v>
      </c>
      <c r="AB5935" t="str">
        <f>HYPERLINK("Melting_Curves/meltCurve_Q9NP74_PALMD.pdf", "Melting_Curves/meltCurve_Q9NP74_PALMD.pdf")</f>
        <v>Melting_Curves/meltCurve_Q9NP74_PALMD.pdf</v>
      </c>
    </row>
    <row r="5936" spans="1:28" x14ac:dyDescent="0.25">
      <c r="A5936" t="s">
        <v>5940</v>
      </c>
      <c r="B5936">
        <v>0.995954080203443</v>
      </c>
      <c r="C5936">
        <v>0.96736752649667301</v>
      </c>
      <c r="D5936">
        <v>1.03494477020897</v>
      </c>
      <c r="E5936">
        <v>0.43462673173722</v>
      </c>
      <c r="F5936">
        <v>0.147251493553818</v>
      </c>
      <c r="G5936">
        <v>8.1360749090187298E-2</v>
      </c>
      <c r="H5936">
        <v>5.6916636368184899E-2</v>
      </c>
      <c r="I5936">
        <v>5.3031184973180899E-2</v>
      </c>
      <c r="J5936">
        <v>5.94445039009871E-2</v>
      </c>
      <c r="K5936">
        <v>5.6769171165270103E-2</v>
      </c>
      <c r="L5936">
        <v>2433.1636720469401</v>
      </c>
      <c r="M5936">
        <v>49.0451971204755</v>
      </c>
      <c r="N5936">
        <v>49.7585223685223</v>
      </c>
      <c r="O5936">
        <v>49.528371376483399</v>
      </c>
      <c r="P5936">
        <v>-0.230772336306828</v>
      </c>
      <c r="Q5936">
        <v>6.7817593675219195E-2</v>
      </c>
      <c r="R5936">
        <v>0.99623650667596597</v>
      </c>
      <c r="S5936" t="s">
        <v>12742</v>
      </c>
      <c r="T5936" t="s">
        <v>13610</v>
      </c>
      <c r="U5936" t="s">
        <v>13610</v>
      </c>
      <c r="V5936" t="s">
        <v>13610</v>
      </c>
      <c r="W5936" t="s">
        <v>19472</v>
      </c>
      <c r="X5936">
        <v>8</v>
      </c>
      <c r="Y5936" t="s">
        <v>26025</v>
      </c>
      <c r="Z5936" t="s">
        <v>32791</v>
      </c>
      <c r="AA5936">
        <v>0.36856733007354531</v>
      </c>
      <c r="AB5936" t="str">
        <f>HYPERLINK("Melting_Curves/meltCurve_Q9NP77_SSU72.pdf", "Melting_Curves/meltCurve_Q9NP77_SSU72.pdf")</f>
        <v>Melting_Curves/meltCurve_Q9NP77_SSU72.pdf</v>
      </c>
    </row>
    <row r="5937" spans="1:28" x14ac:dyDescent="0.25">
      <c r="A5937" t="s">
        <v>5941</v>
      </c>
      <c r="B5937">
        <v>0.995954080203443</v>
      </c>
      <c r="C5937">
        <v>0.97217907848323604</v>
      </c>
      <c r="D5937">
        <v>0.99965775182696004</v>
      </c>
      <c r="E5937">
        <v>0.73794165722125205</v>
      </c>
      <c r="F5937">
        <v>0.31697075772911099</v>
      </c>
      <c r="G5937">
        <v>0.145204236474061</v>
      </c>
      <c r="H5937">
        <v>0.11137454646512</v>
      </c>
      <c r="I5937">
        <v>0.1093229130492</v>
      </c>
      <c r="J5937">
        <v>0.12652118879075799</v>
      </c>
      <c r="K5937">
        <v>0.117641840525067</v>
      </c>
      <c r="L5937">
        <v>1855.7086465068201</v>
      </c>
      <c r="M5937">
        <v>36.242160957643001</v>
      </c>
      <c r="N5937">
        <v>51.582177124992498</v>
      </c>
      <c r="O5937">
        <v>51.047893503755503</v>
      </c>
      <c r="P5937">
        <v>-0.156737084058411</v>
      </c>
      <c r="Q5937">
        <v>0.116931980593607</v>
      </c>
      <c r="R5937">
        <v>0.99919527572686695</v>
      </c>
      <c r="S5937" t="s">
        <v>12743</v>
      </c>
      <c r="T5937" t="s">
        <v>13610</v>
      </c>
      <c r="U5937" t="s">
        <v>13610</v>
      </c>
      <c r="V5937" t="s">
        <v>13610</v>
      </c>
      <c r="W5937" t="s">
        <v>19473</v>
      </c>
      <c r="X5937">
        <v>11</v>
      </c>
      <c r="Y5937" t="s">
        <v>26026</v>
      </c>
      <c r="Z5937" t="s">
        <v>32792</v>
      </c>
      <c r="AA5937">
        <v>0.45051171323485129</v>
      </c>
      <c r="AB5937" t="str">
        <f>HYPERLINK("Melting_Curves/meltCurve_Q9NP79_VTA1.pdf", "Melting_Curves/meltCurve_Q9NP79_VTA1.pdf")</f>
        <v>Melting_Curves/meltCurve_Q9NP79_VTA1.pdf</v>
      </c>
    </row>
    <row r="5938" spans="1:28" x14ac:dyDescent="0.25">
      <c r="A5938" t="s">
        <v>5942</v>
      </c>
      <c r="B5938">
        <v>0.995954080203443</v>
      </c>
      <c r="C5938">
        <v>0.82948946463538198</v>
      </c>
      <c r="D5938">
        <v>0.71162388778284602</v>
      </c>
      <c r="E5938">
        <v>0.73886129320411698</v>
      </c>
      <c r="F5938">
        <v>0.680859405885198</v>
      </c>
      <c r="G5938">
        <v>0.47048054597461803</v>
      </c>
      <c r="H5938">
        <v>0.34995440316103898</v>
      </c>
      <c r="I5938">
        <v>0.38927232113094101</v>
      </c>
      <c r="J5938">
        <v>0.38591536982616298</v>
      </c>
      <c r="K5938">
        <v>0.33675977752384401</v>
      </c>
      <c r="L5938">
        <v>378.10635118135599</v>
      </c>
      <c r="M5938">
        <v>7.1611447264356203</v>
      </c>
      <c r="N5938">
        <v>57.177877924367003</v>
      </c>
      <c r="O5938">
        <v>49.147547773494502</v>
      </c>
      <c r="P5938">
        <v>-2.87880982697604E-2</v>
      </c>
      <c r="Q5938">
        <v>0.211044713194768</v>
      </c>
      <c r="R5938">
        <v>0.934131965088841</v>
      </c>
      <c r="S5938" t="s">
        <v>12744</v>
      </c>
      <c r="T5938" t="s">
        <v>13610</v>
      </c>
      <c r="U5938" t="s">
        <v>13610</v>
      </c>
      <c r="V5938" t="s">
        <v>13610</v>
      </c>
      <c r="W5938" t="s">
        <v>19474</v>
      </c>
      <c r="X5938">
        <v>3</v>
      </c>
      <c r="Y5938" t="s">
        <v>26027</v>
      </c>
      <c r="Z5938" t="s">
        <v>32793</v>
      </c>
      <c r="AA5938">
        <v>0.58332471440016909</v>
      </c>
      <c r="AB5938" t="str">
        <f>HYPERLINK("Melting_Curves/meltCurve_Q9NP97_DYNLRB1.pdf", "Melting_Curves/meltCurve_Q9NP97_DYNLRB1.pdf")</f>
        <v>Melting_Curves/meltCurve_Q9NP97_DYNLRB1.pdf</v>
      </c>
    </row>
    <row r="5939" spans="1:28" x14ac:dyDescent="0.25">
      <c r="A5939" t="s">
        <v>5943</v>
      </c>
      <c r="B5939">
        <v>0.995954080203443</v>
      </c>
      <c r="C5939">
        <v>0.79238534316544396</v>
      </c>
      <c r="D5939">
        <v>0.47835537268666201</v>
      </c>
      <c r="E5939">
        <v>0.30014340706561998</v>
      </c>
      <c r="F5939">
        <v>0.17555520886561099</v>
      </c>
      <c r="G5939">
        <v>9.91463758445328E-2</v>
      </c>
      <c r="H5939">
        <v>5.2948036834823901E-2</v>
      </c>
      <c r="I5939">
        <v>3.7285888209253902E-2</v>
      </c>
      <c r="J5939">
        <v>5.0535414888839301E-2</v>
      </c>
      <c r="K5939">
        <v>4.7123296741805598E-2</v>
      </c>
      <c r="L5939">
        <v>748.06551328242494</v>
      </c>
      <c r="M5939">
        <v>16.200108646473598</v>
      </c>
      <c r="N5939">
        <v>46.459738381878097</v>
      </c>
      <c r="O5939">
        <v>45.4901503249218</v>
      </c>
      <c r="P5939">
        <v>-8.4851896056079304E-2</v>
      </c>
      <c r="Q5939">
        <v>4.70095546085742E-2</v>
      </c>
      <c r="R5939">
        <v>0.98970075592484597</v>
      </c>
      <c r="S5939" t="s">
        <v>12745</v>
      </c>
      <c r="T5939" t="s">
        <v>13610</v>
      </c>
      <c r="U5939" t="s">
        <v>13610</v>
      </c>
      <c r="V5939" t="s">
        <v>13610</v>
      </c>
      <c r="W5939" t="s">
        <v>19475</v>
      </c>
      <c r="X5939">
        <v>3</v>
      </c>
      <c r="Y5939" t="s">
        <v>26028</v>
      </c>
      <c r="Z5939" t="s">
        <v>32794</v>
      </c>
      <c r="AA5939">
        <v>0.26650177165812938</v>
      </c>
      <c r="AB5939" t="str">
        <f>HYPERLINK("Melting_Curves/meltCurve_Q9NPA3_MID1IP1.pdf", "Melting_Curves/meltCurve_Q9NPA3_MID1IP1.pdf")</f>
        <v>Melting_Curves/meltCurve_Q9NPA3_MID1IP1.pdf</v>
      </c>
    </row>
    <row r="5940" spans="1:28" x14ac:dyDescent="0.25">
      <c r="A5940" t="s">
        <v>5944</v>
      </c>
      <c r="B5940">
        <v>0.995954080203443</v>
      </c>
      <c r="C5940">
        <v>0.96169275260299902</v>
      </c>
      <c r="D5940">
        <v>0.96728877768806598</v>
      </c>
      <c r="E5940">
        <v>0.81440366781473295</v>
      </c>
      <c r="F5940">
        <v>0.73447309496770896</v>
      </c>
      <c r="G5940">
        <v>0.54219522499959105</v>
      </c>
      <c r="H5940">
        <v>0.42397806318627101</v>
      </c>
      <c r="I5940">
        <v>0.44774987842469</v>
      </c>
      <c r="J5940">
        <v>0.391930155126686</v>
      </c>
      <c r="K5940">
        <v>0.46907608751555202</v>
      </c>
      <c r="L5940">
        <v>915.33908656730102</v>
      </c>
      <c r="M5940">
        <v>17.2994035356467</v>
      </c>
      <c r="N5940">
        <v>58.732989628343098</v>
      </c>
      <c r="O5940">
        <v>52.219748371082503</v>
      </c>
      <c r="P5940">
        <v>-4.8867848394229099E-2</v>
      </c>
      <c r="Q5940">
        <v>0.40998670399485498</v>
      </c>
      <c r="R5940">
        <v>0.98518442991370103</v>
      </c>
      <c r="S5940" t="s">
        <v>12746</v>
      </c>
      <c r="T5940" t="s">
        <v>13610</v>
      </c>
      <c r="U5940" t="s">
        <v>13610</v>
      </c>
      <c r="V5940" t="s">
        <v>13610</v>
      </c>
      <c r="W5940" t="s">
        <v>19476</v>
      </c>
      <c r="X5940">
        <v>7</v>
      </c>
      <c r="Y5940" t="s">
        <v>26029</v>
      </c>
      <c r="Z5940" t="s">
        <v>32795</v>
      </c>
      <c r="AA5940">
        <v>0.67422776672155293</v>
      </c>
      <c r="AB5940" t="str">
        <f>HYPERLINK("Melting_Curves/meltCurve_Q9NPA8_2_ENY2.pdf", "Melting_Curves/meltCurve_Q9NPA8_2_ENY2.pdf")</f>
        <v>Melting_Curves/meltCurve_Q9NPA8_2_ENY2.pdf</v>
      </c>
    </row>
    <row r="5941" spans="1:28" x14ac:dyDescent="0.25">
      <c r="A5941" t="s">
        <v>5945</v>
      </c>
      <c r="B5941">
        <v>0.995954080203443</v>
      </c>
      <c r="C5941">
        <v>0.91649061489749395</v>
      </c>
      <c r="D5941">
        <v>0.58495839445127695</v>
      </c>
      <c r="E5941">
        <v>0.24772903232650301</v>
      </c>
      <c r="F5941">
        <v>0.15826396836270401</v>
      </c>
      <c r="G5941">
        <v>0.105154208193905</v>
      </c>
      <c r="H5941">
        <v>7.5507811494982993E-2</v>
      </c>
      <c r="I5941">
        <v>7.9661478867773E-2</v>
      </c>
      <c r="J5941">
        <v>8.5521033660628895E-2</v>
      </c>
      <c r="K5941">
        <v>8.7677232975558295E-2</v>
      </c>
      <c r="L5941">
        <v>1091.8650831605401</v>
      </c>
      <c r="M5941">
        <v>23.456631317934399</v>
      </c>
      <c r="N5941">
        <v>46.932737327701901</v>
      </c>
      <c r="O5941">
        <v>46.213870752034801</v>
      </c>
      <c r="P5941">
        <v>-0.11580164944226699</v>
      </c>
      <c r="Q5941">
        <v>8.7413367248955501E-2</v>
      </c>
      <c r="R5941">
        <v>0.99807309826131896</v>
      </c>
      <c r="S5941" t="s">
        <v>12747</v>
      </c>
      <c r="T5941" t="s">
        <v>13610</v>
      </c>
      <c r="U5941" t="s">
        <v>13610</v>
      </c>
      <c r="V5941" t="s">
        <v>13610</v>
      </c>
      <c r="W5941" t="s">
        <v>19477</v>
      </c>
      <c r="X5941">
        <v>11</v>
      </c>
      <c r="Y5941" t="s">
        <v>26030</v>
      </c>
      <c r="Z5941" t="s">
        <v>32796</v>
      </c>
      <c r="AA5941">
        <v>0.29612437338629072</v>
      </c>
      <c r="AB5941" t="str">
        <f>HYPERLINK("Melting_Curves/meltCurve_Q9NPB8_GPCPD1.pdf", "Melting_Curves/meltCurve_Q9NPB8_GPCPD1.pdf")</f>
        <v>Melting_Curves/meltCurve_Q9NPB8_GPCPD1.pdf</v>
      </c>
    </row>
    <row r="5942" spans="1:28" x14ac:dyDescent="0.25">
      <c r="A5942" t="s">
        <v>5946</v>
      </c>
      <c r="B5942">
        <v>0.995954080203443</v>
      </c>
      <c r="C5942">
        <v>0.84480436496150901</v>
      </c>
      <c r="D5942">
        <v>0.75001890446276198</v>
      </c>
      <c r="E5942">
        <v>0.78465662626452104</v>
      </c>
      <c r="F5942">
        <v>0.63245954794922299</v>
      </c>
      <c r="G5942">
        <v>0.48696370822192198</v>
      </c>
      <c r="H5942">
        <v>0.28582058787486803</v>
      </c>
      <c r="I5942">
        <v>0.176737535205862</v>
      </c>
      <c r="J5942">
        <v>0.113843586180913</v>
      </c>
      <c r="K5942">
        <v>0.121943663767679</v>
      </c>
      <c r="L5942">
        <v>504.19102424915599</v>
      </c>
      <c r="M5942">
        <v>9.1311972077653607</v>
      </c>
      <c r="N5942">
        <v>55.216310924147699</v>
      </c>
      <c r="O5942">
        <v>52.761405963317202</v>
      </c>
      <c r="P5942">
        <v>-4.32962057226952E-2</v>
      </c>
      <c r="Q5942">
        <v>0</v>
      </c>
      <c r="R5942">
        <v>0.96412891570791304</v>
      </c>
      <c r="S5942" t="s">
        <v>12748</v>
      </c>
      <c r="T5942" t="s">
        <v>13610</v>
      </c>
      <c r="U5942" t="s">
        <v>13610</v>
      </c>
      <c r="V5942" t="s">
        <v>13610</v>
      </c>
      <c r="W5942" t="s">
        <v>19478</v>
      </c>
      <c r="X5942">
        <v>8</v>
      </c>
      <c r="Y5942" t="s">
        <v>26031</v>
      </c>
      <c r="Z5942" t="s">
        <v>32797</v>
      </c>
      <c r="AA5942">
        <v>0.53263398741946122</v>
      </c>
      <c r="AB5942" t="str">
        <f>HYPERLINK("Melting_Curves/meltCurve_Q9NPD3_EXOSC4.pdf", "Melting_Curves/meltCurve_Q9NPD3_EXOSC4.pdf")</f>
        <v>Melting_Curves/meltCurve_Q9NPD3_EXOSC4.pdf</v>
      </c>
    </row>
    <row r="5943" spans="1:28" x14ac:dyDescent="0.25">
      <c r="A5943" t="s">
        <v>5947</v>
      </c>
      <c r="B5943">
        <v>0.995954080203443</v>
      </c>
      <c r="C5943">
        <v>1.0056662599328401</v>
      </c>
      <c r="D5943">
        <v>0.96144604354435803</v>
      </c>
      <c r="E5943">
        <v>0.69496046076189</v>
      </c>
      <c r="F5943">
        <v>0.245517399512167</v>
      </c>
      <c r="G5943">
        <v>0.106178463927601</v>
      </c>
      <c r="H5943">
        <v>6.1866745907150203E-2</v>
      </c>
      <c r="I5943">
        <v>5.2442590353551199E-2</v>
      </c>
      <c r="J5943">
        <v>5.6133864489490898E-2</v>
      </c>
      <c r="K5943">
        <v>5.0520542218565903E-2</v>
      </c>
      <c r="L5943">
        <v>1788.24276682442</v>
      </c>
      <c r="M5943">
        <v>35.0644967336479</v>
      </c>
      <c r="N5943">
        <v>51.180635338930799</v>
      </c>
      <c r="O5943">
        <v>50.833651826901303</v>
      </c>
      <c r="P5943">
        <v>-0.16234174888110001</v>
      </c>
      <c r="Q5943">
        <v>5.8603908645647802E-2</v>
      </c>
      <c r="R5943">
        <v>0.99923966593986202</v>
      </c>
      <c r="S5943" t="s">
        <v>12749</v>
      </c>
      <c r="T5943" t="s">
        <v>13610</v>
      </c>
      <c r="U5943" t="s">
        <v>13610</v>
      </c>
      <c r="V5943" t="s">
        <v>13610</v>
      </c>
      <c r="W5943" t="s">
        <v>19479</v>
      </c>
      <c r="X5943">
        <v>7</v>
      </c>
      <c r="Y5943" t="s">
        <v>26032</v>
      </c>
      <c r="Z5943" t="s">
        <v>32798</v>
      </c>
      <c r="AA5943">
        <v>0.40806713561476321</v>
      </c>
      <c r="AB5943" t="str">
        <f>HYPERLINK("Melting_Curves/meltCurve_Q9NPD8_UBE2T.pdf", "Melting_Curves/meltCurve_Q9NPD8_UBE2T.pdf")</f>
        <v>Melting_Curves/meltCurve_Q9NPD8_UBE2T.pdf</v>
      </c>
    </row>
    <row r="5944" spans="1:28" x14ac:dyDescent="0.25">
      <c r="A5944" t="s">
        <v>5948</v>
      </c>
      <c r="B5944">
        <v>0.995954080203443</v>
      </c>
      <c r="C5944">
        <v>0.75467916783019895</v>
      </c>
      <c r="D5944">
        <v>0.82761113659285301</v>
      </c>
      <c r="E5944">
        <v>0.88374894294455797</v>
      </c>
      <c r="F5944">
        <v>0.84818193052356705</v>
      </c>
      <c r="G5944">
        <v>0.69103492072678196</v>
      </c>
      <c r="H5944">
        <v>0.41874927880893298</v>
      </c>
      <c r="I5944">
        <v>0.31151538365035603</v>
      </c>
      <c r="J5944">
        <v>0.279274862414573</v>
      </c>
      <c r="K5944">
        <v>0.21486392408510599</v>
      </c>
      <c r="L5944">
        <v>550.00916385845903</v>
      </c>
      <c r="M5944">
        <v>9.1652249537061792</v>
      </c>
      <c r="N5944">
        <v>60.010433531990898</v>
      </c>
      <c r="O5944">
        <v>57.360751222467101</v>
      </c>
      <c r="P5944">
        <v>-3.99726268353503E-2</v>
      </c>
      <c r="Q5944">
        <v>0</v>
      </c>
      <c r="R5944">
        <v>0.89569749778382601</v>
      </c>
      <c r="S5944" t="s">
        <v>12750</v>
      </c>
      <c r="T5944" t="s">
        <v>13610</v>
      </c>
      <c r="U5944" t="s">
        <v>13610</v>
      </c>
      <c r="V5944" t="s">
        <v>13610</v>
      </c>
      <c r="W5944" t="s">
        <v>19480</v>
      </c>
      <c r="X5944">
        <v>4</v>
      </c>
      <c r="Y5944" t="s">
        <v>26033</v>
      </c>
      <c r="Z5944" t="s">
        <v>32799</v>
      </c>
      <c r="AA5944">
        <v>0.65900863857236669</v>
      </c>
      <c r="AB5944" t="str">
        <f>HYPERLINK("Melting_Curves/meltCurve_Q9NPE3_NOP10.pdf", "Melting_Curves/meltCurve_Q9NPE3_NOP10.pdf")</f>
        <v>Melting_Curves/meltCurve_Q9NPE3_NOP10.pdf</v>
      </c>
    </row>
    <row r="5945" spans="1:28" x14ac:dyDescent="0.25">
      <c r="A5945" t="s">
        <v>5949</v>
      </c>
      <c r="B5945">
        <v>0.995954080203443</v>
      </c>
      <c r="C5945">
        <v>1.0464812258707099</v>
      </c>
      <c r="D5945">
        <v>0.97726715685338394</v>
      </c>
      <c r="E5945">
        <v>0.68593558753138595</v>
      </c>
      <c r="F5945">
        <v>0.30300500155843202</v>
      </c>
      <c r="G5945">
        <v>0.13197449239039899</v>
      </c>
      <c r="H5945">
        <v>7.9488805519503103E-2</v>
      </c>
      <c r="I5945">
        <v>6.9274355576765798E-2</v>
      </c>
      <c r="J5945">
        <v>7.1673053644248197E-2</v>
      </c>
      <c r="K5945">
        <v>6.5304421012157499E-2</v>
      </c>
      <c r="L5945">
        <v>1552.44797183634</v>
      </c>
      <c r="M5945">
        <v>30.373543929640899</v>
      </c>
      <c r="N5945">
        <v>51.378913623166902</v>
      </c>
      <c r="O5945">
        <v>50.891826763375398</v>
      </c>
      <c r="P5945">
        <v>-0.13831160462977199</v>
      </c>
      <c r="Q5945">
        <v>7.30240146346397E-2</v>
      </c>
      <c r="R5945">
        <v>0.99819169152866505</v>
      </c>
      <c r="S5945" t="s">
        <v>12751</v>
      </c>
      <c r="T5945" t="s">
        <v>13610</v>
      </c>
      <c r="U5945" t="s">
        <v>13610</v>
      </c>
      <c r="V5945" t="s">
        <v>13610</v>
      </c>
      <c r="W5945" t="s">
        <v>19481</v>
      </c>
      <c r="X5945">
        <v>14</v>
      </c>
      <c r="Y5945" t="s">
        <v>26034</v>
      </c>
      <c r="Z5945" t="s">
        <v>32800</v>
      </c>
      <c r="AA5945">
        <v>0.42206739036449448</v>
      </c>
      <c r="AB5945" t="str">
        <f>HYPERLINK("Melting_Curves/meltCurve_Q9NPF4_OSGEP.pdf", "Melting_Curves/meltCurve_Q9NPF4_OSGEP.pdf")</f>
        <v>Melting_Curves/meltCurve_Q9NPF4_OSGEP.pdf</v>
      </c>
    </row>
    <row r="5946" spans="1:28" x14ac:dyDescent="0.25">
      <c r="A5946" t="s">
        <v>5950</v>
      </c>
      <c r="B5946">
        <v>0.995954080203443</v>
      </c>
      <c r="C5946">
        <v>0.84439661242501596</v>
      </c>
      <c r="D5946">
        <v>0.656598189869806</v>
      </c>
      <c r="E5946">
        <v>0.58795240922158198</v>
      </c>
      <c r="F5946">
        <v>0.35191507007453698</v>
      </c>
      <c r="G5946">
        <v>0.24868176318430199</v>
      </c>
      <c r="H5946">
        <v>0.19022909187037401</v>
      </c>
      <c r="I5946">
        <v>0.207263315144117</v>
      </c>
      <c r="J5946">
        <v>0.20909705032512299</v>
      </c>
      <c r="K5946">
        <v>0.23921142015253499</v>
      </c>
      <c r="L5946">
        <v>625.34969084457896</v>
      </c>
      <c r="M5946">
        <v>12.969454256301001</v>
      </c>
      <c r="N5946">
        <v>49.941005607122797</v>
      </c>
      <c r="O5946">
        <v>47.113967411012901</v>
      </c>
      <c r="P5946">
        <v>-5.64113255671852E-2</v>
      </c>
      <c r="Q5946">
        <v>0.180447370564356</v>
      </c>
      <c r="R5946">
        <v>0.97545191586521396</v>
      </c>
      <c r="S5946" t="s">
        <v>12752</v>
      </c>
      <c r="T5946" t="s">
        <v>13610</v>
      </c>
      <c r="U5946" t="s">
        <v>13610</v>
      </c>
      <c r="V5946" t="s">
        <v>13610</v>
      </c>
      <c r="W5946" t="s">
        <v>19482</v>
      </c>
      <c r="X5946">
        <v>14</v>
      </c>
      <c r="Y5946" t="s">
        <v>26035</v>
      </c>
      <c r="Z5946" t="s">
        <v>32801</v>
      </c>
      <c r="AA5946">
        <v>0.43244180397133769</v>
      </c>
      <c r="AB5946" t="str">
        <f>HYPERLINK("Melting_Curves/meltCurve_Q9NPF5_DMAP1.pdf", "Melting_Curves/meltCurve_Q9NPF5_DMAP1.pdf")</f>
        <v>Melting_Curves/meltCurve_Q9NPF5_DMAP1.pdf</v>
      </c>
    </row>
    <row r="5947" spans="1:28" x14ac:dyDescent="0.25">
      <c r="A5947" t="s">
        <v>5951</v>
      </c>
      <c r="B5947">
        <v>0.995954080203443</v>
      </c>
      <c r="C5947">
        <v>0.93096963507089403</v>
      </c>
      <c r="D5947">
        <v>1.0576288229139501</v>
      </c>
      <c r="E5947">
        <v>0.76523910049011501</v>
      </c>
      <c r="F5947">
        <v>0.77987765112836105</v>
      </c>
      <c r="G5947">
        <v>0.56069306449082401</v>
      </c>
      <c r="H5947">
        <v>0.50024154980257596</v>
      </c>
      <c r="I5947">
        <v>0.55884839104178896</v>
      </c>
      <c r="J5947">
        <v>0.61824965721843395</v>
      </c>
      <c r="K5947">
        <v>0.59028644683573805</v>
      </c>
      <c r="L5947">
        <v>1189.5037057428999</v>
      </c>
      <c r="M5947">
        <v>23.228493760673601</v>
      </c>
      <c r="O5947">
        <v>50.833789406376503</v>
      </c>
      <c r="P5947">
        <v>-5.0009161534242202E-2</v>
      </c>
      <c r="Q5947">
        <v>0.562242730268949</v>
      </c>
      <c r="R5947">
        <v>0.90554595191946097</v>
      </c>
      <c r="S5947" t="s">
        <v>12753</v>
      </c>
      <c r="T5947" t="s">
        <v>13610</v>
      </c>
      <c r="U5947" t="s">
        <v>13610</v>
      </c>
      <c r="V5947" t="s">
        <v>13610</v>
      </c>
      <c r="W5947" t="s">
        <v>19483</v>
      </c>
      <c r="X5947">
        <v>17</v>
      </c>
      <c r="Y5947" t="s">
        <v>26036</v>
      </c>
      <c r="Z5947" t="s">
        <v>32802</v>
      </c>
      <c r="AA5947">
        <v>0.73037384965814622</v>
      </c>
      <c r="AB5947" t="str">
        <f>HYPERLINK("Melting_Curves/meltCurve_Q9NPG3_2_UBN1.pdf", "Melting_Curves/meltCurve_Q9NPG3_2_UBN1.pdf")</f>
        <v>Melting_Curves/meltCurve_Q9NPG3_2_UBN1.pdf</v>
      </c>
    </row>
    <row r="5948" spans="1:28" x14ac:dyDescent="0.25">
      <c r="A5948" t="s">
        <v>5952</v>
      </c>
      <c r="B5948">
        <v>0.995954080203443</v>
      </c>
      <c r="C5948">
        <v>1.03247020261176</v>
      </c>
      <c r="D5948">
        <v>1.2031267300412301</v>
      </c>
      <c r="E5948">
        <v>1.14936652151915</v>
      </c>
      <c r="F5948">
        <v>1.20034064640692</v>
      </c>
      <c r="G5948">
        <v>0.94301860084450595</v>
      </c>
      <c r="H5948">
        <v>0.86516962351261995</v>
      </c>
      <c r="I5948">
        <v>0.84857022228918999</v>
      </c>
      <c r="J5948">
        <v>0.97699867276281205</v>
      </c>
      <c r="K5948">
        <v>0.85699741103259297</v>
      </c>
      <c r="L5948">
        <v>14249.095792932099</v>
      </c>
      <c r="M5948">
        <v>250</v>
      </c>
      <c r="O5948">
        <v>56.992735797086503</v>
      </c>
      <c r="P5948">
        <v>-0.12399170027471799</v>
      </c>
      <c r="Q5948">
        <v>0.88693398072732199</v>
      </c>
      <c r="R5948">
        <v>0.317603307451298</v>
      </c>
      <c r="S5948" t="s">
        <v>12754</v>
      </c>
      <c r="T5948" t="s">
        <v>13610</v>
      </c>
      <c r="U5948" t="s">
        <v>13610</v>
      </c>
      <c r="V5948" t="s">
        <v>13610</v>
      </c>
      <c r="W5948" t="s">
        <v>19484</v>
      </c>
      <c r="X5948">
        <v>1</v>
      </c>
      <c r="Y5948" t="s">
        <v>26037</v>
      </c>
      <c r="Z5948" t="s">
        <v>32803</v>
      </c>
      <c r="AA5948">
        <v>0.9510024033772555</v>
      </c>
      <c r="AB5948" t="str">
        <f>HYPERLINK("Melting_Curves/meltCurve_Q9NPH3_5_IL1RAP.pdf", "Melting_Curves/meltCurve_Q9NPH3_5_IL1RAP.pdf")</f>
        <v>Melting_Curves/meltCurve_Q9NPH3_5_IL1RAP.pdf</v>
      </c>
    </row>
    <row r="5949" spans="1:28" x14ac:dyDescent="0.25">
      <c r="A5949" t="s">
        <v>5953</v>
      </c>
      <c r="B5949">
        <v>0.995954080203443</v>
      </c>
      <c r="C5949">
        <v>0.76452854375659496</v>
      </c>
      <c r="D5949">
        <v>0.56898180741584503</v>
      </c>
      <c r="E5949">
        <v>0.43136639562968698</v>
      </c>
      <c r="F5949">
        <v>0.32110855129187099</v>
      </c>
      <c r="G5949">
        <v>0.23332466359423901</v>
      </c>
      <c r="H5949">
        <v>0.20787130085473399</v>
      </c>
      <c r="I5949">
        <v>0.25462267405061001</v>
      </c>
      <c r="J5949">
        <v>0.28999923605542999</v>
      </c>
      <c r="K5949">
        <v>0.31685358964921301</v>
      </c>
      <c r="L5949">
        <v>792.43641376574499</v>
      </c>
      <c r="M5949">
        <v>17.4823017896416</v>
      </c>
      <c r="N5949">
        <v>47.3212023478956</v>
      </c>
      <c r="O5949">
        <v>44.747308152268701</v>
      </c>
      <c r="P5949">
        <v>-7.2224793579170402E-2</v>
      </c>
      <c r="Q5949">
        <v>0.26058107317416901</v>
      </c>
      <c r="R5949">
        <v>0.97143033356319297</v>
      </c>
      <c r="S5949" t="s">
        <v>12755</v>
      </c>
      <c r="T5949" t="s">
        <v>13610</v>
      </c>
      <c r="U5949" t="s">
        <v>13610</v>
      </c>
      <c r="V5949" t="s">
        <v>13610</v>
      </c>
      <c r="W5949" t="s">
        <v>19485</v>
      </c>
      <c r="X5949">
        <v>15</v>
      </c>
      <c r="Y5949" t="s">
        <v>26038</v>
      </c>
      <c r="Z5949" t="s">
        <v>32804</v>
      </c>
      <c r="AA5949">
        <v>0.40834714302441238</v>
      </c>
      <c r="AB5949" t="str">
        <f>HYPERLINK("Melting_Curves/meltCurve_Q9NPI1_BRD7.pdf", "Melting_Curves/meltCurve_Q9NPI1_BRD7.pdf")</f>
        <v>Melting_Curves/meltCurve_Q9NPI1_BRD7.pdf</v>
      </c>
    </row>
    <row r="5950" spans="1:28" x14ac:dyDescent="0.25">
      <c r="A5950" t="s">
        <v>5954</v>
      </c>
      <c r="B5950">
        <v>0.995954080203443</v>
      </c>
      <c r="C5950">
        <v>0.94774877024916604</v>
      </c>
      <c r="D5950">
        <v>0.83232467847654101</v>
      </c>
      <c r="E5950">
        <v>0.68872108347926597</v>
      </c>
      <c r="F5950">
        <v>0.49275154090221002</v>
      </c>
      <c r="G5950">
        <v>0.29895761227130802</v>
      </c>
      <c r="H5950">
        <v>0.21615933067982199</v>
      </c>
      <c r="I5950">
        <v>0.19317402589972599</v>
      </c>
      <c r="J5950">
        <v>0.20679328994548099</v>
      </c>
      <c r="K5950">
        <v>0.18427640522556199</v>
      </c>
      <c r="L5950">
        <v>743.32628954029599</v>
      </c>
      <c r="M5950">
        <v>14.4792442724178</v>
      </c>
      <c r="N5950">
        <v>52.7123224952539</v>
      </c>
      <c r="O5950">
        <v>50.387903354645502</v>
      </c>
      <c r="P5950">
        <v>-6.0547396482844101E-2</v>
      </c>
      <c r="Q5950">
        <v>0.15727545413378999</v>
      </c>
      <c r="R5950">
        <v>0.99626373008179103</v>
      </c>
      <c r="S5950" t="s">
        <v>12756</v>
      </c>
      <c r="T5950" t="s">
        <v>13610</v>
      </c>
      <c r="U5950" t="s">
        <v>13610</v>
      </c>
      <c r="V5950" t="s">
        <v>13610</v>
      </c>
      <c r="W5950" t="s">
        <v>19486</v>
      </c>
      <c r="X5950">
        <v>9</v>
      </c>
      <c r="Y5950" t="s">
        <v>26039</v>
      </c>
      <c r="Z5950" t="s">
        <v>32805</v>
      </c>
      <c r="AA5950">
        <v>0.4961308958182708</v>
      </c>
      <c r="AB5950" t="str">
        <f>HYPERLINK("Melting_Curves/meltCurve_Q9NPI6_DCP1A.pdf", "Melting_Curves/meltCurve_Q9NPI6_DCP1A.pdf")</f>
        <v>Melting_Curves/meltCurve_Q9NPI6_DCP1A.pdf</v>
      </c>
    </row>
    <row r="5951" spans="1:28" x14ac:dyDescent="0.25">
      <c r="A5951" t="s">
        <v>5955</v>
      </c>
      <c r="B5951">
        <v>0.995954080203443</v>
      </c>
      <c r="C5951">
        <v>0.57821217384431201</v>
      </c>
      <c r="D5951">
        <v>0.31967647284020601</v>
      </c>
      <c r="E5951">
        <v>0.31986909299723498</v>
      </c>
      <c r="F5951">
        <v>0.149410001345892</v>
      </c>
      <c r="G5951">
        <v>8.4697147439852502E-2</v>
      </c>
      <c r="H5951">
        <v>0</v>
      </c>
      <c r="I5951">
        <v>0</v>
      </c>
      <c r="J5951">
        <v>0</v>
      </c>
      <c r="K5951">
        <v>0</v>
      </c>
      <c r="L5951">
        <v>619.44643885110997</v>
      </c>
      <c r="M5951">
        <v>13.8094680501877</v>
      </c>
      <c r="N5951">
        <v>44.912256095720998</v>
      </c>
      <c r="O5951">
        <v>43.947390115925401</v>
      </c>
      <c r="P5951">
        <v>-7.7901816440820199E-2</v>
      </c>
      <c r="Q5951">
        <v>8.4762792476822894E-3</v>
      </c>
      <c r="R5951">
        <v>0.94026264088487199</v>
      </c>
      <c r="S5951" t="s">
        <v>12757</v>
      </c>
      <c r="T5951" t="s">
        <v>13610</v>
      </c>
      <c r="U5951" t="s">
        <v>13610</v>
      </c>
      <c r="V5951" t="s">
        <v>13610</v>
      </c>
      <c r="W5951" t="s">
        <v>19487</v>
      </c>
      <c r="X5951">
        <v>2</v>
      </c>
      <c r="Y5951" t="s">
        <v>26040</v>
      </c>
      <c r="Z5951" t="s">
        <v>32806</v>
      </c>
      <c r="AA5951">
        <v>0.20732847909333291</v>
      </c>
      <c r="AB5951" t="str">
        <f>HYPERLINK("Melting_Curves/meltCurve_Q9NPI8_FANCF.pdf", "Melting_Curves/meltCurve_Q9NPI8_FANCF.pdf")</f>
        <v>Melting_Curves/meltCurve_Q9NPI8_FANCF.pdf</v>
      </c>
    </row>
    <row r="5952" spans="1:28" x14ac:dyDescent="0.25">
      <c r="A5952" t="s">
        <v>5956</v>
      </c>
      <c r="B5952">
        <v>0.995954080203443</v>
      </c>
      <c r="C5952">
        <v>1.0664089334145701</v>
      </c>
      <c r="D5952">
        <v>1.0072745297547401</v>
      </c>
      <c r="E5952">
        <v>0.93422676247360104</v>
      </c>
      <c r="F5952">
        <v>0.84024342013426301</v>
      </c>
      <c r="G5952">
        <v>0.60978134726527</v>
      </c>
      <c r="H5952">
        <v>0.35253001703193099</v>
      </c>
      <c r="I5952">
        <v>0.151744252175297</v>
      </c>
      <c r="J5952">
        <v>7.1743471017267801E-2</v>
      </c>
      <c r="K5952">
        <v>7.5536168966778103E-2</v>
      </c>
      <c r="L5952">
        <v>1014.36031833252</v>
      </c>
      <c r="M5952">
        <v>17.367779310071601</v>
      </c>
      <c r="N5952">
        <v>58.404722679037</v>
      </c>
      <c r="O5952">
        <v>57.646918660410201</v>
      </c>
      <c r="P5952">
        <v>-7.5323912854783098E-2</v>
      </c>
      <c r="Q5952">
        <v>0</v>
      </c>
      <c r="R5952">
        <v>0.994643191571984</v>
      </c>
      <c r="S5952" t="s">
        <v>12758</v>
      </c>
      <c r="T5952" t="s">
        <v>13610</v>
      </c>
      <c r="U5952" t="s">
        <v>13610</v>
      </c>
      <c r="V5952" t="s">
        <v>13610</v>
      </c>
      <c r="W5952" t="s">
        <v>19488</v>
      </c>
      <c r="X5952">
        <v>5</v>
      </c>
      <c r="Y5952" t="s">
        <v>26041</v>
      </c>
      <c r="Z5952" t="s">
        <v>32807</v>
      </c>
      <c r="AA5952">
        <v>0.62541208988780383</v>
      </c>
      <c r="AB5952" t="str">
        <f>HYPERLINK("Melting_Curves/meltCurve_Q9NPJ3_ACOT13.pdf", "Melting_Curves/meltCurve_Q9NPJ3_ACOT13.pdf")</f>
        <v>Melting_Curves/meltCurve_Q9NPJ3_ACOT13.pdf</v>
      </c>
    </row>
    <row r="5953" spans="1:28" x14ac:dyDescent="0.25">
      <c r="A5953" t="s">
        <v>5957</v>
      </c>
      <c r="B5953">
        <v>0.995954080203443</v>
      </c>
      <c r="C5953">
        <v>0.81203910444414396</v>
      </c>
      <c r="D5953">
        <v>0.71897730468655896</v>
      </c>
      <c r="E5953">
        <v>0.90986512009768095</v>
      </c>
      <c r="F5953">
        <v>0.68055580970490503</v>
      </c>
      <c r="G5953">
        <v>0.36848457988271599</v>
      </c>
      <c r="H5953">
        <v>0.246600503088655</v>
      </c>
      <c r="I5953">
        <v>0.239714574871495</v>
      </c>
      <c r="J5953">
        <v>0.267529337649835</v>
      </c>
      <c r="K5953">
        <v>0.27332313720093998</v>
      </c>
      <c r="L5953">
        <v>553.76123004483804</v>
      </c>
      <c r="M5953">
        <v>10.258763144126799</v>
      </c>
      <c r="N5953">
        <v>55.619430002117099</v>
      </c>
      <c r="O5953">
        <v>52.0488764348488</v>
      </c>
      <c r="P5953">
        <v>-4.28622490932941E-2</v>
      </c>
      <c r="Q5953">
        <v>0.13051961901459899</v>
      </c>
      <c r="R5953">
        <v>0.87871116088034296</v>
      </c>
      <c r="S5953" t="s">
        <v>12759</v>
      </c>
      <c r="T5953" t="s">
        <v>13610</v>
      </c>
      <c r="U5953" t="s">
        <v>13610</v>
      </c>
      <c r="V5953" t="s">
        <v>13610</v>
      </c>
      <c r="W5953" t="s">
        <v>19489</v>
      </c>
      <c r="X5953">
        <v>9</v>
      </c>
      <c r="Y5953" t="s">
        <v>26042</v>
      </c>
      <c r="Z5953" t="s">
        <v>32808</v>
      </c>
      <c r="AA5953">
        <v>0.56155440420668112</v>
      </c>
      <c r="AB5953" t="str">
        <f>HYPERLINK("Melting_Curves/meltCurve_Q9NPJ6_MED4.pdf", "Melting_Curves/meltCurve_Q9NPJ6_MED4.pdf")</f>
        <v>Melting_Curves/meltCurve_Q9NPJ6_MED4.pdf</v>
      </c>
    </row>
    <row r="5954" spans="1:28" x14ac:dyDescent="0.25">
      <c r="A5954" t="s">
        <v>5958</v>
      </c>
      <c r="B5954">
        <v>0.995954080203443</v>
      </c>
      <c r="C5954">
        <v>0.78164784597589199</v>
      </c>
      <c r="D5954">
        <v>1.1082609484044099</v>
      </c>
      <c r="E5954">
        <v>0.32387310155195098</v>
      </c>
      <c r="F5954">
        <v>0.246172586320593</v>
      </c>
      <c r="G5954">
        <v>0.13115860869898499</v>
      </c>
      <c r="H5954">
        <v>8.0945630430351703E-2</v>
      </c>
      <c r="I5954">
        <v>5.4505123743068297E-2</v>
      </c>
      <c r="J5954">
        <v>6.6128329834844402E-2</v>
      </c>
      <c r="K5954">
        <v>7.0686211720068698E-2</v>
      </c>
      <c r="L5954">
        <v>4024.4845378043301</v>
      </c>
      <c r="M5954">
        <v>81.602630458340897</v>
      </c>
      <c r="N5954">
        <v>49.464340471250402</v>
      </c>
      <c r="O5954">
        <v>49.2884782242879</v>
      </c>
      <c r="P5954">
        <v>-0.36953062537818798</v>
      </c>
      <c r="Q5954">
        <v>0.107205249616995</v>
      </c>
      <c r="R5954">
        <v>0.94459872516221799</v>
      </c>
      <c r="S5954" t="s">
        <v>12760</v>
      </c>
      <c r="T5954" t="s">
        <v>13610</v>
      </c>
      <c r="U5954" t="s">
        <v>13610</v>
      </c>
      <c r="V5954" t="s">
        <v>13610</v>
      </c>
      <c r="W5954" t="s">
        <v>19490</v>
      </c>
      <c r="X5954">
        <v>2</v>
      </c>
      <c r="Y5954" t="s">
        <v>26043</v>
      </c>
      <c r="Z5954" t="s">
        <v>32809</v>
      </c>
      <c r="AA5954">
        <v>0.38523611686819781</v>
      </c>
      <c r="AB5954" t="str">
        <f>HYPERLINK("Melting_Curves/meltCurve_Q9NPJ8_NXT2.pdf", "Melting_Curves/meltCurve_Q9NPJ8_NXT2.pdf")</f>
        <v>Melting_Curves/meltCurve_Q9NPJ8_NXT2.pdf</v>
      </c>
    </row>
    <row r="5955" spans="1:28" x14ac:dyDescent="0.25">
      <c r="A5955" t="s">
        <v>5959</v>
      </c>
      <c r="B5955">
        <v>0.995954080203443</v>
      </c>
      <c r="C5955">
        <v>0.94672073051314998</v>
      </c>
      <c r="D5955">
        <v>0.77229781398344799</v>
      </c>
      <c r="E5955">
        <v>0.36379570268018901</v>
      </c>
      <c r="F5955">
        <v>0.18407018743880399</v>
      </c>
      <c r="G5955">
        <v>0.113641913661136</v>
      </c>
      <c r="H5955">
        <v>8.4183563826566707E-2</v>
      </c>
      <c r="I5955">
        <v>8.1911276652683995E-2</v>
      </c>
      <c r="J5955">
        <v>9.6178220050147298E-2</v>
      </c>
      <c r="K5955">
        <v>8.9339070434293205E-2</v>
      </c>
      <c r="L5955">
        <v>1111.9405508278501</v>
      </c>
      <c r="M5955">
        <v>23.0707018877665</v>
      </c>
      <c r="N5955">
        <v>48.591284962391903</v>
      </c>
      <c r="O5955">
        <v>47.839348919782502</v>
      </c>
      <c r="P5955">
        <v>-0.110275881175845</v>
      </c>
      <c r="Q5955">
        <v>8.5345798158236494E-2</v>
      </c>
      <c r="R5955">
        <v>0.99980721416573903</v>
      </c>
      <c r="S5955" t="s">
        <v>12761</v>
      </c>
      <c r="T5955" t="s">
        <v>13610</v>
      </c>
      <c r="U5955" t="s">
        <v>13610</v>
      </c>
      <c r="V5955" t="s">
        <v>13610</v>
      </c>
      <c r="W5955" t="s">
        <v>19491</v>
      </c>
      <c r="X5955">
        <v>19</v>
      </c>
      <c r="Y5955" t="s">
        <v>26044</v>
      </c>
      <c r="Z5955" t="s">
        <v>32810</v>
      </c>
      <c r="AA5955">
        <v>0.34483974807297102</v>
      </c>
      <c r="AB5955" t="str">
        <f>HYPERLINK("Melting_Curves/meltCurve_Q9NPQ8_RIC8A.pdf", "Melting_Curves/meltCurve_Q9NPQ8_RIC8A.pdf")</f>
        <v>Melting_Curves/meltCurve_Q9NPQ8_RIC8A.pdf</v>
      </c>
    </row>
    <row r="5956" spans="1:28" x14ac:dyDescent="0.25">
      <c r="A5956" t="s">
        <v>5960</v>
      </c>
      <c r="B5956">
        <v>0.995954080203443</v>
      </c>
      <c r="C5956">
        <v>0.86516020718062503</v>
      </c>
      <c r="D5956">
        <v>0.80069786702466805</v>
      </c>
      <c r="E5956">
        <v>0.56928406457200398</v>
      </c>
      <c r="F5956">
        <v>0.224860304153777</v>
      </c>
      <c r="G5956">
        <v>0.129184517377607</v>
      </c>
      <c r="H5956">
        <v>9.13003632345782E-2</v>
      </c>
      <c r="I5956">
        <v>8.8980583974234001E-2</v>
      </c>
      <c r="J5956">
        <v>0.104728916890544</v>
      </c>
      <c r="K5956">
        <v>9.8730729612840504E-2</v>
      </c>
      <c r="L5956">
        <v>887.77238674986904</v>
      </c>
      <c r="M5956">
        <v>17.9443036009697</v>
      </c>
      <c r="N5956">
        <v>49.910587630364297</v>
      </c>
      <c r="O5956">
        <v>48.871603864127898</v>
      </c>
      <c r="P5956">
        <v>-8.5126875610429406E-2</v>
      </c>
      <c r="Q5956">
        <v>7.2668348909321501E-2</v>
      </c>
      <c r="R5956">
        <v>0.98543189100523998</v>
      </c>
      <c r="S5956" t="s">
        <v>12762</v>
      </c>
      <c r="T5956" t="s">
        <v>13610</v>
      </c>
      <c r="U5956" t="s">
        <v>13610</v>
      </c>
      <c r="V5956" t="s">
        <v>13610</v>
      </c>
      <c r="W5956" t="s">
        <v>19492</v>
      </c>
      <c r="X5956">
        <v>21</v>
      </c>
      <c r="Y5956" t="s">
        <v>26045</v>
      </c>
      <c r="Z5956" t="s">
        <v>32811</v>
      </c>
      <c r="AA5956">
        <v>0.38154182631877481</v>
      </c>
      <c r="AB5956" t="str">
        <f>HYPERLINK("Melting_Curves/meltCurve_Q9NQ29_LUC7L.pdf", "Melting_Curves/meltCurve_Q9NQ29_LUC7L.pdf")</f>
        <v>Melting_Curves/meltCurve_Q9NQ29_LUC7L.pdf</v>
      </c>
    </row>
    <row r="5957" spans="1:28" x14ac:dyDescent="0.25">
      <c r="A5957" t="s">
        <v>5961</v>
      </c>
      <c r="B5957">
        <v>0.995954080203443</v>
      </c>
      <c r="C5957">
        <v>0.89867204611533302</v>
      </c>
      <c r="D5957">
        <v>0.66689549234615797</v>
      </c>
      <c r="E5957">
        <v>0.62362117208774803</v>
      </c>
      <c r="F5957">
        <v>0.35330468380246299</v>
      </c>
      <c r="G5957">
        <v>0.22520755381124699</v>
      </c>
      <c r="H5957">
        <v>0.14841641880314899</v>
      </c>
      <c r="I5957">
        <v>0.153466382386682</v>
      </c>
      <c r="J5957">
        <v>0.15913331056264901</v>
      </c>
      <c r="K5957">
        <v>0.130212188295113</v>
      </c>
      <c r="L5957">
        <v>616.86509871978103</v>
      </c>
      <c r="M5957">
        <v>12.4358662379527</v>
      </c>
      <c r="N5957">
        <v>50.499285914186103</v>
      </c>
      <c r="O5957">
        <v>48.373421761337703</v>
      </c>
      <c r="P5957">
        <v>-5.7922224831112999E-2</v>
      </c>
      <c r="Q5957">
        <v>9.8958411874672497E-2</v>
      </c>
      <c r="R5957">
        <v>0.97872302994854199</v>
      </c>
      <c r="S5957" t="s">
        <v>12763</v>
      </c>
      <c r="T5957" t="s">
        <v>13610</v>
      </c>
      <c r="U5957" t="s">
        <v>13610</v>
      </c>
      <c r="V5957" t="s">
        <v>13610</v>
      </c>
      <c r="W5957" t="s">
        <v>19493</v>
      </c>
      <c r="X5957">
        <v>7</v>
      </c>
      <c r="Y5957" t="s">
        <v>26046</v>
      </c>
      <c r="Z5957" t="s">
        <v>32812</v>
      </c>
      <c r="AA5957">
        <v>0.4175313044127526</v>
      </c>
      <c r="AB5957" t="str">
        <f>HYPERLINK("Melting_Curves/meltCurve_Q9NQ55_2_PPAN.pdf", "Melting_Curves/meltCurve_Q9NQ55_2_PPAN.pdf")</f>
        <v>Melting_Curves/meltCurve_Q9NQ55_2_PPAN.pdf</v>
      </c>
    </row>
    <row r="5958" spans="1:28" x14ac:dyDescent="0.25">
      <c r="A5958" t="s">
        <v>5962</v>
      </c>
      <c r="B5958">
        <v>0.995954080203443</v>
      </c>
      <c r="C5958">
        <v>1.0431798154468399</v>
      </c>
      <c r="D5958">
        <v>1.01608958527946</v>
      </c>
      <c r="E5958">
        <v>0.66870068072781697</v>
      </c>
      <c r="F5958">
        <v>0.216778439261405</v>
      </c>
      <c r="G5958">
        <v>0.128709016332196</v>
      </c>
      <c r="H5958">
        <v>0.105465396759052</v>
      </c>
      <c r="I5958">
        <v>9.8532469278083595E-2</v>
      </c>
      <c r="J5958">
        <v>0.129524347098156</v>
      </c>
      <c r="K5958">
        <v>0.11219609781526201</v>
      </c>
      <c r="L5958">
        <v>2297.9417391864399</v>
      </c>
      <c r="M5958">
        <v>45.429607978913701</v>
      </c>
      <c r="N5958">
        <v>50.872801366821797</v>
      </c>
      <c r="O5958">
        <v>50.484750303910801</v>
      </c>
      <c r="P5958">
        <v>-0.19927768097857401</v>
      </c>
      <c r="Q5958">
        <v>0.11419255565233701</v>
      </c>
      <c r="R5958">
        <v>0.99802272502122202</v>
      </c>
      <c r="S5958" t="s">
        <v>12764</v>
      </c>
      <c r="T5958" t="s">
        <v>13610</v>
      </c>
      <c r="U5958" t="s">
        <v>13610</v>
      </c>
      <c r="V5958" t="s">
        <v>13610</v>
      </c>
      <c r="W5958" t="s">
        <v>19494</v>
      </c>
      <c r="X5958">
        <v>6</v>
      </c>
      <c r="Y5958" t="s">
        <v>26047</v>
      </c>
      <c r="Z5958" t="s">
        <v>32813</v>
      </c>
      <c r="AA5958">
        <v>0.42905707492792883</v>
      </c>
      <c r="AB5958" t="str">
        <f>HYPERLINK("Melting_Curves/meltCurve_Q9NQ88_TIGAR.pdf", "Melting_Curves/meltCurve_Q9NQ88_TIGAR.pdf")</f>
        <v>Melting_Curves/meltCurve_Q9NQ88_TIGAR.pdf</v>
      </c>
    </row>
    <row r="5959" spans="1:28" x14ac:dyDescent="0.25">
      <c r="A5959" t="s">
        <v>5963</v>
      </c>
      <c r="B5959">
        <v>0.995954080203443</v>
      </c>
      <c r="C5959">
        <v>0.79588952654669398</v>
      </c>
      <c r="D5959">
        <v>0.67429301675347098</v>
      </c>
      <c r="E5959">
        <v>0.44199973049494301</v>
      </c>
      <c r="F5959">
        <v>0.23553319547957299</v>
      </c>
      <c r="G5959">
        <v>0.16287671883524399</v>
      </c>
      <c r="H5959">
        <v>0.114895303433451</v>
      </c>
      <c r="I5959">
        <v>9.7348829096477199E-2</v>
      </c>
      <c r="J5959">
        <v>0.11890688668227201</v>
      </c>
      <c r="K5959">
        <v>9.3939256416497502E-2</v>
      </c>
      <c r="L5959">
        <v>673.43396825385503</v>
      </c>
      <c r="M5959">
        <v>14.0740297564166</v>
      </c>
      <c r="N5959">
        <v>48.4539707830982</v>
      </c>
      <c r="O5959">
        <v>46.914444574586703</v>
      </c>
      <c r="P5959">
        <v>-6.8968030569303895E-2</v>
      </c>
      <c r="Q5959">
        <v>8.0525615721482105E-2</v>
      </c>
      <c r="R5959">
        <v>0.99168363534308002</v>
      </c>
      <c r="S5959" t="s">
        <v>12765</v>
      </c>
      <c r="T5959" t="s">
        <v>13610</v>
      </c>
      <c r="U5959" t="s">
        <v>13610</v>
      </c>
      <c r="V5959" t="s">
        <v>13610</v>
      </c>
      <c r="W5959" t="s">
        <v>19495</v>
      </c>
      <c r="X5959">
        <v>4</v>
      </c>
      <c r="Y5959" t="s">
        <v>26048</v>
      </c>
      <c r="Z5959" t="s">
        <v>32814</v>
      </c>
      <c r="AA5959">
        <v>0.34811762393769652</v>
      </c>
      <c r="AB5959" t="str">
        <f>HYPERLINK("Melting_Curves/meltCurve_Q9NQ89_C12orf4.pdf", "Melting_Curves/meltCurve_Q9NQ89_C12orf4.pdf")</f>
        <v>Melting_Curves/meltCurve_Q9NQ89_C12orf4.pdf</v>
      </c>
    </row>
    <row r="5960" spans="1:28" x14ac:dyDescent="0.25">
      <c r="A5960" t="s">
        <v>5964</v>
      </c>
      <c r="B5960">
        <v>0.995954080203443</v>
      </c>
      <c r="C5960">
        <v>0.92091133514052403</v>
      </c>
      <c r="D5960">
        <v>1.1167492437437201</v>
      </c>
      <c r="E5960">
        <v>1.0420831875191601</v>
      </c>
      <c r="F5960">
        <v>1.22206643778928</v>
      </c>
      <c r="G5960">
        <v>1.1089841772201701</v>
      </c>
      <c r="H5960">
        <v>1.07800478605045</v>
      </c>
      <c r="I5960">
        <v>1.33859792984519</v>
      </c>
      <c r="J5960">
        <v>1.3429921952341799</v>
      </c>
      <c r="K5960">
        <v>1.7115173023166099</v>
      </c>
      <c r="L5960">
        <v>2372.9887052261302</v>
      </c>
      <c r="M5960">
        <v>37.564929814697301</v>
      </c>
      <c r="O5960">
        <v>62.992095931384199</v>
      </c>
      <c r="P5960">
        <v>7.4543137424829403E-2</v>
      </c>
      <c r="Q5960">
        <v>1.5</v>
      </c>
      <c r="R5960">
        <v>0.69762770840243005</v>
      </c>
      <c r="S5960" t="s">
        <v>12766</v>
      </c>
      <c r="T5960" t="s">
        <v>13610</v>
      </c>
      <c r="U5960" t="s">
        <v>13610</v>
      </c>
      <c r="V5960" t="s">
        <v>13610</v>
      </c>
      <c r="W5960" t="s">
        <v>19496</v>
      </c>
      <c r="X5960">
        <v>2</v>
      </c>
      <c r="Y5960" t="s">
        <v>26049</v>
      </c>
      <c r="Z5960" t="s">
        <v>32815</v>
      </c>
      <c r="AA5960">
        <v>1.1122756907015949</v>
      </c>
      <c r="AB5960" t="str">
        <f>HYPERLINK("Melting_Curves/meltCurve_Q9NQ92_COPRS.pdf", "Melting_Curves/meltCurve_Q9NQ92_COPRS.pdf")</f>
        <v>Melting_Curves/meltCurve_Q9NQ92_COPRS.pdf</v>
      </c>
    </row>
    <row r="5961" spans="1:28" x14ac:dyDescent="0.25">
      <c r="A5961" t="s">
        <v>5965</v>
      </c>
      <c r="B5961">
        <v>0.995954080203443</v>
      </c>
      <c r="C5961">
        <v>0.81490252395351304</v>
      </c>
      <c r="D5961">
        <v>0.82156644373522003</v>
      </c>
      <c r="E5961">
        <v>0.86197719809236795</v>
      </c>
      <c r="F5961">
        <v>0.94965863313869803</v>
      </c>
      <c r="G5961">
        <v>0.67835448847774305</v>
      </c>
      <c r="H5961">
        <v>0.68062827365576795</v>
      </c>
      <c r="I5961">
        <v>0.77343503916177003</v>
      </c>
      <c r="J5961">
        <v>0.93740516353963099</v>
      </c>
      <c r="K5961">
        <v>0.96552473266040995</v>
      </c>
      <c r="L5961">
        <v>1.0000000000000001E-5</v>
      </c>
      <c r="M5961">
        <v>1.0000000000000001E-5</v>
      </c>
      <c r="Q5961">
        <v>0.69588280662989799</v>
      </c>
      <c r="R5961">
        <v>8.8596296965448606E-9</v>
      </c>
      <c r="S5961" t="s">
        <v>12767</v>
      </c>
      <c r="T5961" t="s">
        <v>13610</v>
      </c>
      <c r="U5961" t="s">
        <v>13610</v>
      </c>
      <c r="V5961" t="s">
        <v>13610</v>
      </c>
      <c r="W5961" t="s">
        <v>19497</v>
      </c>
      <c r="X5961">
        <v>8</v>
      </c>
      <c r="Y5961" t="s">
        <v>26050</v>
      </c>
      <c r="Z5961" t="s">
        <v>32816</v>
      </c>
      <c r="AA5961">
        <v>0.84794065720436407</v>
      </c>
      <c r="AB5961" t="str">
        <f>HYPERLINK("Melting_Curves/meltCurve_Q9NQA3_WASH6P.pdf", "Melting_Curves/meltCurve_Q9NQA3_WASH6P.pdf")</f>
        <v>Melting_Curves/meltCurve_Q9NQA3_WASH6P.pdf</v>
      </c>
    </row>
    <row r="5962" spans="1:28" x14ac:dyDescent="0.25">
      <c r="A5962" t="s">
        <v>5966</v>
      </c>
      <c r="B5962">
        <v>0.995954080203443</v>
      </c>
      <c r="C5962">
        <v>0.94850495624587805</v>
      </c>
      <c r="D5962">
        <v>0.77377562354682405</v>
      </c>
      <c r="E5962">
        <v>0.77393140427697305</v>
      </c>
      <c r="F5962">
        <v>0.54101981815073397</v>
      </c>
      <c r="G5962">
        <v>0.387776457535287</v>
      </c>
      <c r="H5962">
        <v>0.31000239722759299</v>
      </c>
      <c r="I5962">
        <v>0.32085478858229399</v>
      </c>
      <c r="J5962">
        <v>0.31543968123379301</v>
      </c>
      <c r="K5962">
        <v>0.37565194068569802</v>
      </c>
      <c r="L5962">
        <v>700.55839358044898</v>
      </c>
      <c r="M5962">
        <v>13.8129301298318</v>
      </c>
      <c r="N5962">
        <v>54.2162889327345</v>
      </c>
      <c r="O5962">
        <v>49.690044897402899</v>
      </c>
      <c r="P5962">
        <v>-4.9004240782094699E-2</v>
      </c>
      <c r="Q5962">
        <v>0.29495562639578599</v>
      </c>
      <c r="R5962">
        <v>0.96402713359291303</v>
      </c>
      <c r="S5962" t="s">
        <v>12768</v>
      </c>
      <c r="T5962" t="s">
        <v>13610</v>
      </c>
      <c r="U5962" t="s">
        <v>13610</v>
      </c>
      <c r="V5962" t="s">
        <v>13610</v>
      </c>
      <c r="W5962" t="s">
        <v>14285</v>
      </c>
      <c r="X5962">
        <v>13</v>
      </c>
      <c r="Y5962" t="s">
        <v>21009</v>
      </c>
      <c r="Z5962" t="s">
        <v>32817</v>
      </c>
      <c r="AA5962">
        <v>0.56566478499796002</v>
      </c>
      <c r="AB5962" t="str">
        <f>HYPERLINK("Melting_Curves/meltCurve_Q9NQC3_RTN4.pdf", "Melting_Curves/meltCurve_Q9NQC3_RTN4.pdf")</f>
        <v>Melting_Curves/meltCurve_Q9NQC3_RTN4.pdf</v>
      </c>
    </row>
    <row r="5963" spans="1:28" x14ac:dyDescent="0.25">
      <c r="A5963" t="s">
        <v>5967</v>
      </c>
      <c r="B5963">
        <v>0.995954080203443</v>
      </c>
      <c r="C5963">
        <v>0.89397906497947899</v>
      </c>
      <c r="D5963">
        <v>0.73497148623508002</v>
      </c>
      <c r="E5963">
        <v>0.57928455682348401</v>
      </c>
      <c r="F5963">
        <v>0.24951393515154199</v>
      </c>
      <c r="G5963">
        <v>0.11414592394640601</v>
      </c>
      <c r="H5963">
        <v>6.9946750668479898E-2</v>
      </c>
      <c r="I5963">
        <v>8.0332705854848696E-2</v>
      </c>
      <c r="J5963">
        <v>9.0618733209097094E-2</v>
      </c>
      <c r="K5963">
        <v>6.09056266032416E-2</v>
      </c>
      <c r="L5963">
        <v>776.18089919755596</v>
      </c>
      <c r="M5963">
        <v>15.663238911008399</v>
      </c>
      <c r="N5963">
        <v>49.8362002840923</v>
      </c>
      <c r="O5963">
        <v>48.767655538793697</v>
      </c>
      <c r="P5963">
        <v>-7.6897782904208303E-2</v>
      </c>
      <c r="Q5963">
        <v>4.2393508107071702E-2</v>
      </c>
      <c r="R5963">
        <v>0.986718903494199</v>
      </c>
      <c r="S5963" t="s">
        <v>12769</v>
      </c>
      <c r="T5963" t="s">
        <v>13610</v>
      </c>
      <c r="U5963" t="s">
        <v>13610</v>
      </c>
      <c r="V5963" t="s">
        <v>13610</v>
      </c>
      <c r="W5963" t="s">
        <v>19498</v>
      </c>
      <c r="X5963">
        <v>2</v>
      </c>
      <c r="Y5963" t="s">
        <v>26051</v>
      </c>
      <c r="Z5963" t="s">
        <v>32818</v>
      </c>
      <c r="AA5963">
        <v>0.36877143622046837</v>
      </c>
      <c r="AB5963" t="str">
        <f>HYPERLINK("Melting_Curves/meltCurve_Q9NQE9_HINT3.pdf", "Melting_Curves/meltCurve_Q9NQE9_HINT3.pdf")</f>
        <v>Melting_Curves/meltCurve_Q9NQE9_HINT3.pdf</v>
      </c>
    </row>
    <row r="5964" spans="1:28" x14ac:dyDescent="0.25">
      <c r="A5964" t="s">
        <v>5968</v>
      </c>
      <c r="B5964">
        <v>0.995954080203443</v>
      </c>
      <c r="C5964">
        <v>1.0681453430188901</v>
      </c>
      <c r="D5964">
        <v>0.65093547584165701</v>
      </c>
      <c r="E5964">
        <v>0.80610294818630002</v>
      </c>
      <c r="F5964">
        <v>0.51581027917300104</v>
      </c>
      <c r="G5964">
        <v>0.330644063301752</v>
      </c>
      <c r="H5964">
        <v>0.28323035270132302</v>
      </c>
      <c r="I5964">
        <v>0.32517055569844899</v>
      </c>
      <c r="J5964">
        <v>0.40577176408134402</v>
      </c>
      <c r="K5964">
        <v>0.38193291075429697</v>
      </c>
      <c r="L5964">
        <v>761.25247794072595</v>
      </c>
      <c r="M5964">
        <v>15.261377385456299</v>
      </c>
      <c r="N5964">
        <v>53.499791654380097</v>
      </c>
      <c r="O5964">
        <v>49.048057202271103</v>
      </c>
      <c r="P5964">
        <v>-5.2752375914410003E-2</v>
      </c>
      <c r="Q5964">
        <v>0.321907191109919</v>
      </c>
      <c r="R5964">
        <v>0.86927662082692403</v>
      </c>
      <c r="S5964" t="s">
        <v>12770</v>
      </c>
      <c r="T5964" t="s">
        <v>13610</v>
      </c>
      <c r="U5964" t="s">
        <v>13610</v>
      </c>
      <c r="V5964" t="s">
        <v>13610</v>
      </c>
      <c r="W5964" t="s">
        <v>19499</v>
      </c>
      <c r="X5964">
        <v>15</v>
      </c>
      <c r="Y5964" t="s">
        <v>26052</v>
      </c>
      <c r="Z5964" t="s">
        <v>32819</v>
      </c>
      <c r="AA5964">
        <v>0.56098574468614015</v>
      </c>
      <c r="AB5964" t="str">
        <f>HYPERLINK("Melting_Curves/meltCurve_Q9NQG5_RPRD1B.pdf", "Melting_Curves/meltCurve_Q9NQG5_RPRD1B.pdf")</f>
        <v>Melting_Curves/meltCurve_Q9NQG5_RPRD1B.pdf</v>
      </c>
    </row>
    <row r="5965" spans="1:28" x14ac:dyDescent="0.25">
      <c r="A5965" t="s">
        <v>5969</v>
      </c>
      <c r="B5965">
        <v>0.995954080203443</v>
      </c>
      <c r="C5965">
        <v>0.94012597336883996</v>
      </c>
      <c r="D5965">
        <v>1.0958710318201299</v>
      </c>
      <c r="E5965">
        <v>0.83750607419633905</v>
      </c>
      <c r="F5965">
        <v>0.7170606769033</v>
      </c>
      <c r="G5965">
        <v>0.183647167416984</v>
      </c>
      <c r="H5965">
        <v>9.84556996446002E-2</v>
      </c>
      <c r="I5965">
        <v>7.4378148473693603E-2</v>
      </c>
      <c r="J5965">
        <v>7.0866431513812E-2</v>
      </c>
      <c r="K5965">
        <v>6.8946651391987801E-2</v>
      </c>
      <c r="L5965">
        <v>1670.03822021518</v>
      </c>
      <c r="M5965">
        <v>30.903523738817199</v>
      </c>
      <c r="N5965">
        <v>54.279476577024397</v>
      </c>
      <c r="O5965">
        <v>53.8156107340888</v>
      </c>
      <c r="P5965">
        <v>-0.134427409567206</v>
      </c>
      <c r="Q5965">
        <v>6.36341621119971E-2</v>
      </c>
      <c r="R5965">
        <v>0.98550168750473699</v>
      </c>
      <c r="S5965" t="s">
        <v>12771</v>
      </c>
      <c r="T5965" t="s">
        <v>13610</v>
      </c>
      <c r="U5965" t="s">
        <v>13610</v>
      </c>
      <c r="V5965" t="s">
        <v>13610</v>
      </c>
      <c r="W5965" t="s">
        <v>19500</v>
      </c>
      <c r="X5965">
        <v>5</v>
      </c>
      <c r="Y5965" t="s">
        <v>26053</v>
      </c>
      <c r="Z5965" t="s">
        <v>32820</v>
      </c>
      <c r="AA5965">
        <v>0.50767578793007395</v>
      </c>
      <c r="AB5965" t="str">
        <f>HYPERLINK("Melting_Curves/meltCurve_Q9NQG6_SMCR7L.pdf", "Melting_Curves/meltCurve_Q9NQG6_SMCR7L.pdf")</f>
        <v>Melting_Curves/meltCurve_Q9NQG6_SMCR7L.pdf</v>
      </c>
    </row>
    <row r="5966" spans="1:28" x14ac:dyDescent="0.25">
      <c r="A5966" t="s">
        <v>5970</v>
      </c>
      <c r="B5966">
        <v>0.995954080203443</v>
      </c>
      <c r="C5966">
        <v>0.93287757114589698</v>
      </c>
      <c r="D5966">
        <v>0.81994085017227103</v>
      </c>
      <c r="E5966">
        <v>0</v>
      </c>
      <c r="F5966">
        <v>0.56901089920736403</v>
      </c>
      <c r="G5966">
        <v>0.23310614526902201</v>
      </c>
      <c r="H5966">
        <v>0.112609340733515</v>
      </c>
      <c r="I5966">
        <v>8.3442054161149706E-2</v>
      </c>
      <c r="J5966">
        <v>6.3632510859604502E-2</v>
      </c>
      <c r="K5966">
        <v>4.0074978873254299E-2</v>
      </c>
      <c r="L5966">
        <v>11559.927897752899</v>
      </c>
      <c r="M5966">
        <v>250</v>
      </c>
      <c r="N5966">
        <v>46.309741152788703</v>
      </c>
      <c r="O5966">
        <v>46.236752579242001</v>
      </c>
      <c r="P5966">
        <v>-1.1389602264257801</v>
      </c>
      <c r="Q5966">
        <v>0.15741084641852199</v>
      </c>
      <c r="R5966">
        <v>0.83885845469128995</v>
      </c>
      <c r="S5966" t="s">
        <v>12772</v>
      </c>
      <c r="T5966" t="s">
        <v>13610</v>
      </c>
      <c r="U5966" t="s">
        <v>13610</v>
      </c>
      <c r="V5966" t="s">
        <v>13610</v>
      </c>
      <c r="W5966" t="s">
        <v>19501</v>
      </c>
      <c r="X5966">
        <v>2</v>
      </c>
      <c r="Y5966" t="s">
        <v>26054</v>
      </c>
      <c r="Z5966" t="s">
        <v>32821</v>
      </c>
      <c r="AA5966">
        <v>0.33272966610865051</v>
      </c>
      <c r="AB5966" t="str">
        <f>HYPERLINK("Melting_Curves/meltCurve_Q9NQH7_2_XPNPEP3.pdf", "Melting_Curves/meltCurve_Q9NQH7_2_XPNPEP3.pdf")</f>
        <v>Melting_Curves/meltCurve_Q9NQH7_2_XPNPEP3.pdf</v>
      </c>
    </row>
    <row r="5967" spans="1:28" x14ac:dyDescent="0.25">
      <c r="A5967" t="s">
        <v>5971</v>
      </c>
      <c r="B5967">
        <v>0.995954080203443</v>
      </c>
      <c r="C5967">
        <v>0.84895301128374401</v>
      </c>
      <c r="D5967">
        <v>0.79555426615540503</v>
      </c>
      <c r="E5967">
        <v>0.48260636249269301</v>
      </c>
      <c r="F5967">
        <v>0.46169615415676701</v>
      </c>
      <c r="G5967">
        <v>0.31349985068441699</v>
      </c>
      <c r="H5967">
        <v>0.19622372552272099</v>
      </c>
      <c r="I5967">
        <v>0.20275890101350399</v>
      </c>
      <c r="J5967">
        <v>0.228867861243745</v>
      </c>
      <c r="K5967">
        <v>0.145651551367491</v>
      </c>
      <c r="L5967">
        <v>597.40340846833703</v>
      </c>
      <c r="M5967">
        <v>12.0771802508003</v>
      </c>
      <c r="N5967">
        <v>50.999922043635799</v>
      </c>
      <c r="O5967">
        <v>48.167850077702703</v>
      </c>
      <c r="P5967">
        <v>-5.314648039126E-2</v>
      </c>
      <c r="Q5967">
        <v>0.152335345987129</v>
      </c>
      <c r="R5967">
        <v>0.98207979699052095</v>
      </c>
      <c r="S5967" t="s">
        <v>12773</v>
      </c>
      <c r="T5967" t="s">
        <v>13610</v>
      </c>
      <c r="U5967" t="s">
        <v>13610</v>
      </c>
      <c r="V5967" t="s">
        <v>13610</v>
      </c>
      <c r="W5967" t="s">
        <v>19502</v>
      </c>
      <c r="X5967">
        <v>7</v>
      </c>
      <c r="Y5967" t="s">
        <v>26055</v>
      </c>
      <c r="Z5967" t="s">
        <v>32822</v>
      </c>
      <c r="AA5967">
        <v>0.44975654409586507</v>
      </c>
      <c r="AB5967" t="str">
        <f>HYPERLINK("Melting_Curves/meltCurve_Q9NQL2_RRAGD.pdf", "Melting_Curves/meltCurve_Q9NQL2_RRAGD.pdf")</f>
        <v>Melting_Curves/meltCurve_Q9NQL2_RRAGD.pdf</v>
      </c>
    </row>
    <row r="5968" spans="1:28" x14ac:dyDescent="0.25">
      <c r="A5968" t="s">
        <v>5972</v>
      </c>
      <c r="B5968">
        <v>0.995954080203443</v>
      </c>
      <c r="C5968">
        <v>0.93106720275879096</v>
      </c>
      <c r="D5968">
        <v>0.76179761531732604</v>
      </c>
      <c r="E5968">
        <v>0.83938300919971398</v>
      </c>
      <c r="F5968">
        <v>0.62941976211265704</v>
      </c>
      <c r="G5968">
        <v>0.536285514363669</v>
      </c>
      <c r="H5968">
        <v>0.50120724630068803</v>
      </c>
      <c r="I5968">
        <v>0.63419891354012903</v>
      </c>
      <c r="J5968">
        <v>0.86308907190398099</v>
      </c>
      <c r="K5968">
        <v>0.80456722092847699</v>
      </c>
      <c r="L5968">
        <v>948.11310202488096</v>
      </c>
      <c r="M5968">
        <v>20.9620924767537</v>
      </c>
      <c r="O5968">
        <v>44.824295181080203</v>
      </c>
      <c r="P5968">
        <v>-3.8184519451046298E-2</v>
      </c>
      <c r="Q5968">
        <v>0.67340133086893195</v>
      </c>
      <c r="R5968">
        <v>0.49821636886911902</v>
      </c>
      <c r="S5968" t="s">
        <v>12774</v>
      </c>
      <c r="T5968" t="s">
        <v>13610</v>
      </c>
      <c r="U5968" t="s">
        <v>13610</v>
      </c>
      <c r="V5968" t="s">
        <v>13610</v>
      </c>
      <c r="W5968" t="s">
        <v>19503</v>
      </c>
      <c r="X5968">
        <v>5</v>
      </c>
      <c r="Y5968" t="s">
        <v>26056</v>
      </c>
      <c r="Z5968" t="s">
        <v>32823</v>
      </c>
      <c r="AA5968">
        <v>0.73516995193894941</v>
      </c>
      <c r="AB5968" t="str">
        <f>HYPERLINK("Melting_Curves/meltCurve_Q9NQP4_PFDN4.pdf", "Melting_Curves/meltCurve_Q9NQP4_PFDN4.pdf")</f>
        <v>Melting_Curves/meltCurve_Q9NQP4_PFDN4.pdf</v>
      </c>
    </row>
    <row r="5969" spans="1:28" x14ac:dyDescent="0.25">
      <c r="A5969" t="s">
        <v>5973</v>
      </c>
      <c r="B5969">
        <v>0.995954080203443</v>
      </c>
      <c r="C5969">
        <v>1.0586691520821601</v>
      </c>
      <c r="D5969">
        <v>1.0540310296948201</v>
      </c>
      <c r="E5969">
        <v>0.96570520948745397</v>
      </c>
      <c r="F5969">
        <v>1.0794128283347999</v>
      </c>
      <c r="G5969">
        <v>0.85212451896435604</v>
      </c>
      <c r="H5969">
        <v>0.86335127595850703</v>
      </c>
      <c r="I5969">
        <v>1.06279358378032</v>
      </c>
      <c r="J5969">
        <v>1.41599803332684</v>
      </c>
      <c r="K5969">
        <v>1.3229654748906301</v>
      </c>
      <c r="L5969">
        <v>15000</v>
      </c>
      <c r="M5969">
        <v>232.78977954288499</v>
      </c>
      <c r="O5969">
        <v>64.431052887425494</v>
      </c>
      <c r="P5969">
        <v>0.33375120899670502</v>
      </c>
      <c r="Q5969">
        <v>1.36949981517637</v>
      </c>
      <c r="R5969">
        <v>0.79794687197361203</v>
      </c>
      <c r="S5969" t="s">
        <v>12775</v>
      </c>
      <c r="T5969" t="s">
        <v>13610</v>
      </c>
      <c r="U5969" t="s">
        <v>13610</v>
      </c>
      <c r="V5969" t="s">
        <v>13610</v>
      </c>
      <c r="W5969" t="s">
        <v>19504</v>
      </c>
      <c r="X5969">
        <v>3</v>
      </c>
      <c r="Y5969" t="s">
        <v>26057</v>
      </c>
      <c r="Z5969" t="s">
        <v>32824</v>
      </c>
      <c r="AA5969">
        <v>1.068483940923679</v>
      </c>
      <c r="AB5969" t="str">
        <f>HYPERLINK("Melting_Curves/meltCurve_Q9NQR1_2_SETD8.pdf", "Melting_Curves/meltCurve_Q9NQR1_2_SETD8.pdf")</f>
        <v>Melting_Curves/meltCurve_Q9NQR1_2_SETD8.pdf</v>
      </c>
    </row>
    <row r="5970" spans="1:28" x14ac:dyDescent="0.25">
      <c r="A5970" t="s">
        <v>5974</v>
      </c>
      <c r="B5970">
        <v>0.995954080203443</v>
      </c>
      <c r="C5970">
        <v>0.84523648828684905</v>
      </c>
      <c r="D5970">
        <v>0.88218596095760204</v>
      </c>
      <c r="E5970">
        <v>0.82813517449326302</v>
      </c>
      <c r="F5970">
        <v>0.67787882451815096</v>
      </c>
      <c r="G5970">
        <v>0.22061679201246701</v>
      </c>
      <c r="H5970">
        <v>7.2837009590150895E-2</v>
      </c>
      <c r="I5970">
        <v>6.1866284740606299E-2</v>
      </c>
      <c r="J5970">
        <v>7.0382878702177104E-2</v>
      </c>
      <c r="K5970">
        <v>6.09999759767198E-2</v>
      </c>
      <c r="L5970">
        <v>1221.75776776771</v>
      </c>
      <c r="M5970">
        <v>22.6405942279962</v>
      </c>
      <c r="N5970">
        <v>54.144737728309501</v>
      </c>
      <c r="O5970">
        <v>53.547449364525598</v>
      </c>
      <c r="P5970">
        <v>-0.101840947018452</v>
      </c>
      <c r="Q5970">
        <v>3.6559874051609001E-2</v>
      </c>
      <c r="R5970">
        <v>0.97207407776722798</v>
      </c>
      <c r="S5970" t="s">
        <v>12776</v>
      </c>
      <c r="T5970" t="s">
        <v>13610</v>
      </c>
      <c r="U5970" t="s">
        <v>13610</v>
      </c>
      <c r="V5970" t="s">
        <v>13610</v>
      </c>
      <c r="W5970" t="s">
        <v>19505</v>
      </c>
      <c r="X5970">
        <v>17</v>
      </c>
      <c r="Y5970" t="s">
        <v>26058</v>
      </c>
      <c r="Z5970" t="s">
        <v>32825</v>
      </c>
      <c r="AA5970">
        <v>0.49562036164230372</v>
      </c>
      <c r="AB5970" t="str">
        <f>HYPERLINK("Melting_Curves/meltCurve_Q9NQR4_NIT2.pdf", "Melting_Curves/meltCurve_Q9NQR4_NIT2.pdf")</f>
        <v>Melting_Curves/meltCurve_Q9NQR4_NIT2.pdf</v>
      </c>
    </row>
    <row r="5971" spans="1:28" x14ac:dyDescent="0.25">
      <c r="A5971" t="s">
        <v>5975</v>
      </c>
      <c r="B5971">
        <v>0.995954080203443</v>
      </c>
      <c r="C5971">
        <v>1.0139786680970899</v>
      </c>
      <c r="D5971">
        <v>0.98882988330423405</v>
      </c>
      <c r="E5971">
        <v>0.92288634482353205</v>
      </c>
      <c r="F5971">
        <v>0.81207690235322905</v>
      </c>
      <c r="G5971">
        <v>0.56684664600092804</v>
      </c>
      <c r="H5971">
        <v>0.55318210220106601</v>
      </c>
      <c r="I5971">
        <v>0.632784493685703</v>
      </c>
      <c r="J5971">
        <v>0.73300679378835198</v>
      </c>
      <c r="K5971">
        <v>0.71512640736156796</v>
      </c>
      <c r="L5971">
        <v>2226.7629567705699</v>
      </c>
      <c r="M5971">
        <v>42.4249300221718</v>
      </c>
      <c r="O5971">
        <v>52.370917455935498</v>
      </c>
      <c r="P5971">
        <v>-7.2764670437307402E-2</v>
      </c>
      <c r="Q5971">
        <v>0.64070688661787301</v>
      </c>
      <c r="R5971">
        <v>0.88984067161979097</v>
      </c>
      <c r="S5971" t="s">
        <v>12777</v>
      </c>
      <c r="T5971" t="s">
        <v>13610</v>
      </c>
      <c r="U5971" t="s">
        <v>13610</v>
      </c>
      <c r="V5971" t="s">
        <v>13610</v>
      </c>
      <c r="W5971" t="s">
        <v>19506</v>
      </c>
      <c r="X5971">
        <v>6</v>
      </c>
      <c r="Y5971" t="s">
        <v>26059</v>
      </c>
      <c r="Z5971" t="s">
        <v>32826</v>
      </c>
      <c r="AA5971">
        <v>0.79141554524335345</v>
      </c>
      <c r="AB5971" t="str">
        <f>HYPERLINK("Melting_Curves/meltCurve_Q9NQS1_AVEN.pdf", "Melting_Curves/meltCurve_Q9NQS1_AVEN.pdf")</f>
        <v>Melting_Curves/meltCurve_Q9NQS1_AVEN.pdf</v>
      </c>
    </row>
    <row r="5972" spans="1:28" x14ac:dyDescent="0.25">
      <c r="A5972" t="s">
        <v>5976</v>
      </c>
      <c r="B5972">
        <v>0.995954080203443</v>
      </c>
      <c r="C5972">
        <v>0.94545498369785796</v>
      </c>
      <c r="D5972">
        <v>0.906561046908544</v>
      </c>
      <c r="E5972">
        <v>0.78023712664728595</v>
      </c>
      <c r="F5972">
        <v>0.73348194202622496</v>
      </c>
      <c r="G5972">
        <v>0.56921396787535905</v>
      </c>
      <c r="H5972">
        <v>0.57691063057718295</v>
      </c>
      <c r="I5972">
        <v>0.761822219293952</v>
      </c>
      <c r="J5972">
        <v>0.88440187222629096</v>
      </c>
      <c r="K5972">
        <v>0.88419948282368599</v>
      </c>
      <c r="L5972">
        <v>1321.8895733624699</v>
      </c>
      <c r="M5972">
        <v>28.316572477641799</v>
      </c>
      <c r="O5972">
        <v>46.451578939853597</v>
      </c>
      <c r="P5972">
        <v>-4.03547334295392E-2</v>
      </c>
      <c r="Q5972">
        <v>0.73520443205989106</v>
      </c>
      <c r="R5972">
        <v>0.48575176274735998</v>
      </c>
      <c r="S5972" t="s">
        <v>12778</v>
      </c>
      <c r="T5972" t="s">
        <v>13610</v>
      </c>
      <c r="U5972" t="s">
        <v>13610</v>
      </c>
      <c r="V5972" t="s">
        <v>13610</v>
      </c>
      <c r="W5972" t="s">
        <v>19507</v>
      </c>
      <c r="X5972">
        <v>15</v>
      </c>
      <c r="Y5972" t="s">
        <v>26060</v>
      </c>
      <c r="Z5972" t="s">
        <v>32827</v>
      </c>
      <c r="AA5972">
        <v>0.79599461055316334</v>
      </c>
      <c r="AB5972" t="str">
        <f>HYPERLINK("Melting_Curves/meltCurve_Q9NQS7_2_INCENP.pdf", "Melting_Curves/meltCurve_Q9NQS7_2_INCENP.pdf")</f>
        <v>Melting_Curves/meltCurve_Q9NQS7_2_INCENP.pdf</v>
      </c>
    </row>
    <row r="5973" spans="1:28" x14ac:dyDescent="0.25">
      <c r="A5973" t="s">
        <v>5977</v>
      </c>
      <c r="B5973">
        <v>0.995954080203443</v>
      </c>
      <c r="C5973">
        <v>0.87257835271988404</v>
      </c>
      <c r="D5973">
        <v>0.74917418916954803</v>
      </c>
      <c r="E5973">
        <v>0.77481665541779898</v>
      </c>
      <c r="F5973">
        <v>0.47884369300122798</v>
      </c>
      <c r="G5973">
        <v>0.159487919743005</v>
      </c>
      <c r="H5973">
        <v>8.1418812511359004E-2</v>
      </c>
      <c r="I5973">
        <v>6.5936354100546199E-2</v>
      </c>
      <c r="J5973">
        <v>6.7021839416919707E-2</v>
      </c>
      <c r="K5973">
        <v>7.0004966916902694E-2</v>
      </c>
      <c r="L5973">
        <v>723.777733764804</v>
      </c>
      <c r="M5973">
        <v>13.847906839311401</v>
      </c>
      <c r="N5973">
        <v>52.266195889996801</v>
      </c>
      <c r="O5973">
        <v>51.212450552651497</v>
      </c>
      <c r="P5973">
        <v>-6.7609632699259098E-2</v>
      </c>
      <c r="Q5973">
        <v>0</v>
      </c>
      <c r="R5973">
        <v>0.964607978682684</v>
      </c>
      <c r="S5973" t="s">
        <v>12779</v>
      </c>
      <c r="T5973" t="s">
        <v>13610</v>
      </c>
      <c r="U5973" t="s">
        <v>13610</v>
      </c>
      <c r="V5973" t="s">
        <v>13610</v>
      </c>
      <c r="W5973" t="s">
        <v>19508</v>
      </c>
      <c r="X5973">
        <v>7</v>
      </c>
      <c r="Y5973" t="s">
        <v>26061</v>
      </c>
      <c r="Z5973" t="s">
        <v>32828</v>
      </c>
      <c r="AA5973">
        <v>0.43373813378148629</v>
      </c>
      <c r="AB5973" t="str">
        <f>HYPERLINK("Melting_Curves/meltCurve_Q9NQT4_EXOSC5.pdf", "Melting_Curves/meltCurve_Q9NQT4_EXOSC5.pdf")</f>
        <v>Melting_Curves/meltCurve_Q9NQT4_EXOSC5.pdf</v>
      </c>
    </row>
    <row r="5974" spans="1:28" x14ac:dyDescent="0.25">
      <c r="A5974" t="s">
        <v>5978</v>
      </c>
      <c r="B5974">
        <v>0.995954080203443</v>
      </c>
      <c r="C5974">
        <v>0.84892845164199005</v>
      </c>
      <c r="D5974">
        <v>0.64292429255604899</v>
      </c>
      <c r="E5974">
        <v>0.42934684904772902</v>
      </c>
      <c r="F5974">
        <v>0.14122949199738399</v>
      </c>
      <c r="G5974">
        <v>8.0408211143199307E-2</v>
      </c>
      <c r="H5974">
        <v>4.7363795043501099E-2</v>
      </c>
      <c r="I5974">
        <v>4.1317593163134297E-2</v>
      </c>
      <c r="J5974">
        <v>4.4083644215012902E-2</v>
      </c>
      <c r="K5974">
        <v>4.2023654301294101E-2</v>
      </c>
      <c r="L5974">
        <v>761.21719964960505</v>
      </c>
      <c r="M5974">
        <v>15.873658102118799</v>
      </c>
      <c r="N5974">
        <v>48.086866753590201</v>
      </c>
      <c r="O5974">
        <v>47.2130204177625</v>
      </c>
      <c r="P5974">
        <v>-8.2266487441156E-2</v>
      </c>
      <c r="Q5974">
        <v>2.1338309417740699E-2</v>
      </c>
      <c r="R5974">
        <v>0.99080212980417004</v>
      </c>
      <c r="S5974" t="s">
        <v>12780</v>
      </c>
      <c r="T5974" t="s">
        <v>13610</v>
      </c>
      <c r="U5974" t="s">
        <v>13610</v>
      </c>
      <c r="V5974" t="s">
        <v>13610</v>
      </c>
      <c r="W5974" t="s">
        <v>19509</v>
      </c>
      <c r="X5974">
        <v>16</v>
      </c>
      <c r="Y5974" t="s">
        <v>26062</v>
      </c>
      <c r="Z5974" t="s">
        <v>32829</v>
      </c>
      <c r="AA5974">
        <v>0.30336964541949618</v>
      </c>
      <c r="AB5974" t="str">
        <f>HYPERLINK("Melting_Curves/meltCurve_Q9NQT5_EXOSC3.pdf", "Melting_Curves/meltCurve_Q9NQT5_EXOSC3.pdf")</f>
        <v>Melting_Curves/meltCurve_Q9NQT5_EXOSC3.pdf</v>
      </c>
    </row>
    <row r="5975" spans="1:28" x14ac:dyDescent="0.25">
      <c r="A5975" t="s">
        <v>5979</v>
      </c>
      <c r="B5975">
        <v>0.995954080203443</v>
      </c>
      <c r="C5975">
        <v>0.84618832571517699</v>
      </c>
      <c r="D5975">
        <v>0.53350476582821205</v>
      </c>
      <c r="E5975">
        <v>0.40481466325652299</v>
      </c>
      <c r="F5975">
        <v>0.27701350045046902</v>
      </c>
      <c r="G5975">
        <v>0.19189180354391999</v>
      </c>
      <c r="H5975">
        <v>0.16038616116196999</v>
      </c>
      <c r="I5975">
        <v>0.171803298398923</v>
      </c>
      <c r="J5975">
        <v>0.188276961816192</v>
      </c>
      <c r="K5975">
        <v>0.186578473910047</v>
      </c>
      <c r="L5975">
        <v>790.44653437343698</v>
      </c>
      <c r="M5975">
        <v>17.1223733365638</v>
      </c>
      <c r="N5975">
        <v>47.363722666386799</v>
      </c>
      <c r="O5975">
        <v>45.548645475715901</v>
      </c>
      <c r="P5975">
        <v>-7.7453792143537495E-2</v>
      </c>
      <c r="Q5975">
        <v>0.17588448999335901</v>
      </c>
      <c r="R5975">
        <v>0.98533278503816202</v>
      </c>
      <c r="S5975" t="s">
        <v>12781</v>
      </c>
      <c r="T5975" t="s">
        <v>13610</v>
      </c>
      <c r="U5975" t="s">
        <v>13610</v>
      </c>
      <c r="V5975" t="s">
        <v>13610</v>
      </c>
      <c r="W5975" t="s">
        <v>19510</v>
      </c>
      <c r="X5975">
        <v>30</v>
      </c>
      <c r="Y5975" t="s">
        <v>26063</v>
      </c>
      <c r="Z5975" t="s">
        <v>32830</v>
      </c>
      <c r="AA5975">
        <v>0.36308623712850102</v>
      </c>
      <c r="AB5975" t="str">
        <f>HYPERLINK("Melting_Curves/meltCurve_Q9NQT8_KIF13B.pdf", "Melting_Curves/meltCurve_Q9NQT8_KIF13B.pdf")</f>
        <v>Melting_Curves/meltCurve_Q9NQT8_KIF13B.pdf</v>
      </c>
    </row>
    <row r="5976" spans="1:28" x14ac:dyDescent="0.25">
      <c r="A5976" t="s">
        <v>5980</v>
      </c>
      <c r="B5976">
        <v>0.995954080203443</v>
      </c>
      <c r="C5976">
        <v>0.92637354810429395</v>
      </c>
      <c r="D5976">
        <v>0.70014025672142099</v>
      </c>
      <c r="E5976">
        <v>0.51878913620193901</v>
      </c>
      <c r="F5976">
        <v>0.294366545561912</v>
      </c>
      <c r="G5976">
        <v>0.18232519875683201</v>
      </c>
      <c r="H5976">
        <v>0.14487011407393</v>
      </c>
      <c r="I5976">
        <v>0.123825019716243</v>
      </c>
      <c r="J5976">
        <v>0.126849655526694</v>
      </c>
      <c r="K5976">
        <v>0.130643780266785</v>
      </c>
      <c r="L5976">
        <v>753.44428816739105</v>
      </c>
      <c r="M5976">
        <v>15.442573100422401</v>
      </c>
      <c r="N5976">
        <v>49.579222060263099</v>
      </c>
      <c r="O5976">
        <v>47.9938655490268</v>
      </c>
      <c r="P5976">
        <v>-7.1682039834029598E-2</v>
      </c>
      <c r="Q5976">
        <v>0.108959870368401</v>
      </c>
      <c r="R5976">
        <v>0.99408808462960996</v>
      </c>
      <c r="S5976" t="s">
        <v>12782</v>
      </c>
      <c r="T5976" t="s">
        <v>13610</v>
      </c>
      <c r="U5976" t="s">
        <v>13610</v>
      </c>
      <c r="V5976" t="s">
        <v>13610</v>
      </c>
      <c r="W5976" t="s">
        <v>19511</v>
      </c>
      <c r="X5976">
        <v>4</v>
      </c>
      <c r="Y5976" t="s">
        <v>26064</v>
      </c>
      <c r="Z5976" t="s">
        <v>32831</v>
      </c>
      <c r="AA5976">
        <v>0.3910047812791087</v>
      </c>
      <c r="AB5976" t="str">
        <f>HYPERLINK("Melting_Curves/meltCurve_Q9NQV6_2_PRDM10.pdf", "Melting_Curves/meltCurve_Q9NQV6_2_PRDM10.pdf")</f>
        <v>Melting_Curves/meltCurve_Q9NQV6_2_PRDM10.pdf</v>
      </c>
    </row>
    <row r="5977" spans="1:28" x14ac:dyDescent="0.25">
      <c r="A5977" t="s">
        <v>5981</v>
      </c>
      <c r="B5977">
        <v>0.995954080203443</v>
      </c>
      <c r="C5977">
        <v>1.0307039384322501</v>
      </c>
      <c r="D5977">
        <v>1.0627117009184499</v>
      </c>
      <c r="E5977">
        <v>0.86793751523722396</v>
      </c>
      <c r="F5977">
        <v>0.94540102271063897</v>
      </c>
      <c r="G5977">
        <v>0.740321320550266</v>
      </c>
      <c r="H5977">
        <v>0.71953408876792202</v>
      </c>
      <c r="I5977">
        <v>0.86960102409367102</v>
      </c>
      <c r="J5977">
        <v>1.04780584017519</v>
      </c>
      <c r="K5977">
        <v>1.03699795218484</v>
      </c>
      <c r="L5977">
        <v>12006.3004617193</v>
      </c>
      <c r="M5977">
        <v>250</v>
      </c>
      <c r="O5977">
        <v>48.022128570294399</v>
      </c>
      <c r="P5977">
        <v>-0.14361027465679399</v>
      </c>
      <c r="Q5977">
        <v>0.88965646299287604</v>
      </c>
      <c r="R5977">
        <v>0.26528268070682798</v>
      </c>
      <c r="S5977" t="s">
        <v>12783</v>
      </c>
      <c r="T5977" t="s">
        <v>13610</v>
      </c>
      <c r="U5977" t="s">
        <v>13610</v>
      </c>
      <c r="V5977" t="s">
        <v>13610</v>
      </c>
      <c r="W5977" t="s">
        <v>19512</v>
      </c>
      <c r="X5977">
        <v>20</v>
      </c>
      <c r="Y5977" t="s">
        <v>26065</v>
      </c>
      <c r="Z5977" t="s">
        <v>32832</v>
      </c>
      <c r="AA5977">
        <v>0.91918340169638735</v>
      </c>
      <c r="AB5977" t="str">
        <f>HYPERLINK("Melting_Curves/meltCurve_Q9NQW6_ANLN.pdf", "Melting_Curves/meltCurve_Q9NQW6_ANLN.pdf")</f>
        <v>Melting_Curves/meltCurve_Q9NQW6_ANLN.pdf</v>
      </c>
    </row>
    <row r="5978" spans="1:28" x14ac:dyDescent="0.25">
      <c r="A5978" t="s">
        <v>5982</v>
      </c>
      <c r="B5978">
        <v>0.995954080203443</v>
      </c>
      <c r="C5978">
        <v>0.92799971843602702</v>
      </c>
      <c r="D5978">
        <v>0.81547031985444496</v>
      </c>
      <c r="E5978">
        <v>0.53037373084875905</v>
      </c>
      <c r="F5978">
        <v>0.21149802025123901</v>
      </c>
      <c r="G5978">
        <v>0.122715332822326</v>
      </c>
      <c r="H5978">
        <v>7.4927449173091104E-2</v>
      </c>
      <c r="I5978">
        <v>6.2212755016762503E-2</v>
      </c>
      <c r="J5978">
        <v>6.89264641235319E-2</v>
      </c>
      <c r="K5978">
        <v>6.3277447805400996E-2</v>
      </c>
      <c r="L5978">
        <v>983.13612443497902</v>
      </c>
      <c r="M5978">
        <v>19.8404632102162</v>
      </c>
      <c r="N5978">
        <v>49.837917314627497</v>
      </c>
      <c r="O5978">
        <v>49.056914792851998</v>
      </c>
      <c r="P5978">
        <v>-9.5675065030286804E-2</v>
      </c>
      <c r="Q5978">
        <v>5.3778920018937901E-2</v>
      </c>
      <c r="R5978">
        <v>0.99595175177472495</v>
      </c>
      <c r="S5978" t="s">
        <v>12784</v>
      </c>
      <c r="T5978" t="s">
        <v>13610</v>
      </c>
      <c r="U5978" t="s">
        <v>13610</v>
      </c>
      <c r="V5978" t="s">
        <v>13610</v>
      </c>
      <c r="W5978" t="s">
        <v>19513</v>
      </c>
      <c r="X5978">
        <v>31</v>
      </c>
      <c r="Y5978" t="s">
        <v>26066</v>
      </c>
      <c r="Z5978" t="s">
        <v>32833</v>
      </c>
      <c r="AA5978">
        <v>0.36847008090777861</v>
      </c>
      <c r="AB5978" t="str">
        <f>HYPERLINK("Melting_Curves/meltCurve_Q9NQW7_3_XPNPEP1.pdf", "Melting_Curves/meltCurve_Q9NQW7_3_XPNPEP1.pdf")</f>
        <v>Melting_Curves/meltCurve_Q9NQW7_3_XPNPEP1.pdf</v>
      </c>
    </row>
    <row r="5979" spans="1:28" x14ac:dyDescent="0.25">
      <c r="A5979" t="s">
        <v>5983</v>
      </c>
      <c r="B5979">
        <v>0.995954080203443</v>
      </c>
      <c r="C5979">
        <v>1.0035615425842901</v>
      </c>
      <c r="D5979">
        <v>1.056184628065</v>
      </c>
      <c r="E5979">
        <v>0.958352065110888</v>
      </c>
      <c r="F5979">
        <v>0.86168041063478196</v>
      </c>
      <c r="G5979">
        <v>0.71447571336816695</v>
      </c>
      <c r="H5979">
        <v>0.47059009707259403</v>
      </c>
      <c r="I5979">
        <v>0.23754500768616099</v>
      </c>
      <c r="J5979">
        <v>0.189158829636797</v>
      </c>
      <c r="K5979">
        <v>0.18342483031996001</v>
      </c>
      <c r="L5979">
        <v>1051.89449071533</v>
      </c>
      <c r="M5979">
        <v>17.7635391805319</v>
      </c>
      <c r="N5979">
        <v>59.964763632098503</v>
      </c>
      <c r="O5979">
        <v>58.481315298516698</v>
      </c>
      <c r="P5979">
        <v>-6.8391769746227196E-2</v>
      </c>
      <c r="Q5979">
        <v>9.9406321189794797E-2</v>
      </c>
      <c r="R5979">
        <v>0.99118979428624898</v>
      </c>
      <c r="S5979" t="s">
        <v>12785</v>
      </c>
      <c r="T5979" t="s">
        <v>13610</v>
      </c>
      <c r="U5979" t="s">
        <v>13610</v>
      </c>
      <c r="V5979" t="s">
        <v>13610</v>
      </c>
      <c r="W5979" t="s">
        <v>19514</v>
      </c>
      <c r="X5979">
        <v>24</v>
      </c>
      <c r="Y5979" t="s">
        <v>26067</v>
      </c>
      <c r="Z5979" t="s">
        <v>32834</v>
      </c>
      <c r="AA5979">
        <v>0.68542824899231358</v>
      </c>
      <c r="AB5979" t="str">
        <f>HYPERLINK("Melting_Curves/meltCurve_Q9NQX3_GPHN.pdf", "Melting_Curves/meltCurve_Q9NQX3_GPHN.pdf")</f>
        <v>Melting_Curves/meltCurve_Q9NQX3_GPHN.pdf</v>
      </c>
    </row>
    <row r="5980" spans="1:28" x14ac:dyDescent="0.25">
      <c r="A5980" t="s">
        <v>5984</v>
      </c>
      <c r="B5980">
        <v>0.995954080203443</v>
      </c>
      <c r="C5980">
        <v>0.95174057520259403</v>
      </c>
      <c r="D5980">
        <v>0.94656974882744904</v>
      </c>
      <c r="E5980">
        <v>0.92081415738667904</v>
      </c>
      <c r="F5980">
        <v>0.74692289035620396</v>
      </c>
      <c r="G5980">
        <v>0.45640268843818299</v>
      </c>
      <c r="H5980">
        <v>0.18558614528374301</v>
      </c>
      <c r="I5980">
        <v>0.17793854458170899</v>
      </c>
      <c r="J5980">
        <v>0.106803890196528</v>
      </c>
      <c r="K5980">
        <v>9.9089653144904102E-2</v>
      </c>
      <c r="L5980">
        <v>1085.2514596283399</v>
      </c>
      <c r="M5980">
        <v>19.481444764131801</v>
      </c>
      <c r="N5980">
        <v>56.211077706852599</v>
      </c>
      <c r="O5980">
        <v>55.129918764581603</v>
      </c>
      <c r="P5980">
        <v>-8.1264715387453806E-2</v>
      </c>
      <c r="Q5980">
        <v>8.0159534437487301E-2</v>
      </c>
      <c r="R5980">
        <v>0.99538971480220695</v>
      </c>
      <c r="S5980" t="s">
        <v>12786</v>
      </c>
      <c r="T5980" t="s">
        <v>13610</v>
      </c>
      <c r="U5980" t="s">
        <v>13610</v>
      </c>
      <c r="V5980" t="s">
        <v>13610</v>
      </c>
      <c r="W5980" t="s">
        <v>19515</v>
      </c>
      <c r="X5980">
        <v>6</v>
      </c>
      <c r="Y5980" t="s">
        <v>26068</v>
      </c>
      <c r="Z5980" t="s">
        <v>32835</v>
      </c>
      <c r="AA5980">
        <v>0.57418160402632068</v>
      </c>
      <c r="AB5980" t="str">
        <f>HYPERLINK("Melting_Curves/meltCurve_Q9NQY0_BIN3.pdf", "Melting_Curves/meltCurve_Q9NQY0_BIN3.pdf")</f>
        <v>Melting_Curves/meltCurve_Q9NQY0_BIN3.pdf</v>
      </c>
    </row>
    <row r="5981" spans="1:28" x14ac:dyDescent="0.25">
      <c r="A5981" t="s">
        <v>5985</v>
      </c>
      <c r="B5981">
        <v>0.995954080203443</v>
      </c>
      <c r="C5981">
        <v>0.95190791177279399</v>
      </c>
      <c r="D5981">
        <v>0.95274728978799805</v>
      </c>
      <c r="E5981">
        <v>0.79785971320249405</v>
      </c>
      <c r="F5981">
        <v>0.627718915634774</v>
      </c>
      <c r="G5981">
        <v>0.42295302761105902</v>
      </c>
      <c r="H5981">
        <v>0.39032603100524699</v>
      </c>
      <c r="I5981">
        <v>0.476914976039502</v>
      </c>
      <c r="J5981">
        <v>0.59770987331480796</v>
      </c>
      <c r="K5981">
        <v>0.54123888488764704</v>
      </c>
      <c r="L5981">
        <v>1551.88681252174</v>
      </c>
      <c r="M5981">
        <v>30.576361811645199</v>
      </c>
      <c r="N5981">
        <v>57.546194562650399</v>
      </c>
      <c r="O5981">
        <v>50.538847026506502</v>
      </c>
      <c r="P5981">
        <v>-7.7674841132014699E-2</v>
      </c>
      <c r="Q5981">
        <v>0.48645646820409599</v>
      </c>
      <c r="R5981">
        <v>0.92613431623889197</v>
      </c>
      <c r="S5981" t="s">
        <v>12787</v>
      </c>
      <c r="T5981" t="s">
        <v>13610</v>
      </c>
      <c r="U5981" t="s">
        <v>13610</v>
      </c>
      <c r="V5981" t="s">
        <v>13610</v>
      </c>
      <c r="W5981" t="s">
        <v>19516</v>
      </c>
      <c r="X5981">
        <v>13</v>
      </c>
      <c r="Y5981" t="s">
        <v>26069</v>
      </c>
      <c r="Z5981" t="s">
        <v>32836</v>
      </c>
      <c r="AA5981">
        <v>0.67364788865488301</v>
      </c>
      <c r="AB5981" t="str">
        <f>HYPERLINK("Melting_Curves/meltCurve_Q9NQZ2_UTP3.pdf", "Melting_Curves/meltCurve_Q9NQZ2_UTP3.pdf")</f>
        <v>Melting_Curves/meltCurve_Q9NQZ2_UTP3.pdf</v>
      </c>
    </row>
    <row r="5982" spans="1:28" x14ac:dyDescent="0.25">
      <c r="A5982" t="s">
        <v>5986</v>
      </c>
      <c r="B5982">
        <v>0.995954080203443</v>
      </c>
      <c r="C5982">
        <v>1.01452031517553</v>
      </c>
      <c r="D5982">
        <v>0.88531120180584899</v>
      </c>
      <c r="E5982">
        <v>0.77363640398422096</v>
      </c>
      <c r="F5982">
        <v>0.47268141874793901</v>
      </c>
      <c r="G5982">
        <v>0.231931121999918</v>
      </c>
      <c r="H5982">
        <v>0.13661266643768299</v>
      </c>
      <c r="I5982">
        <v>0.15687776150006899</v>
      </c>
      <c r="J5982">
        <v>0.15261807394081101</v>
      </c>
      <c r="K5982">
        <v>0.161907437602476</v>
      </c>
      <c r="L5982">
        <v>1176.3242147860001</v>
      </c>
      <c r="M5982">
        <v>22.6449234895939</v>
      </c>
      <c r="N5982">
        <v>52.704000030342897</v>
      </c>
      <c r="O5982">
        <v>51.546470508836997</v>
      </c>
      <c r="P5982">
        <v>-9.4573656355987801E-2</v>
      </c>
      <c r="Q5982">
        <v>0.138907879541947</v>
      </c>
      <c r="R5982">
        <v>0.99399081338592199</v>
      </c>
      <c r="S5982" t="s">
        <v>12788</v>
      </c>
      <c r="T5982" t="s">
        <v>13610</v>
      </c>
      <c r="U5982" t="s">
        <v>13610</v>
      </c>
      <c r="V5982" t="s">
        <v>13610</v>
      </c>
      <c r="W5982" t="s">
        <v>19517</v>
      </c>
      <c r="X5982">
        <v>6</v>
      </c>
      <c r="Y5982" t="s">
        <v>26070</v>
      </c>
      <c r="Z5982" t="s">
        <v>32837</v>
      </c>
      <c r="AA5982">
        <v>0.49129388744342373</v>
      </c>
      <c r="AB5982" t="str">
        <f>HYPERLINK("Melting_Curves/meltCurve_Q9NQZ5_STARD7.pdf", "Melting_Curves/meltCurve_Q9NQZ5_STARD7.pdf")</f>
        <v>Melting_Curves/meltCurve_Q9NQZ5_STARD7.pdf</v>
      </c>
    </row>
    <row r="5983" spans="1:28" x14ac:dyDescent="0.25">
      <c r="A5983" t="s">
        <v>5987</v>
      </c>
      <c r="B5983">
        <v>0.995954080203443</v>
      </c>
      <c r="C5983">
        <v>0.67006041537370598</v>
      </c>
      <c r="D5983">
        <v>0.46661601409379599</v>
      </c>
      <c r="E5983">
        <v>0.66297904239100502</v>
      </c>
      <c r="F5983">
        <v>0.248233957233221</v>
      </c>
      <c r="G5983">
        <v>0.12968257413755699</v>
      </c>
      <c r="H5983">
        <v>8.0366745924201496E-2</v>
      </c>
      <c r="I5983">
        <v>7.4070358400865899E-2</v>
      </c>
      <c r="J5983">
        <v>8.0814292332709606E-2</v>
      </c>
      <c r="K5983">
        <v>7.2855464634456496E-2</v>
      </c>
      <c r="L5983">
        <v>452.950512018474</v>
      </c>
      <c r="M5983">
        <v>9.4011550723158699</v>
      </c>
      <c r="N5983">
        <v>48.180304712791497</v>
      </c>
      <c r="O5983">
        <v>46.151147792100403</v>
      </c>
      <c r="P5983">
        <v>-5.09572455600961E-2</v>
      </c>
      <c r="Q5983">
        <v>0</v>
      </c>
      <c r="R5983">
        <v>0.88464741035889805</v>
      </c>
      <c r="S5983" t="s">
        <v>12789</v>
      </c>
      <c r="T5983" t="s">
        <v>13610</v>
      </c>
      <c r="U5983" t="s">
        <v>13610</v>
      </c>
      <c r="V5983" t="s">
        <v>13610</v>
      </c>
      <c r="W5983" t="s">
        <v>19518</v>
      </c>
      <c r="X5983">
        <v>45</v>
      </c>
      <c r="Y5983" t="s">
        <v>26071</v>
      </c>
      <c r="Z5983" t="s">
        <v>32838</v>
      </c>
      <c r="AA5983">
        <v>0.32996508897608567</v>
      </c>
      <c r="AB5983" t="str">
        <f>HYPERLINK("Melting_Curves/meltCurve_Q9NR09_BIRC6.pdf", "Melting_Curves/meltCurve_Q9NR09_BIRC6.pdf")</f>
        <v>Melting_Curves/meltCurve_Q9NR09_BIRC6.pdf</v>
      </c>
    </row>
    <row r="5984" spans="1:28" x14ac:dyDescent="0.25">
      <c r="A5984" t="s">
        <v>5988</v>
      </c>
      <c r="B5984">
        <v>0.995954080203443</v>
      </c>
      <c r="C5984">
        <v>0.89331804655386204</v>
      </c>
      <c r="D5984">
        <v>0.806699374062958</v>
      </c>
      <c r="E5984">
        <v>0.72066607986572395</v>
      </c>
      <c r="F5984">
        <v>0.67548480006188805</v>
      </c>
      <c r="G5984">
        <v>0.45333147914097199</v>
      </c>
      <c r="H5984">
        <v>0.42321957083546902</v>
      </c>
      <c r="I5984">
        <v>0.53163267641297796</v>
      </c>
      <c r="J5984">
        <v>0.66476493450894103</v>
      </c>
      <c r="K5984">
        <v>0.59239924099425301</v>
      </c>
      <c r="L5984">
        <v>727.99764833934898</v>
      </c>
      <c r="M5984">
        <v>15.3415099830538</v>
      </c>
      <c r="O5984">
        <v>46.668476611783603</v>
      </c>
      <c r="P5984">
        <v>-3.8146224243795102E-2</v>
      </c>
      <c r="Q5984">
        <v>0.53588377802907905</v>
      </c>
      <c r="R5984">
        <v>0.82286834980200796</v>
      </c>
      <c r="S5984" t="s">
        <v>12790</v>
      </c>
      <c r="T5984" t="s">
        <v>13610</v>
      </c>
      <c r="U5984" t="s">
        <v>13610</v>
      </c>
      <c r="V5984" t="s">
        <v>13610</v>
      </c>
      <c r="W5984" t="s">
        <v>19519</v>
      </c>
      <c r="X5984">
        <v>14</v>
      </c>
      <c r="Y5984" t="s">
        <v>26072</v>
      </c>
      <c r="Z5984" t="s">
        <v>32839</v>
      </c>
      <c r="AA5984">
        <v>0.66291319498181001</v>
      </c>
      <c r="AB5984" t="str">
        <f>HYPERLINK("Melting_Curves/meltCurve_Q9NR12_PDLIM7.pdf", "Melting_Curves/meltCurve_Q9NR12_PDLIM7.pdf")</f>
        <v>Melting_Curves/meltCurve_Q9NR12_PDLIM7.pdf</v>
      </c>
    </row>
    <row r="5985" spans="1:28" x14ac:dyDescent="0.25">
      <c r="A5985" t="s">
        <v>5989</v>
      </c>
      <c r="B5985">
        <v>0.995954080203443</v>
      </c>
      <c r="C5985">
        <v>1.02501321048093</v>
      </c>
      <c r="D5985">
        <v>0.93689882803336599</v>
      </c>
      <c r="E5985">
        <v>0.62590376834916095</v>
      </c>
      <c r="F5985">
        <v>0.168852179395375</v>
      </c>
      <c r="G5985">
        <v>9.5757689383233799E-2</v>
      </c>
      <c r="H5985">
        <v>6.3624722908235398E-2</v>
      </c>
      <c r="I5985">
        <v>5.6850880513113697E-2</v>
      </c>
      <c r="J5985">
        <v>7.1514621474888102E-2</v>
      </c>
      <c r="K5985">
        <v>6.0798954349350703E-2</v>
      </c>
      <c r="L5985">
        <v>2020.14867637579</v>
      </c>
      <c r="M5985">
        <v>40.042350559393299</v>
      </c>
      <c r="N5985">
        <v>50.627866649222298</v>
      </c>
      <c r="O5985">
        <v>50.324964271085101</v>
      </c>
      <c r="P5985">
        <v>-0.185889231478443</v>
      </c>
      <c r="Q5985">
        <v>6.5504457591664206E-2</v>
      </c>
      <c r="R5985">
        <v>0.99789460717965806</v>
      </c>
      <c r="S5985" t="s">
        <v>12791</v>
      </c>
      <c r="T5985" t="s">
        <v>13610</v>
      </c>
      <c r="U5985" t="s">
        <v>13610</v>
      </c>
      <c r="V5985" t="s">
        <v>13610</v>
      </c>
      <c r="W5985" t="s">
        <v>19520</v>
      </c>
      <c r="X5985">
        <v>18</v>
      </c>
      <c r="Y5985" t="s">
        <v>26073</v>
      </c>
      <c r="Z5985" t="s">
        <v>32840</v>
      </c>
      <c r="AA5985">
        <v>0.39428218214846661</v>
      </c>
      <c r="AB5985" t="str">
        <f>HYPERLINK("Melting_Curves/meltCurve_Q9NR19_ACSS2.pdf", "Melting_Curves/meltCurve_Q9NR19_ACSS2.pdf")</f>
        <v>Melting_Curves/meltCurve_Q9NR19_ACSS2.pdf</v>
      </c>
    </row>
    <row r="5986" spans="1:28" x14ac:dyDescent="0.25">
      <c r="A5986" t="s">
        <v>5990</v>
      </c>
      <c r="B5986">
        <v>0.995954080203443</v>
      </c>
      <c r="C5986">
        <v>0.88499664947025403</v>
      </c>
      <c r="D5986">
        <v>0.80921693619287605</v>
      </c>
      <c r="E5986">
        <v>0.80770625109608096</v>
      </c>
      <c r="F5986">
        <v>0.64430781834083195</v>
      </c>
      <c r="G5986">
        <v>0.47159233863803102</v>
      </c>
      <c r="H5986">
        <v>0.35468004861392499</v>
      </c>
      <c r="I5986">
        <v>0.32516261037753302</v>
      </c>
      <c r="J5986">
        <v>0.268483573573844</v>
      </c>
      <c r="K5986">
        <v>0.194456734156358</v>
      </c>
      <c r="L5986">
        <v>431.52674924502799</v>
      </c>
      <c r="M5986">
        <v>7.6052837214370799</v>
      </c>
      <c r="N5986">
        <v>56.9825224680378</v>
      </c>
      <c r="O5986">
        <v>53.216114153379401</v>
      </c>
      <c r="P5986">
        <v>-3.5208219381208897E-2</v>
      </c>
      <c r="Q5986">
        <v>1.5900168419121601E-2</v>
      </c>
      <c r="R5986">
        <v>0.98432458624291297</v>
      </c>
      <c r="S5986" t="s">
        <v>12792</v>
      </c>
      <c r="T5986" t="s">
        <v>13610</v>
      </c>
      <c r="U5986" t="s">
        <v>13610</v>
      </c>
      <c r="V5986" t="s">
        <v>13610</v>
      </c>
      <c r="W5986" t="s">
        <v>19521</v>
      </c>
      <c r="X5986">
        <v>11</v>
      </c>
      <c r="Y5986" t="s">
        <v>26074</v>
      </c>
      <c r="Z5986" t="s">
        <v>32841</v>
      </c>
      <c r="AA5986">
        <v>0.57781701291832843</v>
      </c>
      <c r="AB5986" t="str">
        <f>HYPERLINK("Melting_Curves/meltCurve_Q9NR28_2_DIABLO.pdf", "Melting_Curves/meltCurve_Q9NR28_2_DIABLO.pdf")</f>
        <v>Melting_Curves/meltCurve_Q9NR28_2_DIABLO.pdf</v>
      </c>
    </row>
    <row r="5987" spans="1:28" x14ac:dyDescent="0.25">
      <c r="A5987" t="s">
        <v>5991</v>
      </c>
      <c r="B5987">
        <v>0.995954080203443</v>
      </c>
      <c r="C5987">
        <v>0.95210992678777495</v>
      </c>
      <c r="D5987">
        <v>0.76200667627995899</v>
      </c>
      <c r="E5987">
        <v>0.56641814114183697</v>
      </c>
      <c r="F5987">
        <v>0.43229801166189902</v>
      </c>
      <c r="G5987">
        <v>0.29818834664855098</v>
      </c>
      <c r="H5987">
        <v>0.26619657433867999</v>
      </c>
      <c r="I5987">
        <v>0.30246137284305202</v>
      </c>
      <c r="J5987">
        <v>0.390054264780967</v>
      </c>
      <c r="K5987">
        <v>0.36385292700188898</v>
      </c>
      <c r="L5987">
        <v>915.31232920252603</v>
      </c>
      <c r="M5987">
        <v>19.0632292818851</v>
      </c>
      <c r="N5987">
        <v>50.720807715846298</v>
      </c>
      <c r="O5987">
        <v>47.495548645319403</v>
      </c>
      <c r="P5987">
        <v>-6.8316970709024802E-2</v>
      </c>
      <c r="Q5987">
        <v>0.31918683891746003</v>
      </c>
      <c r="R5987">
        <v>0.97586223381001103</v>
      </c>
      <c r="S5987" t="s">
        <v>12793</v>
      </c>
      <c r="T5987" t="s">
        <v>13610</v>
      </c>
      <c r="U5987" t="s">
        <v>13610</v>
      </c>
      <c r="V5987" t="s">
        <v>13610</v>
      </c>
      <c r="W5987" t="s">
        <v>19522</v>
      </c>
      <c r="X5987">
        <v>45</v>
      </c>
      <c r="Y5987" t="s">
        <v>26075</v>
      </c>
      <c r="Z5987" t="s">
        <v>32842</v>
      </c>
      <c r="AA5987">
        <v>0.51177169253705312</v>
      </c>
      <c r="AB5987" t="str">
        <f>HYPERLINK("Melting_Curves/meltCurve_Q9NR30_DDX21.pdf", "Melting_Curves/meltCurve_Q9NR30_DDX21.pdf")</f>
        <v>Melting_Curves/meltCurve_Q9NR30_DDX21.pdf</v>
      </c>
    </row>
    <row r="5988" spans="1:28" x14ac:dyDescent="0.25">
      <c r="A5988" t="s">
        <v>5992</v>
      </c>
      <c r="B5988">
        <v>0.995954080203443</v>
      </c>
      <c r="C5988">
        <v>0.95606566965437101</v>
      </c>
      <c r="D5988">
        <v>1.04789020447222</v>
      </c>
      <c r="E5988">
        <v>0.74730485939326496</v>
      </c>
      <c r="F5988">
        <v>0.498011874466668</v>
      </c>
      <c r="G5988">
        <v>0.203986517262263</v>
      </c>
      <c r="H5988">
        <v>0.13400997264349199</v>
      </c>
      <c r="I5988">
        <v>0.12394430955891</v>
      </c>
      <c r="J5988">
        <v>0.14193352843669599</v>
      </c>
      <c r="K5988">
        <v>0.11581025730420701</v>
      </c>
      <c r="L5988">
        <v>1325.57574217707</v>
      </c>
      <c r="M5988">
        <v>25.398587708813999</v>
      </c>
      <c r="N5988">
        <v>52.761723675108101</v>
      </c>
      <c r="O5988">
        <v>51.870608078346002</v>
      </c>
      <c r="P5988">
        <v>-0.107709314621543</v>
      </c>
      <c r="Q5988">
        <v>0.12012791358965701</v>
      </c>
      <c r="R5988">
        <v>0.99336653025510502</v>
      </c>
      <c r="S5988" t="s">
        <v>12794</v>
      </c>
      <c r="T5988" t="s">
        <v>13610</v>
      </c>
      <c r="U5988" t="s">
        <v>13610</v>
      </c>
      <c r="V5988" t="s">
        <v>13610</v>
      </c>
      <c r="W5988" t="s">
        <v>19523</v>
      </c>
      <c r="X5988">
        <v>8</v>
      </c>
      <c r="Y5988" t="s">
        <v>26076</v>
      </c>
      <c r="Z5988" t="s">
        <v>32843</v>
      </c>
      <c r="AA5988">
        <v>0.48548269241704201</v>
      </c>
      <c r="AB5988" t="str">
        <f>HYPERLINK("Melting_Curves/meltCurve_Q9NR31_SAR1A.pdf", "Melting_Curves/meltCurve_Q9NR31_SAR1A.pdf")</f>
        <v>Melting_Curves/meltCurve_Q9NR31_SAR1A.pdf</v>
      </c>
    </row>
    <row r="5989" spans="1:28" x14ac:dyDescent="0.25">
      <c r="A5989" t="s">
        <v>5993</v>
      </c>
      <c r="B5989">
        <v>0.995954080203443</v>
      </c>
      <c r="C5989">
        <v>0.96030277651344997</v>
      </c>
      <c r="D5989">
        <v>0.86595704074573498</v>
      </c>
      <c r="E5989">
        <v>0.74921108662144598</v>
      </c>
      <c r="F5989">
        <v>0.56351437172945895</v>
      </c>
      <c r="G5989">
        <v>0.38981179398021798</v>
      </c>
      <c r="H5989">
        <v>0.32222123625933002</v>
      </c>
      <c r="I5989">
        <v>0.37676880214256597</v>
      </c>
      <c r="J5989">
        <v>0.41009505644952499</v>
      </c>
      <c r="K5989">
        <v>0.42885108633156499</v>
      </c>
      <c r="L5989">
        <v>967.79887022507103</v>
      </c>
      <c r="M5989">
        <v>19.181589874168299</v>
      </c>
      <c r="N5989">
        <v>54.264528195558697</v>
      </c>
      <c r="O5989">
        <v>49.915787182334597</v>
      </c>
      <c r="P5989">
        <v>-6.0530243006065299E-2</v>
      </c>
      <c r="Q5989">
        <v>0.36995864076372798</v>
      </c>
      <c r="R5989">
        <v>0.97509388631082305</v>
      </c>
      <c r="S5989" t="s">
        <v>12795</v>
      </c>
      <c r="T5989" t="s">
        <v>13610</v>
      </c>
      <c r="U5989" t="s">
        <v>13610</v>
      </c>
      <c r="V5989" t="s">
        <v>13610</v>
      </c>
      <c r="W5989" t="s">
        <v>19524</v>
      </c>
      <c r="X5989">
        <v>3</v>
      </c>
      <c r="Y5989" t="s">
        <v>26077</v>
      </c>
      <c r="Z5989" t="s">
        <v>32844</v>
      </c>
      <c r="AA5989">
        <v>0.59900231617412314</v>
      </c>
      <c r="AB5989" t="str">
        <f>HYPERLINK("Melting_Curves/meltCurve_Q9NR33_POLE4.pdf", "Melting_Curves/meltCurve_Q9NR33_POLE4.pdf")</f>
        <v>Melting_Curves/meltCurve_Q9NR33_POLE4.pdf</v>
      </c>
    </row>
    <row r="5990" spans="1:28" x14ac:dyDescent="0.25">
      <c r="A5990" t="s">
        <v>5994</v>
      </c>
      <c r="B5990">
        <v>0.995954080203443</v>
      </c>
      <c r="C5990">
        <v>0.93646227218931699</v>
      </c>
      <c r="D5990">
        <v>1.05503730637643</v>
      </c>
      <c r="E5990">
        <v>0.91042029851126705</v>
      </c>
      <c r="F5990">
        <v>0.51501753109551596</v>
      </c>
      <c r="G5990">
        <v>0.14761173019315199</v>
      </c>
      <c r="H5990">
        <v>9.4239199733388498E-2</v>
      </c>
      <c r="I5990">
        <v>8.3063162374032398E-2</v>
      </c>
      <c r="J5990">
        <v>9.1090268640181493E-2</v>
      </c>
      <c r="K5990">
        <v>8.0519772206234894E-2</v>
      </c>
      <c r="L5990">
        <v>2043.3302107500799</v>
      </c>
      <c r="M5990">
        <v>38.665531280422996</v>
      </c>
      <c r="N5990">
        <v>53.109983547795302</v>
      </c>
      <c r="O5990">
        <v>52.705534129592799</v>
      </c>
      <c r="P5990">
        <v>-0.16738656542455399</v>
      </c>
      <c r="Q5990">
        <v>8.7334172154880596E-2</v>
      </c>
      <c r="R5990">
        <v>0.99559205869818601</v>
      </c>
      <c r="S5990" t="s">
        <v>12796</v>
      </c>
      <c r="T5990" t="s">
        <v>13610</v>
      </c>
      <c r="U5990" t="s">
        <v>13610</v>
      </c>
      <c r="V5990" t="s">
        <v>13610</v>
      </c>
      <c r="W5990" t="s">
        <v>19525</v>
      </c>
      <c r="X5990">
        <v>23</v>
      </c>
      <c r="Y5990" t="s">
        <v>26078</v>
      </c>
      <c r="Z5990" t="s">
        <v>32845</v>
      </c>
      <c r="AA5990">
        <v>0.48171205527951011</v>
      </c>
      <c r="AB5990" t="str">
        <f>HYPERLINK("Melting_Curves/meltCurve_Q9NR45_NANS.pdf", "Melting_Curves/meltCurve_Q9NR45_NANS.pdf")</f>
        <v>Melting_Curves/meltCurve_Q9NR45_NANS.pdf</v>
      </c>
    </row>
    <row r="5991" spans="1:28" x14ac:dyDescent="0.25">
      <c r="A5991" t="s">
        <v>5995</v>
      </c>
      <c r="B5991">
        <v>0.995954080203443</v>
      </c>
      <c r="C5991">
        <v>1.0084342232841199</v>
      </c>
      <c r="D5991">
        <v>1.1238549354955201</v>
      </c>
      <c r="E5991">
        <v>0.73356857475287696</v>
      </c>
      <c r="F5991">
        <v>0.20928505040721801</v>
      </c>
      <c r="G5991">
        <v>0.13044269652191401</v>
      </c>
      <c r="H5991">
        <v>8.8120410748364394E-2</v>
      </c>
      <c r="I5991">
        <v>8.81679576641273E-2</v>
      </c>
      <c r="J5991">
        <v>9.0437454130629896E-2</v>
      </c>
      <c r="K5991">
        <v>9.4985293656956904E-2</v>
      </c>
      <c r="L5991">
        <v>2589.73144346357</v>
      </c>
      <c r="M5991">
        <v>50.891610230400801</v>
      </c>
      <c r="N5991">
        <v>51.107305839263901</v>
      </c>
      <c r="O5991">
        <v>50.808808545885398</v>
      </c>
      <c r="P5991">
        <v>-0.22576292139114801</v>
      </c>
      <c r="Q5991">
        <v>9.8418321023448302E-2</v>
      </c>
      <c r="R5991">
        <v>0.99033286934411002</v>
      </c>
      <c r="S5991" t="s">
        <v>12797</v>
      </c>
      <c r="T5991" t="s">
        <v>13610</v>
      </c>
      <c r="U5991" t="s">
        <v>13610</v>
      </c>
      <c r="V5991" t="s">
        <v>13610</v>
      </c>
      <c r="W5991" t="s">
        <v>19526</v>
      </c>
      <c r="X5991">
        <v>17</v>
      </c>
      <c r="Y5991" t="s">
        <v>26079</v>
      </c>
      <c r="Z5991" t="s">
        <v>32846</v>
      </c>
      <c r="AA5991">
        <v>0.42756129229424428</v>
      </c>
      <c r="AB5991" t="str">
        <f>HYPERLINK("Melting_Curves/meltCurve_Q9NR46_SH3GLB2.pdf", "Melting_Curves/meltCurve_Q9NR46_SH3GLB2.pdf")</f>
        <v>Melting_Curves/meltCurve_Q9NR46_SH3GLB2.pdf</v>
      </c>
    </row>
    <row r="5992" spans="1:28" x14ac:dyDescent="0.25">
      <c r="A5992" t="s">
        <v>5996</v>
      </c>
      <c r="B5992">
        <v>0.995954080203443</v>
      </c>
      <c r="C5992">
        <v>0.72015728232406995</v>
      </c>
      <c r="D5992">
        <v>0.48497081322740099</v>
      </c>
      <c r="E5992">
        <v>0.32889419673211301</v>
      </c>
      <c r="F5992">
        <v>0.16401031933069499</v>
      </c>
      <c r="G5992">
        <v>9.5659163865661007E-2</v>
      </c>
      <c r="H5992">
        <v>6.14761628143351E-2</v>
      </c>
      <c r="I5992">
        <v>5.4654926289305301E-2</v>
      </c>
      <c r="J5992">
        <v>5.4864812986520101E-2</v>
      </c>
      <c r="K5992">
        <v>5.8760024429215699E-2</v>
      </c>
      <c r="L5992">
        <v>682.15640692478598</v>
      </c>
      <c r="M5992">
        <v>14.8255365866516</v>
      </c>
      <c r="N5992">
        <v>46.329643998732301</v>
      </c>
      <c r="O5992">
        <v>45.199453867505603</v>
      </c>
      <c r="P5992">
        <v>-7.80492448398665E-2</v>
      </c>
      <c r="Q5992">
        <v>4.8288339761500799E-2</v>
      </c>
      <c r="R5992">
        <v>0.98548448355932505</v>
      </c>
      <c r="S5992" t="s">
        <v>12798</v>
      </c>
      <c r="T5992" t="s">
        <v>13610</v>
      </c>
      <c r="U5992" t="s">
        <v>13610</v>
      </c>
      <c r="V5992" t="s">
        <v>13610</v>
      </c>
      <c r="W5992" t="s">
        <v>19527</v>
      </c>
      <c r="X5992">
        <v>21</v>
      </c>
      <c r="Y5992" t="s">
        <v>26080</v>
      </c>
      <c r="Z5992" t="s">
        <v>32847</v>
      </c>
      <c r="AA5992">
        <v>0.2674761833535797</v>
      </c>
      <c r="AB5992" t="str">
        <f>HYPERLINK("Melting_Curves/meltCurve_Q9NR50_EIF2B3.pdf", "Melting_Curves/meltCurve_Q9NR50_EIF2B3.pdf")</f>
        <v>Melting_Curves/meltCurve_Q9NR50_EIF2B3.pdf</v>
      </c>
    </row>
    <row r="5993" spans="1:28" x14ac:dyDescent="0.25">
      <c r="A5993" t="s">
        <v>5997</v>
      </c>
      <c r="B5993">
        <v>0.995954080203443</v>
      </c>
      <c r="C5993">
        <v>1.0451168378956801</v>
      </c>
      <c r="D5993">
        <v>0.946063128989868</v>
      </c>
      <c r="E5993">
        <v>0.60746396737214503</v>
      </c>
      <c r="F5993">
        <v>0.26429248407066303</v>
      </c>
      <c r="G5993">
        <v>0.16218579188347301</v>
      </c>
      <c r="H5993">
        <v>6.4973763821153496E-2</v>
      </c>
      <c r="I5993">
        <v>1.5374283834704501E-2</v>
      </c>
      <c r="J5993">
        <v>1.13965273063083E-2</v>
      </c>
      <c r="K5993">
        <v>9.4067290343973105E-3</v>
      </c>
      <c r="L5993">
        <v>1223.7958045698199</v>
      </c>
      <c r="M5993">
        <v>24.076702972265601</v>
      </c>
      <c r="N5993">
        <v>50.954558541084502</v>
      </c>
      <c r="O5993">
        <v>50.482290135014203</v>
      </c>
      <c r="P5993">
        <v>-0.1158023469078</v>
      </c>
      <c r="Q5993">
        <v>2.8791185224137799E-2</v>
      </c>
      <c r="R5993">
        <v>0.994078434932678</v>
      </c>
      <c r="S5993" t="s">
        <v>12799</v>
      </c>
      <c r="T5993" t="s">
        <v>13610</v>
      </c>
      <c r="U5993" t="s">
        <v>13610</v>
      </c>
      <c r="V5993" t="s">
        <v>13610</v>
      </c>
      <c r="W5993" t="s">
        <v>19528</v>
      </c>
      <c r="X5993">
        <v>1</v>
      </c>
      <c r="Y5993" t="s">
        <v>26081</v>
      </c>
      <c r="Z5993" t="s">
        <v>32848</v>
      </c>
      <c r="AA5993">
        <v>0.38879784903882803</v>
      </c>
      <c r="AB5993" t="str">
        <f>HYPERLINK("Melting_Curves/meltCurve_Q9NR82_4_KCNQ5.pdf", "Melting_Curves/meltCurve_Q9NR82_4_KCNQ5.pdf")</f>
        <v>Melting_Curves/meltCurve_Q9NR82_4_KCNQ5.pdf</v>
      </c>
    </row>
    <row r="5994" spans="1:28" x14ac:dyDescent="0.25">
      <c r="A5994" t="s">
        <v>5998</v>
      </c>
      <c r="B5994">
        <v>0.995954080203443</v>
      </c>
      <c r="C5994">
        <v>0.90169377854949195</v>
      </c>
      <c r="D5994">
        <v>0.86583418841600002</v>
      </c>
      <c r="E5994">
        <v>0.69695957965155297</v>
      </c>
      <c r="F5994">
        <v>0.40400687162208299</v>
      </c>
      <c r="G5994">
        <v>0.14280282989580301</v>
      </c>
      <c r="H5994">
        <v>8.21877520676072E-2</v>
      </c>
      <c r="I5994">
        <v>6.7227116115259805E-2</v>
      </c>
      <c r="J5994">
        <v>7.6846952302913094E-2</v>
      </c>
      <c r="K5994">
        <v>6.7177878544169095E-2</v>
      </c>
      <c r="L5994">
        <v>950.91921906128402</v>
      </c>
      <c r="M5994">
        <v>18.453222906814101</v>
      </c>
      <c r="N5994">
        <v>51.785787845536497</v>
      </c>
      <c r="O5994">
        <v>50.937602328319997</v>
      </c>
      <c r="P5994">
        <v>-8.6646379888316694E-2</v>
      </c>
      <c r="Q5994">
        <v>4.3340781184403099E-2</v>
      </c>
      <c r="R5994">
        <v>0.99164752977246995</v>
      </c>
      <c r="S5994" t="s">
        <v>12800</v>
      </c>
      <c r="T5994" t="s">
        <v>13610</v>
      </c>
      <c r="U5994" t="s">
        <v>13610</v>
      </c>
      <c r="V5994" t="s">
        <v>13610</v>
      </c>
      <c r="W5994" t="s">
        <v>19529</v>
      </c>
      <c r="X5994">
        <v>9</v>
      </c>
      <c r="Y5994" t="s">
        <v>26082</v>
      </c>
      <c r="Z5994" t="s">
        <v>32849</v>
      </c>
      <c r="AA5994">
        <v>0.42638984392150098</v>
      </c>
      <c r="AB5994" t="str">
        <f>HYPERLINK("Melting_Curves/meltCurve_Q9NRD1_FBXO6.pdf", "Melting_Curves/meltCurve_Q9NRD1_FBXO6.pdf")</f>
        <v>Melting_Curves/meltCurve_Q9NRD1_FBXO6.pdf</v>
      </c>
    </row>
    <row r="5995" spans="1:28" x14ac:dyDescent="0.25">
      <c r="A5995" t="s">
        <v>5999</v>
      </c>
      <c r="B5995">
        <v>0.995954080203443</v>
      </c>
      <c r="C5995">
        <v>0.93408027213317602</v>
      </c>
      <c r="D5995">
        <v>0.79835004159423295</v>
      </c>
      <c r="E5995">
        <v>0.59427087505405696</v>
      </c>
      <c r="F5995">
        <v>0.26894986507809698</v>
      </c>
      <c r="G5995">
        <v>0.13949109000611201</v>
      </c>
      <c r="H5995">
        <v>9.64815038387421E-2</v>
      </c>
      <c r="I5995">
        <v>8.81547471546269E-2</v>
      </c>
      <c r="J5995">
        <v>0.113804817686586</v>
      </c>
      <c r="K5995">
        <v>9.8359029567936407E-2</v>
      </c>
      <c r="L5995">
        <v>922.29633103035599</v>
      </c>
      <c r="M5995">
        <v>18.494234203243099</v>
      </c>
      <c r="N5995">
        <v>50.333867667887802</v>
      </c>
      <c r="O5995">
        <v>49.297303665951802</v>
      </c>
      <c r="P5995">
        <v>-8.6435702004295206E-2</v>
      </c>
      <c r="Q5995">
        <v>7.8446026236448904E-2</v>
      </c>
      <c r="R5995">
        <v>0.99226364128923605</v>
      </c>
      <c r="S5995" t="s">
        <v>12801</v>
      </c>
      <c r="T5995" t="s">
        <v>13610</v>
      </c>
      <c r="U5995" t="s">
        <v>13610</v>
      </c>
      <c r="V5995" t="s">
        <v>13610</v>
      </c>
      <c r="W5995" t="s">
        <v>19530</v>
      </c>
      <c r="X5995">
        <v>7</v>
      </c>
      <c r="Y5995" t="s">
        <v>26083</v>
      </c>
      <c r="Z5995" t="s">
        <v>32850</v>
      </c>
      <c r="AA5995">
        <v>0.39656465988709699</v>
      </c>
      <c r="AB5995" t="str">
        <f>HYPERLINK("Melting_Curves/meltCurve_Q9NRD5_PICK1.pdf", "Melting_Curves/meltCurve_Q9NRD5_PICK1.pdf")</f>
        <v>Melting_Curves/meltCurve_Q9NRD5_PICK1.pdf</v>
      </c>
    </row>
    <row r="5996" spans="1:28" x14ac:dyDescent="0.25">
      <c r="A5996" t="s">
        <v>6000</v>
      </c>
      <c r="B5996">
        <v>0.995954080203443</v>
      </c>
      <c r="C5996">
        <v>1.0105468246320499</v>
      </c>
      <c r="D5996">
        <v>0.96410060501900996</v>
      </c>
      <c r="E5996">
        <v>0.873331341665884</v>
      </c>
      <c r="F5996">
        <v>0.728043474744548</v>
      </c>
      <c r="G5996">
        <v>0.48319805698368801</v>
      </c>
      <c r="H5996">
        <v>0.36939399799478101</v>
      </c>
      <c r="I5996">
        <v>0.44558365745693301</v>
      </c>
      <c r="J5996">
        <v>0.52096203605944402</v>
      </c>
      <c r="K5996">
        <v>0.45783262238924899</v>
      </c>
      <c r="L5996">
        <v>1500.1213813260399</v>
      </c>
      <c r="M5996">
        <v>28.478221736436701</v>
      </c>
      <c r="N5996">
        <v>57.044158876876899</v>
      </c>
      <c r="O5996">
        <v>52.418391360485003</v>
      </c>
      <c r="P5996">
        <v>-7.5583045886852496E-2</v>
      </c>
      <c r="Q5996">
        <v>0.443517129505133</v>
      </c>
      <c r="R5996">
        <v>0.97283212468714897</v>
      </c>
      <c r="S5996" t="s">
        <v>12802</v>
      </c>
      <c r="T5996" t="s">
        <v>13610</v>
      </c>
      <c r="U5996" t="s">
        <v>13610</v>
      </c>
      <c r="V5996" t="s">
        <v>13610</v>
      </c>
      <c r="W5996" t="s">
        <v>19531</v>
      </c>
      <c r="X5996">
        <v>11</v>
      </c>
      <c r="Y5996" t="s">
        <v>26084</v>
      </c>
      <c r="Z5996" t="s">
        <v>32851</v>
      </c>
      <c r="AA5996">
        <v>0.68262921517767194</v>
      </c>
      <c r="AB5996" t="str">
        <f>HYPERLINK("Melting_Curves/meltCurve_Q9NRF2_3_SH2B1.pdf", "Melting_Curves/meltCurve_Q9NRF2_3_SH2B1.pdf")</f>
        <v>Melting_Curves/meltCurve_Q9NRF2_3_SH2B1.pdf</v>
      </c>
    </row>
    <row r="5997" spans="1:28" x14ac:dyDescent="0.25">
      <c r="A5997" t="s">
        <v>6001</v>
      </c>
      <c r="B5997">
        <v>0.995954080203443</v>
      </c>
      <c r="C5997">
        <v>0.93430140140219897</v>
      </c>
      <c r="D5997">
        <v>0.86682257667809504</v>
      </c>
      <c r="E5997">
        <v>0.80063437658868197</v>
      </c>
      <c r="F5997">
        <v>0.56619853166909795</v>
      </c>
      <c r="G5997">
        <v>0.31865449430230802</v>
      </c>
      <c r="H5997">
        <v>0.13938350768070501</v>
      </c>
      <c r="I5997">
        <v>8.1684558946338595E-2</v>
      </c>
      <c r="J5997">
        <v>7.7776497421574997E-2</v>
      </c>
      <c r="K5997">
        <v>7.5283738173041806E-2</v>
      </c>
      <c r="L5997">
        <v>795.144410090066</v>
      </c>
      <c r="M5997">
        <v>14.778802630805</v>
      </c>
      <c r="N5997">
        <v>53.938055439661497</v>
      </c>
      <c r="O5997">
        <v>52.846745519451801</v>
      </c>
      <c r="P5997">
        <v>-6.8651253717918304E-2</v>
      </c>
      <c r="Q5997">
        <v>1.8159469773858399E-2</v>
      </c>
      <c r="R5997">
        <v>0.99341251019852395</v>
      </c>
      <c r="S5997" t="s">
        <v>12803</v>
      </c>
      <c r="T5997" t="s">
        <v>13610</v>
      </c>
      <c r="U5997" t="s">
        <v>13610</v>
      </c>
      <c r="V5997" t="s">
        <v>13610</v>
      </c>
      <c r="W5997" t="s">
        <v>19532</v>
      </c>
      <c r="X5997">
        <v>23</v>
      </c>
      <c r="Y5997" t="s">
        <v>26085</v>
      </c>
      <c r="Z5997" t="s">
        <v>32852</v>
      </c>
      <c r="AA5997">
        <v>0.49064487111165961</v>
      </c>
      <c r="AB5997" t="str">
        <f>HYPERLINK("Melting_Curves/meltCurve_Q9NRF8_CTPS2.pdf", "Melting_Curves/meltCurve_Q9NRF8_CTPS2.pdf")</f>
        <v>Melting_Curves/meltCurve_Q9NRF8_CTPS2.pdf</v>
      </c>
    </row>
    <row r="5998" spans="1:28" x14ac:dyDescent="0.25">
      <c r="A5998" t="s">
        <v>6002</v>
      </c>
      <c r="B5998">
        <v>0.995954080203443</v>
      </c>
      <c r="C5998">
        <v>0.95529407523984899</v>
      </c>
      <c r="D5998">
        <v>0.95922705905447103</v>
      </c>
      <c r="E5998">
        <v>0.80741823747472297</v>
      </c>
      <c r="F5998">
        <v>0.55639217227597204</v>
      </c>
      <c r="G5998">
        <v>0.30726165802072802</v>
      </c>
      <c r="H5998">
        <v>0.20006681877162799</v>
      </c>
      <c r="I5998">
        <v>0.186991884614225</v>
      </c>
      <c r="J5998">
        <v>0.21630939461903101</v>
      </c>
      <c r="K5998">
        <v>0.18965484225962001</v>
      </c>
      <c r="L5998">
        <v>1183.23158410061</v>
      </c>
      <c r="M5998">
        <v>22.512401826400399</v>
      </c>
      <c r="N5998">
        <v>53.658136818536597</v>
      </c>
      <c r="O5998">
        <v>52.1496510382105</v>
      </c>
      <c r="P5998">
        <v>-8.7990008819794893E-2</v>
      </c>
      <c r="Q5998">
        <v>0.184706314275835</v>
      </c>
      <c r="R5998">
        <v>0.99752725529216002</v>
      </c>
      <c r="S5998" t="s">
        <v>12804</v>
      </c>
      <c r="T5998" t="s">
        <v>13610</v>
      </c>
      <c r="U5998" t="s">
        <v>13610</v>
      </c>
      <c r="V5998" t="s">
        <v>13610</v>
      </c>
      <c r="W5998" t="s">
        <v>19533</v>
      </c>
      <c r="X5998">
        <v>5</v>
      </c>
      <c r="Y5998" t="s">
        <v>26086</v>
      </c>
      <c r="Z5998" t="s">
        <v>32853</v>
      </c>
      <c r="AA5998">
        <v>0.535117983581615</v>
      </c>
      <c r="AB5998" t="str">
        <f>HYPERLINK("Melting_Curves/meltCurve_Q9NRF9_POLE3.pdf", "Melting_Curves/meltCurve_Q9NRF9_POLE3.pdf")</f>
        <v>Melting_Curves/meltCurve_Q9NRF9_POLE3.pdf</v>
      </c>
    </row>
    <row r="5999" spans="1:28" x14ac:dyDescent="0.25">
      <c r="A5999" t="s">
        <v>6003</v>
      </c>
      <c r="B5999">
        <v>0.995954080203443</v>
      </c>
      <c r="C5999">
        <v>1.06471844913407</v>
      </c>
      <c r="D5999">
        <v>0.99102919112835697</v>
      </c>
      <c r="E5999">
        <v>0.77904895928741102</v>
      </c>
      <c r="F5999">
        <v>0.35457570274157502</v>
      </c>
      <c r="G5999">
        <v>0.110825031742774</v>
      </c>
      <c r="H5999">
        <v>4.4198482249258798E-2</v>
      </c>
      <c r="I5999">
        <v>3.2212112018100099E-2</v>
      </c>
      <c r="J5999">
        <v>3.07600960799836E-2</v>
      </c>
      <c r="K5999">
        <v>3.7546931433606302E-2</v>
      </c>
      <c r="L5999">
        <v>1648.02306390627</v>
      </c>
      <c r="M5999">
        <v>31.766906350904801</v>
      </c>
      <c r="N5999">
        <v>52.005154268390001</v>
      </c>
      <c r="O5999">
        <v>51.674328216892199</v>
      </c>
      <c r="P5999">
        <v>-0.147972829763035</v>
      </c>
      <c r="Q5999">
        <v>3.71921607224691E-2</v>
      </c>
      <c r="R5999">
        <v>0.99732146216002604</v>
      </c>
      <c r="S5999" t="s">
        <v>12805</v>
      </c>
      <c r="T5999" t="s">
        <v>13610</v>
      </c>
      <c r="U5999" t="s">
        <v>13610</v>
      </c>
      <c r="V5999" t="s">
        <v>13610</v>
      </c>
      <c r="W5999" t="s">
        <v>19534</v>
      </c>
      <c r="X5999">
        <v>3</v>
      </c>
      <c r="Y5999" t="s">
        <v>26087</v>
      </c>
      <c r="Z5999" t="s">
        <v>32854</v>
      </c>
      <c r="AA5999">
        <v>0.42389855866827941</v>
      </c>
      <c r="AB5999" t="str">
        <f>HYPERLINK("Melting_Curves/meltCurve_Q9NRG0_CHRAC1.pdf", "Melting_Curves/meltCurve_Q9NRG0_CHRAC1.pdf")</f>
        <v>Melting_Curves/meltCurve_Q9NRG0_CHRAC1.pdf</v>
      </c>
    </row>
    <row r="6000" spans="1:28" x14ac:dyDescent="0.25">
      <c r="A6000" t="s">
        <v>6004</v>
      </c>
      <c r="B6000">
        <v>0.995954080203443</v>
      </c>
      <c r="C6000">
        <v>1.0076091709463999</v>
      </c>
      <c r="D6000">
        <v>0.99505306000200799</v>
      </c>
      <c r="E6000">
        <v>0.81278636824763795</v>
      </c>
      <c r="F6000">
        <v>0.70086748334987303</v>
      </c>
      <c r="G6000">
        <v>0.513949405195128</v>
      </c>
      <c r="H6000">
        <v>0.389795534039518</v>
      </c>
      <c r="I6000">
        <v>0.41937185611910199</v>
      </c>
      <c r="J6000">
        <v>0.48237977893852102</v>
      </c>
      <c r="K6000">
        <v>0.45898491877984499</v>
      </c>
      <c r="L6000">
        <v>1167.7584133784701</v>
      </c>
      <c r="M6000">
        <v>22.358918470660502</v>
      </c>
      <c r="N6000">
        <v>57.369446226354</v>
      </c>
      <c r="O6000">
        <v>51.815458561747398</v>
      </c>
      <c r="P6000">
        <v>-6.1211800831366903E-2</v>
      </c>
      <c r="Q6000">
        <v>0.43259311658202898</v>
      </c>
      <c r="R6000">
        <v>0.98293154209067302</v>
      </c>
      <c r="S6000" t="s">
        <v>12806</v>
      </c>
      <c r="T6000" t="s">
        <v>13610</v>
      </c>
      <c r="U6000" t="s">
        <v>13610</v>
      </c>
      <c r="V6000" t="s">
        <v>13610</v>
      </c>
      <c r="W6000" t="s">
        <v>19535</v>
      </c>
      <c r="X6000">
        <v>6</v>
      </c>
      <c r="Y6000" t="s">
        <v>26088</v>
      </c>
      <c r="Z6000" t="s">
        <v>32855</v>
      </c>
      <c r="AA6000">
        <v>0.67027278395205592</v>
      </c>
      <c r="AB6000" t="str">
        <f>HYPERLINK("Melting_Curves/meltCurve_Q9NRG1_PRTFDC1.pdf", "Melting_Curves/meltCurve_Q9NRG1_PRTFDC1.pdf")</f>
        <v>Melting_Curves/meltCurve_Q9NRG1_PRTFDC1.pdf</v>
      </c>
    </row>
    <row r="6001" spans="1:28" x14ac:dyDescent="0.25">
      <c r="A6001" t="s">
        <v>6005</v>
      </c>
      <c r="B6001">
        <v>0.995954080203443</v>
      </c>
      <c r="C6001">
        <v>0.90399057441716602</v>
      </c>
      <c r="D6001">
        <v>0.47401357615800199</v>
      </c>
      <c r="E6001">
        <v>0.33012178803338499</v>
      </c>
      <c r="F6001">
        <v>0.16224898449797201</v>
      </c>
      <c r="G6001">
        <v>0.127272520854114</v>
      </c>
      <c r="H6001">
        <v>9.1201230214314602E-2</v>
      </c>
      <c r="I6001">
        <v>8.4244006358184395E-2</v>
      </c>
      <c r="J6001">
        <v>8.5761865614721405E-2</v>
      </c>
      <c r="K6001">
        <v>8.1647720788997596E-2</v>
      </c>
      <c r="L6001">
        <v>924.48715224012199</v>
      </c>
      <c r="M6001">
        <v>20.024072983767301</v>
      </c>
      <c r="N6001">
        <v>46.657046832267099</v>
      </c>
      <c r="O6001">
        <v>45.7157209864463</v>
      </c>
      <c r="P6001">
        <v>-9.91557445380047E-2</v>
      </c>
      <c r="Q6001">
        <v>9.4523949509180402E-2</v>
      </c>
      <c r="R6001">
        <v>0.98179036636332695</v>
      </c>
      <c r="S6001" t="s">
        <v>12807</v>
      </c>
      <c r="T6001" t="s">
        <v>13610</v>
      </c>
      <c r="U6001" t="s">
        <v>13610</v>
      </c>
      <c r="V6001" t="s">
        <v>13610</v>
      </c>
      <c r="W6001" t="s">
        <v>19536</v>
      </c>
      <c r="X6001">
        <v>6</v>
      </c>
      <c r="Y6001" t="s">
        <v>26089</v>
      </c>
      <c r="Z6001" t="s">
        <v>32856</v>
      </c>
      <c r="AA6001">
        <v>0.29451445275732829</v>
      </c>
      <c r="AB6001" t="str">
        <f>HYPERLINK("Melting_Curves/meltCurve_Q9NRG4_SMYD2.pdf", "Melting_Curves/meltCurve_Q9NRG4_SMYD2.pdf")</f>
        <v>Melting_Curves/meltCurve_Q9NRG4_SMYD2.pdf</v>
      </c>
    </row>
    <row r="6002" spans="1:28" x14ac:dyDescent="0.25">
      <c r="A6002" t="s">
        <v>6006</v>
      </c>
      <c r="B6002">
        <v>0.995954080203443</v>
      </c>
      <c r="C6002">
        <v>0.94866098608362504</v>
      </c>
      <c r="D6002">
        <v>1.0279767342449999</v>
      </c>
      <c r="E6002">
        <v>0.81736718924160701</v>
      </c>
      <c r="F6002">
        <v>0.77293515897111797</v>
      </c>
      <c r="G6002">
        <v>0.497459862016357</v>
      </c>
      <c r="H6002">
        <v>0.33231793291490402</v>
      </c>
      <c r="I6002">
        <v>0.30966249307737398</v>
      </c>
      <c r="J6002">
        <v>0.31793033920647201</v>
      </c>
      <c r="K6002">
        <v>0.29865489594939298</v>
      </c>
      <c r="L6002">
        <v>1007.06645964686</v>
      </c>
      <c r="M6002">
        <v>18.496118800548</v>
      </c>
      <c r="N6002">
        <v>56.928096461760703</v>
      </c>
      <c r="O6002">
        <v>53.822967047709596</v>
      </c>
      <c r="P6002">
        <v>-6.21451094379247E-2</v>
      </c>
      <c r="Q6002">
        <v>0.27667291150694001</v>
      </c>
      <c r="R6002">
        <v>0.98528902258395101</v>
      </c>
      <c r="S6002" t="s">
        <v>12808</v>
      </c>
      <c r="T6002" t="s">
        <v>13610</v>
      </c>
      <c r="U6002" t="s">
        <v>13610</v>
      </c>
      <c r="V6002" t="s">
        <v>13610</v>
      </c>
      <c r="W6002" t="s">
        <v>19537</v>
      </c>
      <c r="X6002">
        <v>7</v>
      </c>
      <c r="Y6002" t="s">
        <v>26090</v>
      </c>
      <c r="Z6002" t="s">
        <v>32857</v>
      </c>
      <c r="AA6002">
        <v>0.6359919331532744</v>
      </c>
      <c r="AB6002" t="str">
        <f>HYPERLINK("Melting_Curves/meltCurve_Q9NRH1_YAE1D1.pdf", "Melting_Curves/meltCurve_Q9NRH1_YAE1D1.pdf")</f>
        <v>Melting_Curves/meltCurve_Q9NRH1_YAE1D1.pdf</v>
      </c>
    </row>
    <row r="6003" spans="1:28" x14ac:dyDescent="0.25">
      <c r="A6003" t="s">
        <v>6007</v>
      </c>
      <c r="B6003">
        <v>0.995954080203443</v>
      </c>
      <c r="C6003">
        <v>0.85070860967616901</v>
      </c>
      <c r="D6003">
        <v>1.09315543973336</v>
      </c>
      <c r="E6003">
        <v>0.87097030065944603</v>
      </c>
      <c r="F6003">
        <v>0.81242108105201105</v>
      </c>
      <c r="G6003">
        <v>0.77795819078835804</v>
      </c>
      <c r="H6003">
        <v>0.79124022772551605</v>
      </c>
      <c r="I6003">
        <v>0.94081183539803404</v>
      </c>
      <c r="J6003">
        <v>1.3160494207029301</v>
      </c>
      <c r="K6003">
        <v>1.0257327777323999</v>
      </c>
      <c r="L6003">
        <v>10103.5234393216</v>
      </c>
      <c r="M6003">
        <v>250</v>
      </c>
      <c r="O6003">
        <v>40.411506417421499</v>
      </c>
      <c r="P6003">
        <v>-8.9522089408603303E-2</v>
      </c>
      <c r="Q6003">
        <v>0.94211643863289696</v>
      </c>
      <c r="R6003">
        <v>1.0343925720327799E-2</v>
      </c>
      <c r="S6003" t="s">
        <v>12809</v>
      </c>
      <c r="T6003" t="s">
        <v>13610</v>
      </c>
      <c r="U6003" t="s">
        <v>13610</v>
      </c>
      <c r="V6003" t="s">
        <v>13610</v>
      </c>
      <c r="W6003" t="s">
        <v>19538</v>
      </c>
      <c r="X6003">
        <v>2</v>
      </c>
      <c r="Y6003" t="s">
        <v>26091</v>
      </c>
      <c r="Z6003" t="s">
        <v>32858</v>
      </c>
      <c r="AA6003">
        <v>0.94294148576530668</v>
      </c>
      <c r="AB6003" t="str">
        <f>HYPERLINK("Melting_Curves/meltCurve_Q9NRH2_SNRK.pdf", "Melting_Curves/meltCurve_Q9NRH2_SNRK.pdf")</f>
        <v>Melting_Curves/meltCurve_Q9NRH2_SNRK.pdf</v>
      </c>
    </row>
    <row r="6004" spans="1:28" x14ac:dyDescent="0.25">
      <c r="A6004" t="s">
        <v>6008</v>
      </c>
      <c r="B6004">
        <v>0.995954080203443</v>
      </c>
      <c r="C6004">
        <v>0.85501602718442804</v>
      </c>
      <c r="D6004">
        <v>0.64255819922226298</v>
      </c>
      <c r="E6004">
        <v>0.40143013198335198</v>
      </c>
      <c r="F6004">
        <v>0.23527335252211501</v>
      </c>
      <c r="G6004">
        <v>0.16297613850895701</v>
      </c>
      <c r="H6004">
        <v>0.11876375866184199</v>
      </c>
      <c r="I6004">
        <v>0.11483707251193601</v>
      </c>
      <c r="J6004">
        <v>0.13812456083074101</v>
      </c>
      <c r="K6004">
        <v>0.118774374768003</v>
      </c>
      <c r="L6004">
        <v>773.36818263792804</v>
      </c>
      <c r="M6004">
        <v>16.3272924884111</v>
      </c>
      <c r="N6004">
        <v>48.110055838239603</v>
      </c>
      <c r="O6004">
        <v>46.673116126527098</v>
      </c>
      <c r="P6004">
        <v>-7.7709929270958197E-2</v>
      </c>
      <c r="Q6004">
        <v>0.111499063589552</v>
      </c>
      <c r="R6004">
        <v>0.99672980114229504</v>
      </c>
      <c r="S6004" t="s">
        <v>12810</v>
      </c>
      <c r="T6004" t="s">
        <v>13610</v>
      </c>
      <c r="U6004" t="s">
        <v>13610</v>
      </c>
      <c r="V6004" t="s">
        <v>13610</v>
      </c>
      <c r="W6004" t="s">
        <v>19539</v>
      </c>
      <c r="X6004">
        <v>11</v>
      </c>
      <c r="Y6004" t="s">
        <v>26092</v>
      </c>
      <c r="Z6004" t="s">
        <v>32859</v>
      </c>
      <c r="AA6004">
        <v>0.34950268415468488</v>
      </c>
      <c r="AB6004" t="str">
        <f>HYPERLINK("Melting_Curves/meltCurve_Q9NRL2_2_BAZ1A.pdf", "Melting_Curves/meltCurve_Q9NRL2_2_BAZ1A.pdf")</f>
        <v>Melting_Curves/meltCurve_Q9NRL2_2_BAZ1A.pdf</v>
      </c>
    </row>
    <row r="6005" spans="1:28" x14ac:dyDescent="0.25">
      <c r="A6005" t="s">
        <v>6009</v>
      </c>
      <c r="B6005">
        <v>0.995954080203443</v>
      </c>
      <c r="C6005">
        <v>0.96730102161230602</v>
      </c>
      <c r="D6005">
        <v>0.90353259656923801</v>
      </c>
      <c r="E6005">
        <v>0.71455260187401204</v>
      </c>
      <c r="F6005">
        <v>0.443976641906695</v>
      </c>
      <c r="G6005">
        <v>0.269621245419221</v>
      </c>
      <c r="H6005">
        <v>0.18384574107677701</v>
      </c>
      <c r="I6005">
        <v>0.180795499529912</v>
      </c>
      <c r="J6005">
        <v>0.185820263387414</v>
      </c>
      <c r="K6005">
        <v>0.17878922793847099</v>
      </c>
      <c r="L6005">
        <v>1031.2662559508501</v>
      </c>
      <c r="M6005">
        <v>20.0913250312869</v>
      </c>
      <c r="N6005">
        <v>52.3934816967393</v>
      </c>
      <c r="O6005">
        <v>50.828539315555197</v>
      </c>
      <c r="P6005">
        <v>-8.2261173103105906E-2</v>
      </c>
      <c r="Q6005">
        <v>0.16758465233175901</v>
      </c>
      <c r="R6005">
        <v>0.99832397987175303</v>
      </c>
      <c r="S6005" t="s">
        <v>12811</v>
      </c>
      <c r="T6005" t="s">
        <v>13610</v>
      </c>
      <c r="U6005" t="s">
        <v>13610</v>
      </c>
      <c r="V6005" t="s">
        <v>13610</v>
      </c>
      <c r="W6005" t="s">
        <v>19540</v>
      </c>
      <c r="X6005">
        <v>18</v>
      </c>
      <c r="Y6005" t="s">
        <v>26093</v>
      </c>
      <c r="Z6005" t="s">
        <v>32860</v>
      </c>
      <c r="AA6005">
        <v>0.49337926820474182</v>
      </c>
      <c r="AB6005" t="str">
        <f>HYPERLINK("Melting_Curves/meltCurve_Q9NRL3_STRN4.pdf", "Melting_Curves/meltCurve_Q9NRL3_STRN4.pdf")</f>
        <v>Melting_Curves/meltCurve_Q9NRL3_STRN4.pdf</v>
      </c>
    </row>
    <row r="6006" spans="1:28" x14ac:dyDescent="0.25">
      <c r="A6006" t="s">
        <v>6010</v>
      </c>
      <c r="B6006">
        <v>0.995954080203443</v>
      </c>
      <c r="C6006">
        <v>1.0364240016281301</v>
      </c>
      <c r="D6006">
        <v>0.99928892352802101</v>
      </c>
      <c r="E6006">
        <v>0.86679873411444097</v>
      </c>
      <c r="F6006">
        <v>0.542910117557728</v>
      </c>
      <c r="G6006">
        <v>0.122114733366262</v>
      </c>
      <c r="H6006">
        <v>6.9283661903424207E-2</v>
      </c>
      <c r="I6006">
        <v>5.7165958988670301E-2</v>
      </c>
      <c r="J6006">
        <v>5.7363150050498198E-2</v>
      </c>
      <c r="K6006">
        <v>5.4708363547911802E-2</v>
      </c>
      <c r="L6006">
        <v>1726.7488379834299</v>
      </c>
      <c r="M6006">
        <v>32.564486965122903</v>
      </c>
      <c r="N6006">
        <v>53.204852322465896</v>
      </c>
      <c r="O6006">
        <v>52.826778744103201</v>
      </c>
      <c r="P6006">
        <v>-0.14610036825874401</v>
      </c>
      <c r="Q6006">
        <v>5.1976812460264102E-2</v>
      </c>
      <c r="R6006">
        <v>0.99876324388455395</v>
      </c>
      <c r="S6006" t="s">
        <v>12812</v>
      </c>
      <c r="T6006" t="s">
        <v>13610</v>
      </c>
      <c r="U6006" t="s">
        <v>13610</v>
      </c>
      <c r="V6006" t="s">
        <v>13610</v>
      </c>
      <c r="W6006" t="s">
        <v>19541</v>
      </c>
      <c r="X6006">
        <v>15</v>
      </c>
      <c r="Y6006" t="s">
        <v>26094</v>
      </c>
      <c r="Z6006" t="s">
        <v>32861</v>
      </c>
      <c r="AA6006">
        <v>0.46882581942106449</v>
      </c>
      <c r="AB6006" t="str">
        <f>HYPERLINK("Melting_Curves/meltCurve_Q9NRN7_AASDHPPT.pdf", "Melting_Curves/meltCurve_Q9NRN7_AASDHPPT.pdf")</f>
        <v>Melting_Curves/meltCurve_Q9NRN7_AASDHPPT.pdf</v>
      </c>
    </row>
    <row r="6007" spans="1:28" x14ac:dyDescent="0.25">
      <c r="A6007" t="s">
        <v>6011</v>
      </c>
      <c r="B6007">
        <v>0.995954080203443</v>
      </c>
      <c r="C6007">
        <v>1.0242617732839501</v>
      </c>
      <c r="D6007">
        <v>1.0305559314864301</v>
      </c>
      <c r="E6007">
        <v>0.942564582214932</v>
      </c>
      <c r="F6007">
        <v>0.91525181844543402</v>
      </c>
      <c r="G6007">
        <v>0.71164271833467396</v>
      </c>
      <c r="H6007">
        <v>0.63340895047762302</v>
      </c>
      <c r="I6007">
        <v>0.73843489893661296</v>
      </c>
      <c r="J6007">
        <v>0.70392675785764203</v>
      </c>
      <c r="K6007">
        <v>0.55159138442973898</v>
      </c>
      <c r="L6007">
        <v>1691.4602155611001</v>
      </c>
      <c r="M6007">
        <v>31.043485418238099</v>
      </c>
      <c r="O6007">
        <v>54.262197010747997</v>
      </c>
      <c r="P6007">
        <v>-4.98637643043418E-2</v>
      </c>
      <c r="Q6007">
        <v>0.65136621289886099</v>
      </c>
      <c r="R6007">
        <v>0.91409413388926897</v>
      </c>
      <c r="S6007" t="s">
        <v>12813</v>
      </c>
      <c r="T6007" t="s">
        <v>13610</v>
      </c>
      <c r="U6007" t="s">
        <v>13610</v>
      </c>
      <c r="V6007" t="s">
        <v>13610</v>
      </c>
      <c r="W6007" t="s">
        <v>19542</v>
      </c>
      <c r="X6007">
        <v>10</v>
      </c>
      <c r="Y6007" t="s">
        <v>26095</v>
      </c>
      <c r="Z6007" t="s">
        <v>32862</v>
      </c>
      <c r="AA6007">
        <v>0.82187506711093117</v>
      </c>
      <c r="AB6007" t="str">
        <f>HYPERLINK("Melting_Curves/meltCurve_Q9NRN9_METTL5.pdf", "Melting_Curves/meltCurve_Q9NRN9_METTL5.pdf")</f>
        <v>Melting_Curves/meltCurve_Q9NRN9_METTL5.pdf</v>
      </c>
    </row>
    <row r="6008" spans="1:28" x14ac:dyDescent="0.25">
      <c r="A6008" t="s">
        <v>6012</v>
      </c>
      <c r="B6008">
        <v>0.995954080203443</v>
      </c>
      <c r="C6008">
        <v>0.90605924701816998</v>
      </c>
      <c r="D6008">
        <v>0.73197927961810105</v>
      </c>
      <c r="E6008">
        <v>0.55381451894859202</v>
      </c>
      <c r="F6008">
        <v>0.35636750976122999</v>
      </c>
      <c r="G6008">
        <v>0.24373824168987801</v>
      </c>
      <c r="H6008">
        <v>0.235607026865925</v>
      </c>
      <c r="I6008">
        <v>0.24705356040597901</v>
      </c>
      <c r="J6008">
        <v>0.29597535447065298</v>
      </c>
      <c r="K6008">
        <v>0.31510783764540701</v>
      </c>
      <c r="L6008">
        <v>842.79559444217898</v>
      </c>
      <c r="M6008">
        <v>17.582798282395501</v>
      </c>
      <c r="N6008">
        <v>49.969763482239003</v>
      </c>
      <c r="O6008">
        <v>47.325830838953003</v>
      </c>
      <c r="P6008">
        <v>-6.9124735773389498E-2</v>
      </c>
      <c r="Q6008">
        <v>0.25581617415983998</v>
      </c>
      <c r="R6008">
        <v>0.98211022209443799</v>
      </c>
      <c r="S6008" t="s">
        <v>12814</v>
      </c>
      <c r="T6008" t="s">
        <v>13610</v>
      </c>
      <c r="U6008" t="s">
        <v>13610</v>
      </c>
      <c r="V6008" t="s">
        <v>13610</v>
      </c>
      <c r="W6008" t="s">
        <v>19543</v>
      </c>
      <c r="X6008">
        <v>3</v>
      </c>
      <c r="Y6008" t="s">
        <v>26096</v>
      </c>
      <c r="Z6008" t="s">
        <v>32863</v>
      </c>
      <c r="AA6008">
        <v>0.46649779221324827</v>
      </c>
      <c r="AB6008" t="str">
        <f>HYPERLINK("Melting_Curves/meltCurve_Q9NRR4_2_DROSHA.pdf", "Melting_Curves/meltCurve_Q9NRR4_2_DROSHA.pdf")</f>
        <v>Melting_Curves/meltCurve_Q9NRR4_2_DROSHA.pdf</v>
      </c>
    </row>
    <row r="6009" spans="1:28" x14ac:dyDescent="0.25">
      <c r="A6009" t="s">
        <v>6013</v>
      </c>
      <c r="B6009">
        <v>0.995954080203443</v>
      </c>
      <c r="C6009">
        <v>1.0045534593335199</v>
      </c>
      <c r="D6009">
        <v>1.0101950230391901</v>
      </c>
      <c r="E6009">
        <v>0.905551929031012</v>
      </c>
      <c r="F6009">
        <v>0.87013787292614497</v>
      </c>
      <c r="G6009">
        <v>0.67734326105839004</v>
      </c>
      <c r="H6009">
        <v>0.55835576618168603</v>
      </c>
      <c r="I6009">
        <v>0.64560054669733502</v>
      </c>
      <c r="J6009">
        <v>0.73078988516312804</v>
      </c>
      <c r="K6009">
        <v>0.72901513486103697</v>
      </c>
      <c r="L6009">
        <v>1690.11146038781</v>
      </c>
      <c r="M6009">
        <v>31.856893344850899</v>
      </c>
      <c r="O6009">
        <v>52.845499646971</v>
      </c>
      <c r="P6009">
        <v>-5.0782753541982299E-2</v>
      </c>
      <c r="Q6009">
        <v>0.66303980891286896</v>
      </c>
      <c r="R6009">
        <v>0.89472554630678702</v>
      </c>
      <c r="S6009" t="s">
        <v>12815</v>
      </c>
      <c r="T6009" t="s">
        <v>13610</v>
      </c>
      <c r="U6009" t="s">
        <v>13610</v>
      </c>
      <c r="V6009" t="s">
        <v>13610</v>
      </c>
      <c r="W6009" t="s">
        <v>19544</v>
      </c>
      <c r="X6009">
        <v>17</v>
      </c>
      <c r="Y6009" t="s">
        <v>26097</v>
      </c>
      <c r="Z6009" t="s">
        <v>32864</v>
      </c>
      <c r="AA6009">
        <v>0.81159712917032367</v>
      </c>
      <c r="AB6009" t="str">
        <f>HYPERLINK("Melting_Curves/meltCurve_Q9NRR5_UBQLN4.pdf", "Melting_Curves/meltCurve_Q9NRR5_UBQLN4.pdf")</f>
        <v>Melting_Curves/meltCurve_Q9NRR5_UBQLN4.pdf</v>
      </c>
    </row>
    <row r="6010" spans="1:28" x14ac:dyDescent="0.25">
      <c r="A6010" t="s">
        <v>6014</v>
      </c>
      <c r="B6010">
        <v>0.995954080203443</v>
      </c>
      <c r="C6010">
        <v>0.98973636763981099</v>
      </c>
      <c r="D6010">
        <v>0.83551387817435996</v>
      </c>
      <c r="E6010">
        <v>0.45239113283084298</v>
      </c>
      <c r="F6010">
        <v>0.302239505650155</v>
      </c>
      <c r="G6010">
        <v>0.17012227834013299</v>
      </c>
      <c r="H6010">
        <v>0.13367637549044201</v>
      </c>
      <c r="I6010">
        <v>0.121712215833873</v>
      </c>
      <c r="J6010">
        <v>0.141482313467377</v>
      </c>
      <c r="K6010">
        <v>0.133412643159323</v>
      </c>
      <c r="L6010">
        <v>1073.65221570622</v>
      </c>
      <c r="M6010">
        <v>21.898209586311999</v>
      </c>
      <c r="N6010">
        <v>49.718561119508898</v>
      </c>
      <c r="O6010">
        <v>48.625844487135502</v>
      </c>
      <c r="P6010">
        <v>-9.7847057310556901E-2</v>
      </c>
      <c r="Q6010">
        <v>0.130926656133</v>
      </c>
      <c r="R6010">
        <v>0.99802259313493602</v>
      </c>
      <c r="S6010" t="s">
        <v>12816</v>
      </c>
      <c r="T6010" t="s">
        <v>13610</v>
      </c>
      <c r="U6010" t="s">
        <v>13610</v>
      </c>
      <c r="V6010" t="s">
        <v>13610</v>
      </c>
      <c r="W6010" t="s">
        <v>19545</v>
      </c>
      <c r="X6010">
        <v>10</v>
      </c>
      <c r="Y6010" t="s">
        <v>26098</v>
      </c>
      <c r="Z6010" t="s">
        <v>32865</v>
      </c>
      <c r="AA6010">
        <v>0.40260938611717711</v>
      </c>
      <c r="AB6010" t="str">
        <f>HYPERLINK("Melting_Curves/meltCurve_Q9NRS6_SNX15.pdf", "Melting_Curves/meltCurve_Q9NRS6_SNX15.pdf")</f>
        <v>Melting_Curves/meltCurve_Q9NRS6_SNX15.pdf</v>
      </c>
    </row>
    <row r="6011" spans="1:28" x14ac:dyDescent="0.25">
      <c r="A6011" t="s">
        <v>6015</v>
      </c>
      <c r="B6011">
        <v>0.995954080203443</v>
      </c>
      <c r="C6011">
        <v>1.02094038894602</v>
      </c>
      <c r="D6011">
        <v>1.09329527107294</v>
      </c>
      <c r="E6011">
        <v>0.93828664893612002</v>
      </c>
      <c r="F6011">
        <v>0.78175422932696104</v>
      </c>
      <c r="G6011">
        <v>0.37083220820872898</v>
      </c>
      <c r="H6011">
        <v>0.170232603236535</v>
      </c>
      <c r="I6011">
        <v>0.14314765136889601</v>
      </c>
      <c r="J6011">
        <v>0.15306588931146201</v>
      </c>
      <c r="K6011">
        <v>0.14422362162402699</v>
      </c>
      <c r="L6011">
        <v>1601.86063607452</v>
      </c>
      <c r="M6011">
        <v>29.1364863982024</v>
      </c>
      <c r="N6011">
        <v>55.591009681189902</v>
      </c>
      <c r="O6011">
        <v>54.7207967465243</v>
      </c>
      <c r="P6011">
        <v>-0.11482154377511999</v>
      </c>
      <c r="Q6011">
        <v>0.13742785616802</v>
      </c>
      <c r="R6011">
        <v>0.99336803941971896</v>
      </c>
      <c r="S6011" t="s">
        <v>12817</v>
      </c>
      <c r="T6011" t="s">
        <v>13610</v>
      </c>
      <c r="U6011" t="s">
        <v>13610</v>
      </c>
      <c r="V6011" t="s">
        <v>13610</v>
      </c>
      <c r="W6011" t="s">
        <v>19546</v>
      </c>
      <c r="X6011">
        <v>9</v>
      </c>
      <c r="Y6011" t="s">
        <v>26099</v>
      </c>
      <c r="Z6011" t="s">
        <v>32866</v>
      </c>
      <c r="AA6011">
        <v>0.57411999212336773</v>
      </c>
      <c r="AB6011" t="str">
        <f>HYPERLINK("Melting_Curves/meltCurve_Q9NRV9_HEBP1.pdf", "Melting_Curves/meltCurve_Q9NRV9_HEBP1.pdf")</f>
        <v>Melting_Curves/meltCurve_Q9NRV9_HEBP1.pdf</v>
      </c>
    </row>
    <row r="6012" spans="1:28" x14ac:dyDescent="0.25">
      <c r="A6012" t="s">
        <v>6016</v>
      </c>
      <c r="B6012">
        <v>0.995954080203443</v>
      </c>
      <c r="C6012">
        <v>1.0275631085182899</v>
      </c>
      <c r="D6012">
        <v>0.92021950379667306</v>
      </c>
      <c r="E6012">
        <v>0.89532321430817796</v>
      </c>
      <c r="F6012">
        <v>0.68585439110606405</v>
      </c>
      <c r="G6012">
        <v>0.28738291059432097</v>
      </c>
      <c r="H6012">
        <v>8.5505033701099104E-2</v>
      </c>
      <c r="I6012">
        <v>5.7079915453076301E-2</v>
      </c>
      <c r="J6012">
        <v>5.7459774653415202E-2</v>
      </c>
      <c r="K6012">
        <v>5.6102026003218501E-2</v>
      </c>
      <c r="L6012">
        <v>1314.97347359172</v>
      </c>
      <c r="M6012">
        <v>24.1331412958186</v>
      </c>
      <c r="N6012">
        <v>54.667841489778702</v>
      </c>
      <c r="O6012">
        <v>54.118292399670104</v>
      </c>
      <c r="P6012">
        <v>-0.10723715620933399</v>
      </c>
      <c r="Q6012">
        <v>3.8102634375210602E-2</v>
      </c>
      <c r="R6012">
        <v>0.99620403244939504</v>
      </c>
      <c r="S6012" t="s">
        <v>12818</v>
      </c>
      <c r="T6012" t="s">
        <v>13610</v>
      </c>
      <c r="U6012" t="s">
        <v>13610</v>
      </c>
      <c r="V6012" t="s">
        <v>13610</v>
      </c>
      <c r="W6012" t="s">
        <v>19547</v>
      </c>
      <c r="X6012">
        <v>7</v>
      </c>
      <c r="Y6012" t="s">
        <v>26100</v>
      </c>
      <c r="Z6012" t="s">
        <v>32867</v>
      </c>
      <c r="AA6012">
        <v>0.51212662274599785</v>
      </c>
      <c r="AB6012" t="str">
        <f>HYPERLINK("Melting_Curves/meltCurve_Q9NRW1_RAB6B.pdf", "Melting_Curves/meltCurve_Q9NRW1_RAB6B.pdf")</f>
        <v>Melting_Curves/meltCurve_Q9NRW1_RAB6B.pdf</v>
      </c>
    </row>
    <row r="6013" spans="1:28" x14ac:dyDescent="0.25">
      <c r="A6013" t="s">
        <v>6017</v>
      </c>
      <c r="B6013">
        <v>0.995954080203443</v>
      </c>
      <c r="C6013">
        <v>0.92517643846192998</v>
      </c>
      <c r="D6013">
        <v>0.85443756369819401</v>
      </c>
      <c r="E6013">
        <v>0.53229077866632701</v>
      </c>
      <c r="F6013">
        <v>0.26501706004140702</v>
      </c>
      <c r="G6013">
        <v>0.15184979554667699</v>
      </c>
      <c r="H6013">
        <v>0.12584100604335799</v>
      </c>
      <c r="I6013">
        <v>0.106301956261557</v>
      </c>
      <c r="J6013">
        <v>0.134879711524173</v>
      </c>
      <c r="K6013">
        <v>9.7927884825580305E-2</v>
      </c>
      <c r="L6013">
        <v>1043.13175419614</v>
      </c>
      <c r="M6013">
        <v>21.047306615947399</v>
      </c>
      <c r="N6013">
        <v>50.123191340473298</v>
      </c>
      <c r="O6013">
        <v>49.1203809423914</v>
      </c>
      <c r="P6013">
        <v>-9.5866417631516695E-2</v>
      </c>
      <c r="Q6013">
        <v>0.105088105073204</v>
      </c>
      <c r="R6013">
        <v>0.99715960321248598</v>
      </c>
      <c r="S6013" t="s">
        <v>12819</v>
      </c>
      <c r="T6013" t="s">
        <v>13610</v>
      </c>
      <c r="U6013" t="s">
        <v>13610</v>
      </c>
      <c r="V6013" t="s">
        <v>13610</v>
      </c>
      <c r="W6013" t="s">
        <v>19548</v>
      </c>
      <c r="X6013">
        <v>3</v>
      </c>
      <c r="Y6013" t="s">
        <v>26101</v>
      </c>
      <c r="Z6013" t="s">
        <v>32868</v>
      </c>
      <c r="AA6013">
        <v>0.40158095290275431</v>
      </c>
      <c r="AB6013" t="str">
        <f>HYPERLINK("Melting_Curves/meltCurve_Q9NRW4_DUSP22.pdf", "Melting_Curves/meltCurve_Q9NRW4_DUSP22.pdf")</f>
        <v>Melting_Curves/meltCurve_Q9NRW4_DUSP22.pdf</v>
      </c>
    </row>
    <row r="6014" spans="1:28" x14ac:dyDescent="0.25">
      <c r="A6014" t="s">
        <v>6018</v>
      </c>
      <c r="B6014">
        <v>0.995954080203443</v>
      </c>
      <c r="C6014">
        <v>0.90314407118562201</v>
      </c>
      <c r="D6014">
        <v>0.72358907099064096</v>
      </c>
      <c r="E6014">
        <v>0.39232561620267398</v>
      </c>
      <c r="F6014">
        <v>0.14355341966565499</v>
      </c>
      <c r="G6014">
        <v>8.4728143515467605E-2</v>
      </c>
      <c r="H6014">
        <v>5.7293262910012903E-2</v>
      </c>
      <c r="I6014">
        <v>4.8638484730134803E-2</v>
      </c>
      <c r="J6014">
        <v>5.0953381361351802E-2</v>
      </c>
      <c r="K6014">
        <v>5.2387776121925897E-2</v>
      </c>
      <c r="L6014">
        <v>937.58861555805504</v>
      </c>
      <c r="M6014">
        <v>19.447243759671</v>
      </c>
      <c r="N6014">
        <v>48.423989867892502</v>
      </c>
      <c r="O6014">
        <v>47.710797060214198</v>
      </c>
      <c r="P6014">
        <v>-9.7745404277479894E-2</v>
      </c>
      <c r="Q6014">
        <v>4.0822113110843702E-2</v>
      </c>
      <c r="R6014">
        <v>0.997618729076029</v>
      </c>
      <c r="S6014" t="s">
        <v>12820</v>
      </c>
      <c r="T6014" t="s">
        <v>13610</v>
      </c>
      <c r="U6014" t="s">
        <v>13610</v>
      </c>
      <c r="V6014" t="s">
        <v>13610</v>
      </c>
      <c r="W6014" t="s">
        <v>19549</v>
      </c>
      <c r="X6014">
        <v>10</v>
      </c>
      <c r="Y6014" t="s">
        <v>26102</v>
      </c>
      <c r="Z6014" t="s">
        <v>32869</v>
      </c>
      <c r="AA6014">
        <v>0.3177762957289646</v>
      </c>
      <c r="AB6014" t="str">
        <f>HYPERLINK("Melting_Curves/meltCurve_Q9NRW7_VPS45.pdf", "Melting_Curves/meltCurve_Q9NRW7_VPS45.pdf")</f>
        <v>Melting_Curves/meltCurve_Q9NRW7_VPS45.pdf</v>
      </c>
    </row>
    <row r="6015" spans="1:28" x14ac:dyDescent="0.25">
      <c r="A6015" t="s">
        <v>6019</v>
      </c>
      <c r="B6015">
        <v>0.995954080203443</v>
      </c>
      <c r="C6015">
        <v>0.90658621353522395</v>
      </c>
      <c r="D6015">
        <v>1.05743127001601</v>
      </c>
      <c r="E6015">
        <v>0.90583229078827698</v>
      </c>
      <c r="F6015">
        <v>1.12046185265676</v>
      </c>
      <c r="G6015">
        <v>0.68708838628883395</v>
      </c>
      <c r="H6015">
        <v>0.37194466173562801</v>
      </c>
      <c r="I6015">
        <v>0.270355273962263</v>
      </c>
      <c r="J6015">
        <v>0.30045273781091802</v>
      </c>
      <c r="K6015">
        <v>0.27662854157965899</v>
      </c>
      <c r="L6015">
        <v>3215.3396782710201</v>
      </c>
      <c r="M6015">
        <v>56.123052037095398</v>
      </c>
      <c r="N6015">
        <v>58.228088141659697</v>
      </c>
      <c r="O6015">
        <v>57.218290056871098</v>
      </c>
      <c r="P6015">
        <v>-0.172290846486608</v>
      </c>
      <c r="Q6015">
        <v>0.29738800923856201</v>
      </c>
      <c r="R6015">
        <v>0.96265551263900495</v>
      </c>
      <c r="S6015" t="s">
        <v>12821</v>
      </c>
      <c r="T6015" t="s">
        <v>13610</v>
      </c>
      <c r="U6015" t="s">
        <v>13610</v>
      </c>
      <c r="V6015" t="s">
        <v>13610</v>
      </c>
      <c r="W6015" t="s">
        <v>19550</v>
      </c>
      <c r="X6015">
        <v>5</v>
      </c>
      <c r="Y6015" t="s">
        <v>26103</v>
      </c>
      <c r="Z6015" t="s">
        <v>32870</v>
      </c>
      <c r="AA6015">
        <v>0.70375384749896175</v>
      </c>
      <c r="AB6015" t="str">
        <f>HYPERLINK("Melting_Curves/meltCurve_Q9NRX4_PHPT1.pdf", "Melting_Curves/meltCurve_Q9NRX4_PHPT1.pdf")</f>
        <v>Melting_Curves/meltCurve_Q9NRX4_PHPT1.pdf</v>
      </c>
    </row>
    <row r="6016" spans="1:28" x14ac:dyDescent="0.25">
      <c r="A6016" t="s">
        <v>6020</v>
      </c>
      <c r="B6016">
        <v>0.995954080203443</v>
      </c>
      <c r="C6016">
        <v>0.81815556413728396</v>
      </c>
      <c r="D6016">
        <v>0.71782539525232203</v>
      </c>
      <c r="E6016">
        <v>0.68453763547922897</v>
      </c>
      <c r="F6016">
        <v>0.64856135311884799</v>
      </c>
      <c r="G6016">
        <v>0.52748683612642799</v>
      </c>
      <c r="H6016">
        <v>0.61365785321053701</v>
      </c>
      <c r="I6016">
        <v>0.81005957829896402</v>
      </c>
      <c r="J6016">
        <v>0.98805535241543696</v>
      </c>
      <c r="K6016">
        <v>0.97143218821995503</v>
      </c>
      <c r="L6016">
        <v>10685.8181931365</v>
      </c>
      <c r="M6016">
        <v>250</v>
      </c>
      <c r="O6016">
        <v>42.740532455714799</v>
      </c>
      <c r="P6016">
        <v>-0.372594133574983</v>
      </c>
      <c r="Q6016">
        <v>0.74520202370973898</v>
      </c>
      <c r="R6016">
        <v>0.230302120031951</v>
      </c>
      <c r="S6016" t="s">
        <v>12822</v>
      </c>
      <c r="T6016" t="s">
        <v>13610</v>
      </c>
      <c r="U6016" t="s">
        <v>13610</v>
      </c>
      <c r="V6016" t="s">
        <v>13610</v>
      </c>
      <c r="W6016" t="s">
        <v>19551</v>
      </c>
      <c r="X6016">
        <v>4</v>
      </c>
      <c r="Y6016" t="s">
        <v>26104</v>
      </c>
      <c r="Z6016" t="s">
        <v>32871</v>
      </c>
      <c r="AA6016">
        <v>0.76852048214243751</v>
      </c>
      <c r="AB6016" t="str">
        <f>HYPERLINK("Melting_Curves/meltCurve_Q9NRY2_INIP.pdf", "Melting_Curves/meltCurve_Q9NRY2_INIP.pdf")</f>
        <v>Melting_Curves/meltCurve_Q9NRY2_INIP.pdf</v>
      </c>
    </row>
    <row r="6017" spans="1:28" x14ac:dyDescent="0.25">
      <c r="A6017" t="s">
        <v>6021</v>
      </c>
      <c r="B6017">
        <v>0.995954080203443</v>
      </c>
      <c r="C6017">
        <v>0.93679589489273396</v>
      </c>
      <c r="D6017">
        <v>0.74402940115088101</v>
      </c>
      <c r="E6017">
        <v>0.44677589710946503</v>
      </c>
      <c r="F6017">
        <v>0.17739966769416901</v>
      </c>
      <c r="G6017">
        <v>0.117405471556269</v>
      </c>
      <c r="H6017">
        <v>9.0846278281895607E-2</v>
      </c>
      <c r="I6017">
        <v>8.7697922995887106E-2</v>
      </c>
      <c r="J6017">
        <v>0.110290897142553</v>
      </c>
      <c r="K6017">
        <v>9.2230912757458497E-2</v>
      </c>
      <c r="L6017">
        <v>979.45435232798695</v>
      </c>
      <c r="M6017">
        <v>20.217890200098001</v>
      </c>
      <c r="N6017">
        <v>48.886715233895998</v>
      </c>
      <c r="O6017">
        <v>47.978457135136601</v>
      </c>
      <c r="P6017">
        <v>-9.6555869823968202E-2</v>
      </c>
      <c r="Q6017">
        <v>8.3493408129754906E-2</v>
      </c>
      <c r="R6017">
        <v>0.99591210594379298</v>
      </c>
      <c r="S6017" t="s">
        <v>12823</v>
      </c>
      <c r="T6017" t="s">
        <v>13610</v>
      </c>
      <c r="U6017" t="s">
        <v>13610</v>
      </c>
      <c r="V6017" t="s">
        <v>13610</v>
      </c>
      <c r="W6017" t="s">
        <v>19552</v>
      </c>
      <c r="X6017">
        <v>28</v>
      </c>
      <c r="Y6017" t="s">
        <v>26105</v>
      </c>
      <c r="Z6017" t="s">
        <v>32872</v>
      </c>
      <c r="AA6017">
        <v>0.35412289813770709</v>
      </c>
      <c r="AB6017" t="str">
        <f>HYPERLINK("Melting_Curves/meltCurve_Q9NRY4_ARHGAP35.pdf", "Melting_Curves/meltCurve_Q9NRY4_ARHGAP35.pdf")</f>
        <v>Melting_Curves/meltCurve_Q9NRY4_ARHGAP35.pdf</v>
      </c>
    </row>
    <row r="6018" spans="1:28" x14ac:dyDescent="0.25">
      <c r="A6018" t="s">
        <v>6022</v>
      </c>
      <c r="B6018">
        <v>0.995954080203443</v>
      </c>
      <c r="C6018">
        <v>1.0640703846910999</v>
      </c>
      <c r="D6018">
        <v>1.09138163613966</v>
      </c>
      <c r="E6018">
        <v>0.94345349189549599</v>
      </c>
      <c r="F6018">
        <v>0.81664627494437103</v>
      </c>
      <c r="G6018">
        <v>0.37572093809099999</v>
      </c>
      <c r="H6018">
        <v>0.285425863493601</v>
      </c>
      <c r="I6018">
        <v>0.33931741771700602</v>
      </c>
      <c r="J6018">
        <v>0.32992988919821797</v>
      </c>
      <c r="K6018">
        <v>0.374437011875976</v>
      </c>
      <c r="L6018">
        <v>2599.0441736944599</v>
      </c>
      <c r="M6018">
        <v>48.113782567668402</v>
      </c>
      <c r="N6018">
        <v>55.262252752334398</v>
      </c>
      <c r="O6018">
        <v>53.925632574786903</v>
      </c>
      <c r="P6018">
        <v>-0.14930096557516501</v>
      </c>
      <c r="Q6018">
        <v>0.33065823771216102</v>
      </c>
      <c r="R6018">
        <v>0.98272129451889301</v>
      </c>
      <c r="S6018" t="s">
        <v>12824</v>
      </c>
      <c r="T6018" t="s">
        <v>13610</v>
      </c>
      <c r="U6018" t="s">
        <v>13610</v>
      </c>
      <c r="V6018" t="s">
        <v>13610</v>
      </c>
      <c r="W6018" t="s">
        <v>19553</v>
      </c>
      <c r="X6018">
        <v>23</v>
      </c>
      <c r="Y6018" t="s">
        <v>26106</v>
      </c>
      <c r="Z6018" t="s">
        <v>32873</v>
      </c>
      <c r="AA6018">
        <v>0.64515746124803075</v>
      </c>
      <c r="AB6018" t="str">
        <f>HYPERLINK("Melting_Curves/meltCurve_Q9NRY5_FAM114A2.pdf", "Melting_Curves/meltCurve_Q9NRY5_FAM114A2.pdf")</f>
        <v>Melting_Curves/meltCurve_Q9NRY5_FAM114A2.pdf</v>
      </c>
    </row>
    <row r="6019" spans="1:28" x14ac:dyDescent="0.25">
      <c r="A6019" t="s">
        <v>6023</v>
      </c>
      <c r="B6019">
        <v>0.995954080203443</v>
      </c>
      <c r="C6019">
        <v>0.81015939764089495</v>
      </c>
      <c r="D6019">
        <v>0.72459439194629505</v>
      </c>
      <c r="E6019">
        <v>0.74729211183611199</v>
      </c>
      <c r="F6019">
        <v>0.65363482340130397</v>
      </c>
      <c r="G6019">
        <v>0.53149470428713996</v>
      </c>
      <c r="H6019">
        <v>0.44717835879729401</v>
      </c>
      <c r="I6019">
        <v>0.56280099672093398</v>
      </c>
      <c r="J6019">
        <v>0.41608508243938302</v>
      </c>
      <c r="K6019">
        <v>0.59525027847346901</v>
      </c>
      <c r="L6019">
        <v>464.17841733806102</v>
      </c>
      <c r="M6019">
        <v>9.7770830494434993</v>
      </c>
      <c r="N6019">
        <v>68.957676719417705</v>
      </c>
      <c r="O6019">
        <v>45.617848863204699</v>
      </c>
      <c r="P6019">
        <v>-2.8079824198227701E-2</v>
      </c>
      <c r="Q6019">
        <v>0.47621922708498499</v>
      </c>
      <c r="R6019">
        <v>0.840976469354066</v>
      </c>
      <c r="S6019" t="s">
        <v>12825</v>
      </c>
      <c r="T6019" t="s">
        <v>13610</v>
      </c>
      <c r="U6019" t="s">
        <v>13610</v>
      </c>
      <c r="V6019" t="s">
        <v>13610</v>
      </c>
      <c r="W6019" t="s">
        <v>19554</v>
      </c>
      <c r="X6019">
        <v>3</v>
      </c>
      <c r="Y6019" t="s">
        <v>26107</v>
      </c>
      <c r="Z6019" t="s">
        <v>32874</v>
      </c>
      <c r="AA6019">
        <v>0.63672718437081843</v>
      </c>
      <c r="AB6019" t="str">
        <f>HYPERLINK("Melting_Curves/meltCurve_Q9NRZ9_6_HELLS.pdf", "Melting_Curves/meltCurve_Q9NRZ9_6_HELLS.pdf")</f>
        <v>Melting_Curves/meltCurve_Q9NRZ9_6_HELLS.pdf</v>
      </c>
    </row>
    <row r="6020" spans="1:28" x14ac:dyDescent="0.25">
      <c r="A6020" t="s">
        <v>6024</v>
      </c>
      <c r="B6020">
        <v>0.995954080203443</v>
      </c>
      <c r="C6020">
        <v>0.97606872820419199</v>
      </c>
      <c r="D6020">
        <v>1.42164606004558</v>
      </c>
      <c r="E6020">
        <v>0.95557767518574899</v>
      </c>
      <c r="F6020">
        <v>1.2680386097085401</v>
      </c>
      <c r="G6020">
        <v>0.97339064584996404</v>
      </c>
      <c r="H6020">
        <v>0.88455022050507204</v>
      </c>
      <c r="I6020">
        <v>1.0873150115724299</v>
      </c>
      <c r="J6020">
        <v>1.2039511212224601</v>
      </c>
      <c r="K6020">
        <v>1.1204062189611601</v>
      </c>
      <c r="L6020">
        <v>11043.8484942663</v>
      </c>
      <c r="M6020">
        <v>250</v>
      </c>
      <c r="O6020">
        <v>44.172566725817603</v>
      </c>
      <c r="P6020">
        <v>0.16180346374278801</v>
      </c>
      <c r="Q6020">
        <v>1.1143563894703601</v>
      </c>
      <c r="R6020">
        <v>0.10330410141586401</v>
      </c>
      <c r="S6020" t="s">
        <v>12826</v>
      </c>
      <c r="T6020" t="s">
        <v>13610</v>
      </c>
      <c r="U6020" t="s">
        <v>13610</v>
      </c>
      <c r="V6020" t="s">
        <v>13610</v>
      </c>
      <c r="W6020" t="s">
        <v>19555</v>
      </c>
      <c r="X6020">
        <v>4</v>
      </c>
      <c r="Y6020" t="s">
        <v>26108</v>
      </c>
      <c r="Z6020" t="s">
        <v>32875</v>
      </c>
      <c r="AA6020">
        <v>1.0984314244200259</v>
      </c>
      <c r="AB6020" t="str">
        <f>HYPERLINK("Melting_Curves/meltCurve_Q9NS18_GLRX2.pdf", "Melting_Curves/meltCurve_Q9NS18_GLRX2.pdf")</f>
        <v>Melting_Curves/meltCurve_Q9NS18_GLRX2.pdf</v>
      </c>
    </row>
    <row r="6021" spans="1:28" x14ac:dyDescent="0.25">
      <c r="A6021" t="s">
        <v>6025</v>
      </c>
      <c r="B6021">
        <v>0.995954080203443</v>
      </c>
      <c r="C6021">
        <v>0.94997018244703901</v>
      </c>
      <c r="D6021">
        <v>1.0935002989170699</v>
      </c>
      <c r="E6021">
        <v>1.0327568247284999</v>
      </c>
      <c r="F6021">
        <v>1.16704646913362</v>
      </c>
      <c r="G6021">
        <v>1.13948600972826</v>
      </c>
      <c r="H6021">
        <v>1.4570852373307299</v>
      </c>
      <c r="I6021">
        <v>1.29413394983689</v>
      </c>
      <c r="J6021">
        <v>1.4515636669026299</v>
      </c>
      <c r="K6021">
        <v>1.0990580269154999</v>
      </c>
      <c r="L6021">
        <v>1173.5652468640601</v>
      </c>
      <c r="M6021">
        <v>21.839810968742999</v>
      </c>
      <c r="O6021">
        <v>53.290705827536399</v>
      </c>
      <c r="P6021">
        <v>3.2238534785041302E-2</v>
      </c>
      <c r="Q6021">
        <v>1.3146501214515001</v>
      </c>
      <c r="R6021">
        <v>0.598085831069882</v>
      </c>
      <c r="S6021" t="s">
        <v>12827</v>
      </c>
      <c r="T6021" t="s">
        <v>13610</v>
      </c>
      <c r="U6021" t="s">
        <v>13610</v>
      </c>
      <c r="V6021" t="s">
        <v>13610</v>
      </c>
      <c r="W6021" t="s">
        <v>19556</v>
      </c>
      <c r="X6021">
        <v>1</v>
      </c>
      <c r="Y6021" t="s">
        <v>26109</v>
      </c>
      <c r="Z6021" t="s">
        <v>32876</v>
      </c>
      <c r="AA6021">
        <v>1.1668891250334079</v>
      </c>
      <c r="AB6021" t="str">
        <f>HYPERLINK("Melting_Curves/meltCurve_Q9NS56_TOPORS.pdf", "Melting_Curves/meltCurve_Q9NS56_TOPORS.pdf")</f>
        <v>Melting_Curves/meltCurve_Q9NS56_TOPORS.pdf</v>
      </c>
    </row>
    <row r="6022" spans="1:28" x14ac:dyDescent="0.25">
      <c r="A6022" t="s">
        <v>6026</v>
      </c>
      <c r="B6022">
        <v>0.995954080203443</v>
      </c>
      <c r="C6022">
        <v>0.90027614801004496</v>
      </c>
      <c r="D6022">
        <v>0.83805073538099395</v>
      </c>
      <c r="E6022">
        <v>0.62770441572408997</v>
      </c>
      <c r="F6022">
        <v>0.47579100879909397</v>
      </c>
      <c r="G6022">
        <v>0.29603960829252801</v>
      </c>
      <c r="H6022">
        <v>0.20463787698706401</v>
      </c>
      <c r="I6022">
        <v>0.20867410779749601</v>
      </c>
      <c r="J6022">
        <v>0.25048466628038102</v>
      </c>
      <c r="K6022">
        <v>0.22734978314146101</v>
      </c>
      <c r="L6022">
        <v>740.54234594453999</v>
      </c>
      <c r="M6022">
        <v>14.7099421032223</v>
      </c>
      <c r="N6022">
        <v>52.065212338731797</v>
      </c>
      <c r="O6022">
        <v>49.440029032159899</v>
      </c>
      <c r="P6022">
        <v>-6.0060517538137403E-2</v>
      </c>
      <c r="Q6022">
        <v>0.192635622907396</v>
      </c>
      <c r="R6022">
        <v>0.99196393308050601</v>
      </c>
      <c r="S6022" t="s">
        <v>12828</v>
      </c>
      <c r="T6022" t="s">
        <v>13610</v>
      </c>
      <c r="U6022" t="s">
        <v>13610</v>
      </c>
      <c r="V6022" t="s">
        <v>13610</v>
      </c>
      <c r="W6022" t="s">
        <v>19557</v>
      </c>
      <c r="X6022">
        <v>5</v>
      </c>
      <c r="Y6022" t="s">
        <v>26110</v>
      </c>
      <c r="Z6022" t="s">
        <v>32877</v>
      </c>
      <c r="AA6022">
        <v>0.49068248806424641</v>
      </c>
      <c r="AB6022" t="str">
        <f>HYPERLINK("Melting_Curves/meltCurve_Q9NS73_2_MBIP.pdf", "Melting_Curves/meltCurve_Q9NS73_2_MBIP.pdf")</f>
        <v>Melting_Curves/meltCurve_Q9NS73_2_MBIP.pdf</v>
      </c>
    </row>
    <row r="6023" spans="1:28" x14ac:dyDescent="0.25">
      <c r="A6023" t="s">
        <v>6027</v>
      </c>
      <c r="B6023">
        <v>0.995954080203443</v>
      </c>
      <c r="C6023">
        <v>0.98494734981373</v>
      </c>
      <c r="D6023">
        <v>0.97536932594604198</v>
      </c>
      <c r="E6023">
        <v>0.85483870689951602</v>
      </c>
      <c r="F6023">
        <v>0.74526836915113803</v>
      </c>
      <c r="G6023">
        <v>0.44764885701160201</v>
      </c>
      <c r="H6023">
        <v>0.22575398472980701</v>
      </c>
      <c r="I6023">
        <v>0.103019591125003</v>
      </c>
      <c r="J6023">
        <v>9.4644771211620599E-2</v>
      </c>
      <c r="K6023">
        <v>8.5673743322682294E-2</v>
      </c>
      <c r="L6023">
        <v>944.23114839356197</v>
      </c>
      <c r="M6023">
        <v>16.8840606485508</v>
      </c>
      <c r="N6023">
        <v>56.160352212833899</v>
      </c>
      <c r="O6023">
        <v>55.157574488814902</v>
      </c>
      <c r="P6023">
        <v>-7.3911072211716597E-2</v>
      </c>
      <c r="Q6023">
        <v>3.4237851906379402E-2</v>
      </c>
      <c r="R6023">
        <v>0.99795293734882695</v>
      </c>
      <c r="S6023" t="s">
        <v>12829</v>
      </c>
      <c r="T6023" t="s">
        <v>13610</v>
      </c>
      <c r="U6023" t="s">
        <v>13610</v>
      </c>
      <c r="V6023" t="s">
        <v>13610</v>
      </c>
      <c r="W6023" t="s">
        <v>19558</v>
      </c>
      <c r="X6023">
        <v>14</v>
      </c>
      <c r="Y6023" t="s">
        <v>26111</v>
      </c>
      <c r="Z6023" t="s">
        <v>32878</v>
      </c>
      <c r="AA6023">
        <v>0.5622514309058475</v>
      </c>
      <c r="AB6023" t="str">
        <f>HYPERLINK("Melting_Curves/meltCurve_Q9NS86_LANCL2.pdf", "Melting_Curves/meltCurve_Q9NS86_LANCL2.pdf")</f>
        <v>Melting_Curves/meltCurve_Q9NS86_LANCL2.pdf</v>
      </c>
    </row>
    <row r="6024" spans="1:28" x14ac:dyDescent="0.25">
      <c r="A6024" t="s">
        <v>6028</v>
      </c>
      <c r="B6024">
        <v>0.995954080203443</v>
      </c>
      <c r="C6024">
        <v>0.87262695515866096</v>
      </c>
      <c r="D6024">
        <v>0.53898582152596197</v>
      </c>
      <c r="E6024">
        <v>0.445075759884698</v>
      </c>
      <c r="F6024">
        <v>0.30127792644699403</v>
      </c>
      <c r="G6024">
        <v>0.22095763361113799</v>
      </c>
      <c r="H6024">
        <v>0.163451418783993</v>
      </c>
      <c r="I6024">
        <v>0.17367423055835601</v>
      </c>
      <c r="J6024">
        <v>0.21704724747586299</v>
      </c>
      <c r="K6024">
        <v>0.221732499360554</v>
      </c>
      <c r="L6024">
        <v>774.51585663123296</v>
      </c>
      <c r="M6024">
        <v>16.6999475825444</v>
      </c>
      <c r="N6024">
        <v>47.785912356935</v>
      </c>
      <c r="O6024">
        <v>45.7286273338065</v>
      </c>
      <c r="P6024">
        <v>-7.3567318799886705E-2</v>
      </c>
      <c r="Q6024">
        <v>0.194270638083473</v>
      </c>
      <c r="R6024">
        <v>0.97579859098671795</v>
      </c>
      <c r="S6024" t="s">
        <v>12830</v>
      </c>
      <c r="T6024" t="s">
        <v>13610</v>
      </c>
      <c r="U6024" t="s">
        <v>13610</v>
      </c>
      <c r="V6024" t="s">
        <v>13610</v>
      </c>
      <c r="W6024" t="s">
        <v>19559</v>
      </c>
      <c r="X6024">
        <v>12</v>
      </c>
      <c r="Y6024" t="s">
        <v>26112</v>
      </c>
      <c r="Z6024" t="s">
        <v>32879</v>
      </c>
      <c r="AA6024">
        <v>0.3837392136399389</v>
      </c>
      <c r="AB6024" t="str">
        <f>HYPERLINK("Melting_Curves/meltCurve_Q9NS87_2_KIF15.pdf", "Melting_Curves/meltCurve_Q9NS87_2_KIF15.pdf")</f>
        <v>Melting_Curves/meltCurve_Q9NS87_2_KIF15.pdf</v>
      </c>
    </row>
    <row r="6025" spans="1:28" x14ac:dyDescent="0.25">
      <c r="A6025" t="s">
        <v>6029</v>
      </c>
      <c r="B6025">
        <v>0.995954080203443</v>
      </c>
      <c r="C6025">
        <v>1.0344286069905799</v>
      </c>
      <c r="D6025">
        <v>0.97688692986650105</v>
      </c>
      <c r="E6025">
        <v>0.85064085615803398</v>
      </c>
      <c r="F6025">
        <v>0.718267105679949</v>
      </c>
      <c r="G6025">
        <v>0.51960357015220404</v>
      </c>
      <c r="H6025">
        <v>0.44452913494778801</v>
      </c>
      <c r="I6025">
        <v>0.51095925618450899</v>
      </c>
      <c r="J6025">
        <v>0.59388707486912296</v>
      </c>
      <c r="K6025">
        <v>0.55415437967487302</v>
      </c>
      <c r="L6025">
        <v>1472.7391590254499</v>
      </c>
      <c r="M6025">
        <v>28.437827975927</v>
      </c>
      <c r="O6025">
        <v>51.533976229642597</v>
      </c>
      <c r="P6025">
        <v>-6.6224377062530898E-2</v>
      </c>
      <c r="Q6025">
        <v>0.51996646794396895</v>
      </c>
      <c r="R6025">
        <v>0.96213240219805496</v>
      </c>
      <c r="S6025" t="s">
        <v>12831</v>
      </c>
      <c r="T6025" t="s">
        <v>13610</v>
      </c>
      <c r="U6025" t="s">
        <v>13610</v>
      </c>
      <c r="V6025" t="s">
        <v>13610</v>
      </c>
      <c r="W6025" t="s">
        <v>19560</v>
      </c>
      <c r="X6025">
        <v>16</v>
      </c>
      <c r="Y6025" t="s">
        <v>26113</v>
      </c>
      <c r="Z6025" t="s">
        <v>32880</v>
      </c>
      <c r="AA6025">
        <v>0.71198677108148256</v>
      </c>
      <c r="AB6025" t="str">
        <f>HYPERLINK("Melting_Curves/meltCurve_Q9NS91_RAD18.pdf", "Melting_Curves/meltCurve_Q9NS91_RAD18.pdf")</f>
        <v>Melting_Curves/meltCurve_Q9NS91_RAD18.pdf</v>
      </c>
    </row>
    <row r="6026" spans="1:28" x14ac:dyDescent="0.25">
      <c r="A6026" t="s">
        <v>6030</v>
      </c>
      <c r="B6026">
        <v>0.995954080203443</v>
      </c>
      <c r="C6026">
        <v>0.93168732139506905</v>
      </c>
      <c r="D6026">
        <v>0.99768743386565795</v>
      </c>
      <c r="E6026">
        <v>0.90211037472164501</v>
      </c>
      <c r="F6026">
        <v>0.94251801440085403</v>
      </c>
      <c r="G6026">
        <v>0.61598295546692305</v>
      </c>
      <c r="H6026">
        <v>0.60264121992994901</v>
      </c>
      <c r="I6026">
        <v>0.66471290521117798</v>
      </c>
      <c r="J6026">
        <v>0.93162303597135998</v>
      </c>
      <c r="K6026">
        <v>0.72290091245982702</v>
      </c>
      <c r="L6026">
        <v>13324.617707201</v>
      </c>
      <c r="M6026">
        <v>250</v>
      </c>
      <c r="O6026">
        <v>53.295060081878198</v>
      </c>
      <c r="P6026">
        <v>-0.34293492134053699</v>
      </c>
      <c r="Q6026">
        <v>0.70757220455972902</v>
      </c>
      <c r="R6026">
        <v>0.62710258663638796</v>
      </c>
      <c r="S6026" t="s">
        <v>12832</v>
      </c>
      <c r="T6026" t="s">
        <v>13610</v>
      </c>
      <c r="U6026" t="s">
        <v>13610</v>
      </c>
      <c r="V6026" t="s">
        <v>13610</v>
      </c>
      <c r="W6026" t="s">
        <v>19561</v>
      </c>
      <c r="X6026">
        <v>4</v>
      </c>
      <c r="Y6026" t="s">
        <v>26114</v>
      </c>
      <c r="Z6026" t="s">
        <v>32881</v>
      </c>
      <c r="AA6026">
        <v>0.83722764124012794</v>
      </c>
      <c r="AB6026" t="str">
        <f>HYPERLINK("Melting_Curves/meltCurve_Q9NSA3_CTNNBIP1.pdf", "Melting_Curves/meltCurve_Q9NSA3_CTNNBIP1.pdf")</f>
        <v>Melting_Curves/meltCurve_Q9NSA3_CTNNBIP1.pdf</v>
      </c>
    </row>
    <row r="6027" spans="1:28" x14ac:dyDescent="0.25">
      <c r="A6027" t="s">
        <v>6031</v>
      </c>
      <c r="B6027">
        <v>0.995954080203443</v>
      </c>
      <c r="C6027">
        <v>0.95517708563099502</v>
      </c>
      <c r="D6027">
        <v>1.1325405728961</v>
      </c>
      <c r="E6027">
        <v>0.79709283277147902</v>
      </c>
      <c r="F6027">
        <v>0.69241098450434202</v>
      </c>
      <c r="G6027">
        <v>0.524798635318249</v>
      </c>
      <c r="H6027">
        <v>0.46983738943123499</v>
      </c>
      <c r="I6027">
        <v>0.53155056726608196</v>
      </c>
      <c r="J6027">
        <v>0.72290293394705396</v>
      </c>
      <c r="K6027">
        <v>0.68251050840426897</v>
      </c>
      <c r="L6027">
        <v>2105.12712400996</v>
      </c>
      <c r="M6027">
        <v>41.805381835986402</v>
      </c>
      <c r="O6027">
        <v>50.2405972561832</v>
      </c>
      <c r="P6027">
        <v>-8.4586947436620902E-2</v>
      </c>
      <c r="Q6027">
        <v>0.59338332287940998</v>
      </c>
      <c r="R6027">
        <v>0.82948030106572201</v>
      </c>
      <c r="S6027" t="s">
        <v>12833</v>
      </c>
      <c r="T6027" t="s">
        <v>13610</v>
      </c>
      <c r="U6027" t="s">
        <v>13610</v>
      </c>
      <c r="V6027" t="s">
        <v>13610</v>
      </c>
      <c r="W6027" t="s">
        <v>19562</v>
      </c>
      <c r="X6027">
        <v>7</v>
      </c>
      <c r="Y6027" t="s">
        <v>26115</v>
      </c>
      <c r="Z6027" t="s">
        <v>32882</v>
      </c>
      <c r="AA6027">
        <v>0.7350344344084514</v>
      </c>
      <c r="AB6027" t="str">
        <f>HYPERLINK("Melting_Curves/meltCurve_Q9NSC5_5_HOMER3.pdf", "Melting_Curves/meltCurve_Q9NSC5_5_HOMER3.pdf")</f>
        <v>Melting_Curves/meltCurve_Q9NSC5_5_HOMER3.pdf</v>
      </c>
    </row>
    <row r="6028" spans="1:28" x14ac:dyDescent="0.25">
      <c r="A6028" t="s">
        <v>6032</v>
      </c>
      <c r="B6028">
        <v>0.995954080203443</v>
      </c>
      <c r="C6028">
        <v>0.858624504394361</v>
      </c>
      <c r="D6028">
        <v>0.72070576684155396</v>
      </c>
      <c r="E6028">
        <v>0.40001142837430598</v>
      </c>
      <c r="F6028">
        <v>0.184035360199028</v>
      </c>
      <c r="G6028">
        <v>0.10143492550392701</v>
      </c>
      <c r="H6028">
        <v>6.8359948441583301E-2</v>
      </c>
      <c r="I6028">
        <v>5.59015159225007E-2</v>
      </c>
      <c r="J6028">
        <v>6.5935906887224505E-2</v>
      </c>
      <c r="K6028">
        <v>5.7142967078709299E-2</v>
      </c>
      <c r="L6028">
        <v>831.58897270765704</v>
      </c>
      <c r="M6028">
        <v>17.2552618611941</v>
      </c>
      <c r="N6028">
        <v>48.463067209916602</v>
      </c>
      <c r="O6028">
        <v>47.560041800850399</v>
      </c>
      <c r="P6028">
        <v>-8.6555326861778595E-2</v>
      </c>
      <c r="Q6028">
        <v>4.5778591457664899E-2</v>
      </c>
      <c r="R6028">
        <v>0.997011125648949</v>
      </c>
      <c r="S6028" t="s">
        <v>12834</v>
      </c>
      <c r="T6028" t="s">
        <v>13610</v>
      </c>
      <c r="U6028" t="s">
        <v>13610</v>
      </c>
      <c r="V6028" t="s">
        <v>13610</v>
      </c>
      <c r="W6028" t="s">
        <v>19563</v>
      </c>
      <c r="X6028">
        <v>26</v>
      </c>
      <c r="Y6028" t="s">
        <v>26116</v>
      </c>
      <c r="Z6028" t="s">
        <v>32883</v>
      </c>
      <c r="AA6028">
        <v>0.32475550831987121</v>
      </c>
      <c r="AB6028" t="str">
        <f>HYPERLINK("Melting_Curves/meltCurve_Q9NSD9_FARSB.pdf", "Melting_Curves/meltCurve_Q9NSD9_FARSB.pdf")</f>
        <v>Melting_Curves/meltCurve_Q9NSD9_FARSB.pdf</v>
      </c>
    </row>
    <row r="6029" spans="1:28" x14ac:dyDescent="0.25">
      <c r="A6029" t="s">
        <v>6033</v>
      </c>
      <c r="B6029">
        <v>0.995954080203443</v>
      </c>
      <c r="C6029">
        <v>0.67300286065992798</v>
      </c>
      <c r="D6029">
        <v>0.34276252470754098</v>
      </c>
      <c r="E6029">
        <v>0.29927247918837702</v>
      </c>
      <c r="F6029">
        <v>0.207154902121683</v>
      </c>
      <c r="G6029">
        <v>0.12218425969532599</v>
      </c>
      <c r="H6029">
        <v>7.77047428029526E-2</v>
      </c>
      <c r="I6029">
        <v>8.3972418475809704E-2</v>
      </c>
      <c r="J6029">
        <v>9.5107083904647699E-2</v>
      </c>
      <c r="K6029">
        <v>8.2867594957338198E-2</v>
      </c>
      <c r="L6029">
        <v>849.88203779792605</v>
      </c>
      <c r="M6029">
        <v>19.1479819353487</v>
      </c>
      <c r="N6029">
        <v>44.960020312362403</v>
      </c>
      <c r="O6029">
        <v>43.909346060790902</v>
      </c>
      <c r="P6029">
        <v>-9.7182763956189896E-2</v>
      </c>
      <c r="Q6029">
        <v>0.108612952797012</v>
      </c>
      <c r="R6029">
        <v>0.96482011287920799</v>
      </c>
      <c r="S6029" t="s">
        <v>12835</v>
      </c>
      <c r="T6029" t="s">
        <v>13610</v>
      </c>
      <c r="U6029" t="s">
        <v>13610</v>
      </c>
      <c r="V6029" t="s">
        <v>13610</v>
      </c>
      <c r="W6029" t="s">
        <v>19564</v>
      </c>
      <c r="X6029">
        <v>6</v>
      </c>
      <c r="Y6029" t="s">
        <v>26117</v>
      </c>
      <c r="Z6029" t="s">
        <v>32884</v>
      </c>
      <c r="AA6029">
        <v>0.25695392205489148</v>
      </c>
      <c r="AB6029" t="str">
        <f>HYPERLINK("Melting_Curves/meltCurve_Q9NSE2_CISH.pdf", "Melting_Curves/meltCurve_Q9NSE2_CISH.pdf")</f>
        <v>Melting_Curves/meltCurve_Q9NSE2_CISH.pdf</v>
      </c>
    </row>
    <row r="6030" spans="1:28" x14ac:dyDescent="0.25">
      <c r="A6030" t="s">
        <v>6034</v>
      </c>
      <c r="B6030">
        <v>0.995954080203443</v>
      </c>
      <c r="C6030">
        <v>0.94438550509368901</v>
      </c>
      <c r="D6030">
        <v>0.89740174822306196</v>
      </c>
      <c r="E6030">
        <v>0.78972778622835704</v>
      </c>
      <c r="F6030">
        <v>0.56840592752580299</v>
      </c>
      <c r="G6030">
        <v>0.22567755015681501</v>
      </c>
      <c r="H6030">
        <v>9.1832928106863193E-2</v>
      </c>
      <c r="I6030">
        <v>7.7531017833786894E-2</v>
      </c>
      <c r="J6030">
        <v>8.2867507818780203E-2</v>
      </c>
      <c r="K6030">
        <v>7.4195660639764599E-2</v>
      </c>
      <c r="L6030">
        <v>1038.6172519991201</v>
      </c>
      <c r="M6030">
        <v>19.539832136067201</v>
      </c>
      <c r="N6030">
        <v>53.430898757936902</v>
      </c>
      <c r="O6030">
        <v>52.606511685631503</v>
      </c>
      <c r="P6030">
        <v>-8.83875446225377E-2</v>
      </c>
      <c r="Q6030">
        <v>4.8181314420573898E-2</v>
      </c>
      <c r="R6030">
        <v>0.99408998708708596</v>
      </c>
      <c r="S6030" t="s">
        <v>12836</v>
      </c>
      <c r="T6030" t="s">
        <v>13610</v>
      </c>
      <c r="U6030" t="s">
        <v>13610</v>
      </c>
      <c r="V6030" t="s">
        <v>13610</v>
      </c>
      <c r="W6030" t="s">
        <v>19565</v>
      </c>
      <c r="X6030">
        <v>32</v>
      </c>
      <c r="Y6030" t="s">
        <v>26118</v>
      </c>
      <c r="Z6030" t="s">
        <v>32885</v>
      </c>
      <c r="AA6030">
        <v>0.47911202966938599</v>
      </c>
      <c r="AB6030" t="str">
        <f>HYPERLINK("Melting_Curves/meltCurve_Q9NSE4_IARS2.pdf", "Melting_Curves/meltCurve_Q9NSE4_IARS2.pdf")</f>
        <v>Melting_Curves/meltCurve_Q9NSE4_IARS2.pdf</v>
      </c>
    </row>
    <row r="6031" spans="1:28" x14ac:dyDescent="0.25">
      <c r="A6031" t="s">
        <v>6035</v>
      </c>
      <c r="B6031">
        <v>0.995954080203443</v>
      </c>
      <c r="C6031">
        <v>0.96126238464323799</v>
      </c>
      <c r="D6031">
        <v>0.863786940369353</v>
      </c>
      <c r="E6031">
        <v>0.79914363926348198</v>
      </c>
      <c r="F6031">
        <v>0.54042319978132503</v>
      </c>
      <c r="G6031">
        <v>0.28980422210650902</v>
      </c>
      <c r="H6031">
        <v>0.127602081464085</v>
      </c>
      <c r="I6031">
        <v>0.11451571226278499</v>
      </c>
      <c r="J6031">
        <v>0.11439354952681501</v>
      </c>
      <c r="K6031">
        <v>0.11752981077229201</v>
      </c>
      <c r="L6031">
        <v>915.74973616240595</v>
      </c>
      <c r="M6031">
        <v>17.276507851971299</v>
      </c>
      <c r="N6031">
        <v>53.532803955936402</v>
      </c>
      <c r="O6031">
        <v>52.310612687342598</v>
      </c>
      <c r="P6031">
        <v>-7.6111048988195998E-2</v>
      </c>
      <c r="Q6031">
        <v>7.8243185759548195E-2</v>
      </c>
      <c r="R6031">
        <v>0.992396828013139</v>
      </c>
      <c r="S6031" t="s">
        <v>12837</v>
      </c>
      <c r="T6031" t="s">
        <v>13610</v>
      </c>
      <c r="U6031" t="s">
        <v>13610</v>
      </c>
      <c r="V6031" t="s">
        <v>13610</v>
      </c>
      <c r="W6031" t="s">
        <v>19566</v>
      </c>
      <c r="X6031">
        <v>4</v>
      </c>
      <c r="Y6031" t="s">
        <v>26119</v>
      </c>
      <c r="Z6031" t="s">
        <v>32886</v>
      </c>
      <c r="AA6031">
        <v>0.49394039357499231</v>
      </c>
      <c r="AB6031" t="str">
        <f>HYPERLINK("Melting_Curves/meltCurve_Q9NSG2_C1orf112.pdf", "Melting_Curves/meltCurve_Q9NSG2_C1orf112.pdf")</f>
        <v>Melting_Curves/meltCurve_Q9NSG2_C1orf112.pdf</v>
      </c>
    </row>
    <row r="6032" spans="1:28" x14ac:dyDescent="0.25">
      <c r="A6032" t="s">
        <v>6036</v>
      </c>
      <c r="B6032">
        <v>0.995954080203443</v>
      </c>
      <c r="C6032">
        <v>1.0573473950330801</v>
      </c>
      <c r="D6032">
        <v>0.99634724500618399</v>
      </c>
      <c r="E6032">
        <v>0.94639796293277501</v>
      </c>
      <c r="F6032">
        <v>0.779661844638461</v>
      </c>
      <c r="G6032">
        <v>0.39308960518057401</v>
      </c>
      <c r="H6032">
        <v>0.252922409069962</v>
      </c>
      <c r="I6032">
        <v>0.30296412510679099</v>
      </c>
      <c r="J6032">
        <v>0.27653002678056499</v>
      </c>
      <c r="K6032">
        <v>0.36445951439537799</v>
      </c>
      <c r="L6032">
        <v>2014.99474921296</v>
      </c>
      <c r="M6032">
        <v>37.268300902790898</v>
      </c>
      <c r="N6032">
        <v>55.411539773946302</v>
      </c>
      <c r="O6032">
        <v>53.912293410091401</v>
      </c>
      <c r="P6032">
        <v>-0.12139608899532101</v>
      </c>
      <c r="Q6032">
        <v>0.297556052157811</v>
      </c>
      <c r="R6032">
        <v>0.98906112829353399</v>
      </c>
      <c r="S6032" t="s">
        <v>12838</v>
      </c>
      <c r="T6032" t="s">
        <v>13610</v>
      </c>
      <c r="U6032" t="s">
        <v>13610</v>
      </c>
      <c r="V6032" t="s">
        <v>13610</v>
      </c>
      <c r="W6032" t="s">
        <v>19567</v>
      </c>
      <c r="X6032">
        <v>13</v>
      </c>
      <c r="Y6032" t="s">
        <v>26120</v>
      </c>
      <c r="Z6032" t="s">
        <v>32887</v>
      </c>
      <c r="AA6032">
        <v>0.62995450321067459</v>
      </c>
      <c r="AB6032" t="str">
        <f>HYPERLINK("Melting_Curves/meltCurve_Q9NSI2_2_FAM207A.pdf", "Melting_Curves/meltCurve_Q9NSI2_2_FAM207A.pdf")</f>
        <v>Melting_Curves/meltCurve_Q9NSI2_2_FAM207A.pdf</v>
      </c>
    </row>
    <row r="6033" spans="1:28" x14ac:dyDescent="0.25">
      <c r="A6033" t="s">
        <v>6037</v>
      </c>
      <c r="B6033">
        <v>0.995954080203443</v>
      </c>
      <c r="C6033">
        <v>0.91215750378224703</v>
      </c>
      <c r="D6033">
        <v>1.3600586451104399</v>
      </c>
      <c r="E6033">
        <v>0.84224937757227403</v>
      </c>
      <c r="F6033">
        <v>1.16186433693632</v>
      </c>
      <c r="G6033">
        <v>0.95955664332786506</v>
      </c>
      <c r="H6033">
        <v>0.93512852764336996</v>
      </c>
      <c r="I6033">
        <v>1.12532368009051</v>
      </c>
      <c r="J6033">
        <v>1.39274859094095</v>
      </c>
      <c r="K6033">
        <v>1.4013414296136399</v>
      </c>
      <c r="L6033">
        <v>15000</v>
      </c>
      <c r="M6033">
        <v>233.60104771443801</v>
      </c>
      <c r="O6033">
        <v>64.207330653137006</v>
      </c>
      <c r="P6033">
        <v>0.36114645481243102</v>
      </c>
      <c r="Q6033">
        <v>1.3970573150465</v>
      </c>
      <c r="R6033">
        <v>0.52287126696048003</v>
      </c>
      <c r="S6033" t="s">
        <v>12839</v>
      </c>
      <c r="T6033" t="s">
        <v>13610</v>
      </c>
      <c r="U6033" t="s">
        <v>13610</v>
      </c>
      <c r="V6033" t="s">
        <v>13610</v>
      </c>
      <c r="W6033" t="s">
        <v>19568</v>
      </c>
      <c r="X6033">
        <v>6</v>
      </c>
      <c r="Y6033" t="s">
        <v>26121</v>
      </c>
      <c r="Z6033" t="s">
        <v>32888</v>
      </c>
      <c r="AA6033">
        <v>1.0765538024882559</v>
      </c>
      <c r="AB6033" t="str">
        <f>HYPERLINK("Melting_Curves/meltCurve_Q9NSI6_3_BRWD1.pdf", "Melting_Curves/meltCurve_Q9NSI6_3_BRWD1.pdf")</f>
        <v>Melting_Curves/meltCurve_Q9NSI6_3_BRWD1.pdf</v>
      </c>
    </row>
    <row r="6034" spans="1:28" x14ac:dyDescent="0.25">
      <c r="A6034" t="s">
        <v>6038</v>
      </c>
      <c r="B6034">
        <v>0.995954080203443</v>
      </c>
      <c r="C6034">
        <v>0.97689780771575296</v>
      </c>
      <c r="D6034">
        <v>0.98280113350168097</v>
      </c>
      <c r="E6034">
        <v>0.86135946302149302</v>
      </c>
      <c r="F6034">
        <v>0.78548603493429403</v>
      </c>
      <c r="G6034">
        <v>0.532865880129201</v>
      </c>
      <c r="H6034">
        <v>0.46587843683879498</v>
      </c>
      <c r="I6034">
        <v>0.50678278933476195</v>
      </c>
      <c r="J6034">
        <v>0.66119887604833705</v>
      </c>
      <c r="K6034">
        <v>0.60226684078957204</v>
      </c>
      <c r="L6034">
        <v>1511.71804632199</v>
      </c>
      <c r="M6034">
        <v>28.917449973268301</v>
      </c>
      <c r="O6034">
        <v>52.0289289791694</v>
      </c>
      <c r="P6034">
        <v>-6.2526030498759294E-2</v>
      </c>
      <c r="Q6034">
        <v>0.55001040504042997</v>
      </c>
      <c r="R6034">
        <v>0.91466090677091305</v>
      </c>
      <c r="S6034" t="s">
        <v>12840</v>
      </c>
      <c r="T6034" t="s">
        <v>13610</v>
      </c>
      <c r="U6034" t="s">
        <v>13610</v>
      </c>
      <c r="V6034" t="s">
        <v>13610</v>
      </c>
      <c r="W6034" t="s">
        <v>19569</v>
      </c>
      <c r="X6034">
        <v>27</v>
      </c>
      <c r="Y6034" t="s">
        <v>26122</v>
      </c>
      <c r="Z6034" t="s">
        <v>32889</v>
      </c>
      <c r="AA6034">
        <v>0.73726588681268923</v>
      </c>
      <c r="AB6034" t="str">
        <f>HYPERLINK("Melting_Curves/meltCurve_Q9NSI8_SAMSN1.pdf", "Melting_Curves/meltCurve_Q9NSI8_SAMSN1.pdf")</f>
        <v>Melting_Curves/meltCurve_Q9NSI8_SAMSN1.pdf</v>
      </c>
    </row>
    <row r="6035" spans="1:28" x14ac:dyDescent="0.25">
      <c r="A6035" t="s">
        <v>6039</v>
      </c>
      <c r="B6035">
        <v>0.995954080203443</v>
      </c>
      <c r="C6035">
        <v>0.82828429701454798</v>
      </c>
      <c r="D6035">
        <v>0.74331472644043095</v>
      </c>
      <c r="E6035">
        <v>0.37838013874972298</v>
      </c>
      <c r="F6035">
        <v>0.189799716668723</v>
      </c>
      <c r="G6035">
        <v>0.113607295685084</v>
      </c>
      <c r="H6035">
        <v>8.9991810016131907E-2</v>
      </c>
      <c r="I6035">
        <v>9.6928637309313004E-2</v>
      </c>
      <c r="J6035">
        <v>0.116147711338351</v>
      </c>
      <c r="K6035">
        <v>0.10962454647094801</v>
      </c>
      <c r="L6035">
        <v>884.94481294416198</v>
      </c>
      <c r="M6035">
        <v>18.507655723216502</v>
      </c>
      <c r="N6035">
        <v>48.3212236678728</v>
      </c>
      <c r="O6035">
        <v>47.267326565203099</v>
      </c>
      <c r="P6035">
        <v>-8.9266696229117495E-2</v>
      </c>
      <c r="Q6035">
        <v>8.8115389297941299E-2</v>
      </c>
      <c r="R6035">
        <v>0.99136633887105496</v>
      </c>
      <c r="S6035" t="s">
        <v>12841</v>
      </c>
      <c r="T6035" t="s">
        <v>13610</v>
      </c>
      <c r="U6035" t="s">
        <v>13610</v>
      </c>
      <c r="V6035" t="s">
        <v>13610</v>
      </c>
      <c r="W6035" t="s">
        <v>19570</v>
      </c>
      <c r="X6035">
        <v>29</v>
      </c>
      <c r="Y6035" t="s">
        <v>26123</v>
      </c>
      <c r="Z6035" t="s">
        <v>32890</v>
      </c>
      <c r="AA6035">
        <v>0.34100987565423502</v>
      </c>
      <c r="AB6035" t="str">
        <f>HYPERLINK("Melting_Curves/meltCurve_Q9NSK0_KLC4.pdf", "Melting_Curves/meltCurve_Q9NSK0_KLC4.pdf")</f>
        <v>Melting_Curves/meltCurve_Q9NSK0_KLC4.pdf</v>
      </c>
    </row>
    <row r="6036" spans="1:28" x14ac:dyDescent="0.25">
      <c r="A6036" t="s">
        <v>6040</v>
      </c>
      <c r="B6036">
        <v>0.995954080203443</v>
      </c>
      <c r="C6036">
        <v>0.96489284612229198</v>
      </c>
      <c r="D6036">
        <v>0.81123994988772796</v>
      </c>
      <c r="E6036">
        <v>0.52173440625433098</v>
      </c>
      <c r="F6036">
        <v>0.19838511737539499</v>
      </c>
      <c r="G6036">
        <v>0.11215816683479</v>
      </c>
      <c r="H6036">
        <v>6.9705307273615999E-2</v>
      </c>
      <c r="I6036">
        <v>6.2896174327605803E-2</v>
      </c>
      <c r="J6036">
        <v>7.03567758439647E-2</v>
      </c>
      <c r="K6036">
        <v>5.0698850085374898E-2</v>
      </c>
      <c r="L6036">
        <v>1040.8585370892499</v>
      </c>
      <c r="M6036">
        <v>21.0230861826474</v>
      </c>
      <c r="N6036">
        <v>49.772221733023798</v>
      </c>
      <c r="O6036">
        <v>49.068801945117599</v>
      </c>
      <c r="P6036">
        <v>-0.10150326094441101</v>
      </c>
      <c r="Q6036">
        <v>5.2372781107556603E-2</v>
      </c>
      <c r="R6036">
        <v>0.99650047274503295</v>
      </c>
      <c r="S6036" t="s">
        <v>12842</v>
      </c>
      <c r="T6036" t="s">
        <v>13610</v>
      </c>
      <c r="U6036" t="s">
        <v>13610</v>
      </c>
      <c r="V6036" t="s">
        <v>13610</v>
      </c>
      <c r="W6036" t="s">
        <v>19571</v>
      </c>
      <c r="X6036">
        <v>9</v>
      </c>
      <c r="Y6036" t="s">
        <v>26124</v>
      </c>
      <c r="Z6036" t="s">
        <v>32891</v>
      </c>
      <c r="AA6036">
        <v>0.36474749072450202</v>
      </c>
      <c r="AB6036" t="str">
        <f>HYPERLINK("Melting_Curves/meltCurve_Q9NSY0_NRBP2.pdf", "Melting_Curves/meltCurve_Q9NSY0_NRBP2.pdf")</f>
        <v>Melting_Curves/meltCurve_Q9NSY0_NRBP2.pdf</v>
      </c>
    </row>
    <row r="6037" spans="1:28" x14ac:dyDescent="0.25">
      <c r="A6037" t="s">
        <v>6041</v>
      </c>
      <c r="B6037">
        <v>0.995954080203443</v>
      </c>
      <c r="C6037">
        <v>1.0036618315569401</v>
      </c>
      <c r="D6037">
        <v>0.92160306052085295</v>
      </c>
      <c r="E6037">
        <v>0.76259161979651902</v>
      </c>
      <c r="F6037">
        <v>0.64715845776102698</v>
      </c>
      <c r="G6037">
        <v>0.45600682448301899</v>
      </c>
      <c r="H6037">
        <v>0.41010303150590199</v>
      </c>
      <c r="I6037">
        <v>0.48167880257712498</v>
      </c>
      <c r="J6037">
        <v>0.55597032386918999</v>
      </c>
      <c r="K6037">
        <v>0.54958574441225705</v>
      </c>
      <c r="L6037">
        <v>1198.7817688932601</v>
      </c>
      <c r="M6037">
        <v>23.822346392142901</v>
      </c>
      <c r="N6037">
        <v>59.842121518025898</v>
      </c>
      <c r="O6037">
        <v>49.971157764552103</v>
      </c>
      <c r="P6037">
        <v>-6.0937794428725801E-2</v>
      </c>
      <c r="Q6037">
        <v>0.48870150171926602</v>
      </c>
      <c r="R6037">
        <v>0.95264122747559199</v>
      </c>
      <c r="S6037" t="s">
        <v>12843</v>
      </c>
      <c r="T6037" t="s">
        <v>13610</v>
      </c>
      <c r="U6037" t="s">
        <v>13610</v>
      </c>
      <c r="V6037" t="s">
        <v>13610</v>
      </c>
      <c r="W6037" t="s">
        <v>19572</v>
      </c>
      <c r="X6037">
        <v>22</v>
      </c>
      <c r="Y6037" t="s">
        <v>26125</v>
      </c>
      <c r="Z6037" t="s">
        <v>32892</v>
      </c>
      <c r="AA6037">
        <v>0.66966538775233397</v>
      </c>
      <c r="AB6037" t="str">
        <f>HYPERLINK("Melting_Curves/meltCurve_Q9NSY1_BMP2K.pdf", "Melting_Curves/meltCurve_Q9NSY1_BMP2K.pdf")</f>
        <v>Melting_Curves/meltCurve_Q9NSY1_BMP2K.pdf</v>
      </c>
    </row>
    <row r="6038" spans="1:28" x14ac:dyDescent="0.25">
      <c r="A6038" t="s">
        <v>6042</v>
      </c>
      <c r="B6038">
        <v>0.995954080203443</v>
      </c>
      <c r="C6038">
        <v>0.98295920079182797</v>
      </c>
      <c r="D6038">
        <v>1.03686567962162</v>
      </c>
      <c r="E6038">
        <v>0.85912834646101</v>
      </c>
      <c r="F6038">
        <v>0.73520253216309095</v>
      </c>
      <c r="G6038">
        <v>0.342824425857996</v>
      </c>
      <c r="H6038">
        <v>0.19305550584057701</v>
      </c>
      <c r="I6038">
        <v>0.18361252377626699</v>
      </c>
      <c r="J6038">
        <v>0.21252027208569499</v>
      </c>
      <c r="K6038">
        <v>0.194539629743013</v>
      </c>
      <c r="L6038">
        <v>1432.0837043718</v>
      </c>
      <c r="M6038">
        <v>26.459801100561702</v>
      </c>
      <c r="N6038">
        <v>55.0588715781563</v>
      </c>
      <c r="O6038">
        <v>53.816701606972003</v>
      </c>
      <c r="P6038">
        <v>-0.100656656725744</v>
      </c>
      <c r="Q6038">
        <v>0.18110500009234001</v>
      </c>
      <c r="R6038">
        <v>0.99345452483322105</v>
      </c>
      <c r="S6038" t="s">
        <v>12844</v>
      </c>
      <c r="T6038" t="s">
        <v>13610</v>
      </c>
      <c r="U6038" t="s">
        <v>13610</v>
      </c>
      <c r="V6038" t="s">
        <v>13610</v>
      </c>
      <c r="W6038" t="s">
        <v>19573</v>
      </c>
      <c r="X6038">
        <v>12</v>
      </c>
      <c r="Y6038" t="s">
        <v>26126</v>
      </c>
      <c r="Z6038" t="s">
        <v>32893</v>
      </c>
      <c r="AA6038">
        <v>0.57344407170947131</v>
      </c>
      <c r="AB6038" t="str">
        <f>HYPERLINK("Melting_Curves/meltCurve_Q9NT62_ATG3.pdf", "Melting_Curves/meltCurve_Q9NT62_ATG3.pdf")</f>
        <v>Melting_Curves/meltCurve_Q9NT62_ATG3.pdf</v>
      </c>
    </row>
    <row r="6039" spans="1:28" x14ac:dyDescent="0.25">
      <c r="A6039" t="s">
        <v>6043</v>
      </c>
      <c r="B6039">
        <v>0.995954080203443</v>
      </c>
      <c r="C6039">
        <v>1.0335987337336801</v>
      </c>
      <c r="D6039">
        <v>0.89267062538380404</v>
      </c>
      <c r="E6039">
        <v>0.75062049980174295</v>
      </c>
      <c r="F6039">
        <v>0.55881843362747197</v>
      </c>
      <c r="G6039">
        <v>0.38004411722979697</v>
      </c>
      <c r="H6039">
        <v>0.17772081753042701</v>
      </c>
      <c r="I6039">
        <v>6.1762506941789599E-2</v>
      </c>
      <c r="J6039">
        <v>4.63370906935303E-2</v>
      </c>
      <c r="K6039">
        <v>3.5676228310824898E-2</v>
      </c>
      <c r="L6039">
        <v>756.32626741244405</v>
      </c>
      <c r="M6039">
        <v>13.969880143247099</v>
      </c>
      <c r="N6039">
        <v>54.139782419111697</v>
      </c>
      <c r="O6039">
        <v>53.066594019025203</v>
      </c>
      <c r="P6039">
        <v>-6.5821750323034597E-2</v>
      </c>
      <c r="Q6039">
        <v>0</v>
      </c>
      <c r="R6039">
        <v>0.99380499440794301</v>
      </c>
      <c r="S6039" t="s">
        <v>12845</v>
      </c>
      <c r="T6039" t="s">
        <v>13610</v>
      </c>
      <c r="U6039" t="s">
        <v>13610</v>
      </c>
      <c r="V6039" t="s">
        <v>13610</v>
      </c>
      <c r="W6039" t="s">
        <v>19574</v>
      </c>
      <c r="X6039">
        <v>4</v>
      </c>
      <c r="Y6039" t="s">
        <v>26127</v>
      </c>
      <c r="Z6039" t="s">
        <v>32894</v>
      </c>
      <c r="AA6039">
        <v>0.493446764871382</v>
      </c>
      <c r="AB6039" t="str">
        <f>HYPERLINK("Melting_Curves/meltCurve_Q9NT99_LRRC4B.pdf", "Melting_Curves/meltCurve_Q9NT99_LRRC4B.pdf")</f>
        <v>Melting_Curves/meltCurve_Q9NT99_LRRC4B.pdf</v>
      </c>
    </row>
    <row r="6040" spans="1:28" x14ac:dyDescent="0.25">
      <c r="A6040" t="s">
        <v>6044</v>
      </c>
      <c r="B6040">
        <v>0.995954080203443</v>
      </c>
      <c r="C6040">
        <v>0.94039444030435504</v>
      </c>
      <c r="D6040">
        <v>0.83844423992774197</v>
      </c>
      <c r="E6040">
        <v>0.68117327945111805</v>
      </c>
      <c r="F6040">
        <v>0.23739572097877901</v>
      </c>
      <c r="G6040">
        <v>0.113181994645071</v>
      </c>
      <c r="H6040">
        <v>6.2663481585682607E-2</v>
      </c>
      <c r="I6040">
        <v>4.7922173165117099E-2</v>
      </c>
      <c r="J6040">
        <v>3.1026314098529E-2</v>
      </c>
      <c r="K6040">
        <v>4.4799332536179799E-2</v>
      </c>
      <c r="L6040">
        <v>1157.6001108652099</v>
      </c>
      <c r="M6040">
        <v>22.796684599667</v>
      </c>
      <c r="N6040">
        <v>50.935018467282497</v>
      </c>
      <c r="O6040">
        <v>50.393416982174401</v>
      </c>
      <c r="P6040">
        <v>-0.10928936062693601</v>
      </c>
      <c r="Q6040">
        <v>3.3656433467144503E-2</v>
      </c>
      <c r="R6040">
        <v>0.98755174404803703</v>
      </c>
      <c r="S6040" t="s">
        <v>12846</v>
      </c>
      <c r="T6040" t="s">
        <v>13610</v>
      </c>
      <c r="U6040" t="s">
        <v>13610</v>
      </c>
      <c r="V6040" t="s">
        <v>13610</v>
      </c>
      <c r="W6040" t="s">
        <v>19575</v>
      </c>
      <c r="X6040">
        <v>2</v>
      </c>
      <c r="Y6040" t="s">
        <v>26128</v>
      </c>
      <c r="Z6040" t="s">
        <v>32895</v>
      </c>
      <c r="AA6040">
        <v>0.39131233308712787</v>
      </c>
      <c r="AB6040" t="str">
        <f>HYPERLINK("Melting_Curves/meltCurve_Q9NTG7_SIRT3.pdf", "Melting_Curves/meltCurve_Q9NTG7_SIRT3.pdf")</f>
        <v>Melting_Curves/meltCurve_Q9NTG7_SIRT3.pdf</v>
      </c>
    </row>
    <row r="6041" spans="1:28" x14ac:dyDescent="0.25">
      <c r="A6041" t="s">
        <v>6045</v>
      </c>
      <c r="B6041">
        <v>0.995954080203443</v>
      </c>
      <c r="C6041">
        <v>0.73096775374605105</v>
      </c>
      <c r="D6041">
        <v>0.48826081174042502</v>
      </c>
      <c r="E6041">
        <v>0.34032839832150003</v>
      </c>
      <c r="F6041">
        <v>0.25143073109966602</v>
      </c>
      <c r="G6041">
        <v>0.18132781290078301</v>
      </c>
      <c r="H6041">
        <v>0.16736622385620001</v>
      </c>
      <c r="I6041">
        <v>0.196077440166497</v>
      </c>
      <c r="J6041">
        <v>0.23422140971970801</v>
      </c>
      <c r="K6041">
        <v>0.22492819866727801</v>
      </c>
      <c r="L6041">
        <v>882.16231632283495</v>
      </c>
      <c r="M6041">
        <v>19.704407062334202</v>
      </c>
      <c r="N6041">
        <v>46.000898289203299</v>
      </c>
      <c r="O6041">
        <v>44.316332930113298</v>
      </c>
      <c r="P6041">
        <v>-8.8383043572835704E-2</v>
      </c>
      <c r="Q6041">
        <v>0.20491347004402599</v>
      </c>
      <c r="R6041">
        <v>0.98291046617903799</v>
      </c>
      <c r="S6041" t="s">
        <v>12847</v>
      </c>
      <c r="T6041" t="s">
        <v>13610</v>
      </c>
      <c r="U6041" t="s">
        <v>13610</v>
      </c>
      <c r="V6041" t="s">
        <v>13610</v>
      </c>
      <c r="W6041" t="s">
        <v>19576</v>
      </c>
      <c r="X6041">
        <v>47</v>
      </c>
      <c r="Y6041" t="s">
        <v>26129</v>
      </c>
      <c r="Z6041" t="s">
        <v>32896</v>
      </c>
      <c r="AA6041">
        <v>0.34564665912410608</v>
      </c>
      <c r="AB6041" t="str">
        <f>HYPERLINK("Melting_Curves/meltCurve_Q9NTI5_2_PDS5B.pdf", "Melting_Curves/meltCurve_Q9NTI5_2_PDS5B.pdf")</f>
        <v>Melting_Curves/meltCurve_Q9NTI5_2_PDS5B.pdf</v>
      </c>
    </row>
    <row r="6042" spans="1:28" x14ac:dyDescent="0.25">
      <c r="A6042" t="s">
        <v>6046</v>
      </c>
      <c r="B6042">
        <v>0.995954080203443</v>
      </c>
      <c r="C6042">
        <v>0.72064729056340204</v>
      </c>
      <c r="D6042">
        <v>0.40331514585144501</v>
      </c>
      <c r="E6042">
        <v>0.23184097961668201</v>
      </c>
      <c r="F6042">
        <v>0.115070806429898</v>
      </c>
      <c r="G6042">
        <v>7.4741237535477498E-2</v>
      </c>
      <c r="H6042">
        <v>5.5046290417878799E-2</v>
      </c>
      <c r="I6042">
        <v>5.1918264401168902E-2</v>
      </c>
      <c r="J6042">
        <v>5.7593264020712499E-2</v>
      </c>
      <c r="K6042">
        <v>5.51527197052607E-2</v>
      </c>
      <c r="L6042">
        <v>880.46256567495197</v>
      </c>
      <c r="M6042">
        <v>19.5596840811127</v>
      </c>
      <c r="N6042">
        <v>45.315287176629802</v>
      </c>
      <c r="O6042">
        <v>44.551555205936999</v>
      </c>
      <c r="P6042">
        <v>-0.10307300430501699</v>
      </c>
      <c r="Q6042">
        <v>6.0946115485097603E-2</v>
      </c>
      <c r="R6042">
        <v>0.99038188549252104</v>
      </c>
      <c r="S6042" t="s">
        <v>12848</v>
      </c>
      <c r="T6042" t="s">
        <v>13610</v>
      </c>
      <c r="U6042" t="s">
        <v>13610</v>
      </c>
      <c r="V6042" t="s">
        <v>13610</v>
      </c>
      <c r="W6042" t="s">
        <v>19577</v>
      </c>
      <c r="X6042">
        <v>54</v>
      </c>
      <c r="Y6042" t="s">
        <v>20790</v>
      </c>
      <c r="Z6042" t="s">
        <v>32897</v>
      </c>
      <c r="AA6042">
        <v>0.23461273483281911</v>
      </c>
      <c r="AB6042" t="str">
        <f>HYPERLINK("Melting_Curves/meltCurve_Q9NTJ3_SMC4.pdf", "Melting_Curves/meltCurve_Q9NTJ3_SMC4.pdf")</f>
        <v>Melting_Curves/meltCurve_Q9NTJ3_SMC4.pdf</v>
      </c>
    </row>
    <row r="6043" spans="1:28" x14ac:dyDescent="0.25">
      <c r="A6043" t="s">
        <v>6047</v>
      </c>
      <c r="B6043">
        <v>0.995954080203443</v>
      </c>
      <c r="C6043">
        <v>0.79975381713232796</v>
      </c>
      <c r="D6043">
        <v>0.72640001350696703</v>
      </c>
      <c r="E6043">
        <v>0.76270934518026601</v>
      </c>
      <c r="F6043">
        <v>0.49597947329626602</v>
      </c>
      <c r="G6043">
        <v>0.31075525885656902</v>
      </c>
      <c r="H6043">
        <v>0.129716612874378</v>
      </c>
      <c r="I6043">
        <v>6.9870225002234998E-2</v>
      </c>
      <c r="J6043">
        <v>9.7057680283311298E-2</v>
      </c>
      <c r="K6043">
        <v>7.3149061158515993E-2</v>
      </c>
      <c r="L6043">
        <v>557.23642965451802</v>
      </c>
      <c r="M6043">
        <v>10.6039877145686</v>
      </c>
      <c r="N6043">
        <v>52.549701227387601</v>
      </c>
      <c r="O6043">
        <v>50.784102918271799</v>
      </c>
      <c r="P6043">
        <v>-5.22215709189532E-2</v>
      </c>
      <c r="Q6043">
        <v>0</v>
      </c>
      <c r="R6043">
        <v>0.95798017988734097</v>
      </c>
      <c r="S6043" t="s">
        <v>12849</v>
      </c>
      <c r="T6043" t="s">
        <v>13610</v>
      </c>
      <c r="U6043" t="s">
        <v>13610</v>
      </c>
      <c r="V6043" t="s">
        <v>13610</v>
      </c>
      <c r="W6043" t="s">
        <v>19578</v>
      </c>
      <c r="X6043">
        <v>13</v>
      </c>
      <c r="Y6043" t="s">
        <v>26130</v>
      </c>
      <c r="Z6043" t="s">
        <v>32898</v>
      </c>
      <c r="AA6043">
        <v>0.4521641327402785</v>
      </c>
      <c r="AB6043" t="str">
        <f>HYPERLINK("Melting_Curves/meltCurve_Q9NTJ4_3_MAN2C1.pdf", "Melting_Curves/meltCurve_Q9NTJ4_3_MAN2C1.pdf")</f>
        <v>Melting_Curves/meltCurve_Q9NTJ4_3_MAN2C1.pdf</v>
      </c>
    </row>
    <row r="6044" spans="1:28" x14ac:dyDescent="0.25">
      <c r="A6044" t="s">
        <v>6048</v>
      </c>
      <c r="B6044">
        <v>0.995954080203443</v>
      </c>
      <c r="C6044">
        <v>0.97617582006431203</v>
      </c>
      <c r="D6044">
        <v>0.95994330403542305</v>
      </c>
      <c r="E6044">
        <v>0.46100858538713602</v>
      </c>
      <c r="F6044">
        <v>0.109206097353272</v>
      </c>
      <c r="G6044">
        <v>6.4563124257758703E-2</v>
      </c>
      <c r="H6044">
        <v>3.9968626037304403E-2</v>
      </c>
      <c r="I6044">
        <v>3.5286932386472597E-2</v>
      </c>
      <c r="J6044">
        <v>4.31383021234217E-2</v>
      </c>
      <c r="K6044">
        <v>3.5443607584445799E-2</v>
      </c>
      <c r="L6044">
        <v>1968.14752421809</v>
      </c>
      <c r="M6044">
        <v>39.620357614816498</v>
      </c>
      <c r="N6044">
        <v>49.783782048134</v>
      </c>
      <c r="O6044">
        <v>49.549124244873397</v>
      </c>
      <c r="P6044">
        <v>-0.19162718866970499</v>
      </c>
      <c r="Q6044">
        <v>4.1408254965308103E-2</v>
      </c>
      <c r="R6044">
        <v>0.99946427888578104</v>
      </c>
      <c r="S6044" t="s">
        <v>12850</v>
      </c>
      <c r="T6044" t="s">
        <v>13610</v>
      </c>
      <c r="U6044" t="s">
        <v>13610</v>
      </c>
      <c r="V6044" t="s">
        <v>13610</v>
      </c>
      <c r="W6044" t="s">
        <v>19579</v>
      </c>
      <c r="X6044">
        <v>24</v>
      </c>
      <c r="Y6044" t="s">
        <v>26131</v>
      </c>
      <c r="Z6044" t="s">
        <v>32899</v>
      </c>
      <c r="AA6044">
        <v>0.35391642488672159</v>
      </c>
      <c r="AB6044" t="str">
        <f>HYPERLINK("Melting_Curves/meltCurve_Q9NTK5_OLA1.pdf", "Melting_Curves/meltCurve_Q9NTK5_OLA1.pdf")</f>
        <v>Melting_Curves/meltCurve_Q9NTK5_OLA1.pdf</v>
      </c>
    </row>
    <row r="6045" spans="1:28" x14ac:dyDescent="0.25">
      <c r="A6045" t="s">
        <v>6049</v>
      </c>
      <c r="B6045">
        <v>0.995954080203443</v>
      </c>
      <c r="C6045">
        <v>1.09321747498817</v>
      </c>
      <c r="D6045">
        <v>1.1484011197055599</v>
      </c>
      <c r="E6045">
        <v>1.06492010315974</v>
      </c>
      <c r="F6045">
        <v>0.99356845802748905</v>
      </c>
      <c r="G6045">
        <v>0.74727090313612998</v>
      </c>
      <c r="H6045">
        <v>0.65486350130492799</v>
      </c>
      <c r="I6045">
        <v>0.781097216686089</v>
      </c>
      <c r="J6045">
        <v>0.63748968119688598</v>
      </c>
      <c r="K6045">
        <v>1.0125018838825901</v>
      </c>
      <c r="L6045">
        <v>13438.8566013732</v>
      </c>
      <c r="M6045">
        <v>250</v>
      </c>
      <c r="O6045">
        <v>53.751983933989699</v>
      </c>
      <c r="P6045">
        <v>-0.27133344795487002</v>
      </c>
      <c r="Q6045">
        <v>0.76664461133227202</v>
      </c>
      <c r="R6045">
        <v>0.61091410625358999</v>
      </c>
      <c r="S6045" t="s">
        <v>12851</v>
      </c>
      <c r="T6045" t="s">
        <v>13610</v>
      </c>
      <c r="U6045" t="s">
        <v>13610</v>
      </c>
      <c r="V6045" t="s">
        <v>13610</v>
      </c>
      <c r="W6045" t="s">
        <v>19580</v>
      </c>
      <c r="X6045">
        <v>15</v>
      </c>
      <c r="Y6045" t="s">
        <v>26131</v>
      </c>
      <c r="Z6045" t="s">
        <v>32900</v>
      </c>
      <c r="AA6045">
        <v>0.87366338856967574</v>
      </c>
      <c r="AB6045" t="str">
        <f>HYPERLINK("Melting_Curves/meltCurve_Q9NTK5_2_OLA1.pdf", "Melting_Curves/meltCurve_Q9NTK5_2_OLA1.pdf")</f>
        <v>Melting_Curves/meltCurve_Q9NTK5_2_OLA1.pdf</v>
      </c>
    </row>
    <row r="6046" spans="1:28" x14ac:dyDescent="0.25">
      <c r="A6046" t="s">
        <v>6050</v>
      </c>
      <c r="B6046">
        <v>0.995954080203443</v>
      </c>
      <c r="C6046">
        <v>0.85763111720866103</v>
      </c>
      <c r="D6046">
        <v>0.68113619070111397</v>
      </c>
      <c r="E6046">
        <v>0.842977574136765</v>
      </c>
      <c r="F6046">
        <v>0.57368967358922396</v>
      </c>
      <c r="G6046">
        <v>0.33684006910658398</v>
      </c>
      <c r="H6046">
        <v>0.105236998656455</v>
      </c>
      <c r="I6046">
        <v>9.1484838485704295E-2</v>
      </c>
      <c r="J6046">
        <v>8.1248350579033402E-2</v>
      </c>
      <c r="K6046">
        <v>6.6311548724587999E-2</v>
      </c>
      <c r="L6046">
        <v>629.37434670762605</v>
      </c>
      <c r="M6046">
        <v>11.7523798040611</v>
      </c>
      <c r="N6046">
        <v>53.552926946348599</v>
      </c>
      <c r="O6046">
        <v>52.072930369884403</v>
      </c>
      <c r="P6046">
        <v>-5.6437438099180101E-2</v>
      </c>
      <c r="Q6046">
        <v>0</v>
      </c>
      <c r="R6046">
        <v>0.93694851786446498</v>
      </c>
      <c r="S6046" t="s">
        <v>12852</v>
      </c>
      <c r="T6046" t="s">
        <v>13610</v>
      </c>
      <c r="U6046" t="s">
        <v>13610</v>
      </c>
      <c r="V6046" t="s">
        <v>13610</v>
      </c>
      <c r="W6046" t="s">
        <v>19581</v>
      </c>
      <c r="X6046">
        <v>9</v>
      </c>
      <c r="Y6046" t="s">
        <v>26132</v>
      </c>
      <c r="Z6046" t="s">
        <v>32901</v>
      </c>
      <c r="AA6046">
        <v>0.47954048034230168</v>
      </c>
      <c r="AB6046" t="str">
        <f>HYPERLINK("Melting_Curves/meltCurve_Q9NTM9_CUTC.pdf", "Melting_Curves/meltCurve_Q9NTM9_CUTC.pdf")</f>
        <v>Melting_Curves/meltCurve_Q9NTM9_CUTC.pdf</v>
      </c>
    </row>
    <row r="6047" spans="1:28" x14ac:dyDescent="0.25">
      <c r="A6047" t="s">
        <v>6051</v>
      </c>
      <c r="B6047">
        <v>0.995954080203443</v>
      </c>
      <c r="C6047">
        <v>1.0702403860396099</v>
      </c>
      <c r="D6047">
        <v>0.995968240616388</v>
      </c>
      <c r="E6047">
        <v>0.79716946003143396</v>
      </c>
      <c r="F6047">
        <v>0.72542207594447405</v>
      </c>
      <c r="G6047">
        <v>0.46256113573209801</v>
      </c>
      <c r="H6047">
        <v>0.42087606664467703</v>
      </c>
      <c r="I6047">
        <v>0.45289713303856499</v>
      </c>
      <c r="J6047">
        <v>0.63150932837403995</v>
      </c>
      <c r="K6047">
        <v>0.52156543212675699</v>
      </c>
      <c r="L6047">
        <v>1388.0999021045</v>
      </c>
      <c r="M6047">
        <v>26.951543237911601</v>
      </c>
      <c r="N6047">
        <v>63.046685385997002</v>
      </c>
      <c r="O6047">
        <v>51.222500992096798</v>
      </c>
      <c r="P6047">
        <v>-6.6244568756341798E-2</v>
      </c>
      <c r="Q6047">
        <v>0.49640306545854601</v>
      </c>
      <c r="R6047">
        <v>0.91901950795128995</v>
      </c>
      <c r="S6047" t="s">
        <v>12853</v>
      </c>
      <c r="T6047" t="s">
        <v>13610</v>
      </c>
      <c r="U6047" t="s">
        <v>13610</v>
      </c>
      <c r="V6047" t="s">
        <v>13610</v>
      </c>
      <c r="W6047" t="s">
        <v>19582</v>
      </c>
      <c r="X6047">
        <v>1</v>
      </c>
      <c r="Y6047" t="s">
        <v>26133</v>
      </c>
      <c r="Z6047" t="s">
        <v>32902</v>
      </c>
      <c r="AA6047">
        <v>0.69345596613450811</v>
      </c>
      <c r="AB6047" t="str">
        <f>HYPERLINK("Melting_Curves/meltCurve_Q9NTW7_3_ZFP64.pdf", "Melting_Curves/meltCurve_Q9NTW7_3_ZFP64.pdf")</f>
        <v>Melting_Curves/meltCurve_Q9NTW7_3_ZFP64.pdf</v>
      </c>
    </row>
    <row r="6048" spans="1:28" x14ac:dyDescent="0.25">
      <c r="A6048" t="s">
        <v>6052</v>
      </c>
      <c r="B6048">
        <v>0.995954080203443</v>
      </c>
      <c r="C6048">
        <v>1.02659624568605</v>
      </c>
      <c r="D6048">
        <v>1.0104458666942999</v>
      </c>
      <c r="E6048">
        <v>0.95227480311231705</v>
      </c>
      <c r="F6048">
        <v>0.866311910008708</v>
      </c>
      <c r="G6048">
        <v>0.68758807160697599</v>
      </c>
      <c r="H6048">
        <v>0.57587286731482901</v>
      </c>
      <c r="I6048">
        <v>0.64004835728277298</v>
      </c>
      <c r="J6048">
        <v>0.67691761291503005</v>
      </c>
      <c r="K6048">
        <v>0.57523521894664997</v>
      </c>
      <c r="L6048">
        <v>1633.64863891205</v>
      </c>
      <c r="M6048">
        <v>30.2533955490821</v>
      </c>
      <c r="O6048">
        <v>53.764565573459898</v>
      </c>
      <c r="P6048">
        <v>-5.4166541519533699E-2</v>
      </c>
      <c r="Q6048">
        <v>0.61495598504636195</v>
      </c>
      <c r="R6048">
        <v>0.96962102709188303</v>
      </c>
      <c r="S6048" t="s">
        <v>12854</v>
      </c>
      <c r="T6048" t="s">
        <v>13610</v>
      </c>
      <c r="U6048" t="s">
        <v>13610</v>
      </c>
      <c r="V6048" t="s">
        <v>13610</v>
      </c>
      <c r="W6048" t="s">
        <v>19583</v>
      </c>
      <c r="X6048">
        <v>12</v>
      </c>
      <c r="Y6048" t="s">
        <v>26134</v>
      </c>
      <c r="Z6048" t="s">
        <v>32903</v>
      </c>
      <c r="AA6048">
        <v>0.79711695162360052</v>
      </c>
      <c r="AB6048" t="str">
        <f>HYPERLINK("Melting_Curves/meltCurve_Q9NTX5_2_ECHDC1.pdf", "Melting_Curves/meltCurve_Q9NTX5_2_ECHDC1.pdf")</f>
        <v>Melting_Curves/meltCurve_Q9NTX5_2_ECHDC1.pdf</v>
      </c>
    </row>
    <row r="6049" spans="1:28" x14ac:dyDescent="0.25">
      <c r="A6049" t="s">
        <v>6053</v>
      </c>
      <c r="B6049">
        <v>0.995954080203443</v>
      </c>
      <c r="C6049">
        <v>1.0431685421257499</v>
      </c>
      <c r="D6049">
        <v>1.03943815770175</v>
      </c>
      <c r="E6049">
        <v>0.87427765876619301</v>
      </c>
      <c r="F6049">
        <v>0.53237073164729098</v>
      </c>
      <c r="G6049">
        <v>0.27257505047443897</v>
      </c>
      <c r="H6049">
        <v>0.16910985190001199</v>
      </c>
      <c r="I6049">
        <v>0.149700047697016</v>
      </c>
      <c r="J6049">
        <v>0.14621917710320301</v>
      </c>
      <c r="K6049">
        <v>0.130228844221222</v>
      </c>
      <c r="L6049">
        <v>1523.1311194207301</v>
      </c>
      <c r="M6049">
        <v>28.824719904893499</v>
      </c>
      <c r="N6049">
        <v>53.488787120385702</v>
      </c>
      <c r="O6049">
        <v>52.588773499193898</v>
      </c>
      <c r="P6049">
        <v>-0.11684439220704899</v>
      </c>
      <c r="Q6049">
        <v>0.147307400469297</v>
      </c>
      <c r="R6049">
        <v>0.99556764273410603</v>
      </c>
      <c r="S6049" t="s">
        <v>12855</v>
      </c>
      <c r="T6049" t="s">
        <v>13610</v>
      </c>
      <c r="U6049" t="s">
        <v>13610</v>
      </c>
      <c r="V6049" t="s">
        <v>13610</v>
      </c>
      <c r="W6049" t="s">
        <v>19584</v>
      </c>
      <c r="X6049">
        <v>29</v>
      </c>
      <c r="Y6049" t="s">
        <v>26135</v>
      </c>
      <c r="Z6049" t="s">
        <v>32904</v>
      </c>
      <c r="AA6049">
        <v>0.51825837841356548</v>
      </c>
      <c r="AB6049" t="str">
        <f>HYPERLINK("Melting_Curves/meltCurve_Q9NTZ6_RBM12.pdf", "Melting_Curves/meltCurve_Q9NTZ6_RBM12.pdf")</f>
        <v>Melting_Curves/meltCurve_Q9NTZ6_RBM12.pdf</v>
      </c>
    </row>
    <row r="6050" spans="1:28" x14ac:dyDescent="0.25">
      <c r="A6050" t="s">
        <v>6054</v>
      </c>
      <c r="B6050">
        <v>0.995954080203443</v>
      </c>
      <c r="C6050">
        <v>0.99937731170922095</v>
      </c>
      <c r="D6050">
        <v>0.94607387086362005</v>
      </c>
      <c r="E6050">
        <v>0.854647534876671</v>
      </c>
      <c r="F6050">
        <v>0.65333352406467604</v>
      </c>
      <c r="G6050">
        <v>0.32037615295840699</v>
      </c>
      <c r="H6050">
        <v>0.22263668482241999</v>
      </c>
      <c r="I6050">
        <v>0.167300268875367</v>
      </c>
      <c r="J6050">
        <v>0.27180569871163401</v>
      </c>
      <c r="K6050">
        <v>0.25942394772049499</v>
      </c>
      <c r="L6050">
        <v>1399.3036853603601</v>
      </c>
      <c r="M6050">
        <v>26.312204748752599</v>
      </c>
      <c r="N6050">
        <v>54.377612063521603</v>
      </c>
      <c r="O6050">
        <v>52.876454722764699</v>
      </c>
      <c r="P6050">
        <v>-9.7060645986583302E-2</v>
      </c>
      <c r="Q6050">
        <v>0.219804411167005</v>
      </c>
      <c r="R6050">
        <v>0.99004234641601396</v>
      </c>
      <c r="S6050" t="s">
        <v>12856</v>
      </c>
      <c r="T6050" t="s">
        <v>13610</v>
      </c>
      <c r="U6050" t="s">
        <v>13610</v>
      </c>
      <c r="V6050" t="s">
        <v>13610</v>
      </c>
      <c r="W6050" t="s">
        <v>19585</v>
      </c>
      <c r="X6050">
        <v>15</v>
      </c>
      <c r="Y6050" t="s">
        <v>26136</v>
      </c>
      <c r="Z6050" t="s">
        <v>32905</v>
      </c>
      <c r="AA6050">
        <v>0.56912235872476369</v>
      </c>
      <c r="AB6050" t="str">
        <f>HYPERLINK("Melting_Curves/meltCurve_Q9NU19_TBC1D22B.pdf", "Melting_Curves/meltCurve_Q9NU19_TBC1D22B.pdf")</f>
        <v>Melting_Curves/meltCurve_Q9NU19_TBC1D22B.pdf</v>
      </c>
    </row>
    <row r="6051" spans="1:28" x14ac:dyDescent="0.25">
      <c r="A6051" t="s">
        <v>6055</v>
      </c>
      <c r="B6051">
        <v>0.995954080203443</v>
      </c>
      <c r="C6051">
        <v>0.66187391841477605</v>
      </c>
      <c r="D6051">
        <v>0.523115839499119</v>
      </c>
      <c r="E6051">
        <v>0.57054808456929396</v>
      </c>
      <c r="F6051">
        <v>0.42928220183035798</v>
      </c>
      <c r="G6051">
        <v>0.27556654188806101</v>
      </c>
      <c r="H6051">
        <v>0.24479883449117101</v>
      </c>
      <c r="I6051">
        <v>0.26116428773983702</v>
      </c>
      <c r="J6051">
        <v>0.30316702672592999</v>
      </c>
      <c r="K6051">
        <v>0.29027851128404297</v>
      </c>
      <c r="L6051">
        <v>511.37663677875599</v>
      </c>
      <c r="M6051">
        <v>11.233403353417399</v>
      </c>
      <c r="N6051">
        <v>48.631024664431202</v>
      </c>
      <c r="O6051">
        <v>44.151727174662902</v>
      </c>
      <c r="P6051">
        <v>-4.7330068144311697E-2</v>
      </c>
      <c r="Q6051">
        <v>0.25612762200713701</v>
      </c>
      <c r="R6051">
        <v>0.89740740184794698</v>
      </c>
      <c r="S6051" t="s">
        <v>12857</v>
      </c>
      <c r="T6051" t="s">
        <v>13610</v>
      </c>
      <c r="U6051" t="s">
        <v>13610</v>
      </c>
      <c r="V6051" t="s">
        <v>13610</v>
      </c>
      <c r="W6051" t="s">
        <v>19586</v>
      </c>
      <c r="X6051">
        <v>22</v>
      </c>
      <c r="Y6051" t="s">
        <v>26137</v>
      </c>
      <c r="Z6051" t="s">
        <v>32906</v>
      </c>
      <c r="AA6051">
        <v>0.43290974744150051</v>
      </c>
      <c r="AB6051" t="str">
        <f>HYPERLINK("Melting_Curves/meltCurve_Q9NU22_MDN1.pdf", "Melting_Curves/meltCurve_Q9NU22_MDN1.pdf")</f>
        <v>Melting_Curves/meltCurve_Q9NU22_MDN1.pdf</v>
      </c>
    </row>
    <row r="6052" spans="1:28" x14ac:dyDescent="0.25">
      <c r="A6052" t="s">
        <v>6056</v>
      </c>
      <c r="B6052">
        <v>0.995954080203443</v>
      </c>
      <c r="C6052">
        <v>1.0113041771481199</v>
      </c>
      <c r="D6052">
        <v>1.0077165587847501</v>
      </c>
      <c r="E6052">
        <v>0.83864468560109295</v>
      </c>
      <c r="F6052">
        <v>0.53142849510011603</v>
      </c>
      <c r="G6052">
        <v>0.15604528500953599</v>
      </c>
      <c r="H6052">
        <v>7.8761398674809094E-2</v>
      </c>
      <c r="I6052">
        <v>5.5361428236033398E-2</v>
      </c>
      <c r="J6052">
        <v>6.0546683765026102E-2</v>
      </c>
      <c r="K6052">
        <v>5.5265141135101399E-2</v>
      </c>
      <c r="L6052">
        <v>1503.18645542385</v>
      </c>
      <c r="M6052">
        <v>28.380465885042302</v>
      </c>
      <c r="N6052">
        <v>53.175829451223997</v>
      </c>
      <c r="O6052">
        <v>52.704652425755398</v>
      </c>
      <c r="P6052">
        <v>-0.127475106989</v>
      </c>
      <c r="Q6052">
        <v>5.3084377264979797E-2</v>
      </c>
      <c r="R6052">
        <v>0.99943851121677996</v>
      </c>
      <c r="S6052" t="s">
        <v>12858</v>
      </c>
      <c r="T6052" t="s">
        <v>13610</v>
      </c>
      <c r="U6052" t="s">
        <v>13610</v>
      </c>
      <c r="V6052" t="s">
        <v>13610</v>
      </c>
      <c r="W6052" t="s">
        <v>19587</v>
      </c>
      <c r="X6052">
        <v>4</v>
      </c>
      <c r="Y6052" t="s">
        <v>26138</v>
      </c>
      <c r="Z6052" t="s">
        <v>32907</v>
      </c>
      <c r="AA6052">
        <v>0.46916600415035731</v>
      </c>
      <c r="AB6052" t="str">
        <f>HYPERLINK("Melting_Curves/meltCurve_Q9NU23_LYRM2.pdf", "Melting_Curves/meltCurve_Q9NU23_LYRM2.pdf")</f>
        <v>Melting_Curves/meltCurve_Q9NU23_LYRM2.pdf</v>
      </c>
    </row>
    <row r="6053" spans="1:28" x14ac:dyDescent="0.25">
      <c r="A6053" t="s">
        <v>6057</v>
      </c>
      <c r="B6053">
        <v>0.995954080203443</v>
      </c>
      <c r="C6053">
        <v>0.97477982444160505</v>
      </c>
      <c r="D6053">
        <v>0.95941333762199499</v>
      </c>
      <c r="E6053">
        <v>0.86689675445685699</v>
      </c>
      <c r="F6053">
        <v>0.707446651360228</v>
      </c>
      <c r="G6053">
        <v>0.29725638819789202</v>
      </c>
      <c r="H6053">
        <v>0.149865224588206</v>
      </c>
      <c r="I6053">
        <v>0.115211124159881</v>
      </c>
      <c r="J6053">
        <v>0.17212632177301501</v>
      </c>
      <c r="K6053">
        <v>0.11750930856986901</v>
      </c>
      <c r="L6053">
        <v>1379.2338556411601</v>
      </c>
      <c r="M6053">
        <v>25.480685279168998</v>
      </c>
      <c r="N6053">
        <v>54.716155119866201</v>
      </c>
      <c r="O6053">
        <v>53.798511218723597</v>
      </c>
      <c r="P6053">
        <v>-0.10423719826019399</v>
      </c>
      <c r="Q6053">
        <v>0.119688356204585</v>
      </c>
      <c r="R6053">
        <v>0.99506245985330399</v>
      </c>
      <c r="S6053" t="s">
        <v>12859</v>
      </c>
      <c r="T6053" t="s">
        <v>13610</v>
      </c>
      <c r="U6053" t="s">
        <v>13610</v>
      </c>
      <c r="V6053" t="s">
        <v>13610</v>
      </c>
      <c r="W6053" t="s">
        <v>19588</v>
      </c>
      <c r="X6053">
        <v>5</v>
      </c>
      <c r="Y6053" t="s">
        <v>26139</v>
      </c>
      <c r="Z6053" t="s">
        <v>32908</v>
      </c>
      <c r="AA6053">
        <v>0.5421451414949281</v>
      </c>
      <c r="AB6053" t="str">
        <f>HYPERLINK("Melting_Curves/meltCurve_Q9NUB1_3_ACSS1.pdf", "Melting_Curves/meltCurve_Q9NUB1_3_ACSS1.pdf")</f>
        <v>Melting_Curves/meltCurve_Q9NUB1_3_ACSS1.pdf</v>
      </c>
    </row>
    <row r="6054" spans="1:28" x14ac:dyDescent="0.25">
      <c r="A6054" t="s">
        <v>6058</v>
      </c>
      <c r="B6054">
        <v>0.995954080203443</v>
      </c>
      <c r="C6054">
        <v>0.76749101538823505</v>
      </c>
      <c r="D6054">
        <v>0.88822418878147003</v>
      </c>
      <c r="E6054">
        <v>0.76685134447993397</v>
      </c>
      <c r="F6054">
        <v>0.82040321913972103</v>
      </c>
      <c r="G6054">
        <v>0.62170412530985197</v>
      </c>
      <c r="H6054">
        <v>0.58172576855660396</v>
      </c>
      <c r="I6054">
        <v>0.78681794094600899</v>
      </c>
      <c r="J6054">
        <v>0.98110459659529103</v>
      </c>
      <c r="K6054">
        <v>0.79755291911774795</v>
      </c>
      <c r="L6054">
        <v>10159.2497960368</v>
      </c>
      <c r="M6054">
        <v>250</v>
      </c>
      <c r="O6054">
        <v>40.634398785699197</v>
      </c>
      <c r="P6054">
        <v>-0.33977186403347998</v>
      </c>
      <c r="Q6054">
        <v>0.77909719409358202</v>
      </c>
      <c r="R6054">
        <v>0.26262377731873299</v>
      </c>
      <c r="S6054" t="s">
        <v>12860</v>
      </c>
      <c r="T6054" t="s">
        <v>13610</v>
      </c>
      <c r="U6054" t="s">
        <v>13610</v>
      </c>
      <c r="V6054" t="s">
        <v>13610</v>
      </c>
      <c r="W6054" t="s">
        <v>19589</v>
      </c>
      <c r="X6054">
        <v>5</v>
      </c>
      <c r="Y6054" t="s">
        <v>26140</v>
      </c>
      <c r="Z6054" t="s">
        <v>32909</v>
      </c>
      <c r="AA6054">
        <v>0.78382472046960439</v>
      </c>
      <c r="AB6054" t="str">
        <f>HYPERLINK("Melting_Curves/meltCurve_Q9NUD5_ZCCHC3.pdf", "Melting_Curves/meltCurve_Q9NUD5_ZCCHC3.pdf")</f>
        <v>Melting_Curves/meltCurve_Q9NUD5_ZCCHC3.pdf</v>
      </c>
    </row>
    <row r="6055" spans="1:28" x14ac:dyDescent="0.25">
      <c r="A6055" t="s">
        <v>6059</v>
      </c>
      <c r="B6055">
        <v>0.995954080203443</v>
      </c>
      <c r="C6055">
        <v>0.88027907344757705</v>
      </c>
      <c r="D6055">
        <v>0.77219760812739902</v>
      </c>
      <c r="E6055">
        <v>0.87210355448203503</v>
      </c>
      <c r="F6055">
        <v>0.62807531633733804</v>
      </c>
      <c r="G6055">
        <v>0.28870622323544498</v>
      </c>
      <c r="H6055">
        <v>0.145695973076512</v>
      </c>
      <c r="I6055">
        <v>0.13858112075950901</v>
      </c>
      <c r="J6055">
        <v>0.13078642138164301</v>
      </c>
      <c r="K6055">
        <v>0.13250993493570601</v>
      </c>
      <c r="L6055">
        <v>892.90084455524197</v>
      </c>
      <c r="M6055">
        <v>16.632486436544401</v>
      </c>
      <c r="N6055">
        <v>54.258003414325401</v>
      </c>
      <c r="O6055">
        <v>52.926116447317902</v>
      </c>
      <c r="P6055">
        <v>-7.2232932708240494E-2</v>
      </c>
      <c r="Q6055">
        <v>8.0654316427831801E-2</v>
      </c>
      <c r="R6055">
        <v>0.953860628672901</v>
      </c>
      <c r="S6055" t="s">
        <v>12861</v>
      </c>
      <c r="T6055" t="s">
        <v>13610</v>
      </c>
      <c r="U6055" t="s">
        <v>13610</v>
      </c>
      <c r="V6055" t="s">
        <v>13610</v>
      </c>
      <c r="W6055" t="s">
        <v>19590</v>
      </c>
      <c r="X6055">
        <v>4</v>
      </c>
      <c r="Y6055" t="s">
        <v>26141</v>
      </c>
      <c r="Z6055" t="s">
        <v>32910</v>
      </c>
      <c r="AA6055">
        <v>0.51666691022778954</v>
      </c>
      <c r="AB6055" t="str">
        <f>HYPERLINK("Melting_Curves/meltCurve_Q9NUG6_PDRG1.pdf", "Melting_Curves/meltCurve_Q9NUG6_PDRG1.pdf")</f>
        <v>Melting_Curves/meltCurve_Q9NUG6_PDRG1.pdf</v>
      </c>
    </row>
    <row r="6056" spans="1:28" x14ac:dyDescent="0.25">
      <c r="A6056" t="s">
        <v>6060</v>
      </c>
      <c r="B6056">
        <v>0.995954080203443</v>
      </c>
      <c r="C6056">
        <v>0.96993395610035305</v>
      </c>
      <c r="D6056">
        <v>0.88404142508438899</v>
      </c>
      <c r="E6056">
        <v>0.93405065306169899</v>
      </c>
      <c r="F6056">
        <v>0.78274791542642597</v>
      </c>
      <c r="G6056">
        <v>0.55379997845568496</v>
      </c>
      <c r="H6056">
        <v>0.36712687275442302</v>
      </c>
      <c r="I6056">
        <v>0.24662895111517999</v>
      </c>
      <c r="J6056">
        <v>0.15413465053629399</v>
      </c>
      <c r="K6056">
        <v>0.13927741158040099</v>
      </c>
      <c r="L6056">
        <v>755.55030775673197</v>
      </c>
      <c r="M6056">
        <v>13.051024940952599</v>
      </c>
      <c r="N6056">
        <v>58.185494459786298</v>
      </c>
      <c r="O6056">
        <v>56.583395135521698</v>
      </c>
      <c r="P6056">
        <v>-5.58357771515764E-2</v>
      </c>
      <c r="Q6056">
        <v>3.1852418021060501E-2</v>
      </c>
      <c r="R6056">
        <v>0.990894790756772</v>
      </c>
      <c r="S6056" t="s">
        <v>12862</v>
      </c>
      <c r="T6056" t="s">
        <v>13610</v>
      </c>
      <c r="U6056" t="s">
        <v>13610</v>
      </c>
      <c r="V6056" t="s">
        <v>13610</v>
      </c>
      <c r="W6056" t="s">
        <v>19591</v>
      </c>
      <c r="X6056">
        <v>8</v>
      </c>
      <c r="Y6056" t="s">
        <v>26142</v>
      </c>
      <c r="Z6056" t="s">
        <v>32911</v>
      </c>
      <c r="AA6056">
        <v>0.62251209915097805</v>
      </c>
      <c r="AB6056" t="str">
        <f>HYPERLINK("Melting_Curves/meltCurve_Q9NUJ1_ABHD10.pdf", "Melting_Curves/meltCurve_Q9NUJ1_ABHD10.pdf")</f>
        <v>Melting_Curves/meltCurve_Q9NUJ1_ABHD10.pdf</v>
      </c>
    </row>
    <row r="6057" spans="1:28" x14ac:dyDescent="0.25">
      <c r="A6057" t="s">
        <v>6061</v>
      </c>
      <c r="B6057">
        <v>0.995954080203443</v>
      </c>
      <c r="C6057">
        <v>0.73856380180705095</v>
      </c>
      <c r="D6057">
        <v>0.55059325255244196</v>
      </c>
      <c r="E6057">
        <v>0.58065915039052496</v>
      </c>
      <c r="F6057">
        <v>0.333882700317639</v>
      </c>
      <c r="G6057">
        <v>0.13962684489485599</v>
      </c>
      <c r="H6057">
        <v>7.5210821302864994E-2</v>
      </c>
      <c r="I6057">
        <v>3.72784969899621E-2</v>
      </c>
      <c r="J6057">
        <v>3.5793541092013201E-2</v>
      </c>
      <c r="K6057">
        <v>0</v>
      </c>
      <c r="L6057">
        <v>515.22652920073904</v>
      </c>
      <c r="M6057">
        <v>10.5571899369103</v>
      </c>
      <c r="N6057">
        <v>48.803377858144998</v>
      </c>
      <c r="O6057">
        <v>47.149895342056404</v>
      </c>
      <c r="P6057">
        <v>-5.5998845311813601E-2</v>
      </c>
      <c r="Q6057">
        <v>0</v>
      </c>
      <c r="R6057">
        <v>0.953655954906792</v>
      </c>
      <c r="S6057" t="s">
        <v>12863</v>
      </c>
      <c r="T6057" t="s">
        <v>13610</v>
      </c>
      <c r="U6057" t="s">
        <v>13610</v>
      </c>
      <c r="V6057" t="s">
        <v>13610</v>
      </c>
      <c r="W6057" t="s">
        <v>19592</v>
      </c>
      <c r="X6057">
        <v>1</v>
      </c>
      <c r="Y6057" t="s">
        <v>26143</v>
      </c>
      <c r="Z6057" t="s">
        <v>32912</v>
      </c>
      <c r="AA6057">
        <v>0.3392234755208216</v>
      </c>
      <c r="AB6057" t="str">
        <f>HYPERLINK("Melting_Curves/meltCurve_Q9NUJ3_TCP11L1.pdf", "Melting_Curves/meltCurve_Q9NUJ3_TCP11L1.pdf")</f>
        <v>Melting_Curves/meltCurve_Q9NUJ3_TCP11L1.pdf</v>
      </c>
    </row>
    <row r="6058" spans="1:28" x14ac:dyDescent="0.25">
      <c r="A6058" t="s">
        <v>6062</v>
      </c>
      <c r="B6058">
        <v>0.995954080203443</v>
      </c>
      <c r="C6058">
        <v>1.0624575618401699</v>
      </c>
      <c r="D6058">
        <v>1.0697255913319501</v>
      </c>
      <c r="E6058">
        <v>0.98603998210712096</v>
      </c>
      <c r="F6058">
        <v>0.88558509764422999</v>
      </c>
      <c r="G6058">
        <v>0.58937514573107397</v>
      </c>
      <c r="H6058">
        <v>0.337635008884484</v>
      </c>
      <c r="I6058">
        <v>0.21341289620305301</v>
      </c>
      <c r="J6058">
        <v>0.28282076863678401</v>
      </c>
      <c r="K6058">
        <v>0.199526057576421</v>
      </c>
      <c r="L6058">
        <v>1488.42496994104</v>
      </c>
      <c r="M6058">
        <v>26.2183450082685</v>
      </c>
      <c r="N6058">
        <v>58.025291088567101</v>
      </c>
      <c r="O6058">
        <v>56.4431841942313</v>
      </c>
      <c r="P6058">
        <v>-9.0998661714457293E-2</v>
      </c>
      <c r="Q6058">
        <v>0.216396451462322</v>
      </c>
      <c r="R6058">
        <v>0.98867614197379505</v>
      </c>
      <c r="S6058" t="s">
        <v>12864</v>
      </c>
      <c r="T6058" t="s">
        <v>13610</v>
      </c>
      <c r="U6058" t="s">
        <v>13610</v>
      </c>
      <c r="V6058" t="s">
        <v>13610</v>
      </c>
      <c r="W6058" t="s">
        <v>19593</v>
      </c>
      <c r="X6058">
        <v>3</v>
      </c>
      <c r="Y6058" t="s">
        <v>26144</v>
      </c>
      <c r="Z6058" t="s">
        <v>32913</v>
      </c>
      <c r="AA6058">
        <v>0.66101655150454086</v>
      </c>
      <c r="AB6058" t="str">
        <f>HYPERLINK("Melting_Curves/meltCurve_Q9NUM4_TMEM106B.pdf", "Melting_Curves/meltCurve_Q9NUM4_TMEM106B.pdf")</f>
        <v>Melting_Curves/meltCurve_Q9NUM4_TMEM106B.pdf</v>
      </c>
    </row>
    <row r="6059" spans="1:28" x14ac:dyDescent="0.25">
      <c r="A6059" t="s">
        <v>6063</v>
      </c>
      <c r="B6059">
        <v>0.995954080203443</v>
      </c>
      <c r="C6059">
        <v>0.91155928574308598</v>
      </c>
      <c r="D6059">
        <v>0.82759354909072202</v>
      </c>
      <c r="E6059">
        <v>0.76389074551438196</v>
      </c>
      <c r="F6059">
        <v>0.57483348624467601</v>
      </c>
      <c r="G6059">
        <v>0.311472244397066</v>
      </c>
      <c r="H6059">
        <v>0.13232884769890901</v>
      </c>
      <c r="I6059">
        <v>0.107480725384447</v>
      </c>
      <c r="J6059">
        <v>0.106251721038159</v>
      </c>
      <c r="K6059">
        <v>9.0666632313767301E-2</v>
      </c>
      <c r="L6059">
        <v>692.81050621621603</v>
      </c>
      <c r="M6059">
        <v>12.9383307884407</v>
      </c>
      <c r="N6059">
        <v>53.690153749706099</v>
      </c>
      <c r="O6059">
        <v>52.316361658835099</v>
      </c>
      <c r="P6059">
        <v>-6.0791022743445201E-2</v>
      </c>
      <c r="Q6059">
        <v>1.6938778764073299E-2</v>
      </c>
      <c r="R6059">
        <v>0.98817224754253796</v>
      </c>
      <c r="S6059" t="s">
        <v>12865</v>
      </c>
      <c r="T6059" t="s">
        <v>13610</v>
      </c>
      <c r="U6059" t="s">
        <v>13610</v>
      </c>
      <c r="V6059" t="s">
        <v>13610</v>
      </c>
      <c r="W6059" t="s">
        <v>19594</v>
      </c>
      <c r="X6059">
        <v>6</v>
      </c>
      <c r="Y6059" t="s">
        <v>26145</v>
      </c>
      <c r="Z6059" t="s">
        <v>32914</v>
      </c>
      <c r="AA6059">
        <v>0.48555555748131801</v>
      </c>
      <c r="AB6059" t="str">
        <f>HYPERLINK("Melting_Curves/meltCurve_Q9NUP1_BLOC1S4.pdf", "Melting_Curves/meltCurve_Q9NUP1_BLOC1S4.pdf")</f>
        <v>Melting_Curves/meltCurve_Q9NUP1_BLOC1S4.pdf</v>
      </c>
    </row>
    <row r="6060" spans="1:28" x14ac:dyDescent="0.25">
      <c r="A6060" t="s">
        <v>6064</v>
      </c>
      <c r="B6060">
        <v>0.995954080203443</v>
      </c>
      <c r="C6060">
        <v>0.98307834590315002</v>
      </c>
      <c r="D6060">
        <v>0.992640268265499</v>
      </c>
      <c r="E6060">
        <v>0.75291150165528797</v>
      </c>
      <c r="F6060">
        <v>0.35994501283700803</v>
      </c>
      <c r="G6060">
        <v>0.13561104983185299</v>
      </c>
      <c r="H6060">
        <v>0.10354708232226401</v>
      </c>
      <c r="I6060">
        <v>0.12044677750527</v>
      </c>
      <c r="J6060">
        <v>0.139493315429634</v>
      </c>
      <c r="K6060">
        <v>0.14487519088275599</v>
      </c>
      <c r="L6060">
        <v>1772.88666752884</v>
      </c>
      <c r="M6060">
        <v>34.491901674367703</v>
      </c>
      <c r="N6060">
        <v>51.824631700492802</v>
      </c>
      <c r="O6060">
        <v>51.228247629004699</v>
      </c>
      <c r="P6060">
        <v>-0.147608539372553</v>
      </c>
      <c r="Q6060">
        <v>0.123075808709145</v>
      </c>
      <c r="R6060">
        <v>0.99867442823038699</v>
      </c>
      <c r="S6060" t="s">
        <v>12866</v>
      </c>
      <c r="T6060" t="s">
        <v>13610</v>
      </c>
      <c r="U6060" t="s">
        <v>13610</v>
      </c>
      <c r="V6060" t="s">
        <v>13610</v>
      </c>
      <c r="W6060" t="s">
        <v>19595</v>
      </c>
      <c r="X6060">
        <v>4</v>
      </c>
      <c r="Y6060" t="s">
        <v>26146</v>
      </c>
      <c r="Z6060" t="s">
        <v>32915</v>
      </c>
      <c r="AA6060">
        <v>0.46050599475095583</v>
      </c>
      <c r="AB6060" t="str">
        <f>HYPERLINK("Melting_Curves/meltCurve_Q9NUP7_TRMT13.pdf", "Melting_Curves/meltCurve_Q9NUP7_TRMT13.pdf")</f>
        <v>Melting_Curves/meltCurve_Q9NUP7_TRMT13.pdf</v>
      </c>
    </row>
    <row r="6061" spans="1:28" x14ac:dyDescent="0.25">
      <c r="A6061" t="s">
        <v>6065</v>
      </c>
      <c r="B6061">
        <v>0.995954080203443</v>
      </c>
      <c r="C6061">
        <v>0.97569872761329401</v>
      </c>
      <c r="D6061">
        <v>0.98662780003371497</v>
      </c>
      <c r="E6061">
        <v>0.79244410159647305</v>
      </c>
      <c r="F6061">
        <v>0.29804020910380602</v>
      </c>
      <c r="G6061">
        <v>0.17671394578921701</v>
      </c>
      <c r="H6061">
        <v>0.12629760898478801</v>
      </c>
      <c r="I6061">
        <v>0.129241915732701</v>
      </c>
      <c r="J6061">
        <v>0.14816115115398401</v>
      </c>
      <c r="K6061">
        <v>0.14024253211836399</v>
      </c>
      <c r="L6061">
        <v>2292.6102474527802</v>
      </c>
      <c r="M6061">
        <v>44.724032585592802</v>
      </c>
      <c r="N6061">
        <v>51.645259272001802</v>
      </c>
      <c r="O6061">
        <v>51.159093716781797</v>
      </c>
      <c r="P6061">
        <v>-0.187641114743721</v>
      </c>
      <c r="Q6061">
        <v>0.14144272420881901</v>
      </c>
      <c r="R6061">
        <v>0.99876492462723898</v>
      </c>
      <c r="S6061" t="s">
        <v>12867</v>
      </c>
      <c r="T6061" t="s">
        <v>13610</v>
      </c>
      <c r="U6061" t="s">
        <v>13610</v>
      </c>
      <c r="V6061" t="s">
        <v>13610</v>
      </c>
      <c r="W6061" t="s">
        <v>19596</v>
      </c>
      <c r="X6061">
        <v>28</v>
      </c>
      <c r="Y6061" t="s">
        <v>26147</v>
      </c>
      <c r="Z6061" t="s">
        <v>32916</v>
      </c>
      <c r="AA6061">
        <v>0.4661533968446363</v>
      </c>
      <c r="AB6061" t="str">
        <f>HYPERLINK("Melting_Curves/meltCurve_Q9NUQ3_TXLNG.pdf", "Melting_Curves/meltCurve_Q9NUQ3_TXLNG.pdf")</f>
        <v>Melting_Curves/meltCurve_Q9NUQ3_TXLNG.pdf</v>
      </c>
    </row>
    <row r="6062" spans="1:28" x14ac:dyDescent="0.25">
      <c r="A6062" t="s">
        <v>6066</v>
      </c>
      <c r="B6062">
        <v>0.995954080203443</v>
      </c>
      <c r="C6062">
        <v>0.97246738980523595</v>
      </c>
      <c r="D6062">
        <v>0.80277563454848799</v>
      </c>
      <c r="E6062">
        <v>0.57046393387935401</v>
      </c>
      <c r="F6062">
        <v>0.51565601260699001</v>
      </c>
      <c r="G6062">
        <v>0.37286271342049798</v>
      </c>
      <c r="H6062">
        <v>0.36315703766656798</v>
      </c>
      <c r="I6062">
        <v>0.37687382861534802</v>
      </c>
      <c r="J6062">
        <v>0.50505626150399496</v>
      </c>
      <c r="K6062">
        <v>0.46425161062999198</v>
      </c>
      <c r="L6062">
        <v>1060.9912656868501</v>
      </c>
      <c r="M6062">
        <v>22.2792406606528</v>
      </c>
      <c r="N6062">
        <v>51.873593487235397</v>
      </c>
      <c r="O6062">
        <v>47.243699366313102</v>
      </c>
      <c r="P6062">
        <v>-6.8444469857464996E-2</v>
      </c>
      <c r="Q6062">
        <v>0.419459055111019</v>
      </c>
      <c r="R6062">
        <v>0.96061990761365501</v>
      </c>
      <c r="S6062" t="s">
        <v>12868</v>
      </c>
      <c r="T6062" t="s">
        <v>13610</v>
      </c>
      <c r="U6062" t="s">
        <v>13610</v>
      </c>
      <c r="V6062" t="s">
        <v>13610</v>
      </c>
      <c r="W6062" t="s">
        <v>19597</v>
      </c>
      <c r="X6062">
        <v>3</v>
      </c>
      <c r="Y6062" t="s">
        <v>26148</v>
      </c>
      <c r="Z6062" t="s">
        <v>32917</v>
      </c>
      <c r="AA6062">
        <v>0.57355605925066644</v>
      </c>
      <c r="AB6062" t="str">
        <f>HYPERLINK("Melting_Curves/meltCurve_Q9NUQ6_2_SPATS2L.pdf", "Melting_Curves/meltCurve_Q9NUQ6_2_SPATS2L.pdf")</f>
        <v>Melting_Curves/meltCurve_Q9NUQ6_2_SPATS2L.pdf</v>
      </c>
    </row>
    <row r="6063" spans="1:28" x14ac:dyDescent="0.25">
      <c r="A6063" t="s">
        <v>6067</v>
      </c>
      <c r="B6063">
        <v>0.995954080203443</v>
      </c>
      <c r="C6063">
        <v>0.61914149482470304</v>
      </c>
      <c r="D6063">
        <v>0.55650949592387799</v>
      </c>
      <c r="E6063">
        <v>0.51123946100296103</v>
      </c>
      <c r="F6063">
        <v>0.50371064626245898</v>
      </c>
      <c r="G6063">
        <v>0.35387479230033198</v>
      </c>
      <c r="H6063">
        <v>0.32628248196909398</v>
      </c>
      <c r="I6063">
        <v>0.36302453394669498</v>
      </c>
      <c r="J6063">
        <v>0.44300621320835998</v>
      </c>
      <c r="K6063">
        <v>0.43377228666082002</v>
      </c>
      <c r="L6063">
        <v>1022.38359404189</v>
      </c>
      <c r="M6063">
        <v>23.876213243451101</v>
      </c>
      <c r="N6063">
        <v>46.289847318877896</v>
      </c>
      <c r="O6063">
        <v>42.5231902952819</v>
      </c>
      <c r="P6063">
        <v>-8.1909606306342295E-2</v>
      </c>
      <c r="Q6063">
        <v>0.41649017078278</v>
      </c>
      <c r="R6063">
        <v>0.86703255738708496</v>
      </c>
      <c r="S6063" t="s">
        <v>12869</v>
      </c>
      <c r="T6063" t="s">
        <v>13610</v>
      </c>
      <c r="U6063" t="s">
        <v>13610</v>
      </c>
      <c r="V6063" t="s">
        <v>13610</v>
      </c>
      <c r="W6063" t="s">
        <v>19598</v>
      </c>
      <c r="X6063">
        <v>13</v>
      </c>
      <c r="Y6063" t="s">
        <v>26149</v>
      </c>
      <c r="Z6063" t="s">
        <v>32918</v>
      </c>
      <c r="AA6063">
        <v>0.48106982662245118</v>
      </c>
      <c r="AB6063" t="str">
        <f>HYPERLINK("Melting_Curves/meltCurve_Q9NUQ8_2_ABCF3.pdf", "Melting_Curves/meltCurve_Q9NUQ8_2_ABCF3.pdf")</f>
        <v>Melting_Curves/meltCurve_Q9NUQ8_2_ABCF3.pdf</v>
      </c>
    </row>
    <row r="6064" spans="1:28" x14ac:dyDescent="0.25">
      <c r="A6064" t="s">
        <v>6068</v>
      </c>
      <c r="B6064">
        <v>0.995954080203443</v>
      </c>
      <c r="C6064">
        <v>1.0940588993873099</v>
      </c>
      <c r="D6064">
        <v>1.09582102891317</v>
      </c>
      <c r="E6064">
        <v>0.99469494649947998</v>
      </c>
      <c r="F6064">
        <v>0.95175213538091297</v>
      </c>
      <c r="G6064">
        <v>0.51733239170813905</v>
      </c>
      <c r="H6064">
        <v>0.11777724597287199</v>
      </c>
      <c r="I6064">
        <v>0.118679445897655</v>
      </c>
      <c r="J6064">
        <v>0.12520892315080501</v>
      </c>
      <c r="K6064">
        <v>0.10904845576855</v>
      </c>
      <c r="L6064">
        <v>2716.0140452168798</v>
      </c>
      <c r="M6064">
        <v>47.842589047246598</v>
      </c>
      <c r="N6064">
        <v>57.064633205451699</v>
      </c>
      <c r="O6064">
        <v>56.670862860296303</v>
      </c>
      <c r="P6064">
        <v>-0.18794354344793199</v>
      </c>
      <c r="Q6064">
        <v>0.109503502953695</v>
      </c>
      <c r="R6064">
        <v>0.98966100302375104</v>
      </c>
      <c r="S6064" t="s">
        <v>12870</v>
      </c>
      <c r="T6064" t="s">
        <v>13610</v>
      </c>
      <c r="U6064" t="s">
        <v>13610</v>
      </c>
      <c r="V6064" t="s">
        <v>13610</v>
      </c>
      <c r="W6064" t="s">
        <v>19599</v>
      </c>
      <c r="X6064">
        <v>19</v>
      </c>
      <c r="Y6064" t="s">
        <v>26150</v>
      </c>
      <c r="Z6064" t="s">
        <v>32919</v>
      </c>
      <c r="AA6064">
        <v>0.60971515991202019</v>
      </c>
      <c r="AB6064" t="str">
        <f>HYPERLINK("Melting_Curves/meltCurve_Q9NUQ9_FAM49B.pdf", "Melting_Curves/meltCurve_Q9NUQ9_FAM49B.pdf")</f>
        <v>Melting_Curves/meltCurve_Q9NUQ9_FAM49B.pdf</v>
      </c>
    </row>
    <row r="6065" spans="1:28" x14ac:dyDescent="0.25">
      <c r="A6065" t="s">
        <v>6069</v>
      </c>
      <c r="B6065">
        <v>0.995954080203443</v>
      </c>
      <c r="C6065">
        <v>0.83724580094555501</v>
      </c>
      <c r="D6065">
        <v>0.76260399709872295</v>
      </c>
      <c r="E6065">
        <v>0.71080301776844301</v>
      </c>
      <c r="F6065">
        <v>0.349396628825205</v>
      </c>
      <c r="G6065">
        <v>0.163903290977883</v>
      </c>
      <c r="H6065">
        <v>0.12119012538658</v>
      </c>
      <c r="I6065">
        <v>0.109057641538119</v>
      </c>
      <c r="J6065">
        <v>0.12799926397826</v>
      </c>
      <c r="K6065">
        <v>0.12778602015295301</v>
      </c>
      <c r="L6065">
        <v>706.77566363673895</v>
      </c>
      <c r="M6065">
        <v>13.9682716289207</v>
      </c>
      <c r="N6065">
        <v>51.142673154243198</v>
      </c>
      <c r="O6065">
        <v>49.595414065966096</v>
      </c>
      <c r="P6065">
        <v>-6.5558858738920506E-2</v>
      </c>
      <c r="Q6065">
        <v>6.9037055791390897E-2</v>
      </c>
      <c r="R6065">
        <v>0.96480474714359599</v>
      </c>
      <c r="S6065" t="s">
        <v>12871</v>
      </c>
      <c r="T6065" t="s">
        <v>13610</v>
      </c>
      <c r="U6065" t="s">
        <v>13610</v>
      </c>
      <c r="V6065" t="s">
        <v>13610</v>
      </c>
      <c r="W6065" t="s">
        <v>19600</v>
      </c>
      <c r="X6065">
        <v>5</v>
      </c>
      <c r="Y6065" t="s">
        <v>26151</v>
      </c>
      <c r="Z6065" t="s">
        <v>32920</v>
      </c>
      <c r="AA6065">
        <v>0.42247045203005767</v>
      </c>
      <c r="AB6065" t="str">
        <f>HYPERLINK("Melting_Curves/meltCurve_Q9NUS5_AP5S1.pdf", "Melting_Curves/meltCurve_Q9NUS5_AP5S1.pdf")</f>
        <v>Melting_Curves/meltCurve_Q9NUS5_AP5S1.pdf</v>
      </c>
    </row>
    <row r="6066" spans="1:28" x14ac:dyDescent="0.25">
      <c r="A6066" t="s">
        <v>6070</v>
      </c>
      <c r="B6066">
        <v>0.995954080203443</v>
      </c>
      <c r="C6066">
        <v>0.97199187578207602</v>
      </c>
      <c r="D6066">
        <v>0.80984245497422203</v>
      </c>
      <c r="E6066">
        <v>0.39796000972203299</v>
      </c>
      <c r="F6066">
        <v>0.21976836429332899</v>
      </c>
      <c r="G6066">
        <v>0.13878781972246501</v>
      </c>
      <c r="H6066">
        <v>0.102624510059228</v>
      </c>
      <c r="I6066">
        <v>0.10740605202491001</v>
      </c>
      <c r="J6066">
        <v>0.12115332549604201</v>
      </c>
      <c r="K6066">
        <v>0.121690631091917</v>
      </c>
      <c r="L6066">
        <v>1174.0739151847599</v>
      </c>
      <c r="M6066">
        <v>24.211484312773301</v>
      </c>
      <c r="N6066">
        <v>49.007992106424197</v>
      </c>
      <c r="O6066">
        <v>48.1652577471801</v>
      </c>
      <c r="P6066">
        <v>-0.111542159527927</v>
      </c>
      <c r="Q6066">
        <v>0.112425374005742</v>
      </c>
      <c r="R6066">
        <v>0.99954269108586902</v>
      </c>
      <c r="S6066" t="s">
        <v>12872</v>
      </c>
      <c r="T6066" t="s">
        <v>13610</v>
      </c>
      <c r="U6066" t="s">
        <v>13610</v>
      </c>
      <c r="V6066" t="s">
        <v>13610</v>
      </c>
      <c r="W6066" t="s">
        <v>19601</v>
      </c>
      <c r="X6066">
        <v>26</v>
      </c>
      <c r="Y6066" t="s">
        <v>26152</v>
      </c>
      <c r="Z6066" t="s">
        <v>32921</v>
      </c>
      <c r="AA6066">
        <v>0.37207148984049521</v>
      </c>
      <c r="AB6066" t="str">
        <f>HYPERLINK("Melting_Curves/meltCurve_Q9NUU7_DDX19A.pdf", "Melting_Curves/meltCurve_Q9NUU7_DDX19A.pdf")</f>
        <v>Melting_Curves/meltCurve_Q9NUU7_DDX19A.pdf</v>
      </c>
    </row>
    <row r="6067" spans="1:28" x14ac:dyDescent="0.25">
      <c r="A6067" t="s">
        <v>6071</v>
      </c>
      <c r="B6067">
        <v>0.995954080203443</v>
      </c>
      <c r="C6067">
        <v>0.77213138380341895</v>
      </c>
      <c r="D6067">
        <v>0.59027644510291799</v>
      </c>
      <c r="E6067">
        <v>0.35074740705580598</v>
      </c>
      <c r="F6067">
        <v>0.25337777157825497</v>
      </c>
      <c r="G6067">
        <v>0.13889795644101699</v>
      </c>
      <c r="H6067">
        <v>9.3921886659705203E-2</v>
      </c>
      <c r="I6067">
        <v>9.5296364353972499E-2</v>
      </c>
      <c r="J6067">
        <v>0.106418110241422</v>
      </c>
      <c r="K6067">
        <v>9.5736388999982103E-2</v>
      </c>
      <c r="L6067">
        <v>678.54240191474798</v>
      </c>
      <c r="M6067">
        <v>14.4935654063271</v>
      </c>
      <c r="N6067">
        <v>47.418883717274099</v>
      </c>
      <c r="O6067">
        <v>45.952627606637897</v>
      </c>
      <c r="P6067">
        <v>-7.2232162258505303E-2</v>
      </c>
      <c r="Q6067">
        <v>8.4042188874326296E-2</v>
      </c>
      <c r="R6067">
        <v>0.99236708343643498</v>
      </c>
      <c r="S6067" t="s">
        <v>12873</v>
      </c>
      <c r="T6067" t="s">
        <v>13610</v>
      </c>
      <c r="U6067" t="s">
        <v>13610</v>
      </c>
      <c r="V6067" t="s">
        <v>13610</v>
      </c>
      <c r="W6067" t="s">
        <v>19602</v>
      </c>
      <c r="X6067">
        <v>9</v>
      </c>
      <c r="Y6067" t="s">
        <v>26153</v>
      </c>
      <c r="Z6067" t="s">
        <v>32922</v>
      </c>
      <c r="AA6067">
        <v>0.31919269113024751</v>
      </c>
      <c r="AB6067" t="str">
        <f>HYPERLINK("Melting_Curves/meltCurve_Q9NUW8_TDP1.pdf", "Melting_Curves/meltCurve_Q9NUW8_TDP1.pdf")</f>
        <v>Melting_Curves/meltCurve_Q9NUW8_TDP1.pdf</v>
      </c>
    </row>
    <row r="6068" spans="1:28" x14ac:dyDescent="0.25">
      <c r="A6068" t="s">
        <v>6072</v>
      </c>
      <c r="B6068">
        <v>0.995954080203443</v>
      </c>
      <c r="C6068">
        <v>0.93474487738010503</v>
      </c>
      <c r="D6068">
        <v>0.89392465776708396</v>
      </c>
      <c r="E6068">
        <v>0.58889381557764697</v>
      </c>
      <c r="F6068">
        <v>0.223979743550515</v>
      </c>
      <c r="G6068">
        <v>0.14022969142458999</v>
      </c>
      <c r="H6068">
        <v>9.6144700928870896E-2</v>
      </c>
      <c r="I6068">
        <v>7.5526045290591204E-2</v>
      </c>
      <c r="J6068">
        <v>8.7735855233623497E-2</v>
      </c>
      <c r="K6068">
        <v>8.4474976918187006E-2</v>
      </c>
      <c r="L6068">
        <v>1282.41715553375</v>
      </c>
      <c r="M6068">
        <v>25.584125262701502</v>
      </c>
      <c r="N6068">
        <v>50.477438503028203</v>
      </c>
      <c r="O6068">
        <v>49.822263743237897</v>
      </c>
      <c r="P6068">
        <v>-0.11789188875699</v>
      </c>
      <c r="Q6068">
        <v>8.16854024182712E-2</v>
      </c>
      <c r="R6068">
        <v>0.99533008578900195</v>
      </c>
      <c r="S6068" t="s">
        <v>12874</v>
      </c>
      <c r="T6068" t="s">
        <v>13610</v>
      </c>
      <c r="U6068" t="s">
        <v>13610</v>
      </c>
      <c r="V6068" t="s">
        <v>13610</v>
      </c>
      <c r="W6068" t="s">
        <v>19603</v>
      </c>
      <c r="X6068">
        <v>8</v>
      </c>
      <c r="Y6068" t="s">
        <v>26154</v>
      </c>
      <c r="Z6068" t="s">
        <v>32923</v>
      </c>
      <c r="AA6068">
        <v>0.39947796776805489</v>
      </c>
      <c r="AB6068" t="str">
        <f>HYPERLINK("Melting_Curves/meltCurve_Q9NUX5_2_POT1.pdf", "Melting_Curves/meltCurve_Q9NUX5_2_POT1.pdf")</f>
        <v>Melting_Curves/meltCurve_Q9NUX5_2_POT1.pdf</v>
      </c>
    </row>
    <row r="6069" spans="1:28" x14ac:dyDescent="0.25">
      <c r="A6069" t="s">
        <v>6073</v>
      </c>
      <c r="B6069">
        <v>0.995954080203443</v>
      </c>
      <c r="C6069">
        <v>0.98142725486424998</v>
      </c>
      <c r="D6069">
        <v>1.0300311748164299</v>
      </c>
      <c r="E6069">
        <v>0.67508828986066405</v>
      </c>
      <c r="F6069">
        <v>0.47175675672731399</v>
      </c>
      <c r="G6069">
        <v>0.177803171048143</v>
      </c>
      <c r="H6069">
        <v>0.113624626748801</v>
      </c>
      <c r="I6069">
        <v>0.10239157003742801</v>
      </c>
      <c r="J6069">
        <v>0.124563555478413</v>
      </c>
      <c r="K6069">
        <v>0.11495483358906</v>
      </c>
      <c r="L6069">
        <v>1224.56934273259</v>
      </c>
      <c r="M6069">
        <v>23.663013922867101</v>
      </c>
      <c r="N6069">
        <v>52.264203852790303</v>
      </c>
      <c r="O6069">
        <v>51.385016097605899</v>
      </c>
      <c r="P6069">
        <v>-0.103179496786469</v>
      </c>
      <c r="Q6069">
        <v>0.10378436295259701</v>
      </c>
      <c r="R6069">
        <v>0.992503667743318</v>
      </c>
      <c r="S6069" t="s">
        <v>12875</v>
      </c>
      <c r="T6069" t="s">
        <v>13610</v>
      </c>
      <c r="U6069" t="s">
        <v>13610</v>
      </c>
      <c r="V6069" t="s">
        <v>13610</v>
      </c>
      <c r="W6069" t="s">
        <v>19604</v>
      </c>
      <c r="X6069">
        <v>12</v>
      </c>
      <c r="Y6069" t="s">
        <v>26155</v>
      </c>
      <c r="Z6069" t="s">
        <v>32924</v>
      </c>
      <c r="AA6069">
        <v>0.46388425917143822</v>
      </c>
      <c r="AB6069" t="str">
        <f>HYPERLINK("Melting_Curves/meltCurve_Q9NUY8_2_TBC1D23.pdf", "Melting_Curves/meltCurve_Q9NUY8_2_TBC1D23.pdf")</f>
        <v>Melting_Curves/meltCurve_Q9NUY8_2_TBC1D23.pdf</v>
      </c>
    </row>
    <row r="6070" spans="1:28" x14ac:dyDescent="0.25">
      <c r="A6070" t="s">
        <v>6074</v>
      </c>
      <c r="B6070">
        <v>0.995954080203443</v>
      </c>
      <c r="C6070">
        <v>0.94783460640890205</v>
      </c>
      <c r="D6070">
        <v>0.85572971023598798</v>
      </c>
      <c r="E6070">
        <v>0.74684813141831596</v>
      </c>
      <c r="F6070">
        <v>0.64297038945107199</v>
      </c>
      <c r="G6070">
        <v>0.39260080847644202</v>
      </c>
      <c r="H6070">
        <v>0.18967276683242801</v>
      </c>
      <c r="I6070">
        <v>0.13950407496915401</v>
      </c>
      <c r="J6070">
        <v>0.118927201824885</v>
      </c>
      <c r="K6070">
        <v>0.10984048909916901</v>
      </c>
      <c r="L6070">
        <v>643.89127717159295</v>
      </c>
      <c r="M6070">
        <v>11.786179215844401</v>
      </c>
      <c r="N6070">
        <v>54.731279278468499</v>
      </c>
      <c r="O6070">
        <v>53.129508354689399</v>
      </c>
      <c r="P6070">
        <v>-5.4881704676442898E-2</v>
      </c>
      <c r="Q6070">
        <v>1.06769917782133E-2</v>
      </c>
      <c r="R6070">
        <v>0.99302595126331605</v>
      </c>
      <c r="S6070" t="s">
        <v>12876</v>
      </c>
      <c r="T6070" t="s">
        <v>13610</v>
      </c>
      <c r="U6070" t="s">
        <v>13610</v>
      </c>
      <c r="V6070" t="s">
        <v>13610</v>
      </c>
      <c r="W6070" t="s">
        <v>19605</v>
      </c>
      <c r="X6070">
        <v>14</v>
      </c>
      <c r="Y6070" t="s">
        <v>26156</v>
      </c>
      <c r="Z6070" t="s">
        <v>32925</v>
      </c>
      <c r="AA6070">
        <v>0.51772367070210012</v>
      </c>
      <c r="AB6070" t="str">
        <f>HYPERLINK("Melting_Curves/meltCurve_Q9NV06_DCAF13.pdf", "Melting_Curves/meltCurve_Q9NV06_DCAF13.pdf")</f>
        <v>Melting_Curves/meltCurve_Q9NV06_DCAF13.pdf</v>
      </c>
    </row>
    <row r="6071" spans="1:28" x14ac:dyDescent="0.25">
      <c r="A6071" t="s">
        <v>6075</v>
      </c>
      <c r="B6071">
        <v>0.995954080203443</v>
      </c>
      <c r="C6071">
        <v>0.93377606133672797</v>
      </c>
      <c r="D6071">
        <v>0.696956748968659</v>
      </c>
      <c r="E6071">
        <v>0.43804646866834301</v>
      </c>
      <c r="F6071">
        <v>0.176114443364948</v>
      </c>
      <c r="G6071">
        <v>0.10172742953481299</v>
      </c>
      <c r="H6071">
        <v>5.9254170653868801E-2</v>
      </c>
      <c r="I6071">
        <v>6.5690077552065906E-2</v>
      </c>
      <c r="J6071">
        <v>5.7559846072568102E-2</v>
      </c>
      <c r="K6071">
        <v>5.12427545067645E-2</v>
      </c>
      <c r="L6071">
        <v>872.78818327285001</v>
      </c>
      <c r="M6071">
        <v>18.020586956638699</v>
      </c>
      <c r="N6071">
        <v>48.686157949370902</v>
      </c>
      <c r="O6071">
        <v>47.848232727241601</v>
      </c>
      <c r="P6071">
        <v>-8.9945841276603503E-2</v>
      </c>
      <c r="Q6071">
        <v>4.4750728276209399E-2</v>
      </c>
      <c r="R6071">
        <v>0.99566389440145697</v>
      </c>
      <c r="S6071" t="s">
        <v>12877</v>
      </c>
      <c r="T6071" t="s">
        <v>13610</v>
      </c>
      <c r="U6071" t="s">
        <v>13610</v>
      </c>
      <c r="V6071" t="s">
        <v>13610</v>
      </c>
      <c r="W6071" t="s">
        <v>19606</v>
      </c>
      <c r="X6071">
        <v>5</v>
      </c>
      <c r="Y6071" t="s">
        <v>26157</v>
      </c>
      <c r="Z6071" t="s">
        <v>32926</v>
      </c>
      <c r="AA6071">
        <v>0.32997612605621868</v>
      </c>
      <c r="AB6071" t="str">
        <f>HYPERLINK("Melting_Curves/meltCurve_Q9NV31_IMP3.pdf", "Melting_Curves/meltCurve_Q9NV31_IMP3.pdf")</f>
        <v>Melting_Curves/meltCurve_Q9NV31_IMP3.pdf</v>
      </c>
    </row>
    <row r="6072" spans="1:28" x14ac:dyDescent="0.25">
      <c r="A6072" t="s">
        <v>6076</v>
      </c>
      <c r="B6072">
        <v>0.995954080203443</v>
      </c>
      <c r="C6072">
        <v>0.97302097604136994</v>
      </c>
      <c r="D6072">
        <v>0.82706085267757401</v>
      </c>
      <c r="E6072">
        <v>0.47634603830449201</v>
      </c>
      <c r="F6072">
        <v>0.203953067545983</v>
      </c>
      <c r="G6072">
        <v>9.2789178226009905E-2</v>
      </c>
      <c r="H6072">
        <v>6.2593400613906003E-2</v>
      </c>
      <c r="I6072">
        <v>6.3604019647396107E-2</v>
      </c>
      <c r="J6072">
        <v>7.2902336446079602E-2</v>
      </c>
      <c r="K6072">
        <v>7.3245586269903407E-2</v>
      </c>
      <c r="L6072">
        <v>1115.18774126326</v>
      </c>
      <c r="M6072">
        <v>22.622361649230101</v>
      </c>
      <c r="N6072">
        <v>49.574383910790203</v>
      </c>
      <c r="O6072">
        <v>48.915442638750001</v>
      </c>
      <c r="P6072">
        <v>-0.108720992555182</v>
      </c>
      <c r="Q6072">
        <v>5.9685889514339001E-2</v>
      </c>
      <c r="R6072">
        <v>0.99898432832193296</v>
      </c>
      <c r="S6072" t="s">
        <v>12878</v>
      </c>
      <c r="T6072" t="s">
        <v>13610</v>
      </c>
      <c r="U6072" t="s">
        <v>13610</v>
      </c>
      <c r="V6072" t="s">
        <v>13610</v>
      </c>
      <c r="W6072" t="s">
        <v>19607</v>
      </c>
      <c r="X6072">
        <v>5</v>
      </c>
      <c r="Y6072" t="s">
        <v>26158</v>
      </c>
      <c r="Z6072" t="s">
        <v>32927</v>
      </c>
      <c r="AA6072">
        <v>0.36129194396598652</v>
      </c>
      <c r="AB6072" t="str">
        <f>HYPERLINK("Melting_Curves/meltCurve_Q9NV35_NUDT15.pdf", "Melting_Curves/meltCurve_Q9NV35_NUDT15.pdf")</f>
        <v>Melting_Curves/meltCurve_Q9NV35_NUDT15.pdf</v>
      </c>
    </row>
    <row r="6073" spans="1:28" x14ac:dyDescent="0.25">
      <c r="A6073" t="s">
        <v>6077</v>
      </c>
      <c r="B6073">
        <v>0.995954080203443</v>
      </c>
      <c r="C6073">
        <v>1.04599092110478</v>
      </c>
      <c r="D6073">
        <v>1.3636684276511699</v>
      </c>
      <c r="E6073">
        <v>0.999354767603295</v>
      </c>
      <c r="F6073">
        <v>1.15941775326454</v>
      </c>
      <c r="G6073">
        <v>0.69868049384423003</v>
      </c>
      <c r="H6073">
        <v>0.27100454304558902</v>
      </c>
      <c r="I6073">
        <v>0.20654067320164199</v>
      </c>
      <c r="J6073">
        <v>0.174353981282383</v>
      </c>
      <c r="K6073">
        <v>0.20051928159865601</v>
      </c>
      <c r="L6073">
        <v>3335.2231853128501</v>
      </c>
      <c r="M6073">
        <v>57.960762623734198</v>
      </c>
      <c r="N6073">
        <v>58.068920832287397</v>
      </c>
      <c r="O6073">
        <v>57.474397598495798</v>
      </c>
      <c r="P6073">
        <v>-0.20061576561735101</v>
      </c>
      <c r="Q6073">
        <v>0.204271010525198</v>
      </c>
      <c r="R6073">
        <v>0.91367032566849504</v>
      </c>
      <c r="S6073" t="s">
        <v>12879</v>
      </c>
      <c r="T6073" t="s">
        <v>13610</v>
      </c>
      <c r="U6073" t="s">
        <v>13610</v>
      </c>
      <c r="V6073" t="s">
        <v>13610</v>
      </c>
      <c r="W6073" t="s">
        <v>19608</v>
      </c>
      <c r="X6073">
        <v>2</v>
      </c>
      <c r="Y6073" t="s">
        <v>26159</v>
      </c>
      <c r="Z6073" t="s">
        <v>32928</v>
      </c>
      <c r="AA6073">
        <v>0.67108038540715598</v>
      </c>
      <c r="AB6073" t="str">
        <f>HYPERLINK("Melting_Curves/meltCurve_Q9NV56_MRGBP.pdf", "Melting_Curves/meltCurve_Q9NV56_MRGBP.pdf")</f>
        <v>Melting_Curves/meltCurve_Q9NV56_MRGBP.pdf</v>
      </c>
    </row>
    <row r="6074" spans="1:28" x14ac:dyDescent="0.25">
      <c r="A6074" t="s">
        <v>6078</v>
      </c>
      <c r="B6074">
        <v>0.995954080203443</v>
      </c>
      <c r="C6074">
        <v>0.76930007959692104</v>
      </c>
      <c r="D6074">
        <v>0.46888245324379901</v>
      </c>
      <c r="E6074">
        <v>0.217365828077696</v>
      </c>
      <c r="F6074">
        <v>0.120861200397565</v>
      </c>
      <c r="G6074">
        <v>7.5974630856165501E-2</v>
      </c>
      <c r="H6074">
        <v>5.7366251930177699E-2</v>
      </c>
      <c r="I6074">
        <v>5.8493314616528201E-2</v>
      </c>
      <c r="J6074">
        <v>6.1726022444389801E-2</v>
      </c>
      <c r="K6074">
        <v>5.9354910597855103E-2</v>
      </c>
      <c r="L6074">
        <v>906.976139323746</v>
      </c>
      <c r="M6074">
        <v>19.925352215887699</v>
      </c>
      <c r="N6074">
        <v>45.815709607309103</v>
      </c>
      <c r="O6074">
        <v>45.067652070702898</v>
      </c>
      <c r="P6074">
        <v>-0.103837256741925</v>
      </c>
      <c r="Q6074">
        <v>6.0584397893692403E-2</v>
      </c>
      <c r="R6074">
        <v>0.99638085377267405</v>
      </c>
      <c r="S6074" t="s">
        <v>12880</v>
      </c>
      <c r="T6074" t="s">
        <v>13610</v>
      </c>
      <c r="U6074" t="s">
        <v>13610</v>
      </c>
      <c r="V6074" t="s">
        <v>13610</v>
      </c>
      <c r="W6074" t="s">
        <v>19609</v>
      </c>
      <c r="X6074">
        <v>22</v>
      </c>
      <c r="Y6074" t="s">
        <v>26160</v>
      </c>
      <c r="Z6074" t="s">
        <v>32929</v>
      </c>
      <c r="AA6074">
        <v>0.2486187791870475</v>
      </c>
      <c r="AB6074" t="str">
        <f>HYPERLINK("Melting_Curves/meltCurve_Q9NV70_2_EXOC1.pdf", "Melting_Curves/meltCurve_Q9NV70_2_EXOC1.pdf")</f>
        <v>Melting_Curves/meltCurve_Q9NV70_2_EXOC1.pdf</v>
      </c>
    </row>
    <row r="6075" spans="1:28" x14ac:dyDescent="0.25">
      <c r="A6075" t="s">
        <v>6079</v>
      </c>
      <c r="B6075">
        <v>0.995954080203443</v>
      </c>
      <c r="C6075">
        <v>0.85482436969564202</v>
      </c>
      <c r="D6075">
        <v>0.80097585378435499</v>
      </c>
      <c r="E6075">
        <v>0.71909039785346596</v>
      </c>
      <c r="F6075">
        <v>0.45181757076277201</v>
      </c>
      <c r="G6075">
        <v>0.20100656481607501</v>
      </c>
      <c r="H6075">
        <v>0.14618190829528199</v>
      </c>
      <c r="I6075">
        <v>0.14428758930477201</v>
      </c>
      <c r="J6075">
        <v>0.18592092339933899</v>
      </c>
      <c r="K6075">
        <v>0.15848463843926</v>
      </c>
      <c r="L6075">
        <v>736.69248353217597</v>
      </c>
      <c r="M6075">
        <v>14.4105696213356</v>
      </c>
      <c r="N6075">
        <v>52.011765811359702</v>
      </c>
      <c r="O6075">
        <v>50.167489425254601</v>
      </c>
      <c r="P6075">
        <v>-6.3972398787291995E-2</v>
      </c>
      <c r="Q6075">
        <v>0.109277708671647</v>
      </c>
      <c r="R6075">
        <v>0.97130436191945402</v>
      </c>
      <c r="S6075" t="s">
        <v>12881</v>
      </c>
      <c r="T6075" t="s">
        <v>13610</v>
      </c>
      <c r="U6075" t="s">
        <v>13610</v>
      </c>
      <c r="V6075" t="s">
        <v>13610</v>
      </c>
      <c r="W6075" t="s">
        <v>19610</v>
      </c>
      <c r="X6075">
        <v>16</v>
      </c>
      <c r="Y6075" t="s">
        <v>26161</v>
      </c>
      <c r="Z6075" t="s">
        <v>32930</v>
      </c>
      <c r="AA6075">
        <v>0.46136484115794568</v>
      </c>
      <c r="AB6075" t="str">
        <f>HYPERLINK("Melting_Curves/meltCurve_Q9NV88_3_INTS9.pdf", "Melting_Curves/meltCurve_Q9NV88_3_INTS9.pdf")</f>
        <v>Melting_Curves/meltCurve_Q9NV88_3_INTS9.pdf</v>
      </c>
    </row>
    <row r="6076" spans="1:28" x14ac:dyDescent="0.25">
      <c r="A6076" t="s">
        <v>6080</v>
      </c>
      <c r="B6076">
        <v>0.995954080203443</v>
      </c>
      <c r="C6076">
        <v>0.84096710719748302</v>
      </c>
      <c r="D6076">
        <v>0.72333670652272197</v>
      </c>
      <c r="E6076">
        <v>0.89801144668867094</v>
      </c>
      <c r="F6076">
        <v>0.41957571294588503</v>
      </c>
      <c r="G6076">
        <v>0.15025018403106299</v>
      </c>
      <c r="H6076">
        <v>0.101472589812828</v>
      </c>
      <c r="I6076">
        <v>6.1253876958164803E-2</v>
      </c>
      <c r="J6076">
        <v>7.5409116463999004E-2</v>
      </c>
      <c r="K6076">
        <v>7.9428204656840806E-2</v>
      </c>
      <c r="S6076" t="s">
        <v>12882</v>
      </c>
      <c r="T6076" t="s">
        <v>13610</v>
      </c>
      <c r="U6076" t="s">
        <v>13611</v>
      </c>
      <c r="V6076" t="s">
        <v>13610</v>
      </c>
      <c r="W6076" t="s">
        <v>19611</v>
      </c>
      <c r="X6076">
        <v>1</v>
      </c>
      <c r="Y6076" t="s">
        <v>26162</v>
      </c>
      <c r="Z6076" t="s">
        <v>32931</v>
      </c>
      <c r="AB6076" t="str">
        <f>HYPERLINK("Melting_Curves/meltCurve_Q9NV96_3_TMEM30A.pdf", "Melting_Curves/meltCurve_Q9NV96_3_TMEM30A.pdf")</f>
        <v>Melting_Curves/meltCurve_Q9NV96_3_TMEM30A.pdf</v>
      </c>
    </row>
    <row r="6077" spans="1:28" x14ac:dyDescent="0.25">
      <c r="A6077" t="s">
        <v>6081</v>
      </c>
      <c r="B6077">
        <v>0.995954080203443</v>
      </c>
      <c r="C6077">
        <v>0.96269770497250895</v>
      </c>
      <c r="D6077">
        <v>0.79984785403151704</v>
      </c>
      <c r="E6077">
        <v>0.70809524710400495</v>
      </c>
      <c r="F6077">
        <v>0.59382454950195496</v>
      </c>
      <c r="G6077">
        <v>0.46667973365042398</v>
      </c>
      <c r="H6077">
        <v>0.47006731779354999</v>
      </c>
      <c r="I6077">
        <v>0.54936738125951201</v>
      </c>
      <c r="J6077">
        <v>0.63149087265175297</v>
      </c>
      <c r="K6077">
        <v>0.65477168443542799</v>
      </c>
      <c r="L6077">
        <v>992.58692289411204</v>
      </c>
      <c r="M6077">
        <v>21.093308420733798</v>
      </c>
      <c r="O6077">
        <v>46.640136460959503</v>
      </c>
      <c r="P6077">
        <v>-5.0056444923273498E-2</v>
      </c>
      <c r="Q6077">
        <v>0.55728559740008599</v>
      </c>
      <c r="R6077">
        <v>0.88037785898694998</v>
      </c>
      <c r="S6077" t="s">
        <v>12883</v>
      </c>
      <c r="T6077" t="s">
        <v>13610</v>
      </c>
      <c r="U6077" t="s">
        <v>13610</v>
      </c>
      <c r="V6077" t="s">
        <v>13610</v>
      </c>
      <c r="W6077" t="s">
        <v>19612</v>
      </c>
      <c r="X6077">
        <v>1</v>
      </c>
      <c r="Y6077" t="s">
        <v>26163</v>
      </c>
      <c r="Z6077" t="s">
        <v>32932</v>
      </c>
      <c r="AA6077">
        <v>0.66717512241052501</v>
      </c>
      <c r="AB6077" t="str">
        <f>HYPERLINK("Melting_Curves/meltCurve_Q9NVA4_TMEM184C.pdf", "Melting_Curves/meltCurve_Q9NVA4_TMEM184C.pdf")</f>
        <v>Melting_Curves/meltCurve_Q9NVA4_TMEM184C.pdf</v>
      </c>
    </row>
    <row r="6078" spans="1:28" x14ac:dyDescent="0.25">
      <c r="A6078" t="s">
        <v>6082</v>
      </c>
      <c r="B6078">
        <v>0.995954080203443</v>
      </c>
      <c r="C6078">
        <v>0.70932597950051102</v>
      </c>
      <c r="D6078">
        <v>0.54356890748985698</v>
      </c>
      <c r="E6078">
        <v>0.59612922542514502</v>
      </c>
      <c r="F6078">
        <v>0.231519093523332</v>
      </c>
      <c r="G6078">
        <v>0.12259513241739101</v>
      </c>
      <c r="H6078">
        <v>8.1519295167556502E-2</v>
      </c>
      <c r="I6078">
        <v>6.8905895210392198E-2</v>
      </c>
      <c r="J6078">
        <v>7.6788671106747503E-2</v>
      </c>
      <c r="K6078">
        <v>7.27544051669268E-2</v>
      </c>
      <c r="L6078">
        <v>499.52360029744</v>
      </c>
      <c r="M6078">
        <v>10.339130788557901</v>
      </c>
      <c r="N6078">
        <v>48.350940477993497</v>
      </c>
      <c r="O6078">
        <v>46.6112379897626</v>
      </c>
      <c r="P6078">
        <v>-5.5258874621298103E-2</v>
      </c>
      <c r="Q6078">
        <v>3.9459400244334199E-3</v>
      </c>
      <c r="R6078">
        <v>0.93695416161766598</v>
      </c>
      <c r="S6078" t="s">
        <v>12884</v>
      </c>
      <c r="T6078" t="s">
        <v>13610</v>
      </c>
      <c r="U6078" t="s">
        <v>13610</v>
      </c>
      <c r="V6078" t="s">
        <v>13610</v>
      </c>
      <c r="W6078" t="s">
        <v>19613</v>
      </c>
      <c r="X6078">
        <v>11</v>
      </c>
      <c r="Y6078" t="s">
        <v>26164</v>
      </c>
      <c r="Z6078" t="s">
        <v>32933</v>
      </c>
      <c r="AA6078">
        <v>0.3288528697425448</v>
      </c>
      <c r="AB6078" t="str">
        <f>HYPERLINK("Melting_Curves/meltCurve_Q9NVC6_MED17.pdf", "Melting_Curves/meltCurve_Q9NVC6_MED17.pdf")</f>
        <v>Melting_Curves/meltCurve_Q9NVC6_MED17.pdf</v>
      </c>
    </row>
    <row r="6079" spans="1:28" x14ac:dyDescent="0.25">
      <c r="A6079" t="s">
        <v>6083</v>
      </c>
      <c r="B6079">
        <v>0.995954080203443</v>
      </c>
      <c r="C6079">
        <v>0.73111148362511802</v>
      </c>
      <c r="D6079">
        <v>0.40028856144119901</v>
      </c>
      <c r="E6079">
        <v>0.31093394070406899</v>
      </c>
      <c r="F6079">
        <v>0.20065289267722</v>
      </c>
      <c r="G6079">
        <v>0.12740443080139499</v>
      </c>
      <c r="H6079">
        <v>9.6752534620027406E-2</v>
      </c>
      <c r="I6079">
        <v>9.2276638623378607E-2</v>
      </c>
      <c r="J6079">
        <v>0.106709357308072</v>
      </c>
      <c r="K6079">
        <v>0.122267613437025</v>
      </c>
      <c r="L6079">
        <v>833.78344857722698</v>
      </c>
      <c r="M6079">
        <v>18.562113914122602</v>
      </c>
      <c r="N6079">
        <v>45.570200023280201</v>
      </c>
      <c r="O6079">
        <v>44.406959401466601</v>
      </c>
      <c r="P6079">
        <v>-9.2323351341366502E-2</v>
      </c>
      <c r="Q6079">
        <v>0.116561798119296</v>
      </c>
      <c r="R6079">
        <v>0.97807272303365</v>
      </c>
      <c r="S6079" t="s">
        <v>12885</v>
      </c>
      <c r="T6079" t="s">
        <v>13610</v>
      </c>
      <c r="U6079" t="s">
        <v>13610</v>
      </c>
      <c r="V6079" t="s">
        <v>13610</v>
      </c>
      <c r="W6079" t="s">
        <v>19614</v>
      </c>
      <c r="X6079">
        <v>6</v>
      </c>
      <c r="Y6079" t="s">
        <v>26165</v>
      </c>
      <c r="Z6079" t="s">
        <v>32934</v>
      </c>
      <c r="AA6079">
        <v>0.27933665083151987</v>
      </c>
      <c r="AB6079" t="str">
        <f>HYPERLINK("Melting_Curves/meltCurve_Q9NVE5_USP40.pdf", "Melting_Curves/meltCurve_Q9NVE5_USP40.pdf")</f>
        <v>Melting_Curves/meltCurve_Q9NVE5_USP40.pdf</v>
      </c>
    </row>
    <row r="6080" spans="1:28" x14ac:dyDescent="0.25">
      <c r="A6080" t="s">
        <v>6084</v>
      </c>
      <c r="B6080">
        <v>0.995954080203443</v>
      </c>
      <c r="C6080">
        <v>0.88417072187774504</v>
      </c>
      <c r="D6080">
        <v>0.548286933120396</v>
      </c>
      <c r="E6080">
        <v>0.232126905598354</v>
      </c>
      <c r="F6080">
        <v>0.126779270047301</v>
      </c>
      <c r="G6080">
        <v>7.9104019144477802E-2</v>
      </c>
      <c r="H6080">
        <v>5.7028114508808701E-2</v>
      </c>
      <c r="I6080">
        <v>5.4447169383730697E-2</v>
      </c>
      <c r="J6080">
        <v>6.0631858563246703E-2</v>
      </c>
      <c r="K6080">
        <v>5.6216400999316102E-2</v>
      </c>
      <c r="L6080">
        <v>1029.09505644405</v>
      </c>
      <c r="M6080">
        <v>22.196017190816299</v>
      </c>
      <c r="N6080">
        <v>46.633892825136599</v>
      </c>
      <c r="O6080">
        <v>45.992541894125303</v>
      </c>
      <c r="P6080">
        <v>-0.113379174619045</v>
      </c>
      <c r="Q6080">
        <v>6.0284943578892303E-2</v>
      </c>
      <c r="R6080">
        <v>0.99840215376959096</v>
      </c>
      <c r="S6080" t="s">
        <v>12886</v>
      </c>
      <c r="T6080" t="s">
        <v>13610</v>
      </c>
      <c r="U6080" t="s">
        <v>13610</v>
      </c>
      <c r="V6080" t="s">
        <v>13610</v>
      </c>
      <c r="W6080" t="s">
        <v>19615</v>
      </c>
      <c r="X6080">
        <v>23</v>
      </c>
      <c r="Y6080" t="s">
        <v>26166</v>
      </c>
      <c r="Z6080" t="s">
        <v>32935</v>
      </c>
      <c r="AA6080">
        <v>0.2708265345226778</v>
      </c>
      <c r="AB6080" t="str">
        <f>HYPERLINK("Melting_Curves/meltCurve_Q9NVE7_PANK4.pdf", "Melting_Curves/meltCurve_Q9NVE7_PANK4.pdf")</f>
        <v>Melting_Curves/meltCurve_Q9NVE7_PANK4.pdf</v>
      </c>
    </row>
    <row r="6081" spans="1:28" x14ac:dyDescent="0.25">
      <c r="A6081" t="s">
        <v>6085</v>
      </c>
      <c r="B6081">
        <v>0.995954080203443</v>
      </c>
      <c r="C6081">
        <v>0.94959890215671405</v>
      </c>
      <c r="D6081">
        <v>0.86298829292096602</v>
      </c>
      <c r="E6081">
        <v>0.42467729886139599</v>
      </c>
      <c r="F6081">
        <v>0.26761591101707999</v>
      </c>
      <c r="G6081">
        <v>0.22608429540817401</v>
      </c>
      <c r="H6081">
        <v>0.199371599415887</v>
      </c>
      <c r="I6081">
        <v>0.19432057609427</v>
      </c>
      <c r="J6081">
        <v>0.27280652917812898</v>
      </c>
      <c r="K6081">
        <v>0.29498488601663603</v>
      </c>
      <c r="L6081">
        <v>1502.5796204222099</v>
      </c>
      <c r="M6081">
        <v>31.1849191148257</v>
      </c>
      <c r="N6081">
        <v>49.182762681454498</v>
      </c>
      <c r="O6081">
        <v>47.986078414965903</v>
      </c>
      <c r="P6081">
        <v>-0.12432738884170599</v>
      </c>
      <c r="Q6081">
        <v>0.234764970419822</v>
      </c>
      <c r="R6081">
        <v>0.990242153301926</v>
      </c>
      <c r="S6081" t="s">
        <v>12887</v>
      </c>
      <c r="T6081" t="s">
        <v>13610</v>
      </c>
      <c r="U6081" t="s">
        <v>13610</v>
      </c>
      <c r="V6081" t="s">
        <v>13610</v>
      </c>
      <c r="W6081" t="s">
        <v>19616</v>
      </c>
      <c r="X6081">
        <v>3</v>
      </c>
      <c r="Y6081" t="s">
        <v>26167</v>
      </c>
      <c r="Z6081" t="s">
        <v>32936</v>
      </c>
      <c r="AA6081">
        <v>0.44774986873545491</v>
      </c>
      <c r="AB6081" t="str">
        <f>HYPERLINK("Melting_Curves/meltCurve_Q9NVF7_FBXO28.pdf", "Melting_Curves/meltCurve_Q9NVF7_FBXO28.pdf")</f>
        <v>Melting_Curves/meltCurve_Q9NVF7_FBXO28.pdf</v>
      </c>
    </row>
    <row r="6082" spans="1:28" x14ac:dyDescent="0.25">
      <c r="A6082" t="s">
        <v>6086</v>
      </c>
      <c r="B6082">
        <v>0.995954080203443</v>
      </c>
      <c r="C6082">
        <v>1.0719267410078801</v>
      </c>
      <c r="D6082">
        <v>0.99842212359467897</v>
      </c>
      <c r="E6082">
        <v>0.95727017665332403</v>
      </c>
      <c r="F6082">
        <v>0.74914524345765099</v>
      </c>
      <c r="G6082">
        <v>0.39645837095761099</v>
      </c>
      <c r="H6082">
        <v>0.122759579643449</v>
      </c>
      <c r="I6082">
        <v>8.4404679727828294E-2</v>
      </c>
      <c r="J6082">
        <v>8.5739026389191605E-2</v>
      </c>
      <c r="K6082">
        <v>7.3596842915100394E-2</v>
      </c>
      <c r="L6082">
        <v>1378.43970419739</v>
      </c>
      <c r="M6082">
        <v>24.877843411355698</v>
      </c>
      <c r="N6082">
        <v>55.6984520020236</v>
      </c>
      <c r="O6082">
        <v>55.054039183319396</v>
      </c>
      <c r="P6082">
        <v>-0.10610664938526</v>
      </c>
      <c r="Q6082">
        <v>6.0767629955525697E-2</v>
      </c>
      <c r="R6082">
        <v>0.99569824050173705</v>
      </c>
      <c r="S6082" t="s">
        <v>12888</v>
      </c>
      <c r="T6082" t="s">
        <v>13610</v>
      </c>
      <c r="U6082" t="s">
        <v>13610</v>
      </c>
      <c r="V6082" t="s">
        <v>13610</v>
      </c>
      <c r="W6082" t="s">
        <v>19617</v>
      </c>
      <c r="X6082">
        <v>22</v>
      </c>
      <c r="Y6082" t="s">
        <v>26168</v>
      </c>
      <c r="Z6082" t="s">
        <v>32937</v>
      </c>
      <c r="AA6082">
        <v>0.55191198502747496</v>
      </c>
      <c r="AB6082" t="str">
        <f>HYPERLINK("Melting_Curves/meltCurve_Q9NVG8_TBC1D13.pdf", "Melting_Curves/meltCurve_Q9NVG8_TBC1D13.pdf")</f>
        <v>Melting_Curves/meltCurve_Q9NVG8_TBC1D13.pdf</v>
      </c>
    </row>
    <row r="6083" spans="1:28" x14ac:dyDescent="0.25">
      <c r="A6083" t="s">
        <v>6087</v>
      </c>
      <c r="B6083">
        <v>0.995954080203443</v>
      </c>
      <c r="C6083">
        <v>0.93618517467835605</v>
      </c>
      <c r="D6083">
        <v>0.58507561438688804</v>
      </c>
      <c r="E6083">
        <v>0.24785369025739801</v>
      </c>
      <c r="F6083">
        <v>9.3784135182300998E-2</v>
      </c>
      <c r="G6083">
        <v>6.4724788139263995E-2</v>
      </c>
      <c r="H6083">
        <v>2.31606734487491E-2</v>
      </c>
      <c r="I6083">
        <v>3.1354098656423003E-2</v>
      </c>
      <c r="J6083">
        <v>1.1704861507004401E-2</v>
      </c>
      <c r="K6083">
        <v>3.12986710951738E-2</v>
      </c>
      <c r="L6083">
        <v>1054.59192017993</v>
      </c>
      <c r="M6083">
        <v>22.480578467842399</v>
      </c>
      <c r="N6083">
        <v>47.0345220354817</v>
      </c>
      <c r="O6083">
        <v>46.544772416446399</v>
      </c>
      <c r="P6083">
        <v>-0.117294943356629</v>
      </c>
      <c r="Q6083">
        <v>2.86095994951438E-2</v>
      </c>
      <c r="R6083">
        <v>0.99657789641640004</v>
      </c>
      <c r="S6083" t="s">
        <v>12889</v>
      </c>
      <c r="T6083" t="s">
        <v>13610</v>
      </c>
      <c r="U6083" t="s">
        <v>13610</v>
      </c>
      <c r="V6083" t="s">
        <v>13610</v>
      </c>
      <c r="W6083" t="s">
        <v>19618</v>
      </c>
      <c r="X6083">
        <v>3</v>
      </c>
      <c r="Y6083" t="s">
        <v>26169</v>
      </c>
      <c r="Z6083" t="s">
        <v>32938</v>
      </c>
      <c r="AA6083">
        <v>0.26339629651911939</v>
      </c>
      <c r="AB6083" t="str">
        <f>HYPERLINK("Melting_Curves/meltCurve_Q9NVH0_2_EXD2.pdf", "Melting_Curves/meltCurve_Q9NVH0_2_EXD2.pdf")</f>
        <v>Melting_Curves/meltCurve_Q9NVH0_2_EXD2.pdf</v>
      </c>
    </row>
    <row r="6084" spans="1:28" x14ac:dyDescent="0.25">
      <c r="A6084" t="s">
        <v>6088</v>
      </c>
      <c r="B6084">
        <v>0.995954080203443</v>
      </c>
      <c r="C6084">
        <v>0.76228309547751305</v>
      </c>
      <c r="D6084">
        <v>0.519208795673895</v>
      </c>
      <c r="E6084">
        <v>0.50660152134458603</v>
      </c>
      <c r="F6084">
        <v>0.17851170876264699</v>
      </c>
      <c r="G6084">
        <v>0.106265277151166</v>
      </c>
      <c r="H6084">
        <v>8.0983335559409703E-2</v>
      </c>
      <c r="I6084">
        <v>6.6541009056779996E-2</v>
      </c>
      <c r="J6084">
        <v>6.5166229069044193E-2</v>
      </c>
      <c r="K6084">
        <v>7.8088840172161E-2</v>
      </c>
      <c r="L6084">
        <v>591.82632357880902</v>
      </c>
      <c r="M6084">
        <v>12.4988242058478</v>
      </c>
      <c r="N6084">
        <v>47.633329686917698</v>
      </c>
      <c r="O6084">
        <v>46.187479668041803</v>
      </c>
      <c r="P6084">
        <v>-6.5247232242834005E-2</v>
      </c>
      <c r="Q6084">
        <v>3.57540970369268E-2</v>
      </c>
      <c r="R6084">
        <v>0.96022108390136596</v>
      </c>
      <c r="S6084" t="s">
        <v>12890</v>
      </c>
      <c r="T6084" t="s">
        <v>13610</v>
      </c>
      <c r="U6084" t="s">
        <v>13610</v>
      </c>
      <c r="V6084" t="s">
        <v>13610</v>
      </c>
      <c r="W6084" t="s">
        <v>19619</v>
      </c>
      <c r="X6084">
        <v>9</v>
      </c>
      <c r="Y6084" t="s">
        <v>26170</v>
      </c>
      <c r="Z6084" t="s">
        <v>32939</v>
      </c>
      <c r="AA6084">
        <v>0.3086277840716441</v>
      </c>
      <c r="AB6084" t="str">
        <f>HYPERLINK("Melting_Curves/meltCurve_Q9NVH2_3_INTS7.pdf", "Melting_Curves/meltCurve_Q9NVH2_3_INTS7.pdf")</f>
        <v>Melting_Curves/meltCurve_Q9NVH2_3_INTS7.pdf</v>
      </c>
    </row>
    <row r="6085" spans="1:28" x14ac:dyDescent="0.25">
      <c r="A6085" t="s">
        <v>6089</v>
      </c>
      <c r="B6085">
        <v>0.995954080203443</v>
      </c>
      <c r="C6085">
        <v>0.90507744347695596</v>
      </c>
      <c r="D6085">
        <v>0.8668765213506</v>
      </c>
      <c r="E6085">
        <v>0.78712634808177995</v>
      </c>
      <c r="F6085">
        <v>0.70530115453892706</v>
      </c>
      <c r="G6085">
        <v>0.486923168742732</v>
      </c>
      <c r="H6085">
        <v>0.27542159582688103</v>
      </c>
      <c r="I6085">
        <v>0.135476234117409</v>
      </c>
      <c r="J6085">
        <v>9.6639813783945594E-2</v>
      </c>
      <c r="K6085">
        <v>0.104277219245101</v>
      </c>
      <c r="L6085">
        <v>657.13669100173695</v>
      </c>
      <c r="M6085">
        <v>11.7301252427932</v>
      </c>
      <c r="N6085">
        <v>56.021289059431801</v>
      </c>
      <c r="O6085">
        <v>54.467459609907202</v>
      </c>
      <c r="P6085">
        <v>-5.3854234191757999E-2</v>
      </c>
      <c r="Q6085">
        <v>0</v>
      </c>
      <c r="R6085">
        <v>0.98619654143649305</v>
      </c>
      <c r="S6085" t="s">
        <v>12891</v>
      </c>
      <c r="T6085" t="s">
        <v>13610</v>
      </c>
      <c r="U6085" t="s">
        <v>13610</v>
      </c>
      <c r="V6085" t="s">
        <v>13610</v>
      </c>
      <c r="W6085" t="s">
        <v>19620</v>
      </c>
      <c r="X6085">
        <v>10</v>
      </c>
      <c r="Y6085" t="s">
        <v>26171</v>
      </c>
      <c r="Z6085" t="s">
        <v>32940</v>
      </c>
      <c r="AA6085">
        <v>0.5545227035426239</v>
      </c>
      <c r="AB6085" t="str">
        <f>HYPERLINK("Melting_Curves/meltCurve_Q9NVH6_TMLHE.pdf", "Melting_Curves/meltCurve_Q9NVH6_TMLHE.pdf")</f>
        <v>Melting_Curves/meltCurve_Q9NVH6_TMLHE.pdf</v>
      </c>
    </row>
    <row r="6086" spans="1:28" x14ac:dyDescent="0.25">
      <c r="A6086" t="s">
        <v>6090</v>
      </c>
      <c r="B6086">
        <v>0.995954080203443</v>
      </c>
      <c r="C6086">
        <v>0.71390848454090405</v>
      </c>
      <c r="D6086">
        <v>0.34115816212608502</v>
      </c>
      <c r="E6086">
        <v>0.233151467404452</v>
      </c>
      <c r="F6086">
        <v>0.137032976927494</v>
      </c>
      <c r="G6086">
        <v>8.7044506046801806E-2</v>
      </c>
      <c r="H6086">
        <v>6.3305526492829903E-2</v>
      </c>
      <c r="I6086">
        <v>6.6155554741432795E-2</v>
      </c>
      <c r="J6086">
        <v>8.2709830489795702E-2</v>
      </c>
      <c r="K6086">
        <v>7.2853993874088002E-2</v>
      </c>
      <c r="L6086">
        <v>1013.48874776014</v>
      </c>
      <c r="M6086">
        <v>22.791783318965301</v>
      </c>
      <c r="N6086">
        <v>44.8456605309648</v>
      </c>
      <c r="O6086">
        <v>44.129207387480903</v>
      </c>
      <c r="P6086">
        <v>-0.117828231407497</v>
      </c>
      <c r="Q6086">
        <v>8.7466636455240498E-2</v>
      </c>
      <c r="R6086">
        <v>0.98551360439872104</v>
      </c>
      <c r="S6086" t="s">
        <v>12892</v>
      </c>
      <c r="T6086" t="s">
        <v>13610</v>
      </c>
      <c r="U6086" t="s">
        <v>13610</v>
      </c>
      <c r="V6086" t="s">
        <v>13610</v>
      </c>
      <c r="W6086" t="s">
        <v>19621</v>
      </c>
      <c r="X6086">
        <v>27</v>
      </c>
      <c r="Y6086" t="s">
        <v>26172</v>
      </c>
      <c r="Z6086" t="s">
        <v>32941</v>
      </c>
      <c r="AA6086">
        <v>0.23548345452756331</v>
      </c>
      <c r="AB6086" t="str">
        <f>HYPERLINK("Melting_Curves/meltCurve_Q9NVI1_FANCI.pdf", "Melting_Curves/meltCurve_Q9NVI1_FANCI.pdf")</f>
        <v>Melting_Curves/meltCurve_Q9NVI1_FANCI.pdf</v>
      </c>
    </row>
    <row r="6087" spans="1:28" x14ac:dyDescent="0.25">
      <c r="A6087" t="s">
        <v>6091</v>
      </c>
      <c r="B6087">
        <v>0.995954080203443</v>
      </c>
      <c r="C6087">
        <v>0.94341797327138799</v>
      </c>
      <c r="D6087">
        <v>0.85344585043524601</v>
      </c>
      <c r="E6087">
        <v>0.87350265282161299</v>
      </c>
      <c r="F6087">
        <v>0.58217686383530998</v>
      </c>
      <c r="G6087">
        <v>0.35392133624532701</v>
      </c>
      <c r="H6087">
        <v>0.27709242514712701</v>
      </c>
      <c r="I6087">
        <v>0.28041583467189701</v>
      </c>
      <c r="J6087">
        <v>0.302160021079102</v>
      </c>
      <c r="K6087">
        <v>0.34132159691559499</v>
      </c>
      <c r="L6087">
        <v>1379.7716180462301</v>
      </c>
      <c r="M6087">
        <v>26.376017806442398</v>
      </c>
      <c r="N6087">
        <v>54.113934394292201</v>
      </c>
      <c r="O6087">
        <v>52.013666751107401</v>
      </c>
      <c r="P6087">
        <v>-8.9719820015421003E-2</v>
      </c>
      <c r="Q6087">
        <v>0.29229547477490803</v>
      </c>
      <c r="R6087">
        <v>0.97070274933704204</v>
      </c>
      <c r="S6087" t="s">
        <v>12893</v>
      </c>
      <c r="T6087" t="s">
        <v>13610</v>
      </c>
      <c r="U6087" t="s">
        <v>13610</v>
      </c>
      <c r="V6087" t="s">
        <v>13610</v>
      </c>
      <c r="W6087" t="s">
        <v>19622</v>
      </c>
      <c r="X6087">
        <v>7</v>
      </c>
      <c r="Y6087" t="s">
        <v>26173</v>
      </c>
      <c r="Z6087" t="s">
        <v>32942</v>
      </c>
      <c r="AA6087">
        <v>0.58857319610427916</v>
      </c>
      <c r="AB6087" t="str">
        <f>HYPERLINK("Melting_Curves/meltCurve_Q9NVI7_2_ATAD3A.pdf", "Melting_Curves/meltCurve_Q9NVI7_2_ATAD3A.pdf")</f>
        <v>Melting_Curves/meltCurve_Q9NVI7_2_ATAD3A.pdf</v>
      </c>
    </row>
    <row r="6088" spans="1:28" x14ac:dyDescent="0.25">
      <c r="A6088" t="s">
        <v>6092</v>
      </c>
      <c r="B6088">
        <v>0.995954080203443</v>
      </c>
      <c r="C6088">
        <v>1.01816536963522</v>
      </c>
      <c r="D6088">
        <v>0.97975520955789897</v>
      </c>
      <c r="E6088">
        <v>0.92541893850518397</v>
      </c>
      <c r="F6088">
        <v>0.72796519661839298</v>
      </c>
      <c r="G6088">
        <v>0.46335888391711999</v>
      </c>
      <c r="H6088">
        <v>0.29483353765154802</v>
      </c>
      <c r="I6088">
        <v>0.197367951382102</v>
      </c>
      <c r="J6088">
        <v>0.11579694809107</v>
      </c>
      <c r="K6088">
        <v>9.1693555675294497E-2</v>
      </c>
      <c r="L6088">
        <v>913.75609109587401</v>
      </c>
      <c r="M6088">
        <v>16.2471154597207</v>
      </c>
      <c r="N6088">
        <v>56.7301178017916</v>
      </c>
      <c r="O6088">
        <v>55.409799782008498</v>
      </c>
      <c r="P6088">
        <v>-6.8519705925350394E-2</v>
      </c>
      <c r="Q6088">
        <v>6.5339771677164302E-2</v>
      </c>
      <c r="R6088">
        <v>0.99728299207415405</v>
      </c>
      <c r="S6088" t="s">
        <v>12894</v>
      </c>
      <c r="T6088" t="s">
        <v>13610</v>
      </c>
      <c r="U6088" t="s">
        <v>13610</v>
      </c>
      <c r="V6088" t="s">
        <v>13610</v>
      </c>
      <c r="W6088" t="s">
        <v>19623</v>
      </c>
      <c r="X6088">
        <v>5</v>
      </c>
      <c r="Y6088" t="s">
        <v>26174</v>
      </c>
      <c r="Z6088" t="s">
        <v>32943</v>
      </c>
      <c r="AA6088">
        <v>0.5864379686796195</v>
      </c>
      <c r="AB6088" t="str">
        <f>HYPERLINK("Melting_Curves/meltCurve_Q9NVJ2_ARL8B.pdf", "Melting_Curves/meltCurve_Q9NVJ2_ARL8B.pdf")</f>
        <v>Melting_Curves/meltCurve_Q9NVJ2_ARL8B.pdf</v>
      </c>
    </row>
    <row r="6089" spans="1:28" x14ac:dyDescent="0.25">
      <c r="A6089" t="s">
        <v>6093</v>
      </c>
      <c r="B6089">
        <v>0.995954080203443</v>
      </c>
      <c r="C6089">
        <v>0.92864088805024703</v>
      </c>
      <c r="D6089">
        <v>0.86947662290001104</v>
      </c>
      <c r="E6089">
        <v>0.63293560285116701</v>
      </c>
      <c r="F6089">
        <v>0.37637147488851702</v>
      </c>
      <c r="G6089">
        <v>0.239230963000131</v>
      </c>
      <c r="H6089">
        <v>0.17527931910591299</v>
      </c>
      <c r="I6089">
        <v>0.17705498915742099</v>
      </c>
      <c r="J6089">
        <v>0.19169871864582699</v>
      </c>
      <c r="K6089">
        <v>0.187000906333537</v>
      </c>
      <c r="L6089">
        <v>962.62083448599901</v>
      </c>
      <c r="M6089">
        <v>19.153405421276201</v>
      </c>
      <c r="N6089">
        <v>51.3561902945331</v>
      </c>
      <c r="O6089">
        <v>49.7202314062582</v>
      </c>
      <c r="P6089">
        <v>-8.0131867934024506E-2</v>
      </c>
      <c r="Q6089">
        <v>0.16797649423957101</v>
      </c>
      <c r="R6089">
        <v>0.99634253821268304</v>
      </c>
      <c r="S6089" t="s">
        <v>12895</v>
      </c>
      <c r="T6089" t="s">
        <v>13610</v>
      </c>
      <c r="U6089" t="s">
        <v>13610</v>
      </c>
      <c r="V6089" t="s">
        <v>13610</v>
      </c>
      <c r="W6089" t="s">
        <v>19624</v>
      </c>
      <c r="X6089">
        <v>15</v>
      </c>
      <c r="Y6089" t="s">
        <v>26175</v>
      </c>
      <c r="Z6089" t="s">
        <v>32944</v>
      </c>
      <c r="AA6089">
        <v>0.46506052185862851</v>
      </c>
      <c r="AB6089" t="str">
        <f>HYPERLINK("Melting_Curves/meltCurve_Q9NVM4_3_PRMT7.pdf", "Melting_Curves/meltCurve_Q9NVM4_3_PRMT7.pdf")</f>
        <v>Melting_Curves/meltCurve_Q9NVM4_3_PRMT7.pdf</v>
      </c>
    </row>
    <row r="6090" spans="1:28" x14ac:dyDescent="0.25">
      <c r="A6090" t="s">
        <v>6094</v>
      </c>
      <c r="B6090">
        <v>0.995954080203443</v>
      </c>
      <c r="C6090">
        <v>0.99043706404819198</v>
      </c>
      <c r="D6090">
        <v>1.03355013942547</v>
      </c>
      <c r="E6090">
        <v>0.851094709777513</v>
      </c>
      <c r="F6090">
        <v>0.62653939470211695</v>
      </c>
      <c r="G6090">
        <v>0.31287485520823199</v>
      </c>
      <c r="H6090">
        <v>0.20123522458462101</v>
      </c>
      <c r="I6090">
        <v>0.187032151741442</v>
      </c>
      <c r="J6090">
        <v>0.19485394259710201</v>
      </c>
      <c r="K6090">
        <v>0.16931978598248801</v>
      </c>
      <c r="L6090">
        <v>1338.4343750053099</v>
      </c>
      <c r="M6090">
        <v>25.098475342696702</v>
      </c>
      <c r="N6090">
        <v>54.261373672780003</v>
      </c>
      <c r="O6090">
        <v>52.992234637608902</v>
      </c>
      <c r="P6090">
        <v>-9.7638004329958394E-2</v>
      </c>
      <c r="Q6090">
        <v>0.17541003408334199</v>
      </c>
      <c r="R6090">
        <v>0.99758918312828404</v>
      </c>
      <c r="S6090" t="s">
        <v>12896</v>
      </c>
      <c r="T6090" t="s">
        <v>13610</v>
      </c>
      <c r="U6090" t="s">
        <v>13610</v>
      </c>
      <c r="V6090" t="s">
        <v>13610</v>
      </c>
      <c r="W6090" t="s">
        <v>19625</v>
      </c>
      <c r="X6090">
        <v>8</v>
      </c>
      <c r="Y6090" t="s">
        <v>26176</v>
      </c>
      <c r="Z6090" t="s">
        <v>32945</v>
      </c>
      <c r="AA6090">
        <v>0.54928186309981675</v>
      </c>
      <c r="AB6090" t="str">
        <f>HYPERLINK("Melting_Curves/meltCurve_Q9NVM6_DNAJC17.pdf", "Melting_Curves/meltCurve_Q9NVM6_DNAJC17.pdf")</f>
        <v>Melting_Curves/meltCurve_Q9NVM6_DNAJC17.pdf</v>
      </c>
    </row>
    <row r="6091" spans="1:28" x14ac:dyDescent="0.25">
      <c r="A6091" t="s">
        <v>6095</v>
      </c>
      <c r="B6091">
        <v>0.995954080203443</v>
      </c>
      <c r="C6091">
        <v>0.90257020248431097</v>
      </c>
      <c r="D6091">
        <v>0.77588149742576795</v>
      </c>
      <c r="E6091">
        <v>0.50895561459252203</v>
      </c>
      <c r="F6091">
        <v>0.22009513900809999</v>
      </c>
      <c r="G6091">
        <v>0.13745045702189401</v>
      </c>
      <c r="H6091">
        <v>9.7281713256179597E-2</v>
      </c>
      <c r="I6091">
        <v>8.6472980721425396E-2</v>
      </c>
      <c r="J6091">
        <v>8.9432021461379102E-2</v>
      </c>
      <c r="K6091">
        <v>8.0623799285583303E-2</v>
      </c>
      <c r="L6091">
        <v>878.21658169890497</v>
      </c>
      <c r="M6091">
        <v>17.886509327920901</v>
      </c>
      <c r="N6091">
        <v>49.519800194912598</v>
      </c>
      <c r="O6091">
        <v>48.497997439364298</v>
      </c>
      <c r="P6091">
        <v>-8.5711627453359598E-2</v>
      </c>
      <c r="Q6091">
        <v>7.0443164337962896E-2</v>
      </c>
      <c r="R6091">
        <v>0.99523451017799103</v>
      </c>
      <c r="S6091" t="s">
        <v>12897</v>
      </c>
      <c r="T6091" t="s">
        <v>13610</v>
      </c>
      <c r="U6091" t="s">
        <v>13610</v>
      </c>
      <c r="V6091" t="s">
        <v>13610</v>
      </c>
      <c r="W6091" t="s">
        <v>19626</v>
      </c>
      <c r="X6091">
        <v>22</v>
      </c>
      <c r="Y6091" t="s">
        <v>26177</v>
      </c>
      <c r="Z6091" t="s">
        <v>32946</v>
      </c>
      <c r="AA6091">
        <v>0.3686636527889664</v>
      </c>
      <c r="AB6091" t="str">
        <f>HYPERLINK("Melting_Curves/meltCurve_Q9NVM9_ASUN.pdf", "Melting_Curves/meltCurve_Q9NVM9_ASUN.pdf")</f>
        <v>Melting_Curves/meltCurve_Q9NVM9_ASUN.pdf</v>
      </c>
    </row>
    <row r="6092" spans="1:28" x14ac:dyDescent="0.25">
      <c r="A6092" t="s">
        <v>6096</v>
      </c>
      <c r="B6092">
        <v>0.995954080203443</v>
      </c>
      <c r="C6092">
        <v>0.97699148951412196</v>
      </c>
      <c r="D6092">
        <v>0.65711692057260496</v>
      </c>
      <c r="E6092">
        <v>0.45308183844723598</v>
      </c>
      <c r="F6092">
        <v>0.18855905617879501</v>
      </c>
      <c r="G6092">
        <v>0.131116261027137</v>
      </c>
      <c r="H6092">
        <v>7.8300401512126694E-2</v>
      </c>
      <c r="I6092">
        <v>0.10342122868046</v>
      </c>
      <c r="J6092">
        <v>0.115707708913511</v>
      </c>
      <c r="K6092">
        <v>0.122323175105647</v>
      </c>
      <c r="L6092">
        <v>915.281066969064</v>
      </c>
      <c r="M6092">
        <v>19.055706241033601</v>
      </c>
      <c r="N6092">
        <v>48.572806848125303</v>
      </c>
      <c r="O6092">
        <v>47.512274008095602</v>
      </c>
      <c r="P6092">
        <v>-9.0684505260663906E-2</v>
      </c>
      <c r="Q6092">
        <v>9.5607955333977701E-2</v>
      </c>
      <c r="R6092">
        <v>0.98623651571978999</v>
      </c>
      <c r="S6092" t="s">
        <v>12898</v>
      </c>
      <c r="T6092" t="s">
        <v>13610</v>
      </c>
      <c r="U6092" t="s">
        <v>13610</v>
      </c>
      <c r="V6092" t="s">
        <v>13610</v>
      </c>
      <c r="W6092" t="s">
        <v>19627</v>
      </c>
      <c r="X6092">
        <v>5</v>
      </c>
      <c r="Y6092" t="s">
        <v>26178</v>
      </c>
      <c r="Z6092" t="s">
        <v>32947</v>
      </c>
      <c r="AA6092">
        <v>0.35196536017983571</v>
      </c>
      <c r="AB6092" t="str">
        <f>HYPERLINK("Melting_Curves/meltCurve_Q9NVN3_3_RIC8B.pdf", "Melting_Curves/meltCurve_Q9NVN3_3_RIC8B.pdf")</f>
        <v>Melting_Curves/meltCurve_Q9NVN3_3_RIC8B.pdf</v>
      </c>
    </row>
    <row r="6093" spans="1:28" x14ac:dyDescent="0.25">
      <c r="A6093" t="s">
        <v>6097</v>
      </c>
      <c r="B6093">
        <v>0.995954080203443</v>
      </c>
      <c r="C6093">
        <v>0.87424378825605198</v>
      </c>
      <c r="D6093">
        <v>0.56947598566296098</v>
      </c>
      <c r="E6093">
        <v>0.47355200407992398</v>
      </c>
      <c r="F6093">
        <v>0.34985848181191098</v>
      </c>
      <c r="G6093">
        <v>0.21773208424896401</v>
      </c>
      <c r="H6093">
        <v>0.15329925903233799</v>
      </c>
      <c r="I6093">
        <v>0.137443522657273</v>
      </c>
      <c r="J6093">
        <v>0.178716638608798</v>
      </c>
      <c r="K6093">
        <v>0.181929608476389</v>
      </c>
      <c r="L6093">
        <v>649.81394234151196</v>
      </c>
      <c r="M6093">
        <v>13.698296055981</v>
      </c>
      <c r="N6093">
        <v>48.684398132418501</v>
      </c>
      <c r="O6093">
        <v>46.460869170887598</v>
      </c>
      <c r="P6093">
        <v>-6.2813058072300004E-2</v>
      </c>
      <c r="Q6093">
        <v>0.14794407938766099</v>
      </c>
      <c r="R6093">
        <v>0.97705251001325699</v>
      </c>
      <c r="S6093" t="s">
        <v>12899</v>
      </c>
      <c r="T6093" t="s">
        <v>13610</v>
      </c>
      <c r="U6093" t="s">
        <v>13610</v>
      </c>
      <c r="V6093" t="s">
        <v>13610</v>
      </c>
      <c r="W6093" t="s">
        <v>19628</v>
      </c>
      <c r="X6093">
        <v>7</v>
      </c>
      <c r="Y6093" t="s">
        <v>26179</v>
      </c>
      <c r="Z6093" t="s">
        <v>32948</v>
      </c>
      <c r="AA6093">
        <v>0.38620972841025508</v>
      </c>
      <c r="AB6093" t="str">
        <f>HYPERLINK("Melting_Curves/meltCurve_Q9NVN8_GNL3L.pdf", "Melting_Curves/meltCurve_Q9NVN8_GNL3L.pdf")</f>
        <v>Melting_Curves/meltCurve_Q9NVN8_GNL3L.pdf</v>
      </c>
    </row>
    <row r="6094" spans="1:28" x14ac:dyDescent="0.25">
      <c r="A6094" t="s">
        <v>6098</v>
      </c>
      <c r="B6094">
        <v>0.995954080203443</v>
      </c>
      <c r="C6094">
        <v>0.91605097627207899</v>
      </c>
      <c r="D6094">
        <v>0.71008804518322499</v>
      </c>
      <c r="E6094">
        <v>0.444459805141664</v>
      </c>
      <c r="F6094">
        <v>0.30123059860464102</v>
      </c>
      <c r="G6094">
        <v>0.19147785581670401</v>
      </c>
      <c r="H6094">
        <v>0.13942677400807801</v>
      </c>
      <c r="I6094">
        <v>0.122329411521992</v>
      </c>
      <c r="J6094">
        <v>0.15137310517709399</v>
      </c>
      <c r="K6094">
        <v>0.125949454143652</v>
      </c>
      <c r="L6094">
        <v>791.706523281003</v>
      </c>
      <c r="M6094">
        <v>16.393897102656901</v>
      </c>
      <c r="N6094">
        <v>49.138621504457603</v>
      </c>
      <c r="O6094">
        <v>47.591343933761699</v>
      </c>
      <c r="P6094">
        <v>-7.5536172786084099E-2</v>
      </c>
      <c r="Q6094">
        <v>0.122939051306724</v>
      </c>
      <c r="R6094">
        <v>0.99790237834779405</v>
      </c>
      <c r="S6094" t="s">
        <v>12900</v>
      </c>
      <c r="T6094" t="s">
        <v>13610</v>
      </c>
      <c r="U6094" t="s">
        <v>13610</v>
      </c>
      <c r="V6094" t="s">
        <v>13610</v>
      </c>
      <c r="W6094" t="s">
        <v>19629</v>
      </c>
      <c r="X6094">
        <v>15</v>
      </c>
      <c r="Y6094" t="s">
        <v>26180</v>
      </c>
      <c r="Z6094" t="s">
        <v>32949</v>
      </c>
      <c r="AA6094">
        <v>0.38405320906320628</v>
      </c>
      <c r="AB6094" t="str">
        <f>HYPERLINK("Melting_Curves/meltCurve_Q9NVP1_DDX18.pdf", "Melting_Curves/meltCurve_Q9NVP1_DDX18.pdf")</f>
        <v>Melting_Curves/meltCurve_Q9NVP1_DDX18.pdf</v>
      </c>
    </row>
    <row r="6095" spans="1:28" x14ac:dyDescent="0.25">
      <c r="A6095" t="s">
        <v>6099</v>
      </c>
      <c r="B6095">
        <v>0.995954080203443</v>
      </c>
      <c r="C6095">
        <v>0.99579751628381896</v>
      </c>
      <c r="D6095">
        <v>0.89442185678664299</v>
      </c>
      <c r="E6095">
        <v>0.59959333778337598</v>
      </c>
      <c r="F6095">
        <v>0.24380264097038601</v>
      </c>
      <c r="G6095">
        <v>0.105401527199003</v>
      </c>
      <c r="H6095">
        <v>6.2107557658997399E-2</v>
      </c>
      <c r="I6095">
        <v>5.0141870494908002E-2</v>
      </c>
      <c r="J6095">
        <v>4.6915145531636698E-2</v>
      </c>
      <c r="K6095">
        <v>3.86755266584334E-2</v>
      </c>
      <c r="L6095">
        <v>1255.3244401320801</v>
      </c>
      <c r="M6095">
        <v>24.8749739218336</v>
      </c>
      <c r="N6095">
        <v>50.652688295509797</v>
      </c>
      <c r="O6095">
        <v>50.142596419978297</v>
      </c>
      <c r="P6095">
        <v>-0.118572610357549</v>
      </c>
      <c r="Q6095">
        <v>4.3945624872303399E-2</v>
      </c>
      <c r="R6095">
        <v>0.998747187268617</v>
      </c>
      <c r="S6095" t="s">
        <v>12901</v>
      </c>
      <c r="T6095" t="s">
        <v>13610</v>
      </c>
      <c r="U6095" t="s">
        <v>13610</v>
      </c>
      <c r="V6095" t="s">
        <v>13610</v>
      </c>
      <c r="W6095" t="s">
        <v>19630</v>
      </c>
      <c r="X6095">
        <v>4</v>
      </c>
      <c r="Y6095" t="s">
        <v>26181</v>
      </c>
      <c r="Z6095" t="s">
        <v>32950</v>
      </c>
      <c r="AA6095">
        <v>0.38613354050220339</v>
      </c>
      <c r="AB6095" t="str">
        <f>HYPERLINK("Melting_Curves/meltCurve_Q9NVP2_ASF1B.pdf", "Melting_Curves/meltCurve_Q9NVP2_ASF1B.pdf")</f>
        <v>Melting_Curves/meltCurve_Q9NVP2_ASF1B.pdf</v>
      </c>
    </row>
    <row r="6096" spans="1:28" x14ac:dyDescent="0.25">
      <c r="A6096" t="s">
        <v>6100</v>
      </c>
      <c r="B6096">
        <v>0.995954080203443</v>
      </c>
      <c r="C6096">
        <v>0.85573949628585</v>
      </c>
      <c r="D6096">
        <v>0.891257646738012</v>
      </c>
      <c r="E6096">
        <v>0.62109536026037904</v>
      </c>
      <c r="F6096">
        <v>0.34366537742285203</v>
      </c>
      <c r="G6096">
        <v>0.23186045332706601</v>
      </c>
      <c r="H6096">
        <v>0.18332924714910301</v>
      </c>
      <c r="I6096">
        <v>0.18526475375642901</v>
      </c>
      <c r="J6096">
        <v>0.23787668886961799</v>
      </c>
      <c r="K6096">
        <v>0.19891028005146499</v>
      </c>
      <c r="L6096">
        <v>1022.4226656263399</v>
      </c>
      <c r="M6096">
        <v>20.4936037275262</v>
      </c>
      <c r="N6096">
        <v>51.0619969234263</v>
      </c>
      <c r="O6096">
        <v>49.422077077704202</v>
      </c>
      <c r="P6096">
        <v>-8.4217109427941098E-2</v>
      </c>
      <c r="Q6096">
        <v>0.187636693957169</v>
      </c>
      <c r="R6096">
        <v>0.98065892729911197</v>
      </c>
      <c r="S6096" t="s">
        <v>12902</v>
      </c>
      <c r="T6096" t="s">
        <v>13610</v>
      </c>
      <c r="U6096" t="s">
        <v>13610</v>
      </c>
      <c r="V6096" t="s">
        <v>13610</v>
      </c>
      <c r="W6096" t="s">
        <v>19631</v>
      </c>
      <c r="X6096">
        <v>8</v>
      </c>
      <c r="Y6096" t="s">
        <v>26182</v>
      </c>
      <c r="Z6096" t="s">
        <v>32951</v>
      </c>
      <c r="AA6096">
        <v>0.4662266602750666</v>
      </c>
      <c r="AB6096" t="str">
        <f>HYPERLINK("Melting_Curves/meltCurve_Q9NVR0_KLHL11.pdf", "Melting_Curves/meltCurve_Q9NVR0_KLHL11.pdf")</f>
        <v>Melting_Curves/meltCurve_Q9NVR0_KLHL11.pdf</v>
      </c>
    </row>
    <row r="6097" spans="1:28" x14ac:dyDescent="0.25">
      <c r="A6097" t="s">
        <v>6101</v>
      </c>
      <c r="B6097">
        <v>0.995954080203443</v>
      </c>
      <c r="C6097">
        <v>0.73358470526997599</v>
      </c>
      <c r="D6097">
        <v>0.54932156502990104</v>
      </c>
      <c r="E6097">
        <v>0.37732320338919001</v>
      </c>
      <c r="F6097">
        <v>0.15060881290991199</v>
      </c>
      <c r="G6097">
        <v>7.8132809907260195E-2</v>
      </c>
      <c r="H6097">
        <v>5.6241709570997098E-2</v>
      </c>
      <c r="I6097">
        <v>5.6213224781684001E-2</v>
      </c>
      <c r="J6097">
        <v>7.1231661022095105E-2</v>
      </c>
      <c r="K6097">
        <v>6.12530008747387E-2</v>
      </c>
      <c r="L6097">
        <v>670.15614571659103</v>
      </c>
      <c r="M6097">
        <v>14.3647855380023</v>
      </c>
      <c r="N6097">
        <v>46.921022818705502</v>
      </c>
      <c r="O6097">
        <v>45.776510297875802</v>
      </c>
      <c r="P6097">
        <v>-7.5366290744064202E-2</v>
      </c>
      <c r="Q6097">
        <v>3.9430385271472898E-2</v>
      </c>
      <c r="R6097">
        <v>0.98354750497879495</v>
      </c>
      <c r="S6097" t="s">
        <v>12903</v>
      </c>
      <c r="T6097" t="s">
        <v>13610</v>
      </c>
      <c r="U6097" t="s">
        <v>13610</v>
      </c>
      <c r="V6097" t="s">
        <v>13610</v>
      </c>
      <c r="W6097" t="s">
        <v>19632</v>
      </c>
      <c r="X6097">
        <v>7</v>
      </c>
      <c r="Y6097" t="s">
        <v>26183</v>
      </c>
      <c r="Z6097" t="s">
        <v>32952</v>
      </c>
      <c r="AA6097">
        <v>0.28163071114331012</v>
      </c>
      <c r="AB6097" t="str">
        <f>HYPERLINK("Melting_Curves/meltCurve_Q9NVR2_INTS10.pdf", "Melting_Curves/meltCurve_Q9NVR2_INTS10.pdf")</f>
        <v>Melting_Curves/meltCurve_Q9NVR2_INTS10.pdf</v>
      </c>
    </row>
    <row r="6098" spans="1:28" x14ac:dyDescent="0.25">
      <c r="A6098" t="s">
        <v>6102</v>
      </c>
      <c r="B6098">
        <v>0.995954080203443</v>
      </c>
      <c r="C6098">
        <v>0.99655232034899599</v>
      </c>
      <c r="D6098">
        <v>1.04129190451275</v>
      </c>
      <c r="E6098">
        <v>0.88625728130058201</v>
      </c>
      <c r="F6098">
        <v>0.76958447923193496</v>
      </c>
      <c r="G6098">
        <v>0.45512440409449501</v>
      </c>
      <c r="H6098">
        <v>0.28319725560678199</v>
      </c>
      <c r="I6098">
        <v>0.28273350672735997</v>
      </c>
      <c r="J6098">
        <v>0.296104061215963</v>
      </c>
      <c r="K6098">
        <v>0.311188939106877</v>
      </c>
      <c r="L6098">
        <v>1394.9881762298501</v>
      </c>
      <c r="M6098">
        <v>25.6768139655371</v>
      </c>
      <c r="N6098">
        <v>56.125802860239702</v>
      </c>
      <c r="O6098">
        <v>54.002390125884503</v>
      </c>
      <c r="P6098">
        <v>-8.5556185940699095E-2</v>
      </c>
      <c r="Q6098">
        <v>0.28025609401628498</v>
      </c>
      <c r="R6098">
        <v>0.99293000235679996</v>
      </c>
      <c r="S6098" t="s">
        <v>12904</v>
      </c>
      <c r="T6098" t="s">
        <v>13610</v>
      </c>
      <c r="U6098" t="s">
        <v>13610</v>
      </c>
      <c r="V6098" t="s">
        <v>13610</v>
      </c>
      <c r="W6098" t="s">
        <v>19633</v>
      </c>
      <c r="X6098">
        <v>9</v>
      </c>
      <c r="Y6098" t="s">
        <v>26184</v>
      </c>
      <c r="Z6098" t="s">
        <v>32953</v>
      </c>
      <c r="AA6098">
        <v>0.6303725633626297</v>
      </c>
      <c r="AB6098" t="str">
        <f>HYPERLINK("Melting_Curves/meltCurve_Q9NVR5_DNAAF2.pdf", "Melting_Curves/meltCurve_Q9NVR5_DNAAF2.pdf")</f>
        <v>Melting_Curves/meltCurve_Q9NVR5_DNAAF2.pdf</v>
      </c>
    </row>
    <row r="6099" spans="1:28" x14ac:dyDescent="0.25">
      <c r="A6099" t="s">
        <v>6103</v>
      </c>
      <c r="B6099">
        <v>0.995954080203443</v>
      </c>
      <c r="C6099">
        <v>0.97063416729733198</v>
      </c>
      <c r="D6099">
        <v>0.97961469522077205</v>
      </c>
      <c r="E6099">
        <v>0.81016075048417602</v>
      </c>
      <c r="F6099">
        <v>0.62501779385730005</v>
      </c>
      <c r="G6099">
        <v>0.37102572113362198</v>
      </c>
      <c r="H6099">
        <v>0.24439809780874899</v>
      </c>
      <c r="I6099">
        <v>0.21613684582060899</v>
      </c>
      <c r="J6099">
        <v>0.214196713199861</v>
      </c>
      <c r="K6099">
        <v>0.21610382030876801</v>
      </c>
      <c r="L6099">
        <v>1047.61301521018</v>
      </c>
      <c r="M6099">
        <v>19.6827485347617</v>
      </c>
      <c r="N6099">
        <v>54.611780393758998</v>
      </c>
      <c r="O6099">
        <v>52.684663268109503</v>
      </c>
      <c r="P6099">
        <v>-7.5031312810185199E-2</v>
      </c>
      <c r="Q6099">
        <v>0.19668488403426099</v>
      </c>
      <c r="R6099">
        <v>0.99870426868889295</v>
      </c>
      <c r="S6099" t="s">
        <v>12905</v>
      </c>
      <c r="T6099" t="s">
        <v>13610</v>
      </c>
      <c r="U6099" t="s">
        <v>13610</v>
      </c>
      <c r="V6099" t="s">
        <v>13610</v>
      </c>
      <c r="W6099" t="s">
        <v>19634</v>
      </c>
      <c r="X6099">
        <v>7</v>
      </c>
      <c r="Y6099" t="s">
        <v>26185</v>
      </c>
      <c r="Z6099" t="s">
        <v>32954</v>
      </c>
      <c r="AA6099">
        <v>0.56213685826635695</v>
      </c>
      <c r="AB6099" t="str">
        <f>HYPERLINK("Melting_Curves/meltCurve_Q9NVT9_ARMC1.pdf", "Melting_Curves/meltCurve_Q9NVT9_ARMC1.pdf")</f>
        <v>Melting_Curves/meltCurve_Q9NVT9_ARMC1.pdf</v>
      </c>
    </row>
    <row r="6100" spans="1:28" x14ac:dyDescent="0.25">
      <c r="A6100" t="s">
        <v>6104</v>
      </c>
      <c r="B6100">
        <v>0.995954080203443</v>
      </c>
      <c r="C6100">
        <v>0.92849585282763503</v>
      </c>
      <c r="D6100">
        <v>0.81754039931819</v>
      </c>
      <c r="E6100">
        <v>0.51005098982627695</v>
      </c>
      <c r="F6100">
        <v>0.27675161663643</v>
      </c>
      <c r="G6100">
        <v>0.17995917311996201</v>
      </c>
      <c r="H6100">
        <v>0.14911099857851001</v>
      </c>
      <c r="I6100">
        <v>0.171461055188598</v>
      </c>
      <c r="J6100">
        <v>0.18474431775470099</v>
      </c>
      <c r="K6100">
        <v>0.19617560654890201</v>
      </c>
      <c r="L6100">
        <v>1037.3930420214101</v>
      </c>
      <c r="M6100">
        <v>21.2319859085273</v>
      </c>
      <c r="N6100">
        <v>49.791232778925497</v>
      </c>
      <c r="O6100">
        <v>48.432684250596203</v>
      </c>
      <c r="P6100">
        <v>-9.1637528767066503E-2</v>
      </c>
      <c r="Q6100">
        <v>0.163877205836989</v>
      </c>
      <c r="R6100">
        <v>0.99566461984419297</v>
      </c>
      <c r="S6100" t="s">
        <v>12906</v>
      </c>
      <c r="T6100" t="s">
        <v>13610</v>
      </c>
      <c r="U6100" t="s">
        <v>13610</v>
      </c>
      <c r="V6100" t="s">
        <v>13610</v>
      </c>
      <c r="W6100" t="s">
        <v>19635</v>
      </c>
      <c r="X6100">
        <v>16</v>
      </c>
      <c r="Y6100" t="s">
        <v>26186</v>
      </c>
      <c r="Z6100" t="s">
        <v>32955</v>
      </c>
      <c r="AA6100">
        <v>0.42118448933815439</v>
      </c>
      <c r="AB6100" t="str">
        <f>HYPERLINK("Melting_Curves/meltCurve_Q9NVU0_5_POLR3E.pdf", "Melting_Curves/meltCurve_Q9NVU0_5_POLR3E.pdf")</f>
        <v>Melting_Curves/meltCurve_Q9NVU0_5_POLR3E.pdf</v>
      </c>
    </row>
    <row r="6101" spans="1:28" x14ac:dyDescent="0.25">
      <c r="A6101" t="s">
        <v>6105</v>
      </c>
      <c r="B6101">
        <v>0.995954080203443</v>
      </c>
      <c r="C6101">
        <v>0.95234876383365297</v>
      </c>
      <c r="D6101">
        <v>1.02405328337313</v>
      </c>
      <c r="E6101">
        <v>0.81229595264328602</v>
      </c>
      <c r="F6101">
        <v>0.72701488608097997</v>
      </c>
      <c r="G6101">
        <v>0.573711785359449</v>
      </c>
      <c r="H6101">
        <v>0.55039438487008197</v>
      </c>
      <c r="I6101">
        <v>0.69767933185825304</v>
      </c>
      <c r="J6101">
        <v>0.75751857525942701</v>
      </c>
      <c r="K6101">
        <v>0.82970766277909402</v>
      </c>
      <c r="L6101">
        <v>2542.6527305678001</v>
      </c>
      <c r="M6101">
        <v>51.181339084053199</v>
      </c>
      <c r="O6101">
        <v>49.603625901040502</v>
      </c>
      <c r="P6101">
        <v>-8.0838099214007295E-2</v>
      </c>
      <c r="Q6101">
        <v>0.68661549224154905</v>
      </c>
      <c r="R6101">
        <v>0.74934663681052005</v>
      </c>
      <c r="S6101" t="s">
        <v>12907</v>
      </c>
      <c r="T6101" t="s">
        <v>13610</v>
      </c>
      <c r="U6101" t="s">
        <v>13610</v>
      </c>
      <c r="V6101" t="s">
        <v>13610</v>
      </c>
      <c r="W6101" t="s">
        <v>19636</v>
      </c>
      <c r="X6101">
        <v>5</v>
      </c>
      <c r="Y6101" t="s">
        <v>26187</v>
      </c>
      <c r="Z6101" t="s">
        <v>32956</v>
      </c>
      <c r="AA6101">
        <v>0.78838209695506889</v>
      </c>
      <c r="AB6101" t="str">
        <f>HYPERLINK("Melting_Curves/meltCurve_Q9NVU7_2_SDAD1.pdf", "Melting_Curves/meltCurve_Q9NVU7_2_SDAD1.pdf")</f>
        <v>Melting_Curves/meltCurve_Q9NVU7_2_SDAD1.pdf</v>
      </c>
    </row>
    <row r="6102" spans="1:28" x14ac:dyDescent="0.25">
      <c r="A6102" t="s">
        <v>6106</v>
      </c>
      <c r="B6102">
        <v>0.995954080203443</v>
      </c>
      <c r="C6102">
        <v>0.95890873616319094</v>
      </c>
      <c r="D6102">
        <v>0.79075906132833296</v>
      </c>
      <c r="E6102">
        <v>0.77742326237360604</v>
      </c>
      <c r="F6102">
        <v>0.61290804117791697</v>
      </c>
      <c r="G6102">
        <v>0.44152138951234698</v>
      </c>
      <c r="H6102">
        <v>0.35731156984564999</v>
      </c>
      <c r="I6102">
        <v>0.36250645199381498</v>
      </c>
      <c r="J6102">
        <v>0.53651060362485603</v>
      </c>
      <c r="K6102">
        <v>0.43295475659164601</v>
      </c>
      <c r="L6102">
        <v>732.99272294396599</v>
      </c>
      <c r="M6102">
        <v>14.621766249777099</v>
      </c>
      <c r="N6102">
        <v>56.341803520076702</v>
      </c>
      <c r="O6102">
        <v>49.2205939735763</v>
      </c>
      <c r="P6102">
        <v>-4.4545765956575903E-2</v>
      </c>
      <c r="Q6102">
        <v>0.40025760532015098</v>
      </c>
      <c r="R6102">
        <v>0.92083001962709299</v>
      </c>
      <c r="S6102" t="s">
        <v>12908</v>
      </c>
      <c r="T6102" t="s">
        <v>13610</v>
      </c>
      <c r="U6102" t="s">
        <v>13610</v>
      </c>
      <c r="V6102" t="s">
        <v>13610</v>
      </c>
      <c r="W6102" t="s">
        <v>19637</v>
      </c>
      <c r="X6102">
        <v>1</v>
      </c>
      <c r="Y6102" t="s">
        <v>26188</v>
      </c>
      <c r="Z6102" t="s">
        <v>32957</v>
      </c>
      <c r="AA6102">
        <v>0.61766675003944826</v>
      </c>
      <c r="AB6102" t="str">
        <f>HYPERLINK("Melting_Curves/meltCurve_Q9NVW2_RLIM.pdf", "Melting_Curves/meltCurve_Q9NVW2_RLIM.pdf")</f>
        <v>Melting_Curves/meltCurve_Q9NVW2_RLIM.pdf</v>
      </c>
    </row>
    <row r="6103" spans="1:28" x14ac:dyDescent="0.25">
      <c r="A6103" t="s">
        <v>6107</v>
      </c>
      <c r="B6103">
        <v>0.995954080203443</v>
      </c>
      <c r="C6103">
        <v>0.93465313376026604</v>
      </c>
      <c r="D6103">
        <v>0.52948374724743397</v>
      </c>
      <c r="E6103">
        <v>0.30849243986021901</v>
      </c>
      <c r="F6103">
        <v>0.16074054246943401</v>
      </c>
      <c r="G6103">
        <v>0.105600480308312</v>
      </c>
      <c r="H6103">
        <v>6.1406628512434301E-2</v>
      </c>
      <c r="I6103">
        <v>4.6507680038940201E-2</v>
      </c>
      <c r="J6103">
        <v>4.4481423797612003E-2</v>
      </c>
      <c r="K6103">
        <v>4.3815992669810802E-2</v>
      </c>
      <c r="L6103">
        <v>906.24016988148401</v>
      </c>
      <c r="M6103">
        <v>19.360153670102498</v>
      </c>
      <c r="N6103">
        <v>47.096066802379298</v>
      </c>
      <c r="O6103">
        <v>46.318713998803801</v>
      </c>
      <c r="P6103">
        <v>-9.8692843302177202E-2</v>
      </c>
      <c r="Q6103">
        <v>5.5553697430217701E-2</v>
      </c>
      <c r="R6103">
        <v>0.98779944510974305</v>
      </c>
      <c r="S6103" t="s">
        <v>12909</v>
      </c>
      <c r="T6103" t="s">
        <v>13610</v>
      </c>
      <c r="U6103" t="s">
        <v>13610</v>
      </c>
      <c r="V6103" t="s">
        <v>13610</v>
      </c>
      <c r="W6103" t="s">
        <v>19638</v>
      </c>
      <c r="X6103">
        <v>8</v>
      </c>
      <c r="Y6103" t="s">
        <v>26189</v>
      </c>
      <c r="Z6103" t="s">
        <v>32958</v>
      </c>
      <c r="AA6103">
        <v>0.28491285022846619</v>
      </c>
      <c r="AB6103" t="str">
        <f>HYPERLINK("Melting_Curves/meltCurve_Q9NVX0_HAUS2.pdf", "Melting_Curves/meltCurve_Q9NVX0_HAUS2.pdf")</f>
        <v>Melting_Curves/meltCurve_Q9NVX0_HAUS2.pdf</v>
      </c>
    </row>
    <row r="6104" spans="1:28" x14ac:dyDescent="0.25">
      <c r="A6104" t="s">
        <v>6108</v>
      </c>
      <c r="B6104">
        <v>0.995954080203443</v>
      </c>
      <c r="C6104">
        <v>0.95395765652537801</v>
      </c>
      <c r="D6104">
        <v>0.99416669150347103</v>
      </c>
      <c r="E6104">
        <v>0.93663296365457205</v>
      </c>
      <c r="F6104">
        <v>0.79851131609520698</v>
      </c>
      <c r="G6104">
        <v>0.56553361771958</v>
      </c>
      <c r="H6104">
        <v>0.39547518167138901</v>
      </c>
      <c r="I6104">
        <v>0.33159990107996201</v>
      </c>
      <c r="J6104">
        <v>0.21322907270302099</v>
      </c>
      <c r="K6104">
        <v>0.12634057815972399</v>
      </c>
      <c r="L6104">
        <v>750.57557224156199</v>
      </c>
      <c r="M6104">
        <v>12.849603091865299</v>
      </c>
      <c r="N6104">
        <v>58.932649791741603</v>
      </c>
      <c r="O6104">
        <v>57.051865282526201</v>
      </c>
      <c r="P6104">
        <v>-5.3297183356363999E-2</v>
      </c>
      <c r="Q6104">
        <v>5.3623139126073603E-2</v>
      </c>
      <c r="R6104">
        <v>0.99317478204140497</v>
      </c>
      <c r="S6104" t="s">
        <v>12910</v>
      </c>
      <c r="T6104" t="s">
        <v>13610</v>
      </c>
      <c r="U6104" t="s">
        <v>13610</v>
      </c>
      <c r="V6104" t="s">
        <v>13610</v>
      </c>
      <c r="W6104" t="s">
        <v>19639</v>
      </c>
      <c r="X6104">
        <v>13</v>
      </c>
      <c r="Y6104" t="s">
        <v>26190</v>
      </c>
      <c r="Z6104" t="s">
        <v>32959</v>
      </c>
      <c r="AA6104">
        <v>0.64541107753328342</v>
      </c>
      <c r="AB6104" t="str">
        <f>HYPERLINK("Melting_Curves/meltCurve_Q9NVX2_NLE1.pdf", "Melting_Curves/meltCurve_Q9NVX2_NLE1.pdf")</f>
        <v>Melting_Curves/meltCurve_Q9NVX2_NLE1.pdf</v>
      </c>
    </row>
    <row r="6105" spans="1:28" x14ac:dyDescent="0.25">
      <c r="A6105" t="s">
        <v>6109</v>
      </c>
      <c r="B6105">
        <v>0.995954080203443</v>
      </c>
      <c r="C6105">
        <v>0.91393207564467405</v>
      </c>
      <c r="D6105">
        <v>0.98177507781296602</v>
      </c>
      <c r="E6105">
        <v>0.79394514727865295</v>
      </c>
      <c r="F6105">
        <v>0.778172599626755</v>
      </c>
      <c r="G6105">
        <v>0.44307949587832601</v>
      </c>
      <c r="H6105">
        <v>0.20268743418098301</v>
      </c>
      <c r="I6105">
        <v>0.12976401444727201</v>
      </c>
      <c r="J6105">
        <v>0.115636803650095</v>
      </c>
      <c r="K6105">
        <v>9.47084656699788E-2</v>
      </c>
      <c r="L6105">
        <v>892.75929932177803</v>
      </c>
      <c r="M6105">
        <v>15.9992313673525</v>
      </c>
      <c r="N6105">
        <v>56.089441737437298</v>
      </c>
      <c r="O6105">
        <v>54.950225221783903</v>
      </c>
      <c r="P6105">
        <v>-6.9912319759597205E-2</v>
      </c>
      <c r="Q6105">
        <v>3.9604771142855301E-2</v>
      </c>
      <c r="R6105">
        <v>0.98608316895393</v>
      </c>
      <c r="S6105" t="s">
        <v>12911</v>
      </c>
      <c r="T6105" t="s">
        <v>13610</v>
      </c>
      <c r="U6105" t="s">
        <v>13610</v>
      </c>
      <c r="V6105" t="s">
        <v>13610</v>
      </c>
      <c r="W6105" t="s">
        <v>19640</v>
      </c>
      <c r="X6105">
        <v>12</v>
      </c>
      <c r="Y6105" t="s">
        <v>26191</v>
      </c>
      <c r="Z6105" t="s">
        <v>32960</v>
      </c>
      <c r="AA6105">
        <v>0.56174226720503706</v>
      </c>
      <c r="AB6105" t="str">
        <f>HYPERLINK("Melting_Curves/meltCurve_Q9NVZ3_NECAP2.pdf", "Melting_Curves/meltCurve_Q9NVZ3_NECAP2.pdf")</f>
        <v>Melting_Curves/meltCurve_Q9NVZ3_NECAP2.pdf</v>
      </c>
    </row>
    <row r="6106" spans="1:28" x14ac:dyDescent="0.25">
      <c r="A6106" t="s">
        <v>6110</v>
      </c>
      <c r="B6106">
        <v>0.995954080203443</v>
      </c>
      <c r="C6106">
        <v>0.63178471113310397</v>
      </c>
      <c r="D6106">
        <v>0.44182991885127199</v>
      </c>
      <c r="E6106">
        <v>0.52340360107774397</v>
      </c>
      <c r="F6106">
        <v>0.26611877236969</v>
      </c>
      <c r="G6106">
        <v>0.13941733906620299</v>
      </c>
      <c r="H6106">
        <v>8.4001194340018501E-2</v>
      </c>
      <c r="I6106">
        <v>6.9492595900354198E-2</v>
      </c>
      <c r="J6106">
        <v>8.32158343142166E-2</v>
      </c>
      <c r="K6106">
        <v>7.8906711705410706E-2</v>
      </c>
      <c r="L6106">
        <v>460.59612295015899</v>
      </c>
      <c r="M6106">
        <v>9.8087391327560205</v>
      </c>
      <c r="N6106">
        <v>47.181320857868101</v>
      </c>
      <c r="O6106">
        <v>45.130781091669903</v>
      </c>
      <c r="P6106">
        <v>-5.3128974679595403E-2</v>
      </c>
      <c r="Q6106">
        <v>2.2709342261368001E-2</v>
      </c>
      <c r="R6106">
        <v>0.91982039108785696</v>
      </c>
      <c r="S6106" t="s">
        <v>12912</v>
      </c>
      <c r="T6106" t="s">
        <v>13610</v>
      </c>
      <c r="U6106" t="s">
        <v>13610</v>
      </c>
      <c r="V6106" t="s">
        <v>13610</v>
      </c>
      <c r="W6106" t="s">
        <v>19641</v>
      </c>
      <c r="X6106">
        <v>16</v>
      </c>
      <c r="Y6106" t="s">
        <v>26192</v>
      </c>
      <c r="Z6106" t="s">
        <v>32961</v>
      </c>
      <c r="AA6106">
        <v>0.30746900962592372</v>
      </c>
      <c r="AB6106" t="str">
        <f>HYPERLINK("Melting_Curves/meltCurve_Q9NW08_2_POLR3B.pdf", "Melting_Curves/meltCurve_Q9NW08_2_POLR3B.pdf")</f>
        <v>Melting_Curves/meltCurve_Q9NW08_2_POLR3B.pdf</v>
      </c>
    </row>
    <row r="6107" spans="1:28" x14ac:dyDescent="0.25">
      <c r="A6107" t="s">
        <v>6111</v>
      </c>
      <c r="B6107">
        <v>0.995954080203443</v>
      </c>
      <c r="C6107">
        <v>0.95931139931048304</v>
      </c>
      <c r="D6107">
        <v>0.879909011210667</v>
      </c>
      <c r="E6107">
        <v>0.66243528607903501</v>
      </c>
      <c r="F6107">
        <v>0.55793531735026003</v>
      </c>
      <c r="G6107">
        <v>0.39232648603034498</v>
      </c>
      <c r="H6107">
        <v>0.33176165261860302</v>
      </c>
      <c r="I6107">
        <v>0.37302120595166099</v>
      </c>
      <c r="J6107">
        <v>0.44495274786086098</v>
      </c>
      <c r="K6107">
        <v>0.41932062308106499</v>
      </c>
      <c r="L6107">
        <v>955.84881389499003</v>
      </c>
      <c r="M6107">
        <v>19.281780749981401</v>
      </c>
      <c r="N6107">
        <v>53.606623555562003</v>
      </c>
      <c r="O6107">
        <v>49.048667679399003</v>
      </c>
      <c r="P6107">
        <v>-6.06570407516119E-2</v>
      </c>
      <c r="Q6107">
        <v>0.38282979396641797</v>
      </c>
      <c r="R6107">
        <v>0.97920814894532204</v>
      </c>
      <c r="S6107" t="s">
        <v>12913</v>
      </c>
      <c r="T6107" t="s">
        <v>13610</v>
      </c>
      <c r="U6107" t="s">
        <v>13610</v>
      </c>
      <c r="V6107" t="s">
        <v>13610</v>
      </c>
      <c r="W6107" t="s">
        <v>19642</v>
      </c>
      <c r="X6107">
        <v>34</v>
      </c>
      <c r="Y6107" t="s">
        <v>26193</v>
      </c>
      <c r="Z6107" t="s">
        <v>32962</v>
      </c>
      <c r="AA6107">
        <v>0.5890163544298922</v>
      </c>
      <c r="AB6107" t="str">
        <f>HYPERLINK("Melting_Curves/meltCurve_Q9NW13_RBM28.pdf", "Melting_Curves/meltCurve_Q9NW13_RBM28.pdf")</f>
        <v>Melting_Curves/meltCurve_Q9NW13_RBM28.pdf</v>
      </c>
    </row>
    <row r="6108" spans="1:28" x14ac:dyDescent="0.25">
      <c r="A6108" t="s">
        <v>6112</v>
      </c>
      <c r="B6108">
        <v>0.995954080203443</v>
      </c>
      <c r="C6108">
        <v>0.99849099280036002</v>
      </c>
      <c r="D6108">
        <v>0.99864533471066796</v>
      </c>
      <c r="E6108">
        <v>0.83322192716377497</v>
      </c>
      <c r="F6108">
        <v>0.66493810854735103</v>
      </c>
      <c r="G6108">
        <v>0.41311800176096503</v>
      </c>
      <c r="H6108">
        <v>0.28958186393670898</v>
      </c>
      <c r="I6108">
        <v>0.31083788362549503</v>
      </c>
      <c r="J6108">
        <v>0.33579794222931098</v>
      </c>
      <c r="K6108">
        <v>0.34492031309818399</v>
      </c>
      <c r="L6108">
        <v>1281.7349644891599</v>
      </c>
      <c r="M6108">
        <v>24.262468314429402</v>
      </c>
      <c r="N6108">
        <v>55.0507570204147</v>
      </c>
      <c r="O6108">
        <v>52.472937452402299</v>
      </c>
      <c r="P6108">
        <v>-7.9497735200146302E-2</v>
      </c>
      <c r="Q6108">
        <v>0.31228491874074998</v>
      </c>
      <c r="R6108">
        <v>0.99389981458083598</v>
      </c>
      <c r="S6108" t="s">
        <v>12914</v>
      </c>
      <c r="T6108" t="s">
        <v>13610</v>
      </c>
      <c r="U6108" t="s">
        <v>13610</v>
      </c>
      <c r="V6108" t="s">
        <v>13610</v>
      </c>
      <c r="W6108" t="s">
        <v>19643</v>
      </c>
      <c r="X6108">
        <v>21</v>
      </c>
      <c r="Y6108" t="s">
        <v>26194</v>
      </c>
      <c r="Z6108" t="s">
        <v>32963</v>
      </c>
      <c r="AA6108">
        <v>0.61303898251408584</v>
      </c>
      <c r="AB6108" t="str">
        <f>HYPERLINK("Melting_Curves/meltCurve_Q9NW64_RBM22.pdf", "Melting_Curves/meltCurve_Q9NW64_RBM22.pdf")</f>
        <v>Melting_Curves/meltCurve_Q9NW64_RBM22.pdf</v>
      </c>
    </row>
    <row r="6109" spans="1:28" x14ac:dyDescent="0.25">
      <c r="A6109" t="s">
        <v>6113</v>
      </c>
      <c r="B6109">
        <v>0.995954080203443</v>
      </c>
      <c r="C6109">
        <v>0.96357546578248998</v>
      </c>
      <c r="D6109">
        <v>1.30147294626263</v>
      </c>
      <c r="E6109">
        <v>1.03483421342238</v>
      </c>
      <c r="F6109">
        <v>1.4364755302191199</v>
      </c>
      <c r="G6109">
        <v>1.09221109423337</v>
      </c>
      <c r="H6109">
        <v>1.07589709595651</v>
      </c>
      <c r="I6109">
        <v>1.24718402895335</v>
      </c>
      <c r="J6109">
        <v>1.57646680370703</v>
      </c>
      <c r="K6109">
        <v>1.4779826743837201</v>
      </c>
      <c r="L6109">
        <v>351.01981414920601</v>
      </c>
      <c r="M6109">
        <v>6.1803550932220501</v>
      </c>
      <c r="O6109">
        <v>51.714395925872203</v>
      </c>
      <c r="P6109">
        <v>1.4982185011358E-2</v>
      </c>
      <c r="Q6109">
        <v>1.5</v>
      </c>
      <c r="R6109">
        <v>0.38929444135415697</v>
      </c>
      <c r="S6109" t="s">
        <v>12915</v>
      </c>
      <c r="T6109" t="s">
        <v>13610</v>
      </c>
      <c r="U6109" t="s">
        <v>13610</v>
      </c>
      <c r="V6109" t="s">
        <v>13610</v>
      </c>
      <c r="W6109" t="s">
        <v>19644</v>
      </c>
      <c r="X6109">
        <v>8</v>
      </c>
      <c r="Y6109" t="s">
        <v>20618</v>
      </c>
      <c r="Z6109" t="s">
        <v>32964</v>
      </c>
      <c r="AA6109">
        <v>1.216692029404842</v>
      </c>
      <c r="AB6109" t="str">
        <f>HYPERLINK("Melting_Curves/meltCurve_Q9NW68_4_BSDC1.pdf", "Melting_Curves/meltCurve_Q9NW68_4_BSDC1.pdf")</f>
        <v>Melting_Curves/meltCurve_Q9NW68_4_BSDC1.pdf</v>
      </c>
    </row>
    <row r="6110" spans="1:28" x14ac:dyDescent="0.25">
      <c r="A6110" t="s">
        <v>6114</v>
      </c>
      <c r="B6110">
        <v>0.995954080203443</v>
      </c>
      <c r="C6110">
        <v>1.0269386815111301</v>
      </c>
      <c r="D6110">
        <v>1.0254783789712401</v>
      </c>
      <c r="E6110">
        <v>0.92431293232443401</v>
      </c>
      <c r="F6110">
        <v>0.87916535611436097</v>
      </c>
      <c r="G6110">
        <v>0.68772493741788798</v>
      </c>
      <c r="H6110">
        <v>0.67502828169749296</v>
      </c>
      <c r="I6110">
        <v>0.84666299073596996</v>
      </c>
      <c r="J6110">
        <v>0.88935374657850896</v>
      </c>
      <c r="K6110">
        <v>0.99736183276980594</v>
      </c>
      <c r="L6110">
        <v>2134.2446723032599</v>
      </c>
      <c r="M6110">
        <v>42.122611302121399</v>
      </c>
      <c r="O6110">
        <v>50.553637978479202</v>
      </c>
      <c r="P6110">
        <v>-3.6700403346850499E-2</v>
      </c>
      <c r="Q6110">
        <v>0.82381569174412095</v>
      </c>
      <c r="R6110">
        <v>0.474884327924183</v>
      </c>
      <c r="S6110" t="s">
        <v>12916</v>
      </c>
      <c r="T6110" t="s">
        <v>13610</v>
      </c>
      <c r="U6110" t="s">
        <v>13610</v>
      </c>
      <c r="V6110" t="s">
        <v>13610</v>
      </c>
      <c r="W6110" t="s">
        <v>19645</v>
      </c>
      <c r="X6110">
        <v>8</v>
      </c>
      <c r="Y6110" t="s">
        <v>26195</v>
      </c>
      <c r="Z6110" t="s">
        <v>32965</v>
      </c>
      <c r="AA6110">
        <v>0.88701954168674157</v>
      </c>
      <c r="AB6110" t="str">
        <f>HYPERLINK("Melting_Curves/meltCurve_Q9NW75_2_GPATCH2.pdf", "Melting_Curves/meltCurve_Q9NW75_2_GPATCH2.pdf")</f>
        <v>Melting_Curves/meltCurve_Q9NW75_2_GPATCH2.pdf</v>
      </c>
    </row>
    <row r="6111" spans="1:28" x14ac:dyDescent="0.25">
      <c r="A6111" t="s">
        <v>6115</v>
      </c>
      <c r="B6111">
        <v>0.995954080203443</v>
      </c>
      <c r="C6111">
        <v>0.95687476010461003</v>
      </c>
      <c r="D6111">
        <v>1.0019573375828501</v>
      </c>
      <c r="E6111">
        <v>0.84016129280876195</v>
      </c>
      <c r="F6111">
        <v>0.81392228023543001</v>
      </c>
      <c r="G6111">
        <v>0.44903163743507202</v>
      </c>
      <c r="H6111">
        <v>0.27077201831477798</v>
      </c>
      <c r="I6111">
        <v>0.29636822845162503</v>
      </c>
      <c r="J6111">
        <v>0.36943024836634197</v>
      </c>
      <c r="K6111">
        <v>0.34497075720042197</v>
      </c>
      <c r="L6111">
        <v>1468.98432715734</v>
      </c>
      <c r="M6111">
        <v>27.091720181845901</v>
      </c>
      <c r="N6111">
        <v>56.234133522645202</v>
      </c>
      <c r="O6111">
        <v>53.929779925964397</v>
      </c>
      <c r="P6111">
        <v>-8.6621252583481995E-2</v>
      </c>
      <c r="Q6111">
        <v>0.310280867777466</v>
      </c>
      <c r="R6111">
        <v>0.97259661340564696</v>
      </c>
      <c r="S6111" t="s">
        <v>12917</v>
      </c>
      <c r="T6111" t="s">
        <v>13610</v>
      </c>
      <c r="U6111" t="s">
        <v>13610</v>
      </c>
      <c r="V6111" t="s">
        <v>13610</v>
      </c>
      <c r="W6111" t="s">
        <v>19646</v>
      </c>
      <c r="X6111">
        <v>27</v>
      </c>
      <c r="Y6111" t="s">
        <v>26196</v>
      </c>
      <c r="Z6111" t="s">
        <v>32966</v>
      </c>
      <c r="AA6111">
        <v>0.64277763237769703</v>
      </c>
      <c r="AB6111" t="str">
        <f>HYPERLINK("Melting_Curves/meltCurve_Q9NW82_WDR70.pdf", "Melting_Curves/meltCurve_Q9NW82_WDR70.pdf")</f>
        <v>Melting_Curves/meltCurve_Q9NW82_WDR70.pdf</v>
      </c>
    </row>
    <row r="6112" spans="1:28" x14ac:dyDescent="0.25">
      <c r="A6112" t="s">
        <v>6116</v>
      </c>
      <c r="B6112">
        <v>0.995954080203443</v>
      </c>
      <c r="C6112">
        <v>0.95966469424853895</v>
      </c>
      <c r="D6112">
        <v>0.95752755536780099</v>
      </c>
      <c r="E6112">
        <v>0.873743708078071</v>
      </c>
      <c r="F6112">
        <v>0.84911246429688403</v>
      </c>
      <c r="G6112">
        <v>0.70372938415674102</v>
      </c>
      <c r="H6112">
        <v>0.72473171846375295</v>
      </c>
      <c r="I6112">
        <v>0.75710750179802799</v>
      </c>
      <c r="J6112">
        <v>0.70220326174511505</v>
      </c>
      <c r="K6112">
        <v>0.84411917370267897</v>
      </c>
      <c r="L6112">
        <v>1010.7662560390499</v>
      </c>
      <c r="M6112">
        <v>20.181497411533002</v>
      </c>
      <c r="O6112">
        <v>49.599863783447503</v>
      </c>
      <c r="P6112">
        <v>-2.5789200383709299E-2</v>
      </c>
      <c r="Q6112">
        <v>0.74648064425719995</v>
      </c>
      <c r="R6112">
        <v>0.829718484924023</v>
      </c>
      <c r="S6112" t="s">
        <v>12918</v>
      </c>
      <c r="T6112" t="s">
        <v>13610</v>
      </c>
      <c r="U6112" t="s">
        <v>13610</v>
      </c>
      <c r="V6112" t="s">
        <v>13610</v>
      </c>
      <c r="W6112" t="s">
        <v>19647</v>
      </c>
      <c r="X6112">
        <v>1</v>
      </c>
      <c r="Y6112" t="s">
        <v>26197</v>
      </c>
      <c r="Z6112" t="s">
        <v>32967</v>
      </c>
      <c r="AA6112">
        <v>0.83516207749412696</v>
      </c>
      <c r="AB6112" t="str">
        <f>HYPERLINK("Melting_Curves/meltCurve_Q9NW97_TMEM51.pdf", "Melting_Curves/meltCurve_Q9NW97_TMEM51.pdf")</f>
        <v>Melting_Curves/meltCurve_Q9NW97_TMEM51.pdf</v>
      </c>
    </row>
    <row r="6113" spans="1:28" x14ac:dyDescent="0.25">
      <c r="A6113" t="s">
        <v>6117</v>
      </c>
      <c r="B6113">
        <v>0.995954080203443</v>
      </c>
      <c r="C6113">
        <v>0.87143574355708298</v>
      </c>
      <c r="D6113">
        <v>0.62021226238692095</v>
      </c>
      <c r="E6113">
        <v>0.69839283947368402</v>
      </c>
      <c r="F6113">
        <v>0.51909572161414497</v>
      </c>
      <c r="G6113">
        <v>0.34988806653817001</v>
      </c>
      <c r="H6113">
        <v>0.27776016337107501</v>
      </c>
      <c r="I6113">
        <v>0.28397662807309898</v>
      </c>
      <c r="J6113">
        <v>0.33043271089183901</v>
      </c>
      <c r="K6113">
        <v>0.32546251435747198</v>
      </c>
      <c r="L6113">
        <v>513.136572061425</v>
      </c>
      <c r="M6113">
        <v>10.474583427981701</v>
      </c>
      <c r="N6113">
        <v>52.560550553227102</v>
      </c>
      <c r="O6113">
        <v>47.3041812238841</v>
      </c>
      <c r="P6113">
        <v>-4.1279102507687897E-2</v>
      </c>
      <c r="Q6113">
        <v>0.25462266524105398</v>
      </c>
      <c r="R6113">
        <v>0.92944700269896496</v>
      </c>
      <c r="S6113" t="s">
        <v>12919</v>
      </c>
      <c r="T6113" t="s">
        <v>13610</v>
      </c>
      <c r="U6113" t="s">
        <v>13610</v>
      </c>
      <c r="V6113" t="s">
        <v>13610</v>
      </c>
      <c r="W6113" t="s">
        <v>19648</v>
      </c>
      <c r="X6113">
        <v>3</v>
      </c>
      <c r="Y6113" t="s">
        <v>26198</v>
      </c>
      <c r="Z6113" t="s">
        <v>32968</v>
      </c>
      <c r="AA6113">
        <v>0.51202155779043024</v>
      </c>
      <c r="AB6113" t="str">
        <f>HYPERLINK("Melting_Curves/meltCurve_Q9NWA0_MED9.pdf", "Melting_Curves/meltCurve_Q9NWA0_MED9.pdf")</f>
        <v>Melting_Curves/meltCurve_Q9NWA0_MED9.pdf</v>
      </c>
    </row>
    <row r="6114" spans="1:28" x14ac:dyDescent="0.25">
      <c r="A6114" t="s">
        <v>6118</v>
      </c>
      <c r="B6114">
        <v>0.995954080203443</v>
      </c>
      <c r="C6114">
        <v>0.91622021709700796</v>
      </c>
      <c r="D6114">
        <v>1.1810635908177201</v>
      </c>
      <c r="E6114">
        <v>0.92506003888853205</v>
      </c>
      <c r="F6114">
        <v>1.20159629807288</v>
      </c>
      <c r="G6114">
        <v>1.1125677643885701</v>
      </c>
      <c r="H6114">
        <v>1.0460274655566499</v>
      </c>
      <c r="I6114">
        <v>1.2392374640938699</v>
      </c>
      <c r="J6114">
        <v>1.6199875851632899</v>
      </c>
      <c r="K6114">
        <v>1.52040552818056</v>
      </c>
      <c r="L6114">
        <v>15000</v>
      </c>
      <c r="M6114">
        <v>234.288976153465</v>
      </c>
      <c r="O6114">
        <v>64.018833971349494</v>
      </c>
      <c r="P6114">
        <v>0.45746103541571498</v>
      </c>
      <c r="Q6114">
        <v>1.5</v>
      </c>
      <c r="R6114">
        <v>0.77056508995926498</v>
      </c>
      <c r="S6114" t="s">
        <v>12920</v>
      </c>
      <c r="T6114" t="s">
        <v>13610</v>
      </c>
      <c r="U6114" t="s">
        <v>13610</v>
      </c>
      <c r="V6114" t="s">
        <v>13610</v>
      </c>
      <c r="W6114" t="s">
        <v>19649</v>
      </c>
      <c r="X6114">
        <v>9</v>
      </c>
      <c r="Y6114" t="s">
        <v>26199</v>
      </c>
      <c r="Z6114" t="s">
        <v>32969</v>
      </c>
      <c r="AA6114">
        <v>1.0995443827747069</v>
      </c>
      <c r="AB6114" t="str">
        <f>HYPERLINK("Melting_Curves/meltCurve_Q9NWB6_ARGLU1.pdf", "Melting_Curves/meltCurve_Q9NWB6_ARGLU1.pdf")</f>
        <v>Melting_Curves/meltCurve_Q9NWB6_ARGLU1.pdf</v>
      </c>
    </row>
    <row r="6115" spans="1:28" x14ac:dyDescent="0.25">
      <c r="A6115" t="s">
        <v>6119</v>
      </c>
      <c r="B6115">
        <v>0.995954080203443</v>
      </c>
      <c r="C6115">
        <v>0.78783795771189302</v>
      </c>
      <c r="D6115">
        <v>0.63938528720009902</v>
      </c>
      <c r="E6115">
        <v>0.58676738871716205</v>
      </c>
      <c r="F6115">
        <v>0.247735997649635</v>
      </c>
      <c r="G6115">
        <v>0.16944945082888599</v>
      </c>
      <c r="H6115">
        <v>9.2853073887531196E-2</v>
      </c>
      <c r="I6115">
        <v>7.1771004423937801E-2</v>
      </c>
      <c r="J6115">
        <v>6.7817455808086596E-2</v>
      </c>
      <c r="K6115">
        <v>7.8754005177851402E-2</v>
      </c>
      <c r="L6115">
        <v>561.24128183105199</v>
      </c>
      <c r="M6115">
        <v>11.424355650048399</v>
      </c>
      <c r="N6115">
        <v>49.272069838357098</v>
      </c>
      <c r="O6115">
        <v>47.693765446577402</v>
      </c>
      <c r="P6115">
        <v>-5.89089743515262E-2</v>
      </c>
      <c r="Q6115">
        <v>1.65670779023614E-2</v>
      </c>
      <c r="R6115">
        <v>0.97049398310634305</v>
      </c>
      <c r="S6115" t="s">
        <v>12921</v>
      </c>
      <c r="T6115" t="s">
        <v>13610</v>
      </c>
      <c r="U6115" t="s">
        <v>13610</v>
      </c>
      <c r="V6115" t="s">
        <v>13610</v>
      </c>
      <c r="W6115" t="s">
        <v>19650</v>
      </c>
      <c r="X6115">
        <v>3</v>
      </c>
      <c r="Y6115" t="s">
        <v>26200</v>
      </c>
      <c r="Z6115" t="s">
        <v>32970</v>
      </c>
      <c r="AA6115">
        <v>0.35460471570657959</v>
      </c>
      <c r="AB6115" t="str">
        <f>HYPERLINK("Melting_Curves/meltCurve_Q9NWB7_IFT57.pdf", "Melting_Curves/meltCurve_Q9NWB7_IFT57.pdf")</f>
        <v>Melting_Curves/meltCurve_Q9NWB7_IFT57.pdf</v>
      </c>
    </row>
    <row r="6116" spans="1:28" x14ac:dyDescent="0.25">
      <c r="A6116" t="s">
        <v>6120</v>
      </c>
      <c r="B6116">
        <v>0.995954080203443</v>
      </c>
      <c r="C6116">
        <v>0.85514889551042295</v>
      </c>
      <c r="D6116">
        <v>1.40978129090088</v>
      </c>
      <c r="E6116">
        <v>0.86305247978521105</v>
      </c>
      <c r="F6116">
        <v>1.6103090674321401</v>
      </c>
      <c r="G6116">
        <v>1.62136842670154</v>
      </c>
      <c r="H6116">
        <v>1.84398373438428</v>
      </c>
      <c r="I6116">
        <v>2.3506375492778799</v>
      </c>
      <c r="J6116">
        <v>2.7344110822475698</v>
      </c>
      <c r="K6116">
        <v>2.7574922019085601</v>
      </c>
      <c r="L6116">
        <v>6955.4295874468098</v>
      </c>
      <c r="M6116">
        <v>135.07416079861</v>
      </c>
      <c r="O6116">
        <v>51.482128119838599</v>
      </c>
      <c r="P6116">
        <v>0.32796372232968601</v>
      </c>
      <c r="Q6116">
        <v>1.5</v>
      </c>
      <c r="R6116">
        <v>9.7863111704037206E-2</v>
      </c>
      <c r="S6116" t="s">
        <v>12922</v>
      </c>
      <c r="T6116" t="s">
        <v>13610</v>
      </c>
      <c r="U6116" t="s">
        <v>13610</v>
      </c>
      <c r="V6116" t="s">
        <v>13610</v>
      </c>
      <c r="W6116" t="s">
        <v>19651</v>
      </c>
      <c r="X6116">
        <v>1</v>
      </c>
      <c r="Y6116" t="s">
        <v>26201</v>
      </c>
      <c r="Z6116" t="s">
        <v>32971</v>
      </c>
      <c r="AA6116">
        <v>1.3082882430344751</v>
      </c>
      <c r="AB6116" t="str">
        <f>HYPERLINK("Melting_Curves/meltCurve_Q9NWD9_BEX4.pdf", "Melting_Curves/meltCurve_Q9NWD9_BEX4.pdf")</f>
        <v>Melting_Curves/meltCurve_Q9NWD9_BEX4.pdf</v>
      </c>
    </row>
    <row r="6117" spans="1:28" x14ac:dyDescent="0.25">
      <c r="A6117" t="s">
        <v>6121</v>
      </c>
      <c r="B6117">
        <v>0.995954080203443</v>
      </c>
      <c r="C6117">
        <v>0.97645190810712401</v>
      </c>
      <c r="D6117">
        <v>1.10101681694961</v>
      </c>
      <c r="E6117">
        <v>0.92152288630532098</v>
      </c>
      <c r="F6117">
        <v>0.96308122846598998</v>
      </c>
      <c r="G6117">
        <v>0.71516786446381198</v>
      </c>
      <c r="H6117">
        <v>0.580748665297661</v>
      </c>
      <c r="I6117">
        <v>0.61471539537128495</v>
      </c>
      <c r="J6117">
        <v>0.80972215034186401</v>
      </c>
      <c r="K6117">
        <v>0.68470235274956104</v>
      </c>
      <c r="L6117">
        <v>3036.6006248203398</v>
      </c>
      <c r="M6117">
        <v>55.3113181783892</v>
      </c>
      <c r="O6117">
        <v>54.828535807574298</v>
      </c>
      <c r="P6117">
        <v>-8.2429257568377906E-2</v>
      </c>
      <c r="Q6117">
        <v>0.673161032743123</v>
      </c>
      <c r="R6117">
        <v>0.83616887277740104</v>
      </c>
      <c r="S6117" t="s">
        <v>12923</v>
      </c>
      <c r="T6117" t="s">
        <v>13610</v>
      </c>
      <c r="U6117" t="s">
        <v>13610</v>
      </c>
      <c r="V6117" t="s">
        <v>13610</v>
      </c>
      <c r="W6117" t="s">
        <v>19652</v>
      </c>
      <c r="X6117">
        <v>34</v>
      </c>
      <c r="Y6117" t="s">
        <v>26202</v>
      </c>
      <c r="Z6117" t="s">
        <v>32972</v>
      </c>
      <c r="AA6117">
        <v>0.83613887637051265</v>
      </c>
      <c r="AB6117" t="str">
        <f>HYPERLINK("Melting_Curves/meltCurve_Q9NWH9_SLTM.pdf", "Melting_Curves/meltCurve_Q9NWH9_SLTM.pdf")</f>
        <v>Melting_Curves/meltCurve_Q9NWH9_SLTM.pdf</v>
      </c>
    </row>
    <row r="6118" spans="1:28" x14ac:dyDescent="0.25">
      <c r="A6118" t="s">
        <v>6122</v>
      </c>
      <c r="B6118">
        <v>0.995954080203443</v>
      </c>
      <c r="C6118">
        <v>0.974212468910993</v>
      </c>
      <c r="D6118">
        <v>1.07442421112891</v>
      </c>
      <c r="E6118">
        <v>0.96301467748639802</v>
      </c>
      <c r="F6118">
        <v>1.03788863819706</v>
      </c>
      <c r="G6118">
        <v>0.94760112123373397</v>
      </c>
      <c r="H6118">
        <v>0.96949229060989905</v>
      </c>
      <c r="I6118">
        <v>1.2434733119577901</v>
      </c>
      <c r="J6118">
        <v>1.2212075323231599</v>
      </c>
      <c r="K6118">
        <v>1.5277791935877301</v>
      </c>
      <c r="L6118">
        <v>2134.9289739542901</v>
      </c>
      <c r="M6118">
        <v>32.497084633906297</v>
      </c>
      <c r="O6118">
        <v>65.448746590282497</v>
      </c>
      <c r="P6118">
        <v>6.2066203093972198E-2</v>
      </c>
      <c r="Q6118">
        <v>1.5</v>
      </c>
      <c r="R6118">
        <v>0.85543022721733897</v>
      </c>
      <c r="S6118" t="s">
        <v>12924</v>
      </c>
      <c r="T6118" t="s">
        <v>13610</v>
      </c>
      <c r="U6118" t="s">
        <v>13610</v>
      </c>
      <c r="V6118" t="s">
        <v>13610</v>
      </c>
      <c r="W6118" t="s">
        <v>19653</v>
      </c>
      <c r="X6118">
        <v>11</v>
      </c>
      <c r="Y6118" t="s">
        <v>26203</v>
      </c>
      <c r="Z6118" t="s">
        <v>32973</v>
      </c>
      <c r="AA6118">
        <v>1.073507498120378</v>
      </c>
      <c r="AB6118" t="str">
        <f>HYPERLINK("Melting_Curves/meltCurve_Q9NWK9_ZNHIT6.pdf", "Melting_Curves/meltCurve_Q9NWK9_ZNHIT6.pdf")</f>
        <v>Melting_Curves/meltCurve_Q9NWK9_ZNHIT6.pdf</v>
      </c>
    </row>
    <row r="6119" spans="1:28" x14ac:dyDescent="0.25">
      <c r="A6119" t="s">
        <v>6123</v>
      </c>
      <c r="B6119">
        <v>0.995954080203443</v>
      </c>
      <c r="C6119">
        <v>0.87038191194194403</v>
      </c>
      <c r="D6119">
        <v>0.75910126429596603</v>
      </c>
      <c r="E6119">
        <v>0.65626387376278505</v>
      </c>
      <c r="F6119">
        <v>0.41892222111785798</v>
      </c>
      <c r="G6119">
        <v>0.33000903698408401</v>
      </c>
      <c r="H6119">
        <v>0.21329993852163601</v>
      </c>
      <c r="I6119">
        <v>0.211603738070368</v>
      </c>
      <c r="J6119">
        <v>0.223476473872078</v>
      </c>
      <c r="K6119">
        <v>0.21061458200561101</v>
      </c>
      <c r="L6119">
        <v>605.433750106057</v>
      </c>
      <c r="M6119">
        <v>12.0764691701588</v>
      </c>
      <c r="N6119">
        <v>51.857465035418898</v>
      </c>
      <c r="O6119">
        <v>48.818051911517898</v>
      </c>
      <c r="P6119">
        <v>-5.1630741856094398E-2</v>
      </c>
      <c r="Q6119">
        <v>0.165345647551046</v>
      </c>
      <c r="R6119">
        <v>0.98673469270303005</v>
      </c>
      <c r="S6119" t="s">
        <v>12925</v>
      </c>
      <c r="T6119" t="s">
        <v>13610</v>
      </c>
      <c r="U6119" t="s">
        <v>13610</v>
      </c>
      <c r="V6119" t="s">
        <v>13610</v>
      </c>
      <c r="W6119" t="s">
        <v>19654</v>
      </c>
      <c r="X6119">
        <v>4</v>
      </c>
      <c r="Y6119" t="s">
        <v>26204</v>
      </c>
      <c r="Z6119" t="s">
        <v>32974</v>
      </c>
      <c r="AA6119">
        <v>0.47565965526821158</v>
      </c>
      <c r="AB6119" t="str">
        <f>HYPERLINK("Melting_Curves/meltCurve_Q9NWM3_CUEDC1.pdf", "Melting_Curves/meltCurve_Q9NWM3_CUEDC1.pdf")</f>
        <v>Melting_Curves/meltCurve_Q9NWM3_CUEDC1.pdf</v>
      </c>
    </row>
    <row r="6120" spans="1:28" x14ac:dyDescent="0.25">
      <c r="A6120" t="s">
        <v>6124</v>
      </c>
      <c r="B6120">
        <v>0.995954080203443</v>
      </c>
      <c r="C6120">
        <v>0.89781520305335705</v>
      </c>
      <c r="D6120">
        <v>1.02879909743765</v>
      </c>
      <c r="E6120">
        <v>0.76286966868629202</v>
      </c>
      <c r="F6120">
        <v>0.82475792793861802</v>
      </c>
      <c r="G6120">
        <v>0.53198161762997997</v>
      </c>
      <c r="H6120">
        <v>0.29404039624396699</v>
      </c>
      <c r="I6120">
        <v>0.19073677449964499</v>
      </c>
      <c r="J6120">
        <v>0.20379704465062001</v>
      </c>
      <c r="K6120">
        <v>0.16893913837478999</v>
      </c>
      <c r="L6120">
        <v>818.39909579609002</v>
      </c>
      <c r="M6120">
        <v>14.506872956734901</v>
      </c>
      <c r="N6120">
        <v>57.263971892525397</v>
      </c>
      <c r="O6120">
        <v>55.375094768967102</v>
      </c>
      <c r="P6120">
        <v>-5.9160743295055003E-2</v>
      </c>
      <c r="Q6120">
        <v>9.6799475375674598E-2</v>
      </c>
      <c r="R6120">
        <v>0.96752525649246102</v>
      </c>
      <c r="S6120" t="s">
        <v>12926</v>
      </c>
      <c r="T6120" t="s">
        <v>13610</v>
      </c>
      <c r="U6120" t="s">
        <v>13610</v>
      </c>
      <c r="V6120" t="s">
        <v>13610</v>
      </c>
      <c r="W6120" t="s">
        <v>19655</v>
      </c>
      <c r="X6120">
        <v>3</v>
      </c>
      <c r="Y6120" t="s">
        <v>26205</v>
      </c>
      <c r="Z6120" t="s">
        <v>32975</v>
      </c>
      <c r="AA6120">
        <v>0.60670583672498901</v>
      </c>
      <c r="AB6120" t="str">
        <f>HYPERLINK("Melting_Curves/meltCurve_Q9NWM8_FKBP14.pdf", "Melting_Curves/meltCurve_Q9NWM8_FKBP14.pdf")</f>
        <v>Melting_Curves/meltCurve_Q9NWM8_FKBP14.pdf</v>
      </c>
    </row>
    <row r="6121" spans="1:28" x14ac:dyDescent="0.25">
      <c r="A6121" t="s">
        <v>6125</v>
      </c>
      <c r="B6121">
        <v>0.995954080203443</v>
      </c>
      <c r="C6121">
        <v>0.94697504768094398</v>
      </c>
      <c r="D6121">
        <v>0.79386689674962896</v>
      </c>
      <c r="E6121">
        <v>0.62954405878181097</v>
      </c>
      <c r="F6121">
        <v>0.35467171534783598</v>
      </c>
      <c r="G6121">
        <v>0.174214240962731</v>
      </c>
      <c r="H6121">
        <v>0.126002707800527</v>
      </c>
      <c r="I6121">
        <v>0.110479508837456</v>
      </c>
      <c r="J6121">
        <v>0.11607453026549</v>
      </c>
      <c r="K6121">
        <v>0.10140566969692701</v>
      </c>
      <c r="L6121">
        <v>819.40160089533902</v>
      </c>
      <c r="M6121">
        <v>16.242738551268101</v>
      </c>
      <c r="N6121">
        <v>51.009041150306501</v>
      </c>
      <c r="O6121">
        <v>49.701183652695001</v>
      </c>
      <c r="P6121">
        <v>-7.5016102665318607E-2</v>
      </c>
      <c r="Q6121">
        <v>8.19002716331418E-2</v>
      </c>
      <c r="R6121">
        <v>0.99422779262885796</v>
      </c>
      <c r="S6121" t="s">
        <v>12927</v>
      </c>
      <c r="T6121" t="s">
        <v>13610</v>
      </c>
      <c r="U6121" t="s">
        <v>13610</v>
      </c>
      <c r="V6121" t="s">
        <v>13610</v>
      </c>
      <c r="W6121" t="s">
        <v>19656</v>
      </c>
      <c r="X6121">
        <v>2</v>
      </c>
      <c r="Y6121" t="s">
        <v>26206</v>
      </c>
      <c r="Z6121" t="s">
        <v>32976</v>
      </c>
      <c r="AA6121">
        <v>0.4203948361348856</v>
      </c>
      <c r="AB6121" t="str">
        <f>HYPERLINK("Melting_Curves/meltCurve_Q9NWQ9_C14orf119.pdf", "Melting_Curves/meltCurve_Q9NWQ9_C14orf119.pdf")</f>
        <v>Melting_Curves/meltCurve_Q9NWQ9_C14orf119.pdf</v>
      </c>
    </row>
    <row r="6122" spans="1:28" x14ac:dyDescent="0.25">
      <c r="A6122" t="s">
        <v>6126</v>
      </c>
      <c r="B6122">
        <v>0.995954080203443</v>
      </c>
      <c r="C6122">
        <v>0.911096037033294</v>
      </c>
      <c r="D6122">
        <v>0.74959511246153998</v>
      </c>
      <c r="E6122">
        <v>0.580498076013375</v>
      </c>
      <c r="F6122">
        <v>0.286827669864194</v>
      </c>
      <c r="G6122">
        <v>0.175677549250291</v>
      </c>
      <c r="H6122">
        <v>0.131830856738505</v>
      </c>
      <c r="I6122">
        <v>0.13067787874176301</v>
      </c>
      <c r="J6122">
        <v>0.15957207288811401</v>
      </c>
      <c r="K6122">
        <v>0.15491739246009301</v>
      </c>
      <c r="L6122">
        <v>812.30699247136101</v>
      </c>
      <c r="M6122">
        <v>16.500702808558</v>
      </c>
      <c r="N6122">
        <v>50.0632396019639</v>
      </c>
      <c r="O6122">
        <v>48.522635877828698</v>
      </c>
      <c r="P6122">
        <v>-7.4797918920654405E-2</v>
      </c>
      <c r="Q6122">
        <v>0.120246076048264</v>
      </c>
      <c r="R6122">
        <v>0.98836327840099103</v>
      </c>
      <c r="S6122" t="s">
        <v>12928</v>
      </c>
      <c r="T6122" t="s">
        <v>13610</v>
      </c>
      <c r="U6122" t="s">
        <v>13610</v>
      </c>
      <c r="V6122" t="s">
        <v>13610</v>
      </c>
      <c r="W6122" t="s">
        <v>19657</v>
      </c>
      <c r="X6122">
        <v>11</v>
      </c>
      <c r="Y6122" t="s">
        <v>26207</v>
      </c>
      <c r="Z6122" t="s">
        <v>32977</v>
      </c>
      <c r="AA6122">
        <v>0.40885582172534352</v>
      </c>
      <c r="AB6122" t="str">
        <f>HYPERLINK("Melting_Curves/meltCurve_Q9NWS0_PIH1D1.pdf", "Melting_Curves/meltCurve_Q9NWS0_PIH1D1.pdf")</f>
        <v>Melting_Curves/meltCurve_Q9NWS0_PIH1D1.pdf</v>
      </c>
    </row>
    <row r="6123" spans="1:28" x14ac:dyDescent="0.25">
      <c r="A6123" t="s">
        <v>6127</v>
      </c>
      <c r="B6123">
        <v>0.995954080203443</v>
      </c>
      <c r="C6123">
        <v>1.01742931771032</v>
      </c>
      <c r="D6123">
        <v>0.85442060233638695</v>
      </c>
      <c r="E6123">
        <v>0.49844364147852499</v>
      </c>
      <c r="F6123">
        <v>0.29323688628936101</v>
      </c>
      <c r="G6123">
        <v>0.19140747680749301</v>
      </c>
      <c r="H6123">
        <v>0.153381287146203</v>
      </c>
      <c r="I6123">
        <v>0.15834156666902899</v>
      </c>
      <c r="J6123">
        <v>0.19747844171863399</v>
      </c>
      <c r="K6123">
        <v>0.177818576097033</v>
      </c>
      <c r="L6123">
        <v>1214.30897559297</v>
      </c>
      <c r="M6123">
        <v>24.717724736548799</v>
      </c>
      <c r="N6123">
        <v>49.9631559163387</v>
      </c>
      <c r="O6123">
        <v>48.808897295391297</v>
      </c>
      <c r="P6123">
        <v>-0.10516178586222601</v>
      </c>
      <c r="Q6123">
        <v>0.169380313939333</v>
      </c>
      <c r="R6123">
        <v>0.99716077744398002</v>
      </c>
      <c r="S6123" t="s">
        <v>12929</v>
      </c>
      <c r="T6123" t="s">
        <v>13610</v>
      </c>
      <c r="U6123" t="s">
        <v>13610</v>
      </c>
      <c r="V6123" t="s">
        <v>13610</v>
      </c>
      <c r="W6123" t="s">
        <v>19658</v>
      </c>
      <c r="X6123">
        <v>10</v>
      </c>
      <c r="Y6123" t="s">
        <v>26208</v>
      </c>
      <c r="Z6123" t="s">
        <v>32978</v>
      </c>
      <c r="AA6123">
        <v>0.42962457231356671</v>
      </c>
      <c r="AB6123" t="str">
        <f>HYPERLINK("Melting_Curves/meltCurve_Q9NWS6_FAM118A.pdf", "Melting_Curves/meltCurve_Q9NWS6_FAM118A.pdf")</f>
        <v>Melting_Curves/meltCurve_Q9NWS6_FAM118A.pdf</v>
      </c>
    </row>
    <row r="6124" spans="1:28" x14ac:dyDescent="0.25">
      <c r="A6124" t="s">
        <v>6128</v>
      </c>
      <c r="B6124">
        <v>0.995954080203443</v>
      </c>
      <c r="C6124">
        <v>0.97464704466798802</v>
      </c>
      <c r="D6124">
        <v>0.91151926380341197</v>
      </c>
      <c r="E6124">
        <v>0.81356359929887101</v>
      </c>
      <c r="F6124">
        <v>0.62396540449638205</v>
      </c>
      <c r="G6124">
        <v>0.35398341554018897</v>
      </c>
      <c r="H6124">
        <v>0.15465401815926799</v>
      </c>
      <c r="I6124">
        <v>9.0152376036002194E-2</v>
      </c>
      <c r="J6124">
        <v>8.1178214053043596E-2</v>
      </c>
      <c r="K6124">
        <v>8.5054255586533595E-2</v>
      </c>
      <c r="L6124">
        <v>874.36783859993704</v>
      </c>
      <c r="M6124">
        <v>16.090675235894398</v>
      </c>
      <c r="N6124">
        <v>54.576757005627201</v>
      </c>
      <c r="O6124">
        <v>53.5215085967954</v>
      </c>
      <c r="P6124">
        <v>-7.2632080256946993E-2</v>
      </c>
      <c r="Q6124">
        <v>3.3706100769501798E-2</v>
      </c>
      <c r="R6124">
        <v>0.99751395123533404</v>
      </c>
      <c r="S6124" t="s">
        <v>12930</v>
      </c>
      <c r="T6124" t="s">
        <v>13610</v>
      </c>
      <c r="U6124" t="s">
        <v>13610</v>
      </c>
      <c r="V6124" t="s">
        <v>13610</v>
      </c>
      <c r="W6124" t="s">
        <v>19659</v>
      </c>
      <c r="X6124">
        <v>9</v>
      </c>
      <c r="Y6124" t="s">
        <v>26209</v>
      </c>
      <c r="Z6124" t="s">
        <v>32979</v>
      </c>
      <c r="AA6124">
        <v>0.5134307483465046</v>
      </c>
      <c r="AB6124" t="str">
        <f>HYPERLINK("Melting_Curves/meltCurve_Q9NWT1_PAK1IP1.pdf", "Melting_Curves/meltCurve_Q9NWT1_PAK1IP1.pdf")</f>
        <v>Melting_Curves/meltCurve_Q9NWT1_PAK1IP1.pdf</v>
      </c>
    </row>
    <row r="6125" spans="1:28" x14ac:dyDescent="0.25">
      <c r="A6125" t="s">
        <v>6129</v>
      </c>
      <c r="B6125">
        <v>0.995954080203443</v>
      </c>
      <c r="C6125">
        <v>1.07996277404466</v>
      </c>
      <c r="D6125">
        <v>1.06697741197742</v>
      </c>
      <c r="E6125">
        <v>0.79457791903075203</v>
      </c>
      <c r="F6125">
        <v>0.29122848064396101</v>
      </c>
      <c r="G6125">
        <v>0.13938535605080299</v>
      </c>
      <c r="H6125">
        <v>9.1876798144310504E-2</v>
      </c>
      <c r="I6125">
        <v>8.3370595388810698E-2</v>
      </c>
      <c r="J6125">
        <v>7.3402067524225095E-2</v>
      </c>
      <c r="K6125">
        <v>7.5609469672785007E-2</v>
      </c>
      <c r="L6125">
        <v>2200.7162944752599</v>
      </c>
      <c r="M6125">
        <v>42.760411015615702</v>
      </c>
      <c r="N6125">
        <v>51.703373461085498</v>
      </c>
      <c r="O6125">
        <v>51.354029348811601</v>
      </c>
      <c r="P6125">
        <v>-0.18962819121441499</v>
      </c>
      <c r="Q6125">
        <v>8.9049335026626403E-2</v>
      </c>
      <c r="R6125">
        <v>0.99272820774141401</v>
      </c>
      <c r="S6125" t="s">
        <v>12931</v>
      </c>
      <c r="T6125" t="s">
        <v>13610</v>
      </c>
      <c r="U6125" t="s">
        <v>13610</v>
      </c>
      <c r="V6125" t="s">
        <v>13610</v>
      </c>
      <c r="W6125" t="s">
        <v>19660</v>
      </c>
      <c r="X6125">
        <v>4</v>
      </c>
      <c r="Y6125" t="s">
        <v>26210</v>
      </c>
      <c r="Z6125" t="s">
        <v>32980</v>
      </c>
      <c r="AA6125">
        <v>0.44005374468998237</v>
      </c>
      <c r="AB6125" t="str">
        <f>HYPERLINK("Melting_Curves/meltCurve_Q9NWT6_HIF1AN.pdf", "Melting_Curves/meltCurve_Q9NWT6_HIF1AN.pdf")</f>
        <v>Melting_Curves/meltCurve_Q9NWT6_HIF1AN.pdf</v>
      </c>
    </row>
    <row r="6126" spans="1:28" x14ac:dyDescent="0.25">
      <c r="A6126" t="s">
        <v>6130</v>
      </c>
      <c r="B6126">
        <v>0.995954080203443</v>
      </c>
      <c r="C6126">
        <v>1.0280329506994901</v>
      </c>
      <c r="D6126">
        <v>1.1155606674246901</v>
      </c>
      <c r="E6126">
        <v>0.82880825745360798</v>
      </c>
      <c r="F6126">
        <v>0.63322847786092296</v>
      </c>
      <c r="G6126">
        <v>0.419044538369859</v>
      </c>
      <c r="H6126">
        <v>0.3509762101203</v>
      </c>
      <c r="I6126">
        <v>0.40307046735885299</v>
      </c>
      <c r="J6126">
        <v>0.51307103876794102</v>
      </c>
      <c r="K6126">
        <v>0.51190994938121903</v>
      </c>
      <c r="L6126">
        <v>1815.90341058728</v>
      </c>
      <c r="M6126">
        <v>35.167029289211499</v>
      </c>
      <c r="N6126">
        <v>54.911399639619198</v>
      </c>
      <c r="O6126">
        <v>51.470409905265001</v>
      </c>
      <c r="P6126">
        <v>-9.5892716631432603E-2</v>
      </c>
      <c r="Q6126">
        <v>0.43860815898443201</v>
      </c>
      <c r="R6126">
        <v>0.94594440077345998</v>
      </c>
      <c r="S6126" t="s">
        <v>12932</v>
      </c>
      <c r="T6126" t="s">
        <v>13610</v>
      </c>
      <c r="U6126" t="s">
        <v>13610</v>
      </c>
      <c r="V6126" t="s">
        <v>13610</v>
      </c>
      <c r="W6126" t="s">
        <v>19661</v>
      </c>
      <c r="X6126">
        <v>1</v>
      </c>
      <c r="Y6126" t="s">
        <v>26211</v>
      </c>
      <c r="Z6126" t="s">
        <v>32981</v>
      </c>
      <c r="AA6126">
        <v>0.65895837366678245</v>
      </c>
      <c r="AB6126" t="str">
        <f>HYPERLINK("Melting_Curves/meltCurve_Q9NWT8_AURKAIP1.pdf", "Melting_Curves/meltCurve_Q9NWT8_AURKAIP1.pdf")</f>
        <v>Melting_Curves/meltCurve_Q9NWT8_AURKAIP1.pdf</v>
      </c>
    </row>
    <row r="6127" spans="1:28" x14ac:dyDescent="0.25">
      <c r="A6127" t="s">
        <v>6131</v>
      </c>
      <c r="B6127">
        <v>0.995954080203443</v>
      </c>
      <c r="C6127">
        <v>0.86231586320946596</v>
      </c>
      <c r="D6127">
        <v>0.74383416221979204</v>
      </c>
      <c r="E6127">
        <v>0.74086531051638504</v>
      </c>
      <c r="F6127">
        <v>0.58619751673783305</v>
      </c>
      <c r="G6127">
        <v>0.43165447272026702</v>
      </c>
      <c r="H6127">
        <v>0.32761386276426402</v>
      </c>
      <c r="I6127">
        <v>0.36747070499284301</v>
      </c>
      <c r="J6127">
        <v>0.26790084016062599</v>
      </c>
      <c r="K6127">
        <v>0.22601621405873301</v>
      </c>
      <c r="L6127">
        <v>409.13226367088299</v>
      </c>
      <c r="M6127">
        <v>7.6083102112876198</v>
      </c>
      <c r="N6127">
        <v>55.545992672788401</v>
      </c>
      <c r="O6127">
        <v>50.436728822022502</v>
      </c>
      <c r="P6127">
        <v>-3.3695238597515699E-2</v>
      </c>
      <c r="Q6127">
        <v>0.10773159766036899</v>
      </c>
      <c r="R6127">
        <v>0.97374683422201402</v>
      </c>
      <c r="S6127" t="s">
        <v>12933</v>
      </c>
      <c r="T6127" t="s">
        <v>13610</v>
      </c>
      <c r="U6127" t="s">
        <v>13610</v>
      </c>
      <c r="V6127" t="s">
        <v>13610</v>
      </c>
      <c r="W6127" t="s">
        <v>19662</v>
      </c>
      <c r="X6127">
        <v>10</v>
      </c>
      <c r="Y6127" t="s">
        <v>26212</v>
      </c>
      <c r="Z6127" t="s">
        <v>32982</v>
      </c>
      <c r="AA6127">
        <v>0.54993408330819449</v>
      </c>
      <c r="AB6127" t="str">
        <f>HYPERLINK("Melting_Curves/meltCurve_Q9NWU1_OXSM.pdf", "Melting_Curves/meltCurve_Q9NWU1_OXSM.pdf")</f>
        <v>Melting_Curves/meltCurve_Q9NWU1_OXSM.pdf</v>
      </c>
    </row>
    <row r="6128" spans="1:28" x14ac:dyDescent="0.25">
      <c r="A6128" t="s">
        <v>6132</v>
      </c>
      <c r="B6128">
        <v>0.995954080203443</v>
      </c>
      <c r="C6128">
        <v>0.68941562802352696</v>
      </c>
      <c r="D6128">
        <v>0.55702163807442595</v>
      </c>
      <c r="E6128">
        <v>0.67519633477072205</v>
      </c>
      <c r="F6128">
        <v>0.500951171591976</v>
      </c>
      <c r="G6128">
        <v>0.448559638588579</v>
      </c>
      <c r="H6128">
        <v>0.275924482102615</v>
      </c>
      <c r="I6128">
        <v>0.21598300448768401</v>
      </c>
      <c r="J6128">
        <v>0.17835972707130801</v>
      </c>
      <c r="K6128">
        <v>0.16355704699814499</v>
      </c>
      <c r="L6128">
        <v>317.166599805136</v>
      </c>
      <c r="M6128">
        <v>6.0658960921018803</v>
      </c>
      <c r="N6128">
        <v>52.286849817070802</v>
      </c>
      <c r="O6128">
        <v>47.456619886511298</v>
      </c>
      <c r="P6128">
        <v>-3.2054474637302599E-2</v>
      </c>
      <c r="Q6128">
        <v>0</v>
      </c>
      <c r="R6128">
        <v>0.89969154072910995</v>
      </c>
      <c r="S6128" t="s">
        <v>12934</v>
      </c>
      <c r="T6128" t="s">
        <v>13610</v>
      </c>
      <c r="U6128" t="s">
        <v>13610</v>
      </c>
      <c r="V6128" t="s">
        <v>13610</v>
      </c>
      <c r="W6128" t="s">
        <v>19663</v>
      </c>
      <c r="X6128">
        <v>9</v>
      </c>
      <c r="Y6128" t="s">
        <v>26213</v>
      </c>
      <c r="Z6128" t="s">
        <v>32983</v>
      </c>
      <c r="AA6128">
        <v>0.46437587864292362</v>
      </c>
      <c r="AB6128" t="str">
        <f>HYPERLINK("Melting_Curves/meltCurve_Q9NWU2_GID8.pdf", "Melting_Curves/meltCurve_Q9NWU2_GID8.pdf")</f>
        <v>Melting_Curves/meltCurve_Q9NWU2_GID8.pdf</v>
      </c>
    </row>
    <row r="6129" spans="1:28" x14ac:dyDescent="0.25">
      <c r="A6129" t="s">
        <v>6133</v>
      </c>
      <c r="B6129">
        <v>0.995954080203443</v>
      </c>
      <c r="C6129">
        <v>1.10328189317243</v>
      </c>
      <c r="D6129">
        <v>1.1288909405356</v>
      </c>
      <c r="E6129">
        <v>1.02575793430093</v>
      </c>
      <c r="F6129">
        <v>0.65768781559705103</v>
      </c>
      <c r="G6129">
        <v>0.15033507710069699</v>
      </c>
      <c r="H6129">
        <v>8.6202255516538095E-2</v>
      </c>
      <c r="I6129">
        <v>7.4989729026917501E-2</v>
      </c>
      <c r="J6129">
        <v>9.6009787551889006E-2</v>
      </c>
      <c r="K6129">
        <v>7.9103260721475097E-2</v>
      </c>
      <c r="L6129">
        <v>2833.2118239021802</v>
      </c>
      <c r="M6129">
        <v>52.908984603998398</v>
      </c>
      <c r="N6129">
        <v>53.748609952622701</v>
      </c>
      <c r="O6129">
        <v>53.472445580598901</v>
      </c>
      <c r="P6129">
        <v>-0.22528023768376601</v>
      </c>
      <c r="Q6129">
        <v>8.92829779614044E-2</v>
      </c>
      <c r="R6129">
        <v>0.98546119641873897</v>
      </c>
      <c r="S6129" t="s">
        <v>12935</v>
      </c>
      <c r="T6129" t="s">
        <v>13610</v>
      </c>
      <c r="U6129" t="s">
        <v>13610</v>
      </c>
      <c r="V6129" t="s">
        <v>13610</v>
      </c>
      <c r="W6129" t="s">
        <v>19664</v>
      </c>
      <c r="X6129">
        <v>9</v>
      </c>
      <c r="Y6129" t="s">
        <v>26214</v>
      </c>
      <c r="Z6129" t="s">
        <v>32984</v>
      </c>
      <c r="AA6129">
        <v>0.50250635441477465</v>
      </c>
      <c r="AB6129" t="str">
        <f>HYPERLINK("Melting_Curves/meltCurve_Q9NWV4_C1orf123.pdf", "Melting_Curves/meltCurve_Q9NWV4_C1orf123.pdf")</f>
        <v>Melting_Curves/meltCurve_Q9NWV4_C1orf123.pdf</v>
      </c>
    </row>
    <row r="6130" spans="1:28" x14ac:dyDescent="0.25">
      <c r="A6130" t="s">
        <v>6134</v>
      </c>
      <c r="B6130">
        <v>0.995954080203443</v>
      </c>
      <c r="C6130">
        <v>1.0114554626224499</v>
      </c>
      <c r="D6130">
        <v>0.97076178299928795</v>
      </c>
      <c r="E6130">
        <v>0.84947350258217802</v>
      </c>
      <c r="F6130">
        <v>0.79262790177048104</v>
      </c>
      <c r="G6130">
        <v>0.49874565237804203</v>
      </c>
      <c r="H6130">
        <v>0.20631807022332299</v>
      </c>
      <c r="I6130">
        <v>0.124267903384895</v>
      </c>
      <c r="J6130">
        <v>0.106506492051841</v>
      </c>
      <c r="K6130">
        <v>0.10831100049628101</v>
      </c>
      <c r="L6130">
        <v>1020.99413667308</v>
      </c>
      <c r="M6130">
        <v>18.149325712261899</v>
      </c>
      <c r="N6130">
        <v>56.608468879841801</v>
      </c>
      <c r="O6130">
        <v>55.585570764345199</v>
      </c>
      <c r="P6130">
        <v>-7.7260903688766494E-2</v>
      </c>
      <c r="Q6130">
        <v>5.3543209503751202E-2</v>
      </c>
      <c r="R6130">
        <v>0.99426540978714195</v>
      </c>
      <c r="S6130" t="s">
        <v>12936</v>
      </c>
      <c r="T6130" t="s">
        <v>13610</v>
      </c>
      <c r="U6130" t="s">
        <v>13610</v>
      </c>
      <c r="V6130" t="s">
        <v>13610</v>
      </c>
      <c r="W6130" t="s">
        <v>19665</v>
      </c>
      <c r="X6130">
        <v>1</v>
      </c>
      <c r="Y6130" t="s">
        <v>26215</v>
      </c>
      <c r="Z6130" t="s">
        <v>32985</v>
      </c>
      <c r="AA6130">
        <v>0.57996807479181489</v>
      </c>
      <c r="AB6130" t="str">
        <f>HYPERLINK("Melting_Curves/meltCurve_Q9NWW7_C2orf42.pdf", "Melting_Curves/meltCurve_Q9NWW7_C2orf42.pdf")</f>
        <v>Melting_Curves/meltCurve_Q9NWW7_C2orf42.pdf</v>
      </c>
    </row>
    <row r="6131" spans="1:28" x14ac:dyDescent="0.25">
      <c r="A6131" t="s">
        <v>6135</v>
      </c>
      <c r="B6131">
        <v>0.995954080203443</v>
      </c>
      <c r="C6131">
        <v>0.86764044117615102</v>
      </c>
      <c r="D6131">
        <v>0.75516722237170697</v>
      </c>
      <c r="E6131">
        <v>0.49595337080621998</v>
      </c>
      <c r="F6131">
        <v>0.18792739432060501</v>
      </c>
      <c r="G6131">
        <v>7.0950826970435393E-2</v>
      </c>
      <c r="H6131">
        <v>3.7997404638605799E-2</v>
      </c>
      <c r="I6131">
        <v>3.0237514560652601E-2</v>
      </c>
      <c r="J6131">
        <v>3.5381796738369699E-2</v>
      </c>
      <c r="K6131">
        <v>3.0249740810598998E-2</v>
      </c>
      <c r="L6131">
        <v>825.53835072146205</v>
      </c>
      <c r="M6131">
        <v>16.791160343481899</v>
      </c>
      <c r="N6131">
        <v>49.207886224531002</v>
      </c>
      <c r="O6131">
        <v>48.483604215906702</v>
      </c>
      <c r="P6131">
        <v>-8.5959121464852503E-2</v>
      </c>
      <c r="Q6131">
        <v>7.2545705271076901E-3</v>
      </c>
      <c r="R6131">
        <v>0.99242066606585699</v>
      </c>
      <c r="S6131" t="s">
        <v>12937</v>
      </c>
      <c r="T6131" t="s">
        <v>13610</v>
      </c>
      <c r="U6131" t="s">
        <v>13610</v>
      </c>
      <c r="V6131" t="s">
        <v>13610</v>
      </c>
      <c r="W6131" t="s">
        <v>19666</v>
      </c>
      <c r="X6131">
        <v>9</v>
      </c>
      <c r="Y6131" t="s">
        <v>26216</v>
      </c>
      <c r="Z6131" t="s">
        <v>32986</v>
      </c>
      <c r="AA6131">
        <v>0.33018677142108133</v>
      </c>
      <c r="AB6131" t="str">
        <f>HYPERLINK("Melting_Curves/meltCurve_Q9NWX6_THG1L.pdf", "Melting_Curves/meltCurve_Q9NWX6_THG1L.pdf")</f>
        <v>Melting_Curves/meltCurve_Q9NWX6_THG1L.pdf</v>
      </c>
    </row>
    <row r="6132" spans="1:28" x14ac:dyDescent="0.25">
      <c r="A6132" t="s">
        <v>6136</v>
      </c>
      <c r="B6132">
        <v>0.995954080203443</v>
      </c>
      <c r="C6132">
        <v>0.99478322749542802</v>
      </c>
      <c r="D6132">
        <v>0.59337104606449897</v>
      </c>
      <c r="E6132">
        <v>0.22600424184107601</v>
      </c>
      <c r="F6132">
        <v>0.122984982065455</v>
      </c>
      <c r="G6132">
        <v>7.1827630358429304E-2</v>
      </c>
      <c r="H6132">
        <v>4.9550028806071497E-2</v>
      </c>
      <c r="I6132">
        <v>4.3657078097988598E-2</v>
      </c>
      <c r="J6132">
        <v>5.1114387230587997E-2</v>
      </c>
      <c r="K6132">
        <v>4.91456931642381E-2</v>
      </c>
      <c r="L6132">
        <v>1253.0532116807001</v>
      </c>
      <c r="M6132">
        <v>26.786096752708801</v>
      </c>
      <c r="N6132">
        <v>46.997116346436002</v>
      </c>
      <c r="O6132">
        <v>46.521586656934097</v>
      </c>
      <c r="P6132">
        <v>-0.13556809125126101</v>
      </c>
      <c r="Q6132">
        <v>5.8201231717810997E-2</v>
      </c>
      <c r="R6132">
        <v>0.99378554453851997</v>
      </c>
      <c r="S6132" t="s">
        <v>12938</v>
      </c>
      <c r="T6132" t="s">
        <v>13610</v>
      </c>
      <c r="U6132" t="s">
        <v>13610</v>
      </c>
      <c r="V6132" t="s">
        <v>13610</v>
      </c>
      <c r="W6132" t="s">
        <v>19667</v>
      </c>
      <c r="X6132">
        <v>13</v>
      </c>
      <c r="Y6132" t="s">
        <v>26217</v>
      </c>
      <c r="Z6132" t="s">
        <v>32987</v>
      </c>
      <c r="AA6132">
        <v>0.27829813106835583</v>
      </c>
      <c r="AB6132" t="str">
        <f>HYPERLINK("Melting_Curves/meltCurve_Q9NWY4_C4orf27.pdf", "Melting_Curves/meltCurve_Q9NWY4_C4orf27.pdf")</f>
        <v>Melting_Curves/meltCurve_Q9NWY4_C4orf27.pdf</v>
      </c>
    </row>
    <row r="6133" spans="1:28" x14ac:dyDescent="0.25">
      <c r="A6133" t="s">
        <v>6137</v>
      </c>
      <c r="B6133">
        <v>0.995954080203443</v>
      </c>
      <c r="C6133">
        <v>0.994692794387662</v>
      </c>
      <c r="D6133">
        <v>0.69930548344746102</v>
      </c>
      <c r="E6133">
        <v>0.336031687265957</v>
      </c>
      <c r="F6133">
        <v>0.155328705676825</v>
      </c>
      <c r="G6133">
        <v>8.8673860363163298E-2</v>
      </c>
      <c r="H6133">
        <v>5.4893282227977298E-2</v>
      </c>
      <c r="I6133">
        <v>4.67719787632246E-2</v>
      </c>
      <c r="J6133">
        <v>5.3530942792481703E-2</v>
      </c>
      <c r="K6133">
        <v>4.5628826327765902E-2</v>
      </c>
      <c r="L6133">
        <v>1065.6738381688699</v>
      </c>
      <c r="M6133">
        <v>22.224090876233898</v>
      </c>
      <c r="N6133">
        <v>48.1834298188448</v>
      </c>
      <c r="O6133">
        <v>47.568112025988803</v>
      </c>
      <c r="P6133">
        <v>-0.110873644969115</v>
      </c>
      <c r="Q6133">
        <v>5.0771186894617001E-2</v>
      </c>
      <c r="R6133">
        <v>0.99636284115959795</v>
      </c>
      <c r="S6133" t="s">
        <v>12939</v>
      </c>
      <c r="T6133" t="s">
        <v>13610</v>
      </c>
      <c r="U6133" t="s">
        <v>13610</v>
      </c>
      <c r="V6133" t="s">
        <v>13610</v>
      </c>
      <c r="W6133" t="s">
        <v>19668</v>
      </c>
      <c r="X6133">
        <v>15</v>
      </c>
      <c r="Y6133" t="s">
        <v>26218</v>
      </c>
      <c r="Z6133" t="s">
        <v>32988</v>
      </c>
      <c r="AA6133">
        <v>0.31314287676383579</v>
      </c>
      <c r="AB6133" t="str">
        <f>HYPERLINK("Melting_Curves/meltCurve_Q9NWZ3_IRAK4.pdf", "Melting_Curves/meltCurve_Q9NWZ3_IRAK4.pdf")</f>
        <v>Melting_Curves/meltCurve_Q9NWZ3_IRAK4.pdf</v>
      </c>
    </row>
    <row r="6134" spans="1:28" x14ac:dyDescent="0.25">
      <c r="A6134" t="s">
        <v>6138</v>
      </c>
      <c r="B6134">
        <v>0.995954080203443</v>
      </c>
      <c r="C6134">
        <v>0.84538437810484202</v>
      </c>
      <c r="D6134">
        <v>0.74440025549881805</v>
      </c>
      <c r="E6134">
        <v>0.63121650965377996</v>
      </c>
      <c r="F6134">
        <v>0.69953673667752703</v>
      </c>
      <c r="G6134">
        <v>0.57687955042087602</v>
      </c>
      <c r="H6134">
        <v>0.45763030022319701</v>
      </c>
      <c r="I6134">
        <v>0.49303760828397702</v>
      </c>
      <c r="J6134">
        <v>0.75270220913406805</v>
      </c>
      <c r="K6134">
        <v>0.69883094864744999</v>
      </c>
      <c r="L6134">
        <v>904.89574170347498</v>
      </c>
      <c r="M6134">
        <v>20.391275744977101</v>
      </c>
      <c r="O6134">
        <v>43.956451997971797</v>
      </c>
      <c r="P6134">
        <v>-4.5510923848056703E-2</v>
      </c>
      <c r="Q6134">
        <v>0.60758951528867999</v>
      </c>
      <c r="R6134">
        <v>0.68019491866167303</v>
      </c>
      <c r="S6134" t="s">
        <v>12940</v>
      </c>
      <c r="T6134" t="s">
        <v>13610</v>
      </c>
      <c r="U6134" t="s">
        <v>13610</v>
      </c>
      <c r="V6134" t="s">
        <v>13610</v>
      </c>
      <c r="W6134" t="s">
        <v>19669</v>
      </c>
      <c r="X6134">
        <v>2</v>
      </c>
      <c r="Y6134" t="s">
        <v>26219</v>
      </c>
      <c r="Z6134" t="s">
        <v>32989</v>
      </c>
      <c r="AA6134">
        <v>0.67171693895800055</v>
      </c>
      <c r="AB6134" t="str">
        <f>HYPERLINK("Melting_Curves/meltCurve_Q9NWZ5_3_UCKL1.pdf", "Melting_Curves/meltCurve_Q9NWZ5_3_UCKL1.pdf")</f>
        <v>Melting_Curves/meltCurve_Q9NWZ5_3_UCKL1.pdf</v>
      </c>
    </row>
    <row r="6135" spans="1:28" x14ac:dyDescent="0.25">
      <c r="A6135" t="s">
        <v>6139</v>
      </c>
      <c r="B6135">
        <v>0.995954080203443</v>
      </c>
      <c r="C6135">
        <v>0.91844389168145302</v>
      </c>
      <c r="D6135">
        <v>1.0972297668733799</v>
      </c>
      <c r="E6135">
        <v>0.82812655354974896</v>
      </c>
      <c r="F6135">
        <v>0.83384490974038905</v>
      </c>
      <c r="G6135">
        <v>0.62757567694846605</v>
      </c>
      <c r="H6135">
        <v>0.52542378442055904</v>
      </c>
      <c r="I6135">
        <v>0.57034672584881296</v>
      </c>
      <c r="J6135">
        <v>0.73395901304039302</v>
      </c>
      <c r="K6135">
        <v>0.72991740434763297</v>
      </c>
      <c r="L6135">
        <v>1412.5123224706999</v>
      </c>
      <c r="M6135">
        <v>27.274509780748101</v>
      </c>
      <c r="O6135">
        <v>51.512738809481597</v>
      </c>
      <c r="P6135">
        <v>-4.8064061788793203E-2</v>
      </c>
      <c r="Q6135">
        <v>0.63689355516644597</v>
      </c>
      <c r="R6135">
        <v>0.78520779452256895</v>
      </c>
      <c r="S6135" t="s">
        <v>12941</v>
      </c>
      <c r="T6135" t="s">
        <v>13610</v>
      </c>
      <c r="U6135" t="s">
        <v>13610</v>
      </c>
      <c r="V6135" t="s">
        <v>13610</v>
      </c>
      <c r="W6135" t="s">
        <v>19670</v>
      </c>
      <c r="X6135">
        <v>5</v>
      </c>
      <c r="Y6135" t="s">
        <v>26220</v>
      </c>
      <c r="Z6135" t="s">
        <v>32990</v>
      </c>
      <c r="AA6135">
        <v>0.78237034343702427</v>
      </c>
      <c r="AB6135" t="str">
        <f>HYPERLINK("Melting_Curves/meltCurve_Q9NWZ8_GEMIN8.pdf", "Melting_Curves/meltCurve_Q9NWZ8_GEMIN8.pdf")</f>
        <v>Melting_Curves/meltCurve_Q9NWZ8_GEMIN8.pdf</v>
      </c>
    </row>
    <row r="6136" spans="1:28" x14ac:dyDescent="0.25">
      <c r="A6136" t="s">
        <v>6140</v>
      </c>
      <c r="B6136">
        <v>0.995954080203443</v>
      </c>
      <c r="C6136">
        <v>1.05252587823669</v>
      </c>
      <c r="D6136">
        <v>1.0241307038859699</v>
      </c>
      <c r="E6136">
        <v>0.80117401184911996</v>
      </c>
      <c r="F6136">
        <v>0.39218957062701798</v>
      </c>
      <c r="G6136">
        <v>0.100049468173824</v>
      </c>
      <c r="H6136">
        <v>7.9003110511731894E-2</v>
      </c>
      <c r="I6136">
        <v>5.1041161045139401E-2</v>
      </c>
      <c r="J6136">
        <v>7.4442375762953095E-2</v>
      </c>
      <c r="K6136">
        <v>5.4998935664266398E-2</v>
      </c>
      <c r="L6136">
        <v>1771.4694574218399</v>
      </c>
      <c r="M6136">
        <v>34.0589154763178</v>
      </c>
      <c r="N6136">
        <v>52.213737328868802</v>
      </c>
      <c r="O6136">
        <v>51.833590235684603</v>
      </c>
      <c r="P6136">
        <v>-0.15413988094463801</v>
      </c>
      <c r="Q6136">
        <v>6.1673936715908102E-2</v>
      </c>
      <c r="R6136">
        <v>0.997437118775099</v>
      </c>
      <c r="S6136" t="s">
        <v>12942</v>
      </c>
      <c r="T6136" t="s">
        <v>13610</v>
      </c>
      <c r="U6136" t="s">
        <v>13610</v>
      </c>
      <c r="V6136" t="s">
        <v>13610</v>
      </c>
      <c r="W6136" t="s">
        <v>19671</v>
      </c>
      <c r="X6136">
        <v>3</v>
      </c>
      <c r="Y6136" t="s">
        <v>26221</v>
      </c>
      <c r="Z6136" t="s">
        <v>32991</v>
      </c>
      <c r="AA6136">
        <v>0.44203338109964913</v>
      </c>
      <c r="AB6136" t="str">
        <f>HYPERLINK("Melting_Curves/meltCurve_Q9NX01_TXNL4B.pdf", "Melting_Curves/meltCurve_Q9NX01_TXNL4B.pdf")</f>
        <v>Melting_Curves/meltCurve_Q9NX01_TXNL4B.pdf</v>
      </c>
    </row>
    <row r="6137" spans="1:28" x14ac:dyDescent="0.25">
      <c r="A6137" t="s">
        <v>6141</v>
      </c>
      <c r="B6137">
        <v>0.995954080203443</v>
      </c>
      <c r="C6137">
        <v>0.91635025698841099</v>
      </c>
      <c r="D6137">
        <v>0.81439468614018595</v>
      </c>
      <c r="E6137">
        <v>0.59061592094252402</v>
      </c>
      <c r="F6137">
        <v>0.26253325852938802</v>
      </c>
      <c r="G6137">
        <v>0.153860891331733</v>
      </c>
      <c r="H6137">
        <v>0.12810265738398799</v>
      </c>
      <c r="I6137">
        <v>0.136295562902878</v>
      </c>
      <c r="J6137">
        <v>0.155690606829929</v>
      </c>
      <c r="K6137">
        <v>0.15717670160470601</v>
      </c>
      <c r="L6137">
        <v>995.13479659833399</v>
      </c>
      <c r="M6137">
        <v>20.086793922675501</v>
      </c>
      <c r="N6137">
        <v>50.267505471107697</v>
      </c>
      <c r="O6137">
        <v>49.0585524373911</v>
      </c>
      <c r="P6137">
        <v>-8.9479729799959801E-2</v>
      </c>
      <c r="Q6137">
        <v>0.12587216426697101</v>
      </c>
      <c r="R6137">
        <v>0.98889006508852895</v>
      </c>
      <c r="S6137" t="s">
        <v>12943</v>
      </c>
      <c r="T6137" t="s">
        <v>13610</v>
      </c>
      <c r="U6137" t="s">
        <v>13610</v>
      </c>
      <c r="V6137" t="s">
        <v>13610</v>
      </c>
      <c r="W6137" t="s">
        <v>19672</v>
      </c>
      <c r="X6137">
        <v>38</v>
      </c>
      <c r="Y6137" t="s">
        <v>26222</v>
      </c>
      <c r="Z6137" t="s">
        <v>32992</v>
      </c>
      <c r="AA6137">
        <v>0.41598645201142259</v>
      </c>
      <c r="AB6137" t="str">
        <f>HYPERLINK("Melting_Curves/meltCurve_Q9NX02_5_NLRP2.pdf", "Melting_Curves/meltCurve_Q9NX02_5_NLRP2.pdf")</f>
        <v>Melting_Curves/meltCurve_Q9NX02_5_NLRP2.pdf</v>
      </c>
    </row>
    <row r="6138" spans="1:28" x14ac:dyDescent="0.25">
      <c r="A6138" t="s">
        <v>6142</v>
      </c>
      <c r="B6138">
        <v>0.995954080203443</v>
      </c>
      <c r="C6138">
        <v>0.93268515809240105</v>
      </c>
      <c r="D6138">
        <v>0.79936714162991096</v>
      </c>
      <c r="E6138">
        <v>0.38173866640459903</v>
      </c>
      <c r="F6138">
        <v>0.201326373543251</v>
      </c>
      <c r="G6138">
        <v>0.12894621324857999</v>
      </c>
      <c r="H6138">
        <v>9.8989108200964904E-2</v>
      </c>
      <c r="I6138">
        <v>8.9133036478808103E-2</v>
      </c>
      <c r="J6138">
        <v>0.130545700769652</v>
      </c>
      <c r="K6138">
        <v>4.4567294852366497E-2</v>
      </c>
      <c r="L6138">
        <v>1091.37849427589</v>
      </c>
      <c r="M6138">
        <v>22.539155162331902</v>
      </c>
      <c r="N6138">
        <v>48.844487083826301</v>
      </c>
      <c r="O6138">
        <v>48.045130107670197</v>
      </c>
      <c r="P6138">
        <v>-0.106884113006069</v>
      </c>
      <c r="Q6138">
        <v>8.8669432775036097E-2</v>
      </c>
      <c r="R6138">
        <v>0.99662022996683897</v>
      </c>
      <c r="S6138" t="s">
        <v>12944</v>
      </c>
      <c r="T6138" t="s">
        <v>13610</v>
      </c>
      <c r="U6138" t="s">
        <v>13610</v>
      </c>
      <c r="V6138" t="s">
        <v>13610</v>
      </c>
      <c r="W6138" t="s">
        <v>19673</v>
      </c>
      <c r="X6138">
        <v>4</v>
      </c>
      <c r="Y6138" t="s">
        <v>26223</v>
      </c>
      <c r="Z6138" t="s">
        <v>32993</v>
      </c>
      <c r="AA6138">
        <v>0.3545039706395644</v>
      </c>
      <c r="AB6138" t="str">
        <f>HYPERLINK("Melting_Curves/meltCurve_Q9NX07_TRNAU1AP.pdf", "Melting_Curves/meltCurve_Q9NX07_TRNAU1AP.pdf")</f>
        <v>Melting_Curves/meltCurve_Q9NX07_TRNAU1AP.pdf</v>
      </c>
    </row>
    <row r="6139" spans="1:28" x14ac:dyDescent="0.25">
      <c r="A6139" t="s">
        <v>6143</v>
      </c>
      <c r="B6139">
        <v>0.995954080203443</v>
      </c>
      <c r="C6139">
        <v>0.862883267642231</v>
      </c>
      <c r="D6139">
        <v>0.634903387794722</v>
      </c>
      <c r="E6139">
        <v>0.61105214470644298</v>
      </c>
      <c r="F6139">
        <v>0.366780136954373</v>
      </c>
      <c r="G6139">
        <v>0.213083696911469</v>
      </c>
      <c r="H6139">
        <v>0.12867539555840299</v>
      </c>
      <c r="I6139">
        <v>0.111414813346195</v>
      </c>
      <c r="J6139">
        <v>0.110158044355541</v>
      </c>
      <c r="K6139">
        <v>9.51169847145691E-2</v>
      </c>
      <c r="L6139">
        <v>542.28035480756603</v>
      </c>
      <c r="M6139">
        <v>10.849487546645101</v>
      </c>
      <c r="N6139">
        <v>50.338017764459401</v>
      </c>
      <c r="O6139">
        <v>48.373980787778997</v>
      </c>
      <c r="P6139">
        <v>-5.4019960767061698E-2</v>
      </c>
      <c r="Q6139">
        <v>3.6919994026725397E-2</v>
      </c>
      <c r="R6139">
        <v>0.97803291162194705</v>
      </c>
      <c r="S6139" t="s">
        <v>12945</v>
      </c>
      <c r="T6139" t="s">
        <v>13610</v>
      </c>
      <c r="U6139" t="s">
        <v>13610</v>
      </c>
      <c r="V6139" t="s">
        <v>13610</v>
      </c>
      <c r="W6139" t="s">
        <v>19674</v>
      </c>
      <c r="X6139">
        <v>6</v>
      </c>
      <c r="Y6139" t="s">
        <v>26224</v>
      </c>
      <c r="Z6139" t="s">
        <v>32994</v>
      </c>
      <c r="AA6139">
        <v>0.39623261278705429</v>
      </c>
      <c r="AB6139" t="str">
        <f>HYPERLINK("Melting_Curves/meltCurve_Q9NX08_COMMD8.pdf", "Melting_Curves/meltCurve_Q9NX08_COMMD8.pdf")</f>
        <v>Melting_Curves/meltCurve_Q9NX08_COMMD8.pdf</v>
      </c>
    </row>
    <row r="6140" spans="1:28" x14ac:dyDescent="0.25">
      <c r="A6140" t="s">
        <v>6144</v>
      </c>
      <c r="B6140">
        <v>0.995954080203443</v>
      </c>
      <c r="C6140">
        <v>0.681555054015893</v>
      </c>
      <c r="D6140">
        <v>0.57119587115438797</v>
      </c>
      <c r="E6140">
        <v>0.53982221334500202</v>
      </c>
      <c r="F6140">
        <v>0.56587073361403595</v>
      </c>
      <c r="G6140">
        <v>0.39330299820729903</v>
      </c>
      <c r="H6140">
        <v>0.340149833306158</v>
      </c>
      <c r="I6140">
        <v>0.40009805584493902</v>
      </c>
      <c r="J6140">
        <v>0.38716301197080799</v>
      </c>
      <c r="K6140">
        <v>0.41925148776703802</v>
      </c>
      <c r="L6140">
        <v>632.134761149518</v>
      </c>
      <c r="M6140">
        <v>14.329807436157299</v>
      </c>
      <c r="N6140">
        <v>49.699168330737699</v>
      </c>
      <c r="O6140">
        <v>43.280864108799904</v>
      </c>
      <c r="P6140">
        <v>-4.9659769741023103E-2</v>
      </c>
      <c r="Q6140">
        <v>0.40011528976004901</v>
      </c>
      <c r="R6140">
        <v>0.87985631273223097</v>
      </c>
      <c r="S6140" t="s">
        <v>12946</v>
      </c>
      <c r="T6140" t="s">
        <v>13610</v>
      </c>
      <c r="U6140" t="s">
        <v>13610</v>
      </c>
      <c r="V6140" t="s">
        <v>13610</v>
      </c>
      <c r="W6140" t="s">
        <v>19675</v>
      </c>
      <c r="X6140">
        <v>2</v>
      </c>
      <c r="Y6140" t="s">
        <v>26225</v>
      </c>
      <c r="Z6140" t="s">
        <v>32995</v>
      </c>
      <c r="AA6140">
        <v>0.50587087112095319</v>
      </c>
      <c r="AB6140" t="str">
        <f>HYPERLINK("Melting_Curves/meltCurve_Q9NX09_DDIT4.pdf", "Melting_Curves/meltCurve_Q9NX09_DDIT4.pdf")</f>
        <v>Melting_Curves/meltCurve_Q9NX09_DDIT4.pdf</v>
      </c>
    </row>
    <row r="6141" spans="1:28" x14ac:dyDescent="0.25">
      <c r="A6141" t="s">
        <v>6145</v>
      </c>
      <c r="B6141">
        <v>0.995954080203443</v>
      </c>
      <c r="C6141">
        <v>0.85791076261232702</v>
      </c>
      <c r="D6141">
        <v>0.692657045970686</v>
      </c>
      <c r="E6141">
        <v>0.81545120971842799</v>
      </c>
      <c r="F6141">
        <v>0.58286127011260902</v>
      </c>
      <c r="G6141">
        <v>0.41709019427194199</v>
      </c>
      <c r="H6141">
        <v>0.25028563212153598</v>
      </c>
      <c r="I6141">
        <v>0.211213776804521</v>
      </c>
      <c r="J6141">
        <v>0.18586479982327</v>
      </c>
      <c r="K6141">
        <v>0.17277594131027099</v>
      </c>
      <c r="L6141">
        <v>442.81101280150699</v>
      </c>
      <c r="M6141">
        <v>8.0938068653812802</v>
      </c>
      <c r="N6141">
        <v>54.709856538069801</v>
      </c>
      <c r="O6141">
        <v>51.673813123842898</v>
      </c>
      <c r="P6141">
        <v>-3.9200562926458501E-2</v>
      </c>
      <c r="Q6141">
        <v>0</v>
      </c>
      <c r="R6141">
        <v>0.95064477202342101</v>
      </c>
      <c r="S6141" t="s">
        <v>12947</v>
      </c>
      <c r="T6141" t="s">
        <v>13610</v>
      </c>
      <c r="U6141" t="s">
        <v>13610</v>
      </c>
      <c r="V6141" t="s">
        <v>13610</v>
      </c>
      <c r="W6141" t="s">
        <v>19676</v>
      </c>
      <c r="X6141">
        <v>6</v>
      </c>
      <c r="Y6141" t="s">
        <v>26226</v>
      </c>
      <c r="Z6141" t="s">
        <v>32996</v>
      </c>
      <c r="AA6141">
        <v>0.51948016594800495</v>
      </c>
      <c r="AB6141" t="str">
        <f>HYPERLINK("Melting_Curves/meltCurve_Q9NX24_NHP2.pdf", "Melting_Curves/meltCurve_Q9NX24_NHP2.pdf")</f>
        <v>Melting_Curves/meltCurve_Q9NX24_NHP2.pdf</v>
      </c>
    </row>
    <row r="6142" spans="1:28" x14ac:dyDescent="0.25">
      <c r="A6142" t="s">
        <v>6146</v>
      </c>
      <c r="B6142">
        <v>0.995954080203443</v>
      </c>
      <c r="C6142">
        <v>0.93057106115082899</v>
      </c>
      <c r="D6142">
        <v>0.84078915247133601</v>
      </c>
      <c r="E6142">
        <v>0.79335415875812998</v>
      </c>
      <c r="F6142">
        <v>0.56528245139441602</v>
      </c>
      <c r="G6142">
        <v>0.203050382142445</v>
      </c>
      <c r="H6142">
        <v>0.125441211045593</v>
      </c>
      <c r="I6142">
        <v>0.12547407831391399</v>
      </c>
      <c r="J6142">
        <v>0.13682077712417201</v>
      </c>
      <c r="K6142">
        <v>0.12658188589893299</v>
      </c>
      <c r="L6142">
        <v>1039.8472845066699</v>
      </c>
      <c r="M6142">
        <v>19.742008614635498</v>
      </c>
      <c r="N6142">
        <v>53.253115887914099</v>
      </c>
      <c r="O6142">
        <v>52.140301855175998</v>
      </c>
      <c r="P6142">
        <v>-8.5485659437535499E-2</v>
      </c>
      <c r="Q6142">
        <v>9.6931741238955094E-2</v>
      </c>
      <c r="R6142">
        <v>0.981232749981504</v>
      </c>
      <c r="S6142" t="s">
        <v>12948</v>
      </c>
      <c r="T6142" t="s">
        <v>13610</v>
      </c>
      <c r="U6142" t="s">
        <v>13610</v>
      </c>
      <c r="V6142" t="s">
        <v>13610</v>
      </c>
      <c r="W6142" t="s">
        <v>19677</v>
      </c>
      <c r="X6142">
        <v>9</v>
      </c>
      <c r="Y6142" t="s">
        <v>26227</v>
      </c>
      <c r="Z6142" t="s">
        <v>32997</v>
      </c>
      <c r="AA6142">
        <v>0.49111682048070721</v>
      </c>
      <c r="AB6142" t="str">
        <f>HYPERLINK("Melting_Curves/meltCurve_Q9NX38_FAM206A.pdf", "Melting_Curves/meltCurve_Q9NX38_FAM206A.pdf")</f>
        <v>Melting_Curves/meltCurve_Q9NX38_FAM206A.pdf</v>
      </c>
    </row>
    <row r="6143" spans="1:28" x14ac:dyDescent="0.25">
      <c r="A6143" t="s">
        <v>6147</v>
      </c>
      <c r="B6143">
        <v>0.995954080203443</v>
      </c>
      <c r="C6143">
        <v>1.0636020800692301</v>
      </c>
      <c r="D6143">
        <v>0.85462795642671796</v>
      </c>
      <c r="E6143">
        <v>0.32396738475096198</v>
      </c>
      <c r="F6143">
        <v>0.17664938526973301</v>
      </c>
      <c r="G6143">
        <v>0.12019409256274501</v>
      </c>
      <c r="H6143">
        <v>8.8041956511063696E-2</v>
      </c>
      <c r="I6143">
        <v>8.5139159433811701E-2</v>
      </c>
      <c r="J6143">
        <v>0.110047600256394</v>
      </c>
      <c r="K6143">
        <v>9.4633889233977003E-2</v>
      </c>
      <c r="L6143">
        <v>1602.0652502134101</v>
      </c>
      <c r="M6143">
        <v>33.112126382767897</v>
      </c>
      <c r="N6143">
        <v>48.719167474466097</v>
      </c>
      <c r="O6143">
        <v>48.207599586446001</v>
      </c>
      <c r="P6143">
        <v>-0.15418175750420901</v>
      </c>
      <c r="Q6143">
        <v>0.102117686857431</v>
      </c>
      <c r="R6143">
        <v>0.99503139350922398</v>
      </c>
      <c r="S6143" t="s">
        <v>12949</v>
      </c>
      <c r="T6143" t="s">
        <v>13610</v>
      </c>
      <c r="U6143" t="s">
        <v>13610</v>
      </c>
      <c r="V6143" t="s">
        <v>13610</v>
      </c>
      <c r="W6143" t="s">
        <v>19678</v>
      </c>
      <c r="X6143">
        <v>13</v>
      </c>
      <c r="Y6143" t="s">
        <v>26228</v>
      </c>
      <c r="Z6143" t="s">
        <v>32998</v>
      </c>
      <c r="AA6143">
        <v>0.35744246131641449</v>
      </c>
      <c r="AB6143" t="str">
        <f>HYPERLINK("Melting_Curves/meltCurve_Q9NX46_ADPRHL2.pdf", "Melting_Curves/meltCurve_Q9NX46_ADPRHL2.pdf")</f>
        <v>Melting_Curves/meltCurve_Q9NX46_ADPRHL2.pdf</v>
      </c>
    </row>
    <row r="6144" spans="1:28" x14ac:dyDescent="0.25">
      <c r="A6144" t="s">
        <v>6148</v>
      </c>
      <c r="B6144">
        <v>0.995954080203443</v>
      </c>
      <c r="C6144">
        <v>0.98201432168124303</v>
      </c>
      <c r="D6144">
        <v>0.840957426895659</v>
      </c>
      <c r="E6144">
        <v>0.85175278568676804</v>
      </c>
      <c r="F6144">
        <v>0.64812268180242305</v>
      </c>
      <c r="G6144">
        <v>0.473934072778256</v>
      </c>
      <c r="H6144">
        <v>0.44735811009190402</v>
      </c>
      <c r="I6144">
        <v>0.51145644360610998</v>
      </c>
      <c r="J6144">
        <v>0.55036863873671504</v>
      </c>
      <c r="K6144">
        <v>0.51909168260874405</v>
      </c>
      <c r="L6144">
        <v>988.70496411659406</v>
      </c>
      <c r="M6144">
        <v>19.483647495739099</v>
      </c>
      <c r="N6144">
        <v>63.011345688439</v>
      </c>
      <c r="O6144">
        <v>50.219867104372398</v>
      </c>
      <c r="P6144">
        <v>-4.9590443303010698E-2</v>
      </c>
      <c r="Q6144">
        <v>0.48873315294373498</v>
      </c>
      <c r="R6144">
        <v>0.93424436755616103</v>
      </c>
      <c r="S6144" t="s">
        <v>12950</v>
      </c>
      <c r="T6144" t="s">
        <v>13610</v>
      </c>
      <c r="U6144" t="s">
        <v>13610</v>
      </c>
      <c r="V6144" t="s">
        <v>13610</v>
      </c>
      <c r="W6144" t="s">
        <v>19679</v>
      </c>
      <c r="X6144">
        <v>10</v>
      </c>
      <c r="Y6144" t="s">
        <v>26229</v>
      </c>
      <c r="Z6144" t="s">
        <v>32999</v>
      </c>
      <c r="AA6144">
        <v>0.67931873603725335</v>
      </c>
      <c r="AB6144" t="str">
        <f>HYPERLINK("Melting_Curves/meltCurve_Q9NX55_HYPK.pdf", "Melting_Curves/meltCurve_Q9NX55_HYPK.pdf")</f>
        <v>Melting_Curves/meltCurve_Q9NX55_HYPK.pdf</v>
      </c>
    </row>
    <row r="6145" spans="1:28" x14ac:dyDescent="0.25">
      <c r="A6145" t="s">
        <v>6149</v>
      </c>
      <c r="B6145">
        <v>0.995954080203443</v>
      </c>
      <c r="C6145">
        <v>1.05027534932147</v>
      </c>
      <c r="D6145">
        <v>0.97062485162995304</v>
      </c>
      <c r="E6145">
        <v>0.82005652402234197</v>
      </c>
      <c r="F6145">
        <v>0.71512394555805203</v>
      </c>
      <c r="G6145">
        <v>0.50431613303894796</v>
      </c>
      <c r="H6145">
        <v>0.48591911111123298</v>
      </c>
      <c r="I6145">
        <v>0.53447386806027097</v>
      </c>
      <c r="J6145">
        <v>0.64118283708245105</v>
      </c>
      <c r="K6145">
        <v>0.67429913028857902</v>
      </c>
      <c r="L6145">
        <v>1522.75521501465</v>
      </c>
      <c r="M6145">
        <v>29.9475122923374</v>
      </c>
      <c r="O6145">
        <v>50.622360505122899</v>
      </c>
      <c r="P6145">
        <v>-6.3537217860888007E-2</v>
      </c>
      <c r="Q6145">
        <v>0.570397335697298</v>
      </c>
      <c r="R6145">
        <v>0.907432335990353</v>
      </c>
      <c r="S6145" t="s">
        <v>12951</v>
      </c>
      <c r="T6145" t="s">
        <v>13610</v>
      </c>
      <c r="U6145" t="s">
        <v>13610</v>
      </c>
      <c r="V6145" t="s">
        <v>13610</v>
      </c>
      <c r="W6145" t="s">
        <v>19680</v>
      </c>
      <c r="X6145">
        <v>7</v>
      </c>
      <c r="Y6145" t="s">
        <v>26230</v>
      </c>
      <c r="Z6145" t="s">
        <v>33000</v>
      </c>
      <c r="AA6145">
        <v>0.72843788239602669</v>
      </c>
      <c r="AB6145" t="str">
        <f>HYPERLINK("Melting_Curves/meltCurve_Q9NX58_LYAR.pdf", "Melting_Curves/meltCurve_Q9NX58_LYAR.pdf")</f>
        <v>Melting_Curves/meltCurve_Q9NX58_LYAR.pdf</v>
      </c>
    </row>
    <row r="6146" spans="1:28" x14ac:dyDescent="0.25">
      <c r="A6146" t="s">
        <v>6150</v>
      </c>
      <c r="B6146">
        <v>0.995954080203443</v>
      </c>
      <c r="C6146">
        <v>1.0448214379010901</v>
      </c>
      <c r="D6146">
        <v>0.90327647589459603</v>
      </c>
      <c r="E6146">
        <v>0.93448767874401195</v>
      </c>
      <c r="F6146">
        <v>0.74740974035720698</v>
      </c>
      <c r="G6146">
        <v>0.54436051218316905</v>
      </c>
      <c r="H6146">
        <v>0.521420051555185</v>
      </c>
      <c r="I6146">
        <v>0.64940828917897198</v>
      </c>
      <c r="J6146">
        <v>0.59029956807767603</v>
      </c>
      <c r="K6146">
        <v>0.67082646756115905</v>
      </c>
      <c r="L6146">
        <v>2238.8168577919801</v>
      </c>
      <c r="M6146">
        <v>42.9038180834279</v>
      </c>
      <c r="O6146">
        <v>52.069243909187101</v>
      </c>
      <c r="P6146">
        <v>-8.3453656474790902E-2</v>
      </c>
      <c r="Q6146">
        <v>0.59487410019110099</v>
      </c>
      <c r="R6146">
        <v>0.91339145609264605</v>
      </c>
      <c r="S6146" t="s">
        <v>12952</v>
      </c>
      <c r="T6146" t="s">
        <v>13610</v>
      </c>
      <c r="U6146" t="s">
        <v>13610</v>
      </c>
      <c r="V6146" t="s">
        <v>13610</v>
      </c>
      <c r="W6146" t="s">
        <v>19681</v>
      </c>
      <c r="X6146">
        <v>2</v>
      </c>
      <c r="Y6146" t="s">
        <v>26231</v>
      </c>
      <c r="Z6146" t="s">
        <v>33001</v>
      </c>
      <c r="AA6146">
        <v>0.7606538249061866</v>
      </c>
      <c r="AB6146" t="str">
        <f>HYPERLINK("Melting_Curves/meltCurve_Q9NX63_CHCHD3.pdf", "Melting_Curves/meltCurve_Q9NX63_CHCHD3.pdf")</f>
        <v>Melting_Curves/meltCurve_Q9NX63_CHCHD3.pdf</v>
      </c>
    </row>
    <row r="6147" spans="1:28" x14ac:dyDescent="0.25">
      <c r="A6147" t="s">
        <v>6151</v>
      </c>
      <c r="B6147">
        <v>0.995954080203443</v>
      </c>
      <c r="C6147">
        <v>0.80871325222142998</v>
      </c>
      <c r="D6147">
        <v>0.71829643897806095</v>
      </c>
      <c r="E6147">
        <v>0.69461555263234298</v>
      </c>
      <c r="F6147">
        <v>0.54416120648244304</v>
      </c>
      <c r="G6147">
        <v>0.32658280129544798</v>
      </c>
      <c r="H6147">
        <v>0.22973975994790499</v>
      </c>
      <c r="I6147">
        <v>0.24508334329984899</v>
      </c>
      <c r="J6147">
        <v>0.28443774070301397</v>
      </c>
      <c r="K6147">
        <v>0.27043664993544703</v>
      </c>
      <c r="L6147">
        <v>492.79606078521999</v>
      </c>
      <c r="M6147">
        <v>9.7526592364731695</v>
      </c>
      <c r="N6147">
        <v>52.877928922640997</v>
      </c>
      <c r="O6147">
        <v>48.5422787318617</v>
      </c>
      <c r="P6147">
        <v>-4.1421298421076398E-2</v>
      </c>
      <c r="Q6147">
        <v>0.17576997262512301</v>
      </c>
      <c r="R6147">
        <v>0.95268592103371996</v>
      </c>
      <c r="S6147" t="s">
        <v>12953</v>
      </c>
      <c r="T6147" t="s">
        <v>13610</v>
      </c>
      <c r="U6147" t="s">
        <v>13610</v>
      </c>
      <c r="V6147" t="s">
        <v>13610</v>
      </c>
      <c r="W6147" t="s">
        <v>19682</v>
      </c>
      <c r="X6147">
        <v>5</v>
      </c>
      <c r="Y6147" t="s">
        <v>26232</v>
      </c>
      <c r="Z6147" t="s">
        <v>33002</v>
      </c>
      <c r="AA6147">
        <v>0.50190326370752125</v>
      </c>
      <c r="AB6147" t="str">
        <f>HYPERLINK("Melting_Curves/meltCurve_Q9NX70_MED29.pdf", "Melting_Curves/meltCurve_Q9NX70_MED29.pdf")</f>
        <v>Melting_Curves/meltCurve_Q9NX70_MED29.pdf</v>
      </c>
    </row>
    <row r="6148" spans="1:28" x14ac:dyDescent="0.25">
      <c r="A6148" t="s">
        <v>6152</v>
      </c>
      <c r="B6148">
        <v>0.995954080203443</v>
      </c>
      <c r="C6148">
        <v>0.98371717613576504</v>
      </c>
      <c r="D6148">
        <v>0.91207919358285505</v>
      </c>
      <c r="E6148">
        <v>0.687006564975435</v>
      </c>
      <c r="F6148">
        <v>0.31635861365788398</v>
      </c>
      <c r="G6148">
        <v>0.17586191206028401</v>
      </c>
      <c r="H6148">
        <v>0.13603936755242399</v>
      </c>
      <c r="I6148">
        <v>0.13785913666312899</v>
      </c>
      <c r="J6148">
        <v>0.15397379392652399</v>
      </c>
      <c r="K6148">
        <v>0.1385180905407</v>
      </c>
      <c r="L6148">
        <v>1459.89745006303</v>
      </c>
      <c r="M6148">
        <v>28.7524314536007</v>
      </c>
      <c r="N6148">
        <v>51.349459825794803</v>
      </c>
      <c r="O6148">
        <v>50.531028253640798</v>
      </c>
      <c r="P6148">
        <v>-0.122681457654457</v>
      </c>
      <c r="Q6148">
        <v>0.137579241085693</v>
      </c>
      <c r="R6148">
        <v>0.99729212714598103</v>
      </c>
      <c r="S6148" t="s">
        <v>12954</v>
      </c>
      <c r="T6148" t="s">
        <v>13610</v>
      </c>
      <c r="U6148" t="s">
        <v>13610</v>
      </c>
      <c r="V6148" t="s">
        <v>13610</v>
      </c>
      <c r="W6148" t="s">
        <v>19683</v>
      </c>
      <c r="X6148">
        <v>18</v>
      </c>
      <c r="Y6148" t="s">
        <v>26233</v>
      </c>
      <c r="Z6148" t="s">
        <v>33003</v>
      </c>
      <c r="AA6148">
        <v>0.45320745663297091</v>
      </c>
      <c r="AB6148" t="str">
        <f>HYPERLINK("Melting_Curves/meltCurve_Q9NX74_DUS2L.pdf", "Melting_Curves/meltCurve_Q9NX74_DUS2L.pdf")</f>
        <v>Melting_Curves/meltCurve_Q9NX74_DUS2L.pdf</v>
      </c>
    </row>
    <row r="6149" spans="1:28" x14ac:dyDescent="0.25">
      <c r="A6149" t="s">
        <v>6153</v>
      </c>
      <c r="B6149">
        <v>0.995954080203443</v>
      </c>
      <c r="C6149">
        <v>1.01640241329526</v>
      </c>
      <c r="D6149">
        <v>1.0065741896531299</v>
      </c>
      <c r="E6149">
        <v>0.77391362104450501</v>
      </c>
      <c r="F6149">
        <v>0.379643629042756</v>
      </c>
      <c r="G6149">
        <v>0.11688402173951699</v>
      </c>
      <c r="H6149">
        <v>7.85252822130761E-2</v>
      </c>
      <c r="I6149">
        <v>7.3139674122025794E-2</v>
      </c>
      <c r="J6149">
        <v>8.6418968347254099E-2</v>
      </c>
      <c r="K6149">
        <v>7.94802008698616E-2</v>
      </c>
      <c r="L6149">
        <v>1687.69686128224</v>
      </c>
      <c r="M6149">
        <v>32.58581511445</v>
      </c>
      <c r="N6149">
        <v>52.057982777717797</v>
      </c>
      <c r="O6149">
        <v>51.598496497832201</v>
      </c>
      <c r="P6149">
        <v>-0.145790920503406</v>
      </c>
      <c r="Q6149">
        <v>7.6585200463650305E-2</v>
      </c>
      <c r="R6149">
        <v>0.99939420267690704</v>
      </c>
      <c r="S6149" t="s">
        <v>12955</v>
      </c>
      <c r="T6149" t="s">
        <v>13610</v>
      </c>
      <c r="U6149" t="s">
        <v>13610</v>
      </c>
      <c r="V6149" t="s">
        <v>13610</v>
      </c>
      <c r="W6149" t="s">
        <v>19684</v>
      </c>
      <c r="X6149">
        <v>12</v>
      </c>
      <c r="Y6149" t="s">
        <v>26234</v>
      </c>
      <c r="Z6149" t="s">
        <v>33004</v>
      </c>
      <c r="AA6149">
        <v>0.44454743582275508</v>
      </c>
      <c r="AB6149" t="str">
        <f>HYPERLINK("Melting_Curves/meltCurve_Q9NXA8_SIRT5.pdf", "Melting_Curves/meltCurve_Q9NXA8_SIRT5.pdf")</f>
        <v>Melting_Curves/meltCurve_Q9NXA8_SIRT5.pdf</v>
      </c>
    </row>
    <row r="6150" spans="1:28" x14ac:dyDescent="0.25">
      <c r="A6150" t="s">
        <v>6154</v>
      </c>
      <c r="B6150">
        <v>0.995954080203443</v>
      </c>
      <c r="C6150">
        <v>0.80786951583105504</v>
      </c>
      <c r="D6150">
        <v>0.68691658460581095</v>
      </c>
      <c r="E6150">
        <v>0.96750340326372297</v>
      </c>
      <c r="F6150">
        <v>0.68549775898105902</v>
      </c>
      <c r="G6150">
        <v>0.43558656248148803</v>
      </c>
      <c r="H6150">
        <v>0.121474768537033</v>
      </c>
      <c r="I6150">
        <v>0.112265156347493</v>
      </c>
      <c r="J6150">
        <v>0.114685671922473</v>
      </c>
      <c r="K6150">
        <v>0.10469356738965201</v>
      </c>
      <c r="S6150" t="s">
        <v>12956</v>
      </c>
      <c r="T6150" t="s">
        <v>13610</v>
      </c>
      <c r="U6150" t="s">
        <v>13611</v>
      </c>
      <c r="V6150" t="s">
        <v>13610</v>
      </c>
      <c r="W6150" t="s">
        <v>19685</v>
      </c>
      <c r="X6150">
        <v>12</v>
      </c>
      <c r="Y6150" t="s">
        <v>26235</v>
      </c>
      <c r="Z6150" t="s">
        <v>33005</v>
      </c>
      <c r="AB6150" t="str">
        <f>HYPERLINK("Melting_Curves/meltCurve_Q9NXC5_MIOS.pdf", "Melting_Curves/meltCurve_Q9NXC5_MIOS.pdf")</f>
        <v>Melting_Curves/meltCurve_Q9NXC5_MIOS.pdf</v>
      </c>
    </row>
    <row r="6151" spans="1:28" x14ac:dyDescent="0.25">
      <c r="A6151" t="s">
        <v>6155</v>
      </c>
      <c r="B6151">
        <v>0.995954080203443</v>
      </c>
      <c r="C6151">
        <v>0.93750735151728304</v>
      </c>
      <c r="D6151">
        <v>1.0774363494217301</v>
      </c>
      <c r="E6151">
        <v>0.85323561127950198</v>
      </c>
      <c r="F6151">
        <v>0.93991816587869303</v>
      </c>
      <c r="G6151">
        <v>0.68229162339522398</v>
      </c>
      <c r="H6151">
        <v>0.67719233612305096</v>
      </c>
      <c r="I6151">
        <v>0.79354781374473804</v>
      </c>
      <c r="J6151">
        <v>0.95315458271001197</v>
      </c>
      <c r="K6151">
        <v>0.90941733792831703</v>
      </c>
      <c r="L6151">
        <v>1812.9421670669301</v>
      </c>
      <c r="M6151">
        <v>36.462818307930803</v>
      </c>
      <c r="O6151">
        <v>49.571458917337999</v>
      </c>
      <c r="P6151">
        <v>-3.3519482262703203E-2</v>
      </c>
      <c r="Q6151">
        <v>0.81772066456552195</v>
      </c>
      <c r="R6151">
        <v>0.41236758263572099</v>
      </c>
      <c r="S6151" t="s">
        <v>12957</v>
      </c>
      <c r="T6151" t="s">
        <v>13610</v>
      </c>
      <c r="U6151" t="s">
        <v>13610</v>
      </c>
      <c r="V6151" t="s">
        <v>13610</v>
      </c>
      <c r="W6151" t="s">
        <v>19686</v>
      </c>
      <c r="X6151">
        <v>7</v>
      </c>
      <c r="Y6151" t="s">
        <v>26236</v>
      </c>
      <c r="Z6151" t="s">
        <v>33006</v>
      </c>
      <c r="AA6151">
        <v>0.87753673155484146</v>
      </c>
      <c r="AB6151" t="str">
        <f>HYPERLINK("Melting_Curves/meltCurve_Q9NXE8_CWC25.pdf", "Melting_Curves/meltCurve_Q9NXE8_CWC25.pdf")</f>
        <v>Melting_Curves/meltCurve_Q9NXE8_CWC25.pdf</v>
      </c>
    </row>
    <row r="6152" spans="1:28" x14ac:dyDescent="0.25">
      <c r="A6152" t="s">
        <v>6156</v>
      </c>
      <c r="B6152">
        <v>0.995954080203443</v>
      </c>
      <c r="C6152">
        <v>0.90560558727107199</v>
      </c>
      <c r="D6152">
        <v>0.62694089820955101</v>
      </c>
      <c r="E6152">
        <v>0.368476578992049</v>
      </c>
      <c r="F6152">
        <v>0.12602727417175</v>
      </c>
      <c r="G6152">
        <v>7.4721576767547607E-2</v>
      </c>
      <c r="H6152">
        <v>4.7726293577984802E-2</v>
      </c>
      <c r="I6152">
        <v>4.1765083530249103E-2</v>
      </c>
      <c r="J6152">
        <v>5.4755033491856502E-2</v>
      </c>
      <c r="K6152">
        <v>4.3761443022607503E-2</v>
      </c>
      <c r="L6152">
        <v>877.51477382282906</v>
      </c>
      <c r="M6152">
        <v>18.441527683851199</v>
      </c>
      <c r="N6152">
        <v>47.778449091577599</v>
      </c>
      <c r="O6152">
        <v>47.034713942126402</v>
      </c>
      <c r="P6152">
        <v>-9.4474802420178902E-2</v>
      </c>
      <c r="Q6152">
        <v>3.62198882309262E-2</v>
      </c>
      <c r="R6152">
        <v>0.99468967208758896</v>
      </c>
      <c r="S6152" t="s">
        <v>12958</v>
      </c>
      <c r="T6152" t="s">
        <v>13610</v>
      </c>
      <c r="U6152" t="s">
        <v>13610</v>
      </c>
      <c r="V6152" t="s">
        <v>13610</v>
      </c>
      <c r="W6152" t="s">
        <v>19687</v>
      </c>
      <c r="X6152">
        <v>4</v>
      </c>
      <c r="Y6152" t="s">
        <v>26237</v>
      </c>
      <c r="Z6152" t="s">
        <v>33007</v>
      </c>
      <c r="AA6152">
        <v>0.29631986000729232</v>
      </c>
      <c r="AB6152" t="str">
        <f>HYPERLINK("Melting_Curves/meltCurve_Q9NXF7_DCAF16.pdf", "Melting_Curves/meltCurve_Q9NXF7_DCAF16.pdf")</f>
        <v>Melting_Curves/meltCurve_Q9NXF7_DCAF16.pdf</v>
      </c>
    </row>
    <row r="6153" spans="1:28" x14ac:dyDescent="0.25">
      <c r="A6153" t="s">
        <v>6157</v>
      </c>
      <c r="B6153">
        <v>0.995954080203443</v>
      </c>
      <c r="C6153">
        <v>1.00205767661947</v>
      </c>
      <c r="D6153">
        <v>1.0465984061757401</v>
      </c>
      <c r="E6153">
        <v>0.96517171881193298</v>
      </c>
      <c r="F6153">
        <v>0.90878575505936598</v>
      </c>
      <c r="G6153">
        <v>0.67636811797694596</v>
      </c>
      <c r="H6153">
        <v>0.3445931029182</v>
      </c>
      <c r="I6153">
        <v>0.21011017288643999</v>
      </c>
      <c r="J6153">
        <v>0.17116080542481599</v>
      </c>
      <c r="K6153">
        <v>0.18307587252481999</v>
      </c>
      <c r="L6153">
        <v>1435.68119880826</v>
      </c>
      <c r="M6153">
        <v>24.759670063603298</v>
      </c>
      <c r="N6153">
        <v>58.838009437699498</v>
      </c>
      <c r="O6153">
        <v>57.610388813013003</v>
      </c>
      <c r="P6153">
        <v>-9.1238076684518499E-2</v>
      </c>
      <c r="Q6153">
        <v>0.15084690768397299</v>
      </c>
      <c r="R6153">
        <v>0.99707112085307503</v>
      </c>
      <c r="S6153" t="s">
        <v>12959</v>
      </c>
      <c r="T6153" t="s">
        <v>13610</v>
      </c>
      <c r="U6153" t="s">
        <v>13610</v>
      </c>
      <c r="V6153" t="s">
        <v>13610</v>
      </c>
      <c r="W6153" t="s">
        <v>19688</v>
      </c>
      <c r="X6153">
        <v>22</v>
      </c>
      <c r="Y6153" t="s">
        <v>26238</v>
      </c>
      <c r="Z6153" t="s">
        <v>33008</v>
      </c>
      <c r="AA6153">
        <v>0.66739561479567822</v>
      </c>
      <c r="AB6153" t="str">
        <f>HYPERLINK("Melting_Curves/meltCurve_Q9NXG2_THUMPD1.pdf", "Melting_Curves/meltCurve_Q9NXG2_THUMPD1.pdf")</f>
        <v>Melting_Curves/meltCurve_Q9NXG2_THUMPD1.pdf</v>
      </c>
    </row>
    <row r="6154" spans="1:28" x14ac:dyDescent="0.25">
      <c r="A6154" t="s">
        <v>6158</v>
      </c>
      <c r="B6154">
        <v>0.995954080203443</v>
      </c>
      <c r="C6154">
        <v>0.860284608791685</v>
      </c>
      <c r="D6154">
        <v>0.79828759117273196</v>
      </c>
      <c r="E6154">
        <v>0.84427348933542001</v>
      </c>
      <c r="F6154">
        <v>0.70705571920655996</v>
      </c>
      <c r="G6154">
        <v>0.56509459967203302</v>
      </c>
      <c r="H6154">
        <v>0.273111056917414</v>
      </c>
      <c r="I6154">
        <v>0.221373273452458</v>
      </c>
      <c r="J6154">
        <v>0.22853787229583999</v>
      </c>
      <c r="K6154">
        <v>0.23791424015529999</v>
      </c>
      <c r="L6154">
        <v>502.750012415892</v>
      </c>
      <c r="M6154">
        <v>8.8353365037108897</v>
      </c>
      <c r="N6154">
        <v>57.1137695067222</v>
      </c>
      <c r="O6154">
        <v>54.213321298442303</v>
      </c>
      <c r="P6154">
        <v>-4.0118695443036999E-2</v>
      </c>
      <c r="Q6154">
        <v>1.6098464601733802E-2</v>
      </c>
      <c r="R6154">
        <v>0.94815982193622494</v>
      </c>
      <c r="S6154" t="s">
        <v>12960</v>
      </c>
      <c r="T6154" t="s">
        <v>13610</v>
      </c>
      <c r="U6154" t="s">
        <v>13610</v>
      </c>
      <c r="V6154" t="s">
        <v>13610</v>
      </c>
      <c r="W6154" t="s">
        <v>19689</v>
      </c>
      <c r="X6154">
        <v>27</v>
      </c>
      <c r="Y6154" t="s">
        <v>26239</v>
      </c>
      <c r="Z6154" t="s">
        <v>33009</v>
      </c>
      <c r="AA6154">
        <v>0.58490346480690047</v>
      </c>
      <c r="AB6154" t="str">
        <f>HYPERLINK("Melting_Curves/meltCurve_Q9NXH9_TRMT1.pdf", "Melting_Curves/meltCurve_Q9NXH9_TRMT1.pdf")</f>
        <v>Melting_Curves/meltCurve_Q9NXH9_TRMT1.pdf</v>
      </c>
    </row>
    <row r="6155" spans="1:28" x14ac:dyDescent="0.25">
      <c r="A6155" t="s">
        <v>6159</v>
      </c>
      <c r="B6155">
        <v>0.995954080203443</v>
      </c>
      <c r="C6155">
        <v>0.97010630802226505</v>
      </c>
      <c r="D6155">
        <v>0.85600545660831096</v>
      </c>
      <c r="E6155">
        <v>0.71391602599829895</v>
      </c>
      <c r="F6155">
        <v>0.230443050369458</v>
      </c>
      <c r="G6155">
        <v>0.115264085816513</v>
      </c>
      <c r="H6155">
        <v>8.2496165543201994E-2</v>
      </c>
      <c r="I6155">
        <v>6.9923102323807496E-2</v>
      </c>
      <c r="J6155">
        <v>7.4275528016694403E-2</v>
      </c>
      <c r="K6155">
        <v>7.5661859686719304E-2</v>
      </c>
      <c r="L6155">
        <v>1747.9197226510901</v>
      </c>
      <c r="M6155">
        <v>34.330224458179302</v>
      </c>
      <c r="N6155">
        <v>51.1548942826077</v>
      </c>
      <c r="O6155">
        <v>50.743067025019698</v>
      </c>
      <c r="P6155">
        <v>-0.15655844523418699</v>
      </c>
      <c r="Q6155">
        <v>7.4375458547237094E-2</v>
      </c>
      <c r="R6155">
        <v>0.98791534952243598</v>
      </c>
      <c r="S6155" t="s">
        <v>12961</v>
      </c>
      <c r="T6155" t="s">
        <v>13610</v>
      </c>
      <c r="U6155" t="s">
        <v>13610</v>
      </c>
      <c r="V6155" t="s">
        <v>13610</v>
      </c>
      <c r="W6155" t="s">
        <v>19690</v>
      </c>
      <c r="X6155">
        <v>5</v>
      </c>
      <c r="Y6155" t="s">
        <v>26240</v>
      </c>
      <c r="Z6155" t="s">
        <v>33010</v>
      </c>
      <c r="AA6155">
        <v>0.41557740081848171</v>
      </c>
      <c r="AB6155" t="str">
        <f>HYPERLINK("Melting_Curves/meltCurve_Q9NXJ5_PGPEP1.pdf", "Melting_Curves/meltCurve_Q9NXJ5_PGPEP1.pdf")</f>
        <v>Melting_Curves/meltCurve_Q9NXJ5_PGPEP1.pdf</v>
      </c>
    </row>
    <row r="6156" spans="1:28" x14ac:dyDescent="0.25">
      <c r="A6156" t="s">
        <v>6160</v>
      </c>
      <c r="B6156">
        <v>0.995954080203443</v>
      </c>
      <c r="C6156">
        <v>0.82066091363104399</v>
      </c>
      <c r="D6156">
        <v>0.54094467723849604</v>
      </c>
      <c r="E6156">
        <v>0.40910031652881501</v>
      </c>
      <c r="F6156">
        <v>0.19398029153698801</v>
      </c>
      <c r="G6156">
        <v>0.120322031151533</v>
      </c>
      <c r="H6156">
        <v>8.2427831060799997E-2</v>
      </c>
      <c r="I6156">
        <v>8.2415349902712695E-2</v>
      </c>
      <c r="J6156">
        <v>9.3122797563457399E-2</v>
      </c>
      <c r="K6156">
        <v>8.4117087726037307E-2</v>
      </c>
      <c r="L6156">
        <v>701.47034248187902</v>
      </c>
      <c r="M6156">
        <v>14.944787749708199</v>
      </c>
      <c r="N6156">
        <v>47.4194330018396</v>
      </c>
      <c r="O6156">
        <v>46.1210966404498</v>
      </c>
      <c r="P6156">
        <v>-7.5308057385425398E-2</v>
      </c>
      <c r="Q6156">
        <v>7.0462755597384005E-2</v>
      </c>
      <c r="R6156">
        <v>0.98629969069514201</v>
      </c>
      <c r="S6156" t="s">
        <v>12962</v>
      </c>
      <c r="T6156" t="s">
        <v>13610</v>
      </c>
      <c r="U6156" t="s">
        <v>13610</v>
      </c>
      <c r="V6156" t="s">
        <v>13610</v>
      </c>
      <c r="W6156" t="s">
        <v>19691</v>
      </c>
      <c r="X6156">
        <v>5</v>
      </c>
      <c r="Y6156" t="s">
        <v>26241</v>
      </c>
      <c r="Z6156" t="s">
        <v>33011</v>
      </c>
      <c r="AA6156">
        <v>0.31096501057510278</v>
      </c>
      <c r="AB6156" t="str">
        <f>HYPERLINK("Melting_Curves/meltCurve_Q9NXK8_FBXL12.pdf", "Melting_Curves/meltCurve_Q9NXK8_FBXL12.pdf")</f>
        <v>Melting_Curves/meltCurve_Q9NXK8_FBXL12.pdf</v>
      </c>
    </row>
    <row r="6157" spans="1:28" x14ac:dyDescent="0.25">
      <c r="A6157" t="s">
        <v>6161</v>
      </c>
      <c r="B6157">
        <v>0.995954080203443</v>
      </c>
      <c r="C6157">
        <v>0.926609702626499</v>
      </c>
      <c r="D6157">
        <v>0.74750975018125998</v>
      </c>
      <c r="E6157">
        <v>0.557275049284784</v>
      </c>
      <c r="F6157">
        <v>0.42388578378483399</v>
      </c>
      <c r="G6157">
        <v>0.26920863192980299</v>
      </c>
      <c r="H6157">
        <v>0.21158260996049899</v>
      </c>
      <c r="I6157">
        <v>0.16831278867608701</v>
      </c>
      <c r="J6157">
        <v>0.252685787662219</v>
      </c>
      <c r="K6157">
        <v>0.193407645656168</v>
      </c>
      <c r="L6157">
        <v>703.43722399083697</v>
      </c>
      <c r="M6157">
        <v>14.280986060838799</v>
      </c>
      <c r="N6157">
        <v>50.854151448484203</v>
      </c>
      <c r="O6157">
        <v>48.321269871465503</v>
      </c>
      <c r="P6157">
        <v>-6.0540391553619503E-2</v>
      </c>
      <c r="Q6157">
        <v>0.180720313791982</v>
      </c>
      <c r="R6157">
        <v>0.991195914601115</v>
      </c>
      <c r="S6157" t="s">
        <v>12963</v>
      </c>
      <c r="T6157" t="s">
        <v>13610</v>
      </c>
      <c r="U6157" t="s">
        <v>13610</v>
      </c>
      <c r="V6157" t="s">
        <v>13610</v>
      </c>
      <c r="W6157" t="s">
        <v>19692</v>
      </c>
      <c r="X6157">
        <v>1</v>
      </c>
      <c r="Y6157" t="s">
        <v>26242</v>
      </c>
      <c r="Z6157" t="s">
        <v>33012</v>
      </c>
      <c r="AA6157">
        <v>0.45544060884916349</v>
      </c>
      <c r="AB6157" t="str">
        <f>HYPERLINK("Melting_Curves/meltCurve_Q9NXN4_2_GDAP2.pdf", "Melting_Curves/meltCurve_Q9NXN4_2_GDAP2.pdf")</f>
        <v>Melting_Curves/meltCurve_Q9NXN4_2_GDAP2.pdf</v>
      </c>
    </row>
    <row r="6158" spans="1:28" x14ac:dyDescent="0.25">
      <c r="A6158" t="s">
        <v>6162</v>
      </c>
      <c r="B6158">
        <v>0.995954080203443</v>
      </c>
      <c r="C6158">
        <v>0.87191497821893804</v>
      </c>
      <c r="D6158">
        <v>0.91428572665123098</v>
      </c>
      <c r="E6158">
        <v>0.73930979343712899</v>
      </c>
      <c r="F6158">
        <v>0.61137903948903805</v>
      </c>
      <c r="G6158">
        <v>0.483078136785624</v>
      </c>
      <c r="H6158">
        <v>0.39897940020442102</v>
      </c>
      <c r="I6158">
        <v>0.48893770473218601</v>
      </c>
      <c r="J6158">
        <v>0.57665103326575595</v>
      </c>
      <c r="K6158">
        <v>0.62038440519903804</v>
      </c>
      <c r="L6158">
        <v>978.335629092506</v>
      </c>
      <c r="M6158">
        <v>19.911464690868598</v>
      </c>
      <c r="O6158">
        <v>48.646745067538603</v>
      </c>
      <c r="P6158">
        <v>-5.0222753369466501E-2</v>
      </c>
      <c r="Q6158">
        <v>0.509208895700899</v>
      </c>
      <c r="R6158">
        <v>0.874848735281892</v>
      </c>
      <c r="S6158" t="s">
        <v>12964</v>
      </c>
      <c r="T6158" t="s">
        <v>13610</v>
      </c>
      <c r="U6158" t="s">
        <v>13610</v>
      </c>
      <c r="V6158" t="s">
        <v>13610</v>
      </c>
      <c r="W6158" t="s">
        <v>19693</v>
      </c>
      <c r="X6158">
        <v>16</v>
      </c>
      <c r="Y6158" t="s">
        <v>26243</v>
      </c>
      <c r="Z6158" t="s">
        <v>33013</v>
      </c>
      <c r="AA6158">
        <v>0.6655716999445106</v>
      </c>
      <c r="AB6158" t="str">
        <f>HYPERLINK("Melting_Curves/meltCurve_Q9NXR1_2_NDE1.pdf", "Melting_Curves/meltCurve_Q9NXR1_2_NDE1.pdf")</f>
        <v>Melting_Curves/meltCurve_Q9NXR1_2_NDE1.pdf</v>
      </c>
    </row>
    <row r="6159" spans="1:28" x14ac:dyDescent="0.25">
      <c r="A6159" t="s">
        <v>6163</v>
      </c>
      <c r="B6159">
        <v>0.995954080203443</v>
      </c>
      <c r="C6159">
        <v>0.87966441479266799</v>
      </c>
      <c r="D6159">
        <v>0.81795827124598897</v>
      </c>
      <c r="E6159">
        <v>0.73868336832489001</v>
      </c>
      <c r="F6159">
        <v>0.62131231039663704</v>
      </c>
      <c r="G6159">
        <v>0.48125204718490999</v>
      </c>
      <c r="H6159">
        <v>0.26629590631358402</v>
      </c>
      <c r="I6159">
        <v>0.15772427223582899</v>
      </c>
      <c r="J6159">
        <v>0.14703028303264801</v>
      </c>
      <c r="K6159">
        <v>0.12778747297565099</v>
      </c>
      <c r="L6159">
        <v>520.727770107742</v>
      </c>
      <c r="M6159">
        <v>9.4411513986752702</v>
      </c>
      <c r="N6159">
        <v>55.1551127601129</v>
      </c>
      <c r="O6159">
        <v>52.850482617120797</v>
      </c>
      <c r="P6159">
        <v>-4.4686749187330899E-2</v>
      </c>
      <c r="Q6159">
        <v>0</v>
      </c>
      <c r="R6159">
        <v>0.98573024567150602</v>
      </c>
      <c r="S6159" t="s">
        <v>12965</v>
      </c>
      <c r="T6159" t="s">
        <v>13610</v>
      </c>
      <c r="U6159" t="s">
        <v>13610</v>
      </c>
      <c r="V6159" t="s">
        <v>13610</v>
      </c>
      <c r="W6159" t="s">
        <v>19694</v>
      </c>
      <c r="X6159">
        <v>10</v>
      </c>
      <c r="Y6159" t="s">
        <v>26244</v>
      </c>
      <c r="Z6159" t="s">
        <v>33014</v>
      </c>
      <c r="AA6159">
        <v>0.53075393446809216</v>
      </c>
      <c r="AB6159" t="str">
        <f>HYPERLINK("Melting_Curves/meltCurve_Q9NXR7_BRE.pdf", "Melting_Curves/meltCurve_Q9NXR7_BRE.pdf")</f>
        <v>Melting_Curves/meltCurve_Q9NXR7_BRE.pdf</v>
      </c>
    </row>
    <row r="6160" spans="1:28" x14ac:dyDescent="0.25">
      <c r="A6160" t="s">
        <v>6164</v>
      </c>
      <c r="B6160">
        <v>0.995954080203443</v>
      </c>
      <c r="C6160">
        <v>0.91608451155726001</v>
      </c>
      <c r="D6160">
        <v>0.88075505113380803</v>
      </c>
      <c r="E6160">
        <v>0.75484231112163203</v>
      </c>
      <c r="F6160">
        <v>0.52963378020685103</v>
      </c>
      <c r="G6160">
        <v>0.31839559989838401</v>
      </c>
      <c r="H6160">
        <v>0.170509492132633</v>
      </c>
      <c r="I6160">
        <v>0.13208022313047901</v>
      </c>
      <c r="J6160">
        <v>0.114277691386256</v>
      </c>
      <c r="K6160">
        <v>9.9335738262556803E-2</v>
      </c>
      <c r="L6160">
        <v>735.32841502527106</v>
      </c>
      <c r="M6160">
        <v>13.8426694643129</v>
      </c>
      <c r="N6160">
        <v>53.572880972433403</v>
      </c>
      <c r="O6160">
        <v>52.048643228476102</v>
      </c>
      <c r="P6160">
        <v>-6.2829717659189793E-2</v>
      </c>
      <c r="Q6160">
        <v>5.51679789897071E-2</v>
      </c>
      <c r="R6160">
        <v>0.99600653950941698</v>
      </c>
      <c r="S6160" t="s">
        <v>12966</v>
      </c>
      <c r="T6160" t="s">
        <v>13610</v>
      </c>
      <c r="U6160" t="s">
        <v>13610</v>
      </c>
      <c r="V6160" t="s">
        <v>13610</v>
      </c>
      <c r="W6160" t="s">
        <v>19695</v>
      </c>
      <c r="X6160">
        <v>6</v>
      </c>
      <c r="Y6160" t="s">
        <v>26245</v>
      </c>
      <c r="Z6160" t="s">
        <v>33015</v>
      </c>
      <c r="AA6160">
        <v>0.49088489257313089</v>
      </c>
      <c r="AB6160" t="str">
        <f>HYPERLINK("Melting_Curves/meltCurve_Q9NXU5_ARL15.pdf", "Melting_Curves/meltCurve_Q9NXU5_ARL15.pdf")</f>
        <v>Melting_Curves/meltCurve_Q9NXU5_ARL15.pdf</v>
      </c>
    </row>
    <row r="6161" spans="1:28" x14ac:dyDescent="0.25">
      <c r="A6161" t="s">
        <v>6165</v>
      </c>
      <c r="B6161">
        <v>0.995954080203443</v>
      </c>
      <c r="C6161">
        <v>0.83194581560004499</v>
      </c>
      <c r="D6161">
        <v>0.72038064133974</v>
      </c>
      <c r="E6161">
        <v>0.66730980377215798</v>
      </c>
      <c r="F6161">
        <v>0.53571294617347998</v>
      </c>
      <c r="G6161">
        <v>0.36226019465346798</v>
      </c>
      <c r="H6161">
        <v>0.25426052623214102</v>
      </c>
      <c r="I6161">
        <v>0.23983909354004401</v>
      </c>
      <c r="J6161">
        <v>0.30373171438411001</v>
      </c>
      <c r="K6161">
        <v>0.27163200483053501</v>
      </c>
      <c r="L6161">
        <v>498.03190444088301</v>
      </c>
      <c r="M6161">
        <v>9.9005644742863801</v>
      </c>
      <c r="N6161">
        <v>52.932512456698298</v>
      </c>
      <c r="O6161">
        <v>48.380147186953202</v>
      </c>
      <c r="P6161">
        <v>-4.1244557727070003E-2</v>
      </c>
      <c r="Q6161">
        <v>0.19422374838536499</v>
      </c>
      <c r="R6161">
        <v>0.96803440255792605</v>
      </c>
      <c r="S6161" t="s">
        <v>12967</v>
      </c>
      <c r="T6161" t="s">
        <v>13610</v>
      </c>
      <c r="U6161" t="s">
        <v>13610</v>
      </c>
      <c r="V6161" t="s">
        <v>13610</v>
      </c>
      <c r="W6161" t="s">
        <v>19696</v>
      </c>
      <c r="X6161">
        <v>4</v>
      </c>
      <c r="Y6161" t="s">
        <v>26246</v>
      </c>
      <c r="Z6161" t="s">
        <v>33016</v>
      </c>
      <c r="AA6161">
        <v>0.50697406047217375</v>
      </c>
      <c r="AB6161" t="str">
        <f>HYPERLINK("Melting_Curves/meltCurve_Q9NXV2_KCTD5.pdf", "Melting_Curves/meltCurve_Q9NXV2_KCTD5.pdf")</f>
        <v>Melting_Curves/meltCurve_Q9NXV2_KCTD5.pdf</v>
      </c>
    </row>
    <row r="6162" spans="1:28" x14ac:dyDescent="0.25">
      <c r="A6162" t="s">
        <v>6166</v>
      </c>
      <c r="B6162">
        <v>0.995954080203443</v>
      </c>
      <c r="C6162">
        <v>1.02033922159552</v>
      </c>
      <c r="D6162">
        <v>1.0854154970807299</v>
      </c>
      <c r="E6162">
        <v>0.89971664224234305</v>
      </c>
      <c r="F6162">
        <v>0.77955643756715298</v>
      </c>
      <c r="G6162">
        <v>0.535225493060833</v>
      </c>
      <c r="H6162">
        <v>0.48451049999372597</v>
      </c>
      <c r="I6162">
        <v>0.55152333727582603</v>
      </c>
      <c r="J6162">
        <v>0.664636090803297</v>
      </c>
      <c r="K6162">
        <v>0.64264614638755302</v>
      </c>
      <c r="L6162">
        <v>1997.43597606456</v>
      </c>
      <c r="M6162">
        <v>38.064737672817998</v>
      </c>
      <c r="O6162">
        <v>52.330507705293797</v>
      </c>
      <c r="P6162">
        <v>-7.7364013612887E-2</v>
      </c>
      <c r="Q6162">
        <v>0.57456817502303104</v>
      </c>
      <c r="R6162">
        <v>0.91781000068277696</v>
      </c>
      <c r="S6162" t="s">
        <v>12968</v>
      </c>
      <c r="T6162" t="s">
        <v>13610</v>
      </c>
      <c r="U6162" t="s">
        <v>13610</v>
      </c>
      <c r="V6162" t="s">
        <v>13610</v>
      </c>
      <c r="W6162" t="s">
        <v>19697</v>
      </c>
      <c r="X6162">
        <v>17</v>
      </c>
      <c r="Y6162" t="s">
        <v>26247</v>
      </c>
      <c r="Z6162" t="s">
        <v>33017</v>
      </c>
      <c r="AA6162">
        <v>0.75317621591804496</v>
      </c>
      <c r="AB6162" t="str">
        <f>HYPERLINK("Melting_Curves/meltCurve_Q9NXV6_CDKN2AIP.pdf", "Melting_Curves/meltCurve_Q9NXV6_CDKN2AIP.pdf")</f>
        <v>Melting_Curves/meltCurve_Q9NXV6_CDKN2AIP.pdf</v>
      </c>
    </row>
    <row r="6163" spans="1:28" x14ac:dyDescent="0.25">
      <c r="A6163" t="s">
        <v>6167</v>
      </c>
      <c r="B6163">
        <v>0.995954080203443</v>
      </c>
      <c r="C6163">
        <v>0.87062356924361495</v>
      </c>
      <c r="D6163">
        <v>1.2379400598969099</v>
      </c>
      <c r="E6163">
        <v>0.87549236178482104</v>
      </c>
      <c r="F6163">
        <v>1.3360040630644201</v>
      </c>
      <c r="G6163">
        <v>1.09077179266832</v>
      </c>
      <c r="H6163">
        <v>0.82926458705350303</v>
      </c>
      <c r="I6163">
        <v>1.1487523924182901</v>
      </c>
      <c r="J6163">
        <v>1.28513432863956</v>
      </c>
      <c r="K6163">
        <v>1.1042823919359701</v>
      </c>
      <c r="L6163">
        <v>11101.4010109685</v>
      </c>
      <c r="M6163">
        <v>250</v>
      </c>
      <c r="O6163">
        <v>44.4027623916122</v>
      </c>
      <c r="P6163">
        <v>0.15970345620884899</v>
      </c>
      <c r="Q6163">
        <v>1.1134603937432701</v>
      </c>
      <c r="R6163">
        <v>0.14658375964751499</v>
      </c>
      <c r="S6163" t="s">
        <v>12969</v>
      </c>
      <c r="T6163" t="s">
        <v>13610</v>
      </c>
      <c r="U6163" t="s">
        <v>13610</v>
      </c>
      <c r="V6163" t="s">
        <v>13610</v>
      </c>
      <c r="W6163" t="s">
        <v>19698</v>
      </c>
      <c r="X6163">
        <v>3</v>
      </c>
      <c r="Y6163" t="s">
        <v>26248</v>
      </c>
      <c r="Z6163" t="s">
        <v>33018</v>
      </c>
      <c r="AA6163">
        <v>1.096789499328491</v>
      </c>
      <c r="AB6163" t="str">
        <f>HYPERLINK("Melting_Curves/meltCurve_Q9NXW2_DNAJB12.pdf", "Melting_Curves/meltCurve_Q9NXW2_DNAJB12.pdf")</f>
        <v>Melting_Curves/meltCurve_Q9NXW2_DNAJB12.pdf</v>
      </c>
    </row>
    <row r="6164" spans="1:28" x14ac:dyDescent="0.25">
      <c r="A6164" t="s">
        <v>6168</v>
      </c>
      <c r="B6164">
        <v>0.995954080203443</v>
      </c>
      <c r="C6164">
        <v>0.93186691929191301</v>
      </c>
      <c r="D6164">
        <v>0.78375472462303397</v>
      </c>
      <c r="E6164">
        <v>0.39723260559561502</v>
      </c>
      <c r="F6164">
        <v>0.18204764965997999</v>
      </c>
      <c r="G6164">
        <v>0.103806264704392</v>
      </c>
      <c r="H6164">
        <v>5.2305326453055398E-2</v>
      </c>
      <c r="I6164">
        <v>4.5733473990241399E-2</v>
      </c>
      <c r="J6164">
        <v>5.1705034771707598E-2</v>
      </c>
      <c r="K6164">
        <v>4.4225691644014603E-2</v>
      </c>
      <c r="L6164">
        <v>1005.57419886585</v>
      </c>
      <c r="M6164">
        <v>20.658339404313701</v>
      </c>
      <c r="N6164">
        <v>48.893336021352297</v>
      </c>
      <c r="O6164">
        <v>48.227206168829198</v>
      </c>
      <c r="P6164">
        <v>-0.10240254341476</v>
      </c>
      <c r="Q6164">
        <v>4.37864273808398E-2</v>
      </c>
      <c r="R6164">
        <v>0.99951788185544699</v>
      </c>
      <c r="S6164" t="s">
        <v>12970</v>
      </c>
      <c r="T6164" t="s">
        <v>13610</v>
      </c>
      <c r="U6164" t="s">
        <v>13610</v>
      </c>
      <c r="V6164" t="s">
        <v>13610</v>
      </c>
      <c r="W6164" t="s">
        <v>19699</v>
      </c>
      <c r="X6164">
        <v>14</v>
      </c>
      <c r="Y6164" t="s">
        <v>26249</v>
      </c>
      <c r="Z6164" t="s">
        <v>33019</v>
      </c>
      <c r="AA6164">
        <v>0.3329088701170545</v>
      </c>
      <c r="AB6164" t="str">
        <f>HYPERLINK("Melting_Curves/meltCurve_Q9NXW9_ALKBH4.pdf", "Melting_Curves/meltCurve_Q9NXW9_ALKBH4.pdf")</f>
        <v>Melting_Curves/meltCurve_Q9NXW9_ALKBH4.pdf</v>
      </c>
    </row>
    <row r="6165" spans="1:28" x14ac:dyDescent="0.25">
      <c r="A6165" t="s">
        <v>6169</v>
      </c>
      <c r="B6165">
        <v>0.995954080203443</v>
      </c>
      <c r="C6165">
        <v>0.66759507378137894</v>
      </c>
      <c r="D6165">
        <v>0.78424375680790903</v>
      </c>
      <c r="E6165">
        <v>0.57227328369296204</v>
      </c>
      <c r="F6165">
        <v>0.35402202533946397</v>
      </c>
      <c r="G6165">
        <v>0.25299339523018499</v>
      </c>
      <c r="H6165">
        <v>0.28975562440807301</v>
      </c>
      <c r="I6165">
        <v>0.30493792423393701</v>
      </c>
      <c r="J6165">
        <v>0.372754317039864</v>
      </c>
      <c r="K6165">
        <v>0.33432345571079303</v>
      </c>
      <c r="L6165">
        <v>609.07454854855996</v>
      </c>
      <c r="M6165">
        <v>13.0207025453194</v>
      </c>
      <c r="N6165">
        <v>50.061743462816601</v>
      </c>
      <c r="O6165">
        <v>45.715266275549602</v>
      </c>
      <c r="P6165">
        <v>-5.0764450140446997E-2</v>
      </c>
      <c r="Q6165">
        <v>0.28719558151052499</v>
      </c>
      <c r="R6165">
        <v>0.88152887773426902</v>
      </c>
      <c r="S6165" t="s">
        <v>12971</v>
      </c>
      <c r="T6165" t="s">
        <v>13610</v>
      </c>
      <c r="U6165" t="s">
        <v>13610</v>
      </c>
      <c r="V6165" t="s">
        <v>13610</v>
      </c>
      <c r="W6165" t="s">
        <v>19700</v>
      </c>
      <c r="X6165">
        <v>4</v>
      </c>
      <c r="Y6165" t="s">
        <v>26250</v>
      </c>
      <c r="Z6165" t="s">
        <v>33020</v>
      </c>
      <c r="AA6165">
        <v>0.4743180670192898</v>
      </c>
      <c r="AB6165" t="str">
        <f>HYPERLINK("Melting_Curves/meltCurve_Q9NXX6_NSMCE4A.pdf", "Melting_Curves/meltCurve_Q9NXX6_NSMCE4A.pdf")</f>
        <v>Melting_Curves/meltCurve_Q9NXX6_NSMCE4A.pdf</v>
      </c>
    </row>
    <row r="6166" spans="1:28" x14ac:dyDescent="0.25">
      <c r="A6166" t="s">
        <v>6170</v>
      </c>
      <c r="B6166">
        <v>0.995954080203443</v>
      </c>
      <c r="C6166">
        <v>0.87243243047476604</v>
      </c>
      <c r="D6166">
        <v>0.85290004505350503</v>
      </c>
      <c r="E6166">
        <v>0.747730426144672</v>
      </c>
      <c r="F6166">
        <v>0.64362175534423804</v>
      </c>
      <c r="G6166">
        <v>0.50277582588080905</v>
      </c>
      <c r="H6166">
        <v>0.45448137816825201</v>
      </c>
      <c r="I6166">
        <v>0.52165930802512395</v>
      </c>
      <c r="J6166">
        <v>0.64413202781045098</v>
      </c>
      <c r="K6166">
        <v>0.646402351438083</v>
      </c>
      <c r="L6166">
        <v>752.20241749583602</v>
      </c>
      <c r="M6166">
        <v>15.7398815053056</v>
      </c>
      <c r="O6166">
        <v>47.0381251973809</v>
      </c>
      <c r="P6166">
        <v>-3.7588639724861102E-2</v>
      </c>
      <c r="Q6166">
        <v>0.55070782058819001</v>
      </c>
      <c r="R6166">
        <v>0.84588067826679103</v>
      </c>
      <c r="S6166" t="s">
        <v>12972</v>
      </c>
      <c r="T6166" t="s">
        <v>13610</v>
      </c>
      <c r="U6166" t="s">
        <v>13610</v>
      </c>
      <c r="V6166" t="s">
        <v>13610</v>
      </c>
      <c r="W6166" t="s">
        <v>19701</v>
      </c>
      <c r="X6166">
        <v>8</v>
      </c>
      <c r="Y6166" t="s">
        <v>26251</v>
      </c>
      <c r="Z6166" t="s">
        <v>33021</v>
      </c>
      <c r="AA6166">
        <v>0.67796781749206814</v>
      </c>
      <c r="AB6166" t="str">
        <f>HYPERLINK("Melting_Curves/meltCurve_Q9NXZ1_SAGE1.pdf", "Melting_Curves/meltCurve_Q9NXZ1_SAGE1.pdf")</f>
        <v>Melting_Curves/meltCurve_Q9NXZ1_SAGE1.pdf</v>
      </c>
    </row>
    <row r="6167" spans="1:28" x14ac:dyDescent="0.25">
      <c r="A6167" t="s">
        <v>6171</v>
      </c>
      <c r="B6167">
        <v>0.995954080203443</v>
      </c>
      <c r="C6167">
        <v>0.81637357391785803</v>
      </c>
      <c r="D6167">
        <v>0.66431110146553296</v>
      </c>
      <c r="E6167">
        <v>0.84972657882040104</v>
      </c>
      <c r="F6167">
        <v>0.60998136292147598</v>
      </c>
      <c r="G6167">
        <v>0.44556479374777502</v>
      </c>
      <c r="H6167">
        <v>0.217444294493709</v>
      </c>
      <c r="I6167">
        <v>0.123387496435977</v>
      </c>
      <c r="J6167">
        <v>9.0679174953088498E-2</v>
      </c>
      <c r="K6167">
        <v>8.4484549152762295E-2</v>
      </c>
      <c r="L6167">
        <v>533.42576004573004</v>
      </c>
      <c r="M6167">
        <v>9.8033191112294205</v>
      </c>
      <c r="N6167">
        <v>54.412771134223597</v>
      </c>
      <c r="O6167">
        <v>52.293582262906</v>
      </c>
      <c r="P6167">
        <v>-4.6891333072578797E-2</v>
      </c>
      <c r="Q6167">
        <v>0</v>
      </c>
      <c r="R6167">
        <v>0.91986448919908304</v>
      </c>
      <c r="S6167" t="s">
        <v>12973</v>
      </c>
      <c r="T6167" t="s">
        <v>13610</v>
      </c>
      <c r="U6167" t="s">
        <v>13610</v>
      </c>
      <c r="V6167" t="s">
        <v>13610</v>
      </c>
      <c r="W6167" t="s">
        <v>19702</v>
      </c>
      <c r="X6167">
        <v>7</v>
      </c>
      <c r="Y6167" t="s">
        <v>26252</v>
      </c>
      <c r="Z6167" t="s">
        <v>33022</v>
      </c>
      <c r="AA6167">
        <v>0.50920772404737957</v>
      </c>
      <c r="AB6167" t="str">
        <f>HYPERLINK("Melting_Curves/meltCurve_Q9NY12_2_GAR1.pdf", "Melting_Curves/meltCurve_Q9NY12_2_GAR1.pdf")</f>
        <v>Melting_Curves/meltCurve_Q9NY12_2_GAR1.pdf</v>
      </c>
    </row>
    <row r="6168" spans="1:28" x14ac:dyDescent="0.25">
      <c r="A6168" t="s">
        <v>6172</v>
      </c>
      <c r="B6168">
        <v>0.995954080203443</v>
      </c>
      <c r="C6168">
        <v>0.97091504952450303</v>
      </c>
      <c r="D6168">
        <v>0.86754292737934302</v>
      </c>
      <c r="E6168">
        <v>0.707291237700441</v>
      </c>
      <c r="F6168">
        <v>0.49629801264982398</v>
      </c>
      <c r="G6168">
        <v>0.329454250838014</v>
      </c>
      <c r="H6168">
        <v>0.28278697407626102</v>
      </c>
      <c r="I6168">
        <v>0.36734597887165599</v>
      </c>
      <c r="J6168">
        <v>0.41811098999172502</v>
      </c>
      <c r="K6168">
        <v>0.400593110825333</v>
      </c>
      <c r="L6168">
        <v>1110.6194704106999</v>
      </c>
      <c r="M6168">
        <v>22.250760117010699</v>
      </c>
      <c r="N6168">
        <v>52.808086044811098</v>
      </c>
      <c r="O6168">
        <v>49.515858763985797</v>
      </c>
      <c r="P6168">
        <v>-7.2763633442363598E-2</v>
      </c>
      <c r="Q6168">
        <v>0.35231392077438201</v>
      </c>
      <c r="R6168">
        <v>0.97016321592975596</v>
      </c>
      <c r="S6168" t="s">
        <v>12974</v>
      </c>
      <c r="T6168" t="s">
        <v>13610</v>
      </c>
      <c r="U6168" t="s">
        <v>13610</v>
      </c>
      <c r="V6168" t="s">
        <v>13610</v>
      </c>
      <c r="W6168" t="s">
        <v>19703</v>
      </c>
      <c r="X6168">
        <v>26</v>
      </c>
      <c r="Y6168" t="s">
        <v>26253</v>
      </c>
      <c r="Z6168" t="s">
        <v>33023</v>
      </c>
      <c r="AA6168">
        <v>0.57365338012779765</v>
      </c>
      <c r="AB6168" t="str">
        <f>HYPERLINK("Melting_Curves/meltCurve_Q9NY27_PPP4R2.pdf", "Melting_Curves/meltCurve_Q9NY27_PPP4R2.pdf")</f>
        <v>Melting_Curves/meltCurve_Q9NY27_PPP4R2.pdf</v>
      </c>
    </row>
    <row r="6169" spans="1:28" x14ac:dyDescent="0.25">
      <c r="A6169" t="s">
        <v>6173</v>
      </c>
      <c r="B6169">
        <v>0.995954080203443</v>
      </c>
      <c r="C6169">
        <v>0.95071891702409395</v>
      </c>
      <c r="D6169">
        <v>0.96657170101057599</v>
      </c>
      <c r="E6169">
        <v>0.78441974701933503</v>
      </c>
      <c r="F6169">
        <v>0.28034293664683901</v>
      </c>
      <c r="G6169">
        <v>8.4143676591716204E-2</v>
      </c>
      <c r="H6169">
        <v>5.1809378762343698E-2</v>
      </c>
      <c r="I6169">
        <v>4.4403026214911101E-2</v>
      </c>
      <c r="J6169">
        <v>4.95805329416256E-2</v>
      </c>
      <c r="K6169">
        <v>4.2652692507831602E-2</v>
      </c>
      <c r="L6169">
        <v>2030.12201596717</v>
      </c>
      <c r="M6169">
        <v>39.407962515897502</v>
      </c>
      <c r="N6169">
        <v>51.650998473083398</v>
      </c>
      <c r="O6169">
        <v>51.383407701874397</v>
      </c>
      <c r="P6169">
        <v>-0.18232042897752701</v>
      </c>
      <c r="Q6169">
        <v>4.9103404051225097E-2</v>
      </c>
      <c r="R6169">
        <v>0.99805749013103195</v>
      </c>
      <c r="S6169" t="s">
        <v>12975</v>
      </c>
      <c r="T6169" t="s">
        <v>13610</v>
      </c>
      <c r="U6169" t="s">
        <v>13610</v>
      </c>
      <c r="V6169" t="s">
        <v>13610</v>
      </c>
      <c r="W6169" t="s">
        <v>19704</v>
      </c>
      <c r="X6169">
        <v>29</v>
      </c>
      <c r="Y6169" t="s">
        <v>26254</v>
      </c>
      <c r="Z6169" t="s">
        <v>33024</v>
      </c>
      <c r="AA6169">
        <v>0.41759425774833708</v>
      </c>
      <c r="AB6169" t="str">
        <f>HYPERLINK("Melting_Curves/meltCurve_Q9NY33_DPP3.pdf", "Melting_Curves/meltCurve_Q9NY33_DPP3.pdf")</f>
        <v>Melting_Curves/meltCurve_Q9NY33_DPP3.pdf</v>
      </c>
    </row>
    <row r="6170" spans="1:28" x14ac:dyDescent="0.25">
      <c r="A6170" t="s">
        <v>6174</v>
      </c>
      <c r="B6170">
        <v>0.995954080203443</v>
      </c>
      <c r="C6170">
        <v>0.93127784309393102</v>
      </c>
      <c r="D6170">
        <v>0.76946947759510498</v>
      </c>
      <c r="E6170">
        <v>0.57067590731201101</v>
      </c>
      <c r="F6170">
        <v>0.47470472836954802</v>
      </c>
      <c r="G6170">
        <v>0.31378895297207499</v>
      </c>
      <c r="H6170">
        <v>0.26324392550862602</v>
      </c>
      <c r="I6170">
        <v>0.29435486053925602</v>
      </c>
      <c r="J6170">
        <v>0.33982100275992899</v>
      </c>
      <c r="K6170">
        <v>0.32741441819638101</v>
      </c>
      <c r="L6170">
        <v>786.93372576659704</v>
      </c>
      <c r="M6170">
        <v>16.2190948265002</v>
      </c>
      <c r="N6170">
        <v>51.304424248732403</v>
      </c>
      <c r="O6170">
        <v>47.799390144987299</v>
      </c>
      <c r="P6170">
        <v>-6.0001592175897699E-2</v>
      </c>
      <c r="Q6170">
        <v>0.292728710175226</v>
      </c>
      <c r="R6170">
        <v>0.98640230554573505</v>
      </c>
      <c r="S6170" t="s">
        <v>12976</v>
      </c>
      <c r="T6170" t="s">
        <v>13610</v>
      </c>
      <c r="U6170" t="s">
        <v>13610</v>
      </c>
      <c r="V6170" t="s">
        <v>13610</v>
      </c>
      <c r="W6170" t="s">
        <v>19705</v>
      </c>
      <c r="X6170">
        <v>12</v>
      </c>
      <c r="Y6170" t="s">
        <v>26255</v>
      </c>
      <c r="Z6170" t="s">
        <v>33025</v>
      </c>
      <c r="AA6170">
        <v>0.50883385564594874</v>
      </c>
      <c r="AB6170" t="str">
        <f>HYPERLINK("Melting_Curves/meltCurve_Q9NY61_AATF.pdf", "Melting_Curves/meltCurve_Q9NY61_AATF.pdf")</f>
        <v>Melting_Curves/meltCurve_Q9NY61_AATF.pdf</v>
      </c>
    </row>
    <row r="6171" spans="1:28" x14ac:dyDescent="0.25">
      <c r="A6171" t="s">
        <v>6175</v>
      </c>
      <c r="B6171">
        <v>0.995954080203443</v>
      </c>
      <c r="C6171">
        <v>1.0015367979104399</v>
      </c>
      <c r="D6171">
        <v>0.97356322451923505</v>
      </c>
      <c r="E6171">
        <v>0.66751246614729598</v>
      </c>
      <c r="F6171">
        <v>0.21330924868673701</v>
      </c>
      <c r="G6171">
        <v>0.122602185904581</v>
      </c>
      <c r="H6171">
        <v>8.3534986875838393E-2</v>
      </c>
      <c r="I6171">
        <v>8.1744030328005396E-2</v>
      </c>
      <c r="J6171">
        <v>9.1500630990380402E-2</v>
      </c>
      <c r="K6171">
        <v>8.5564598115906401E-2</v>
      </c>
      <c r="L6171">
        <v>2058.60803750675</v>
      </c>
      <c r="M6171">
        <v>40.634673756849601</v>
      </c>
      <c r="N6171">
        <v>50.909504957736097</v>
      </c>
      <c r="O6171">
        <v>50.539127253806399</v>
      </c>
      <c r="P6171">
        <v>-0.18294828424173801</v>
      </c>
      <c r="Q6171">
        <v>8.9838471885709897E-2</v>
      </c>
      <c r="R6171">
        <v>0.99945451192381596</v>
      </c>
      <c r="S6171" t="s">
        <v>12977</v>
      </c>
      <c r="T6171" t="s">
        <v>13610</v>
      </c>
      <c r="U6171" t="s">
        <v>13610</v>
      </c>
      <c r="V6171" t="s">
        <v>13610</v>
      </c>
      <c r="W6171" t="s">
        <v>19706</v>
      </c>
      <c r="X6171">
        <v>17</v>
      </c>
      <c r="Y6171" t="s">
        <v>26256</v>
      </c>
      <c r="Z6171" t="s">
        <v>33026</v>
      </c>
      <c r="AA6171">
        <v>0.41637853557290699</v>
      </c>
      <c r="AB6171" t="str">
        <f>HYPERLINK("Melting_Curves/meltCurve_Q9NY93_DDX56.pdf", "Melting_Curves/meltCurve_Q9NY93_DDX56.pdf")</f>
        <v>Melting_Curves/meltCurve_Q9NY93_DDX56.pdf</v>
      </c>
    </row>
    <row r="6172" spans="1:28" x14ac:dyDescent="0.25">
      <c r="A6172" t="s">
        <v>6176</v>
      </c>
      <c r="B6172">
        <v>0.995954080203443</v>
      </c>
      <c r="C6172">
        <v>0.95032570047767495</v>
      </c>
      <c r="D6172">
        <v>1.01144839010108</v>
      </c>
      <c r="E6172">
        <v>0.86170712560433704</v>
      </c>
      <c r="F6172">
        <v>0.84856258311294397</v>
      </c>
      <c r="G6172">
        <v>0.52907552614430098</v>
      </c>
      <c r="H6172">
        <v>0.43537576935634098</v>
      </c>
      <c r="I6172">
        <v>0.50041671918390995</v>
      </c>
      <c r="J6172">
        <v>0.63700493539480296</v>
      </c>
      <c r="K6172">
        <v>0.60736297625178404</v>
      </c>
      <c r="L6172">
        <v>1895.5770759729201</v>
      </c>
      <c r="M6172">
        <v>35.528050336138399</v>
      </c>
      <c r="O6172">
        <v>53.1861958080218</v>
      </c>
      <c r="P6172">
        <v>-7.7491806159233206E-2</v>
      </c>
      <c r="Q6172">
        <v>0.535974520526735</v>
      </c>
      <c r="R6172">
        <v>0.89461131104910796</v>
      </c>
      <c r="S6172" t="s">
        <v>12978</v>
      </c>
      <c r="T6172" t="s">
        <v>13610</v>
      </c>
      <c r="U6172" t="s">
        <v>13610</v>
      </c>
      <c r="V6172" t="s">
        <v>13610</v>
      </c>
      <c r="W6172" t="s">
        <v>19707</v>
      </c>
      <c r="X6172">
        <v>19</v>
      </c>
      <c r="Y6172" t="s">
        <v>26257</v>
      </c>
      <c r="Z6172" t="s">
        <v>33027</v>
      </c>
      <c r="AA6172">
        <v>0.74469949128106638</v>
      </c>
      <c r="AB6172" t="str">
        <f>HYPERLINK("Melting_Curves/meltCurve_Q9NYB0_TERF2IP.pdf", "Melting_Curves/meltCurve_Q9NYB0_TERF2IP.pdf")</f>
        <v>Melting_Curves/meltCurve_Q9NYB0_TERF2IP.pdf</v>
      </c>
    </row>
    <row r="6173" spans="1:28" x14ac:dyDescent="0.25">
      <c r="A6173" t="s">
        <v>6177</v>
      </c>
      <c r="B6173">
        <v>0.995954080203443</v>
      </c>
      <c r="C6173">
        <v>0.94785715200869802</v>
      </c>
      <c r="D6173">
        <v>0.98678209044518495</v>
      </c>
      <c r="E6173">
        <v>0.90176467561345797</v>
      </c>
      <c r="F6173">
        <v>0.87595159644019704</v>
      </c>
      <c r="G6173">
        <v>0.67879432559492703</v>
      </c>
      <c r="H6173">
        <v>0.66722866233124101</v>
      </c>
      <c r="I6173">
        <v>0.79021879731488298</v>
      </c>
      <c r="J6173">
        <v>1.05045303725307</v>
      </c>
      <c r="K6173">
        <v>0.89886189290423602</v>
      </c>
      <c r="L6173">
        <v>1786.81343962907</v>
      </c>
      <c r="M6173">
        <v>35.8519158552566</v>
      </c>
      <c r="O6173">
        <v>49.684419039728198</v>
      </c>
      <c r="P6173">
        <v>-3.1992035703804503E-2</v>
      </c>
      <c r="Q6173">
        <v>0.82265933990764495</v>
      </c>
      <c r="R6173">
        <v>0.29384094404870598</v>
      </c>
      <c r="S6173" t="s">
        <v>12979</v>
      </c>
      <c r="T6173" t="s">
        <v>13610</v>
      </c>
      <c r="U6173" t="s">
        <v>13610</v>
      </c>
      <c r="V6173" t="s">
        <v>13610</v>
      </c>
      <c r="W6173" t="s">
        <v>19708</v>
      </c>
      <c r="X6173">
        <v>53</v>
      </c>
      <c r="Y6173" t="s">
        <v>26258</v>
      </c>
      <c r="Z6173" t="s">
        <v>33028</v>
      </c>
      <c r="AA6173">
        <v>0.88158203116979095</v>
      </c>
      <c r="AB6173" t="str">
        <f>HYPERLINK("Melting_Curves/meltCurve_Q9NYF8_2_BCLAF1.pdf", "Melting_Curves/meltCurve_Q9NYF8_2_BCLAF1.pdf")</f>
        <v>Melting_Curves/meltCurve_Q9NYF8_2_BCLAF1.pdf</v>
      </c>
    </row>
    <row r="6174" spans="1:28" x14ac:dyDescent="0.25">
      <c r="A6174" t="s">
        <v>6178</v>
      </c>
      <c r="B6174">
        <v>0.995954080203443</v>
      </c>
      <c r="C6174">
        <v>0.51772347125576001</v>
      </c>
      <c r="D6174">
        <v>0.4154973189824</v>
      </c>
      <c r="E6174">
        <v>0.40484263020335298</v>
      </c>
      <c r="F6174">
        <v>0.28527964090063201</v>
      </c>
      <c r="G6174">
        <v>0.15767326735732801</v>
      </c>
      <c r="H6174">
        <v>0.107476153933338</v>
      </c>
      <c r="I6174">
        <v>0.11848833034032701</v>
      </c>
      <c r="J6174">
        <v>0.111465704962228</v>
      </c>
      <c r="K6174">
        <v>0.12263203775185599</v>
      </c>
      <c r="L6174">
        <v>542.36638597400895</v>
      </c>
      <c r="M6174">
        <v>12.156400468281101</v>
      </c>
      <c r="N6174">
        <v>45.564838022060798</v>
      </c>
      <c r="O6174">
        <v>43.459867005496598</v>
      </c>
      <c r="P6174">
        <v>-6.2121420936845799E-2</v>
      </c>
      <c r="Q6174">
        <v>0.111852370579669</v>
      </c>
      <c r="R6174">
        <v>0.90087239148313203</v>
      </c>
      <c r="S6174" t="s">
        <v>12980</v>
      </c>
      <c r="T6174" t="s">
        <v>13610</v>
      </c>
      <c r="U6174" t="s">
        <v>13610</v>
      </c>
      <c r="V6174" t="s">
        <v>13610</v>
      </c>
      <c r="W6174" t="s">
        <v>19709</v>
      </c>
      <c r="X6174">
        <v>2</v>
      </c>
      <c r="Y6174" t="s">
        <v>26259</v>
      </c>
      <c r="Z6174" t="s">
        <v>33029</v>
      </c>
      <c r="AA6174">
        <v>0.29356182360249877</v>
      </c>
      <c r="AB6174" t="str">
        <f>HYPERLINK("Melting_Curves/meltCurve_Q9NYH9_UTP6.pdf", "Melting_Curves/meltCurve_Q9NYH9_UTP6.pdf")</f>
        <v>Melting_Curves/meltCurve_Q9NYH9_UTP6.pdf</v>
      </c>
    </row>
    <row r="6175" spans="1:28" x14ac:dyDescent="0.25">
      <c r="A6175" t="s">
        <v>6179</v>
      </c>
      <c r="B6175">
        <v>0.995954080203443</v>
      </c>
      <c r="C6175">
        <v>0.92947162625843704</v>
      </c>
      <c r="D6175">
        <v>0.95423078067601896</v>
      </c>
      <c r="E6175">
        <v>0.80735665400145196</v>
      </c>
      <c r="F6175">
        <v>0.80266449680815999</v>
      </c>
      <c r="G6175">
        <v>0.56911648859330499</v>
      </c>
      <c r="H6175">
        <v>0.55946851394127906</v>
      </c>
      <c r="I6175">
        <v>0.62097030929425701</v>
      </c>
      <c r="J6175">
        <v>0.91153991564034498</v>
      </c>
      <c r="K6175">
        <v>0.71893553822450795</v>
      </c>
      <c r="L6175">
        <v>1167.3608389675701</v>
      </c>
      <c r="M6175">
        <v>23.6847845422371</v>
      </c>
      <c r="O6175">
        <v>48.9400548803372</v>
      </c>
      <c r="P6175">
        <v>-3.8243971413217198E-2</v>
      </c>
      <c r="Q6175">
        <v>0.68391003398250305</v>
      </c>
      <c r="R6175">
        <v>0.59136427598644603</v>
      </c>
      <c r="S6175" t="s">
        <v>12981</v>
      </c>
      <c r="T6175" t="s">
        <v>13610</v>
      </c>
      <c r="U6175" t="s">
        <v>13610</v>
      </c>
      <c r="V6175" t="s">
        <v>13610</v>
      </c>
      <c r="W6175" t="s">
        <v>19710</v>
      </c>
      <c r="X6175">
        <v>7</v>
      </c>
      <c r="Y6175" t="s">
        <v>26260</v>
      </c>
      <c r="Z6175" t="s">
        <v>33030</v>
      </c>
      <c r="AA6175">
        <v>0.78489945635104474</v>
      </c>
      <c r="AB6175" t="str">
        <f>HYPERLINK("Melting_Curves/meltCurve_Q9NYJ1_COA4.pdf", "Melting_Curves/meltCurve_Q9NYJ1_COA4.pdf")</f>
        <v>Melting_Curves/meltCurve_Q9NYJ1_COA4.pdf</v>
      </c>
    </row>
    <row r="6176" spans="1:28" x14ac:dyDescent="0.25">
      <c r="A6176" t="s">
        <v>6180</v>
      </c>
      <c r="B6176">
        <v>0.995954080203443</v>
      </c>
      <c r="C6176">
        <v>1.0067207388094199</v>
      </c>
      <c r="D6176">
        <v>0.92145913960965997</v>
      </c>
      <c r="E6176">
        <v>0.82721254040778702</v>
      </c>
      <c r="F6176">
        <v>0.70911220878275905</v>
      </c>
      <c r="G6176">
        <v>0.39298644431090202</v>
      </c>
      <c r="H6176">
        <v>0.27605846546188501</v>
      </c>
      <c r="I6176">
        <v>0.27898484779492899</v>
      </c>
      <c r="J6176">
        <v>0.32480381782961698</v>
      </c>
      <c r="K6176">
        <v>0.31211324856107298</v>
      </c>
      <c r="L6176">
        <v>1165.37019536139</v>
      </c>
      <c r="M6176">
        <v>21.890754920381202</v>
      </c>
      <c r="N6176">
        <v>55.310569268669497</v>
      </c>
      <c r="O6176">
        <v>52.797442961698501</v>
      </c>
      <c r="P6176">
        <v>-7.4628350592621906E-2</v>
      </c>
      <c r="Q6176">
        <v>0.28004377675279601</v>
      </c>
      <c r="R6176">
        <v>0.98643953086875502</v>
      </c>
      <c r="S6176" t="s">
        <v>12982</v>
      </c>
      <c r="T6176" t="s">
        <v>13610</v>
      </c>
      <c r="U6176" t="s">
        <v>13610</v>
      </c>
      <c r="V6176" t="s">
        <v>13610</v>
      </c>
      <c r="W6176" t="s">
        <v>19711</v>
      </c>
      <c r="X6176">
        <v>14</v>
      </c>
      <c r="Y6176" t="s">
        <v>26261</v>
      </c>
      <c r="Z6176" t="s">
        <v>33031</v>
      </c>
      <c r="AA6176">
        <v>0.60613495330268352</v>
      </c>
      <c r="AB6176" t="str">
        <f>HYPERLINK("Melting_Curves/meltCurve_Q9NYJ8_TAB2.pdf", "Melting_Curves/meltCurve_Q9NYJ8_TAB2.pdf")</f>
        <v>Melting_Curves/meltCurve_Q9NYJ8_TAB2.pdf</v>
      </c>
    </row>
    <row r="6177" spans="1:28" x14ac:dyDescent="0.25">
      <c r="A6177" t="s">
        <v>6181</v>
      </c>
      <c r="B6177">
        <v>0.995954080203443</v>
      </c>
      <c r="C6177">
        <v>0.95798443376314202</v>
      </c>
      <c r="D6177">
        <v>0.90698457344065098</v>
      </c>
      <c r="E6177">
        <v>0.76872431301466704</v>
      </c>
      <c r="F6177">
        <v>0.62927798870486495</v>
      </c>
      <c r="G6177">
        <v>0.46872305426870597</v>
      </c>
      <c r="H6177">
        <v>0.40208620653114202</v>
      </c>
      <c r="I6177">
        <v>0.49540920503678598</v>
      </c>
      <c r="J6177">
        <v>0.56760778213435403</v>
      </c>
      <c r="K6177">
        <v>0.53239519236382704</v>
      </c>
      <c r="L6177">
        <v>1101.0738737699201</v>
      </c>
      <c r="M6177">
        <v>21.975195389432201</v>
      </c>
      <c r="N6177">
        <v>60.480658195764299</v>
      </c>
      <c r="O6177">
        <v>49.695916294017103</v>
      </c>
      <c r="P6177">
        <v>-5.65498453332791E-2</v>
      </c>
      <c r="Q6177">
        <v>0.48847173836722202</v>
      </c>
      <c r="R6177">
        <v>0.94746932447899801</v>
      </c>
      <c r="S6177" t="s">
        <v>12983</v>
      </c>
      <c r="T6177" t="s">
        <v>13610</v>
      </c>
      <c r="U6177" t="s">
        <v>13610</v>
      </c>
      <c r="V6177" t="s">
        <v>13610</v>
      </c>
      <c r="W6177" t="s">
        <v>19712</v>
      </c>
      <c r="X6177">
        <v>1</v>
      </c>
      <c r="Y6177" t="s">
        <v>26262</v>
      </c>
      <c r="Z6177" t="s">
        <v>33032</v>
      </c>
      <c r="AA6177">
        <v>0.66669490706494139</v>
      </c>
      <c r="AB6177" t="str">
        <f>HYPERLINK("Melting_Curves/meltCurve_Q9NYK6_3_EURL.pdf", "Melting_Curves/meltCurve_Q9NYK6_3_EURL.pdf")</f>
        <v>Melting_Curves/meltCurve_Q9NYK6_3_EURL.pdf</v>
      </c>
    </row>
    <row r="6178" spans="1:28" x14ac:dyDescent="0.25">
      <c r="A6178" t="s">
        <v>6182</v>
      </c>
      <c r="B6178">
        <v>0.995954080203443</v>
      </c>
      <c r="C6178">
        <v>0.97312726939535599</v>
      </c>
      <c r="D6178">
        <v>0.90394512839290397</v>
      </c>
      <c r="E6178">
        <v>0.77440959401888398</v>
      </c>
      <c r="F6178">
        <v>0.49381963580355298</v>
      </c>
      <c r="G6178">
        <v>0.220357321419476</v>
      </c>
      <c r="H6178">
        <v>0.15418082286269399</v>
      </c>
      <c r="I6178">
        <v>0.161416509019983</v>
      </c>
      <c r="J6178">
        <v>0.20822630534105199</v>
      </c>
      <c r="K6178">
        <v>0.18743965354911499</v>
      </c>
      <c r="L6178">
        <v>1269.68757455743</v>
      </c>
      <c r="M6178">
        <v>24.468046114782901</v>
      </c>
      <c r="N6178">
        <v>52.758710947445898</v>
      </c>
      <c r="O6178">
        <v>51.548781455737299</v>
      </c>
      <c r="P6178">
        <v>-9.9021345404622402E-2</v>
      </c>
      <c r="Q6178">
        <v>0.16554779373232101</v>
      </c>
      <c r="R6178">
        <v>0.99283969996056698</v>
      </c>
      <c r="S6178" t="s">
        <v>12984</v>
      </c>
      <c r="T6178" t="s">
        <v>13610</v>
      </c>
      <c r="U6178" t="s">
        <v>13610</v>
      </c>
      <c r="V6178" t="s">
        <v>13610</v>
      </c>
      <c r="W6178" t="s">
        <v>19713</v>
      </c>
      <c r="X6178">
        <v>16</v>
      </c>
      <c r="Y6178" t="s">
        <v>26263</v>
      </c>
      <c r="Z6178" t="s">
        <v>33033</v>
      </c>
      <c r="AA6178">
        <v>0.50424648931173899</v>
      </c>
      <c r="AB6178" t="str">
        <f>HYPERLINK("Melting_Curves/meltCurve_Q9NYL2_MLTK.pdf", "Melting_Curves/meltCurve_Q9NYL2_MLTK.pdf")</f>
        <v>Melting_Curves/meltCurve_Q9NYL2_MLTK.pdf</v>
      </c>
    </row>
    <row r="6179" spans="1:28" x14ac:dyDescent="0.25">
      <c r="A6179" t="s">
        <v>6183</v>
      </c>
      <c r="B6179">
        <v>0.995954080203443</v>
      </c>
      <c r="C6179">
        <v>0.99693696140158305</v>
      </c>
      <c r="D6179">
        <v>0.97054958737749997</v>
      </c>
      <c r="E6179">
        <v>0.84793623137827101</v>
      </c>
      <c r="F6179">
        <v>0.63497729566689598</v>
      </c>
      <c r="G6179">
        <v>0.31432646505254502</v>
      </c>
      <c r="H6179">
        <v>0.13138001264023699</v>
      </c>
      <c r="I6179">
        <v>0.11264020708971299</v>
      </c>
      <c r="J6179">
        <v>0.136724698726436</v>
      </c>
      <c r="K6179">
        <v>0.127368332507243</v>
      </c>
      <c r="L6179">
        <v>1203.0720983922299</v>
      </c>
      <c r="M6179">
        <v>22.367633639174901</v>
      </c>
      <c r="N6179">
        <v>54.361095488036703</v>
      </c>
      <c r="O6179">
        <v>53.361914529609599</v>
      </c>
      <c r="P6179">
        <v>-9.3758177440494597E-2</v>
      </c>
      <c r="Q6179">
        <v>0.105312386372369</v>
      </c>
      <c r="R6179">
        <v>0.99818748403828295</v>
      </c>
      <c r="S6179" t="s">
        <v>12985</v>
      </c>
      <c r="T6179" t="s">
        <v>13610</v>
      </c>
      <c r="U6179" t="s">
        <v>13610</v>
      </c>
      <c r="V6179" t="s">
        <v>13610</v>
      </c>
      <c r="W6179" t="s">
        <v>19714</v>
      </c>
      <c r="X6179">
        <v>9</v>
      </c>
      <c r="Y6179" t="s">
        <v>26263</v>
      </c>
      <c r="Z6179" t="s">
        <v>33034</v>
      </c>
      <c r="AA6179">
        <v>0.52655735678960225</v>
      </c>
      <c r="AB6179" t="str">
        <f>HYPERLINK("Melting_Curves/meltCurve_Q9NYL2_2_MLTK.pdf", "Melting_Curves/meltCurve_Q9NYL2_2_MLTK.pdf")</f>
        <v>Melting_Curves/meltCurve_Q9NYL2_2_MLTK.pdf</v>
      </c>
    </row>
    <row r="6180" spans="1:28" x14ac:dyDescent="0.25">
      <c r="A6180" t="s">
        <v>6184</v>
      </c>
      <c r="B6180">
        <v>0.995954080203443</v>
      </c>
      <c r="C6180">
        <v>0.95196814759641002</v>
      </c>
      <c r="D6180">
        <v>0.793719916342145</v>
      </c>
      <c r="E6180">
        <v>0.55407352051013403</v>
      </c>
      <c r="F6180">
        <v>0.37235034752225998</v>
      </c>
      <c r="G6180">
        <v>0.24854780234160601</v>
      </c>
      <c r="H6180">
        <v>0.21046541288766701</v>
      </c>
      <c r="I6180">
        <v>0.239445400456445</v>
      </c>
      <c r="J6180">
        <v>0.27750431943787901</v>
      </c>
      <c r="K6180">
        <v>0.29002594102587498</v>
      </c>
      <c r="L6180">
        <v>951.13327119898497</v>
      </c>
      <c r="M6180">
        <v>19.532480823050399</v>
      </c>
      <c r="N6180">
        <v>50.407765875263699</v>
      </c>
      <c r="O6180">
        <v>48.193162104017503</v>
      </c>
      <c r="P6180">
        <v>-7.67527950743353E-2</v>
      </c>
      <c r="Q6180">
        <v>0.24252784029270599</v>
      </c>
      <c r="R6180">
        <v>0.99082377579561698</v>
      </c>
      <c r="S6180" t="s">
        <v>12986</v>
      </c>
      <c r="T6180" t="s">
        <v>13610</v>
      </c>
      <c r="U6180" t="s">
        <v>13610</v>
      </c>
      <c r="V6180" t="s">
        <v>13610</v>
      </c>
      <c r="W6180" t="s">
        <v>19715</v>
      </c>
      <c r="X6180">
        <v>18</v>
      </c>
      <c r="Y6180" t="s">
        <v>26264</v>
      </c>
      <c r="Z6180" t="s">
        <v>33035</v>
      </c>
      <c r="AA6180">
        <v>0.47324286298549029</v>
      </c>
      <c r="AB6180" t="str">
        <f>HYPERLINK("Melting_Curves/meltCurve_Q9NYL9_TMOD3.pdf", "Melting_Curves/meltCurve_Q9NYL9_TMOD3.pdf")</f>
        <v>Melting_Curves/meltCurve_Q9NYL9_TMOD3.pdf</v>
      </c>
    </row>
    <row r="6181" spans="1:28" x14ac:dyDescent="0.25">
      <c r="A6181" t="s">
        <v>6185</v>
      </c>
      <c r="B6181">
        <v>0.995954080203443</v>
      </c>
      <c r="C6181">
        <v>0.93959433452451202</v>
      </c>
      <c r="D6181">
        <v>1.0805880205552201</v>
      </c>
      <c r="E6181">
        <v>0.73062178591298799</v>
      </c>
      <c r="F6181">
        <v>0.51539534604397097</v>
      </c>
      <c r="G6181">
        <v>0.21912148207034499</v>
      </c>
      <c r="H6181">
        <v>0.120948450489129</v>
      </c>
      <c r="I6181">
        <v>0.114414400994341</v>
      </c>
      <c r="J6181">
        <v>0.122587812883103</v>
      </c>
      <c r="K6181">
        <v>9.6373097798770305E-2</v>
      </c>
      <c r="L6181">
        <v>1239.39460863677</v>
      </c>
      <c r="M6181">
        <v>23.6550071625322</v>
      </c>
      <c r="N6181">
        <v>52.908148373637999</v>
      </c>
      <c r="O6181">
        <v>52.0244589782234</v>
      </c>
      <c r="P6181">
        <v>-0.102014320341067</v>
      </c>
      <c r="Q6181">
        <v>0.102574621207731</v>
      </c>
      <c r="R6181">
        <v>0.98707328643502901</v>
      </c>
      <c r="S6181" t="s">
        <v>12987</v>
      </c>
      <c r="T6181" t="s">
        <v>13610</v>
      </c>
      <c r="U6181" t="s">
        <v>13610</v>
      </c>
      <c r="V6181" t="s">
        <v>13610</v>
      </c>
      <c r="W6181" t="s">
        <v>19716</v>
      </c>
      <c r="X6181">
        <v>3</v>
      </c>
      <c r="Y6181" t="s">
        <v>26265</v>
      </c>
      <c r="Z6181" t="s">
        <v>33036</v>
      </c>
      <c r="AA6181">
        <v>0.48247888772031078</v>
      </c>
      <c r="AB6181" t="str">
        <f>HYPERLINK("Melting_Curves/meltCurve_Q9NYP9_MIS18A.pdf", "Melting_Curves/meltCurve_Q9NYP9_MIS18A.pdf")</f>
        <v>Melting_Curves/meltCurve_Q9NYP9_MIS18A.pdf</v>
      </c>
    </row>
    <row r="6182" spans="1:28" x14ac:dyDescent="0.25">
      <c r="A6182" t="s">
        <v>6186</v>
      </c>
      <c r="B6182">
        <v>0.995954080203443</v>
      </c>
      <c r="C6182">
        <v>0.90659915185720796</v>
      </c>
      <c r="D6182">
        <v>0.78332488557561497</v>
      </c>
      <c r="E6182">
        <v>0.65470512531814196</v>
      </c>
      <c r="F6182">
        <v>0.32165339594394099</v>
      </c>
      <c r="G6182">
        <v>0.12332903967338001</v>
      </c>
      <c r="H6182">
        <v>7.8902446640817706E-2</v>
      </c>
      <c r="I6182">
        <v>7.3543692016020498E-2</v>
      </c>
      <c r="J6182">
        <v>8.3418520291319895E-2</v>
      </c>
      <c r="K6182">
        <v>7.9717111322187603E-2</v>
      </c>
      <c r="L6182">
        <v>829.50396387491799</v>
      </c>
      <c r="M6182">
        <v>16.4073966118684</v>
      </c>
      <c r="N6182">
        <v>50.836826131922301</v>
      </c>
      <c r="O6182">
        <v>49.823594439298098</v>
      </c>
      <c r="P6182">
        <v>-7.8774826540136594E-2</v>
      </c>
      <c r="Q6182">
        <v>4.3220352307201497E-2</v>
      </c>
      <c r="R6182">
        <v>0.98604254820033699</v>
      </c>
      <c r="S6182" t="s">
        <v>12988</v>
      </c>
      <c r="T6182" t="s">
        <v>13610</v>
      </c>
      <c r="U6182" t="s">
        <v>13610</v>
      </c>
      <c r="V6182" t="s">
        <v>13610</v>
      </c>
      <c r="W6182" t="s">
        <v>19717</v>
      </c>
      <c r="X6182">
        <v>41</v>
      </c>
      <c r="Y6182" t="s">
        <v>26266</v>
      </c>
      <c r="Z6182" t="s">
        <v>33037</v>
      </c>
      <c r="AA6182">
        <v>0.39907207779961401</v>
      </c>
      <c r="AB6182" t="str">
        <f>HYPERLINK("Melting_Curves/meltCurve_Q9NYU2_2_UGGT1.pdf", "Melting_Curves/meltCurve_Q9NYU2_2_UGGT1.pdf")</f>
        <v>Melting_Curves/meltCurve_Q9NYU2_2_UGGT1.pdf</v>
      </c>
    </row>
    <row r="6183" spans="1:28" x14ac:dyDescent="0.25">
      <c r="A6183" t="s">
        <v>6187</v>
      </c>
      <c r="B6183">
        <v>0.995954080203443</v>
      </c>
      <c r="C6183">
        <v>1.0227085708113</v>
      </c>
      <c r="D6183">
        <v>0.94579658220235996</v>
      </c>
      <c r="E6183">
        <v>0.76640504588393998</v>
      </c>
      <c r="F6183">
        <v>0.49993269137415403</v>
      </c>
      <c r="G6183">
        <v>0.25492116551827398</v>
      </c>
      <c r="H6183">
        <v>0.19438930771158</v>
      </c>
      <c r="I6183">
        <v>0.202136919867588</v>
      </c>
      <c r="J6183">
        <v>0.25226004118655498</v>
      </c>
      <c r="K6183">
        <v>0.24946013490104399</v>
      </c>
      <c r="L6183">
        <v>1378.5254251121501</v>
      </c>
      <c r="M6183">
        <v>26.681466159904801</v>
      </c>
      <c r="N6183">
        <v>52.792747380036303</v>
      </c>
      <c r="O6183">
        <v>51.378421430071597</v>
      </c>
      <c r="P6183">
        <v>-0.101645908278559</v>
      </c>
      <c r="Q6183">
        <v>0.217081710350782</v>
      </c>
      <c r="R6183">
        <v>0.99476420647291697</v>
      </c>
      <c r="S6183" t="s">
        <v>12989</v>
      </c>
      <c r="T6183" t="s">
        <v>13610</v>
      </c>
      <c r="U6183" t="s">
        <v>13610</v>
      </c>
      <c r="V6183" t="s">
        <v>13610</v>
      </c>
      <c r="W6183" t="s">
        <v>19718</v>
      </c>
      <c r="X6183">
        <v>40</v>
      </c>
      <c r="Y6183" t="s">
        <v>26267</v>
      </c>
      <c r="Z6183" t="s">
        <v>33038</v>
      </c>
      <c r="AA6183">
        <v>0.52780709479233889</v>
      </c>
      <c r="AB6183" t="str">
        <f>HYPERLINK("Melting_Curves/meltCurve_Q9NYV4_2_CDK12.pdf", "Melting_Curves/meltCurve_Q9NYV4_2_CDK12.pdf")</f>
        <v>Melting_Curves/meltCurve_Q9NYV4_2_CDK12.pdf</v>
      </c>
    </row>
    <row r="6184" spans="1:28" x14ac:dyDescent="0.25">
      <c r="A6184" t="s">
        <v>6188</v>
      </c>
      <c r="B6184">
        <v>0.995954080203443</v>
      </c>
      <c r="C6184">
        <v>0.92067259120529099</v>
      </c>
      <c r="D6184">
        <v>0.74181203106978999</v>
      </c>
      <c r="E6184">
        <v>0.48775556911597301</v>
      </c>
      <c r="F6184">
        <v>0.27641761081366401</v>
      </c>
      <c r="G6184">
        <v>0.17992943577100401</v>
      </c>
      <c r="H6184">
        <v>0.133848102258813</v>
      </c>
      <c r="I6184">
        <v>0.15247564606299299</v>
      </c>
      <c r="J6184">
        <v>0.168441570406791</v>
      </c>
      <c r="K6184">
        <v>0.14486023112968699</v>
      </c>
      <c r="L6184">
        <v>860.50118131155602</v>
      </c>
      <c r="M6184">
        <v>17.741526359221599</v>
      </c>
      <c r="N6184">
        <v>49.386994904628402</v>
      </c>
      <c r="O6184">
        <v>47.898474765690999</v>
      </c>
      <c r="P6184">
        <v>-7.9995685697668406E-2</v>
      </c>
      <c r="Q6184">
        <v>0.13615752329766501</v>
      </c>
      <c r="R6184">
        <v>0.99677267393198898</v>
      </c>
      <c r="S6184" t="s">
        <v>12990</v>
      </c>
      <c r="T6184" t="s">
        <v>13610</v>
      </c>
      <c r="U6184" t="s">
        <v>13610</v>
      </c>
      <c r="V6184" t="s">
        <v>13610</v>
      </c>
      <c r="W6184" t="s">
        <v>19719</v>
      </c>
      <c r="X6184">
        <v>9</v>
      </c>
      <c r="Y6184" t="s">
        <v>26268</v>
      </c>
      <c r="Z6184" t="s">
        <v>33039</v>
      </c>
      <c r="AA6184">
        <v>0.39654667197765259</v>
      </c>
      <c r="AB6184" t="str">
        <f>HYPERLINK("Melting_Curves/meltCurve_Q9NYY8_2_FASTKD2.pdf", "Melting_Curves/meltCurve_Q9NYY8_2_FASTKD2.pdf")</f>
        <v>Melting_Curves/meltCurve_Q9NYY8_2_FASTKD2.pdf</v>
      </c>
    </row>
    <row r="6185" spans="1:28" x14ac:dyDescent="0.25">
      <c r="A6185" t="s">
        <v>6189</v>
      </c>
      <c r="B6185">
        <v>0.995954080203443</v>
      </c>
      <c r="C6185">
        <v>0.854890444788449</v>
      </c>
      <c r="D6185">
        <v>1.1213327723408999</v>
      </c>
      <c r="E6185">
        <v>0.80038905605051203</v>
      </c>
      <c r="F6185">
        <v>1.03442270311936</v>
      </c>
      <c r="G6185">
        <v>0.89073654121002099</v>
      </c>
      <c r="H6185">
        <v>0.92642558570822797</v>
      </c>
      <c r="I6185">
        <v>1.15746904514307</v>
      </c>
      <c r="J6185">
        <v>1.3512912856394601</v>
      </c>
      <c r="K6185">
        <v>1.3959128523983</v>
      </c>
      <c r="L6185">
        <v>9644.8016706987091</v>
      </c>
      <c r="M6185">
        <v>150.37862874549899</v>
      </c>
      <c r="O6185">
        <v>64.125435510649396</v>
      </c>
      <c r="P6185">
        <v>0.21924349730134701</v>
      </c>
      <c r="Q6185">
        <v>1.37396500636191</v>
      </c>
      <c r="R6185">
        <v>0.74359006637173297</v>
      </c>
      <c r="S6185" t="s">
        <v>12991</v>
      </c>
      <c r="T6185" t="s">
        <v>13610</v>
      </c>
      <c r="U6185" t="s">
        <v>13610</v>
      </c>
      <c r="V6185" t="s">
        <v>13610</v>
      </c>
      <c r="W6185" t="s">
        <v>19720</v>
      </c>
      <c r="X6185">
        <v>10</v>
      </c>
      <c r="Y6185" t="s">
        <v>26269</v>
      </c>
      <c r="Z6185" t="s">
        <v>33040</v>
      </c>
      <c r="AA6185">
        <v>1.072971555890526</v>
      </c>
      <c r="AB6185" t="str">
        <f>HYPERLINK("Melting_Curves/meltCurve_Q9NYZ3_GTSE1.pdf", "Melting_Curves/meltCurve_Q9NYZ3_GTSE1.pdf")</f>
        <v>Melting_Curves/meltCurve_Q9NYZ3_GTSE1.pdf</v>
      </c>
    </row>
    <row r="6186" spans="1:28" x14ac:dyDescent="0.25">
      <c r="A6186" t="s">
        <v>6190</v>
      </c>
      <c r="B6186">
        <v>0.995954080203443</v>
      </c>
      <c r="C6186">
        <v>1.0429975691218201</v>
      </c>
      <c r="D6186">
        <v>0.97984483357033103</v>
      </c>
      <c r="E6186">
        <v>0.79632129060188295</v>
      </c>
      <c r="F6186">
        <v>0.30588478533980201</v>
      </c>
      <c r="G6186">
        <v>0.13434663820591999</v>
      </c>
      <c r="H6186">
        <v>8.8934845214516597E-2</v>
      </c>
      <c r="I6186">
        <v>7.3111549923382493E-2</v>
      </c>
      <c r="J6186">
        <v>7.6907114283343E-2</v>
      </c>
      <c r="K6186">
        <v>6.9240202757011898E-2</v>
      </c>
      <c r="L6186">
        <v>2034.7918190761</v>
      </c>
      <c r="M6186">
        <v>39.477644841958003</v>
      </c>
      <c r="N6186">
        <v>51.780153366206299</v>
      </c>
      <c r="O6186">
        <v>51.411161243235703</v>
      </c>
      <c r="P6186">
        <v>-0.176087369811886</v>
      </c>
      <c r="Q6186">
        <v>8.2737946868183795E-2</v>
      </c>
      <c r="R6186">
        <v>0.99799941755492305</v>
      </c>
      <c r="S6186" t="s">
        <v>12992</v>
      </c>
      <c r="T6186" t="s">
        <v>13610</v>
      </c>
      <c r="U6186" t="s">
        <v>13610</v>
      </c>
      <c r="V6186" t="s">
        <v>13610</v>
      </c>
      <c r="W6186" t="s">
        <v>19721</v>
      </c>
      <c r="X6186">
        <v>26</v>
      </c>
      <c r="Y6186" t="s">
        <v>26270</v>
      </c>
      <c r="Z6186" t="s">
        <v>33041</v>
      </c>
      <c r="AA6186">
        <v>0.43902108263860201</v>
      </c>
      <c r="AB6186" t="str">
        <f>HYPERLINK("Melting_Curves/meltCurve_Q9NZ08_ERAP1.pdf", "Melting_Curves/meltCurve_Q9NZ08_ERAP1.pdf")</f>
        <v>Melting_Curves/meltCurve_Q9NZ08_ERAP1.pdf</v>
      </c>
    </row>
    <row r="6187" spans="1:28" x14ac:dyDescent="0.25">
      <c r="A6187" t="s">
        <v>6191</v>
      </c>
      <c r="B6187">
        <v>0.995954080203443</v>
      </c>
      <c r="C6187">
        <v>0.98937512907692404</v>
      </c>
      <c r="D6187">
        <v>0.91863411208429302</v>
      </c>
      <c r="E6187">
        <v>0.89166778416366899</v>
      </c>
      <c r="F6187">
        <v>0.72992389351534004</v>
      </c>
      <c r="G6187">
        <v>0.50295295792940098</v>
      </c>
      <c r="H6187">
        <v>0.43795862324023999</v>
      </c>
      <c r="I6187">
        <v>0.494170636992249</v>
      </c>
      <c r="J6187">
        <v>0.52518426054498402</v>
      </c>
      <c r="K6187">
        <v>0.56095615126624898</v>
      </c>
      <c r="L6187">
        <v>1587.57400509936</v>
      </c>
      <c r="M6187">
        <v>30.313087834025001</v>
      </c>
      <c r="N6187">
        <v>63.419044521016801</v>
      </c>
      <c r="O6187">
        <v>52.146218740087797</v>
      </c>
      <c r="P6187">
        <v>-7.3034167964329197E-2</v>
      </c>
      <c r="Q6187">
        <v>0.497453804950373</v>
      </c>
      <c r="R6187">
        <v>0.96338351933303601</v>
      </c>
      <c r="S6187" t="s">
        <v>12993</v>
      </c>
      <c r="T6187" t="s">
        <v>13610</v>
      </c>
      <c r="U6187" t="s">
        <v>13610</v>
      </c>
      <c r="V6187" t="s">
        <v>13610</v>
      </c>
      <c r="W6187" t="s">
        <v>19722</v>
      </c>
      <c r="X6187">
        <v>11</v>
      </c>
      <c r="Y6187" t="s">
        <v>26271</v>
      </c>
      <c r="Z6187" t="s">
        <v>33042</v>
      </c>
      <c r="AA6187">
        <v>0.70787702427118582</v>
      </c>
      <c r="AB6187" t="str">
        <f>HYPERLINK("Melting_Curves/meltCurve_Q9NZ09_2_UBAP1.pdf", "Melting_Curves/meltCurve_Q9NZ09_2_UBAP1.pdf")</f>
        <v>Melting_Curves/meltCurve_Q9NZ09_2_UBAP1.pdf</v>
      </c>
    </row>
    <row r="6188" spans="1:28" x14ac:dyDescent="0.25">
      <c r="A6188" t="s">
        <v>6192</v>
      </c>
      <c r="B6188">
        <v>0.995954080203443</v>
      </c>
      <c r="C6188">
        <v>0.76092720281610204</v>
      </c>
      <c r="D6188">
        <v>0.641515773402353</v>
      </c>
      <c r="E6188">
        <v>0.87707435686593704</v>
      </c>
      <c r="F6188">
        <v>0.57003099379921096</v>
      </c>
      <c r="G6188">
        <v>0.47991227129594</v>
      </c>
      <c r="H6188">
        <v>0.38251253267719798</v>
      </c>
      <c r="I6188">
        <v>0.28524071441128701</v>
      </c>
      <c r="J6188">
        <v>0.144015335766882</v>
      </c>
      <c r="K6188">
        <v>0.12155027585716199</v>
      </c>
      <c r="L6188">
        <v>392.63904859536899</v>
      </c>
      <c r="M6188">
        <v>7.0930760867976401</v>
      </c>
      <c r="N6188">
        <v>55.355256830823002</v>
      </c>
      <c r="O6188">
        <v>51.460844322701099</v>
      </c>
      <c r="P6188">
        <v>-3.4519469376062602E-2</v>
      </c>
      <c r="Q6188">
        <v>0</v>
      </c>
      <c r="R6188">
        <v>0.87703889619173203</v>
      </c>
      <c r="S6188" t="s">
        <v>12994</v>
      </c>
      <c r="T6188" t="s">
        <v>13610</v>
      </c>
      <c r="U6188" t="s">
        <v>13610</v>
      </c>
      <c r="V6188" t="s">
        <v>13610</v>
      </c>
      <c r="W6188" t="s">
        <v>19723</v>
      </c>
      <c r="X6188">
        <v>12</v>
      </c>
      <c r="Y6188" t="s">
        <v>26272</v>
      </c>
      <c r="Z6188" t="s">
        <v>33043</v>
      </c>
      <c r="AA6188">
        <v>0.53579543900588622</v>
      </c>
      <c r="AB6188" t="str">
        <f>HYPERLINK("Melting_Curves/meltCurve_Q9NZ32_ACTR10.pdf", "Melting_Curves/meltCurve_Q9NZ32_ACTR10.pdf")</f>
        <v>Melting_Curves/meltCurve_Q9NZ32_ACTR10.pdf</v>
      </c>
    </row>
    <row r="6189" spans="1:28" x14ac:dyDescent="0.25">
      <c r="A6189" t="s">
        <v>6193</v>
      </c>
      <c r="B6189">
        <v>0.995954080203443</v>
      </c>
      <c r="C6189">
        <v>1.0364014612617201</v>
      </c>
      <c r="D6189">
        <v>1.09449209710678</v>
      </c>
      <c r="E6189">
        <v>0.93870548983120805</v>
      </c>
      <c r="F6189">
        <v>0.82842416771184002</v>
      </c>
      <c r="G6189">
        <v>0.72014171592265996</v>
      </c>
      <c r="H6189">
        <v>0.640131047032092</v>
      </c>
      <c r="I6189">
        <v>0.71996262977646297</v>
      </c>
      <c r="J6189">
        <v>0.59049106413602603</v>
      </c>
      <c r="K6189">
        <v>0.61204627152047097</v>
      </c>
      <c r="L6189">
        <v>1293.2845939905999</v>
      </c>
      <c r="M6189">
        <v>24.114094363544101</v>
      </c>
      <c r="O6189">
        <v>53.267161648543002</v>
      </c>
      <c r="P6189">
        <v>-4.1359137782001801E-2</v>
      </c>
      <c r="Q6189">
        <v>0.63456244723699595</v>
      </c>
      <c r="R6189">
        <v>0.93286879201458195</v>
      </c>
      <c r="S6189" t="s">
        <v>12995</v>
      </c>
      <c r="T6189" t="s">
        <v>13610</v>
      </c>
      <c r="U6189" t="s">
        <v>13610</v>
      </c>
      <c r="V6189" t="s">
        <v>13610</v>
      </c>
      <c r="W6189" t="s">
        <v>19724</v>
      </c>
      <c r="X6189">
        <v>16</v>
      </c>
      <c r="Y6189" t="s">
        <v>26273</v>
      </c>
      <c r="Z6189" t="s">
        <v>33044</v>
      </c>
      <c r="AA6189">
        <v>0.80422365696128295</v>
      </c>
      <c r="AB6189" t="str">
        <f>HYPERLINK("Melting_Curves/meltCurve_Q9NZ52_GGA3.pdf", "Melting_Curves/meltCurve_Q9NZ52_GGA3.pdf")</f>
        <v>Melting_Curves/meltCurve_Q9NZ52_GGA3.pdf</v>
      </c>
    </row>
    <row r="6190" spans="1:28" x14ac:dyDescent="0.25">
      <c r="A6190" t="s">
        <v>6194</v>
      </c>
      <c r="B6190">
        <v>0.995954080203443</v>
      </c>
      <c r="C6190">
        <v>1.03936386320853</v>
      </c>
      <c r="D6190">
        <v>1.0036060708579599</v>
      </c>
      <c r="E6190">
        <v>0.93597871652582298</v>
      </c>
      <c r="F6190">
        <v>0.80911400550801604</v>
      </c>
      <c r="G6190">
        <v>0.63501550028932996</v>
      </c>
      <c r="H6190">
        <v>0.57004988870752604</v>
      </c>
      <c r="I6190">
        <v>0.65179430822863804</v>
      </c>
      <c r="J6190">
        <v>0.643016610051937</v>
      </c>
      <c r="K6190">
        <v>0.56142292136176097</v>
      </c>
      <c r="L6190">
        <v>1700.03789320294</v>
      </c>
      <c r="M6190">
        <v>32.094957404234499</v>
      </c>
      <c r="O6190">
        <v>52.764636620773203</v>
      </c>
      <c r="P6190">
        <v>-6.0213173802374002E-2</v>
      </c>
      <c r="Q6190">
        <v>0.60403618845368801</v>
      </c>
      <c r="R6190">
        <v>0.97350169101432404</v>
      </c>
      <c r="S6190" t="s">
        <v>12996</v>
      </c>
      <c r="T6190" t="s">
        <v>13610</v>
      </c>
      <c r="U6190" t="s">
        <v>13610</v>
      </c>
      <c r="V6190" t="s">
        <v>13610</v>
      </c>
      <c r="W6190" t="s">
        <v>19725</v>
      </c>
      <c r="X6190">
        <v>1</v>
      </c>
      <c r="Y6190" t="s">
        <v>26274</v>
      </c>
      <c r="Z6190" t="s">
        <v>33045</v>
      </c>
      <c r="AA6190">
        <v>0.77745860136004452</v>
      </c>
      <c r="AB6190" t="str">
        <f>HYPERLINK("Melting_Curves/meltCurve_Q9NZ53_PODXL2.pdf", "Melting_Curves/meltCurve_Q9NZ53_PODXL2.pdf")</f>
        <v>Melting_Curves/meltCurve_Q9NZ53_PODXL2.pdf</v>
      </c>
    </row>
    <row r="6191" spans="1:28" x14ac:dyDescent="0.25">
      <c r="A6191" t="s">
        <v>6195</v>
      </c>
      <c r="B6191">
        <v>0.995954080203443</v>
      </c>
      <c r="C6191">
        <v>1.0225747957443101</v>
      </c>
      <c r="D6191">
        <v>1.08597522851239</v>
      </c>
      <c r="E6191">
        <v>0.96058036120561596</v>
      </c>
      <c r="F6191">
        <v>1.01628253440998</v>
      </c>
      <c r="G6191">
        <v>0.86903102015579303</v>
      </c>
      <c r="H6191">
        <v>0.85493604076747598</v>
      </c>
      <c r="I6191">
        <v>1.0707897780711699</v>
      </c>
      <c r="J6191">
        <v>1.18874423133924</v>
      </c>
      <c r="K6191">
        <v>1.2857475213392899</v>
      </c>
      <c r="L6191">
        <v>3579.1243406643698</v>
      </c>
      <c r="M6191">
        <v>54.131967786900198</v>
      </c>
      <c r="O6191">
        <v>66.028455924507497</v>
      </c>
      <c r="P6191">
        <v>6.0588988940234401E-2</v>
      </c>
      <c r="Q6191">
        <v>1.29561787304181</v>
      </c>
      <c r="R6191">
        <v>0.68476165865275396</v>
      </c>
      <c r="S6191" t="s">
        <v>12997</v>
      </c>
      <c r="T6191" t="s">
        <v>13610</v>
      </c>
      <c r="U6191" t="s">
        <v>13610</v>
      </c>
      <c r="V6191" t="s">
        <v>13610</v>
      </c>
      <c r="W6191" t="s">
        <v>19726</v>
      </c>
      <c r="X6191">
        <v>25</v>
      </c>
      <c r="Y6191" t="s">
        <v>26275</v>
      </c>
      <c r="Z6191" t="s">
        <v>33046</v>
      </c>
      <c r="AA6191">
        <v>1.038195095597642</v>
      </c>
      <c r="AB6191" t="str">
        <f>HYPERLINK("Melting_Curves/meltCurve_Q9NZ63_C9orf78.pdf", "Melting_Curves/meltCurve_Q9NZ63_C9orf78.pdf")</f>
        <v>Melting_Curves/meltCurve_Q9NZ63_C9orf78.pdf</v>
      </c>
    </row>
    <row r="6192" spans="1:28" x14ac:dyDescent="0.25">
      <c r="A6192" t="s">
        <v>6196</v>
      </c>
      <c r="B6192">
        <v>0.995954080203443</v>
      </c>
      <c r="C6192">
        <v>0.98751777755719605</v>
      </c>
      <c r="D6192">
        <v>0.93145496466774202</v>
      </c>
      <c r="E6192">
        <v>0.83602492628830904</v>
      </c>
      <c r="F6192">
        <v>0.55729679128550802</v>
      </c>
      <c r="G6192">
        <v>0.14706382282417199</v>
      </c>
      <c r="H6192">
        <v>0.113318376852574</v>
      </c>
      <c r="I6192">
        <v>8.8121440055629399E-2</v>
      </c>
      <c r="J6192">
        <v>0.106040509654762</v>
      </c>
      <c r="K6192">
        <v>8.9517058040307101E-2</v>
      </c>
      <c r="L6192">
        <v>1517.4921969766201</v>
      </c>
      <c r="M6192">
        <v>28.691632517464399</v>
      </c>
      <c r="N6192">
        <v>53.238021844193497</v>
      </c>
      <c r="O6192">
        <v>52.634781905022301</v>
      </c>
      <c r="P6192">
        <v>-0.12461615899893499</v>
      </c>
      <c r="Q6192">
        <v>8.5574050175599006E-2</v>
      </c>
      <c r="R6192">
        <v>0.99579424824262297</v>
      </c>
      <c r="S6192" t="s">
        <v>12998</v>
      </c>
      <c r="T6192" t="s">
        <v>13610</v>
      </c>
      <c r="U6192" t="s">
        <v>13610</v>
      </c>
      <c r="V6192" t="s">
        <v>13610</v>
      </c>
      <c r="W6192" t="s">
        <v>19727</v>
      </c>
      <c r="X6192">
        <v>2</v>
      </c>
      <c r="Y6192" t="s">
        <v>26276</v>
      </c>
      <c r="Z6192" t="s">
        <v>33047</v>
      </c>
      <c r="AA6192">
        <v>0.48492371381085458</v>
      </c>
      <c r="AB6192" t="str">
        <f>HYPERLINK("Melting_Curves/meltCurve_Q9NZA1_3_CLIC5.pdf", "Melting_Curves/meltCurve_Q9NZA1_3_CLIC5.pdf")</f>
        <v>Melting_Curves/meltCurve_Q9NZA1_3_CLIC5.pdf</v>
      </c>
    </row>
    <row r="6193" spans="1:28" x14ac:dyDescent="0.25">
      <c r="A6193" t="s">
        <v>6197</v>
      </c>
      <c r="B6193">
        <v>0.995954080203443</v>
      </c>
      <c r="C6193">
        <v>0.99989776177430301</v>
      </c>
      <c r="D6193">
        <v>1.0448487702384599</v>
      </c>
      <c r="E6193">
        <v>0.95849874989061501</v>
      </c>
      <c r="F6193">
        <v>1.0161379902769401</v>
      </c>
      <c r="G6193">
        <v>0.81436622335591202</v>
      </c>
      <c r="H6193">
        <v>0.82194194632495998</v>
      </c>
      <c r="I6193">
        <v>1.0662900842912999</v>
      </c>
      <c r="J6193">
        <v>1.1911719043453799</v>
      </c>
      <c r="K6193">
        <v>1.26099735743363</v>
      </c>
      <c r="L6193">
        <v>4114.61606113986</v>
      </c>
      <c r="M6193">
        <v>62.6601304017871</v>
      </c>
      <c r="O6193">
        <v>65.598838298831097</v>
      </c>
      <c r="P6193">
        <v>6.2103625216928603E-2</v>
      </c>
      <c r="Q6193">
        <v>1.2600648152926099</v>
      </c>
      <c r="R6193">
        <v>0.59358974267491504</v>
      </c>
      <c r="S6193" t="s">
        <v>12999</v>
      </c>
      <c r="T6193" t="s">
        <v>13610</v>
      </c>
      <c r="U6193" t="s">
        <v>13610</v>
      </c>
      <c r="V6193" t="s">
        <v>13610</v>
      </c>
      <c r="W6193" t="s">
        <v>19728</v>
      </c>
      <c r="X6193">
        <v>8</v>
      </c>
      <c r="Y6193" t="s">
        <v>26277</v>
      </c>
      <c r="Z6193" t="s">
        <v>33048</v>
      </c>
      <c r="AA6193">
        <v>1.037314012576003</v>
      </c>
      <c r="AB6193" t="str">
        <f>HYPERLINK("Melting_Curves/meltCurve_Q9NZB2_FAM120A.pdf", "Melting_Curves/meltCurve_Q9NZB2_FAM120A.pdf")</f>
        <v>Melting_Curves/meltCurve_Q9NZB2_FAM120A.pdf</v>
      </c>
    </row>
    <row r="6194" spans="1:28" x14ac:dyDescent="0.25">
      <c r="A6194" t="s">
        <v>6198</v>
      </c>
      <c r="B6194">
        <v>0.995954080203443</v>
      </c>
      <c r="C6194">
        <v>0.77856448790358701</v>
      </c>
      <c r="D6194">
        <v>0.50195744503776496</v>
      </c>
      <c r="E6194">
        <v>0.40828680473571</v>
      </c>
      <c r="F6194">
        <v>0.36251828326195001</v>
      </c>
      <c r="G6194">
        <v>0.22853998782354201</v>
      </c>
      <c r="H6194">
        <v>0.20605497104288001</v>
      </c>
      <c r="I6194">
        <v>0.22385360815422101</v>
      </c>
      <c r="J6194">
        <v>0.29783883523016103</v>
      </c>
      <c r="K6194">
        <v>0.25856360173942999</v>
      </c>
      <c r="L6194">
        <v>826.45515573006196</v>
      </c>
      <c r="M6194">
        <v>18.361076747070801</v>
      </c>
      <c r="N6194">
        <v>46.814200976133101</v>
      </c>
      <c r="O6194">
        <v>44.487530015370503</v>
      </c>
      <c r="P6194">
        <v>-7.7031077337127593E-2</v>
      </c>
      <c r="Q6194">
        <v>0.253471663694949</v>
      </c>
      <c r="R6194">
        <v>0.96657468783117195</v>
      </c>
      <c r="S6194" t="s">
        <v>13000</v>
      </c>
      <c r="T6194" t="s">
        <v>13610</v>
      </c>
      <c r="U6194" t="s">
        <v>13610</v>
      </c>
      <c r="V6194" t="s">
        <v>13610</v>
      </c>
      <c r="W6194" t="s">
        <v>19729</v>
      </c>
      <c r="X6194">
        <v>14</v>
      </c>
      <c r="Y6194" t="s">
        <v>26278</v>
      </c>
      <c r="Z6194" t="s">
        <v>33049</v>
      </c>
      <c r="AA6194">
        <v>0.39354445163352292</v>
      </c>
      <c r="AB6194" t="str">
        <f>HYPERLINK("Melting_Curves/meltCurve_Q9NZC9_SMARCAL1.pdf", "Melting_Curves/meltCurve_Q9NZC9_SMARCAL1.pdf")</f>
        <v>Melting_Curves/meltCurve_Q9NZC9_SMARCAL1.pdf</v>
      </c>
    </row>
    <row r="6195" spans="1:28" x14ac:dyDescent="0.25">
      <c r="A6195" t="s">
        <v>6199</v>
      </c>
      <c r="B6195">
        <v>0.995954080203443</v>
      </c>
      <c r="C6195">
        <v>1.08322296582512</v>
      </c>
      <c r="D6195">
        <v>1.0697425459269501</v>
      </c>
      <c r="E6195">
        <v>0.93021692200099504</v>
      </c>
      <c r="F6195">
        <v>0.50549131288075699</v>
      </c>
      <c r="G6195">
        <v>9.3070767047061007E-2</v>
      </c>
      <c r="H6195">
        <v>7.02102594405562E-2</v>
      </c>
      <c r="I6195">
        <v>5.9649358432009802E-2</v>
      </c>
      <c r="J6195">
        <v>7.2910178620163801E-2</v>
      </c>
      <c r="K6195">
        <v>5.9828766996524001E-2</v>
      </c>
      <c r="L6195">
        <v>2409.59872790391</v>
      </c>
      <c r="M6195">
        <v>45.584840124205897</v>
      </c>
      <c r="N6195">
        <v>53.019408006211499</v>
      </c>
      <c r="O6195">
        <v>52.758229551233001</v>
      </c>
      <c r="P6195">
        <v>-0.202145555124259</v>
      </c>
      <c r="Q6195">
        <v>6.4177712440554605E-2</v>
      </c>
      <c r="R6195">
        <v>0.99397806563449997</v>
      </c>
      <c r="S6195" t="s">
        <v>13001</v>
      </c>
      <c r="T6195" t="s">
        <v>13610</v>
      </c>
      <c r="U6195" t="s">
        <v>13610</v>
      </c>
      <c r="V6195" t="s">
        <v>13610</v>
      </c>
      <c r="W6195" t="s">
        <v>19730</v>
      </c>
      <c r="X6195">
        <v>6</v>
      </c>
      <c r="Y6195" t="s">
        <v>26279</v>
      </c>
      <c r="Z6195" t="s">
        <v>33050</v>
      </c>
      <c r="AA6195">
        <v>0.4679498774978601</v>
      </c>
      <c r="AB6195" t="str">
        <f>HYPERLINK("Melting_Curves/meltCurve_Q9NZD2_GLTP.pdf", "Melting_Curves/meltCurve_Q9NZD2_GLTP.pdf")</f>
        <v>Melting_Curves/meltCurve_Q9NZD2_GLTP.pdf</v>
      </c>
    </row>
    <row r="6196" spans="1:28" x14ac:dyDescent="0.25">
      <c r="A6196" t="s">
        <v>6200</v>
      </c>
      <c r="B6196">
        <v>0.995954080203443</v>
      </c>
      <c r="C6196">
        <v>1.0118614107827799</v>
      </c>
      <c r="D6196">
        <v>0.92307033092381197</v>
      </c>
      <c r="E6196">
        <v>0.81260823340490995</v>
      </c>
      <c r="F6196">
        <v>0.63804284952645696</v>
      </c>
      <c r="G6196">
        <v>0.43023217588935603</v>
      </c>
      <c r="H6196">
        <v>0.247351457975657</v>
      </c>
      <c r="I6196">
        <v>0.20785344929518901</v>
      </c>
      <c r="J6196">
        <v>0.14067973651865101</v>
      </c>
      <c r="K6196">
        <v>0.164391124374902</v>
      </c>
      <c r="L6196">
        <v>796.67044436304195</v>
      </c>
      <c r="M6196">
        <v>14.6311577315692</v>
      </c>
      <c r="N6196">
        <v>55.392757949408598</v>
      </c>
      <c r="O6196">
        <v>53.463431627906303</v>
      </c>
      <c r="P6196">
        <v>-6.0884544936519597E-2</v>
      </c>
      <c r="Q6196">
        <v>0.110190929614314</v>
      </c>
      <c r="R6196">
        <v>0.99757877391947003</v>
      </c>
      <c r="S6196" t="s">
        <v>13002</v>
      </c>
      <c r="T6196" t="s">
        <v>13610</v>
      </c>
      <c r="U6196" t="s">
        <v>13610</v>
      </c>
      <c r="V6196" t="s">
        <v>13610</v>
      </c>
      <c r="W6196" t="s">
        <v>19731</v>
      </c>
      <c r="X6196">
        <v>1</v>
      </c>
      <c r="Y6196" t="s">
        <v>26280</v>
      </c>
      <c r="Z6196" t="s">
        <v>33051</v>
      </c>
      <c r="AA6196">
        <v>0.5570961006849372</v>
      </c>
      <c r="AB6196" t="str">
        <f>HYPERLINK("Melting_Curves/meltCurve_Q9NZD4_AHSP.pdf", "Melting_Curves/meltCurve_Q9NZD4_AHSP.pdf")</f>
        <v>Melting_Curves/meltCurve_Q9NZD4_AHSP.pdf</v>
      </c>
    </row>
    <row r="6197" spans="1:28" x14ac:dyDescent="0.25">
      <c r="A6197" t="s">
        <v>6201</v>
      </c>
      <c r="B6197">
        <v>0.995954080203443</v>
      </c>
      <c r="C6197">
        <v>0.73806481226084697</v>
      </c>
      <c r="D6197">
        <v>0.43158946122642999</v>
      </c>
      <c r="E6197">
        <v>0.26851362413157398</v>
      </c>
      <c r="F6197">
        <v>0.14170533614595601</v>
      </c>
      <c r="G6197">
        <v>6.9794865179084994E-2</v>
      </c>
      <c r="H6197">
        <v>4.4855054372553001E-2</v>
      </c>
      <c r="I6197">
        <v>3.2718154710645597E-2</v>
      </c>
      <c r="J6197">
        <v>4.5241757960247299E-2</v>
      </c>
      <c r="K6197">
        <v>3.9992813644947597E-2</v>
      </c>
      <c r="L6197">
        <v>775.73293033040898</v>
      </c>
      <c r="M6197">
        <v>17.0304749198183</v>
      </c>
      <c r="N6197">
        <v>45.789849468063302</v>
      </c>
      <c r="O6197">
        <v>44.935568526560601</v>
      </c>
      <c r="P6197">
        <v>-9.0706928734441999E-2</v>
      </c>
      <c r="Q6197">
        <v>4.2723700768186199E-2</v>
      </c>
      <c r="R6197">
        <v>0.98797495896755905</v>
      </c>
      <c r="S6197" t="s">
        <v>13003</v>
      </c>
      <c r="T6197" t="s">
        <v>13610</v>
      </c>
      <c r="U6197" t="s">
        <v>13610</v>
      </c>
      <c r="V6197" t="s">
        <v>13610</v>
      </c>
      <c r="W6197" t="s">
        <v>19732</v>
      </c>
      <c r="X6197">
        <v>5</v>
      </c>
      <c r="Y6197" t="s">
        <v>26281</v>
      </c>
      <c r="Z6197" t="s">
        <v>33052</v>
      </c>
      <c r="AA6197">
        <v>0.2419060540957943</v>
      </c>
      <c r="AB6197" t="str">
        <f>HYPERLINK("Melting_Curves/meltCurve_Q9NZI7_4_UBP1.pdf", "Melting_Curves/meltCurve_Q9NZI7_4_UBP1.pdf")</f>
        <v>Melting_Curves/meltCurve_Q9NZI7_4_UBP1.pdf</v>
      </c>
    </row>
    <row r="6198" spans="1:28" x14ac:dyDescent="0.25">
      <c r="A6198" t="s">
        <v>6202</v>
      </c>
      <c r="B6198">
        <v>0.995954080203443</v>
      </c>
      <c r="C6198">
        <v>0.85547132773573797</v>
      </c>
      <c r="D6198">
        <v>0.72079217342259605</v>
      </c>
      <c r="E6198">
        <v>0.45376098827114097</v>
      </c>
      <c r="F6198">
        <v>0.30339736840729697</v>
      </c>
      <c r="G6198">
        <v>0.19913552125714601</v>
      </c>
      <c r="H6198">
        <v>0.175394690934918</v>
      </c>
      <c r="I6198">
        <v>0.199661100747862</v>
      </c>
      <c r="J6198">
        <v>0.233846807910017</v>
      </c>
      <c r="K6198">
        <v>0.23714887177138599</v>
      </c>
      <c r="L6198">
        <v>834.38474896362004</v>
      </c>
      <c r="M6198">
        <v>17.562742867915802</v>
      </c>
      <c r="N6198">
        <v>48.900794463706198</v>
      </c>
      <c r="O6198">
        <v>46.905714769410999</v>
      </c>
      <c r="P6198">
        <v>-7.5196864439808803E-2</v>
      </c>
      <c r="Q6198">
        <v>0.196715649225708</v>
      </c>
      <c r="R6198">
        <v>0.99052024704090902</v>
      </c>
      <c r="S6198" t="s">
        <v>13004</v>
      </c>
      <c r="T6198" t="s">
        <v>13610</v>
      </c>
      <c r="U6198" t="s">
        <v>13610</v>
      </c>
      <c r="V6198" t="s">
        <v>13610</v>
      </c>
      <c r="W6198" t="s">
        <v>19733</v>
      </c>
      <c r="X6198">
        <v>26</v>
      </c>
      <c r="Y6198" t="s">
        <v>26282</v>
      </c>
      <c r="Z6198" t="s">
        <v>33053</v>
      </c>
      <c r="AA6198">
        <v>0.41304531369775771</v>
      </c>
      <c r="AB6198" t="str">
        <f>HYPERLINK("Melting_Curves/meltCurve_Q9NZI8_IGF2BP1.pdf", "Melting_Curves/meltCurve_Q9NZI8_IGF2BP1.pdf")</f>
        <v>Melting_Curves/meltCurve_Q9NZI8_IGF2BP1.pdf</v>
      </c>
    </row>
    <row r="6199" spans="1:28" x14ac:dyDescent="0.25">
      <c r="A6199" t="s">
        <v>6203</v>
      </c>
      <c r="B6199">
        <v>0.995954080203443</v>
      </c>
      <c r="C6199">
        <v>0.79169963553175304</v>
      </c>
      <c r="D6199">
        <v>0.461773066240379</v>
      </c>
      <c r="E6199">
        <v>0.44039674559242198</v>
      </c>
      <c r="F6199">
        <v>0.18598035201966201</v>
      </c>
      <c r="G6199">
        <v>0.122309627312326</v>
      </c>
      <c r="H6199">
        <v>4.73003951769458E-2</v>
      </c>
      <c r="I6199">
        <v>4.74484647640111E-2</v>
      </c>
      <c r="J6199">
        <v>7.9615615171593296E-2</v>
      </c>
      <c r="K6199">
        <v>3.5768110481819403E-2</v>
      </c>
      <c r="L6199">
        <v>617.38339572533505</v>
      </c>
      <c r="M6199">
        <v>13.163069452475099</v>
      </c>
      <c r="N6199">
        <v>47.146041128763201</v>
      </c>
      <c r="O6199">
        <v>45.859819227730299</v>
      </c>
      <c r="P6199">
        <v>-6.9411936628750101E-2</v>
      </c>
      <c r="Q6199">
        <v>3.2845005673714303E-2</v>
      </c>
      <c r="R6199">
        <v>0.96604977247929502</v>
      </c>
      <c r="S6199" t="s">
        <v>13005</v>
      </c>
      <c r="T6199" t="s">
        <v>13610</v>
      </c>
      <c r="U6199" t="s">
        <v>13610</v>
      </c>
      <c r="V6199" t="s">
        <v>13610</v>
      </c>
      <c r="W6199" t="s">
        <v>19734</v>
      </c>
      <c r="X6199">
        <v>1</v>
      </c>
      <c r="Y6199" t="s">
        <v>26283</v>
      </c>
      <c r="Z6199" t="s">
        <v>33054</v>
      </c>
      <c r="AA6199">
        <v>0.28972654311209312</v>
      </c>
      <c r="AB6199" t="str">
        <f>HYPERLINK("Melting_Curves/meltCurve_Q9NZJ6_COQ3.pdf", "Melting_Curves/meltCurve_Q9NZJ6_COQ3.pdf")</f>
        <v>Melting_Curves/meltCurve_Q9NZJ6_COQ3.pdf</v>
      </c>
    </row>
    <row r="6200" spans="1:28" x14ac:dyDescent="0.25">
      <c r="A6200" t="s">
        <v>6204</v>
      </c>
      <c r="B6200">
        <v>0.995954080203443</v>
      </c>
      <c r="C6200">
        <v>1.0099158066770599</v>
      </c>
      <c r="D6200">
        <v>0.731445118746056</v>
      </c>
      <c r="E6200">
        <v>0.63930765892701902</v>
      </c>
      <c r="F6200">
        <v>0.23425477975264999</v>
      </c>
      <c r="G6200">
        <v>9.3721442196218502E-2</v>
      </c>
      <c r="H6200">
        <v>5.8447625562340302E-2</v>
      </c>
      <c r="I6200">
        <v>5.3715304915840499E-2</v>
      </c>
      <c r="J6200">
        <v>6.5037783144304306E-2</v>
      </c>
      <c r="K6200">
        <v>5.9956448317412502E-2</v>
      </c>
      <c r="L6200">
        <v>928.75446565363302</v>
      </c>
      <c r="M6200">
        <v>18.528186069722601</v>
      </c>
      <c r="N6200">
        <v>50.318350893158602</v>
      </c>
      <c r="O6200">
        <v>49.553610606470002</v>
      </c>
      <c r="P6200">
        <v>-9.0292838000990402E-2</v>
      </c>
      <c r="Q6200">
        <v>3.4090378711948401E-2</v>
      </c>
      <c r="R6200">
        <v>0.97727017765457003</v>
      </c>
      <c r="S6200" t="s">
        <v>13006</v>
      </c>
      <c r="T6200" t="s">
        <v>13610</v>
      </c>
      <c r="U6200" t="s">
        <v>13610</v>
      </c>
      <c r="V6200" t="s">
        <v>13610</v>
      </c>
      <c r="W6200" t="s">
        <v>19735</v>
      </c>
      <c r="X6200">
        <v>7</v>
      </c>
      <c r="Y6200" t="s">
        <v>26284</v>
      </c>
      <c r="Z6200" t="s">
        <v>33055</v>
      </c>
      <c r="AA6200">
        <v>0.3757037961969758</v>
      </c>
      <c r="AB6200" t="str">
        <f>HYPERLINK("Melting_Curves/meltCurve_Q9NZJ9_NUDT4.pdf", "Melting_Curves/meltCurve_Q9NZJ9_NUDT4.pdf")</f>
        <v>Melting_Curves/meltCurve_Q9NZJ9_NUDT4.pdf</v>
      </c>
    </row>
    <row r="6201" spans="1:28" x14ac:dyDescent="0.25">
      <c r="A6201" t="s">
        <v>6205</v>
      </c>
      <c r="B6201">
        <v>0.995954080203443</v>
      </c>
      <c r="C6201">
        <v>0.86107542207761301</v>
      </c>
      <c r="D6201">
        <v>0.53548039029090699</v>
      </c>
      <c r="E6201">
        <v>0.25099370093443601</v>
      </c>
      <c r="F6201">
        <v>0.12601258332839199</v>
      </c>
      <c r="G6201">
        <v>6.8858070821892797E-2</v>
      </c>
      <c r="H6201">
        <v>4.9941877022315298E-2</v>
      </c>
      <c r="I6201">
        <v>4.8291702395810099E-2</v>
      </c>
      <c r="J6201">
        <v>5.36528043909235E-2</v>
      </c>
      <c r="K6201">
        <v>4.76217349281386E-2</v>
      </c>
      <c r="L6201">
        <v>941.71039551295303</v>
      </c>
      <c r="M6201">
        <v>20.306763867650499</v>
      </c>
      <c r="N6201">
        <v>46.615783365107198</v>
      </c>
      <c r="O6201">
        <v>45.931523355731301</v>
      </c>
      <c r="P6201">
        <v>-0.10501078581529801</v>
      </c>
      <c r="Q6201">
        <v>4.9940640036719199E-2</v>
      </c>
      <c r="R6201">
        <v>0.99767699106313201</v>
      </c>
      <c r="S6201" t="s">
        <v>13007</v>
      </c>
      <c r="T6201" t="s">
        <v>13610</v>
      </c>
      <c r="U6201" t="s">
        <v>13610</v>
      </c>
      <c r="V6201" t="s">
        <v>13610</v>
      </c>
      <c r="W6201" t="s">
        <v>19736</v>
      </c>
      <c r="X6201">
        <v>7</v>
      </c>
      <c r="Y6201" t="s">
        <v>26284</v>
      </c>
      <c r="Z6201" t="s">
        <v>33056</v>
      </c>
      <c r="AA6201">
        <v>0.26565639762193088</v>
      </c>
      <c r="AB6201" t="str">
        <f>HYPERLINK("Melting_Curves/meltCurve_Q9NZJ9_2_NUDT4.pdf", "Melting_Curves/meltCurve_Q9NZJ9_2_NUDT4.pdf")</f>
        <v>Melting_Curves/meltCurve_Q9NZJ9_2_NUDT4.pdf</v>
      </c>
    </row>
    <row r="6202" spans="1:28" x14ac:dyDescent="0.25">
      <c r="A6202" t="s">
        <v>6206</v>
      </c>
      <c r="B6202">
        <v>0.995954080203443</v>
      </c>
      <c r="C6202">
        <v>1.0280687712209899</v>
      </c>
      <c r="D6202">
        <v>1.0531853511673099</v>
      </c>
      <c r="E6202">
        <v>0.83153571069972998</v>
      </c>
      <c r="F6202">
        <v>0.40113766519834998</v>
      </c>
      <c r="G6202">
        <v>0.15331640474257999</v>
      </c>
      <c r="H6202">
        <v>8.08055490212366E-2</v>
      </c>
      <c r="I6202">
        <v>6.7271381126843194E-2</v>
      </c>
      <c r="J6202">
        <v>6.8687374048536906E-2</v>
      </c>
      <c r="K6202">
        <v>6.1501623240788901E-2</v>
      </c>
      <c r="L6202">
        <v>1809.0821947161301</v>
      </c>
      <c r="M6202">
        <v>34.689768510058798</v>
      </c>
      <c r="N6202">
        <v>52.392373343027103</v>
      </c>
      <c r="O6202">
        <v>51.977922374237302</v>
      </c>
      <c r="P6202">
        <v>-0.154495317772778</v>
      </c>
      <c r="Q6202">
        <v>7.40421695329921E-2</v>
      </c>
      <c r="R6202">
        <v>0.99658470075765304</v>
      </c>
      <c r="S6202" t="s">
        <v>13008</v>
      </c>
      <c r="T6202" t="s">
        <v>13610</v>
      </c>
      <c r="U6202" t="s">
        <v>13610</v>
      </c>
      <c r="V6202" t="s">
        <v>13610</v>
      </c>
      <c r="W6202" t="s">
        <v>13917</v>
      </c>
      <c r="X6202">
        <v>15</v>
      </c>
      <c r="Y6202" t="s">
        <v>20640</v>
      </c>
      <c r="Z6202" t="s">
        <v>33057</v>
      </c>
      <c r="AA6202">
        <v>0.45350467746773748</v>
      </c>
      <c r="AB6202" t="str">
        <f>HYPERLINK("Melting_Curves/meltCurve_Q9NZL4_HSPBP1.pdf", "Melting_Curves/meltCurve_Q9NZL4_HSPBP1.pdf")</f>
        <v>Melting_Curves/meltCurve_Q9NZL4_HSPBP1.pdf</v>
      </c>
    </row>
    <row r="6203" spans="1:28" x14ac:dyDescent="0.25">
      <c r="A6203" t="s">
        <v>6207</v>
      </c>
      <c r="B6203">
        <v>0.995954080203443</v>
      </c>
      <c r="C6203">
        <v>0.92805788771737696</v>
      </c>
      <c r="D6203">
        <v>0.84043190908921095</v>
      </c>
      <c r="E6203">
        <v>0.79063118726261095</v>
      </c>
      <c r="F6203">
        <v>0.597352776187002</v>
      </c>
      <c r="G6203">
        <v>0.306558012726377</v>
      </c>
      <c r="H6203">
        <v>0.106327176739829</v>
      </c>
      <c r="I6203">
        <v>0.103872602541269</v>
      </c>
      <c r="J6203">
        <v>0.10691523100306</v>
      </c>
      <c r="K6203">
        <v>0.10431607487132299</v>
      </c>
      <c r="L6203">
        <v>820.71722546234901</v>
      </c>
      <c r="M6203">
        <v>15.3253876624663</v>
      </c>
      <c r="N6203">
        <v>53.871044547743502</v>
      </c>
      <c r="O6203">
        <v>52.6658067034287</v>
      </c>
      <c r="P6203">
        <v>-6.9606301140887297E-2</v>
      </c>
      <c r="Q6203">
        <v>4.3278609071161801E-2</v>
      </c>
      <c r="R6203">
        <v>0.985450718797097</v>
      </c>
      <c r="S6203" t="s">
        <v>13009</v>
      </c>
      <c r="T6203" t="s">
        <v>13610</v>
      </c>
      <c r="U6203" t="s">
        <v>13610</v>
      </c>
      <c r="V6203" t="s">
        <v>13610</v>
      </c>
      <c r="W6203" t="s">
        <v>19737</v>
      </c>
      <c r="X6203">
        <v>18</v>
      </c>
      <c r="Y6203" t="s">
        <v>26285</v>
      </c>
      <c r="Z6203" t="s">
        <v>33058</v>
      </c>
      <c r="AA6203">
        <v>0.49500561355110417</v>
      </c>
      <c r="AB6203" t="str">
        <f>HYPERLINK("Melting_Curves/meltCurve_Q9NZL9_MAT2B.pdf", "Melting_Curves/meltCurve_Q9NZL9_MAT2B.pdf")</f>
        <v>Melting_Curves/meltCurve_Q9NZL9_MAT2B.pdf</v>
      </c>
    </row>
    <row r="6204" spans="1:28" x14ac:dyDescent="0.25">
      <c r="A6204" t="s">
        <v>6208</v>
      </c>
      <c r="B6204">
        <v>0.995954080203443</v>
      </c>
      <c r="C6204">
        <v>1.02486957772287</v>
      </c>
      <c r="D6204">
        <v>1.01333799812984</v>
      </c>
      <c r="E6204">
        <v>0.775858918409567</v>
      </c>
      <c r="F6204">
        <v>0.48107074004702499</v>
      </c>
      <c r="G6204">
        <v>0.26877451210118902</v>
      </c>
      <c r="H6204">
        <v>0.17825333880132299</v>
      </c>
      <c r="I6204">
        <v>0.16086798464473201</v>
      </c>
      <c r="J6204">
        <v>0.173225281746645</v>
      </c>
      <c r="K6204">
        <v>0.16556884370361899</v>
      </c>
      <c r="L6204">
        <v>1350.94234127252</v>
      </c>
      <c r="M6204">
        <v>25.9615203448476</v>
      </c>
      <c r="N6204">
        <v>52.862116857566399</v>
      </c>
      <c r="O6204">
        <v>51.7305193576032</v>
      </c>
      <c r="P6204">
        <v>-0.104551652060189</v>
      </c>
      <c r="Q6204">
        <v>0.16669747346849501</v>
      </c>
      <c r="R6204">
        <v>0.99755476390977704</v>
      </c>
      <c r="S6204" t="s">
        <v>13010</v>
      </c>
      <c r="T6204" t="s">
        <v>13610</v>
      </c>
      <c r="U6204" t="s">
        <v>13610</v>
      </c>
      <c r="V6204" t="s">
        <v>13610</v>
      </c>
      <c r="W6204" t="s">
        <v>19738</v>
      </c>
      <c r="X6204">
        <v>23</v>
      </c>
      <c r="Y6204" t="s">
        <v>26286</v>
      </c>
      <c r="Z6204" t="s">
        <v>33059</v>
      </c>
      <c r="AA6204">
        <v>0.50810275391412674</v>
      </c>
      <c r="AB6204" t="str">
        <f>HYPERLINK("Melting_Curves/meltCurve_Q9NZM3_2_ITSN2.pdf", "Melting_Curves/meltCurve_Q9NZM3_2_ITSN2.pdf")</f>
        <v>Melting_Curves/meltCurve_Q9NZM3_2_ITSN2.pdf</v>
      </c>
    </row>
    <row r="6205" spans="1:28" x14ac:dyDescent="0.25">
      <c r="A6205" t="s">
        <v>6209</v>
      </c>
      <c r="B6205">
        <v>0.995954080203443</v>
      </c>
      <c r="C6205">
        <v>0.87806251914494604</v>
      </c>
      <c r="D6205">
        <v>0.74282216483799601</v>
      </c>
      <c r="E6205">
        <v>0.58824564980416405</v>
      </c>
      <c r="F6205">
        <v>0.47158441127912598</v>
      </c>
      <c r="G6205">
        <v>0.27862125305865998</v>
      </c>
      <c r="H6205">
        <v>0.26147451614949302</v>
      </c>
      <c r="I6205">
        <v>0.29087480575496799</v>
      </c>
      <c r="J6205">
        <v>0.38708225209400399</v>
      </c>
      <c r="K6205">
        <v>0.35976786874316102</v>
      </c>
      <c r="L6205">
        <v>738.46940358248696</v>
      </c>
      <c r="M6205">
        <v>15.383758759353899</v>
      </c>
      <c r="N6205">
        <v>51.116346707518296</v>
      </c>
      <c r="O6205">
        <v>47.213977841651797</v>
      </c>
      <c r="P6205">
        <v>-5.6692834403560002E-2</v>
      </c>
      <c r="Q6205">
        <v>0.30408441819608201</v>
      </c>
      <c r="R6205">
        <v>0.96078420360456096</v>
      </c>
      <c r="S6205" t="s">
        <v>13011</v>
      </c>
      <c r="T6205" t="s">
        <v>13610</v>
      </c>
      <c r="U6205" t="s">
        <v>13610</v>
      </c>
      <c r="V6205" t="s">
        <v>13610</v>
      </c>
      <c r="W6205" t="s">
        <v>19739</v>
      </c>
      <c r="X6205">
        <v>6</v>
      </c>
      <c r="Y6205" t="s">
        <v>26287</v>
      </c>
      <c r="Z6205" t="s">
        <v>33060</v>
      </c>
      <c r="AA6205">
        <v>0.50676412671342197</v>
      </c>
      <c r="AB6205" t="str">
        <f>HYPERLINK("Melting_Curves/meltCurve_Q9NZM4_2_GLTSCR1.pdf", "Melting_Curves/meltCurve_Q9NZM4_2_GLTSCR1.pdf")</f>
        <v>Melting_Curves/meltCurve_Q9NZM4_2_GLTSCR1.pdf</v>
      </c>
    </row>
    <row r="6206" spans="1:28" x14ac:dyDescent="0.25">
      <c r="A6206" t="s">
        <v>6210</v>
      </c>
      <c r="B6206">
        <v>0.995954080203443</v>
      </c>
      <c r="C6206">
        <v>1.00618265187648</v>
      </c>
      <c r="D6206">
        <v>1.0093032771230801</v>
      </c>
      <c r="E6206">
        <v>0.83903822836608499</v>
      </c>
      <c r="F6206">
        <v>0.79555676822558197</v>
      </c>
      <c r="G6206">
        <v>0.61368967659266505</v>
      </c>
      <c r="H6206">
        <v>0.55114263881814396</v>
      </c>
      <c r="I6206">
        <v>0.64415311755456495</v>
      </c>
      <c r="J6206">
        <v>0.80590769720458</v>
      </c>
      <c r="K6206">
        <v>0.78250522283924095</v>
      </c>
      <c r="L6206">
        <v>1580.6621562211899</v>
      </c>
      <c r="M6206">
        <v>31.322968371402101</v>
      </c>
      <c r="O6206">
        <v>50.259010097648499</v>
      </c>
      <c r="P6206">
        <v>-4.9134707042236103E-2</v>
      </c>
      <c r="Q6206">
        <v>0.68464698577531602</v>
      </c>
      <c r="R6206">
        <v>0.77936803678891398</v>
      </c>
      <c r="S6206" t="s">
        <v>13012</v>
      </c>
      <c r="T6206" t="s">
        <v>13610</v>
      </c>
      <c r="U6206" t="s">
        <v>13610</v>
      </c>
      <c r="V6206" t="s">
        <v>13610</v>
      </c>
      <c r="W6206" t="s">
        <v>19740</v>
      </c>
      <c r="X6206">
        <v>9</v>
      </c>
      <c r="Y6206" t="s">
        <v>26288</v>
      </c>
      <c r="Z6206" t="s">
        <v>33061</v>
      </c>
      <c r="AA6206">
        <v>0.79643703215811523</v>
      </c>
      <c r="AB6206" t="str">
        <f>HYPERLINK("Melting_Curves/meltCurve_Q9NZM5_GLTSCR2.pdf", "Melting_Curves/meltCurve_Q9NZM5_GLTSCR2.pdf")</f>
        <v>Melting_Curves/meltCurve_Q9NZM5_GLTSCR2.pdf</v>
      </c>
    </row>
    <row r="6207" spans="1:28" x14ac:dyDescent="0.25">
      <c r="A6207" t="s">
        <v>6211</v>
      </c>
      <c r="B6207">
        <v>0.995954080203443</v>
      </c>
      <c r="C6207">
        <v>0.77075738081751899</v>
      </c>
      <c r="D6207">
        <v>0.51028356144504206</v>
      </c>
      <c r="E6207">
        <v>0.40710151358137903</v>
      </c>
      <c r="F6207">
        <v>0.29370328749191998</v>
      </c>
      <c r="G6207">
        <v>0.18896937677258099</v>
      </c>
      <c r="H6207">
        <v>0.16817551217242299</v>
      </c>
      <c r="I6207">
        <v>0.17474474065639301</v>
      </c>
      <c r="J6207">
        <v>0.191808311727102</v>
      </c>
      <c r="K6207">
        <v>0.19576147266008201</v>
      </c>
      <c r="L6207">
        <v>718.57493848742195</v>
      </c>
      <c r="M6207">
        <v>15.7224880818172</v>
      </c>
      <c r="N6207">
        <v>47.036068296865999</v>
      </c>
      <c r="O6207">
        <v>44.983420640792097</v>
      </c>
      <c r="P6207">
        <v>-7.1682513291445399E-2</v>
      </c>
      <c r="Q6207">
        <v>0.17970877391965701</v>
      </c>
      <c r="R6207">
        <v>0.97955590048730101</v>
      </c>
      <c r="S6207" t="s">
        <v>13013</v>
      </c>
      <c r="T6207" t="s">
        <v>13610</v>
      </c>
      <c r="U6207" t="s">
        <v>13610</v>
      </c>
      <c r="V6207" t="s">
        <v>13610</v>
      </c>
      <c r="W6207" t="s">
        <v>19741</v>
      </c>
      <c r="X6207">
        <v>11</v>
      </c>
      <c r="Y6207" t="s">
        <v>26289</v>
      </c>
      <c r="Z6207" t="s">
        <v>33062</v>
      </c>
      <c r="AA6207">
        <v>0.35789853765862628</v>
      </c>
      <c r="AB6207" t="str">
        <f>HYPERLINK("Melting_Curves/meltCurve_Q9NZN4_EHD2.pdf", "Melting_Curves/meltCurve_Q9NZN4_EHD2.pdf")</f>
        <v>Melting_Curves/meltCurve_Q9NZN4_EHD2.pdf</v>
      </c>
    </row>
    <row r="6208" spans="1:28" x14ac:dyDescent="0.25">
      <c r="A6208" t="s">
        <v>6212</v>
      </c>
      <c r="B6208">
        <v>0.995954080203443</v>
      </c>
      <c r="C6208">
        <v>0.99174835785862703</v>
      </c>
      <c r="D6208">
        <v>0.92392212982357103</v>
      </c>
      <c r="E6208">
        <v>0.63428189408611202</v>
      </c>
      <c r="F6208">
        <v>0.41438997602920302</v>
      </c>
      <c r="G6208">
        <v>0.28016898532460499</v>
      </c>
      <c r="H6208">
        <v>0.22228582814761499</v>
      </c>
      <c r="I6208">
        <v>0.24936408549406</v>
      </c>
      <c r="J6208">
        <v>0.30058543773486601</v>
      </c>
      <c r="K6208">
        <v>0.29178848053269502</v>
      </c>
      <c r="L6208">
        <v>1287.0149595522801</v>
      </c>
      <c r="M6208">
        <v>25.719207157788802</v>
      </c>
      <c r="N6208">
        <v>51.529346531616099</v>
      </c>
      <c r="O6208">
        <v>49.741417538129802</v>
      </c>
      <c r="P6208">
        <v>-9.53824013210397E-2</v>
      </c>
      <c r="Q6208">
        <v>0.26212361823387498</v>
      </c>
      <c r="R6208">
        <v>0.99474541191329002</v>
      </c>
      <c r="S6208" t="s">
        <v>13014</v>
      </c>
      <c r="T6208" t="s">
        <v>13610</v>
      </c>
      <c r="U6208" t="s">
        <v>13610</v>
      </c>
      <c r="V6208" t="s">
        <v>13610</v>
      </c>
      <c r="W6208" t="s">
        <v>19742</v>
      </c>
      <c r="X6208">
        <v>40</v>
      </c>
      <c r="Y6208" t="s">
        <v>26290</v>
      </c>
      <c r="Z6208" t="s">
        <v>33063</v>
      </c>
      <c r="AA6208">
        <v>0.51532288737542786</v>
      </c>
      <c r="AB6208" t="str">
        <f>HYPERLINK("Melting_Curves/meltCurve_Q9NZN5_2_ARHGEF12.pdf", "Melting_Curves/meltCurve_Q9NZN5_2_ARHGEF12.pdf")</f>
        <v>Melting_Curves/meltCurve_Q9NZN5_2_ARHGEF12.pdf</v>
      </c>
    </row>
    <row r="6209" spans="1:28" x14ac:dyDescent="0.25">
      <c r="A6209" t="s">
        <v>6213</v>
      </c>
      <c r="B6209">
        <v>0.995954080203443</v>
      </c>
      <c r="C6209">
        <v>0.95622594259846105</v>
      </c>
      <c r="D6209">
        <v>0.748178786183884</v>
      </c>
      <c r="E6209">
        <v>0.43007910859388399</v>
      </c>
      <c r="F6209">
        <v>0.22064559251173699</v>
      </c>
      <c r="G6209">
        <v>0.14526537938647499</v>
      </c>
      <c r="H6209">
        <v>0.104725003275425</v>
      </c>
      <c r="I6209">
        <v>9.8480767661224003E-2</v>
      </c>
      <c r="J6209">
        <v>0.13084444036985199</v>
      </c>
      <c r="K6209">
        <v>9.3201096335193204E-2</v>
      </c>
      <c r="L6209">
        <v>975.47766047651101</v>
      </c>
      <c r="M6209">
        <v>20.147547060966001</v>
      </c>
      <c r="N6209">
        <v>48.961675302245197</v>
      </c>
      <c r="O6209">
        <v>47.947283966425502</v>
      </c>
      <c r="P6209">
        <v>-9.4501689142796302E-2</v>
      </c>
      <c r="Q6209">
        <v>0.10044510593959501</v>
      </c>
      <c r="R6209">
        <v>0.99806923559474403</v>
      </c>
      <c r="S6209" t="s">
        <v>13015</v>
      </c>
      <c r="T6209" t="s">
        <v>13610</v>
      </c>
      <c r="U6209" t="s">
        <v>13610</v>
      </c>
      <c r="V6209" t="s">
        <v>13610</v>
      </c>
      <c r="W6209" t="s">
        <v>19743</v>
      </c>
      <c r="X6209">
        <v>11</v>
      </c>
      <c r="Y6209" t="s">
        <v>26291</v>
      </c>
      <c r="Z6209" t="s">
        <v>33064</v>
      </c>
      <c r="AA6209">
        <v>0.36531771440911359</v>
      </c>
      <c r="AB6209" t="str">
        <f>HYPERLINK("Melting_Curves/meltCurve_Q9NZQ3_3_NCKIPSD.pdf", "Melting_Curves/meltCurve_Q9NZQ3_3_NCKIPSD.pdf")</f>
        <v>Melting_Curves/meltCurve_Q9NZQ3_3_NCKIPSD.pdf</v>
      </c>
    </row>
    <row r="6210" spans="1:28" x14ac:dyDescent="0.25">
      <c r="A6210" t="s">
        <v>6214</v>
      </c>
      <c r="B6210">
        <v>0.995954080203443</v>
      </c>
      <c r="C6210">
        <v>1.6617730424338599</v>
      </c>
      <c r="D6210">
        <v>2.20884219344161</v>
      </c>
      <c r="E6210">
        <v>1.85289751899266</v>
      </c>
      <c r="F6210">
        <v>1.76171744279491</v>
      </c>
      <c r="G6210">
        <v>0.91939563939139002</v>
      </c>
      <c r="H6210">
        <v>8.5484366683353005E-2</v>
      </c>
      <c r="I6210">
        <v>6.4443849536976502E-2</v>
      </c>
      <c r="J6210">
        <v>4.7980126567454297E-2</v>
      </c>
      <c r="K6210">
        <v>6.8704901294355594E-2</v>
      </c>
      <c r="L6210">
        <v>5347.5284663097</v>
      </c>
      <c r="M6210">
        <v>91.428521966307599</v>
      </c>
      <c r="N6210">
        <v>58.572260564028099</v>
      </c>
      <c r="O6210">
        <v>58.460659168312503</v>
      </c>
      <c r="P6210">
        <v>-0.367052672505711</v>
      </c>
      <c r="Q6210">
        <v>6.1205892928132E-2</v>
      </c>
      <c r="R6210">
        <v>0.52041441038104197</v>
      </c>
      <c r="S6210" t="s">
        <v>13016</v>
      </c>
      <c r="T6210" t="s">
        <v>13610</v>
      </c>
      <c r="U6210" t="s">
        <v>13610</v>
      </c>
      <c r="V6210" t="s">
        <v>13610</v>
      </c>
      <c r="W6210" t="s">
        <v>19744</v>
      </c>
      <c r="X6210">
        <v>2</v>
      </c>
      <c r="Y6210" t="s">
        <v>26292</v>
      </c>
      <c r="Z6210" t="s">
        <v>33065</v>
      </c>
      <c r="AA6210">
        <v>0.64049446574394198</v>
      </c>
      <c r="AB6210" t="str">
        <f>HYPERLINK("Melting_Curves/meltCurve_Q9NZR2_LRP1B.pdf", "Melting_Curves/meltCurve_Q9NZR2_LRP1B.pdf")</f>
        <v>Melting_Curves/meltCurve_Q9NZR2_LRP1B.pdf</v>
      </c>
    </row>
    <row r="6211" spans="1:28" x14ac:dyDescent="0.25">
      <c r="A6211" t="s">
        <v>6215</v>
      </c>
      <c r="B6211">
        <v>0.995954080203443</v>
      </c>
      <c r="C6211">
        <v>0.91032149285151098</v>
      </c>
      <c r="D6211">
        <v>0.85025277658276999</v>
      </c>
      <c r="E6211">
        <v>0.690064709322039</v>
      </c>
      <c r="F6211">
        <v>0.59838015076138296</v>
      </c>
      <c r="G6211">
        <v>0.43829054941310802</v>
      </c>
      <c r="H6211">
        <v>0.41276001545921998</v>
      </c>
      <c r="I6211">
        <v>0.50985935435581797</v>
      </c>
      <c r="J6211">
        <v>0.61527200501476098</v>
      </c>
      <c r="K6211">
        <v>0.58355959385214495</v>
      </c>
      <c r="L6211">
        <v>919.37640754796598</v>
      </c>
      <c r="M6211">
        <v>19.198081236277101</v>
      </c>
      <c r="O6211">
        <v>47.378440885753903</v>
      </c>
      <c r="P6211">
        <v>-4.9399383371835297E-2</v>
      </c>
      <c r="Q6211">
        <v>0.512372791176674</v>
      </c>
      <c r="R6211">
        <v>0.89127346036364496</v>
      </c>
      <c r="S6211" t="s">
        <v>13017</v>
      </c>
      <c r="T6211" t="s">
        <v>13610</v>
      </c>
      <c r="U6211" t="s">
        <v>13610</v>
      </c>
      <c r="V6211" t="s">
        <v>13610</v>
      </c>
      <c r="W6211" t="s">
        <v>19745</v>
      </c>
      <c r="X6211">
        <v>18</v>
      </c>
      <c r="Y6211" t="s">
        <v>26293</v>
      </c>
      <c r="Z6211" t="s">
        <v>33066</v>
      </c>
      <c r="AA6211">
        <v>0.64817988882466004</v>
      </c>
      <c r="AB6211" t="str">
        <f>HYPERLINK("Melting_Curves/meltCurve_Q9NZT2_2_OGFR.pdf", "Melting_Curves/meltCurve_Q9NZT2_2_OGFR.pdf")</f>
        <v>Melting_Curves/meltCurve_Q9NZT2_2_OGFR.pdf</v>
      </c>
    </row>
    <row r="6212" spans="1:28" x14ac:dyDescent="0.25">
      <c r="A6212" t="s">
        <v>6216</v>
      </c>
      <c r="B6212">
        <v>0.995954080203443</v>
      </c>
      <c r="C6212">
        <v>1.2973408715941399</v>
      </c>
      <c r="D6212">
        <v>1.3857151712809299</v>
      </c>
      <c r="E6212">
        <v>1.2669857574757999</v>
      </c>
      <c r="F6212">
        <v>1.15209963595467</v>
      </c>
      <c r="G6212">
        <v>0.77056372988527</v>
      </c>
      <c r="H6212">
        <v>0.333200353936636</v>
      </c>
      <c r="I6212">
        <v>0.13051751402221801</v>
      </c>
      <c r="J6212">
        <v>0.121502792834911</v>
      </c>
      <c r="K6212">
        <v>0.10706494034285099</v>
      </c>
      <c r="L6212">
        <v>2221.4592827244101</v>
      </c>
      <c r="M6212">
        <v>37.668095015044898</v>
      </c>
      <c r="N6212">
        <v>59.352371286828998</v>
      </c>
      <c r="O6212">
        <v>58.8090746528529</v>
      </c>
      <c r="P6212">
        <v>-0.143059501952605</v>
      </c>
      <c r="Q6212">
        <v>0.10659931064994201</v>
      </c>
      <c r="R6212">
        <v>0.86756860421815196</v>
      </c>
      <c r="S6212" t="s">
        <v>13018</v>
      </c>
      <c r="T6212" t="s">
        <v>13610</v>
      </c>
      <c r="U6212" t="s">
        <v>13610</v>
      </c>
      <c r="V6212" t="s">
        <v>13610</v>
      </c>
      <c r="W6212" t="s">
        <v>19746</v>
      </c>
      <c r="X6212">
        <v>1</v>
      </c>
      <c r="Y6212" t="s">
        <v>26294</v>
      </c>
      <c r="Z6212" t="s">
        <v>33067</v>
      </c>
      <c r="AA6212">
        <v>0.67558875401961849</v>
      </c>
      <c r="AB6212" t="str">
        <f>HYPERLINK("Melting_Curves/meltCurve_Q9NZV6_MSRB1.pdf", "Melting_Curves/meltCurve_Q9NZV6_MSRB1.pdf")</f>
        <v>Melting_Curves/meltCurve_Q9NZV6_MSRB1.pdf</v>
      </c>
    </row>
    <row r="6213" spans="1:28" x14ac:dyDescent="0.25">
      <c r="A6213" t="s">
        <v>6217</v>
      </c>
      <c r="B6213">
        <v>0.995954080203443</v>
      </c>
      <c r="C6213">
        <v>0.942634324531194</v>
      </c>
      <c r="D6213">
        <v>0.69410807695772003</v>
      </c>
      <c r="E6213">
        <v>0.51783794686241402</v>
      </c>
      <c r="F6213">
        <v>0.258081222351491</v>
      </c>
      <c r="G6213">
        <v>0.154011020776158</v>
      </c>
      <c r="H6213">
        <v>0.11090268694397599</v>
      </c>
      <c r="I6213">
        <v>0.10405820418888399</v>
      </c>
      <c r="J6213">
        <v>0.13345906793262699</v>
      </c>
      <c r="K6213">
        <v>0.12043084306582801</v>
      </c>
      <c r="L6213">
        <v>806.66439940573503</v>
      </c>
      <c r="M6213">
        <v>16.558423411245801</v>
      </c>
      <c r="N6213">
        <v>49.367162283839598</v>
      </c>
      <c r="O6213">
        <v>48.022351589214502</v>
      </c>
      <c r="P6213">
        <v>-7.77534388926506E-2</v>
      </c>
      <c r="Q6213">
        <v>9.8067013812206005E-2</v>
      </c>
      <c r="R6213">
        <v>0.99023582891566897</v>
      </c>
      <c r="S6213" t="s">
        <v>13019</v>
      </c>
      <c r="T6213" t="s">
        <v>13610</v>
      </c>
      <c r="U6213" t="s">
        <v>13610</v>
      </c>
      <c r="V6213" t="s">
        <v>13610</v>
      </c>
      <c r="W6213" t="s">
        <v>19747</v>
      </c>
      <c r="X6213">
        <v>20</v>
      </c>
      <c r="Y6213" t="s">
        <v>26295</v>
      </c>
      <c r="Z6213" t="s">
        <v>33068</v>
      </c>
      <c r="AA6213">
        <v>0.37868342798146221</v>
      </c>
      <c r="AB6213" t="str">
        <f>HYPERLINK("Melting_Curves/meltCurve_Q9NZW5_MPP6.pdf", "Melting_Curves/meltCurve_Q9NZW5_MPP6.pdf")</f>
        <v>Melting_Curves/meltCurve_Q9NZW5_MPP6.pdf</v>
      </c>
    </row>
    <row r="6214" spans="1:28" x14ac:dyDescent="0.25">
      <c r="A6214" t="s">
        <v>6218</v>
      </c>
      <c r="B6214">
        <v>0.995954080203443</v>
      </c>
      <c r="C6214">
        <v>0.93223351013043099</v>
      </c>
      <c r="D6214">
        <v>0.86258983131321798</v>
      </c>
      <c r="E6214">
        <v>0.76943543674772497</v>
      </c>
      <c r="F6214">
        <v>0.73896209843000704</v>
      </c>
      <c r="G6214">
        <v>0.48715672766200302</v>
      </c>
      <c r="H6214">
        <v>0.461625643413408</v>
      </c>
      <c r="I6214">
        <v>0.49850804317853897</v>
      </c>
      <c r="J6214">
        <v>0.90994706223316102</v>
      </c>
      <c r="K6214">
        <v>0.58560824956666002</v>
      </c>
      <c r="L6214">
        <v>856.78066501003798</v>
      </c>
      <c r="M6214">
        <v>17.724937899059402</v>
      </c>
      <c r="O6214">
        <v>47.734903242884002</v>
      </c>
      <c r="P6214">
        <v>-3.75190377375033E-2</v>
      </c>
      <c r="Q6214">
        <v>0.59585215868565</v>
      </c>
      <c r="R6214">
        <v>0.58237767105400295</v>
      </c>
      <c r="S6214" t="s">
        <v>13020</v>
      </c>
      <c r="T6214" t="s">
        <v>13610</v>
      </c>
      <c r="U6214" t="s">
        <v>13610</v>
      </c>
      <c r="V6214" t="s">
        <v>13610</v>
      </c>
      <c r="W6214" t="s">
        <v>19748</v>
      </c>
      <c r="X6214">
        <v>8</v>
      </c>
      <c r="Y6214" t="s">
        <v>26296</v>
      </c>
      <c r="Z6214" t="s">
        <v>33069</v>
      </c>
      <c r="AA6214">
        <v>0.71550414383452676</v>
      </c>
      <c r="AB6214" t="str">
        <f>HYPERLINK("Melting_Curves/meltCurve_Q9NZZ3_CHMP5.pdf", "Melting_Curves/meltCurve_Q9NZZ3_CHMP5.pdf")</f>
        <v>Melting_Curves/meltCurve_Q9NZZ3_CHMP5.pdf</v>
      </c>
    </row>
    <row r="6215" spans="1:28" x14ac:dyDescent="0.25">
      <c r="A6215" t="s">
        <v>6219</v>
      </c>
      <c r="B6215">
        <v>0.995954080203443</v>
      </c>
      <c r="C6215">
        <v>0.86892155391289405</v>
      </c>
      <c r="D6215">
        <v>0.71397055629702999</v>
      </c>
      <c r="E6215">
        <v>0.806349494630348</v>
      </c>
      <c r="F6215">
        <v>0.72151186507694798</v>
      </c>
      <c r="G6215">
        <v>0.38097869326356998</v>
      </c>
      <c r="H6215">
        <v>0.14376244636428001</v>
      </c>
      <c r="I6215">
        <v>0.121855658735375</v>
      </c>
      <c r="J6215">
        <v>0.118070230643991</v>
      </c>
      <c r="K6215">
        <v>0.101603158998648</v>
      </c>
      <c r="L6215">
        <v>625.26055756847404</v>
      </c>
      <c r="M6215">
        <v>11.4189652437402</v>
      </c>
      <c r="N6215">
        <v>54.756323704255102</v>
      </c>
      <c r="O6215">
        <v>53.157710377287302</v>
      </c>
      <c r="P6215">
        <v>-5.37189268569866E-2</v>
      </c>
      <c r="Q6215">
        <v>0</v>
      </c>
      <c r="R6215">
        <v>0.93711999197020701</v>
      </c>
      <c r="S6215" t="s">
        <v>13021</v>
      </c>
      <c r="T6215" t="s">
        <v>13610</v>
      </c>
      <c r="U6215" t="s">
        <v>13610</v>
      </c>
      <c r="V6215" t="s">
        <v>13610</v>
      </c>
      <c r="W6215" t="s">
        <v>19749</v>
      </c>
      <c r="X6215">
        <v>9</v>
      </c>
      <c r="Y6215" t="s">
        <v>26297</v>
      </c>
      <c r="Z6215" t="s">
        <v>33070</v>
      </c>
      <c r="AA6215">
        <v>0.51688026988599589</v>
      </c>
      <c r="AB6215" t="str">
        <f>HYPERLINK("Melting_Curves/meltCurve_Q9P000_COMMD9.pdf", "Melting_Curves/meltCurve_Q9P000_COMMD9.pdf")</f>
        <v>Melting_Curves/meltCurve_Q9P000_COMMD9.pdf</v>
      </c>
    </row>
    <row r="6216" spans="1:28" x14ac:dyDescent="0.25">
      <c r="A6216" t="s">
        <v>6220</v>
      </c>
      <c r="B6216">
        <v>0.995954080203443</v>
      </c>
      <c r="C6216">
        <v>0.95244924593372804</v>
      </c>
      <c r="D6216">
        <v>1.0546015906159101</v>
      </c>
      <c r="E6216">
        <v>0.89289624610708995</v>
      </c>
      <c r="F6216">
        <v>0.984709465717442</v>
      </c>
      <c r="G6216">
        <v>0.77437185385641005</v>
      </c>
      <c r="H6216">
        <v>0.77209310836204204</v>
      </c>
      <c r="I6216">
        <v>0.92919491086494999</v>
      </c>
      <c r="J6216">
        <v>1.14577898864589</v>
      </c>
      <c r="K6216">
        <v>1.10559641421846</v>
      </c>
      <c r="L6216">
        <v>7637.4348895458097</v>
      </c>
      <c r="M6216">
        <v>116.121457514165</v>
      </c>
      <c r="O6216">
        <v>65.751574895236303</v>
      </c>
      <c r="P6216">
        <v>5.64615192856971E-2</v>
      </c>
      <c r="Q6216">
        <v>1.1278810863314901</v>
      </c>
      <c r="R6216">
        <v>0.10430521644713101</v>
      </c>
      <c r="S6216" t="s">
        <v>13022</v>
      </c>
      <c r="T6216" t="s">
        <v>13610</v>
      </c>
      <c r="U6216" t="s">
        <v>13610</v>
      </c>
      <c r="V6216" t="s">
        <v>13610</v>
      </c>
      <c r="W6216" t="s">
        <v>19750</v>
      </c>
      <c r="X6216">
        <v>11</v>
      </c>
      <c r="Y6216" t="s">
        <v>26298</v>
      </c>
      <c r="Z6216" t="s">
        <v>33071</v>
      </c>
      <c r="AA6216">
        <v>1.0179606130627279</v>
      </c>
      <c r="AB6216" t="str">
        <f>HYPERLINK("Melting_Curves/meltCurve_Q9P013_CWC15.pdf", "Melting_Curves/meltCurve_Q9P013_CWC15.pdf")</f>
        <v>Melting_Curves/meltCurve_Q9P013_CWC15.pdf</v>
      </c>
    </row>
    <row r="6217" spans="1:28" x14ac:dyDescent="0.25">
      <c r="A6217" t="s">
        <v>6221</v>
      </c>
      <c r="B6217">
        <v>0.995954080203443</v>
      </c>
      <c r="C6217">
        <v>0.98691584299936896</v>
      </c>
      <c r="D6217">
        <v>0.95187787144788705</v>
      </c>
      <c r="E6217">
        <v>0.42403667394339101</v>
      </c>
      <c r="F6217">
        <v>0.16769524918613801</v>
      </c>
      <c r="G6217">
        <v>0.112469537468096</v>
      </c>
      <c r="H6217">
        <v>8.8750501946613894E-2</v>
      </c>
      <c r="I6217">
        <v>9.7403069421276897E-2</v>
      </c>
      <c r="J6217">
        <v>0.107499900747967</v>
      </c>
      <c r="K6217">
        <v>0.101796660547766</v>
      </c>
      <c r="L6217">
        <v>1883.7292664244601</v>
      </c>
      <c r="M6217">
        <v>38.234761609810803</v>
      </c>
      <c r="N6217">
        <v>49.562140526619103</v>
      </c>
      <c r="O6217">
        <v>49.133259173666701</v>
      </c>
      <c r="P6217">
        <v>-0.174765187423814</v>
      </c>
      <c r="Q6217">
        <v>0.101680088070361</v>
      </c>
      <c r="R6217">
        <v>0.99963966867667897</v>
      </c>
      <c r="S6217" t="s">
        <v>13023</v>
      </c>
      <c r="T6217" t="s">
        <v>13610</v>
      </c>
      <c r="U6217" t="s">
        <v>13610</v>
      </c>
      <c r="V6217" t="s">
        <v>13610</v>
      </c>
      <c r="W6217" t="s">
        <v>19751</v>
      </c>
      <c r="X6217">
        <v>14</v>
      </c>
      <c r="Y6217" t="s">
        <v>26299</v>
      </c>
      <c r="Z6217" t="s">
        <v>33072</v>
      </c>
      <c r="AA6217">
        <v>0.38253911002987773</v>
      </c>
      <c r="AB6217" t="str">
        <f>HYPERLINK("Melting_Curves/meltCurve_Q9P016_THYN1.pdf", "Melting_Curves/meltCurve_Q9P016_THYN1.pdf")</f>
        <v>Melting_Curves/meltCurve_Q9P016_THYN1.pdf</v>
      </c>
    </row>
    <row r="6218" spans="1:28" x14ac:dyDescent="0.25">
      <c r="A6218" t="s">
        <v>6222</v>
      </c>
      <c r="B6218">
        <v>0.995954080203443</v>
      </c>
      <c r="C6218">
        <v>0.97737754271157895</v>
      </c>
      <c r="D6218">
        <v>0.98769548893607395</v>
      </c>
      <c r="E6218">
        <v>0.94258413640522898</v>
      </c>
      <c r="F6218">
        <v>0.95781075428629903</v>
      </c>
      <c r="G6218">
        <v>0.73301131491104499</v>
      </c>
      <c r="H6218">
        <v>0.687928312183538</v>
      </c>
      <c r="I6218">
        <v>0.78695095228311596</v>
      </c>
      <c r="J6218">
        <v>1.00808274287652</v>
      </c>
      <c r="K6218">
        <v>0.89684741952063096</v>
      </c>
      <c r="L6218">
        <v>13311.7414238703</v>
      </c>
      <c r="M6218">
        <v>250</v>
      </c>
      <c r="O6218">
        <v>53.243558258270099</v>
      </c>
      <c r="P6218">
        <v>-0.208283237679564</v>
      </c>
      <c r="Q6218">
        <v>0.82256414906553899</v>
      </c>
      <c r="R6218">
        <v>0.430783026865944</v>
      </c>
      <c r="S6218" t="s">
        <v>13024</v>
      </c>
      <c r="T6218" t="s">
        <v>13610</v>
      </c>
      <c r="U6218" t="s">
        <v>13610</v>
      </c>
      <c r="V6218" t="s">
        <v>13610</v>
      </c>
      <c r="W6218" t="s">
        <v>19752</v>
      </c>
      <c r="X6218">
        <v>4</v>
      </c>
      <c r="Y6218" t="s">
        <v>26300</v>
      </c>
      <c r="Z6218" t="s">
        <v>33073</v>
      </c>
      <c r="AA6218">
        <v>0.90093028436851297</v>
      </c>
      <c r="AB6218" t="str">
        <f>HYPERLINK("Melting_Curves/meltCurve_Q9P031_CCDC59.pdf", "Melting_Curves/meltCurve_Q9P031_CCDC59.pdf")</f>
        <v>Melting_Curves/meltCurve_Q9P031_CCDC59.pdf</v>
      </c>
    </row>
    <row r="6219" spans="1:28" x14ac:dyDescent="0.25">
      <c r="A6219" t="s">
        <v>6223</v>
      </c>
      <c r="B6219">
        <v>0.995954080203443</v>
      </c>
      <c r="C6219">
        <v>0.86796216182907904</v>
      </c>
      <c r="D6219">
        <v>0.72288075521115103</v>
      </c>
      <c r="E6219">
        <v>0.67625589095885297</v>
      </c>
      <c r="F6219">
        <v>0.42555976086717101</v>
      </c>
      <c r="G6219">
        <v>0.28507812317787501</v>
      </c>
      <c r="H6219">
        <v>0.25236270761033203</v>
      </c>
      <c r="I6219">
        <v>0.28439011891417598</v>
      </c>
      <c r="J6219">
        <v>0.364193194607771</v>
      </c>
      <c r="K6219">
        <v>0.35038233001539998</v>
      </c>
      <c r="L6219">
        <v>692.74953916831703</v>
      </c>
      <c r="M6219">
        <v>14.294147938911401</v>
      </c>
      <c r="N6219">
        <v>51.4978373497908</v>
      </c>
      <c r="O6219">
        <v>47.544923674998202</v>
      </c>
      <c r="P6219">
        <v>-5.3776566131707601E-2</v>
      </c>
      <c r="Q6219">
        <v>0.28460490430496399</v>
      </c>
      <c r="R6219">
        <v>0.94555469452849406</v>
      </c>
      <c r="S6219" t="s">
        <v>13025</v>
      </c>
      <c r="T6219" t="s">
        <v>13610</v>
      </c>
      <c r="U6219" t="s">
        <v>13610</v>
      </c>
      <c r="V6219" t="s">
        <v>13610</v>
      </c>
      <c r="W6219" t="s">
        <v>19753</v>
      </c>
      <c r="X6219">
        <v>3</v>
      </c>
      <c r="Y6219" t="s">
        <v>26301</v>
      </c>
      <c r="Z6219" t="s">
        <v>33074</v>
      </c>
      <c r="AA6219">
        <v>0.50621722936430702</v>
      </c>
      <c r="AB6219" t="str">
        <f>HYPERLINK("Melting_Curves/meltCurve_Q9P032_NDUFAF4.pdf", "Melting_Curves/meltCurve_Q9P032_NDUFAF4.pdf")</f>
        <v>Melting_Curves/meltCurve_Q9P032_NDUFAF4.pdf</v>
      </c>
    </row>
    <row r="6220" spans="1:28" x14ac:dyDescent="0.25">
      <c r="A6220" t="s">
        <v>6224</v>
      </c>
      <c r="B6220">
        <v>0.995954080203443</v>
      </c>
      <c r="C6220">
        <v>0.81243419959991103</v>
      </c>
      <c r="D6220">
        <v>0.64149316163760906</v>
      </c>
      <c r="E6220">
        <v>0.61701045583042202</v>
      </c>
      <c r="F6220">
        <v>0.17913346026902699</v>
      </c>
      <c r="G6220">
        <v>7.0635592973448305E-2</v>
      </c>
      <c r="H6220">
        <v>1.8887552841000299E-2</v>
      </c>
      <c r="I6220">
        <v>1.6573434280786899E-2</v>
      </c>
      <c r="J6220">
        <v>3.3650962920111202E-2</v>
      </c>
      <c r="K6220">
        <v>1.8094628515693399E-2</v>
      </c>
      <c r="L6220">
        <v>684.23774936765597</v>
      </c>
      <c r="M6220">
        <v>13.953543803416601</v>
      </c>
      <c r="N6220">
        <v>49.036843840354599</v>
      </c>
      <c r="O6220">
        <v>48.062595068960697</v>
      </c>
      <c r="P6220">
        <v>-7.2589771454241295E-2</v>
      </c>
      <c r="Q6220">
        <v>0</v>
      </c>
      <c r="R6220">
        <v>0.95694312599789499</v>
      </c>
      <c r="S6220" t="s">
        <v>13026</v>
      </c>
      <c r="T6220" t="s">
        <v>13610</v>
      </c>
      <c r="U6220" t="s">
        <v>13610</v>
      </c>
      <c r="V6220" t="s">
        <v>13610</v>
      </c>
      <c r="W6220" t="s">
        <v>19754</v>
      </c>
      <c r="X6220">
        <v>3</v>
      </c>
      <c r="Y6220" t="s">
        <v>26302</v>
      </c>
      <c r="Z6220" t="s">
        <v>33075</v>
      </c>
      <c r="AA6220">
        <v>0.32939833475177382</v>
      </c>
      <c r="AB6220" t="str">
        <f>HYPERLINK("Melting_Curves/meltCurve_Q9P035_PTPLAD1.pdf", "Melting_Curves/meltCurve_Q9P035_PTPLAD1.pdf")</f>
        <v>Melting_Curves/meltCurve_Q9P035_PTPLAD1.pdf</v>
      </c>
    </row>
    <row r="6221" spans="1:28" x14ac:dyDescent="0.25">
      <c r="A6221" t="s">
        <v>6225</v>
      </c>
      <c r="B6221">
        <v>0.995954080203443</v>
      </c>
      <c r="C6221">
        <v>0.64977759793612</v>
      </c>
      <c r="D6221">
        <v>0.60496630700045395</v>
      </c>
      <c r="E6221">
        <v>0.64112377573708601</v>
      </c>
      <c r="F6221">
        <v>0.54220873373733602</v>
      </c>
      <c r="G6221">
        <v>0.39290305055302299</v>
      </c>
      <c r="H6221">
        <v>0.32328088106553599</v>
      </c>
      <c r="I6221">
        <v>0.39003044115612601</v>
      </c>
      <c r="J6221">
        <v>0.435973204007779</v>
      </c>
      <c r="K6221">
        <v>0.47714630940643998</v>
      </c>
      <c r="L6221">
        <v>524.15563724553203</v>
      </c>
      <c r="M6221">
        <v>11.7668045446707</v>
      </c>
      <c r="N6221">
        <v>51.767577698162398</v>
      </c>
      <c r="O6221">
        <v>43.317121397543097</v>
      </c>
      <c r="P6221">
        <v>-4.0541871049570903E-2</v>
      </c>
      <c r="Q6221">
        <v>0.40316856667130802</v>
      </c>
      <c r="R6221">
        <v>0.80983130252235003</v>
      </c>
      <c r="S6221" t="s">
        <v>13027</v>
      </c>
      <c r="T6221" t="s">
        <v>13610</v>
      </c>
      <c r="U6221" t="s">
        <v>13610</v>
      </c>
      <c r="V6221" t="s">
        <v>13610</v>
      </c>
      <c r="W6221" t="s">
        <v>19755</v>
      </c>
      <c r="X6221">
        <v>5</v>
      </c>
      <c r="Y6221" t="s">
        <v>26303</v>
      </c>
      <c r="Z6221" t="s">
        <v>33076</v>
      </c>
      <c r="AA6221">
        <v>0.52597303998214517</v>
      </c>
      <c r="AB6221" t="str">
        <f>HYPERLINK("Melting_Curves/meltCurve_Q9P0J7_KCMF1.pdf", "Melting_Curves/meltCurve_Q9P0J7_KCMF1.pdf")</f>
        <v>Melting_Curves/meltCurve_Q9P0J7_KCMF1.pdf</v>
      </c>
    </row>
    <row r="6222" spans="1:28" x14ac:dyDescent="0.25">
      <c r="A6222" t="s">
        <v>6226</v>
      </c>
      <c r="B6222">
        <v>0.995954080203443</v>
      </c>
      <c r="C6222">
        <v>0.98408422635627202</v>
      </c>
      <c r="D6222">
        <v>0.938834337097468</v>
      </c>
      <c r="E6222">
        <v>0.73077842083742806</v>
      </c>
      <c r="F6222">
        <v>0.52664764859567603</v>
      </c>
      <c r="G6222">
        <v>0.36231359039865002</v>
      </c>
      <c r="H6222">
        <v>0.23278157454630999</v>
      </c>
      <c r="I6222">
        <v>0.200760240779078</v>
      </c>
      <c r="J6222">
        <v>0.229033386284969</v>
      </c>
      <c r="K6222">
        <v>0.20936524173214499</v>
      </c>
      <c r="L6222">
        <v>923.39288844506405</v>
      </c>
      <c r="M6222">
        <v>17.746117673204001</v>
      </c>
      <c r="N6222">
        <v>53.5317107705309</v>
      </c>
      <c r="O6222">
        <v>51.386262161243998</v>
      </c>
      <c r="P6222">
        <v>-6.9442582269774095E-2</v>
      </c>
      <c r="Q6222">
        <v>0.19572059008321299</v>
      </c>
      <c r="R6222">
        <v>0.99803396277530199</v>
      </c>
      <c r="S6222" t="s">
        <v>13028</v>
      </c>
      <c r="T6222" t="s">
        <v>13610</v>
      </c>
      <c r="U6222" t="s">
        <v>13610</v>
      </c>
      <c r="V6222" t="s">
        <v>13610</v>
      </c>
      <c r="W6222" t="s">
        <v>19756</v>
      </c>
      <c r="X6222">
        <v>24</v>
      </c>
      <c r="Y6222" t="s">
        <v>26304</v>
      </c>
      <c r="Z6222" t="s">
        <v>33077</v>
      </c>
      <c r="AA6222">
        <v>0.53203479075216775</v>
      </c>
      <c r="AB6222" t="str">
        <f>HYPERLINK("Melting_Curves/meltCurve_Q9P0K7_3_RAI14.pdf", "Melting_Curves/meltCurve_Q9P0K7_3_RAI14.pdf")</f>
        <v>Melting_Curves/meltCurve_Q9P0K7_3_RAI14.pdf</v>
      </c>
    </row>
    <row r="6223" spans="1:28" x14ac:dyDescent="0.25">
      <c r="A6223" t="s">
        <v>6227</v>
      </c>
      <c r="B6223">
        <v>0.995954080203443</v>
      </c>
      <c r="C6223">
        <v>0.99723035253011505</v>
      </c>
      <c r="D6223">
        <v>1.0025068538502799</v>
      </c>
      <c r="E6223">
        <v>0.91407012879024896</v>
      </c>
      <c r="F6223">
        <v>0.79384359103176905</v>
      </c>
      <c r="G6223">
        <v>0.629150839371168</v>
      </c>
      <c r="H6223">
        <v>0.52284589950448501</v>
      </c>
      <c r="I6223">
        <v>0.48159770878004499</v>
      </c>
      <c r="J6223">
        <v>0.465147175908731</v>
      </c>
      <c r="K6223">
        <v>0.385814487232014</v>
      </c>
      <c r="L6223">
        <v>860.736429155167</v>
      </c>
      <c r="M6223">
        <v>15.5154155962428</v>
      </c>
      <c r="N6223">
        <v>61.872951382576296</v>
      </c>
      <c r="O6223">
        <v>54.579142560508302</v>
      </c>
      <c r="P6223">
        <v>-4.26831553840092E-2</v>
      </c>
      <c r="Q6223">
        <v>0.39946078755342401</v>
      </c>
      <c r="R6223">
        <v>0.99417635232608903</v>
      </c>
      <c r="S6223" t="s">
        <v>13029</v>
      </c>
      <c r="T6223" t="s">
        <v>13610</v>
      </c>
      <c r="U6223" t="s">
        <v>13610</v>
      </c>
      <c r="V6223" t="s">
        <v>13610</v>
      </c>
      <c r="W6223" t="s">
        <v>19757</v>
      </c>
      <c r="X6223">
        <v>8</v>
      </c>
      <c r="Y6223" t="s">
        <v>26305</v>
      </c>
      <c r="Z6223" t="s">
        <v>33078</v>
      </c>
      <c r="AA6223">
        <v>0.72005857152508823</v>
      </c>
      <c r="AB6223" t="str">
        <f>HYPERLINK("Melting_Curves/meltCurve_Q9P0L0_VAPA.pdf", "Melting_Curves/meltCurve_Q9P0L0_VAPA.pdf")</f>
        <v>Melting_Curves/meltCurve_Q9P0L0_VAPA.pdf</v>
      </c>
    </row>
    <row r="6224" spans="1:28" x14ac:dyDescent="0.25">
      <c r="A6224" t="s">
        <v>6228</v>
      </c>
      <c r="B6224">
        <v>0.995954080203443</v>
      </c>
      <c r="C6224">
        <v>0.86342989421586103</v>
      </c>
      <c r="D6224">
        <v>0.739446219916159</v>
      </c>
      <c r="E6224">
        <v>0.39871438906406498</v>
      </c>
      <c r="F6224">
        <v>0.31686574729254002</v>
      </c>
      <c r="G6224">
        <v>0.213956108272957</v>
      </c>
      <c r="H6224">
        <v>0.176393242429182</v>
      </c>
      <c r="I6224">
        <v>0.19263488495245201</v>
      </c>
      <c r="J6224">
        <v>0.20384383897486399</v>
      </c>
      <c r="K6224">
        <v>0.20850053826776399</v>
      </c>
      <c r="L6224">
        <v>870.67808296949295</v>
      </c>
      <c r="M6224">
        <v>18.326576493622699</v>
      </c>
      <c r="N6224">
        <v>48.767389705342701</v>
      </c>
      <c r="O6224">
        <v>46.954183946869598</v>
      </c>
      <c r="P6224">
        <v>-7.9197198176992403E-2</v>
      </c>
      <c r="Q6224">
        <v>0.18839816008146701</v>
      </c>
      <c r="R6224">
        <v>0.99457183461056498</v>
      </c>
      <c r="S6224" t="s">
        <v>13030</v>
      </c>
      <c r="T6224" t="s">
        <v>13610</v>
      </c>
      <c r="U6224" t="s">
        <v>13610</v>
      </c>
      <c r="V6224" t="s">
        <v>13610</v>
      </c>
      <c r="W6224" t="s">
        <v>19758</v>
      </c>
      <c r="X6224">
        <v>4</v>
      </c>
      <c r="Y6224" t="s">
        <v>26306</v>
      </c>
      <c r="Z6224" t="s">
        <v>33079</v>
      </c>
      <c r="AA6224">
        <v>0.40563568163634689</v>
      </c>
      <c r="AB6224" t="str">
        <f>HYPERLINK("Melting_Curves/meltCurve_Q9P0N9_3_TBC1D7.pdf", "Melting_Curves/meltCurve_Q9P0N9_3_TBC1D7.pdf")</f>
        <v>Melting_Curves/meltCurve_Q9P0N9_3_TBC1D7.pdf</v>
      </c>
    </row>
    <row r="6225" spans="1:28" x14ac:dyDescent="0.25">
      <c r="A6225" t="s">
        <v>6229</v>
      </c>
      <c r="B6225">
        <v>0.995954080203443</v>
      </c>
      <c r="C6225">
        <v>1.0688481406652699</v>
      </c>
      <c r="D6225">
        <v>1.0049945424932001</v>
      </c>
      <c r="E6225">
        <v>0.754586275035383</v>
      </c>
      <c r="F6225">
        <v>0.391669755945947</v>
      </c>
      <c r="G6225">
        <v>0.18132211043989699</v>
      </c>
      <c r="H6225">
        <v>0.110002811721677</v>
      </c>
      <c r="I6225">
        <v>8.1368807917979305E-2</v>
      </c>
      <c r="J6225">
        <v>8.2703019462402896E-2</v>
      </c>
      <c r="K6225">
        <v>7.8571749213306202E-2</v>
      </c>
      <c r="L6225">
        <v>1466.1430349397101</v>
      </c>
      <c r="M6225">
        <v>28.308125154178502</v>
      </c>
      <c r="N6225">
        <v>52.151391396937697</v>
      </c>
      <c r="O6225">
        <v>51.535911849798403</v>
      </c>
      <c r="P6225">
        <v>-0.125163792396703</v>
      </c>
      <c r="Q6225">
        <v>8.8547630656564194E-2</v>
      </c>
      <c r="R6225">
        <v>0.99561350739149501</v>
      </c>
      <c r="S6225" t="s">
        <v>13031</v>
      </c>
      <c r="T6225" t="s">
        <v>13610</v>
      </c>
      <c r="U6225" t="s">
        <v>13610</v>
      </c>
      <c r="V6225" t="s">
        <v>13610</v>
      </c>
      <c r="W6225" t="s">
        <v>19759</v>
      </c>
      <c r="X6225">
        <v>2</v>
      </c>
      <c r="Y6225" t="s">
        <v>26307</v>
      </c>
      <c r="Z6225" t="s">
        <v>33080</v>
      </c>
      <c r="AA6225">
        <v>0.45333037531761983</v>
      </c>
      <c r="AB6225" t="str">
        <f>HYPERLINK("Melting_Curves/meltCurve_Q9P0P8_C6orf203.pdf", "Melting_Curves/meltCurve_Q9P0P8_C6orf203.pdf")</f>
        <v>Melting_Curves/meltCurve_Q9P0P8_C6orf203.pdf</v>
      </c>
    </row>
    <row r="6226" spans="1:28" x14ac:dyDescent="0.25">
      <c r="A6226" t="s">
        <v>6230</v>
      </c>
      <c r="B6226">
        <v>0.995954080203443</v>
      </c>
      <c r="C6226">
        <v>1.0924954049636</v>
      </c>
      <c r="D6226">
        <v>1.03273758504199</v>
      </c>
      <c r="E6226">
        <v>1.0072284445914499</v>
      </c>
      <c r="F6226">
        <v>0.97117122721585802</v>
      </c>
      <c r="G6226">
        <v>0.70768206003471601</v>
      </c>
      <c r="H6226">
        <v>0.52828500210497498</v>
      </c>
      <c r="I6226">
        <v>0.41896904385190498</v>
      </c>
      <c r="J6226">
        <v>0.40122695311054002</v>
      </c>
      <c r="K6226">
        <v>0.33888803457411498</v>
      </c>
      <c r="L6226">
        <v>1392.89716312465</v>
      </c>
      <c r="M6226">
        <v>24.0477739193642</v>
      </c>
      <c r="N6226">
        <v>61.120877107995803</v>
      </c>
      <c r="O6226">
        <v>57.525986519436799</v>
      </c>
      <c r="P6226">
        <v>-6.7098779138895601E-2</v>
      </c>
      <c r="Q6226">
        <v>0.35796736606025997</v>
      </c>
      <c r="R6226">
        <v>0.98281178691682602</v>
      </c>
      <c r="S6226" t="s">
        <v>13032</v>
      </c>
      <c r="T6226" t="s">
        <v>13610</v>
      </c>
      <c r="U6226" t="s">
        <v>13610</v>
      </c>
      <c r="V6226" t="s">
        <v>13610</v>
      </c>
      <c r="W6226" t="s">
        <v>19760</v>
      </c>
      <c r="X6226">
        <v>4</v>
      </c>
      <c r="Y6226" t="s">
        <v>26308</v>
      </c>
      <c r="Z6226" t="s">
        <v>33081</v>
      </c>
      <c r="AA6226">
        <v>0.74743023336589165</v>
      </c>
      <c r="AB6226" t="str">
        <f>HYPERLINK("Melting_Curves/meltCurve_Q9P0R6_GSKIP.pdf", "Melting_Curves/meltCurve_Q9P0R6_GSKIP.pdf")</f>
        <v>Melting_Curves/meltCurve_Q9P0R6_GSKIP.pdf</v>
      </c>
    </row>
    <row r="6227" spans="1:28" x14ac:dyDescent="0.25">
      <c r="A6227" t="s">
        <v>6231</v>
      </c>
      <c r="B6227">
        <v>0.995954080203443</v>
      </c>
      <c r="C6227">
        <v>0.77596539930947095</v>
      </c>
      <c r="D6227">
        <v>0.631828923938203</v>
      </c>
      <c r="E6227">
        <v>0.52849226702074303</v>
      </c>
      <c r="F6227">
        <v>0.46868716850160402</v>
      </c>
      <c r="G6227">
        <v>0.35097811436766602</v>
      </c>
      <c r="H6227">
        <v>0.31751583595569499</v>
      </c>
      <c r="I6227">
        <v>0.37345712475978399</v>
      </c>
      <c r="J6227">
        <v>0.42501061411057001</v>
      </c>
      <c r="K6227">
        <v>0.426328223545685</v>
      </c>
      <c r="L6227">
        <v>732.40812894744295</v>
      </c>
      <c r="M6227">
        <v>16.2092590819503</v>
      </c>
      <c r="N6227">
        <v>49.587752553907997</v>
      </c>
      <c r="O6227">
        <v>44.513615507246897</v>
      </c>
      <c r="P6227">
        <v>-5.6313597036230498E-2</v>
      </c>
      <c r="Q6227">
        <v>0.38145599836546701</v>
      </c>
      <c r="R6227">
        <v>0.95107339544444203</v>
      </c>
      <c r="S6227" t="s">
        <v>13033</v>
      </c>
      <c r="T6227" t="s">
        <v>13610</v>
      </c>
      <c r="U6227" t="s">
        <v>13610</v>
      </c>
      <c r="V6227" t="s">
        <v>13610</v>
      </c>
      <c r="W6227" t="s">
        <v>19761</v>
      </c>
      <c r="X6227">
        <v>15</v>
      </c>
      <c r="Y6227" t="s">
        <v>26309</v>
      </c>
      <c r="Z6227" t="s">
        <v>33082</v>
      </c>
      <c r="AA6227">
        <v>0.50485505795393437</v>
      </c>
      <c r="AB6227" t="str">
        <f>HYPERLINK("Melting_Curves/meltCurve_Q9P0U4_CXXC1.pdf", "Melting_Curves/meltCurve_Q9P0U4_CXXC1.pdf")</f>
        <v>Melting_Curves/meltCurve_Q9P0U4_CXXC1.pdf</v>
      </c>
    </row>
    <row r="6228" spans="1:28" x14ac:dyDescent="0.25">
      <c r="A6228" t="s">
        <v>6232</v>
      </c>
      <c r="B6228">
        <v>0.995954080203443</v>
      </c>
      <c r="C6228">
        <v>0.93822609439248195</v>
      </c>
      <c r="D6228">
        <v>0.89439290380291503</v>
      </c>
      <c r="E6228">
        <v>0.73168539915780195</v>
      </c>
      <c r="F6228">
        <v>0.58127277470634597</v>
      </c>
      <c r="G6228">
        <v>0.350631057563208</v>
      </c>
      <c r="H6228">
        <v>0.26635367121467801</v>
      </c>
      <c r="I6228">
        <v>0.28431410603548302</v>
      </c>
      <c r="J6228">
        <v>0.38172974313574898</v>
      </c>
      <c r="K6228">
        <v>0.37626650995710198</v>
      </c>
      <c r="L6228">
        <v>987.765913053747</v>
      </c>
      <c r="M6228">
        <v>19.353152539317399</v>
      </c>
      <c r="N6228">
        <v>53.763579548721502</v>
      </c>
      <c r="O6228">
        <v>50.503456529138198</v>
      </c>
      <c r="P6228">
        <v>-6.5867067423551695E-2</v>
      </c>
      <c r="Q6228">
        <v>0.31248602665387998</v>
      </c>
      <c r="R6228">
        <v>0.97111709933034596</v>
      </c>
      <c r="S6228" t="s">
        <v>13034</v>
      </c>
      <c r="T6228" t="s">
        <v>13610</v>
      </c>
      <c r="U6228" t="s">
        <v>13610</v>
      </c>
      <c r="V6228" t="s">
        <v>13610</v>
      </c>
      <c r="W6228" t="s">
        <v>19762</v>
      </c>
      <c r="X6228">
        <v>10</v>
      </c>
      <c r="Y6228" t="s">
        <v>26310</v>
      </c>
      <c r="Z6228" t="s">
        <v>33083</v>
      </c>
      <c r="AA6228">
        <v>0.57561292893657479</v>
      </c>
      <c r="AB6228" t="str">
        <f>HYPERLINK("Melting_Curves/meltCurve_Q9P0W2_HMG20B.pdf", "Melting_Curves/meltCurve_Q9P0W2_HMG20B.pdf")</f>
        <v>Melting_Curves/meltCurve_Q9P0W2_HMG20B.pdf</v>
      </c>
    </row>
    <row r="6229" spans="1:28" x14ac:dyDescent="0.25">
      <c r="A6229" t="s">
        <v>6233</v>
      </c>
      <c r="B6229">
        <v>0.995954080203443</v>
      </c>
      <c r="C6229">
        <v>1.0095861950234499</v>
      </c>
      <c r="D6229">
        <v>0.93640648047282704</v>
      </c>
      <c r="E6229">
        <v>0.76436424507552203</v>
      </c>
      <c r="F6229">
        <v>0.43445145289816001</v>
      </c>
      <c r="G6229">
        <v>0.26129843102860101</v>
      </c>
      <c r="H6229">
        <v>0.21981093955948999</v>
      </c>
      <c r="I6229">
        <v>0.24509515115282199</v>
      </c>
      <c r="J6229">
        <v>0.28336219139914798</v>
      </c>
      <c r="K6229">
        <v>0.266597475160395</v>
      </c>
      <c r="L6229">
        <v>1631.11776915524</v>
      </c>
      <c r="M6229">
        <v>31.890870809456899</v>
      </c>
      <c r="N6229">
        <v>52.276543501229902</v>
      </c>
      <c r="O6229">
        <v>50.947003645305401</v>
      </c>
      <c r="P6229">
        <v>-0.117525421403707</v>
      </c>
      <c r="Q6229">
        <v>0.248996695339647</v>
      </c>
      <c r="R6229">
        <v>0.99535965361447098</v>
      </c>
      <c r="S6229" t="s">
        <v>13035</v>
      </c>
      <c r="T6229" t="s">
        <v>13610</v>
      </c>
      <c r="U6229" t="s">
        <v>13610</v>
      </c>
      <c r="V6229" t="s">
        <v>13610</v>
      </c>
      <c r="W6229" t="s">
        <v>19763</v>
      </c>
      <c r="X6229">
        <v>18</v>
      </c>
      <c r="Y6229" t="s">
        <v>26311</v>
      </c>
      <c r="Z6229" t="s">
        <v>33084</v>
      </c>
      <c r="AA6229">
        <v>0.53222859861658778</v>
      </c>
      <c r="AB6229" t="str">
        <f>HYPERLINK("Melting_Curves/meltCurve_Q9P107_GMIP.pdf", "Melting_Curves/meltCurve_Q9P107_GMIP.pdf")</f>
        <v>Melting_Curves/meltCurve_Q9P107_GMIP.pdf</v>
      </c>
    </row>
    <row r="6230" spans="1:28" x14ac:dyDescent="0.25">
      <c r="A6230" t="s">
        <v>6234</v>
      </c>
      <c r="B6230">
        <v>0.995954080203443</v>
      </c>
      <c r="C6230">
        <v>1.1585520323779199</v>
      </c>
      <c r="D6230">
        <v>0.97350300701099701</v>
      </c>
      <c r="E6230">
        <v>1.24361187628215</v>
      </c>
      <c r="F6230">
        <v>0.98994074737267701</v>
      </c>
      <c r="G6230">
        <v>0.73600286798827796</v>
      </c>
      <c r="H6230">
        <v>0.63050633892902197</v>
      </c>
      <c r="I6230">
        <v>0.62863625401922596</v>
      </c>
      <c r="J6230">
        <v>0.591753101775779</v>
      </c>
      <c r="K6230">
        <v>0.54654293950487098</v>
      </c>
      <c r="L6230">
        <v>3154.5070690922898</v>
      </c>
      <c r="M6230">
        <v>55.954776833266898</v>
      </c>
      <c r="O6230">
        <v>56.304139270603997</v>
      </c>
      <c r="P6230">
        <v>-0.100055671647214</v>
      </c>
      <c r="Q6230">
        <v>0.59727868257250805</v>
      </c>
      <c r="R6230">
        <v>0.84408879757495303</v>
      </c>
      <c r="S6230" t="s">
        <v>13036</v>
      </c>
      <c r="T6230" t="s">
        <v>13610</v>
      </c>
      <c r="U6230" t="s">
        <v>13610</v>
      </c>
      <c r="V6230" t="s">
        <v>13610</v>
      </c>
      <c r="W6230" t="s">
        <v>19764</v>
      </c>
      <c r="X6230">
        <v>2</v>
      </c>
      <c r="Y6230" t="s">
        <v>26312</v>
      </c>
      <c r="Z6230" t="s">
        <v>33085</v>
      </c>
      <c r="AA6230">
        <v>0.81790931053647631</v>
      </c>
      <c r="AB6230" t="str">
        <f>HYPERLINK("Melting_Curves/meltCurve_Q9P1F3_ABRACL.pdf", "Melting_Curves/meltCurve_Q9P1F3_ABRACL.pdf")</f>
        <v>Melting_Curves/meltCurve_Q9P1F3_ABRACL.pdf</v>
      </c>
    </row>
    <row r="6231" spans="1:28" x14ac:dyDescent="0.25">
      <c r="A6231" t="s">
        <v>6235</v>
      </c>
      <c r="B6231">
        <v>0.995954080203443</v>
      </c>
      <c r="C6231">
        <v>0.803601164863043</v>
      </c>
      <c r="D6231">
        <v>0.46847658380525597</v>
      </c>
      <c r="E6231">
        <v>0.28724939118687798</v>
      </c>
      <c r="F6231">
        <v>0.14911183783418999</v>
      </c>
      <c r="G6231">
        <v>0.104704107013728</v>
      </c>
      <c r="H6231">
        <v>9.81858190316129E-2</v>
      </c>
      <c r="I6231">
        <v>6.7777496400418302E-2</v>
      </c>
      <c r="J6231">
        <v>0.11810971262062001</v>
      </c>
      <c r="K6231">
        <v>8.9565250294747906E-2</v>
      </c>
      <c r="L6231">
        <v>894.64532259358896</v>
      </c>
      <c r="M6231">
        <v>19.610157555556299</v>
      </c>
      <c r="N6231">
        <v>46.116950003631203</v>
      </c>
      <c r="O6231">
        <v>45.155058318579798</v>
      </c>
      <c r="P6231">
        <v>-9.8262568247909798E-2</v>
      </c>
      <c r="Q6231">
        <v>9.4980073302467202E-2</v>
      </c>
      <c r="R6231">
        <v>0.99114093928442304</v>
      </c>
      <c r="S6231" t="s">
        <v>13037</v>
      </c>
      <c r="T6231" t="s">
        <v>13610</v>
      </c>
      <c r="U6231" t="s">
        <v>13610</v>
      </c>
      <c r="V6231" t="s">
        <v>13610</v>
      </c>
      <c r="W6231" t="s">
        <v>19765</v>
      </c>
      <c r="X6231">
        <v>2</v>
      </c>
      <c r="Y6231" t="s">
        <v>26313</v>
      </c>
      <c r="Z6231" t="s">
        <v>33086</v>
      </c>
      <c r="AA6231">
        <v>0.2796449076298364</v>
      </c>
      <c r="AB6231" t="str">
        <f>HYPERLINK("Melting_Curves/meltCurve_Q9P1Q0_3_VPS54.pdf", "Melting_Curves/meltCurve_Q9P1Q0_3_VPS54.pdf")</f>
        <v>Melting_Curves/meltCurve_Q9P1Q0_3_VPS54.pdf</v>
      </c>
    </row>
    <row r="6232" spans="1:28" x14ac:dyDescent="0.25">
      <c r="A6232" t="s">
        <v>6236</v>
      </c>
      <c r="B6232">
        <v>0.995954080203443</v>
      </c>
      <c r="C6232">
        <v>0.73328842603393296</v>
      </c>
      <c r="D6232">
        <v>0.64945418223570395</v>
      </c>
      <c r="E6232">
        <v>0.90825638595673197</v>
      </c>
      <c r="F6232">
        <v>1.0103349759671201</v>
      </c>
      <c r="G6232">
        <v>0.77621777786330304</v>
      </c>
      <c r="H6232">
        <v>0.708245716679055</v>
      </c>
      <c r="I6232">
        <v>0.83672627542715206</v>
      </c>
      <c r="J6232">
        <v>0.97077085913529904</v>
      </c>
      <c r="K6232">
        <v>0.88899991153903801</v>
      </c>
      <c r="L6232">
        <v>10148.1723297844</v>
      </c>
      <c r="M6232">
        <v>250</v>
      </c>
      <c r="O6232">
        <v>40.590091640127099</v>
      </c>
      <c r="P6232">
        <v>-0.25965995160701499</v>
      </c>
      <c r="Q6232">
        <v>0.83136606043461303</v>
      </c>
      <c r="R6232">
        <v>0.16696800015482799</v>
      </c>
      <c r="S6232" t="s">
        <v>13038</v>
      </c>
      <c r="T6232" t="s">
        <v>13610</v>
      </c>
      <c r="U6232" t="s">
        <v>13610</v>
      </c>
      <c r="V6232" t="s">
        <v>13610</v>
      </c>
      <c r="W6232" t="s">
        <v>19766</v>
      </c>
      <c r="X6232">
        <v>3</v>
      </c>
      <c r="Y6232" t="s">
        <v>26314</v>
      </c>
      <c r="Z6232" t="s">
        <v>33087</v>
      </c>
      <c r="AA6232">
        <v>0.83473104218914129</v>
      </c>
      <c r="AB6232" t="str">
        <f>HYPERLINK("Melting_Curves/meltCurve_Q9P1U0_ZNRD1.pdf", "Melting_Curves/meltCurve_Q9P1U0_ZNRD1.pdf")</f>
        <v>Melting_Curves/meltCurve_Q9P1U0_ZNRD1.pdf</v>
      </c>
    </row>
    <row r="6233" spans="1:28" x14ac:dyDescent="0.25">
      <c r="A6233" t="s">
        <v>6237</v>
      </c>
      <c r="B6233">
        <v>0.995954080203443</v>
      </c>
      <c r="C6233">
        <v>0.91158431851759703</v>
      </c>
      <c r="D6233">
        <v>0.89854160139552197</v>
      </c>
      <c r="E6233">
        <v>0.82076675169887003</v>
      </c>
      <c r="F6233">
        <v>0.65843177921540597</v>
      </c>
      <c r="G6233">
        <v>0.46653764770659101</v>
      </c>
      <c r="H6233">
        <v>0.25503147506067297</v>
      </c>
      <c r="I6233">
        <v>0.30524614750128998</v>
      </c>
      <c r="J6233">
        <v>0.31682314117207599</v>
      </c>
      <c r="K6233">
        <v>0.33733208998060299</v>
      </c>
      <c r="L6233">
        <v>878.111501097001</v>
      </c>
      <c r="M6233">
        <v>16.572877785819301</v>
      </c>
      <c r="N6233">
        <v>55.668667626101197</v>
      </c>
      <c r="O6233">
        <v>52.2314111132848</v>
      </c>
      <c r="P6233">
        <v>-5.7505465587112399E-2</v>
      </c>
      <c r="Q6233">
        <v>0.27510774268218702</v>
      </c>
      <c r="R6233">
        <v>0.97317466131460595</v>
      </c>
      <c r="S6233" t="s">
        <v>13039</v>
      </c>
      <c r="T6233" t="s">
        <v>13610</v>
      </c>
      <c r="U6233" t="s">
        <v>13610</v>
      </c>
      <c r="V6233" t="s">
        <v>13610</v>
      </c>
      <c r="W6233" t="s">
        <v>19767</v>
      </c>
      <c r="X6233">
        <v>7</v>
      </c>
      <c r="Y6233" t="s">
        <v>26315</v>
      </c>
      <c r="Z6233" t="s">
        <v>33088</v>
      </c>
      <c r="AA6233">
        <v>0.60236474736388534</v>
      </c>
      <c r="AB6233" t="str">
        <f>HYPERLINK("Melting_Curves/meltCurve_Q9P1U1_ACTR3B.pdf", "Melting_Curves/meltCurve_Q9P1U1_ACTR3B.pdf")</f>
        <v>Melting_Curves/meltCurve_Q9P1U1_ACTR3B.pdf</v>
      </c>
    </row>
    <row r="6234" spans="1:28" x14ac:dyDescent="0.25">
      <c r="A6234" t="s">
        <v>6238</v>
      </c>
      <c r="B6234">
        <v>0.995954080203443</v>
      </c>
      <c r="C6234">
        <v>1.0131128535544101</v>
      </c>
      <c r="D6234">
        <v>1.1290068245131699</v>
      </c>
      <c r="E6234">
        <v>0.87925619551344902</v>
      </c>
      <c r="F6234">
        <v>0.69131292334493499</v>
      </c>
      <c r="G6234">
        <v>0.29688557713698999</v>
      </c>
      <c r="H6234">
        <v>0.17612109787486999</v>
      </c>
      <c r="I6234">
        <v>0.17048785254104201</v>
      </c>
      <c r="J6234">
        <v>0.20958773592331101</v>
      </c>
      <c r="K6234">
        <v>0.20987350169697599</v>
      </c>
      <c r="L6234">
        <v>1671.6495501347199</v>
      </c>
      <c r="M6234">
        <v>31.136363238573999</v>
      </c>
      <c r="N6234">
        <v>54.498143835144496</v>
      </c>
      <c r="O6234">
        <v>53.468020080436702</v>
      </c>
      <c r="P6234">
        <v>-0.11861435254958801</v>
      </c>
      <c r="Q6234">
        <v>0.18525641481153099</v>
      </c>
      <c r="R6234">
        <v>0.98429690039128703</v>
      </c>
      <c r="S6234" t="s">
        <v>13040</v>
      </c>
      <c r="T6234" t="s">
        <v>13610</v>
      </c>
      <c r="U6234" t="s">
        <v>13610</v>
      </c>
      <c r="V6234" t="s">
        <v>13610</v>
      </c>
      <c r="W6234" t="s">
        <v>19768</v>
      </c>
      <c r="X6234">
        <v>20</v>
      </c>
      <c r="Y6234" t="s">
        <v>26316</v>
      </c>
      <c r="Z6234" t="s">
        <v>33089</v>
      </c>
      <c r="AA6234">
        <v>0.56195696219543378</v>
      </c>
      <c r="AB6234" t="str">
        <f>HYPERLINK("Melting_Curves/meltCurve_Q9P1Z2_2_CALCOCO1.pdf", "Melting_Curves/meltCurve_Q9P1Z2_2_CALCOCO1.pdf")</f>
        <v>Melting_Curves/meltCurve_Q9P1Z2_2_CALCOCO1.pdf</v>
      </c>
    </row>
    <row r="6235" spans="1:28" x14ac:dyDescent="0.25">
      <c r="A6235" t="s">
        <v>6239</v>
      </c>
      <c r="B6235">
        <v>0.995954080203443</v>
      </c>
      <c r="C6235">
        <v>0.93836451470164695</v>
      </c>
      <c r="D6235">
        <v>0.97274484375264003</v>
      </c>
      <c r="E6235">
        <v>0.84488266861111905</v>
      </c>
      <c r="F6235">
        <v>0.84919293044842603</v>
      </c>
      <c r="G6235">
        <v>0.64736046910733802</v>
      </c>
      <c r="H6235">
        <v>0.62082179155495798</v>
      </c>
      <c r="I6235">
        <v>0.73269486362371405</v>
      </c>
      <c r="J6235">
        <v>0.890947899414264</v>
      </c>
      <c r="K6235">
        <v>0.85959174192453403</v>
      </c>
      <c r="L6235">
        <v>1285.6549040903501</v>
      </c>
      <c r="M6235">
        <v>26.1143456985012</v>
      </c>
      <c r="O6235">
        <v>48.945773702576602</v>
      </c>
      <c r="P6235">
        <v>-3.2269882048691502E-2</v>
      </c>
      <c r="Q6235">
        <v>0.75807067933618399</v>
      </c>
      <c r="R6235">
        <v>0.54759945609807703</v>
      </c>
      <c r="S6235" t="s">
        <v>13041</v>
      </c>
      <c r="T6235" t="s">
        <v>13610</v>
      </c>
      <c r="U6235" t="s">
        <v>13610</v>
      </c>
      <c r="V6235" t="s">
        <v>13610</v>
      </c>
      <c r="W6235" t="s">
        <v>19769</v>
      </c>
      <c r="X6235">
        <v>17</v>
      </c>
      <c r="Y6235" t="s">
        <v>26317</v>
      </c>
      <c r="Z6235" t="s">
        <v>33090</v>
      </c>
      <c r="AA6235">
        <v>0.83448219132364665</v>
      </c>
      <c r="AB6235" t="str">
        <f>HYPERLINK("Melting_Curves/meltCurve_Q9P206_2_KIAA1522.pdf", "Melting_Curves/meltCurve_Q9P206_2_KIAA1522.pdf")</f>
        <v>Melting_Curves/meltCurve_Q9P206_2_KIAA1522.pdf</v>
      </c>
    </row>
    <row r="6236" spans="1:28" x14ac:dyDescent="0.25">
      <c r="A6236" t="s">
        <v>6240</v>
      </c>
      <c r="B6236">
        <v>0.995954080203443</v>
      </c>
      <c r="C6236">
        <v>0.98418050531660795</v>
      </c>
      <c r="D6236">
        <v>0.91424800668823203</v>
      </c>
      <c r="E6236">
        <v>0.77725848300227596</v>
      </c>
      <c r="F6236">
        <v>0.57998858777595996</v>
      </c>
      <c r="G6236">
        <v>0.27617833834361</v>
      </c>
      <c r="H6236">
        <v>0.19294406298677699</v>
      </c>
      <c r="I6236">
        <v>0.156512385445089</v>
      </c>
      <c r="J6236">
        <v>0.13999424162594801</v>
      </c>
      <c r="K6236">
        <v>0.17051536606926801</v>
      </c>
      <c r="L6236">
        <v>1010.83276824112</v>
      </c>
      <c r="M6236">
        <v>19.144362320339599</v>
      </c>
      <c r="N6236">
        <v>53.676757895150203</v>
      </c>
      <c r="O6236">
        <v>52.234556833892498</v>
      </c>
      <c r="P6236">
        <v>-7.9334152208527103E-2</v>
      </c>
      <c r="Q6236">
        <v>0.134194446260131</v>
      </c>
      <c r="R6236">
        <v>0.99676684338452903</v>
      </c>
      <c r="S6236" t="s">
        <v>13042</v>
      </c>
      <c r="T6236" t="s">
        <v>13610</v>
      </c>
      <c r="U6236" t="s">
        <v>13610</v>
      </c>
      <c r="V6236" t="s">
        <v>13610</v>
      </c>
      <c r="W6236" t="s">
        <v>19770</v>
      </c>
      <c r="X6236">
        <v>6</v>
      </c>
      <c r="Y6236" t="s">
        <v>26318</v>
      </c>
      <c r="Z6236" t="s">
        <v>33091</v>
      </c>
      <c r="AA6236">
        <v>0.51647053463234893</v>
      </c>
      <c r="AB6236" t="str">
        <f>HYPERLINK("Melting_Curves/meltCurve_Q9P209_CEP72.pdf", "Melting_Curves/meltCurve_Q9P209_CEP72.pdf")</f>
        <v>Melting_Curves/meltCurve_Q9P209_CEP72.pdf</v>
      </c>
    </row>
    <row r="6237" spans="1:28" x14ac:dyDescent="0.25">
      <c r="A6237" t="s">
        <v>6241</v>
      </c>
      <c r="B6237">
        <v>0.995954080203443</v>
      </c>
      <c r="C6237">
        <v>0.78336985465249398</v>
      </c>
      <c r="D6237">
        <v>0.54550151961696203</v>
      </c>
      <c r="E6237">
        <v>0.35416768160767698</v>
      </c>
      <c r="F6237">
        <v>0.21258388336567599</v>
      </c>
      <c r="G6237">
        <v>0.13125911351806899</v>
      </c>
      <c r="H6237">
        <v>9.7434210040253294E-2</v>
      </c>
      <c r="I6237">
        <v>9.4507798955659902E-2</v>
      </c>
      <c r="J6237">
        <v>0.10771932575943501</v>
      </c>
      <c r="K6237">
        <v>0.10639038372349401</v>
      </c>
      <c r="L6237">
        <v>722.93364893907801</v>
      </c>
      <c r="M6237">
        <v>15.575483965790299</v>
      </c>
      <c r="N6237">
        <v>47.033893640287403</v>
      </c>
      <c r="O6237">
        <v>45.669926751753202</v>
      </c>
      <c r="P6237">
        <v>-7.7366168136976193E-2</v>
      </c>
      <c r="Q6237">
        <v>9.2676854779112902E-2</v>
      </c>
      <c r="R6237">
        <v>0.99196248705705803</v>
      </c>
      <c r="S6237" t="s">
        <v>13043</v>
      </c>
      <c r="T6237" t="s">
        <v>13610</v>
      </c>
      <c r="U6237" t="s">
        <v>13610</v>
      </c>
      <c r="V6237" t="s">
        <v>13610</v>
      </c>
      <c r="W6237" t="s">
        <v>19771</v>
      </c>
      <c r="X6237">
        <v>5</v>
      </c>
      <c r="Y6237" t="s">
        <v>26319</v>
      </c>
      <c r="Z6237" t="s">
        <v>33092</v>
      </c>
      <c r="AA6237">
        <v>0.31038433443900088</v>
      </c>
      <c r="AB6237" t="str">
        <f>HYPERLINK("Melting_Curves/meltCurve_Q9P215_POGK.pdf", "Melting_Curves/meltCurve_Q9P215_POGK.pdf")</f>
        <v>Melting_Curves/meltCurve_Q9P215_POGK.pdf</v>
      </c>
    </row>
    <row r="6238" spans="1:28" x14ac:dyDescent="0.25">
      <c r="A6238" t="s">
        <v>6242</v>
      </c>
      <c r="B6238">
        <v>0.995954080203443</v>
      </c>
      <c r="C6238">
        <v>0.96476710028496104</v>
      </c>
      <c r="D6238">
        <v>0.70165952922003805</v>
      </c>
      <c r="E6238">
        <v>0.52847064435569302</v>
      </c>
      <c r="F6238">
        <v>0.35633804407557701</v>
      </c>
      <c r="G6238">
        <v>0.21317429429472901</v>
      </c>
      <c r="H6238">
        <v>0.166898332545169</v>
      </c>
      <c r="I6238">
        <v>0.176865764855897</v>
      </c>
      <c r="J6238">
        <v>0.237112926120843</v>
      </c>
      <c r="K6238">
        <v>0.209966270595524</v>
      </c>
      <c r="L6238">
        <v>814.26132569611195</v>
      </c>
      <c r="M6238">
        <v>16.7957597592425</v>
      </c>
      <c r="N6238">
        <v>49.838858306405598</v>
      </c>
      <c r="O6238">
        <v>47.808552364546202</v>
      </c>
      <c r="P6238">
        <v>-7.1699861693884995E-2</v>
      </c>
      <c r="Q6238">
        <v>0.18368795131192001</v>
      </c>
      <c r="R6238">
        <v>0.98527154427411201</v>
      </c>
      <c r="S6238" t="s">
        <v>13044</v>
      </c>
      <c r="T6238" t="s">
        <v>13610</v>
      </c>
      <c r="U6238" t="s">
        <v>13610</v>
      </c>
      <c r="V6238" t="s">
        <v>13610</v>
      </c>
      <c r="W6238" t="s">
        <v>19772</v>
      </c>
      <c r="X6238">
        <v>10</v>
      </c>
      <c r="Y6238" t="s">
        <v>26320</v>
      </c>
      <c r="Z6238" t="s">
        <v>33093</v>
      </c>
      <c r="AA6238">
        <v>0.43088780075590799</v>
      </c>
      <c r="AB6238" t="str">
        <f>HYPERLINK("Melting_Curves/meltCurve_Q9P219_CCDC88C.pdf", "Melting_Curves/meltCurve_Q9P219_CCDC88C.pdf")</f>
        <v>Melting_Curves/meltCurve_Q9P219_CCDC88C.pdf</v>
      </c>
    </row>
    <row r="6239" spans="1:28" x14ac:dyDescent="0.25">
      <c r="A6239" t="s">
        <v>6243</v>
      </c>
      <c r="B6239">
        <v>0.995954080203443</v>
      </c>
      <c r="C6239">
        <v>1.185835774396</v>
      </c>
      <c r="D6239">
        <v>1.1403248099741401</v>
      </c>
      <c r="E6239">
        <v>0.91625352967111295</v>
      </c>
      <c r="F6239">
        <v>0.707388961478009</v>
      </c>
      <c r="G6239">
        <v>0.51246922954408303</v>
      </c>
      <c r="H6239">
        <v>0.40823270547972901</v>
      </c>
      <c r="I6239">
        <v>0.42730735015339799</v>
      </c>
      <c r="J6239">
        <v>0.38159581645312002</v>
      </c>
      <c r="K6239">
        <v>0.49828284378846399</v>
      </c>
      <c r="L6239">
        <v>1718.55303417402</v>
      </c>
      <c r="M6239">
        <v>32.437540912474503</v>
      </c>
      <c r="N6239">
        <v>56.445769506317298</v>
      </c>
      <c r="O6239">
        <v>52.780231456149799</v>
      </c>
      <c r="P6239">
        <v>-8.7308681423873005E-2</v>
      </c>
      <c r="Q6239">
        <v>0.431750956364157</v>
      </c>
      <c r="R6239">
        <v>0.92816085253168501</v>
      </c>
      <c r="S6239" t="s">
        <v>13045</v>
      </c>
      <c r="T6239" t="s">
        <v>13610</v>
      </c>
      <c r="U6239" t="s">
        <v>13610</v>
      </c>
      <c r="V6239" t="s">
        <v>13610</v>
      </c>
      <c r="W6239" t="s">
        <v>19773</v>
      </c>
      <c r="X6239">
        <v>1</v>
      </c>
      <c r="Y6239" t="s">
        <v>26321</v>
      </c>
      <c r="Z6239" t="s">
        <v>33094</v>
      </c>
      <c r="AA6239">
        <v>0.68077894811951134</v>
      </c>
      <c r="AB6239" t="str">
        <f>HYPERLINK("Melting_Curves/meltCurve_Q9P244_LRFN1.pdf", "Melting_Curves/meltCurve_Q9P244_LRFN1.pdf")</f>
        <v>Melting_Curves/meltCurve_Q9P244_LRFN1.pdf</v>
      </c>
    </row>
    <row r="6240" spans="1:28" x14ac:dyDescent="0.25">
      <c r="A6240" t="s">
        <v>6244</v>
      </c>
      <c r="B6240">
        <v>0.995954080203443</v>
      </c>
      <c r="C6240">
        <v>1.03138210298094</v>
      </c>
      <c r="D6240">
        <v>0.962713913290277</v>
      </c>
      <c r="E6240">
        <v>0.79979780314478299</v>
      </c>
      <c r="F6240">
        <v>0.75985200599733804</v>
      </c>
      <c r="G6240">
        <v>0.60233439309535897</v>
      </c>
      <c r="H6240">
        <v>0.50913322402878802</v>
      </c>
      <c r="I6240">
        <v>0.63720646697358096</v>
      </c>
      <c r="J6240">
        <v>0.64431464626574697</v>
      </c>
      <c r="K6240">
        <v>0.71228529826548104</v>
      </c>
      <c r="L6240">
        <v>1240.0751024072299</v>
      </c>
      <c r="M6240">
        <v>24.654698454986601</v>
      </c>
      <c r="O6240">
        <v>49.970320385387801</v>
      </c>
      <c r="P6240">
        <v>-4.6589137325265498E-2</v>
      </c>
      <c r="Q6240">
        <v>0.62229658359218798</v>
      </c>
      <c r="R6240">
        <v>0.89981134067423796</v>
      </c>
      <c r="S6240" t="s">
        <v>13046</v>
      </c>
      <c r="T6240" t="s">
        <v>13610</v>
      </c>
      <c r="U6240" t="s">
        <v>13610</v>
      </c>
      <c r="V6240" t="s">
        <v>13610</v>
      </c>
      <c r="W6240" t="s">
        <v>19774</v>
      </c>
      <c r="X6240">
        <v>2</v>
      </c>
      <c r="Y6240" t="s">
        <v>26322</v>
      </c>
      <c r="Z6240" t="s">
        <v>33095</v>
      </c>
      <c r="AA6240">
        <v>0.75542764781271277</v>
      </c>
      <c r="AB6240" t="str">
        <f>HYPERLINK("Melting_Curves/meltCurve_Q9P246_STIM2.pdf", "Melting_Curves/meltCurve_Q9P246_STIM2.pdf")</f>
        <v>Melting_Curves/meltCurve_Q9P246_STIM2.pdf</v>
      </c>
    </row>
    <row r="6241" spans="1:28" x14ac:dyDescent="0.25">
      <c r="A6241" t="s">
        <v>6245</v>
      </c>
      <c r="B6241">
        <v>0.995954080203443</v>
      </c>
      <c r="C6241">
        <v>0.72352975909208905</v>
      </c>
      <c r="D6241">
        <v>0.56411218372612704</v>
      </c>
      <c r="E6241">
        <v>0.41239490165972797</v>
      </c>
      <c r="F6241">
        <v>0.174187066494981</v>
      </c>
      <c r="G6241">
        <v>0.110712705630443</v>
      </c>
      <c r="H6241">
        <v>8.1475641231762305E-2</v>
      </c>
      <c r="I6241">
        <v>8.1413296851185604E-2</v>
      </c>
      <c r="J6241">
        <v>9.3386501137225394E-2</v>
      </c>
      <c r="K6241">
        <v>8.8698010379499398E-2</v>
      </c>
      <c r="L6241">
        <v>641.95779504267603</v>
      </c>
      <c r="M6241">
        <v>13.740634110129699</v>
      </c>
      <c r="N6241">
        <v>47.173679502556801</v>
      </c>
      <c r="O6241">
        <v>45.763436961390099</v>
      </c>
      <c r="P6241">
        <v>-7.0424201838568706E-2</v>
      </c>
      <c r="Q6241">
        <v>6.1936762354504502E-2</v>
      </c>
      <c r="R6241">
        <v>0.97905011775491801</v>
      </c>
      <c r="S6241" t="s">
        <v>13047</v>
      </c>
      <c r="T6241" t="s">
        <v>13610</v>
      </c>
      <c r="U6241" t="s">
        <v>13610</v>
      </c>
      <c r="V6241" t="s">
        <v>13610</v>
      </c>
      <c r="W6241" t="s">
        <v>19775</v>
      </c>
      <c r="X6241">
        <v>17</v>
      </c>
      <c r="Y6241" t="s">
        <v>26323</v>
      </c>
      <c r="Z6241" t="s">
        <v>33096</v>
      </c>
      <c r="AA6241">
        <v>0.30307663826755432</v>
      </c>
      <c r="AB6241" t="str">
        <f>HYPERLINK("Melting_Curves/meltCurve_Q9P253_VPS18.pdf", "Melting_Curves/meltCurve_Q9P253_VPS18.pdf")</f>
        <v>Melting_Curves/meltCurve_Q9P253_VPS18.pdf</v>
      </c>
    </row>
    <row r="6242" spans="1:28" x14ac:dyDescent="0.25">
      <c r="A6242" t="s">
        <v>6246</v>
      </c>
      <c r="B6242">
        <v>0.995954080203443</v>
      </c>
      <c r="C6242">
        <v>0.94332977607240498</v>
      </c>
      <c r="D6242">
        <v>0.94412934309645102</v>
      </c>
      <c r="E6242">
        <v>0.73729619394334101</v>
      </c>
      <c r="F6242">
        <v>0.27248897537998901</v>
      </c>
      <c r="G6242">
        <v>0.102575314398988</v>
      </c>
      <c r="H6242">
        <v>7.1269273149118004E-2</v>
      </c>
      <c r="I6242">
        <v>6.5091280877777893E-2</v>
      </c>
      <c r="J6242">
        <v>7.2818045455603594E-2</v>
      </c>
      <c r="K6242">
        <v>6.73227777402578E-2</v>
      </c>
      <c r="L6242">
        <v>1852.46735861774</v>
      </c>
      <c r="M6242">
        <v>36.169939146004602</v>
      </c>
      <c r="N6242">
        <v>51.428147526216101</v>
      </c>
      <c r="O6242">
        <v>51.059863855256403</v>
      </c>
      <c r="P6242">
        <v>-0.16480465324628801</v>
      </c>
      <c r="Q6242">
        <v>6.9406552857261994E-2</v>
      </c>
      <c r="R6242">
        <v>0.99678690112660395</v>
      </c>
      <c r="S6242" t="s">
        <v>13048</v>
      </c>
      <c r="T6242" t="s">
        <v>13610</v>
      </c>
      <c r="U6242" t="s">
        <v>13610</v>
      </c>
      <c r="V6242" t="s">
        <v>13610</v>
      </c>
      <c r="W6242" t="s">
        <v>19776</v>
      </c>
      <c r="X6242">
        <v>32</v>
      </c>
      <c r="Y6242" t="s">
        <v>26324</v>
      </c>
      <c r="Z6242" t="s">
        <v>33097</v>
      </c>
      <c r="AA6242">
        <v>0.42134782737376603</v>
      </c>
      <c r="AB6242" t="str">
        <f>HYPERLINK("Melting_Curves/meltCurve_Q9P258_RCC2.pdf", "Melting_Curves/meltCurve_Q9P258_RCC2.pdf")</f>
        <v>Melting_Curves/meltCurve_Q9P258_RCC2.pdf</v>
      </c>
    </row>
    <row r="6243" spans="1:28" x14ac:dyDescent="0.25">
      <c r="A6243" t="s">
        <v>6247</v>
      </c>
      <c r="B6243">
        <v>0.995954080203443</v>
      </c>
      <c r="C6243">
        <v>0.89538561926698401</v>
      </c>
      <c r="D6243">
        <v>0.83670193313345798</v>
      </c>
      <c r="E6243">
        <v>0.618816396795413</v>
      </c>
      <c r="F6243">
        <v>0.32013752245882598</v>
      </c>
      <c r="G6243">
        <v>0.163161372068831</v>
      </c>
      <c r="H6243">
        <v>0.11061283872522</v>
      </c>
      <c r="I6243">
        <v>0.110506074940904</v>
      </c>
      <c r="J6243">
        <v>0.133737716935594</v>
      </c>
      <c r="K6243">
        <v>0.122228802258341</v>
      </c>
      <c r="L6243">
        <v>911.53446158997895</v>
      </c>
      <c r="M6243">
        <v>18.158092332541599</v>
      </c>
      <c r="N6243">
        <v>50.802156635445797</v>
      </c>
      <c r="O6243">
        <v>49.602909960781901</v>
      </c>
      <c r="P6243">
        <v>-8.2659123980126703E-2</v>
      </c>
      <c r="Q6243">
        <v>9.6834811187233694E-2</v>
      </c>
      <c r="R6243">
        <v>0.991221213972314</v>
      </c>
      <c r="S6243" t="s">
        <v>13049</v>
      </c>
      <c r="T6243" t="s">
        <v>13610</v>
      </c>
      <c r="U6243" t="s">
        <v>13610</v>
      </c>
      <c r="V6243" t="s">
        <v>13610</v>
      </c>
      <c r="W6243" t="s">
        <v>19777</v>
      </c>
      <c r="X6243">
        <v>15</v>
      </c>
      <c r="Y6243" t="s">
        <v>26325</v>
      </c>
      <c r="Z6243" t="s">
        <v>33098</v>
      </c>
      <c r="AA6243">
        <v>0.41902015149768962</v>
      </c>
      <c r="AB6243" t="str">
        <f>HYPERLINK("Melting_Curves/meltCurve_Q9P260_KIAA1468.pdf", "Melting_Curves/meltCurve_Q9P260_KIAA1468.pdf")</f>
        <v>Melting_Curves/meltCurve_Q9P260_KIAA1468.pdf</v>
      </c>
    </row>
    <row r="6244" spans="1:28" x14ac:dyDescent="0.25">
      <c r="A6244" t="s">
        <v>6248</v>
      </c>
      <c r="B6244">
        <v>0.995954080203443</v>
      </c>
      <c r="C6244">
        <v>1.03004388535699</v>
      </c>
      <c r="D6244">
        <v>0.96902497916437602</v>
      </c>
      <c r="E6244">
        <v>0.77868724428978497</v>
      </c>
      <c r="F6244">
        <v>0.38875132249816002</v>
      </c>
      <c r="G6244">
        <v>0.242014123410043</v>
      </c>
      <c r="H6244">
        <v>9.8420229900650996E-2</v>
      </c>
      <c r="I6244">
        <v>7.7358228413279106E-2</v>
      </c>
      <c r="J6244">
        <v>0</v>
      </c>
      <c r="K6244">
        <v>2.4820359386634499E-2</v>
      </c>
      <c r="L6244">
        <v>1123.0451031272901</v>
      </c>
      <c r="M6244">
        <v>21.4507166444665</v>
      </c>
      <c r="N6244">
        <v>52.544583638482997</v>
      </c>
      <c r="O6244">
        <v>51.906025723005001</v>
      </c>
      <c r="P6244">
        <v>-9.94638975910105E-2</v>
      </c>
      <c r="Q6244">
        <v>3.7300556795875697E-2</v>
      </c>
      <c r="R6244">
        <v>0.99145916073668505</v>
      </c>
      <c r="S6244" t="s">
        <v>13050</v>
      </c>
      <c r="T6244" t="s">
        <v>13610</v>
      </c>
      <c r="U6244" t="s">
        <v>13610</v>
      </c>
      <c r="V6244" t="s">
        <v>13610</v>
      </c>
      <c r="W6244" t="s">
        <v>19778</v>
      </c>
      <c r="X6244">
        <v>15</v>
      </c>
      <c r="Y6244" t="s">
        <v>26325</v>
      </c>
      <c r="Z6244" t="s">
        <v>33099</v>
      </c>
      <c r="AA6244">
        <v>0.44549458013223581</v>
      </c>
      <c r="AB6244" t="str">
        <f>HYPERLINK("Melting_Curves/meltCurve_Q9P260_2_KIAA1468.pdf", "Melting_Curves/meltCurve_Q9P260_2_KIAA1468.pdf")</f>
        <v>Melting_Curves/meltCurve_Q9P260_2_KIAA1468.pdf</v>
      </c>
    </row>
    <row r="6245" spans="1:28" x14ac:dyDescent="0.25">
      <c r="A6245" t="s">
        <v>6249</v>
      </c>
      <c r="B6245">
        <v>0.995954080203443</v>
      </c>
      <c r="C6245">
        <v>0.94791447617782298</v>
      </c>
      <c r="D6245">
        <v>0.86340436517552099</v>
      </c>
      <c r="E6245">
        <v>0.81833823449508902</v>
      </c>
      <c r="F6245">
        <v>0.55474299092618495</v>
      </c>
      <c r="G6245">
        <v>0.26420706506467101</v>
      </c>
      <c r="H6245">
        <v>0.17828551716878699</v>
      </c>
      <c r="I6245">
        <v>0.19252174207127701</v>
      </c>
      <c r="J6245">
        <v>0.22938242890730801</v>
      </c>
      <c r="K6245">
        <v>0.20800848003932099</v>
      </c>
      <c r="L6245">
        <v>1187.7223392942501</v>
      </c>
      <c r="M6245">
        <v>22.684569841781599</v>
      </c>
      <c r="N6245">
        <v>53.449028700473498</v>
      </c>
      <c r="O6245">
        <v>51.956358107858897</v>
      </c>
      <c r="P6245">
        <v>-8.8928155453042404E-2</v>
      </c>
      <c r="Q6245">
        <v>0.18529776823153599</v>
      </c>
      <c r="R6245">
        <v>0.98332683414830002</v>
      </c>
      <c r="S6245" t="s">
        <v>13051</v>
      </c>
      <c r="T6245" t="s">
        <v>13610</v>
      </c>
      <c r="U6245" t="s">
        <v>13610</v>
      </c>
      <c r="V6245" t="s">
        <v>13610</v>
      </c>
      <c r="W6245" t="s">
        <v>19779</v>
      </c>
      <c r="X6245">
        <v>47</v>
      </c>
      <c r="Y6245" t="s">
        <v>26326</v>
      </c>
      <c r="Z6245" t="s">
        <v>33100</v>
      </c>
      <c r="AA6245">
        <v>0.52986573106459955</v>
      </c>
      <c r="AB6245" t="str">
        <f>HYPERLINK("Melting_Curves/meltCurve_Q9P265_DIP2B.pdf", "Melting_Curves/meltCurve_Q9P265_DIP2B.pdf")</f>
        <v>Melting_Curves/meltCurve_Q9P265_DIP2B.pdf</v>
      </c>
    </row>
    <row r="6246" spans="1:28" x14ac:dyDescent="0.25">
      <c r="A6246" t="s">
        <v>6250</v>
      </c>
      <c r="B6246">
        <v>0.995954080203443</v>
      </c>
      <c r="C6246">
        <v>1.00822142264512</v>
      </c>
      <c r="D6246">
        <v>1.0417184337538701</v>
      </c>
      <c r="E6246">
        <v>0.93571357002377897</v>
      </c>
      <c r="F6246">
        <v>0.922173914844575</v>
      </c>
      <c r="G6246">
        <v>0.59008048138461699</v>
      </c>
      <c r="H6246">
        <v>0.54570419138797299</v>
      </c>
      <c r="I6246">
        <v>0.63496082936324805</v>
      </c>
      <c r="J6246">
        <v>0.72131056219650802</v>
      </c>
      <c r="K6246">
        <v>0.74007618788842999</v>
      </c>
      <c r="L6246">
        <v>13317.045418679199</v>
      </c>
      <c r="M6246">
        <v>250</v>
      </c>
      <c r="O6246">
        <v>53.264772877556801</v>
      </c>
      <c r="P6246">
        <v>-0.41487733607668198</v>
      </c>
      <c r="Q6246">
        <v>0.64642644725098397</v>
      </c>
      <c r="R6246">
        <v>0.89356378242836798</v>
      </c>
      <c r="S6246" t="s">
        <v>13052</v>
      </c>
      <c r="T6246" t="s">
        <v>13610</v>
      </c>
      <c r="U6246" t="s">
        <v>13610</v>
      </c>
      <c r="V6246" t="s">
        <v>13610</v>
      </c>
      <c r="W6246" t="s">
        <v>19780</v>
      </c>
      <c r="X6246">
        <v>21</v>
      </c>
      <c r="Y6246" t="s">
        <v>26327</v>
      </c>
      <c r="Z6246" t="s">
        <v>33101</v>
      </c>
      <c r="AA6246">
        <v>0.80283543878935248</v>
      </c>
      <c r="AB6246" t="str">
        <f>HYPERLINK("Melting_Curves/meltCurve_Q9P270_SLAIN2.pdf", "Melting_Curves/meltCurve_Q9P270_SLAIN2.pdf")</f>
        <v>Melting_Curves/meltCurve_Q9P270_SLAIN2.pdf</v>
      </c>
    </row>
    <row r="6247" spans="1:28" x14ac:dyDescent="0.25">
      <c r="A6247" t="s">
        <v>6251</v>
      </c>
      <c r="B6247">
        <v>0.995954080203443</v>
      </c>
      <c r="C6247">
        <v>0.88758993698238298</v>
      </c>
      <c r="D6247">
        <v>0.98467577649493099</v>
      </c>
      <c r="E6247">
        <v>0.85436176972172195</v>
      </c>
      <c r="F6247">
        <v>0.88620711117659201</v>
      </c>
      <c r="G6247">
        <v>0.73744555857632699</v>
      </c>
      <c r="H6247">
        <v>0.72085707447094605</v>
      </c>
      <c r="I6247">
        <v>0.90243859367261403</v>
      </c>
      <c r="J6247">
        <v>1.0860371313887101</v>
      </c>
      <c r="K6247">
        <v>1.0690263718991999</v>
      </c>
      <c r="L6247">
        <v>10125.294231834399</v>
      </c>
      <c r="M6247">
        <v>250</v>
      </c>
      <c r="O6247">
        <v>40.4985906577799</v>
      </c>
      <c r="P6247">
        <v>-0.14941549635836601</v>
      </c>
      <c r="Q6247">
        <v>0.90318214092345905</v>
      </c>
      <c r="R6247">
        <v>5.5744928373493201E-2</v>
      </c>
      <c r="S6247" t="s">
        <v>13053</v>
      </c>
      <c r="T6247" t="s">
        <v>13610</v>
      </c>
      <c r="U6247" t="s">
        <v>13610</v>
      </c>
      <c r="V6247" t="s">
        <v>13610</v>
      </c>
      <c r="W6247" t="s">
        <v>19781</v>
      </c>
      <c r="X6247">
        <v>19</v>
      </c>
      <c r="Y6247" t="s">
        <v>26328</v>
      </c>
      <c r="Z6247" t="s">
        <v>33102</v>
      </c>
      <c r="AA6247">
        <v>0.90482805106398023</v>
      </c>
      <c r="AB6247" t="str">
        <f>HYPERLINK("Melting_Curves/meltCurve_Q9P275_USP36.pdf", "Melting_Curves/meltCurve_Q9P275_USP36.pdf")</f>
        <v>Melting_Curves/meltCurve_Q9P275_USP36.pdf</v>
      </c>
    </row>
    <row r="6248" spans="1:28" x14ac:dyDescent="0.25">
      <c r="A6248" t="s">
        <v>6252</v>
      </c>
      <c r="B6248">
        <v>0.995954080203443</v>
      </c>
      <c r="C6248">
        <v>1.0317134501768099</v>
      </c>
      <c r="D6248">
        <v>1.0342713053856201</v>
      </c>
      <c r="E6248">
        <v>0.70157596390538202</v>
      </c>
      <c r="F6248">
        <v>0.35811909503102302</v>
      </c>
      <c r="G6248">
        <v>0.18008488276665799</v>
      </c>
      <c r="H6248">
        <v>0.119348719261647</v>
      </c>
      <c r="I6248">
        <v>0.12004618298820401</v>
      </c>
      <c r="J6248">
        <v>0.1273625060518</v>
      </c>
      <c r="K6248">
        <v>0.126509322646464</v>
      </c>
      <c r="L6248">
        <v>1600.5711878766299</v>
      </c>
      <c r="M6248">
        <v>31.264477891901699</v>
      </c>
      <c r="N6248">
        <v>51.676024421407199</v>
      </c>
      <c r="O6248">
        <v>50.986479416103997</v>
      </c>
      <c r="P6248">
        <v>-0.133929092570024</v>
      </c>
      <c r="Q6248">
        <v>0.12635226054193499</v>
      </c>
      <c r="R6248">
        <v>0.99635991755966902</v>
      </c>
      <c r="S6248" t="s">
        <v>13054</v>
      </c>
      <c r="T6248" t="s">
        <v>13610</v>
      </c>
      <c r="U6248" t="s">
        <v>13610</v>
      </c>
      <c r="V6248" t="s">
        <v>13610</v>
      </c>
      <c r="W6248" t="s">
        <v>19782</v>
      </c>
      <c r="X6248">
        <v>13</v>
      </c>
      <c r="Y6248" t="s">
        <v>26329</v>
      </c>
      <c r="Z6248" t="s">
        <v>33103</v>
      </c>
      <c r="AA6248">
        <v>0.45742912187977142</v>
      </c>
      <c r="AB6248" t="str">
        <f>HYPERLINK("Melting_Curves/meltCurve_Q9P287_BCCIP.pdf", "Melting_Curves/meltCurve_Q9P287_BCCIP.pdf")</f>
        <v>Melting_Curves/meltCurve_Q9P287_BCCIP.pdf</v>
      </c>
    </row>
    <row r="6249" spans="1:28" x14ac:dyDescent="0.25">
      <c r="A6249" t="s">
        <v>6253</v>
      </c>
      <c r="B6249">
        <v>0.995954080203443</v>
      </c>
      <c r="C6249">
        <v>1.1708418893816701</v>
      </c>
      <c r="D6249">
        <v>1.1382786784738099</v>
      </c>
      <c r="E6249">
        <v>0.99002140675649097</v>
      </c>
      <c r="F6249">
        <v>0.61615233455329799</v>
      </c>
      <c r="G6249">
        <v>0.24578531780806301</v>
      </c>
      <c r="H6249">
        <v>0.154946966817851</v>
      </c>
      <c r="I6249">
        <v>0.115292219217544</v>
      </c>
      <c r="J6249">
        <v>0.13739422298126</v>
      </c>
      <c r="K6249">
        <v>0.14147928587177799</v>
      </c>
      <c r="L6249">
        <v>2125.1129170569102</v>
      </c>
      <c r="M6249">
        <v>39.7812140350945</v>
      </c>
      <c r="N6249">
        <v>53.8745444214345</v>
      </c>
      <c r="O6249">
        <v>53.285559120789301</v>
      </c>
      <c r="P6249">
        <v>-0.160033913195608</v>
      </c>
      <c r="Q6249">
        <v>0.14256233904337601</v>
      </c>
      <c r="R6249">
        <v>0.97187865212700897</v>
      </c>
      <c r="S6249" t="s">
        <v>13055</v>
      </c>
      <c r="T6249" t="s">
        <v>13610</v>
      </c>
      <c r="U6249" t="s">
        <v>13610</v>
      </c>
      <c r="V6249" t="s">
        <v>13610</v>
      </c>
      <c r="W6249" t="s">
        <v>19783</v>
      </c>
      <c r="X6249">
        <v>8</v>
      </c>
      <c r="Y6249" t="s">
        <v>26329</v>
      </c>
      <c r="Z6249" t="s">
        <v>33104</v>
      </c>
      <c r="AA6249">
        <v>0.52931971626710905</v>
      </c>
      <c r="AB6249" t="str">
        <f>HYPERLINK("Melting_Curves/meltCurve_Q9P287_2_BCCIP.pdf", "Melting_Curves/meltCurve_Q9P287_2_BCCIP.pdf")</f>
        <v>Melting_Curves/meltCurve_Q9P287_2_BCCIP.pdf</v>
      </c>
    </row>
    <row r="6250" spans="1:28" x14ac:dyDescent="0.25">
      <c r="A6250" t="s">
        <v>6254</v>
      </c>
      <c r="B6250">
        <v>0.995954080203443</v>
      </c>
      <c r="C6250">
        <v>0.87053633585979995</v>
      </c>
      <c r="D6250">
        <v>0.26443035768231699</v>
      </c>
      <c r="E6250">
        <v>0.29711736408221701</v>
      </c>
      <c r="F6250">
        <v>0.16830617925007599</v>
      </c>
      <c r="G6250">
        <v>0.11303549483287099</v>
      </c>
      <c r="H6250">
        <v>8.2748636805209302E-2</v>
      </c>
      <c r="I6250">
        <v>7.6925572710549395E-2</v>
      </c>
      <c r="J6250">
        <v>9.4916217019142504E-2</v>
      </c>
      <c r="K6250">
        <v>8.8603794221118401E-2</v>
      </c>
      <c r="L6250">
        <v>2071.6523444768</v>
      </c>
      <c r="M6250">
        <v>46.614009220906901</v>
      </c>
      <c r="N6250">
        <v>44.729826232560399</v>
      </c>
      <c r="O6250">
        <v>44.3611351309168</v>
      </c>
      <c r="P6250">
        <v>-0.22872902846062401</v>
      </c>
      <c r="Q6250">
        <v>0.129303149408065</v>
      </c>
      <c r="R6250">
        <v>0.96532166312119905</v>
      </c>
      <c r="S6250" t="s">
        <v>13056</v>
      </c>
      <c r="T6250" t="s">
        <v>13610</v>
      </c>
      <c r="U6250" t="s">
        <v>13610</v>
      </c>
      <c r="V6250" t="s">
        <v>13610</v>
      </c>
      <c r="W6250" t="s">
        <v>19784</v>
      </c>
      <c r="X6250">
        <v>20</v>
      </c>
      <c r="Y6250" t="s">
        <v>26330</v>
      </c>
      <c r="Z6250" t="s">
        <v>33105</v>
      </c>
      <c r="AA6250">
        <v>0.26033167129997398</v>
      </c>
      <c r="AB6250" t="str">
        <f>HYPERLINK("Melting_Curves/meltCurve_Q9P289_MST4.pdf", "Melting_Curves/meltCurve_Q9P289_MST4.pdf")</f>
        <v>Melting_Curves/meltCurve_Q9P289_MST4.pdf</v>
      </c>
    </row>
    <row r="6251" spans="1:28" x14ac:dyDescent="0.25">
      <c r="A6251" t="s">
        <v>6255</v>
      </c>
      <c r="B6251">
        <v>0.995954080203443</v>
      </c>
      <c r="C6251">
        <v>0.86615631391477599</v>
      </c>
      <c r="D6251">
        <v>0.67116645457344404</v>
      </c>
      <c r="E6251">
        <v>0.59186872838591298</v>
      </c>
      <c r="F6251">
        <v>0.397964541908508</v>
      </c>
      <c r="G6251">
        <v>0.27695383322976103</v>
      </c>
      <c r="H6251">
        <v>0.22057021274645</v>
      </c>
      <c r="I6251">
        <v>0.23553715541022099</v>
      </c>
      <c r="J6251">
        <v>0.27013144336153699</v>
      </c>
      <c r="K6251">
        <v>0.27962842150161499</v>
      </c>
      <c r="L6251">
        <v>646.49345722491603</v>
      </c>
      <c r="M6251">
        <v>13.434496151133599</v>
      </c>
      <c r="N6251">
        <v>50.380563417504298</v>
      </c>
      <c r="O6251">
        <v>47.093189838274299</v>
      </c>
      <c r="P6251">
        <v>-5.5193289124175898E-2</v>
      </c>
      <c r="Q6251">
        <v>0.22622356149025399</v>
      </c>
      <c r="R6251">
        <v>0.97628413321081098</v>
      </c>
      <c r="S6251" t="s">
        <v>13057</v>
      </c>
      <c r="T6251" t="s">
        <v>13610</v>
      </c>
      <c r="U6251" t="s">
        <v>13610</v>
      </c>
      <c r="V6251" t="s">
        <v>13610</v>
      </c>
      <c r="W6251" t="s">
        <v>19785</v>
      </c>
      <c r="X6251">
        <v>7</v>
      </c>
      <c r="Y6251" t="s">
        <v>26331</v>
      </c>
      <c r="Z6251" t="s">
        <v>33106</v>
      </c>
      <c r="AA6251">
        <v>0.46017896831329658</v>
      </c>
      <c r="AB6251" t="str">
        <f>HYPERLINK("Melting_Curves/meltCurve_Q9P2B4_CTTNBP2NL.pdf", "Melting_Curves/meltCurve_Q9P2B4_CTTNBP2NL.pdf")</f>
        <v>Melting_Curves/meltCurve_Q9P2B4_CTTNBP2NL.pdf</v>
      </c>
    </row>
    <row r="6252" spans="1:28" x14ac:dyDescent="0.25">
      <c r="A6252" t="s">
        <v>6256</v>
      </c>
      <c r="B6252">
        <v>0.995954080203443</v>
      </c>
      <c r="C6252">
        <v>1.0721635533809699</v>
      </c>
      <c r="D6252">
        <v>1.10986046812709</v>
      </c>
      <c r="E6252">
        <v>1.1049164109123799</v>
      </c>
      <c r="F6252">
        <v>1.0796093237703199</v>
      </c>
      <c r="G6252">
        <v>0.85363309157280898</v>
      </c>
      <c r="H6252">
        <v>0.87026912414343405</v>
      </c>
      <c r="I6252">
        <v>1.01595353642644</v>
      </c>
      <c r="J6252">
        <v>1.2992787203993901</v>
      </c>
      <c r="K6252">
        <v>1.20741475475583</v>
      </c>
      <c r="L6252">
        <v>15000</v>
      </c>
      <c r="M6252">
        <v>231.695218901244</v>
      </c>
      <c r="O6252">
        <v>64.735376274299796</v>
      </c>
      <c r="P6252">
        <v>0.226717644660693</v>
      </c>
      <c r="Q6252">
        <v>1.25337868034967</v>
      </c>
      <c r="R6252">
        <v>0.54269079171455203</v>
      </c>
      <c r="S6252" t="s">
        <v>13058</v>
      </c>
      <c r="T6252" t="s">
        <v>13610</v>
      </c>
      <c r="U6252" t="s">
        <v>13610</v>
      </c>
      <c r="V6252" t="s">
        <v>13610</v>
      </c>
      <c r="W6252" t="s">
        <v>19786</v>
      </c>
      <c r="X6252">
        <v>5</v>
      </c>
      <c r="Y6252" t="s">
        <v>26332</v>
      </c>
      <c r="Z6252" t="s">
        <v>33107</v>
      </c>
      <c r="AA6252">
        <v>1.044390332258319</v>
      </c>
      <c r="AB6252" t="str">
        <f>HYPERLINK("Melting_Curves/meltCurve_Q9P2B7_2_KIAA1430.pdf", "Melting_Curves/meltCurve_Q9P2B7_2_KIAA1430.pdf")</f>
        <v>Melting_Curves/meltCurve_Q9P2B7_2_KIAA1430.pdf</v>
      </c>
    </row>
    <row r="6253" spans="1:28" x14ac:dyDescent="0.25">
      <c r="A6253" t="s">
        <v>6257</v>
      </c>
      <c r="B6253">
        <v>0.995954080203443</v>
      </c>
      <c r="C6253">
        <v>0.93528155987277795</v>
      </c>
      <c r="D6253">
        <v>0.96449175605211801</v>
      </c>
      <c r="E6253">
        <v>0.76955165284090099</v>
      </c>
      <c r="F6253">
        <v>0.71934342975589205</v>
      </c>
      <c r="G6253">
        <v>0.54912238123468904</v>
      </c>
      <c r="H6253">
        <v>0.49515002768601601</v>
      </c>
      <c r="I6253">
        <v>0.589353294384798</v>
      </c>
      <c r="J6253">
        <v>0.65540801543421701</v>
      </c>
      <c r="K6253">
        <v>0.70252070229614705</v>
      </c>
      <c r="L6253">
        <v>1242.8507751900599</v>
      </c>
      <c r="M6253">
        <v>25.016854519614899</v>
      </c>
      <c r="O6253">
        <v>49.366353714776203</v>
      </c>
      <c r="P6253">
        <v>-5.0515179808573001E-2</v>
      </c>
      <c r="Q6253">
        <v>0.60127414356924902</v>
      </c>
      <c r="R6253">
        <v>0.87286822225594096</v>
      </c>
      <c r="S6253" t="s">
        <v>13059</v>
      </c>
      <c r="T6253" t="s">
        <v>13610</v>
      </c>
      <c r="U6253" t="s">
        <v>13610</v>
      </c>
      <c r="V6253" t="s">
        <v>13610</v>
      </c>
      <c r="W6253" t="s">
        <v>19787</v>
      </c>
      <c r="X6253">
        <v>35</v>
      </c>
      <c r="Y6253" t="s">
        <v>26333</v>
      </c>
      <c r="Z6253" t="s">
        <v>33108</v>
      </c>
      <c r="AA6253">
        <v>0.73348460244481661</v>
      </c>
      <c r="AB6253" t="str">
        <f>HYPERLINK("Melting_Curves/meltCurve_Q9P2D1_CHD7.pdf", "Melting_Curves/meltCurve_Q9P2D1_CHD7.pdf")</f>
        <v>Melting_Curves/meltCurve_Q9P2D1_CHD7.pdf</v>
      </c>
    </row>
    <row r="6254" spans="1:28" x14ac:dyDescent="0.25">
      <c r="A6254" t="s">
        <v>6258</v>
      </c>
      <c r="B6254">
        <v>0.995954080203443</v>
      </c>
      <c r="C6254">
        <v>0.88071660156686604</v>
      </c>
      <c r="D6254">
        <v>0.754673985084646</v>
      </c>
      <c r="E6254">
        <v>0.53804268202217298</v>
      </c>
      <c r="F6254">
        <v>0.17807691060286801</v>
      </c>
      <c r="G6254">
        <v>0.10787286339850299</v>
      </c>
      <c r="H6254">
        <v>7.4566645786583396E-2</v>
      </c>
      <c r="I6254">
        <v>7.0319007330627001E-2</v>
      </c>
      <c r="J6254">
        <v>8.1286297818545905E-2</v>
      </c>
      <c r="K6254">
        <v>7.4056457873214895E-2</v>
      </c>
      <c r="L6254">
        <v>863.88388732517603</v>
      </c>
      <c r="M6254">
        <v>17.598821696718101</v>
      </c>
      <c r="N6254">
        <v>49.3922980401601</v>
      </c>
      <c r="O6254">
        <v>48.466957485604098</v>
      </c>
      <c r="P6254">
        <v>-8.6112445154236897E-2</v>
      </c>
      <c r="Q6254">
        <v>5.1440455499797498E-2</v>
      </c>
      <c r="R6254">
        <v>0.985998417316444</v>
      </c>
      <c r="S6254" t="s">
        <v>13060</v>
      </c>
      <c r="T6254" t="s">
        <v>13610</v>
      </c>
      <c r="U6254" t="s">
        <v>13610</v>
      </c>
      <c r="V6254" t="s">
        <v>13610</v>
      </c>
      <c r="W6254" t="s">
        <v>19788</v>
      </c>
      <c r="X6254">
        <v>28</v>
      </c>
      <c r="Y6254" t="s">
        <v>26334</v>
      </c>
      <c r="Z6254" t="s">
        <v>33109</v>
      </c>
      <c r="AA6254">
        <v>0.35592996931059778</v>
      </c>
      <c r="AB6254" t="str">
        <f>HYPERLINK("Melting_Curves/meltCurve_Q9P2D3_HEATR5B.pdf", "Melting_Curves/meltCurve_Q9P2D3_HEATR5B.pdf")</f>
        <v>Melting_Curves/meltCurve_Q9P2D3_HEATR5B.pdf</v>
      </c>
    </row>
    <row r="6255" spans="1:28" x14ac:dyDescent="0.25">
      <c r="A6255" t="s">
        <v>6259</v>
      </c>
      <c r="B6255">
        <v>0.995954080203443</v>
      </c>
      <c r="C6255">
        <v>0.87063513653249602</v>
      </c>
      <c r="D6255">
        <v>0.68204036122734402</v>
      </c>
      <c r="E6255">
        <v>0.41706092449876198</v>
      </c>
      <c r="F6255">
        <v>0.26186615250822998</v>
      </c>
      <c r="G6255">
        <v>0.13669883451745499</v>
      </c>
      <c r="H6255">
        <v>0.121470101111766</v>
      </c>
      <c r="I6255">
        <v>0.112648103471729</v>
      </c>
      <c r="J6255">
        <v>0.14338643388835301</v>
      </c>
      <c r="K6255">
        <v>0.116258522899126</v>
      </c>
      <c r="L6255">
        <v>788.15915733540203</v>
      </c>
      <c r="M6255">
        <v>16.484122618392501</v>
      </c>
      <c r="N6255">
        <v>48.523416758161403</v>
      </c>
      <c r="O6255">
        <v>47.126173382923099</v>
      </c>
      <c r="P6255">
        <v>-7.8079461376277901E-2</v>
      </c>
      <c r="Q6255">
        <v>0.107182041423954</v>
      </c>
      <c r="R6255">
        <v>0.99677242944842204</v>
      </c>
      <c r="S6255" t="s">
        <v>13061</v>
      </c>
      <c r="T6255" t="s">
        <v>13610</v>
      </c>
      <c r="U6255" t="s">
        <v>13610</v>
      </c>
      <c r="V6255" t="s">
        <v>13610</v>
      </c>
      <c r="W6255" t="s">
        <v>19789</v>
      </c>
      <c r="X6255">
        <v>2</v>
      </c>
      <c r="Y6255" t="s">
        <v>26335</v>
      </c>
      <c r="Z6255" t="s">
        <v>33110</v>
      </c>
      <c r="AA6255">
        <v>0.35885140635355012</v>
      </c>
      <c r="AB6255" t="str">
        <f>HYPERLINK("Melting_Curves/meltCurve_Q9P2D6_3_FAM135A.pdf", "Melting_Curves/meltCurve_Q9P2D6_3_FAM135A.pdf")</f>
        <v>Melting_Curves/meltCurve_Q9P2D6_3_FAM135A.pdf</v>
      </c>
    </row>
    <row r="6256" spans="1:28" x14ac:dyDescent="0.25">
      <c r="A6256" t="s">
        <v>6260</v>
      </c>
      <c r="B6256">
        <v>0.995954080203443</v>
      </c>
      <c r="C6256">
        <v>1.0367191592114899</v>
      </c>
      <c r="D6256">
        <v>0.90764333767553396</v>
      </c>
      <c r="E6256">
        <v>0.82659156652277799</v>
      </c>
      <c r="F6256">
        <v>0.65635386678935104</v>
      </c>
      <c r="G6256">
        <v>0.42728627076457698</v>
      </c>
      <c r="H6256">
        <v>0.22043562226305699</v>
      </c>
      <c r="I6256">
        <v>0.12226564685003</v>
      </c>
      <c r="J6256">
        <v>0.13421523517539</v>
      </c>
      <c r="K6256">
        <v>0.103559152599769</v>
      </c>
      <c r="L6256">
        <v>816.86196056377605</v>
      </c>
      <c r="M6256">
        <v>14.8504581272972</v>
      </c>
      <c r="N6256">
        <v>55.428146236044903</v>
      </c>
      <c r="O6256">
        <v>54.037314549856603</v>
      </c>
      <c r="P6256">
        <v>-6.5036516152736701E-2</v>
      </c>
      <c r="Q6256">
        <v>5.3489291540832803E-2</v>
      </c>
      <c r="R6256">
        <v>0.99488178978591701</v>
      </c>
      <c r="S6256" t="s">
        <v>13062</v>
      </c>
      <c r="T6256" t="s">
        <v>13610</v>
      </c>
      <c r="U6256" t="s">
        <v>13610</v>
      </c>
      <c r="V6256" t="s">
        <v>13610</v>
      </c>
      <c r="W6256" t="s">
        <v>19790</v>
      </c>
      <c r="X6256">
        <v>3</v>
      </c>
      <c r="Y6256" t="s">
        <v>26336</v>
      </c>
      <c r="Z6256" t="s">
        <v>33111</v>
      </c>
      <c r="AA6256">
        <v>0.54536615668889743</v>
      </c>
      <c r="AB6256" t="str">
        <f>HYPERLINK("Melting_Curves/meltCurve_Q9P2E3_ZNFX1.pdf", "Melting_Curves/meltCurve_Q9P2E3_ZNFX1.pdf")</f>
        <v>Melting_Curves/meltCurve_Q9P2E3_ZNFX1.pdf</v>
      </c>
    </row>
    <row r="6257" spans="1:28" x14ac:dyDescent="0.25">
      <c r="A6257" t="s">
        <v>6261</v>
      </c>
      <c r="B6257">
        <v>0.995954080203443</v>
      </c>
      <c r="C6257">
        <v>0.97887043142076202</v>
      </c>
      <c r="D6257">
        <v>0.97333666604681301</v>
      </c>
      <c r="E6257">
        <v>0.91192514951484704</v>
      </c>
      <c r="F6257">
        <v>0.845399596621354</v>
      </c>
      <c r="G6257">
        <v>0.69116268887765397</v>
      </c>
      <c r="H6257">
        <v>0.60914397576463697</v>
      </c>
      <c r="I6257">
        <v>0.69473954532274895</v>
      </c>
      <c r="J6257">
        <v>0.92527343987421495</v>
      </c>
      <c r="K6257">
        <v>0.82146123031020402</v>
      </c>
      <c r="L6257">
        <v>1713.62917271489</v>
      </c>
      <c r="M6257">
        <v>33.434353548895899</v>
      </c>
      <c r="O6257">
        <v>51.071229338753703</v>
      </c>
      <c r="P6257">
        <v>-4.0762480230019001E-2</v>
      </c>
      <c r="Q6257">
        <v>0.75094104325169397</v>
      </c>
      <c r="R6257">
        <v>0.61466600310835895</v>
      </c>
      <c r="S6257" t="s">
        <v>13063</v>
      </c>
      <c r="T6257" t="s">
        <v>13610</v>
      </c>
      <c r="U6257" t="s">
        <v>13610</v>
      </c>
      <c r="V6257" t="s">
        <v>13610</v>
      </c>
      <c r="W6257" t="s">
        <v>19791</v>
      </c>
      <c r="X6257">
        <v>64</v>
      </c>
      <c r="Y6257" t="s">
        <v>26337</v>
      </c>
      <c r="Z6257" t="s">
        <v>33112</v>
      </c>
      <c r="AA6257">
        <v>0.84563304722069432</v>
      </c>
      <c r="AB6257" t="str">
        <f>HYPERLINK("Melting_Curves/meltCurve_Q9P2E9_RRBP1.pdf", "Melting_Curves/meltCurve_Q9P2E9_RRBP1.pdf")</f>
        <v>Melting_Curves/meltCurve_Q9P2E9_RRBP1.pdf</v>
      </c>
    </row>
    <row r="6258" spans="1:28" x14ac:dyDescent="0.25">
      <c r="A6258" t="s">
        <v>6262</v>
      </c>
      <c r="B6258">
        <v>0.995954080203443</v>
      </c>
      <c r="C6258">
        <v>0.85722115829619405</v>
      </c>
      <c r="D6258">
        <v>0.72629925707364296</v>
      </c>
      <c r="E6258">
        <v>0.749152777744025</v>
      </c>
      <c r="F6258">
        <v>0.64711489628234697</v>
      </c>
      <c r="G6258">
        <v>0.344909953274042</v>
      </c>
      <c r="H6258">
        <v>0.22771120269150999</v>
      </c>
      <c r="I6258">
        <v>0.23261870987953001</v>
      </c>
      <c r="J6258">
        <v>0.29347054781968201</v>
      </c>
      <c r="K6258">
        <v>0.29703220302327299</v>
      </c>
      <c r="L6258">
        <v>521.48766027499801</v>
      </c>
      <c r="M6258">
        <v>10.0379536841251</v>
      </c>
      <c r="N6258">
        <v>54.216860012385098</v>
      </c>
      <c r="O6258">
        <v>50.016046704455597</v>
      </c>
      <c r="P6258">
        <v>-4.1599859794893702E-2</v>
      </c>
      <c r="Q6258">
        <v>0.17127987267276301</v>
      </c>
      <c r="R6258">
        <v>0.92864524804889403</v>
      </c>
      <c r="S6258" t="s">
        <v>13064</v>
      </c>
      <c r="T6258" t="s">
        <v>13610</v>
      </c>
      <c r="U6258" t="s">
        <v>13610</v>
      </c>
      <c r="V6258" t="s">
        <v>13610</v>
      </c>
      <c r="W6258" t="s">
        <v>19792</v>
      </c>
      <c r="X6258">
        <v>1</v>
      </c>
      <c r="Y6258" t="s">
        <v>26338</v>
      </c>
      <c r="Z6258" t="s">
        <v>33113</v>
      </c>
      <c r="AA6258">
        <v>0.53291090568316157</v>
      </c>
      <c r="AB6258" t="str">
        <f>HYPERLINK("Melting_Curves/meltCurve_Q9P2G1_ANKIB1.pdf", "Melting_Curves/meltCurve_Q9P2G1_ANKIB1.pdf")</f>
        <v>Melting_Curves/meltCurve_Q9P2G1_ANKIB1.pdf</v>
      </c>
    </row>
    <row r="6259" spans="1:28" x14ac:dyDescent="0.25">
      <c r="A6259" t="s">
        <v>6263</v>
      </c>
      <c r="B6259">
        <v>0.995954080203443</v>
      </c>
      <c r="C6259">
        <v>0.76190899254988997</v>
      </c>
      <c r="D6259">
        <v>0.63352972688351705</v>
      </c>
      <c r="E6259">
        <v>0.57619405023011805</v>
      </c>
      <c r="F6259">
        <v>0.175769996947331</v>
      </c>
      <c r="G6259">
        <v>9.5913086389287805E-2</v>
      </c>
      <c r="H6259">
        <v>5.9224011072045002E-2</v>
      </c>
      <c r="I6259">
        <v>5.0413291337992903E-2</v>
      </c>
      <c r="J6259">
        <v>5.7164371228469499E-2</v>
      </c>
      <c r="K6259">
        <v>5.3281653630944503E-2</v>
      </c>
      <c r="L6259">
        <v>600.41789540142895</v>
      </c>
      <c r="M6259">
        <v>12.3403100137155</v>
      </c>
      <c r="N6259">
        <v>48.662025436954202</v>
      </c>
      <c r="O6259">
        <v>47.430267018769001</v>
      </c>
      <c r="P6259">
        <v>-6.5000744206794206E-2</v>
      </c>
      <c r="Q6259">
        <v>8.8864840480857297E-4</v>
      </c>
      <c r="R6259">
        <v>0.95839279330772498</v>
      </c>
      <c r="S6259" t="s">
        <v>13065</v>
      </c>
      <c r="T6259" t="s">
        <v>13610</v>
      </c>
      <c r="U6259" t="s">
        <v>13610</v>
      </c>
      <c r="V6259" t="s">
        <v>13610</v>
      </c>
      <c r="W6259" t="s">
        <v>19793</v>
      </c>
      <c r="X6259">
        <v>29</v>
      </c>
      <c r="Y6259" t="s">
        <v>26339</v>
      </c>
      <c r="Z6259" t="s">
        <v>33114</v>
      </c>
      <c r="AA6259">
        <v>0.32486022143891641</v>
      </c>
      <c r="AB6259" t="str">
        <f>HYPERLINK("Melting_Curves/meltCurve_Q9P2I0_CPSF2.pdf", "Melting_Curves/meltCurve_Q9P2I0_CPSF2.pdf")</f>
        <v>Melting_Curves/meltCurve_Q9P2I0_CPSF2.pdf</v>
      </c>
    </row>
    <row r="6260" spans="1:28" x14ac:dyDescent="0.25">
      <c r="A6260" t="s">
        <v>6264</v>
      </c>
      <c r="B6260">
        <v>0.995954080203443</v>
      </c>
      <c r="C6260">
        <v>0.56143740954132404</v>
      </c>
      <c r="D6260">
        <v>0.195373255488141</v>
      </c>
      <c r="E6260">
        <v>0.17294302387062699</v>
      </c>
      <c r="F6260">
        <v>9.4034716477611205E-2</v>
      </c>
      <c r="G6260">
        <v>5.5733810537056297E-2</v>
      </c>
      <c r="H6260">
        <v>3.8099233025720901E-2</v>
      </c>
      <c r="I6260">
        <v>3.6276222716183498E-2</v>
      </c>
      <c r="J6260">
        <v>3.7116944024504599E-2</v>
      </c>
      <c r="K6260">
        <v>3.5557100496279498E-2</v>
      </c>
      <c r="L6260">
        <v>1400.2443852004801</v>
      </c>
      <c r="M6260">
        <v>32.400771919975902</v>
      </c>
      <c r="N6260">
        <v>43.404819755784501</v>
      </c>
      <c r="O6260">
        <v>43.052771301444302</v>
      </c>
      <c r="P6260">
        <v>-0.17580201631216</v>
      </c>
      <c r="Q6260">
        <v>6.5611589616782304E-2</v>
      </c>
      <c r="R6260">
        <v>0.98008820764902405</v>
      </c>
      <c r="S6260" t="s">
        <v>13066</v>
      </c>
      <c r="T6260" t="s">
        <v>13610</v>
      </c>
      <c r="U6260" t="s">
        <v>13610</v>
      </c>
      <c r="V6260" t="s">
        <v>13610</v>
      </c>
      <c r="W6260" t="s">
        <v>19794</v>
      </c>
      <c r="X6260">
        <v>46</v>
      </c>
      <c r="Y6260" t="s">
        <v>26340</v>
      </c>
      <c r="Z6260" t="s">
        <v>33115</v>
      </c>
      <c r="AA6260">
        <v>0.17246572289842091</v>
      </c>
      <c r="AB6260" t="str">
        <f>HYPERLINK("Melting_Curves/meltCurve_Q9P2J5_LARS.pdf", "Melting_Curves/meltCurve_Q9P2J5_LARS.pdf")</f>
        <v>Melting_Curves/meltCurve_Q9P2J5_LARS.pdf</v>
      </c>
    </row>
    <row r="6261" spans="1:28" x14ac:dyDescent="0.25">
      <c r="A6261" t="s">
        <v>6265</v>
      </c>
      <c r="B6261">
        <v>0.995954080203443</v>
      </c>
      <c r="C6261">
        <v>0.95873974589094002</v>
      </c>
      <c r="D6261">
        <v>0.79843515586687797</v>
      </c>
      <c r="E6261">
        <v>0.72827380236744399</v>
      </c>
      <c r="F6261">
        <v>0.27127092950030801</v>
      </c>
      <c r="G6261">
        <v>0.15367086037743499</v>
      </c>
      <c r="H6261">
        <v>7.5817235540507899E-2</v>
      </c>
      <c r="I6261">
        <v>5.6509346291567501E-2</v>
      </c>
      <c r="J6261">
        <v>5.2259437454956301E-2</v>
      </c>
      <c r="K6261">
        <v>4.6387323519263099E-2</v>
      </c>
      <c r="L6261">
        <v>998.010553513486</v>
      </c>
      <c r="M6261">
        <v>19.548226095129401</v>
      </c>
      <c r="N6261">
        <v>51.251699242676303</v>
      </c>
      <c r="O6261">
        <v>50.528511484463898</v>
      </c>
      <c r="P6261">
        <v>-9.3205651375611806E-2</v>
      </c>
      <c r="Q6261">
        <v>3.6357836239772602E-2</v>
      </c>
      <c r="R6261">
        <v>0.97985412283874995</v>
      </c>
      <c r="S6261" t="s">
        <v>13067</v>
      </c>
      <c r="T6261" t="s">
        <v>13610</v>
      </c>
      <c r="U6261" t="s">
        <v>13610</v>
      </c>
      <c r="V6261" t="s">
        <v>13610</v>
      </c>
      <c r="W6261" t="s">
        <v>19795</v>
      </c>
      <c r="X6261">
        <v>10</v>
      </c>
      <c r="Y6261" t="s">
        <v>26341</v>
      </c>
      <c r="Z6261" t="s">
        <v>33116</v>
      </c>
      <c r="AA6261">
        <v>0.40537629558332372</v>
      </c>
      <c r="AB6261" t="str">
        <f>HYPERLINK("Melting_Curves/meltCurve_Q9P2K3_RCOR3.pdf", "Melting_Curves/meltCurve_Q9P2K3_RCOR3.pdf")</f>
        <v>Melting_Curves/meltCurve_Q9P2K3_RCOR3.pdf</v>
      </c>
    </row>
    <row r="6262" spans="1:28" x14ac:dyDescent="0.25">
      <c r="A6262" t="s">
        <v>6266</v>
      </c>
      <c r="B6262">
        <v>0.995954080203443</v>
      </c>
      <c r="C6262">
        <v>0.91853483991324003</v>
      </c>
      <c r="D6262">
        <v>1.5867613142681301</v>
      </c>
      <c r="E6262">
        <v>1.0249647457200399</v>
      </c>
      <c r="F6262">
        <v>1.2841137753952401</v>
      </c>
      <c r="G6262">
        <v>0.76983905080572601</v>
      </c>
      <c r="H6262">
        <v>0.52729466713062501</v>
      </c>
      <c r="I6262">
        <v>0.50984065032338399</v>
      </c>
      <c r="J6262">
        <v>0.63189161490927503</v>
      </c>
      <c r="K6262">
        <v>0.56381194043323302</v>
      </c>
      <c r="L6262">
        <v>14245.2152777476</v>
      </c>
      <c r="M6262">
        <v>250</v>
      </c>
      <c r="O6262">
        <v>56.9772334562944</v>
      </c>
      <c r="P6262">
        <v>-0.484612895417807</v>
      </c>
      <c r="Q6262">
        <v>0.55820971184673396</v>
      </c>
      <c r="R6262">
        <v>0.61101793522564496</v>
      </c>
      <c r="S6262" t="s">
        <v>13068</v>
      </c>
      <c r="T6262" t="s">
        <v>13610</v>
      </c>
      <c r="U6262" t="s">
        <v>13610</v>
      </c>
      <c r="V6262" t="s">
        <v>13610</v>
      </c>
      <c r="W6262" t="s">
        <v>19796</v>
      </c>
      <c r="X6262">
        <v>1</v>
      </c>
      <c r="Y6262" t="s">
        <v>26342</v>
      </c>
      <c r="Z6262" t="s">
        <v>33117</v>
      </c>
      <c r="AA6262">
        <v>0.8083198752177394</v>
      </c>
      <c r="AB6262" t="str">
        <f>HYPERLINK("Melting_Curves/meltCurve_Q9P2K5_2_MYEF2.pdf", "Melting_Curves/meltCurve_Q9P2K5_2_MYEF2.pdf")</f>
        <v>Melting_Curves/meltCurve_Q9P2K5_2_MYEF2.pdf</v>
      </c>
    </row>
    <row r="6263" spans="1:28" x14ac:dyDescent="0.25">
      <c r="A6263" t="s">
        <v>6267</v>
      </c>
      <c r="B6263">
        <v>0.995954080203443</v>
      </c>
      <c r="C6263">
        <v>0.79712115774029602</v>
      </c>
      <c r="D6263">
        <v>0.61562150285429895</v>
      </c>
      <c r="E6263">
        <v>0.80240332826426897</v>
      </c>
      <c r="F6263">
        <v>0.45475736304608799</v>
      </c>
      <c r="G6263">
        <v>0.21454878316654999</v>
      </c>
      <c r="H6263">
        <v>8.1204895849123604E-2</v>
      </c>
      <c r="I6263">
        <v>7.2526055393287506E-2</v>
      </c>
      <c r="J6263">
        <v>6.9673166572474299E-2</v>
      </c>
      <c r="K6263">
        <v>6.5424068353368101E-2</v>
      </c>
      <c r="L6263">
        <v>550.83229505492795</v>
      </c>
      <c r="M6263">
        <v>10.6861820562634</v>
      </c>
      <c r="N6263">
        <v>51.5462048708834</v>
      </c>
      <c r="O6263">
        <v>49.839455405902498</v>
      </c>
      <c r="P6263">
        <v>-5.3623239450823902E-2</v>
      </c>
      <c r="Q6263">
        <v>0</v>
      </c>
      <c r="R6263">
        <v>0.916121714300969</v>
      </c>
      <c r="S6263" t="s">
        <v>13069</v>
      </c>
      <c r="T6263" t="s">
        <v>13610</v>
      </c>
      <c r="U6263" t="s">
        <v>13610</v>
      </c>
      <c r="V6263" t="s">
        <v>13610</v>
      </c>
      <c r="W6263" t="s">
        <v>19797</v>
      </c>
      <c r="X6263">
        <v>8</v>
      </c>
      <c r="Y6263" t="s">
        <v>26343</v>
      </c>
      <c r="Z6263" t="s">
        <v>33118</v>
      </c>
      <c r="AA6263">
        <v>0.42148375295578439</v>
      </c>
      <c r="AB6263" t="str">
        <f>HYPERLINK("Melting_Curves/meltCurve_Q9P2K6_KLHL42.pdf", "Melting_Curves/meltCurve_Q9P2K6_KLHL42.pdf")</f>
        <v>Melting_Curves/meltCurve_Q9P2K6_KLHL42.pdf</v>
      </c>
    </row>
    <row r="6264" spans="1:28" x14ac:dyDescent="0.25">
      <c r="A6264" t="s">
        <v>6268</v>
      </c>
      <c r="B6264">
        <v>0.995954080203443</v>
      </c>
      <c r="C6264">
        <v>0.933991458388721</v>
      </c>
      <c r="D6264">
        <v>0.77482312114040397</v>
      </c>
      <c r="E6264">
        <v>0.61162111295724197</v>
      </c>
      <c r="F6264">
        <v>0.32037767740957701</v>
      </c>
      <c r="G6264">
        <v>0.17879909253242199</v>
      </c>
      <c r="H6264">
        <v>0.117776893468708</v>
      </c>
      <c r="I6264">
        <v>0.103862017388856</v>
      </c>
      <c r="J6264">
        <v>0.10984264059307899</v>
      </c>
      <c r="K6264">
        <v>0.108970415098168</v>
      </c>
      <c r="L6264">
        <v>798.77949241200304</v>
      </c>
      <c r="M6264">
        <v>15.9462523523191</v>
      </c>
      <c r="N6264">
        <v>50.649831864662197</v>
      </c>
      <c r="O6264">
        <v>49.324078553825302</v>
      </c>
      <c r="P6264">
        <v>-7.4320660265171506E-2</v>
      </c>
      <c r="Q6264">
        <v>8.0534764562905106E-2</v>
      </c>
      <c r="R6264">
        <v>0.99301409611010705</v>
      </c>
      <c r="S6264" t="s">
        <v>13070</v>
      </c>
      <c r="T6264" t="s">
        <v>13610</v>
      </c>
      <c r="U6264" t="s">
        <v>13610</v>
      </c>
      <c r="V6264" t="s">
        <v>13610</v>
      </c>
      <c r="W6264" t="s">
        <v>19798</v>
      </c>
      <c r="X6264">
        <v>16</v>
      </c>
      <c r="Y6264" t="s">
        <v>26344</v>
      </c>
      <c r="Z6264" t="s">
        <v>33119</v>
      </c>
      <c r="AA6264">
        <v>0.40944180748534331</v>
      </c>
      <c r="AB6264" t="str">
        <f>HYPERLINK("Melting_Curves/meltCurve_Q9P2K8_2_EIF2AK4.pdf", "Melting_Curves/meltCurve_Q9P2K8_2_EIF2AK4.pdf")</f>
        <v>Melting_Curves/meltCurve_Q9P2K8_2_EIF2AK4.pdf</v>
      </c>
    </row>
    <row r="6265" spans="1:28" x14ac:dyDescent="0.25">
      <c r="A6265" t="s">
        <v>6269</v>
      </c>
      <c r="B6265">
        <v>0.995954080203443</v>
      </c>
      <c r="C6265">
        <v>1.12024376663138</v>
      </c>
      <c r="D6265">
        <v>1.08379071818855</v>
      </c>
      <c r="E6265">
        <v>0.97696723013305997</v>
      </c>
      <c r="F6265">
        <v>0.64615797710724598</v>
      </c>
      <c r="G6265">
        <v>0.23947177168484499</v>
      </c>
      <c r="H6265">
        <v>0.203442790401588</v>
      </c>
      <c r="I6265">
        <v>0.23455495468481799</v>
      </c>
      <c r="J6265">
        <v>0.29177100060606198</v>
      </c>
      <c r="K6265">
        <v>0.25493396540233398</v>
      </c>
      <c r="L6265">
        <v>3513.7264114781201</v>
      </c>
      <c r="M6265">
        <v>66.173409513258306</v>
      </c>
      <c r="N6265">
        <v>53.639143401735303</v>
      </c>
      <c r="O6265">
        <v>53.050338245919697</v>
      </c>
      <c r="P6265">
        <v>-0.235972921029734</v>
      </c>
      <c r="Q6265">
        <v>0.24329488904927701</v>
      </c>
      <c r="R6265">
        <v>0.98200464338550297</v>
      </c>
      <c r="S6265" t="s">
        <v>13071</v>
      </c>
      <c r="T6265" t="s">
        <v>13610</v>
      </c>
      <c r="U6265" t="s">
        <v>13610</v>
      </c>
      <c r="V6265" t="s">
        <v>13610</v>
      </c>
      <c r="W6265" t="s">
        <v>19799</v>
      </c>
      <c r="X6265">
        <v>6</v>
      </c>
      <c r="Y6265" t="s">
        <v>26345</v>
      </c>
      <c r="Z6265" t="s">
        <v>33120</v>
      </c>
      <c r="AA6265">
        <v>0.57470110419774134</v>
      </c>
      <c r="AB6265" t="str">
        <f>HYPERLINK("Melting_Curves/meltCurve_Q9P2M4_TBC1D14.pdf", "Melting_Curves/meltCurve_Q9P2M4_TBC1D14.pdf")</f>
        <v>Melting_Curves/meltCurve_Q9P2M4_TBC1D14.pdf</v>
      </c>
    </row>
    <row r="6266" spans="1:28" x14ac:dyDescent="0.25">
      <c r="A6266" t="s">
        <v>6270</v>
      </c>
      <c r="B6266">
        <v>0.995954080203443</v>
      </c>
      <c r="C6266">
        <v>0.68823571674185302</v>
      </c>
      <c r="D6266">
        <v>0.49102225397659399</v>
      </c>
      <c r="E6266">
        <v>0.51397420207404099</v>
      </c>
      <c r="F6266">
        <v>0.27008900467781199</v>
      </c>
      <c r="G6266">
        <v>0.19317243291085001</v>
      </c>
      <c r="H6266">
        <v>0.12869020743633</v>
      </c>
      <c r="I6266">
        <v>0.118847778603045</v>
      </c>
      <c r="J6266">
        <v>0.119181396817973</v>
      </c>
      <c r="K6266">
        <v>0.112149425551545</v>
      </c>
      <c r="L6266">
        <v>501.32313224591201</v>
      </c>
      <c r="M6266">
        <v>10.6890265673667</v>
      </c>
      <c r="N6266">
        <v>47.664955086885598</v>
      </c>
      <c r="O6266">
        <v>45.348563228100602</v>
      </c>
      <c r="P6266">
        <v>-5.4307018784123397E-2</v>
      </c>
      <c r="Q6266">
        <v>7.8749486985736597E-2</v>
      </c>
      <c r="R6266">
        <v>0.94638232658128996</v>
      </c>
      <c r="S6266" t="s">
        <v>13072</v>
      </c>
      <c r="T6266" t="s">
        <v>13610</v>
      </c>
      <c r="U6266" t="s">
        <v>13610</v>
      </c>
      <c r="V6266" t="s">
        <v>13610</v>
      </c>
      <c r="W6266" t="s">
        <v>19800</v>
      </c>
      <c r="X6266">
        <v>3</v>
      </c>
      <c r="Y6266" t="s">
        <v>26346</v>
      </c>
      <c r="Z6266" t="s">
        <v>33121</v>
      </c>
      <c r="AA6266">
        <v>0.33845666252598933</v>
      </c>
      <c r="AB6266" t="str">
        <f>HYPERLINK("Melting_Curves/meltCurve_Q9P2N2_3_ARHGAP28.pdf", "Melting_Curves/meltCurve_Q9P2N2_3_ARHGAP28.pdf")</f>
        <v>Melting_Curves/meltCurve_Q9P2N2_3_ARHGAP28.pdf</v>
      </c>
    </row>
    <row r="6267" spans="1:28" x14ac:dyDescent="0.25">
      <c r="A6267" t="s">
        <v>6271</v>
      </c>
      <c r="B6267">
        <v>0.995954080203443</v>
      </c>
      <c r="C6267">
        <v>0.99035562224038798</v>
      </c>
      <c r="D6267">
        <v>1.01912989271789</v>
      </c>
      <c r="E6267">
        <v>0.90599283416340304</v>
      </c>
      <c r="F6267">
        <v>0.88270134397873301</v>
      </c>
      <c r="G6267">
        <v>0.63915793452792802</v>
      </c>
      <c r="H6267">
        <v>0.54505933830534303</v>
      </c>
      <c r="I6267">
        <v>0.56291934362604201</v>
      </c>
      <c r="J6267">
        <v>0.64678704707644996</v>
      </c>
      <c r="K6267">
        <v>0.55090410086330999</v>
      </c>
      <c r="L6267">
        <v>1628.02886737888</v>
      </c>
      <c r="M6267">
        <v>30.072942603448499</v>
      </c>
      <c r="O6267">
        <v>53.898313228402998</v>
      </c>
      <c r="P6267">
        <v>-5.9809770438118498E-2</v>
      </c>
      <c r="Q6267">
        <v>0.57122587264894298</v>
      </c>
      <c r="R6267">
        <v>0.96448697870158895</v>
      </c>
      <c r="S6267" t="s">
        <v>13073</v>
      </c>
      <c r="T6267" t="s">
        <v>13610</v>
      </c>
      <c r="U6267" t="s">
        <v>13610</v>
      </c>
      <c r="V6267" t="s">
        <v>13610</v>
      </c>
      <c r="W6267" t="s">
        <v>19801</v>
      </c>
      <c r="X6267">
        <v>33</v>
      </c>
      <c r="Y6267" t="s">
        <v>26347</v>
      </c>
      <c r="Z6267" t="s">
        <v>33122</v>
      </c>
      <c r="AA6267">
        <v>0.77607195190398559</v>
      </c>
      <c r="AB6267" t="str">
        <f>HYPERLINK("Melting_Curves/meltCurve_Q9P2N5_RBM27.pdf", "Melting_Curves/meltCurve_Q9P2N5_RBM27.pdf")</f>
        <v>Melting_Curves/meltCurve_Q9P2N5_RBM27.pdf</v>
      </c>
    </row>
    <row r="6268" spans="1:28" x14ac:dyDescent="0.25">
      <c r="A6268" t="s">
        <v>6272</v>
      </c>
      <c r="B6268">
        <v>0.995954080203443</v>
      </c>
      <c r="C6268">
        <v>0.964564683325284</v>
      </c>
      <c r="D6268">
        <v>0.87063480456388898</v>
      </c>
      <c r="E6268">
        <v>0.72149285896175797</v>
      </c>
      <c r="F6268">
        <v>0.61053234728847805</v>
      </c>
      <c r="G6268">
        <v>0.44244510872093501</v>
      </c>
      <c r="H6268">
        <v>0.42565163706951398</v>
      </c>
      <c r="I6268">
        <v>0.49626531497179599</v>
      </c>
      <c r="J6268">
        <v>0.56603356284420303</v>
      </c>
      <c r="K6268">
        <v>0.60189808538074996</v>
      </c>
      <c r="L6268">
        <v>1032.6649570572899</v>
      </c>
      <c r="M6268">
        <v>21.133922753914799</v>
      </c>
      <c r="O6268">
        <v>48.431734939894298</v>
      </c>
      <c r="P6268">
        <v>-5.3839190236697997E-2</v>
      </c>
      <c r="Q6268">
        <v>0.50648880975692501</v>
      </c>
      <c r="R6268">
        <v>0.92470531470745998</v>
      </c>
      <c r="S6268" t="s">
        <v>13074</v>
      </c>
      <c r="T6268" t="s">
        <v>13610</v>
      </c>
      <c r="U6268" t="s">
        <v>13610</v>
      </c>
      <c r="V6268" t="s">
        <v>13610</v>
      </c>
      <c r="W6268" t="s">
        <v>19802</v>
      </c>
      <c r="X6268">
        <v>7</v>
      </c>
      <c r="Y6268" t="s">
        <v>26348</v>
      </c>
      <c r="Z6268" t="s">
        <v>33123</v>
      </c>
      <c r="AA6268">
        <v>0.65846900982498757</v>
      </c>
      <c r="AB6268" t="str">
        <f>HYPERLINK("Melting_Curves/meltCurve_Q9P2N6_3_KANSL3.pdf", "Melting_Curves/meltCurve_Q9P2N6_3_KANSL3.pdf")</f>
        <v>Melting_Curves/meltCurve_Q9P2N6_3_KANSL3.pdf</v>
      </c>
    </row>
    <row r="6269" spans="1:28" x14ac:dyDescent="0.25">
      <c r="A6269" t="s">
        <v>6273</v>
      </c>
      <c r="B6269">
        <v>0.995954080203443</v>
      </c>
      <c r="C6269">
        <v>0.92465811265241904</v>
      </c>
      <c r="D6269">
        <v>0.81421514150476104</v>
      </c>
      <c r="E6269">
        <v>0.63344827247413604</v>
      </c>
      <c r="F6269">
        <v>0.28604565522856301</v>
      </c>
      <c r="G6269">
        <v>0.117761241177724</v>
      </c>
      <c r="H6269">
        <v>5.0380426303946201E-2</v>
      </c>
      <c r="I6269">
        <v>4.6931342844249997E-2</v>
      </c>
      <c r="J6269">
        <v>5.1417965326090102E-2</v>
      </c>
      <c r="K6269">
        <v>4.1720697156388903E-2</v>
      </c>
      <c r="L6269">
        <v>906.900178549766</v>
      </c>
      <c r="M6269">
        <v>17.919936281315799</v>
      </c>
      <c r="N6269">
        <v>50.7323727082345</v>
      </c>
      <c r="O6269">
        <v>49.990841334455297</v>
      </c>
      <c r="P6269">
        <v>-8.7701429361847702E-2</v>
      </c>
      <c r="Q6269">
        <v>2.14143891158281E-2</v>
      </c>
      <c r="R6269">
        <v>0.99244327617970496</v>
      </c>
      <c r="S6269" t="s">
        <v>13075</v>
      </c>
      <c r="T6269" t="s">
        <v>13610</v>
      </c>
      <c r="U6269" t="s">
        <v>13610</v>
      </c>
      <c r="V6269" t="s">
        <v>13610</v>
      </c>
      <c r="W6269" t="s">
        <v>19803</v>
      </c>
      <c r="X6269">
        <v>3</v>
      </c>
      <c r="Y6269" t="s">
        <v>26349</v>
      </c>
      <c r="Z6269" t="s">
        <v>33124</v>
      </c>
      <c r="AA6269">
        <v>0.38415732013693271</v>
      </c>
      <c r="AB6269" t="str">
        <f>HYPERLINK("Melting_Curves/meltCurve_Q9P2P1_NYNRIN.pdf", "Melting_Curves/meltCurve_Q9P2P1_NYNRIN.pdf")</f>
        <v>Melting_Curves/meltCurve_Q9P2P1_NYNRIN.pdf</v>
      </c>
    </row>
    <row r="6270" spans="1:28" x14ac:dyDescent="0.25">
      <c r="A6270" t="s">
        <v>6274</v>
      </c>
      <c r="B6270">
        <v>0.995954080203443</v>
      </c>
      <c r="C6270">
        <v>0.88392620800987798</v>
      </c>
      <c r="D6270">
        <v>0.71106168333757402</v>
      </c>
      <c r="E6270">
        <v>0.48947341310748199</v>
      </c>
      <c r="F6270">
        <v>0.52503277505488</v>
      </c>
      <c r="G6270">
        <v>0.36509931832173997</v>
      </c>
      <c r="H6270">
        <v>0.39851460588154702</v>
      </c>
      <c r="I6270">
        <v>0.40034908994497298</v>
      </c>
      <c r="J6270">
        <v>0.53339117194389696</v>
      </c>
      <c r="K6270">
        <v>0.36917362222532502</v>
      </c>
      <c r="L6270">
        <v>947.52294605628902</v>
      </c>
      <c r="M6270">
        <v>20.607956333025001</v>
      </c>
      <c r="N6270">
        <v>50.450173466612</v>
      </c>
      <c r="O6270">
        <v>45.5521211394787</v>
      </c>
      <c r="P6270">
        <v>-6.5654794109040807E-2</v>
      </c>
      <c r="Q6270">
        <v>0.419519596685129</v>
      </c>
      <c r="R6270">
        <v>0.94095490587673702</v>
      </c>
      <c r="S6270" t="s">
        <v>13076</v>
      </c>
      <c r="T6270" t="s">
        <v>13610</v>
      </c>
      <c r="U6270" t="s">
        <v>13610</v>
      </c>
      <c r="V6270" t="s">
        <v>13610</v>
      </c>
      <c r="W6270" t="s">
        <v>19804</v>
      </c>
      <c r="X6270">
        <v>3</v>
      </c>
      <c r="Y6270" t="s">
        <v>26350</v>
      </c>
      <c r="Z6270" t="s">
        <v>33125</v>
      </c>
      <c r="AA6270">
        <v>0.54358981744132417</v>
      </c>
      <c r="AB6270" t="str">
        <f>HYPERLINK("Melting_Curves/meltCurve_Q9P2P5_2_HECW2.pdf", "Melting_Curves/meltCurve_Q9P2P5_2_HECW2.pdf")</f>
        <v>Melting_Curves/meltCurve_Q9P2P5_2_HECW2.pdf</v>
      </c>
    </row>
    <row r="6271" spans="1:28" x14ac:dyDescent="0.25">
      <c r="A6271" t="s">
        <v>6275</v>
      </c>
      <c r="B6271">
        <v>0.995954080203443</v>
      </c>
      <c r="C6271">
        <v>0.95810096417754897</v>
      </c>
      <c r="D6271">
        <v>0.68423648799277403</v>
      </c>
      <c r="E6271">
        <v>0.28925603327724803</v>
      </c>
      <c r="F6271">
        <v>0.15557381310333401</v>
      </c>
      <c r="G6271">
        <v>9.8670806918387297E-2</v>
      </c>
      <c r="H6271">
        <v>7.3732103840902202E-2</v>
      </c>
      <c r="I6271">
        <v>7.0476884778258198E-2</v>
      </c>
      <c r="J6271">
        <v>8.4868763537257197E-2</v>
      </c>
      <c r="K6271">
        <v>7.6404468906095993E-2</v>
      </c>
      <c r="L6271">
        <v>1133.2292540620499</v>
      </c>
      <c r="M6271">
        <v>23.9061891533349</v>
      </c>
      <c r="N6271">
        <v>47.741472564939599</v>
      </c>
      <c r="O6271">
        <v>47.0752160483854</v>
      </c>
      <c r="P6271">
        <v>-0.117067153769423</v>
      </c>
      <c r="Q6271">
        <v>7.7916932935904806E-2</v>
      </c>
      <c r="R6271">
        <v>0.99894157135900796</v>
      </c>
      <c r="S6271" t="s">
        <v>13077</v>
      </c>
      <c r="T6271" t="s">
        <v>13610</v>
      </c>
      <c r="U6271" t="s">
        <v>13610</v>
      </c>
      <c r="V6271" t="s">
        <v>13610</v>
      </c>
      <c r="W6271" t="s">
        <v>19805</v>
      </c>
      <c r="X6271">
        <v>20</v>
      </c>
      <c r="Y6271" t="s">
        <v>26351</v>
      </c>
      <c r="Z6271" t="s">
        <v>33126</v>
      </c>
      <c r="AA6271">
        <v>0.3144792783186483</v>
      </c>
      <c r="AB6271" t="str">
        <f>HYPERLINK("Melting_Curves/meltCurve_Q9P2R3_ANKFY1.pdf", "Melting_Curves/meltCurve_Q9P2R3_ANKFY1.pdf")</f>
        <v>Melting_Curves/meltCurve_Q9P2R3_ANKFY1.pdf</v>
      </c>
    </row>
    <row r="6272" spans="1:28" x14ac:dyDescent="0.25">
      <c r="A6272" t="s">
        <v>6276</v>
      </c>
      <c r="B6272">
        <v>0.995954080203443</v>
      </c>
      <c r="C6272">
        <v>0.86836862034446205</v>
      </c>
      <c r="D6272">
        <v>0.78351339329528102</v>
      </c>
      <c r="E6272">
        <v>0.56195145019420201</v>
      </c>
      <c r="F6272">
        <v>0.43534402076596701</v>
      </c>
      <c r="G6272">
        <v>0.33627909649513199</v>
      </c>
      <c r="H6272">
        <v>0.29385896483872198</v>
      </c>
      <c r="I6272">
        <v>0.35852524889241999</v>
      </c>
      <c r="J6272">
        <v>0.334215747470342</v>
      </c>
      <c r="K6272">
        <v>0.398437764849358</v>
      </c>
      <c r="L6272">
        <v>809.05374228590301</v>
      </c>
      <c r="M6272">
        <v>16.954561126701499</v>
      </c>
      <c r="N6272">
        <v>51.011891422326002</v>
      </c>
      <c r="O6272">
        <v>47.069928521608396</v>
      </c>
      <c r="P6272">
        <v>-6.0099429717993098E-2</v>
      </c>
      <c r="Q6272">
        <v>0.33263995031411703</v>
      </c>
      <c r="R6272">
        <v>0.98013811727715805</v>
      </c>
      <c r="S6272" t="s">
        <v>13078</v>
      </c>
      <c r="T6272" t="s">
        <v>13610</v>
      </c>
      <c r="U6272" t="s">
        <v>13610</v>
      </c>
      <c r="V6272" t="s">
        <v>13610</v>
      </c>
      <c r="W6272" t="s">
        <v>19806</v>
      </c>
      <c r="X6272">
        <v>16</v>
      </c>
      <c r="Y6272" t="s">
        <v>26352</v>
      </c>
      <c r="Z6272" t="s">
        <v>33127</v>
      </c>
      <c r="AA6272">
        <v>0.51790023758383452</v>
      </c>
      <c r="AB6272" t="str">
        <f>HYPERLINK("Melting_Curves/meltCurve_Q9P2R6_RERE.pdf", "Melting_Curves/meltCurve_Q9P2R6_RERE.pdf")</f>
        <v>Melting_Curves/meltCurve_Q9P2R6_RERE.pdf</v>
      </c>
    </row>
    <row r="6273" spans="1:28" x14ac:dyDescent="0.25">
      <c r="A6273" t="s">
        <v>6277</v>
      </c>
      <c r="B6273">
        <v>0.995954080203443</v>
      </c>
      <c r="C6273">
        <v>0.94160969883632695</v>
      </c>
      <c r="D6273">
        <v>0.81297895287945499</v>
      </c>
      <c r="E6273">
        <v>0.79550396259963196</v>
      </c>
      <c r="F6273">
        <v>0.63840393082789204</v>
      </c>
      <c r="G6273">
        <v>0.49209990845625101</v>
      </c>
      <c r="H6273">
        <v>0.27983827542519701</v>
      </c>
      <c r="I6273">
        <v>0.109872047306107</v>
      </c>
      <c r="J6273">
        <v>5.93635256046793E-2</v>
      </c>
      <c r="K6273">
        <v>6.4105059182823498E-2</v>
      </c>
      <c r="L6273">
        <v>652.93035805521197</v>
      </c>
      <c r="M6273">
        <v>11.7701554937497</v>
      </c>
      <c r="N6273">
        <v>55.473384221116397</v>
      </c>
      <c r="O6273">
        <v>53.9447291574863</v>
      </c>
      <c r="P6273">
        <v>-5.4561462573084897E-2</v>
      </c>
      <c r="Q6273">
        <v>0</v>
      </c>
      <c r="R6273">
        <v>0.97956179940696197</v>
      </c>
      <c r="S6273" t="s">
        <v>13079</v>
      </c>
      <c r="T6273" t="s">
        <v>13610</v>
      </c>
      <c r="U6273" t="s">
        <v>13610</v>
      </c>
      <c r="V6273" t="s">
        <v>13610</v>
      </c>
      <c r="W6273" t="s">
        <v>19807</v>
      </c>
      <c r="X6273">
        <v>5</v>
      </c>
      <c r="Y6273" t="s">
        <v>26353</v>
      </c>
      <c r="Z6273" t="s">
        <v>33128</v>
      </c>
      <c r="AA6273">
        <v>0.5380658904215263</v>
      </c>
      <c r="AB6273" t="str">
        <f>HYPERLINK("Melting_Curves/meltCurve_Q9P2S5_WRAP73.pdf", "Melting_Curves/meltCurve_Q9P2S5_WRAP73.pdf")</f>
        <v>Melting_Curves/meltCurve_Q9P2S5_WRAP73.pdf</v>
      </c>
    </row>
    <row r="6274" spans="1:28" x14ac:dyDescent="0.25">
      <c r="A6274" t="s">
        <v>6278</v>
      </c>
      <c r="B6274">
        <v>0.995954080203443</v>
      </c>
      <c r="C6274">
        <v>0.98641356670235503</v>
      </c>
      <c r="D6274">
        <v>0.75591684030137596</v>
      </c>
      <c r="E6274">
        <v>0.47102910888469701</v>
      </c>
      <c r="F6274">
        <v>0.24646405392012</v>
      </c>
      <c r="G6274">
        <v>0.13509370319143801</v>
      </c>
      <c r="H6274">
        <v>7.9586263360753598E-2</v>
      </c>
      <c r="I6274">
        <v>7.1793015470595301E-2</v>
      </c>
      <c r="J6274">
        <v>8.0270962672735494E-2</v>
      </c>
      <c r="K6274">
        <v>7.40464707532828E-2</v>
      </c>
      <c r="L6274">
        <v>919.39423593015795</v>
      </c>
      <c r="M6274">
        <v>18.736489685511899</v>
      </c>
      <c r="N6274">
        <v>49.446581818463997</v>
      </c>
      <c r="O6274">
        <v>48.5209973644453</v>
      </c>
      <c r="P6274">
        <v>-9.01184290925586E-2</v>
      </c>
      <c r="Q6274">
        <v>6.6537658544859504E-2</v>
      </c>
      <c r="R6274">
        <v>0.996959327005701</v>
      </c>
      <c r="S6274" t="s">
        <v>13080</v>
      </c>
      <c r="T6274" t="s">
        <v>13610</v>
      </c>
      <c r="U6274" t="s">
        <v>13610</v>
      </c>
      <c r="V6274" t="s">
        <v>13610</v>
      </c>
      <c r="W6274" t="s">
        <v>19808</v>
      </c>
      <c r="X6274">
        <v>7</v>
      </c>
      <c r="Y6274" t="s">
        <v>26354</v>
      </c>
      <c r="Z6274" t="s">
        <v>33129</v>
      </c>
      <c r="AA6274">
        <v>0.36365080997047239</v>
      </c>
      <c r="AB6274" t="str">
        <f>HYPERLINK("Melting_Curves/meltCurve_Q9P2W1_PSMC3IP.pdf", "Melting_Curves/meltCurve_Q9P2W1_PSMC3IP.pdf")</f>
        <v>Melting_Curves/meltCurve_Q9P2W1_PSMC3IP.pdf</v>
      </c>
    </row>
    <row r="6275" spans="1:28" x14ac:dyDescent="0.25">
      <c r="A6275" t="s">
        <v>6279</v>
      </c>
      <c r="B6275">
        <v>0.995954080203443</v>
      </c>
      <c r="C6275">
        <v>0.88102447475594303</v>
      </c>
      <c r="D6275">
        <v>0.93580930389017403</v>
      </c>
      <c r="E6275">
        <v>0.84682869745840506</v>
      </c>
      <c r="F6275">
        <v>0.646758180129134</v>
      </c>
      <c r="G6275">
        <v>0.490961406130075</v>
      </c>
      <c r="H6275">
        <v>0.46738482880605198</v>
      </c>
      <c r="I6275">
        <v>0.57154930877329602</v>
      </c>
      <c r="J6275">
        <v>0.73366831802115395</v>
      </c>
      <c r="K6275">
        <v>0.69114389413336397</v>
      </c>
      <c r="L6275">
        <v>2143.6633928554002</v>
      </c>
      <c r="M6275">
        <v>42.418013041521803</v>
      </c>
      <c r="O6275">
        <v>50.424705716560403</v>
      </c>
      <c r="P6275">
        <v>-8.5898336098655104E-2</v>
      </c>
      <c r="Q6275">
        <v>0.59155179251757495</v>
      </c>
      <c r="R6275">
        <v>0.759455609455852</v>
      </c>
      <c r="S6275" t="s">
        <v>13081</v>
      </c>
      <c r="T6275" t="s">
        <v>13610</v>
      </c>
      <c r="U6275" t="s">
        <v>13610</v>
      </c>
      <c r="V6275" t="s">
        <v>13610</v>
      </c>
      <c r="W6275" t="s">
        <v>19809</v>
      </c>
      <c r="X6275">
        <v>2</v>
      </c>
      <c r="Y6275" t="s">
        <v>26355</v>
      </c>
      <c r="Z6275" t="s">
        <v>33130</v>
      </c>
      <c r="AA6275">
        <v>0.73627514396617388</v>
      </c>
      <c r="AB6275" t="str">
        <f>HYPERLINK("Melting_Curves/meltCurve_Q9P2X0_DPM3.pdf", "Melting_Curves/meltCurve_Q9P2X0_DPM3.pdf")</f>
        <v>Melting_Curves/meltCurve_Q9P2X0_DPM3.pdf</v>
      </c>
    </row>
    <row r="6276" spans="1:28" x14ac:dyDescent="0.25">
      <c r="A6276" t="s">
        <v>6280</v>
      </c>
      <c r="B6276">
        <v>0.995954080203443</v>
      </c>
      <c r="C6276">
        <v>0.89452284239325297</v>
      </c>
      <c r="D6276">
        <v>0.82738236761810002</v>
      </c>
      <c r="E6276">
        <v>0.518326680217989</v>
      </c>
      <c r="F6276">
        <v>0.27853601832715003</v>
      </c>
      <c r="G6276">
        <v>0.157165624334275</v>
      </c>
      <c r="H6276">
        <v>9.3934652059547999E-2</v>
      </c>
      <c r="I6276">
        <v>7.9097650192102895E-2</v>
      </c>
      <c r="J6276">
        <v>8.1310392087756797E-2</v>
      </c>
      <c r="K6276">
        <v>8.0392278427477107E-2</v>
      </c>
      <c r="L6276">
        <v>864.95311318409097</v>
      </c>
      <c r="M6276">
        <v>17.4251434251943</v>
      </c>
      <c r="N6276">
        <v>50.041043972905001</v>
      </c>
      <c r="O6276">
        <v>48.998316315309403</v>
      </c>
      <c r="P6276">
        <v>-8.3093623088227306E-2</v>
      </c>
      <c r="Q6276">
        <v>6.5438164232457394E-2</v>
      </c>
      <c r="R6276">
        <v>0.99725272093994799</v>
      </c>
      <c r="S6276" t="s">
        <v>13082</v>
      </c>
      <c r="T6276" t="s">
        <v>13610</v>
      </c>
      <c r="U6276" t="s">
        <v>13610</v>
      </c>
      <c r="V6276" t="s">
        <v>13610</v>
      </c>
      <c r="W6276" t="s">
        <v>19810</v>
      </c>
      <c r="X6276">
        <v>6</v>
      </c>
      <c r="Y6276" t="s">
        <v>26356</v>
      </c>
      <c r="Z6276" t="s">
        <v>33131</v>
      </c>
      <c r="AA6276">
        <v>0.38273824350396851</v>
      </c>
      <c r="AB6276" t="str">
        <f>HYPERLINK("Melting_Curves/meltCurve_Q9P2X3_IMPACT.pdf", "Melting_Curves/meltCurve_Q9P2X3_IMPACT.pdf")</f>
        <v>Melting_Curves/meltCurve_Q9P2X3_IMPACT.pdf</v>
      </c>
    </row>
    <row r="6277" spans="1:28" x14ac:dyDescent="0.25">
      <c r="A6277" t="s">
        <v>6281</v>
      </c>
      <c r="B6277">
        <v>0.995954080203443</v>
      </c>
      <c r="C6277">
        <v>0.899865132818641</v>
      </c>
      <c r="D6277">
        <v>0.80068415945613003</v>
      </c>
      <c r="E6277">
        <v>0.67499460529525301</v>
      </c>
      <c r="F6277">
        <v>0.42621748899610201</v>
      </c>
      <c r="G6277">
        <v>0.26960025276388</v>
      </c>
      <c r="H6277">
        <v>0.21684972381006701</v>
      </c>
      <c r="I6277">
        <v>0.236725508971355</v>
      </c>
      <c r="J6277">
        <v>0.25118435338552297</v>
      </c>
      <c r="K6277">
        <v>0.26684784829895902</v>
      </c>
      <c r="L6277">
        <v>779.84870890089201</v>
      </c>
      <c r="M6277">
        <v>15.616507746349001</v>
      </c>
      <c r="N6277">
        <v>51.796398163393697</v>
      </c>
      <c r="O6277">
        <v>49.140102639366297</v>
      </c>
      <c r="P6277">
        <v>-6.2410143720233999E-2</v>
      </c>
      <c r="Q6277">
        <v>0.21452957822712501</v>
      </c>
      <c r="R6277">
        <v>0.98267940756147598</v>
      </c>
      <c r="S6277" t="s">
        <v>13083</v>
      </c>
      <c r="T6277" t="s">
        <v>13610</v>
      </c>
      <c r="U6277" t="s">
        <v>13610</v>
      </c>
      <c r="V6277" t="s">
        <v>13610</v>
      </c>
      <c r="W6277" t="s">
        <v>19811</v>
      </c>
      <c r="X6277">
        <v>9</v>
      </c>
      <c r="Y6277" t="s">
        <v>26357</v>
      </c>
      <c r="Z6277" t="s">
        <v>33132</v>
      </c>
      <c r="AA6277">
        <v>0.49217536623879948</v>
      </c>
      <c r="AB6277" t="str">
        <f>HYPERLINK("Melting_Curves/meltCurve_Q9P2Y5_UVRAG.pdf", "Melting_Curves/meltCurve_Q9P2Y5_UVRAG.pdf")</f>
        <v>Melting_Curves/meltCurve_Q9P2Y5_UVRAG.pdf</v>
      </c>
    </row>
    <row r="6278" spans="1:28" x14ac:dyDescent="0.25">
      <c r="A6278" t="s">
        <v>6282</v>
      </c>
      <c r="B6278">
        <v>0.995954080203443</v>
      </c>
      <c r="C6278">
        <v>0.85894202911665796</v>
      </c>
      <c r="D6278">
        <v>0.99183877595728198</v>
      </c>
      <c r="E6278">
        <v>0.86667669942296699</v>
      </c>
      <c r="F6278">
        <v>0.35719536510168198</v>
      </c>
      <c r="G6278">
        <v>0.112833382121452</v>
      </c>
      <c r="H6278">
        <v>6.3289854088309894E-2</v>
      </c>
      <c r="I6278">
        <v>4.6404888171931898E-2</v>
      </c>
      <c r="J6278">
        <v>5.02086838771683E-2</v>
      </c>
      <c r="K6278">
        <v>4.1958322627464302E-2</v>
      </c>
      <c r="L6278">
        <v>2164.3861662198801</v>
      </c>
      <c r="M6278">
        <v>41.5552232879485</v>
      </c>
      <c r="N6278">
        <v>52.234554855438098</v>
      </c>
      <c r="O6278">
        <v>51.964393266122499</v>
      </c>
      <c r="P6278">
        <v>-0.188679110787076</v>
      </c>
      <c r="Q6278">
        <v>5.6236300865122303E-2</v>
      </c>
      <c r="R6278">
        <v>0.98736747163889405</v>
      </c>
      <c r="S6278" t="s">
        <v>13084</v>
      </c>
      <c r="T6278" t="s">
        <v>13610</v>
      </c>
      <c r="U6278" t="s">
        <v>13610</v>
      </c>
      <c r="V6278" t="s">
        <v>13610</v>
      </c>
      <c r="W6278" t="s">
        <v>19812</v>
      </c>
      <c r="X6278">
        <v>24</v>
      </c>
      <c r="Y6278" t="s">
        <v>26358</v>
      </c>
      <c r="Z6278" t="s">
        <v>33133</v>
      </c>
      <c r="AA6278">
        <v>0.43954772102969147</v>
      </c>
      <c r="AB6278" t="str">
        <f>HYPERLINK("Melting_Curves/meltCurve_Q9UBB4_ATXN10.pdf", "Melting_Curves/meltCurve_Q9UBB4_ATXN10.pdf")</f>
        <v>Melting_Curves/meltCurve_Q9UBB4_ATXN10.pdf</v>
      </c>
    </row>
    <row r="6279" spans="1:28" x14ac:dyDescent="0.25">
      <c r="A6279" t="s">
        <v>6283</v>
      </c>
      <c r="B6279">
        <v>0.995954080203443</v>
      </c>
      <c r="C6279">
        <v>0.90319537551922802</v>
      </c>
      <c r="D6279">
        <v>0.74037791138837905</v>
      </c>
      <c r="E6279">
        <v>0.77920169767261305</v>
      </c>
      <c r="F6279">
        <v>0.46338737087562998</v>
      </c>
      <c r="G6279">
        <v>0.32188979388808497</v>
      </c>
      <c r="H6279">
        <v>0.31341219147215899</v>
      </c>
      <c r="I6279">
        <v>0.33924144054455901</v>
      </c>
      <c r="J6279">
        <v>0.38954720492398098</v>
      </c>
      <c r="K6279">
        <v>0.39921830773086597</v>
      </c>
      <c r="L6279">
        <v>721.61251932296602</v>
      </c>
      <c r="M6279">
        <v>14.641410981967701</v>
      </c>
      <c r="N6279">
        <v>53.155204515894503</v>
      </c>
      <c r="O6279">
        <v>48.393700036837203</v>
      </c>
      <c r="P6279">
        <v>-5.0850335599882099E-2</v>
      </c>
      <c r="Q6279">
        <v>0.32777991674887202</v>
      </c>
      <c r="R6279">
        <v>0.92014071056770896</v>
      </c>
      <c r="S6279" t="s">
        <v>13085</v>
      </c>
      <c r="T6279" t="s">
        <v>13610</v>
      </c>
      <c r="U6279" t="s">
        <v>13610</v>
      </c>
      <c r="V6279" t="s">
        <v>13610</v>
      </c>
      <c r="W6279" t="s">
        <v>19813</v>
      </c>
      <c r="X6279">
        <v>13</v>
      </c>
      <c r="Y6279" t="s">
        <v>26359</v>
      </c>
      <c r="Z6279" t="s">
        <v>33134</v>
      </c>
      <c r="AA6279">
        <v>0.55301573634180734</v>
      </c>
      <c r="AB6279" t="str">
        <f>HYPERLINK("Melting_Curves/meltCurve_Q9UBB5_MBD2.pdf", "Melting_Curves/meltCurve_Q9UBB5_MBD2.pdf")</f>
        <v>Melting_Curves/meltCurve_Q9UBB5_MBD2.pdf</v>
      </c>
    </row>
    <row r="6280" spans="1:28" x14ac:dyDescent="0.25">
      <c r="A6280" t="s">
        <v>6284</v>
      </c>
      <c r="B6280">
        <v>0.995954080203443</v>
      </c>
      <c r="C6280">
        <v>0.89353906919875403</v>
      </c>
      <c r="D6280">
        <v>1.1228173265961101</v>
      </c>
      <c r="E6280">
        <v>0.63641455041150097</v>
      </c>
      <c r="F6280">
        <v>0.224526717895143</v>
      </c>
      <c r="G6280">
        <v>0.13884668297408101</v>
      </c>
      <c r="H6280">
        <v>8.8879540672363394E-2</v>
      </c>
      <c r="I6280">
        <v>7.3234915712371798E-2</v>
      </c>
      <c r="J6280">
        <v>8.0253961614781696E-2</v>
      </c>
      <c r="K6280">
        <v>7.6236487873929407E-2</v>
      </c>
      <c r="L6280">
        <v>2154.7179446309401</v>
      </c>
      <c r="M6280">
        <v>42.606848924692102</v>
      </c>
      <c r="N6280">
        <v>50.815193526307802</v>
      </c>
      <c r="O6280">
        <v>50.461080307661597</v>
      </c>
      <c r="P6280">
        <v>-0.191626676560291</v>
      </c>
      <c r="Q6280">
        <v>9.2195428572001095E-2</v>
      </c>
      <c r="R6280">
        <v>0.98047503221868004</v>
      </c>
      <c r="S6280" t="s">
        <v>13086</v>
      </c>
      <c r="T6280" t="s">
        <v>13610</v>
      </c>
      <c r="U6280" t="s">
        <v>13610</v>
      </c>
      <c r="V6280" t="s">
        <v>13610</v>
      </c>
      <c r="W6280" t="s">
        <v>19814</v>
      </c>
      <c r="X6280">
        <v>19</v>
      </c>
      <c r="Y6280" t="s">
        <v>26360</v>
      </c>
      <c r="Z6280" t="s">
        <v>33135</v>
      </c>
      <c r="AA6280">
        <v>0.41490342534296409</v>
      </c>
      <c r="AB6280" t="str">
        <f>HYPERLINK("Melting_Curves/meltCurve_Q9UBB6_NCDN.pdf", "Melting_Curves/meltCurve_Q9UBB6_NCDN.pdf")</f>
        <v>Melting_Curves/meltCurve_Q9UBB6_NCDN.pdf</v>
      </c>
    </row>
    <row r="6281" spans="1:28" x14ac:dyDescent="0.25">
      <c r="A6281" t="s">
        <v>6285</v>
      </c>
      <c r="B6281">
        <v>0.995954080203443</v>
      </c>
      <c r="C6281">
        <v>0.97817434547186599</v>
      </c>
      <c r="D6281">
        <v>0.80496644418631302</v>
      </c>
      <c r="E6281">
        <v>0.52416948647905803</v>
      </c>
      <c r="F6281">
        <v>0.38901876657796403</v>
      </c>
      <c r="G6281">
        <v>0.27828132600912903</v>
      </c>
      <c r="H6281">
        <v>0.23561584413195999</v>
      </c>
      <c r="I6281">
        <v>0.26132282356678599</v>
      </c>
      <c r="J6281">
        <v>0.26438136768896903</v>
      </c>
      <c r="K6281">
        <v>0.30281961489571801</v>
      </c>
      <c r="L6281">
        <v>1006.9578060177</v>
      </c>
      <c r="M6281">
        <v>20.745039299052401</v>
      </c>
      <c r="N6281">
        <v>50.333012794287399</v>
      </c>
      <c r="O6281">
        <v>48.095400891383598</v>
      </c>
      <c r="P6281">
        <v>-7.9665330202372694E-2</v>
      </c>
      <c r="Q6281">
        <v>0.26123485143709002</v>
      </c>
      <c r="R6281">
        <v>0.99485478707219299</v>
      </c>
      <c r="S6281" t="s">
        <v>13087</v>
      </c>
      <c r="T6281" t="s">
        <v>13610</v>
      </c>
      <c r="U6281" t="s">
        <v>13610</v>
      </c>
      <c r="V6281" t="s">
        <v>13610</v>
      </c>
      <c r="W6281" t="s">
        <v>19815</v>
      </c>
      <c r="X6281">
        <v>22</v>
      </c>
      <c r="Y6281" t="s">
        <v>26361</v>
      </c>
      <c r="Z6281" t="s">
        <v>33136</v>
      </c>
      <c r="AA6281">
        <v>0.48117117555611649</v>
      </c>
      <c r="AB6281" t="str">
        <f>HYPERLINK("Melting_Curves/meltCurve_Q9UBB9_TFIP11.pdf", "Melting_Curves/meltCurve_Q9UBB9_TFIP11.pdf")</f>
        <v>Melting_Curves/meltCurve_Q9UBB9_TFIP11.pdf</v>
      </c>
    </row>
    <row r="6282" spans="1:28" x14ac:dyDescent="0.25">
      <c r="A6282" t="s">
        <v>6286</v>
      </c>
      <c r="B6282">
        <v>0.995954080203443</v>
      </c>
      <c r="C6282">
        <v>1.0753029372807501</v>
      </c>
      <c r="D6282">
        <v>1.0336511925901399</v>
      </c>
      <c r="E6282">
        <v>0.96938419843453805</v>
      </c>
      <c r="F6282">
        <v>0.79388506073637299</v>
      </c>
      <c r="G6282">
        <v>0.48909149423064802</v>
      </c>
      <c r="H6282">
        <v>0.34531124108622202</v>
      </c>
      <c r="I6282">
        <v>0.36666473834110103</v>
      </c>
      <c r="J6282">
        <v>0.379328288177877</v>
      </c>
      <c r="K6282">
        <v>0.40014920862861802</v>
      </c>
      <c r="L6282">
        <v>1821.1422781333499</v>
      </c>
      <c r="M6282">
        <v>33.590321359682399</v>
      </c>
      <c r="N6282">
        <v>56.495302881323802</v>
      </c>
      <c r="O6282">
        <v>54.025204763019403</v>
      </c>
      <c r="P6282">
        <v>-9.7766388935282195E-2</v>
      </c>
      <c r="Q6282">
        <v>0.37102986539067501</v>
      </c>
      <c r="R6282">
        <v>0.98898033577594202</v>
      </c>
      <c r="S6282" t="s">
        <v>13088</v>
      </c>
      <c r="T6282" t="s">
        <v>13610</v>
      </c>
      <c r="U6282" t="s">
        <v>13610</v>
      </c>
      <c r="V6282" t="s">
        <v>13610</v>
      </c>
      <c r="W6282" t="s">
        <v>19816</v>
      </c>
      <c r="X6282">
        <v>36</v>
      </c>
      <c r="Y6282" t="s">
        <v>21368</v>
      </c>
      <c r="Z6282" t="s">
        <v>33137</v>
      </c>
      <c r="AA6282">
        <v>0.67240838576557693</v>
      </c>
      <c r="AB6282" t="str">
        <f>HYPERLINK("Melting_Curves/meltCurve_Q9UBC2_2_EPS15L1.pdf", "Melting_Curves/meltCurve_Q9UBC2_2_EPS15L1.pdf")</f>
        <v>Melting_Curves/meltCurve_Q9UBC2_2_EPS15L1.pdf</v>
      </c>
    </row>
    <row r="6283" spans="1:28" x14ac:dyDescent="0.25">
      <c r="A6283" t="s">
        <v>6287</v>
      </c>
      <c r="B6283">
        <v>0.995954080203443</v>
      </c>
      <c r="C6283">
        <v>0.93888608004864504</v>
      </c>
      <c r="D6283">
        <v>0.94119775250917903</v>
      </c>
      <c r="E6283">
        <v>0.65836894491657805</v>
      </c>
      <c r="F6283">
        <v>0.245732841225138</v>
      </c>
      <c r="G6283">
        <v>0.113893527223766</v>
      </c>
      <c r="H6283">
        <v>9.7708793114001394E-2</v>
      </c>
      <c r="I6283">
        <v>0.122160168666229</v>
      </c>
      <c r="J6283">
        <v>0.11944563631722099</v>
      </c>
      <c r="K6283">
        <v>0.10557327547296599</v>
      </c>
      <c r="L6283">
        <v>1806.36401016011</v>
      </c>
      <c r="M6283">
        <v>35.6979860160763</v>
      </c>
      <c r="N6283">
        <v>50.945299606807403</v>
      </c>
      <c r="O6283">
        <v>50.443263649173197</v>
      </c>
      <c r="P6283">
        <v>-0.15797317240388101</v>
      </c>
      <c r="Q6283">
        <v>0.10710265282607299</v>
      </c>
      <c r="R6283">
        <v>0.99614230978811502</v>
      </c>
      <c r="S6283" t="s">
        <v>13089</v>
      </c>
      <c r="T6283" t="s">
        <v>13610</v>
      </c>
      <c r="U6283" t="s">
        <v>13610</v>
      </c>
      <c r="V6283" t="s">
        <v>13610</v>
      </c>
      <c r="W6283" t="s">
        <v>19817</v>
      </c>
      <c r="X6283">
        <v>4</v>
      </c>
      <c r="Y6283" t="s">
        <v>26362</v>
      </c>
      <c r="Z6283" t="s">
        <v>33138</v>
      </c>
      <c r="AA6283">
        <v>0.42656015778313289</v>
      </c>
      <c r="AB6283" t="str">
        <f>HYPERLINK("Melting_Curves/meltCurve_Q9UBC3_6_DNMT3B.pdf", "Melting_Curves/meltCurve_Q9UBC3_6_DNMT3B.pdf")</f>
        <v>Melting_Curves/meltCurve_Q9UBC3_6_DNMT3B.pdf</v>
      </c>
    </row>
    <row r="6284" spans="1:28" x14ac:dyDescent="0.25">
      <c r="A6284" t="s">
        <v>6288</v>
      </c>
      <c r="B6284">
        <v>0.995954080203443</v>
      </c>
      <c r="C6284">
        <v>0.65253000810498896</v>
      </c>
      <c r="D6284">
        <v>0.35095130316665302</v>
      </c>
      <c r="E6284">
        <v>0.25489230509465899</v>
      </c>
      <c r="F6284">
        <v>0.11975258703239</v>
      </c>
      <c r="G6284">
        <v>5.6004737713186301E-2</v>
      </c>
      <c r="H6284">
        <v>3.6546760404314399E-2</v>
      </c>
      <c r="I6284">
        <v>2.8354795837980201E-2</v>
      </c>
      <c r="J6284">
        <v>3.3698728058234199E-2</v>
      </c>
      <c r="K6284">
        <v>2.8256652129747602E-2</v>
      </c>
      <c r="L6284">
        <v>796.45577457705099</v>
      </c>
      <c r="M6284">
        <v>17.819207648072901</v>
      </c>
      <c r="N6284">
        <v>44.917456325708002</v>
      </c>
      <c r="O6284">
        <v>44.144967512897303</v>
      </c>
      <c r="P6284">
        <v>-9.6683494116981003E-2</v>
      </c>
      <c r="Q6284">
        <v>4.1962007776898097E-2</v>
      </c>
      <c r="R6284">
        <v>0.97591410119080002</v>
      </c>
      <c r="S6284" t="s">
        <v>13090</v>
      </c>
      <c r="T6284" t="s">
        <v>13610</v>
      </c>
      <c r="U6284" t="s">
        <v>13610</v>
      </c>
      <c r="V6284" t="s">
        <v>13610</v>
      </c>
      <c r="W6284" t="s">
        <v>19818</v>
      </c>
      <c r="X6284">
        <v>14</v>
      </c>
      <c r="Y6284" t="s">
        <v>26363</v>
      </c>
      <c r="Z6284" t="s">
        <v>33139</v>
      </c>
      <c r="AA6284">
        <v>0.21385453746610619</v>
      </c>
      <c r="AB6284" t="str">
        <f>HYPERLINK("Melting_Curves/meltCurve_Q9UBD5_ORC3.pdf", "Melting_Curves/meltCurve_Q9UBD5_ORC3.pdf")</f>
        <v>Melting_Curves/meltCurve_Q9UBD5_ORC3.pdf</v>
      </c>
    </row>
    <row r="6285" spans="1:28" x14ac:dyDescent="0.25">
      <c r="A6285" t="s">
        <v>6289</v>
      </c>
      <c r="B6285">
        <v>0.995954080203443</v>
      </c>
      <c r="C6285">
        <v>0.92049859065091499</v>
      </c>
      <c r="D6285">
        <v>1.12476129352911</v>
      </c>
      <c r="E6285">
        <v>0.85773358792036403</v>
      </c>
      <c r="F6285">
        <v>0.50418084553256604</v>
      </c>
      <c r="G6285">
        <v>0.18878712678213699</v>
      </c>
      <c r="H6285">
        <v>8.3499297238032497E-2</v>
      </c>
      <c r="I6285">
        <v>6.9898660743753102E-2</v>
      </c>
      <c r="J6285">
        <v>8.0004365535883401E-2</v>
      </c>
      <c r="K6285">
        <v>7.0907589322614303E-2</v>
      </c>
      <c r="L6285">
        <v>1640.9797645769399</v>
      </c>
      <c r="M6285">
        <v>31.063268097799501</v>
      </c>
      <c r="N6285">
        <v>53.108470933662602</v>
      </c>
      <c r="O6285">
        <v>52.609548946643599</v>
      </c>
      <c r="P6285">
        <v>-0.13641031608582799</v>
      </c>
      <c r="Q6285">
        <v>7.5893537264940206E-2</v>
      </c>
      <c r="R6285">
        <v>0.98565621973787199</v>
      </c>
      <c r="S6285" t="s">
        <v>13091</v>
      </c>
      <c r="T6285" t="s">
        <v>13610</v>
      </c>
      <c r="U6285" t="s">
        <v>13610</v>
      </c>
      <c r="V6285" t="s">
        <v>13610</v>
      </c>
      <c r="W6285" t="s">
        <v>19819</v>
      </c>
      <c r="X6285">
        <v>30</v>
      </c>
      <c r="Y6285" t="s">
        <v>26364</v>
      </c>
      <c r="Z6285" t="s">
        <v>33140</v>
      </c>
      <c r="AA6285">
        <v>0.47659322492694672</v>
      </c>
      <c r="AB6285" t="str">
        <f>HYPERLINK("Melting_Curves/meltCurve_Q9UBE0_SAE1.pdf", "Melting_Curves/meltCurve_Q9UBE0_SAE1.pdf")</f>
        <v>Melting_Curves/meltCurve_Q9UBE0_SAE1.pdf</v>
      </c>
    </row>
    <row r="6286" spans="1:28" x14ac:dyDescent="0.25">
      <c r="A6286" t="s">
        <v>6290</v>
      </c>
      <c r="B6286">
        <v>0.995954080203443</v>
      </c>
      <c r="C6286">
        <v>0.98884055609589805</v>
      </c>
      <c r="D6286">
        <v>0.86478021596451504</v>
      </c>
      <c r="E6286">
        <v>0.82353043240935098</v>
      </c>
      <c r="F6286">
        <v>0.660109251157319</v>
      </c>
      <c r="G6286">
        <v>0.46932957120590202</v>
      </c>
      <c r="H6286">
        <v>0.329236138851428</v>
      </c>
      <c r="I6286">
        <v>0.29726529585498801</v>
      </c>
      <c r="J6286">
        <v>0.19415724857424099</v>
      </c>
      <c r="K6286">
        <v>0.159166195153048</v>
      </c>
      <c r="L6286">
        <v>588.11355605711697</v>
      </c>
      <c r="M6286">
        <v>10.523749784586</v>
      </c>
      <c r="N6286">
        <v>56.651354325265203</v>
      </c>
      <c r="O6286">
        <v>53.979654376191398</v>
      </c>
      <c r="P6286">
        <v>-4.5521659392261597E-2</v>
      </c>
      <c r="Q6286">
        <v>6.6393241691256502E-2</v>
      </c>
      <c r="R6286">
        <v>0.99384174041672602</v>
      </c>
      <c r="S6286" t="s">
        <v>13092</v>
      </c>
      <c r="T6286" t="s">
        <v>13610</v>
      </c>
      <c r="U6286" t="s">
        <v>13610</v>
      </c>
      <c r="V6286" t="s">
        <v>13610</v>
      </c>
      <c r="W6286" t="s">
        <v>19820</v>
      </c>
      <c r="X6286">
        <v>8</v>
      </c>
      <c r="Y6286" t="s">
        <v>26365</v>
      </c>
      <c r="Z6286" t="s">
        <v>33141</v>
      </c>
      <c r="AA6286">
        <v>0.58085736950734801</v>
      </c>
      <c r="AB6286" t="str">
        <f>HYPERLINK("Melting_Curves/meltCurve_Q9UBF1_MAGEC2.pdf", "Melting_Curves/meltCurve_Q9UBF1_MAGEC2.pdf")</f>
        <v>Melting_Curves/meltCurve_Q9UBF1_MAGEC2.pdf</v>
      </c>
    </row>
    <row r="6287" spans="1:28" x14ac:dyDescent="0.25">
      <c r="A6287" t="s">
        <v>6291</v>
      </c>
      <c r="B6287">
        <v>0.995954080203443</v>
      </c>
      <c r="C6287">
        <v>0.70350847912144698</v>
      </c>
      <c r="D6287">
        <v>0.51412550206666996</v>
      </c>
      <c r="E6287">
        <v>0.58355265539447798</v>
      </c>
      <c r="F6287">
        <v>0.25009331279102198</v>
      </c>
      <c r="G6287">
        <v>0.11351838228214101</v>
      </c>
      <c r="H6287">
        <v>5.5412619960434402E-2</v>
      </c>
      <c r="I6287">
        <v>4.1613372321480498E-2</v>
      </c>
      <c r="J6287">
        <v>4.3977702646694199E-2</v>
      </c>
      <c r="K6287">
        <v>4.0497600977011702E-2</v>
      </c>
      <c r="L6287">
        <v>509.71227612109902</v>
      </c>
      <c r="M6287">
        <v>10.6006952411587</v>
      </c>
      <c r="N6287">
        <v>48.082910511690699</v>
      </c>
      <c r="O6287">
        <v>46.466458416776099</v>
      </c>
      <c r="P6287">
        <v>-5.7056308713957997E-2</v>
      </c>
      <c r="Q6287">
        <v>0</v>
      </c>
      <c r="R6287">
        <v>0.93770797961948604</v>
      </c>
      <c r="S6287" t="s">
        <v>13093</v>
      </c>
      <c r="T6287" t="s">
        <v>13610</v>
      </c>
      <c r="U6287" t="s">
        <v>13610</v>
      </c>
      <c r="V6287" t="s">
        <v>13610</v>
      </c>
      <c r="W6287" t="s">
        <v>19821</v>
      </c>
      <c r="X6287">
        <v>34</v>
      </c>
      <c r="Y6287" t="s">
        <v>26366</v>
      </c>
      <c r="Z6287" t="s">
        <v>33142</v>
      </c>
      <c r="AA6287">
        <v>0.31741387694534479</v>
      </c>
      <c r="AB6287" t="str">
        <f>HYPERLINK("Melting_Curves/meltCurve_Q9UBF2_COPG2.pdf", "Melting_Curves/meltCurve_Q9UBF2_COPG2.pdf")</f>
        <v>Melting_Curves/meltCurve_Q9UBF2_COPG2.pdf</v>
      </c>
    </row>
    <row r="6288" spans="1:28" x14ac:dyDescent="0.25">
      <c r="A6288" t="s">
        <v>6292</v>
      </c>
      <c r="B6288">
        <v>0.995954080203443</v>
      </c>
      <c r="C6288">
        <v>0.92082320652441996</v>
      </c>
      <c r="D6288">
        <v>0.520706465195927</v>
      </c>
      <c r="E6288">
        <v>0.62583519253084197</v>
      </c>
      <c r="F6288">
        <v>0.286456445047442</v>
      </c>
      <c r="G6288">
        <v>0.12876136381283901</v>
      </c>
      <c r="H6288">
        <v>8.3574313717655294E-2</v>
      </c>
      <c r="I6288">
        <v>7.8825317001487899E-2</v>
      </c>
      <c r="J6288">
        <v>8.7533575742255801E-2</v>
      </c>
      <c r="K6288">
        <v>7.6100323428417202E-2</v>
      </c>
      <c r="L6288">
        <v>593.28604805308805</v>
      </c>
      <c r="M6288">
        <v>12.0806127197976</v>
      </c>
      <c r="N6288">
        <v>49.343589531646302</v>
      </c>
      <c r="O6288">
        <v>47.8229781589922</v>
      </c>
      <c r="P6288">
        <v>-6.1416438560871103E-2</v>
      </c>
      <c r="Q6288">
        <v>2.7722402305023201E-2</v>
      </c>
      <c r="R6288">
        <v>0.93882942326404095</v>
      </c>
      <c r="S6288" t="s">
        <v>13094</v>
      </c>
      <c r="T6288" t="s">
        <v>13610</v>
      </c>
      <c r="U6288" t="s">
        <v>13610</v>
      </c>
      <c r="V6288" t="s">
        <v>13610</v>
      </c>
      <c r="W6288" t="s">
        <v>19822</v>
      </c>
      <c r="X6288">
        <v>16</v>
      </c>
      <c r="Y6288" t="s">
        <v>26367</v>
      </c>
      <c r="Z6288" t="s">
        <v>33143</v>
      </c>
      <c r="AA6288">
        <v>0.35807758772407539</v>
      </c>
      <c r="AB6288" t="str">
        <f>HYPERLINK("Melting_Curves/meltCurve_Q9UBF8_2_PI4KB.pdf", "Melting_Curves/meltCurve_Q9UBF8_2_PI4KB.pdf")</f>
        <v>Melting_Curves/meltCurve_Q9UBF8_2_PI4KB.pdf</v>
      </c>
    </row>
    <row r="6289" spans="1:28" x14ac:dyDescent="0.25">
      <c r="A6289" t="s">
        <v>6293</v>
      </c>
      <c r="B6289">
        <v>0.995954080203443</v>
      </c>
      <c r="C6289">
        <v>0.84400364310029496</v>
      </c>
      <c r="D6289">
        <v>0.70618713681363199</v>
      </c>
      <c r="E6289">
        <v>0.70803508890729705</v>
      </c>
      <c r="F6289">
        <v>0.33749454385637201</v>
      </c>
      <c r="G6289">
        <v>0.13248028314784499</v>
      </c>
      <c r="H6289">
        <v>7.0185053589270199E-2</v>
      </c>
      <c r="I6289">
        <v>3.5231278899251303E-2</v>
      </c>
      <c r="J6289">
        <v>1.52751752910548E-2</v>
      </c>
      <c r="K6289">
        <v>1.1478705547673799E-2</v>
      </c>
      <c r="L6289">
        <v>690.94612961352504</v>
      </c>
      <c r="M6289">
        <v>13.604339074755099</v>
      </c>
      <c r="N6289">
        <v>50.788657336221398</v>
      </c>
      <c r="O6289">
        <v>49.7289339910078</v>
      </c>
      <c r="P6289">
        <v>-6.8402564522113504E-2</v>
      </c>
      <c r="Q6289">
        <v>0</v>
      </c>
      <c r="R6289">
        <v>0.96650148072476405</v>
      </c>
      <c r="S6289" t="s">
        <v>13095</v>
      </c>
      <c r="T6289" t="s">
        <v>13610</v>
      </c>
      <c r="U6289" t="s">
        <v>13610</v>
      </c>
      <c r="V6289" t="s">
        <v>13610</v>
      </c>
      <c r="W6289" t="s">
        <v>19823</v>
      </c>
      <c r="X6289">
        <v>3</v>
      </c>
      <c r="Y6289" t="s">
        <v>26368</v>
      </c>
      <c r="Z6289" t="s">
        <v>33144</v>
      </c>
      <c r="AA6289">
        <v>0.38690508461944673</v>
      </c>
      <c r="AB6289" t="str">
        <f>HYPERLINK("Melting_Curves/meltCurve_Q9UBG0_MRC2.pdf", "Melting_Curves/meltCurve_Q9UBG0_MRC2.pdf")</f>
        <v>Melting_Curves/meltCurve_Q9UBG0_MRC2.pdf</v>
      </c>
    </row>
    <row r="6290" spans="1:28" x14ac:dyDescent="0.25">
      <c r="A6290" t="s">
        <v>6294</v>
      </c>
      <c r="B6290">
        <v>0.995954080203443</v>
      </c>
      <c r="C6290">
        <v>1.02847483219355</v>
      </c>
      <c r="D6290">
        <v>0.75334757645393702</v>
      </c>
      <c r="E6290">
        <v>0.64779714781091402</v>
      </c>
      <c r="F6290">
        <v>0.26145832489702803</v>
      </c>
      <c r="G6290">
        <v>0.131971710491641</v>
      </c>
      <c r="H6290">
        <v>8.7911382831788995E-2</v>
      </c>
      <c r="I6290">
        <v>6.7040087840243803E-2</v>
      </c>
      <c r="J6290">
        <v>6.2853164175404194E-2</v>
      </c>
      <c r="K6290">
        <v>7.2556459415297397E-2</v>
      </c>
      <c r="L6290">
        <v>935.96363997304104</v>
      </c>
      <c r="M6290">
        <v>18.597668164100298</v>
      </c>
      <c r="N6290">
        <v>50.614378599524102</v>
      </c>
      <c r="O6290">
        <v>49.755885469740498</v>
      </c>
      <c r="P6290">
        <v>-8.8765375582129893E-2</v>
      </c>
      <c r="Q6290">
        <v>5.0115740823697602E-2</v>
      </c>
      <c r="R6290">
        <v>0.98080189434195297</v>
      </c>
      <c r="S6290" t="s">
        <v>13096</v>
      </c>
      <c r="T6290" t="s">
        <v>13610</v>
      </c>
      <c r="U6290" t="s">
        <v>13610</v>
      </c>
      <c r="V6290" t="s">
        <v>13610</v>
      </c>
      <c r="W6290" t="s">
        <v>19824</v>
      </c>
      <c r="X6290">
        <v>9</v>
      </c>
      <c r="Y6290" t="s">
        <v>26369</v>
      </c>
      <c r="Z6290" t="s">
        <v>33145</v>
      </c>
      <c r="AA6290">
        <v>0.39226820437298782</v>
      </c>
      <c r="AB6290" t="str">
        <f>HYPERLINK("Melting_Curves/meltCurve_Q9UBI1_COMMD3.pdf", "Melting_Curves/meltCurve_Q9UBI1_COMMD3.pdf")</f>
        <v>Melting_Curves/meltCurve_Q9UBI1_COMMD3.pdf</v>
      </c>
    </row>
    <row r="6291" spans="1:28" x14ac:dyDescent="0.25">
      <c r="A6291" t="s">
        <v>6295</v>
      </c>
      <c r="B6291">
        <v>0.995954080203443</v>
      </c>
      <c r="C6291">
        <v>0.93615471048883503</v>
      </c>
      <c r="D6291">
        <v>0.90051459185884097</v>
      </c>
      <c r="E6291">
        <v>0.79254643717159101</v>
      </c>
      <c r="F6291">
        <v>0.66998519054574601</v>
      </c>
      <c r="G6291">
        <v>0.36827066862110103</v>
      </c>
      <c r="H6291">
        <v>0.18935978468749801</v>
      </c>
      <c r="I6291">
        <v>0.11430727474298601</v>
      </c>
      <c r="J6291">
        <v>8.7055811815103995E-2</v>
      </c>
      <c r="K6291">
        <v>6.7017348742657995E-2</v>
      </c>
      <c r="L6291">
        <v>752.01568414497001</v>
      </c>
      <c r="M6291">
        <v>13.6716235361326</v>
      </c>
      <c r="N6291">
        <v>55.005563466231202</v>
      </c>
      <c r="O6291">
        <v>53.868783971618598</v>
      </c>
      <c r="P6291">
        <v>-6.3457940553622402E-2</v>
      </c>
      <c r="Q6291">
        <v>0</v>
      </c>
      <c r="R6291">
        <v>0.99547125427408101</v>
      </c>
      <c r="S6291" t="s">
        <v>13097</v>
      </c>
      <c r="T6291" t="s">
        <v>13610</v>
      </c>
      <c r="U6291" t="s">
        <v>13610</v>
      </c>
      <c r="V6291" t="s">
        <v>13610</v>
      </c>
      <c r="W6291" t="s">
        <v>19825</v>
      </c>
      <c r="X6291">
        <v>5</v>
      </c>
      <c r="Y6291" t="s">
        <v>26370</v>
      </c>
      <c r="Z6291" t="s">
        <v>33146</v>
      </c>
      <c r="AA6291">
        <v>0.52130483854200471</v>
      </c>
      <c r="AB6291" t="str">
        <f>HYPERLINK("Melting_Curves/meltCurve_Q9UBI9_HECA.pdf", "Melting_Curves/meltCurve_Q9UBI9_HECA.pdf")</f>
        <v>Melting_Curves/meltCurve_Q9UBI9_HECA.pdf</v>
      </c>
    </row>
    <row r="6292" spans="1:28" x14ac:dyDescent="0.25">
      <c r="A6292" t="s">
        <v>6296</v>
      </c>
      <c r="B6292">
        <v>0.995954080203443</v>
      </c>
      <c r="C6292">
        <v>0.96665362210304495</v>
      </c>
      <c r="D6292">
        <v>0.78196811731215998</v>
      </c>
      <c r="E6292">
        <v>0.41342316605155999</v>
      </c>
      <c r="F6292">
        <v>0.245472488177431</v>
      </c>
      <c r="G6292">
        <v>0.13562926214496199</v>
      </c>
      <c r="H6292">
        <v>9.7967730498377203E-2</v>
      </c>
      <c r="I6292">
        <v>8.8083350418970599E-2</v>
      </c>
      <c r="J6292">
        <v>8.9189702569478599E-2</v>
      </c>
      <c r="K6292">
        <v>9.1300370108087406E-2</v>
      </c>
      <c r="L6292">
        <v>1001.3872569826</v>
      </c>
      <c r="M6292">
        <v>20.573788562687099</v>
      </c>
      <c r="N6292">
        <v>49.134777922539399</v>
      </c>
      <c r="O6292">
        <v>48.2201293349693</v>
      </c>
      <c r="P6292">
        <v>-9.7291590263351005E-2</v>
      </c>
      <c r="Q6292">
        <v>8.7912163004582697E-2</v>
      </c>
      <c r="R6292">
        <v>0.99932922661590295</v>
      </c>
      <c r="S6292" t="s">
        <v>13098</v>
      </c>
      <c r="T6292" t="s">
        <v>13610</v>
      </c>
      <c r="U6292" t="s">
        <v>13610</v>
      </c>
      <c r="V6292" t="s">
        <v>13610</v>
      </c>
      <c r="W6292" t="s">
        <v>19826</v>
      </c>
      <c r="X6292">
        <v>13</v>
      </c>
      <c r="Y6292" t="s">
        <v>26371</v>
      </c>
      <c r="Z6292" t="s">
        <v>33147</v>
      </c>
      <c r="AA6292">
        <v>0.36368981161228608</v>
      </c>
      <c r="AB6292" t="str">
        <f>HYPERLINK("Melting_Curves/meltCurve_Q9UBK8_2_MTRR.pdf", "Melting_Curves/meltCurve_Q9UBK8_2_MTRR.pdf")</f>
        <v>Melting_Curves/meltCurve_Q9UBK8_2_MTRR.pdf</v>
      </c>
    </row>
    <row r="6293" spans="1:28" x14ac:dyDescent="0.25">
      <c r="A6293" t="s">
        <v>6297</v>
      </c>
      <c r="B6293">
        <v>0.995954080203443</v>
      </c>
      <c r="C6293">
        <v>0.88768653506734796</v>
      </c>
      <c r="D6293">
        <v>0.77340753455052003</v>
      </c>
      <c r="E6293">
        <v>0.76015362014891596</v>
      </c>
      <c r="F6293">
        <v>0.48510795067809898</v>
      </c>
      <c r="G6293">
        <v>0.15450616873846901</v>
      </c>
      <c r="H6293">
        <v>6.4455461554429994E-2</v>
      </c>
      <c r="I6293">
        <v>6.1523244772451101E-2</v>
      </c>
      <c r="J6293">
        <v>5.2445212495521698E-2</v>
      </c>
      <c r="K6293">
        <v>4.7328386462490699E-2</v>
      </c>
      <c r="L6293">
        <v>786.94859561162195</v>
      </c>
      <c r="M6293">
        <v>15.042551040212601</v>
      </c>
      <c r="N6293">
        <v>52.314854521255199</v>
      </c>
      <c r="O6293">
        <v>51.416402009564599</v>
      </c>
      <c r="P6293">
        <v>-7.3148125662421903E-2</v>
      </c>
      <c r="Q6293">
        <v>0</v>
      </c>
      <c r="R6293">
        <v>0.97401236762677001</v>
      </c>
      <c r="S6293" t="s">
        <v>13099</v>
      </c>
      <c r="T6293" t="s">
        <v>13610</v>
      </c>
      <c r="U6293" t="s">
        <v>13610</v>
      </c>
      <c r="V6293" t="s">
        <v>13610</v>
      </c>
      <c r="W6293" t="s">
        <v>19827</v>
      </c>
      <c r="X6293">
        <v>5</v>
      </c>
      <c r="Y6293" t="s">
        <v>26372</v>
      </c>
      <c r="Z6293" t="s">
        <v>33148</v>
      </c>
      <c r="AA6293">
        <v>0.43250761985484593</v>
      </c>
      <c r="AB6293" t="str">
        <f>HYPERLINK("Melting_Curves/meltCurve_Q9UBK9_UXT.pdf", "Melting_Curves/meltCurve_Q9UBK9_UXT.pdf")</f>
        <v>Melting_Curves/meltCurve_Q9UBK9_UXT.pdf</v>
      </c>
    </row>
    <row r="6294" spans="1:28" x14ac:dyDescent="0.25">
      <c r="A6294" t="s">
        <v>6298</v>
      </c>
      <c r="B6294">
        <v>0.995954080203443</v>
      </c>
      <c r="C6294">
        <v>0.94787246468934805</v>
      </c>
      <c r="D6294">
        <v>0.86454164074142703</v>
      </c>
      <c r="E6294">
        <v>0.55057980447056398</v>
      </c>
      <c r="F6294">
        <v>0.23087177100688699</v>
      </c>
      <c r="G6294">
        <v>0.112946965288826</v>
      </c>
      <c r="H6294">
        <v>7.3963205568962395E-2</v>
      </c>
      <c r="I6294">
        <v>7.0933185593185205E-2</v>
      </c>
      <c r="J6294">
        <v>8.3055794637670904E-2</v>
      </c>
      <c r="K6294">
        <v>8.3841207932654704E-2</v>
      </c>
      <c r="L6294">
        <v>1152.13272098992</v>
      </c>
      <c r="M6294">
        <v>23.102620580638899</v>
      </c>
      <c r="N6294">
        <v>50.191566521141503</v>
      </c>
      <c r="O6294">
        <v>49.501072594865001</v>
      </c>
      <c r="P6294">
        <v>-0.10865817628186</v>
      </c>
      <c r="Q6294">
        <v>6.8746805231643907E-2</v>
      </c>
      <c r="R6294">
        <v>0.99760309426452698</v>
      </c>
      <c r="S6294" t="s">
        <v>13100</v>
      </c>
      <c r="T6294" t="s">
        <v>13610</v>
      </c>
      <c r="U6294" t="s">
        <v>13610</v>
      </c>
      <c r="V6294" t="s">
        <v>13610</v>
      </c>
      <c r="W6294" t="s">
        <v>19828</v>
      </c>
      <c r="X6294">
        <v>21</v>
      </c>
      <c r="Y6294" t="s">
        <v>26373</v>
      </c>
      <c r="Z6294" t="s">
        <v>33149</v>
      </c>
      <c r="AA6294">
        <v>0.38487823380365238</v>
      </c>
      <c r="AB6294" t="str">
        <f>HYPERLINK("Melting_Curves/meltCurve_Q9UBL3_3_ASH2L.pdf", "Melting_Curves/meltCurve_Q9UBL3_3_ASH2L.pdf")</f>
        <v>Melting_Curves/meltCurve_Q9UBL3_3_ASH2L.pdf</v>
      </c>
    </row>
    <row r="6295" spans="1:28" x14ac:dyDescent="0.25">
      <c r="A6295" t="s">
        <v>6299</v>
      </c>
      <c r="B6295">
        <v>0.995954080203443</v>
      </c>
      <c r="C6295">
        <v>1.00182136289261</v>
      </c>
      <c r="D6295">
        <v>0.92369176772114803</v>
      </c>
      <c r="E6295">
        <v>0.61583200336608102</v>
      </c>
      <c r="F6295">
        <v>0.20883417529874099</v>
      </c>
      <c r="G6295">
        <v>8.4733990245464699E-2</v>
      </c>
      <c r="H6295">
        <v>6.0075978216375399E-2</v>
      </c>
      <c r="I6295">
        <v>4.76304295123883E-2</v>
      </c>
      <c r="J6295">
        <v>5.3472407383389702E-2</v>
      </c>
      <c r="K6295">
        <v>4.9026439814947101E-2</v>
      </c>
      <c r="L6295">
        <v>1586.9263222801801</v>
      </c>
      <c r="M6295">
        <v>31.422063017748702</v>
      </c>
      <c r="N6295">
        <v>50.676067764518798</v>
      </c>
      <c r="O6295">
        <v>50.300341186196299</v>
      </c>
      <c r="P6295">
        <v>-0.14825242189899199</v>
      </c>
      <c r="Q6295">
        <v>5.0717162806059202E-2</v>
      </c>
      <c r="R6295">
        <v>0.99883540382885105</v>
      </c>
      <c r="S6295" t="s">
        <v>13101</v>
      </c>
      <c r="T6295" t="s">
        <v>13610</v>
      </c>
      <c r="U6295" t="s">
        <v>13610</v>
      </c>
      <c r="V6295" t="s">
        <v>13610</v>
      </c>
      <c r="W6295" t="s">
        <v>19829</v>
      </c>
      <c r="X6295">
        <v>10</v>
      </c>
      <c r="Y6295" t="s">
        <v>26374</v>
      </c>
      <c r="Z6295" t="s">
        <v>33150</v>
      </c>
      <c r="AA6295">
        <v>0.38847182851380813</v>
      </c>
      <c r="AB6295" t="str">
        <f>HYPERLINK("Melting_Curves/meltCurve_Q9UBL6_2_CPNE7.pdf", "Melting_Curves/meltCurve_Q9UBL6_2_CPNE7.pdf")</f>
        <v>Melting_Curves/meltCurve_Q9UBL6_2_CPNE7.pdf</v>
      </c>
    </row>
    <row r="6296" spans="1:28" x14ac:dyDescent="0.25">
      <c r="A6296" t="s">
        <v>6300</v>
      </c>
      <c r="B6296">
        <v>0.995954080203443</v>
      </c>
      <c r="C6296">
        <v>1.0021218802996601</v>
      </c>
      <c r="D6296">
        <v>0.98507961631783503</v>
      </c>
      <c r="E6296">
        <v>0.64700654211961905</v>
      </c>
      <c r="F6296">
        <v>0.42764655690367098</v>
      </c>
      <c r="G6296">
        <v>0.19876550151501901</v>
      </c>
      <c r="H6296">
        <v>0.11759719537120999</v>
      </c>
      <c r="I6296">
        <v>0.11021327321803701</v>
      </c>
      <c r="J6296">
        <v>0.115546046900939</v>
      </c>
      <c r="K6296">
        <v>0.116957518403713</v>
      </c>
      <c r="L6296">
        <v>1153.7320552628501</v>
      </c>
      <c r="M6296">
        <v>22.471626274192701</v>
      </c>
      <c r="N6296">
        <v>51.900358792201096</v>
      </c>
      <c r="O6296">
        <v>50.940342950985901</v>
      </c>
      <c r="P6296">
        <v>-9.8439054546290705E-2</v>
      </c>
      <c r="Q6296">
        <v>0.10742293198405201</v>
      </c>
      <c r="R6296">
        <v>0.99674998378348501</v>
      </c>
      <c r="S6296" t="s">
        <v>13102</v>
      </c>
      <c r="T6296" t="s">
        <v>13610</v>
      </c>
      <c r="U6296" t="s">
        <v>13610</v>
      </c>
      <c r="V6296" t="s">
        <v>13610</v>
      </c>
      <c r="W6296" t="s">
        <v>19830</v>
      </c>
      <c r="X6296">
        <v>22</v>
      </c>
      <c r="Y6296" t="s">
        <v>26375</v>
      </c>
      <c r="Z6296" t="s">
        <v>33151</v>
      </c>
      <c r="AA6296">
        <v>0.4548138036245527</v>
      </c>
      <c r="AB6296" t="str">
        <f>HYPERLINK("Melting_Curves/meltCurve_Q9UBP0_3_SPAST.pdf", "Melting_Curves/meltCurve_Q9UBP0_3_SPAST.pdf")</f>
        <v>Melting_Curves/meltCurve_Q9UBP0_3_SPAST.pdf</v>
      </c>
    </row>
    <row r="6297" spans="1:28" x14ac:dyDescent="0.25">
      <c r="A6297" t="s">
        <v>6301</v>
      </c>
      <c r="B6297">
        <v>0.995954080203443</v>
      </c>
      <c r="C6297">
        <v>0.92089494230638602</v>
      </c>
      <c r="D6297">
        <v>0.969809879604974</v>
      </c>
      <c r="E6297">
        <v>0.81774883967483303</v>
      </c>
      <c r="F6297">
        <v>0.69084396845449203</v>
      </c>
      <c r="G6297">
        <v>0.23595806344902001</v>
      </c>
      <c r="H6297">
        <v>0.14776282840875599</v>
      </c>
      <c r="I6297">
        <v>0.15675400210146301</v>
      </c>
      <c r="J6297">
        <v>0.17461537754315001</v>
      </c>
      <c r="K6297">
        <v>0.168748512399572</v>
      </c>
      <c r="L6297">
        <v>1439.8919404186099</v>
      </c>
      <c r="M6297">
        <v>26.908579238489299</v>
      </c>
      <c r="N6297">
        <v>54.202004300922603</v>
      </c>
      <c r="O6297">
        <v>53.217594952313</v>
      </c>
      <c r="P6297">
        <v>-0.108044460354681</v>
      </c>
      <c r="Q6297">
        <v>0.14528239581893701</v>
      </c>
      <c r="R6297">
        <v>0.98498655360559795</v>
      </c>
      <c r="S6297" t="s">
        <v>13103</v>
      </c>
      <c r="T6297" t="s">
        <v>13610</v>
      </c>
      <c r="U6297" t="s">
        <v>13610</v>
      </c>
      <c r="V6297" t="s">
        <v>13610</v>
      </c>
      <c r="W6297" t="s">
        <v>19831</v>
      </c>
      <c r="X6297">
        <v>12</v>
      </c>
      <c r="Y6297" t="s">
        <v>26376</v>
      </c>
      <c r="Z6297" t="s">
        <v>33152</v>
      </c>
      <c r="AA6297">
        <v>0.53708272863214623</v>
      </c>
      <c r="AB6297" t="str">
        <f>HYPERLINK("Melting_Curves/meltCurve_Q9UBP6_METTL1.pdf", "Melting_Curves/meltCurve_Q9UBP6_METTL1.pdf")</f>
        <v>Melting_Curves/meltCurve_Q9UBP6_METTL1.pdf</v>
      </c>
    </row>
    <row r="6298" spans="1:28" x14ac:dyDescent="0.25">
      <c r="A6298" t="s">
        <v>6302</v>
      </c>
      <c r="B6298">
        <v>0.995954080203443</v>
      </c>
      <c r="C6298">
        <v>0.97390846834279499</v>
      </c>
      <c r="D6298">
        <v>0.93116230913536502</v>
      </c>
      <c r="E6298">
        <v>0.89089075159755304</v>
      </c>
      <c r="F6298">
        <v>0.75627004792796104</v>
      </c>
      <c r="G6298">
        <v>0.43718062112237899</v>
      </c>
      <c r="H6298">
        <v>0.18728825198350099</v>
      </c>
      <c r="I6298">
        <v>9.9946856557983604E-2</v>
      </c>
      <c r="J6298">
        <v>9.4119146446030102E-2</v>
      </c>
      <c r="K6298">
        <v>8.3862313324124305E-2</v>
      </c>
      <c r="L6298">
        <v>1061.1653194242999</v>
      </c>
      <c r="M6298">
        <v>19.0290238997598</v>
      </c>
      <c r="N6298">
        <v>56.056157970316299</v>
      </c>
      <c r="O6298">
        <v>55.160709943713101</v>
      </c>
      <c r="P6298">
        <v>-8.2196854756281301E-2</v>
      </c>
      <c r="Q6298">
        <v>4.69596117535988E-2</v>
      </c>
      <c r="R6298">
        <v>0.99661671786899297</v>
      </c>
      <c r="S6298" t="s">
        <v>13104</v>
      </c>
      <c r="T6298" t="s">
        <v>13610</v>
      </c>
      <c r="U6298" t="s">
        <v>13610</v>
      </c>
      <c r="V6298" t="s">
        <v>13610</v>
      </c>
      <c r="W6298" t="s">
        <v>19832</v>
      </c>
      <c r="X6298">
        <v>12</v>
      </c>
      <c r="Y6298" t="s">
        <v>26377</v>
      </c>
      <c r="Z6298" t="s">
        <v>33153</v>
      </c>
      <c r="AA6298">
        <v>0.56105598650221666</v>
      </c>
      <c r="AB6298" t="str">
        <f>HYPERLINK("Melting_Curves/meltCurve_Q9UBQ0_VPS29.pdf", "Melting_Curves/meltCurve_Q9UBQ0_VPS29.pdf")</f>
        <v>Melting_Curves/meltCurve_Q9UBQ0_VPS29.pdf</v>
      </c>
    </row>
    <row r="6299" spans="1:28" x14ac:dyDescent="0.25">
      <c r="A6299" t="s">
        <v>6303</v>
      </c>
      <c r="B6299">
        <v>0.995954080203443</v>
      </c>
      <c r="C6299">
        <v>1.04125855743664</v>
      </c>
      <c r="D6299">
        <v>1.0473149375441899</v>
      </c>
      <c r="E6299">
        <v>0.75012165545630904</v>
      </c>
      <c r="F6299">
        <v>0.199842205764062</v>
      </c>
      <c r="G6299">
        <v>9.9362434280186193E-2</v>
      </c>
      <c r="H6299">
        <v>6.0565207058819202E-2</v>
      </c>
      <c r="I6299">
        <v>5.2908054582580098E-2</v>
      </c>
      <c r="J6299">
        <v>5.9316190102642601E-2</v>
      </c>
      <c r="K6299">
        <v>5.3446172627417098E-2</v>
      </c>
      <c r="L6299">
        <v>2467.9317187723</v>
      </c>
      <c r="M6299">
        <v>48.335740253869503</v>
      </c>
      <c r="N6299">
        <v>51.202526648029597</v>
      </c>
      <c r="O6299">
        <v>50.970947177680998</v>
      </c>
      <c r="P6299">
        <v>-0.221969070571296</v>
      </c>
      <c r="Q6299">
        <v>6.3718678621958694E-2</v>
      </c>
      <c r="R6299">
        <v>0.99707099571532298</v>
      </c>
      <c r="S6299" t="s">
        <v>13105</v>
      </c>
      <c r="T6299" t="s">
        <v>13610</v>
      </c>
      <c r="U6299" t="s">
        <v>13610</v>
      </c>
      <c r="V6299" t="s">
        <v>13610</v>
      </c>
      <c r="W6299" t="s">
        <v>19833</v>
      </c>
      <c r="X6299">
        <v>18</v>
      </c>
      <c r="Y6299" t="s">
        <v>26378</v>
      </c>
      <c r="Z6299" t="s">
        <v>33154</v>
      </c>
      <c r="AA6299">
        <v>0.41109270452446173</v>
      </c>
      <c r="AB6299" t="str">
        <f>HYPERLINK("Melting_Curves/meltCurve_Q9UBQ7_GRHPR.pdf", "Melting_Curves/meltCurve_Q9UBQ7_GRHPR.pdf")</f>
        <v>Melting_Curves/meltCurve_Q9UBQ7_GRHPR.pdf</v>
      </c>
    </row>
    <row r="6300" spans="1:28" x14ac:dyDescent="0.25">
      <c r="A6300" t="s">
        <v>6304</v>
      </c>
      <c r="B6300">
        <v>0.995954080203443</v>
      </c>
      <c r="C6300">
        <v>0.88467671078316501</v>
      </c>
      <c r="D6300">
        <v>0.82081382075571097</v>
      </c>
      <c r="E6300">
        <v>0.742425955035384</v>
      </c>
      <c r="F6300">
        <v>0.64713943746540104</v>
      </c>
      <c r="G6300">
        <v>0.49646821728936102</v>
      </c>
      <c r="H6300">
        <v>0.37506463404059398</v>
      </c>
      <c r="I6300">
        <v>0.29510296387909302</v>
      </c>
      <c r="J6300">
        <v>0.25309788939480199</v>
      </c>
      <c r="K6300">
        <v>0.12614857683240999</v>
      </c>
      <c r="L6300">
        <v>437.49579843332299</v>
      </c>
      <c r="M6300">
        <v>7.7264525612904196</v>
      </c>
      <c r="N6300">
        <v>56.623113253839499</v>
      </c>
      <c r="O6300">
        <v>53.2048934468326</v>
      </c>
      <c r="P6300">
        <v>-3.6351927207922997E-2</v>
      </c>
      <c r="Q6300">
        <v>0</v>
      </c>
      <c r="R6300">
        <v>0.98935921320026599</v>
      </c>
      <c r="S6300" t="s">
        <v>13106</v>
      </c>
      <c r="T6300" t="s">
        <v>13610</v>
      </c>
      <c r="U6300" t="s">
        <v>13610</v>
      </c>
      <c r="V6300" t="s">
        <v>13610</v>
      </c>
      <c r="W6300" t="s">
        <v>19834</v>
      </c>
      <c r="X6300">
        <v>8</v>
      </c>
      <c r="Y6300" t="s">
        <v>26379</v>
      </c>
      <c r="Z6300" t="s">
        <v>33155</v>
      </c>
      <c r="AA6300">
        <v>0.56841792796797153</v>
      </c>
      <c r="AB6300" t="str">
        <f>HYPERLINK("Melting_Curves/meltCurve_Q9UBR2_CTSZ.pdf", "Melting_Curves/meltCurve_Q9UBR2_CTSZ.pdf")</f>
        <v>Melting_Curves/meltCurve_Q9UBR2_CTSZ.pdf</v>
      </c>
    </row>
    <row r="6301" spans="1:28" x14ac:dyDescent="0.25">
      <c r="A6301" t="s">
        <v>6305</v>
      </c>
      <c r="B6301">
        <v>0.995954080203443</v>
      </c>
      <c r="C6301">
        <v>0.77630744158862197</v>
      </c>
      <c r="D6301">
        <v>0.42854505549215099</v>
      </c>
      <c r="E6301">
        <v>0.27683793020370001</v>
      </c>
      <c r="F6301">
        <v>0.160857889830816</v>
      </c>
      <c r="G6301">
        <v>0.109127803124527</v>
      </c>
      <c r="H6301">
        <v>7.5115092252676999E-2</v>
      </c>
      <c r="I6301">
        <v>6.5504038942884896E-2</v>
      </c>
      <c r="J6301">
        <v>5.9211506313987597E-2</v>
      </c>
      <c r="K6301">
        <v>6.6486513858252702E-2</v>
      </c>
      <c r="L6301">
        <v>838.79077319515602</v>
      </c>
      <c r="M6301">
        <v>18.4520504953712</v>
      </c>
      <c r="N6301">
        <v>45.866384692336503</v>
      </c>
      <c r="O6301">
        <v>44.934041801974999</v>
      </c>
      <c r="P6301">
        <v>-9.4886620601859706E-2</v>
      </c>
      <c r="Q6301">
        <v>7.5777816464452197E-2</v>
      </c>
      <c r="R6301">
        <v>0.98774771010228701</v>
      </c>
      <c r="S6301" t="s">
        <v>13107</v>
      </c>
      <c r="T6301" t="s">
        <v>13610</v>
      </c>
      <c r="U6301" t="s">
        <v>13610</v>
      </c>
      <c r="V6301" t="s">
        <v>13610</v>
      </c>
      <c r="W6301" t="s">
        <v>19835</v>
      </c>
      <c r="X6301">
        <v>8</v>
      </c>
      <c r="Y6301" t="s">
        <v>26380</v>
      </c>
      <c r="Z6301" t="s">
        <v>33156</v>
      </c>
      <c r="AA6301">
        <v>0.2618878019984241</v>
      </c>
      <c r="AB6301" t="str">
        <f>HYPERLINK("Melting_Curves/meltCurve_Q9UBS0_RPS6KB2.pdf", "Melting_Curves/meltCurve_Q9UBS0_RPS6KB2.pdf")</f>
        <v>Melting_Curves/meltCurve_Q9UBS0_RPS6KB2.pdf</v>
      </c>
    </row>
    <row r="6302" spans="1:28" x14ac:dyDescent="0.25">
      <c r="A6302" t="s">
        <v>6306</v>
      </c>
      <c r="B6302">
        <v>0.995954080203443</v>
      </c>
      <c r="C6302">
        <v>0.91928931526689395</v>
      </c>
      <c r="D6302">
        <v>0.80568993163680702</v>
      </c>
      <c r="E6302">
        <v>0.816503348108645</v>
      </c>
      <c r="F6302">
        <v>0.44455650323325002</v>
      </c>
      <c r="G6302">
        <v>0.229390957234273</v>
      </c>
      <c r="H6302">
        <v>0.122393566776964</v>
      </c>
      <c r="I6302">
        <v>8.41947890669138E-2</v>
      </c>
      <c r="J6302">
        <v>9.9288538902888399E-2</v>
      </c>
      <c r="K6302">
        <v>8.9978692174281699E-2</v>
      </c>
      <c r="L6302">
        <v>886.70276798363705</v>
      </c>
      <c r="M6302">
        <v>16.931622465003699</v>
      </c>
      <c r="N6302">
        <v>52.747669428950999</v>
      </c>
      <c r="O6302">
        <v>51.655472235522602</v>
      </c>
      <c r="P6302">
        <v>-7.7267687813893302E-2</v>
      </c>
      <c r="Q6302">
        <v>5.7137418025136499E-2</v>
      </c>
      <c r="R6302">
        <v>0.976888246879138</v>
      </c>
      <c r="S6302" t="s">
        <v>13108</v>
      </c>
      <c r="T6302" t="s">
        <v>13610</v>
      </c>
      <c r="U6302" t="s">
        <v>13610</v>
      </c>
      <c r="V6302" t="s">
        <v>13610</v>
      </c>
      <c r="W6302" t="s">
        <v>19836</v>
      </c>
      <c r="X6302">
        <v>7</v>
      </c>
      <c r="Y6302" t="s">
        <v>26381</v>
      </c>
      <c r="Z6302" t="s">
        <v>33157</v>
      </c>
      <c r="AA6302">
        <v>0.46315092025292809</v>
      </c>
      <c r="AB6302" t="str">
        <f>HYPERLINK("Melting_Curves/meltCurve_Q9UBS4_DNAJB11.pdf", "Melting_Curves/meltCurve_Q9UBS4_DNAJB11.pdf")</f>
        <v>Melting_Curves/meltCurve_Q9UBS4_DNAJB11.pdf</v>
      </c>
    </row>
    <row r="6303" spans="1:28" x14ac:dyDescent="0.25">
      <c r="A6303" t="s">
        <v>6307</v>
      </c>
      <c r="B6303">
        <v>0.995954080203443</v>
      </c>
      <c r="C6303">
        <v>0.96941532831891097</v>
      </c>
      <c r="D6303">
        <v>0.94408060864511201</v>
      </c>
      <c r="E6303">
        <v>0.64432306752933299</v>
      </c>
      <c r="F6303">
        <v>0.34603080697526301</v>
      </c>
      <c r="G6303">
        <v>0.15903564360580399</v>
      </c>
      <c r="H6303">
        <v>7.9335465013635503E-2</v>
      </c>
      <c r="I6303">
        <v>7.13354408161673E-2</v>
      </c>
      <c r="J6303">
        <v>9.6046257115637801E-2</v>
      </c>
      <c r="K6303">
        <v>7.7512960047955007E-2</v>
      </c>
      <c r="L6303">
        <v>1197.9488454826301</v>
      </c>
      <c r="M6303">
        <v>23.477302784460299</v>
      </c>
      <c r="N6303">
        <v>51.382759819972698</v>
      </c>
      <c r="O6303">
        <v>50.659968768653002</v>
      </c>
      <c r="P6303">
        <v>-0.107142005794484</v>
      </c>
      <c r="Q6303">
        <v>7.5240506801060605E-2</v>
      </c>
      <c r="R6303">
        <v>0.99911794319792202</v>
      </c>
      <c r="S6303" t="s">
        <v>13109</v>
      </c>
      <c r="T6303" t="s">
        <v>13610</v>
      </c>
      <c r="U6303" t="s">
        <v>13610</v>
      </c>
      <c r="V6303" t="s">
        <v>13610</v>
      </c>
      <c r="W6303" t="s">
        <v>19837</v>
      </c>
      <c r="X6303">
        <v>14</v>
      </c>
      <c r="Y6303" t="s">
        <v>26382</v>
      </c>
      <c r="Z6303" t="s">
        <v>33158</v>
      </c>
      <c r="AA6303">
        <v>0.42456504175417797</v>
      </c>
      <c r="AB6303" t="str">
        <f>HYPERLINK("Melting_Curves/meltCurve_Q9UBS8_RNF14.pdf", "Melting_Curves/meltCurve_Q9UBS8_RNF14.pdf")</f>
        <v>Melting_Curves/meltCurve_Q9UBS8_RNF14.pdf</v>
      </c>
    </row>
    <row r="6304" spans="1:28" x14ac:dyDescent="0.25">
      <c r="A6304" t="s">
        <v>6308</v>
      </c>
      <c r="B6304">
        <v>0.995954080203443</v>
      </c>
      <c r="C6304">
        <v>0.99734089358488398</v>
      </c>
      <c r="D6304">
        <v>0.99856202021981599</v>
      </c>
      <c r="E6304">
        <v>0.78756415727131002</v>
      </c>
      <c r="F6304">
        <v>0.47054299968184099</v>
      </c>
      <c r="G6304">
        <v>0.19726359169571001</v>
      </c>
      <c r="H6304">
        <v>9.3090424729750196E-2</v>
      </c>
      <c r="I6304">
        <v>7.0058627142452701E-2</v>
      </c>
      <c r="J6304">
        <v>7.3648258647143097E-2</v>
      </c>
      <c r="K6304">
        <v>6.8398964131648393E-2</v>
      </c>
      <c r="L6304">
        <v>1302.06594649877</v>
      </c>
      <c r="M6304">
        <v>24.807306630829402</v>
      </c>
      <c r="N6304">
        <v>52.795298537177501</v>
      </c>
      <c r="O6304">
        <v>52.149689071501001</v>
      </c>
      <c r="P6304">
        <v>-0.110910880602028</v>
      </c>
      <c r="Q6304">
        <v>6.7389656882078E-2</v>
      </c>
      <c r="R6304">
        <v>0.99935471640830298</v>
      </c>
      <c r="S6304" t="s">
        <v>13110</v>
      </c>
      <c r="T6304" t="s">
        <v>13610</v>
      </c>
      <c r="U6304" t="s">
        <v>13610</v>
      </c>
      <c r="V6304" t="s">
        <v>13610</v>
      </c>
      <c r="W6304" t="s">
        <v>19838</v>
      </c>
      <c r="X6304">
        <v>40</v>
      </c>
      <c r="Y6304" t="s">
        <v>26383</v>
      </c>
      <c r="Z6304" t="s">
        <v>33159</v>
      </c>
      <c r="AA6304">
        <v>0.46425807188788221</v>
      </c>
      <c r="AB6304" t="str">
        <f>HYPERLINK("Melting_Curves/meltCurve_Q9UBT2_UBA2.pdf", "Melting_Curves/meltCurve_Q9UBT2_UBA2.pdf")</f>
        <v>Melting_Curves/meltCurve_Q9UBT2_UBA2.pdf</v>
      </c>
    </row>
    <row r="6305" spans="1:28" x14ac:dyDescent="0.25">
      <c r="A6305" t="s">
        <v>6309</v>
      </c>
      <c r="B6305">
        <v>0.995954080203443</v>
      </c>
      <c r="C6305">
        <v>0.97436343920707202</v>
      </c>
      <c r="D6305">
        <v>0.74992616537405499</v>
      </c>
      <c r="E6305">
        <v>0.45062970152498</v>
      </c>
      <c r="F6305">
        <v>0.25643893734866202</v>
      </c>
      <c r="G6305">
        <v>0.121982327729569</v>
      </c>
      <c r="H6305">
        <v>9.3582256886951404E-2</v>
      </c>
      <c r="I6305">
        <v>0.11287638151502701</v>
      </c>
      <c r="J6305">
        <v>0.11548791754998899</v>
      </c>
      <c r="K6305">
        <v>9.3968973682979101E-2</v>
      </c>
      <c r="L6305">
        <v>946.43170906011198</v>
      </c>
      <c r="M6305">
        <v>19.429926712826699</v>
      </c>
      <c r="N6305">
        <v>49.2326018802489</v>
      </c>
      <c r="O6305">
        <v>48.202830232654897</v>
      </c>
      <c r="P6305">
        <v>-9.1384694865098495E-2</v>
      </c>
      <c r="Q6305">
        <v>9.31844166084215E-2</v>
      </c>
      <c r="R6305">
        <v>0.99697685517319601</v>
      </c>
      <c r="S6305" t="s">
        <v>13111</v>
      </c>
      <c r="T6305" t="s">
        <v>13610</v>
      </c>
      <c r="U6305" t="s">
        <v>13610</v>
      </c>
      <c r="V6305" t="s">
        <v>13610</v>
      </c>
      <c r="W6305" t="s">
        <v>19839</v>
      </c>
      <c r="X6305">
        <v>4</v>
      </c>
      <c r="Y6305" t="s">
        <v>26384</v>
      </c>
      <c r="Z6305" t="s">
        <v>33160</v>
      </c>
      <c r="AA6305">
        <v>0.3699843558835138</v>
      </c>
      <c r="AB6305" t="str">
        <f>HYPERLINK("Melting_Curves/meltCurve_Q9UBT7_3_CTNNAL1.pdf", "Melting_Curves/meltCurve_Q9UBT7_3_CTNNAL1.pdf")</f>
        <v>Melting_Curves/meltCurve_Q9UBT7_3_CTNNAL1.pdf</v>
      </c>
    </row>
    <row r="6306" spans="1:28" x14ac:dyDescent="0.25">
      <c r="A6306" t="s">
        <v>6310</v>
      </c>
      <c r="B6306">
        <v>0.995954080203443</v>
      </c>
      <c r="C6306">
        <v>0.83310932669056104</v>
      </c>
      <c r="D6306">
        <v>0.92323726317419796</v>
      </c>
      <c r="E6306">
        <v>0.63586810014802597</v>
      </c>
      <c r="F6306">
        <v>0.67257442720844296</v>
      </c>
      <c r="G6306">
        <v>0.41831956031876699</v>
      </c>
      <c r="H6306">
        <v>0.38053981460277603</v>
      </c>
      <c r="I6306">
        <v>0.45288257684136002</v>
      </c>
      <c r="J6306">
        <v>0.55076890998818795</v>
      </c>
      <c r="K6306">
        <v>0.56320942148990305</v>
      </c>
      <c r="L6306">
        <v>809.43483273683296</v>
      </c>
      <c r="M6306">
        <v>16.641697785025499</v>
      </c>
      <c r="N6306">
        <v>58.722633694866403</v>
      </c>
      <c r="O6306">
        <v>47.952908625030602</v>
      </c>
      <c r="P6306">
        <v>-4.5873546204601101E-2</v>
      </c>
      <c r="Q6306">
        <v>0.47129861955482699</v>
      </c>
      <c r="R6306">
        <v>0.84460448635276397</v>
      </c>
      <c r="S6306" t="s">
        <v>13112</v>
      </c>
      <c r="T6306" t="s">
        <v>13610</v>
      </c>
      <c r="U6306" t="s">
        <v>13610</v>
      </c>
      <c r="V6306" t="s">
        <v>13610</v>
      </c>
      <c r="W6306" t="s">
        <v>19840</v>
      </c>
      <c r="X6306">
        <v>1</v>
      </c>
      <c r="Y6306" t="s">
        <v>26385</v>
      </c>
      <c r="Z6306" t="s">
        <v>33161</v>
      </c>
      <c r="AA6306">
        <v>0.6343471031835376</v>
      </c>
      <c r="AB6306" t="str">
        <f>HYPERLINK("Melting_Curves/meltCurve_Q9UBU6_FAM8A1.pdf", "Melting_Curves/meltCurve_Q9UBU6_FAM8A1.pdf")</f>
        <v>Melting_Curves/meltCurve_Q9UBU6_FAM8A1.pdf</v>
      </c>
    </row>
    <row r="6307" spans="1:28" x14ac:dyDescent="0.25">
      <c r="A6307" t="s">
        <v>6311</v>
      </c>
      <c r="B6307">
        <v>0.995954080203443</v>
      </c>
      <c r="C6307">
        <v>0.85435231441377901</v>
      </c>
      <c r="D6307">
        <v>0.90325679461106001</v>
      </c>
      <c r="E6307">
        <v>0.80592218063271304</v>
      </c>
      <c r="F6307">
        <v>0.67341253211480201</v>
      </c>
      <c r="G6307">
        <v>0.44587628943145402</v>
      </c>
      <c r="H6307">
        <v>0.34629987993336198</v>
      </c>
      <c r="I6307">
        <v>0.37364294199598602</v>
      </c>
      <c r="J6307">
        <v>0.40092279410753601</v>
      </c>
      <c r="K6307">
        <v>0.44676325365638597</v>
      </c>
      <c r="L6307">
        <v>846.05142952487097</v>
      </c>
      <c r="M6307">
        <v>16.307334330253902</v>
      </c>
      <c r="N6307">
        <v>56.453918470828</v>
      </c>
      <c r="O6307">
        <v>51.120303047307203</v>
      </c>
      <c r="P6307">
        <v>-5.0522648155890901E-2</v>
      </c>
      <c r="Q6307">
        <v>0.36653187265524201</v>
      </c>
      <c r="R6307">
        <v>0.94321873263074096</v>
      </c>
      <c r="S6307" t="s">
        <v>13113</v>
      </c>
      <c r="T6307" t="s">
        <v>13610</v>
      </c>
      <c r="U6307" t="s">
        <v>13610</v>
      </c>
      <c r="V6307" t="s">
        <v>13610</v>
      </c>
      <c r="W6307" t="s">
        <v>19841</v>
      </c>
      <c r="X6307">
        <v>4</v>
      </c>
      <c r="Y6307" t="s">
        <v>26386</v>
      </c>
      <c r="Z6307" t="s">
        <v>33162</v>
      </c>
      <c r="AA6307">
        <v>0.62987558178080494</v>
      </c>
      <c r="AB6307" t="str">
        <f>HYPERLINK("Melting_Curves/meltCurve_Q9UBU7_DBF4.pdf", "Melting_Curves/meltCurve_Q9UBU7_DBF4.pdf")</f>
        <v>Melting_Curves/meltCurve_Q9UBU7_DBF4.pdf</v>
      </c>
    </row>
    <row r="6308" spans="1:28" x14ac:dyDescent="0.25">
      <c r="A6308" t="s">
        <v>6312</v>
      </c>
      <c r="B6308">
        <v>0.995954080203443</v>
      </c>
      <c r="C6308">
        <v>1.1266843892971501</v>
      </c>
      <c r="D6308">
        <v>1.0601732759707301</v>
      </c>
      <c r="E6308">
        <v>0.84442536406371205</v>
      </c>
      <c r="F6308">
        <v>0.53198162098423396</v>
      </c>
      <c r="G6308">
        <v>0.30509037065821498</v>
      </c>
      <c r="H6308">
        <v>0.107743198495325</v>
      </c>
      <c r="I6308">
        <v>7.5537595504550595E-2</v>
      </c>
      <c r="J6308">
        <v>6.8890115756479506E-2</v>
      </c>
      <c r="K6308">
        <v>7.4380389769523395E-2</v>
      </c>
      <c r="L6308">
        <v>1213.7582128327999</v>
      </c>
      <c r="M6308">
        <v>22.7131078754966</v>
      </c>
      <c r="N6308">
        <v>53.779630187980601</v>
      </c>
      <c r="O6308">
        <v>53.029599593208502</v>
      </c>
      <c r="P6308">
        <v>-9.9899212543720903E-2</v>
      </c>
      <c r="Q6308">
        <v>6.7056630436074197E-2</v>
      </c>
      <c r="R6308">
        <v>0.98366102390751498</v>
      </c>
      <c r="S6308" t="s">
        <v>13114</v>
      </c>
      <c r="T6308" t="s">
        <v>13610</v>
      </c>
      <c r="U6308" t="s">
        <v>13610</v>
      </c>
      <c r="V6308" t="s">
        <v>13610</v>
      </c>
      <c r="W6308" t="s">
        <v>19842</v>
      </c>
      <c r="X6308">
        <v>9</v>
      </c>
      <c r="Y6308" t="s">
        <v>26387</v>
      </c>
      <c r="Z6308" t="s">
        <v>33163</v>
      </c>
      <c r="AA6308">
        <v>0.49523025094716261</v>
      </c>
      <c r="AB6308" t="str">
        <f>HYPERLINK("Melting_Curves/meltCurve_Q9UBU8_2_MORF4L1.pdf", "Melting_Curves/meltCurve_Q9UBU8_2_MORF4L1.pdf")</f>
        <v>Melting_Curves/meltCurve_Q9UBU8_2_MORF4L1.pdf</v>
      </c>
    </row>
    <row r="6309" spans="1:28" x14ac:dyDescent="0.25">
      <c r="A6309" t="s">
        <v>6313</v>
      </c>
      <c r="B6309">
        <v>0.995954080203443</v>
      </c>
      <c r="C6309">
        <v>0.89105029010288495</v>
      </c>
      <c r="D6309">
        <v>0.67369186529000002</v>
      </c>
      <c r="E6309">
        <v>0.29058535363208898</v>
      </c>
      <c r="F6309">
        <v>0.171884394937111</v>
      </c>
      <c r="G6309">
        <v>0.11085162655751001</v>
      </c>
      <c r="H6309">
        <v>7.8237171035583294E-2</v>
      </c>
      <c r="I6309">
        <v>6.6220352108351699E-2</v>
      </c>
      <c r="J6309">
        <v>7.4646069368232496E-2</v>
      </c>
      <c r="K6309">
        <v>6.7785946902834099E-2</v>
      </c>
      <c r="L6309">
        <v>973.56121925482603</v>
      </c>
      <c r="M6309">
        <v>20.579680002357101</v>
      </c>
      <c r="N6309">
        <v>47.661662546665902</v>
      </c>
      <c r="O6309">
        <v>46.867031044929099</v>
      </c>
      <c r="P6309">
        <v>-0.10198500514959</v>
      </c>
      <c r="Q6309">
        <v>7.1006848817042903E-2</v>
      </c>
      <c r="R6309">
        <v>0.99927821319347399</v>
      </c>
      <c r="S6309" t="s">
        <v>13115</v>
      </c>
      <c r="T6309" t="s">
        <v>13610</v>
      </c>
      <c r="U6309" t="s">
        <v>13610</v>
      </c>
      <c r="V6309" t="s">
        <v>13610</v>
      </c>
      <c r="W6309" t="s">
        <v>19843</v>
      </c>
      <c r="X6309">
        <v>18</v>
      </c>
      <c r="Y6309" t="s">
        <v>26388</v>
      </c>
      <c r="Z6309" t="s">
        <v>33164</v>
      </c>
      <c r="AA6309">
        <v>0.30990972649697229</v>
      </c>
      <c r="AB6309" t="str">
        <f>HYPERLINK("Melting_Curves/meltCurve_Q9UBU9_NXF1.pdf", "Melting_Curves/meltCurve_Q9UBU9_NXF1.pdf")</f>
        <v>Melting_Curves/meltCurve_Q9UBU9_NXF1.pdf</v>
      </c>
    </row>
    <row r="6310" spans="1:28" x14ac:dyDescent="0.25">
      <c r="A6310" t="s">
        <v>6314</v>
      </c>
      <c r="B6310">
        <v>0.995954080203443</v>
      </c>
      <c r="C6310">
        <v>1.0100300029791001</v>
      </c>
      <c r="D6310">
        <v>1.08320857321594</v>
      </c>
      <c r="E6310">
        <v>0.89718548209163596</v>
      </c>
      <c r="F6310">
        <v>0.84667587113154497</v>
      </c>
      <c r="G6310">
        <v>0.32093138877372202</v>
      </c>
      <c r="H6310">
        <v>0.10552995971682901</v>
      </c>
      <c r="I6310">
        <v>8.7653836697750606E-2</v>
      </c>
      <c r="J6310">
        <v>8.5361804733521507E-2</v>
      </c>
      <c r="K6310">
        <v>8.3218951897602297E-2</v>
      </c>
      <c r="L6310">
        <v>1854.5983214600999</v>
      </c>
      <c r="M6310">
        <v>33.537120938748103</v>
      </c>
      <c r="N6310">
        <v>55.578334127772997</v>
      </c>
      <c r="O6310">
        <v>55.1043329961037</v>
      </c>
      <c r="P6310">
        <v>-0.14038633850270099</v>
      </c>
      <c r="Q6310">
        <v>7.7336827581967096E-2</v>
      </c>
      <c r="R6310">
        <v>0.99233419893390296</v>
      </c>
      <c r="S6310" t="s">
        <v>13116</v>
      </c>
      <c r="T6310" t="s">
        <v>13610</v>
      </c>
      <c r="U6310" t="s">
        <v>13610</v>
      </c>
      <c r="V6310" t="s">
        <v>13610</v>
      </c>
      <c r="W6310" t="s">
        <v>19844</v>
      </c>
      <c r="X6310">
        <v>6</v>
      </c>
      <c r="Y6310" t="s">
        <v>26389</v>
      </c>
      <c r="Z6310" t="s">
        <v>33165</v>
      </c>
      <c r="AA6310">
        <v>0.55285165497543798</v>
      </c>
      <c r="AB6310" t="str">
        <f>HYPERLINK("Melting_Curves/meltCurve_Q9UBV8_PEF1.pdf", "Melting_Curves/meltCurve_Q9UBV8_PEF1.pdf")</f>
        <v>Melting_Curves/meltCurve_Q9UBV8_PEF1.pdf</v>
      </c>
    </row>
    <row r="6311" spans="1:28" x14ac:dyDescent="0.25">
      <c r="A6311" t="s">
        <v>6315</v>
      </c>
      <c r="B6311">
        <v>0.995954080203443</v>
      </c>
      <c r="C6311">
        <v>0.80947272010261095</v>
      </c>
      <c r="D6311">
        <v>0.75823273160012095</v>
      </c>
      <c r="E6311">
        <v>0.62287685568995999</v>
      </c>
      <c r="F6311">
        <v>0.53654970430648397</v>
      </c>
      <c r="G6311">
        <v>0.38332998399298901</v>
      </c>
      <c r="H6311">
        <v>0.35295591980559199</v>
      </c>
      <c r="I6311">
        <v>0.41125682016819398</v>
      </c>
      <c r="J6311">
        <v>0.541458081655948</v>
      </c>
      <c r="K6311">
        <v>0.48599593417064502</v>
      </c>
      <c r="L6311">
        <v>682.06295132954699</v>
      </c>
      <c r="M6311">
        <v>14.641153213857001</v>
      </c>
      <c r="N6311">
        <v>53.841088800155298</v>
      </c>
      <c r="O6311">
        <v>45.742148376557502</v>
      </c>
      <c r="P6311">
        <v>-4.5577584382022203E-2</v>
      </c>
      <c r="Q6311">
        <v>0.43048603277922098</v>
      </c>
      <c r="R6311">
        <v>0.90029640589858995</v>
      </c>
      <c r="S6311" t="s">
        <v>13117</v>
      </c>
      <c r="T6311" t="s">
        <v>13610</v>
      </c>
      <c r="U6311" t="s">
        <v>13610</v>
      </c>
      <c r="V6311" t="s">
        <v>13610</v>
      </c>
      <c r="W6311" t="s">
        <v>19845</v>
      </c>
      <c r="X6311">
        <v>9</v>
      </c>
      <c r="Y6311" t="s">
        <v>26390</v>
      </c>
      <c r="Z6311" t="s">
        <v>33166</v>
      </c>
      <c r="AA6311">
        <v>0.57222291102577894</v>
      </c>
      <c r="AB6311" t="str">
        <f>HYPERLINK("Melting_Curves/meltCurve_Q9UBW7_ZMYM2.pdf", "Melting_Curves/meltCurve_Q9UBW7_ZMYM2.pdf")</f>
        <v>Melting_Curves/meltCurve_Q9UBW7_ZMYM2.pdf</v>
      </c>
    </row>
    <row r="6312" spans="1:28" x14ac:dyDescent="0.25">
      <c r="A6312" t="s">
        <v>6316</v>
      </c>
      <c r="B6312">
        <v>0.995954080203443</v>
      </c>
      <c r="C6312">
        <v>0.81101762370758301</v>
      </c>
      <c r="D6312">
        <v>0.67884382082532801</v>
      </c>
      <c r="E6312">
        <v>0.87901557562997701</v>
      </c>
      <c r="F6312">
        <v>0.63310520831944705</v>
      </c>
      <c r="G6312">
        <v>0.293252873515575</v>
      </c>
      <c r="H6312">
        <v>9.0807931869296296E-2</v>
      </c>
      <c r="I6312">
        <v>7.1680444626326806E-2</v>
      </c>
      <c r="J6312">
        <v>7.2763259432678001E-2</v>
      </c>
      <c r="K6312">
        <v>7.2167020025807105E-2</v>
      </c>
      <c r="L6312">
        <v>717.98447136875598</v>
      </c>
      <c r="M6312">
        <v>13.3183048867987</v>
      </c>
      <c r="N6312">
        <v>53.909599317339399</v>
      </c>
      <c r="O6312">
        <v>52.737679100994903</v>
      </c>
      <c r="P6312">
        <v>-6.3144807288822796E-2</v>
      </c>
      <c r="Q6312">
        <v>0</v>
      </c>
      <c r="R6312">
        <v>0.91156338820614102</v>
      </c>
      <c r="S6312" t="s">
        <v>13118</v>
      </c>
      <c r="T6312" t="s">
        <v>13610</v>
      </c>
      <c r="U6312" t="s">
        <v>13610</v>
      </c>
      <c r="V6312" t="s">
        <v>13610</v>
      </c>
      <c r="W6312" t="s">
        <v>19846</v>
      </c>
      <c r="X6312">
        <v>6</v>
      </c>
      <c r="Y6312" t="s">
        <v>26391</v>
      </c>
      <c r="Z6312" t="s">
        <v>33167</v>
      </c>
      <c r="AA6312">
        <v>0.48735089553744809</v>
      </c>
      <c r="AB6312" t="str">
        <f>HYPERLINK("Melting_Curves/meltCurve_Q9UBW8_COPS7A.pdf", "Melting_Curves/meltCurve_Q9UBW8_COPS7A.pdf")</f>
        <v>Melting_Curves/meltCurve_Q9UBW8_COPS7A.pdf</v>
      </c>
    </row>
    <row r="6313" spans="1:28" x14ac:dyDescent="0.25">
      <c r="A6313" t="s">
        <v>6317</v>
      </c>
      <c r="B6313">
        <v>0.995954080203443</v>
      </c>
      <c r="C6313">
        <v>0.99504412996801195</v>
      </c>
      <c r="D6313">
        <v>0.96717094027110395</v>
      </c>
      <c r="E6313">
        <v>0.82838227280082999</v>
      </c>
      <c r="F6313">
        <v>0.65797761101710805</v>
      </c>
      <c r="G6313">
        <v>0.448184585990127</v>
      </c>
      <c r="H6313">
        <v>0.324921307020545</v>
      </c>
      <c r="I6313">
        <v>0.33170585278797898</v>
      </c>
      <c r="J6313">
        <v>0.39706863708197898</v>
      </c>
      <c r="K6313">
        <v>0.38940576424013301</v>
      </c>
      <c r="L6313">
        <v>1211.9241688112199</v>
      </c>
      <c r="M6313">
        <v>23.098341715776002</v>
      </c>
      <c r="N6313">
        <v>55.419482102108603</v>
      </c>
      <c r="O6313">
        <v>52.0794990528859</v>
      </c>
      <c r="P6313">
        <v>-7.1643809809600195E-2</v>
      </c>
      <c r="Q6313">
        <v>0.35387481701580498</v>
      </c>
      <c r="R6313">
        <v>0.99035499429454998</v>
      </c>
      <c r="S6313" t="s">
        <v>13119</v>
      </c>
      <c r="T6313" t="s">
        <v>13610</v>
      </c>
      <c r="U6313" t="s">
        <v>13610</v>
      </c>
      <c r="V6313" t="s">
        <v>13610</v>
      </c>
      <c r="W6313" t="s">
        <v>19847</v>
      </c>
      <c r="X6313">
        <v>32</v>
      </c>
      <c r="Y6313" t="s">
        <v>26392</v>
      </c>
      <c r="Z6313" t="s">
        <v>33168</v>
      </c>
      <c r="AA6313">
        <v>0.62927988468436424</v>
      </c>
      <c r="AB6313" t="str">
        <f>HYPERLINK("Melting_Curves/meltCurve_Q9UDT6_2_CLIP2.pdf", "Melting_Curves/meltCurve_Q9UDT6_2_CLIP2.pdf")</f>
        <v>Melting_Curves/meltCurve_Q9UDT6_2_CLIP2.pdf</v>
      </c>
    </row>
    <row r="6314" spans="1:28" x14ac:dyDescent="0.25">
      <c r="A6314" t="s">
        <v>6318</v>
      </c>
      <c r="B6314">
        <v>0.995954080203443</v>
      </c>
      <c r="C6314">
        <v>0.90437711945197496</v>
      </c>
      <c r="D6314">
        <v>0.785851802883893</v>
      </c>
      <c r="E6314">
        <v>0.82988990636922599</v>
      </c>
      <c r="F6314">
        <v>0.61401270349419401</v>
      </c>
      <c r="G6314">
        <v>0.44662872484223498</v>
      </c>
      <c r="H6314">
        <v>0.28670242705651899</v>
      </c>
      <c r="I6314">
        <v>0.25303114730901899</v>
      </c>
      <c r="J6314">
        <v>0.31656631682513597</v>
      </c>
      <c r="K6314">
        <v>0.32128349452657401</v>
      </c>
      <c r="L6314">
        <v>618.84583413488599</v>
      </c>
      <c r="M6314">
        <v>11.7363251587441</v>
      </c>
      <c r="N6314">
        <v>55.524562925617303</v>
      </c>
      <c r="O6314">
        <v>51.268054937291602</v>
      </c>
      <c r="P6314">
        <v>-4.4474883920296603E-2</v>
      </c>
      <c r="Q6314">
        <v>0.22308147097999401</v>
      </c>
      <c r="R6314">
        <v>0.95385751675098396</v>
      </c>
      <c r="S6314" t="s">
        <v>13120</v>
      </c>
      <c r="T6314" t="s">
        <v>13610</v>
      </c>
      <c r="U6314" t="s">
        <v>13610</v>
      </c>
      <c r="V6314" t="s">
        <v>13610</v>
      </c>
      <c r="W6314" t="s">
        <v>19848</v>
      </c>
      <c r="X6314">
        <v>3</v>
      </c>
      <c r="Y6314" t="s">
        <v>26393</v>
      </c>
      <c r="Z6314" t="s">
        <v>33169</v>
      </c>
      <c r="AA6314">
        <v>0.57589772172852705</v>
      </c>
      <c r="AB6314" t="str">
        <f>HYPERLINK("Melting_Curves/meltCurve_Q9UDV7_ZNF282.pdf", "Melting_Curves/meltCurve_Q9UDV7_ZNF282.pdf")</f>
        <v>Melting_Curves/meltCurve_Q9UDV7_ZNF282.pdf</v>
      </c>
    </row>
    <row r="6315" spans="1:28" x14ac:dyDescent="0.25">
      <c r="A6315" t="s">
        <v>6319</v>
      </c>
      <c r="B6315">
        <v>0.995954080203443</v>
      </c>
      <c r="C6315">
        <v>0.91740899921247498</v>
      </c>
      <c r="D6315">
        <v>0.87986401043993001</v>
      </c>
      <c r="E6315">
        <v>0.56155505891596202</v>
      </c>
      <c r="F6315">
        <v>0.41171652337092901</v>
      </c>
      <c r="G6315">
        <v>0.29854855991308898</v>
      </c>
      <c r="H6315">
        <v>0.25820491589609601</v>
      </c>
      <c r="I6315">
        <v>0.27996412281394001</v>
      </c>
      <c r="J6315">
        <v>0.339758665290541</v>
      </c>
      <c r="K6315">
        <v>0.32762800199839698</v>
      </c>
      <c r="L6315">
        <v>1093.867392681</v>
      </c>
      <c r="M6315">
        <v>22.359220204859799</v>
      </c>
      <c r="N6315">
        <v>50.945377807029402</v>
      </c>
      <c r="O6315">
        <v>48.536153458014802</v>
      </c>
      <c r="P6315">
        <v>-8.1283872647667302E-2</v>
      </c>
      <c r="Q6315">
        <v>0.29422889659881502</v>
      </c>
      <c r="R6315">
        <v>0.988206773447175</v>
      </c>
      <c r="S6315" t="s">
        <v>13121</v>
      </c>
      <c r="T6315" t="s">
        <v>13610</v>
      </c>
      <c r="U6315" t="s">
        <v>13610</v>
      </c>
      <c r="V6315" t="s">
        <v>13610</v>
      </c>
      <c r="W6315" t="s">
        <v>19849</v>
      </c>
      <c r="X6315">
        <v>28</v>
      </c>
      <c r="Y6315" t="s">
        <v>26394</v>
      </c>
      <c r="Z6315" t="s">
        <v>33170</v>
      </c>
      <c r="AA6315">
        <v>0.51200606269624405</v>
      </c>
      <c r="AB6315" t="str">
        <f>HYPERLINK("Melting_Curves/meltCurve_Q9UDY2_TJP2.pdf", "Melting_Curves/meltCurve_Q9UDY2_TJP2.pdf")</f>
        <v>Melting_Curves/meltCurve_Q9UDY2_TJP2.pdf</v>
      </c>
    </row>
    <row r="6316" spans="1:28" x14ac:dyDescent="0.25">
      <c r="A6316" t="s">
        <v>6320</v>
      </c>
      <c r="B6316">
        <v>0.995954080203443</v>
      </c>
      <c r="C6316">
        <v>0.95294708637314296</v>
      </c>
      <c r="D6316">
        <v>0.77937627228989803</v>
      </c>
      <c r="E6316">
        <v>0.52171545254783203</v>
      </c>
      <c r="F6316">
        <v>0.37582126919636799</v>
      </c>
      <c r="G6316">
        <v>0.25939985214623701</v>
      </c>
      <c r="H6316">
        <v>0.20427327971093201</v>
      </c>
      <c r="I6316">
        <v>0.25738678763231998</v>
      </c>
      <c r="J6316">
        <v>0.16462731697099001</v>
      </c>
      <c r="K6316">
        <v>0.27611086735324097</v>
      </c>
      <c r="L6316">
        <v>880.18473343613698</v>
      </c>
      <c r="M6316">
        <v>18.080961316316799</v>
      </c>
      <c r="N6316">
        <v>50.258034774165502</v>
      </c>
      <c r="O6316">
        <v>48.0964420938909</v>
      </c>
      <c r="P6316">
        <v>-7.3632432808280801E-2</v>
      </c>
      <c r="Q6316">
        <v>0.21657119850222201</v>
      </c>
      <c r="R6316">
        <v>0.98958851284883498</v>
      </c>
      <c r="S6316" t="s">
        <v>13122</v>
      </c>
      <c r="T6316" t="s">
        <v>13610</v>
      </c>
      <c r="U6316" t="s">
        <v>13610</v>
      </c>
      <c r="V6316" t="s">
        <v>13610</v>
      </c>
      <c r="W6316" t="s">
        <v>19850</v>
      </c>
      <c r="X6316">
        <v>5</v>
      </c>
      <c r="Y6316" t="s">
        <v>26395</v>
      </c>
      <c r="Z6316" t="s">
        <v>33171</v>
      </c>
      <c r="AA6316">
        <v>0.45678276218021502</v>
      </c>
      <c r="AB6316" t="str">
        <f>HYPERLINK("Melting_Curves/meltCurve_Q9UDY4_DNAJB4.pdf", "Melting_Curves/meltCurve_Q9UDY4_DNAJB4.pdf")</f>
        <v>Melting_Curves/meltCurve_Q9UDY4_DNAJB4.pdf</v>
      </c>
    </row>
    <row r="6317" spans="1:28" x14ac:dyDescent="0.25">
      <c r="A6317" t="s">
        <v>6321</v>
      </c>
      <c r="B6317">
        <v>0.995954080203443</v>
      </c>
      <c r="C6317">
        <v>0.96927892567505902</v>
      </c>
      <c r="D6317">
        <v>0.78910921696279002</v>
      </c>
      <c r="E6317">
        <v>0.45851708675111802</v>
      </c>
      <c r="F6317">
        <v>0.216267459398476</v>
      </c>
      <c r="G6317">
        <v>0.122360554759843</v>
      </c>
      <c r="H6317">
        <v>8.7998486286803998E-2</v>
      </c>
      <c r="I6317">
        <v>7.8683759855027097E-2</v>
      </c>
      <c r="J6317">
        <v>8.6760830606064598E-2</v>
      </c>
      <c r="K6317">
        <v>7.1274451439454004E-2</v>
      </c>
      <c r="L6317">
        <v>1013.17660044179</v>
      </c>
      <c r="M6317">
        <v>20.6871733898431</v>
      </c>
      <c r="N6317">
        <v>49.353650989657901</v>
      </c>
      <c r="O6317">
        <v>48.525326434356799</v>
      </c>
      <c r="P6317">
        <v>-9.8781769902403893E-2</v>
      </c>
      <c r="Q6317">
        <v>7.3187961659311296E-2</v>
      </c>
      <c r="R6317">
        <v>0.99899178595617699</v>
      </c>
      <c r="S6317" t="s">
        <v>13123</v>
      </c>
      <c r="T6317" t="s">
        <v>13610</v>
      </c>
      <c r="U6317" t="s">
        <v>13610</v>
      </c>
      <c r="V6317" t="s">
        <v>13610</v>
      </c>
      <c r="W6317" t="s">
        <v>19851</v>
      </c>
      <c r="X6317">
        <v>18</v>
      </c>
      <c r="Y6317" t="s">
        <v>26396</v>
      </c>
      <c r="Z6317" t="s">
        <v>33172</v>
      </c>
      <c r="AA6317">
        <v>0.3626134989712681</v>
      </c>
      <c r="AB6317" t="str">
        <f>HYPERLINK("Melting_Curves/meltCurve_Q9UDY8_MALT1.pdf", "Melting_Curves/meltCurve_Q9UDY8_MALT1.pdf")</f>
        <v>Melting_Curves/meltCurve_Q9UDY8_MALT1.pdf</v>
      </c>
    </row>
    <row r="6318" spans="1:28" x14ac:dyDescent="0.25">
      <c r="A6318" t="s">
        <v>6322</v>
      </c>
      <c r="B6318">
        <v>0.995954080203443</v>
      </c>
      <c r="C6318">
        <v>1.03789090960969</v>
      </c>
      <c r="D6318">
        <v>0.97940362710872397</v>
      </c>
      <c r="E6318">
        <v>0.98419337720011701</v>
      </c>
      <c r="F6318">
        <v>0.82520857052188301</v>
      </c>
      <c r="G6318">
        <v>0.63395613380076798</v>
      </c>
      <c r="H6318">
        <v>0.60458813374720199</v>
      </c>
      <c r="I6318">
        <v>0.68584205152628297</v>
      </c>
      <c r="J6318">
        <v>0.77617639191268595</v>
      </c>
      <c r="K6318">
        <v>0.79258362813525796</v>
      </c>
      <c r="L6318">
        <v>5208.6213191339002</v>
      </c>
      <c r="M6318">
        <v>98.604402095639699</v>
      </c>
      <c r="O6318">
        <v>52.801685628427499</v>
      </c>
      <c r="P6318">
        <v>-0.14069681776858001</v>
      </c>
      <c r="Q6318">
        <v>0.69863290375996501</v>
      </c>
      <c r="R6318">
        <v>0.86957696560174402</v>
      </c>
      <c r="S6318" t="s">
        <v>13124</v>
      </c>
      <c r="T6318" t="s">
        <v>13610</v>
      </c>
      <c r="U6318" t="s">
        <v>13610</v>
      </c>
      <c r="V6318" t="s">
        <v>13610</v>
      </c>
      <c r="W6318" t="s">
        <v>19852</v>
      </c>
      <c r="X6318">
        <v>8</v>
      </c>
      <c r="Y6318" t="s">
        <v>26397</v>
      </c>
      <c r="Z6318" t="s">
        <v>33173</v>
      </c>
      <c r="AA6318">
        <v>0.82763122856282267</v>
      </c>
      <c r="AB6318" t="str">
        <f>HYPERLINK("Melting_Curves/meltCurve_Q9UEE9_CFDP1.pdf", "Melting_Curves/meltCurve_Q9UEE9_CFDP1.pdf")</f>
        <v>Melting_Curves/meltCurve_Q9UEE9_CFDP1.pdf</v>
      </c>
    </row>
    <row r="6319" spans="1:28" x14ac:dyDescent="0.25">
      <c r="A6319" t="s">
        <v>6323</v>
      </c>
      <c r="B6319">
        <v>0.995954080203443</v>
      </c>
      <c r="C6319">
        <v>0.95221124176093896</v>
      </c>
      <c r="D6319">
        <v>0.84405776754138095</v>
      </c>
      <c r="E6319">
        <v>0.77640624508133305</v>
      </c>
      <c r="F6319">
        <v>0.65339857034402204</v>
      </c>
      <c r="G6319">
        <v>0.441895293718789</v>
      </c>
      <c r="H6319">
        <v>0.396862285834231</v>
      </c>
      <c r="I6319">
        <v>0.41796530238780599</v>
      </c>
      <c r="J6319">
        <v>0.45478584847923897</v>
      </c>
      <c r="K6319">
        <v>0.44195884983410899</v>
      </c>
      <c r="L6319">
        <v>764.15330713356798</v>
      </c>
      <c r="M6319">
        <v>15.0226182944843</v>
      </c>
      <c r="N6319">
        <v>56.987229997199002</v>
      </c>
      <c r="O6319">
        <v>49.991032297107303</v>
      </c>
      <c r="P6319">
        <v>-4.50506274882451E-2</v>
      </c>
      <c r="Q6319">
        <v>0.40039714478065502</v>
      </c>
      <c r="R6319">
        <v>0.97111575144053497</v>
      </c>
      <c r="S6319" t="s">
        <v>13125</v>
      </c>
      <c r="T6319" t="s">
        <v>13610</v>
      </c>
      <c r="U6319" t="s">
        <v>13610</v>
      </c>
      <c r="V6319" t="s">
        <v>13610</v>
      </c>
      <c r="W6319" t="s">
        <v>19853</v>
      </c>
      <c r="X6319">
        <v>6</v>
      </c>
      <c r="Y6319" t="s">
        <v>26398</v>
      </c>
      <c r="Z6319" t="s">
        <v>33174</v>
      </c>
      <c r="AA6319">
        <v>0.6314673384661621</v>
      </c>
      <c r="AB6319" t="str">
        <f>HYPERLINK("Melting_Curves/meltCurve_Q9UEG4_ZNF629.pdf", "Melting_Curves/meltCurve_Q9UEG4_ZNF629.pdf")</f>
        <v>Melting_Curves/meltCurve_Q9UEG4_ZNF629.pdf</v>
      </c>
    </row>
    <row r="6320" spans="1:28" x14ac:dyDescent="0.25">
      <c r="A6320" t="s">
        <v>6324</v>
      </c>
      <c r="B6320">
        <v>0.995954080203443</v>
      </c>
      <c r="C6320">
        <v>0.90201510391450901</v>
      </c>
      <c r="D6320">
        <v>0.90724677997870296</v>
      </c>
      <c r="E6320">
        <v>0.48838327856931602</v>
      </c>
      <c r="F6320">
        <v>0.32245869442838598</v>
      </c>
      <c r="G6320">
        <v>0.17757753860447401</v>
      </c>
      <c r="H6320">
        <v>0.12494523022576599</v>
      </c>
      <c r="I6320">
        <v>0.12893417101444599</v>
      </c>
      <c r="J6320">
        <v>0.14390331397386499</v>
      </c>
      <c r="K6320">
        <v>0.13443615462894801</v>
      </c>
      <c r="L6320">
        <v>1074.7219204773701</v>
      </c>
      <c r="M6320">
        <v>21.703736159225301</v>
      </c>
      <c r="N6320">
        <v>50.208319437025501</v>
      </c>
      <c r="O6320">
        <v>49.103182285829</v>
      </c>
      <c r="P6320">
        <v>-9.6245436557725494E-2</v>
      </c>
      <c r="Q6320">
        <v>0.12902599808155199</v>
      </c>
      <c r="R6320">
        <v>0.99257370341871598</v>
      </c>
      <c r="S6320" t="s">
        <v>13126</v>
      </c>
      <c r="T6320" t="s">
        <v>13610</v>
      </c>
      <c r="U6320" t="s">
        <v>13610</v>
      </c>
      <c r="V6320" t="s">
        <v>13610</v>
      </c>
      <c r="W6320" t="s">
        <v>19854</v>
      </c>
      <c r="X6320">
        <v>12</v>
      </c>
      <c r="Y6320" t="s">
        <v>26399</v>
      </c>
      <c r="Z6320" t="s">
        <v>33175</v>
      </c>
      <c r="AA6320">
        <v>0.41567016731787337</v>
      </c>
      <c r="AB6320" t="str">
        <f>HYPERLINK("Melting_Curves/meltCurve_Q9UER7_DAXX.pdf", "Melting_Curves/meltCurve_Q9UER7_DAXX.pdf")</f>
        <v>Melting_Curves/meltCurve_Q9UER7_DAXX.pdf</v>
      </c>
    </row>
    <row r="6321" spans="1:28" x14ac:dyDescent="0.25">
      <c r="A6321" t="s">
        <v>6325</v>
      </c>
      <c r="B6321">
        <v>0.995954080203443</v>
      </c>
      <c r="C6321">
        <v>0.85056012548520399</v>
      </c>
      <c r="D6321">
        <v>0.69171607512548505</v>
      </c>
      <c r="E6321">
        <v>0.54276601137796698</v>
      </c>
      <c r="F6321">
        <v>0.19182300325041499</v>
      </c>
      <c r="G6321">
        <v>0.134830364716302</v>
      </c>
      <c r="H6321">
        <v>0.100425607380513</v>
      </c>
      <c r="I6321">
        <v>9.9854070306113998E-2</v>
      </c>
      <c r="J6321">
        <v>0.113658864053488</v>
      </c>
      <c r="K6321">
        <v>0.10561201867841299</v>
      </c>
      <c r="L6321">
        <v>745.736221373474</v>
      </c>
      <c r="M6321">
        <v>15.367113418059899</v>
      </c>
      <c r="N6321">
        <v>49.051378272305499</v>
      </c>
      <c r="O6321">
        <v>47.728544074490301</v>
      </c>
      <c r="P6321">
        <v>-7.4413327963127995E-2</v>
      </c>
      <c r="Q6321">
        <v>7.5606884967280893E-2</v>
      </c>
      <c r="R6321">
        <v>0.97878711830515297</v>
      </c>
      <c r="S6321" t="s">
        <v>13127</v>
      </c>
      <c r="T6321" t="s">
        <v>13610</v>
      </c>
      <c r="U6321" t="s">
        <v>13610</v>
      </c>
      <c r="V6321" t="s">
        <v>13610</v>
      </c>
      <c r="W6321" t="s">
        <v>19855</v>
      </c>
      <c r="X6321">
        <v>6</v>
      </c>
      <c r="Y6321" t="s">
        <v>26400</v>
      </c>
      <c r="Z6321" t="s">
        <v>33176</v>
      </c>
      <c r="AA6321">
        <v>0.36055919417607379</v>
      </c>
      <c r="AB6321" t="str">
        <f>HYPERLINK("Melting_Curves/meltCurve_Q9UET6_2_FTSJ1.pdf", "Melting_Curves/meltCurve_Q9UET6_2_FTSJ1.pdf")</f>
        <v>Melting_Curves/meltCurve_Q9UET6_2_FTSJ1.pdf</v>
      </c>
    </row>
    <row r="6322" spans="1:28" x14ac:dyDescent="0.25">
      <c r="A6322" t="s">
        <v>6326</v>
      </c>
      <c r="B6322">
        <v>0.995954080203443</v>
      </c>
      <c r="C6322">
        <v>0.98231618329263903</v>
      </c>
      <c r="D6322">
        <v>1.14447467866945</v>
      </c>
      <c r="E6322">
        <v>0.82093493154181496</v>
      </c>
      <c r="F6322">
        <v>0.93548107516575596</v>
      </c>
      <c r="G6322">
        <v>0.79137053567030902</v>
      </c>
      <c r="H6322">
        <v>0.73281904562432698</v>
      </c>
      <c r="I6322">
        <v>0.87890022408888702</v>
      </c>
      <c r="J6322">
        <v>1.0626602066725801</v>
      </c>
      <c r="K6322">
        <v>1.0190684680458399</v>
      </c>
      <c r="L6322">
        <v>11998.289528544699</v>
      </c>
      <c r="M6322">
        <v>250</v>
      </c>
      <c r="O6322">
        <v>47.990087521685801</v>
      </c>
      <c r="P6322">
        <v>-0.14116835028331401</v>
      </c>
      <c r="Q6322">
        <v>0.89160509783161401</v>
      </c>
      <c r="R6322">
        <v>0.277061062981452</v>
      </c>
      <c r="S6322" t="s">
        <v>13128</v>
      </c>
      <c r="T6322" t="s">
        <v>13610</v>
      </c>
      <c r="U6322" t="s">
        <v>13610</v>
      </c>
      <c r="V6322" t="s">
        <v>13610</v>
      </c>
      <c r="W6322" t="s">
        <v>19856</v>
      </c>
      <c r="X6322">
        <v>6</v>
      </c>
      <c r="Y6322" t="s">
        <v>26401</v>
      </c>
      <c r="Z6322" t="s">
        <v>33177</v>
      </c>
      <c r="AA6322">
        <v>0.92049481402908417</v>
      </c>
      <c r="AB6322" t="str">
        <f>HYPERLINK("Melting_Curves/meltCurve_Q9UEU0_VTI1B.pdf", "Melting_Curves/meltCurve_Q9UEU0_VTI1B.pdf")</f>
        <v>Melting_Curves/meltCurve_Q9UEU0_VTI1B.pdf</v>
      </c>
    </row>
    <row r="6323" spans="1:28" x14ac:dyDescent="0.25">
      <c r="A6323" t="s">
        <v>6327</v>
      </c>
      <c r="B6323">
        <v>0.995954080203443</v>
      </c>
      <c r="C6323">
        <v>0.87570042561419503</v>
      </c>
      <c r="D6323">
        <v>0.71007853834624401</v>
      </c>
      <c r="E6323">
        <v>0.59613738529944804</v>
      </c>
      <c r="F6323">
        <v>0.45612406981546699</v>
      </c>
      <c r="G6323">
        <v>0.28075425465114601</v>
      </c>
      <c r="H6323">
        <v>0.19195339071773701</v>
      </c>
      <c r="I6323">
        <v>0.18638708288026101</v>
      </c>
      <c r="J6323">
        <v>0.20584248100015901</v>
      </c>
      <c r="K6323">
        <v>0.21672795363349401</v>
      </c>
      <c r="L6323">
        <v>586.54316949360395</v>
      </c>
      <c r="M6323">
        <v>11.8138100010214</v>
      </c>
      <c r="N6323">
        <v>51.2212224079545</v>
      </c>
      <c r="O6323">
        <v>48.290430968376398</v>
      </c>
      <c r="P6323">
        <v>-5.1872256449836202E-2</v>
      </c>
      <c r="Q6323">
        <v>0.15207978199465</v>
      </c>
      <c r="R6323">
        <v>0.98618003104253404</v>
      </c>
      <c r="S6323" t="s">
        <v>13129</v>
      </c>
      <c r="T6323" t="s">
        <v>13610</v>
      </c>
      <c r="U6323" t="s">
        <v>13610</v>
      </c>
      <c r="V6323" t="s">
        <v>13610</v>
      </c>
      <c r="W6323" t="s">
        <v>19857</v>
      </c>
      <c r="X6323">
        <v>7</v>
      </c>
      <c r="Y6323" t="s">
        <v>26402</v>
      </c>
      <c r="Z6323" t="s">
        <v>33178</v>
      </c>
      <c r="AA6323">
        <v>0.45551987559951712</v>
      </c>
      <c r="AB6323" t="str">
        <f>HYPERLINK("Melting_Curves/meltCurve_Q9UEW8_STK39.pdf", "Melting_Curves/meltCurve_Q9UEW8_STK39.pdf")</f>
        <v>Melting_Curves/meltCurve_Q9UEW8_STK39.pdf</v>
      </c>
    </row>
    <row r="6324" spans="1:28" x14ac:dyDescent="0.25">
      <c r="A6324" t="s">
        <v>6328</v>
      </c>
      <c r="B6324">
        <v>0.995954080203443</v>
      </c>
      <c r="C6324">
        <v>0.97238465444066902</v>
      </c>
      <c r="D6324">
        <v>0.91771648542430095</v>
      </c>
      <c r="E6324">
        <v>0.89335494761957701</v>
      </c>
      <c r="F6324">
        <v>0.74450435175192098</v>
      </c>
      <c r="G6324">
        <v>0.59545663427095397</v>
      </c>
      <c r="H6324">
        <v>0.453185336638249</v>
      </c>
      <c r="I6324">
        <v>0.47471312212839101</v>
      </c>
      <c r="J6324">
        <v>0.450853368001157</v>
      </c>
      <c r="K6324">
        <v>0.37463846050958099</v>
      </c>
      <c r="L6324">
        <v>757.24767167790401</v>
      </c>
      <c r="M6324">
        <v>13.895714011995601</v>
      </c>
      <c r="N6324">
        <v>60.555189200897601</v>
      </c>
      <c r="O6324">
        <v>53.403642762103701</v>
      </c>
      <c r="P6324">
        <v>-4.0626854364434299E-2</v>
      </c>
      <c r="Q6324">
        <v>0.37554085039704599</v>
      </c>
      <c r="R6324">
        <v>0.98740992869264199</v>
      </c>
      <c r="S6324" t="s">
        <v>13130</v>
      </c>
      <c r="T6324" t="s">
        <v>13610</v>
      </c>
      <c r="U6324" t="s">
        <v>13610</v>
      </c>
      <c r="V6324" t="s">
        <v>13610</v>
      </c>
      <c r="W6324" t="s">
        <v>19858</v>
      </c>
      <c r="X6324">
        <v>26</v>
      </c>
      <c r="Y6324" t="s">
        <v>26403</v>
      </c>
      <c r="Z6324" t="s">
        <v>33179</v>
      </c>
      <c r="AA6324">
        <v>0.69080169907036248</v>
      </c>
      <c r="AB6324" t="str">
        <f>HYPERLINK("Melting_Curves/meltCurve_Q9UEY8_2_ADD3.pdf", "Melting_Curves/meltCurve_Q9UEY8_2_ADD3.pdf")</f>
        <v>Melting_Curves/meltCurve_Q9UEY8_2_ADD3.pdf</v>
      </c>
    </row>
    <row r="6325" spans="1:28" x14ac:dyDescent="0.25">
      <c r="A6325" t="s">
        <v>6329</v>
      </c>
      <c r="B6325">
        <v>0.995954080203443</v>
      </c>
      <c r="C6325">
        <v>0.98428618695974002</v>
      </c>
      <c r="D6325">
        <v>0.80196296499872999</v>
      </c>
      <c r="E6325">
        <v>0.52071670844111595</v>
      </c>
      <c r="F6325">
        <v>0.38925705326740401</v>
      </c>
      <c r="G6325">
        <v>0.215843040752145</v>
      </c>
      <c r="H6325">
        <v>0.101128493955363</v>
      </c>
      <c r="I6325">
        <v>7.5785986367134295E-2</v>
      </c>
      <c r="J6325">
        <v>8.3816004211370906E-2</v>
      </c>
      <c r="K6325">
        <v>7.2883181163027999E-2</v>
      </c>
      <c r="L6325">
        <v>754.367350072926</v>
      </c>
      <c r="M6325">
        <v>14.971948255111201</v>
      </c>
      <c r="N6325">
        <v>50.7760275819155</v>
      </c>
      <c r="O6325">
        <v>49.512139467618397</v>
      </c>
      <c r="P6325">
        <v>-7.1492140817822195E-2</v>
      </c>
      <c r="Q6325">
        <v>5.4399981601156298E-2</v>
      </c>
      <c r="R6325">
        <v>0.995475385753817</v>
      </c>
      <c r="S6325" t="s">
        <v>13131</v>
      </c>
      <c r="T6325" t="s">
        <v>13610</v>
      </c>
      <c r="U6325" t="s">
        <v>13610</v>
      </c>
      <c r="V6325" t="s">
        <v>13610</v>
      </c>
      <c r="W6325" t="s">
        <v>19859</v>
      </c>
      <c r="X6325">
        <v>24</v>
      </c>
      <c r="Y6325" t="s">
        <v>26404</v>
      </c>
      <c r="Z6325" t="s">
        <v>33180</v>
      </c>
      <c r="AA6325">
        <v>0.40409339739516642</v>
      </c>
      <c r="AB6325" t="str">
        <f>HYPERLINK("Melting_Curves/meltCurve_Q9UFC0_LRWD1.pdf", "Melting_Curves/meltCurve_Q9UFC0_LRWD1.pdf")</f>
        <v>Melting_Curves/meltCurve_Q9UFC0_LRWD1.pdf</v>
      </c>
    </row>
    <row r="6326" spans="1:28" x14ac:dyDescent="0.25">
      <c r="A6326" t="s">
        <v>6330</v>
      </c>
      <c r="B6326">
        <v>0.995954080203443</v>
      </c>
      <c r="C6326">
        <v>0.91698241177921302</v>
      </c>
      <c r="D6326">
        <v>0.60473429085610697</v>
      </c>
      <c r="E6326">
        <v>0.76585292338343602</v>
      </c>
      <c r="F6326">
        <v>0.37103048283755602</v>
      </c>
      <c r="G6326">
        <v>0.26171141323640101</v>
      </c>
      <c r="H6326">
        <v>0.20519844208874399</v>
      </c>
      <c r="I6326">
        <v>0.21687508704846301</v>
      </c>
      <c r="J6326">
        <v>0.31989185724977398</v>
      </c>
      <c r="K6326">
        <v>0.21029259178840101</v>
      </c>
      <c r="L6326">
        <v>608.02593039908595</v>
      </c>
      <c r="M6326">
        <v>12.3276278581873</v>
      </c>
      <c r="N6326">
        <v>51.332413705599599</v>
      </c>
      <c r="O6326">
        <v>48.078232735643802</v>
      </c>
      <c r="P6326">
        <v>-5.1840278911512397E-2</v>
      </c>
      <c r="Q6326">
        <v>0.19145913900831801</v>
      </c>
      <c r="R6326">
        <v>0.89508752782086598</v>
      </c>
      <c r="S6326" t="s">
        <v>13132</v>
      </c>
      <c r="T6326" t="s">
        <v>13610</v>
      </c>
      <c r="U6326" t="s">
        <v>13610</v>
      </c>
      <c r="V6326" t="s">
        <v>13610</v>
      </c>
      <c r="W6326" t="s">
        <v>19860</v>
      </c>
      <c r="X6326">
        <v>2</v>
      </c>
      <c r="Y6326" t="s">
        <v>26405</v>
      </c>
      <c r="Z6326" t="s">
        <v>33181</v>
      </c>
      <c r="AA6326">
        <v>0.47057001036367119</v>
      </c>
      <c r="AB6326" t="str">
        <f>HYPERLINK("Melting_Curves/meltCurve_Q9UFG5_C19orf25.pdf", "Melting_Curves/meltCurve_Q9UFG5_C19orf25.pdf")</f>
        <v>Melting_Curves/meltCurve_Q9UFG5_C19orf25.pdf</v>
      </c>
    </row>
    <row r="6327" spans="1:28" x14ac:dyDescent="0.25">
      <c r="A6327" t="s">
        <v>6331</v>
      </c>
      <c r="B6327">
        <v>0.995954080203443</v>
      </c>
      <c r="C6327">
        <v>0.84437709936747396</v>
      </c>
      <c r="D6327">
        <v>0.746948066803649</v>
      </c>
      <c r="E6327">
        <v>0.771528271722005</v>
      </c>
      <c r="F6327">
        <v>0.57188187617789898</v>
      </c>
      <c r="G6327">
        <v>0.38543361506205098</v>
      </c>
      <c r="H6327">
        <v>0.31706465006686901</v>
      </c>
      <c r="I6327">
        <v>0.32571027683640202</v>
      </c>
      <c r="J6327">
        <v>0.292065417978917</v>
      </c>
      <c r="K6327">
        <v>0.39188645588300602</v>
      </c>
      <c r="L6327">
        <v>528.34712127165699</v>
      </c>
      <c r="M6327">
        <v>10.415505350668999</v>
      </c>
      <c r="N6327">
        <v>54.659893878107901</v>
      </c>
      <c r="O6327">
        <v>48.963940451801797</v>
      </c>
      <c r="P6327">
        <v>-3.9173400677517699E-2</v>
      </c>
      <c r="Q6327">
        <v>0.26368003582157301</v>
      </c>
      <c r="R6327">
        <v>0.93759197931372695</v>
      </c>
      <c r="S6327" t="s">
        <v>13133</v>
      </c>
      <c r="T6327" t="s">
        <v>13610</v>
      </c>
      <c r="U6327" t="s">
        <v>13610</v>
      </c>
      <c r="V6327" t="s">
        <v>13610</v>
      </c>
      <c r="W6327" t="s">
        <v>19861</v>
      </c>
      <c r="X6327">
        <v>7</v>
      </c>
      <c r="Y6327" t="s">
        <v>26406</v>
      </c>
      <c r="Z6327" t="s">
        <v>33182</v>
      </c>
      <c r="AA6327">
        <v>0.55670087601328644</v>
      </c>
      <c r="AB6327" t="str">
        <f>HYPERLINK("Melting_Curves/meltCurve_Q9UFN0_NIPSNAP3A.pdf", "Melting_Curves/meltCurve_Q9UFN0_NIPSNAP3A.pdf")</f>
        <v>Melting_Curves/meltCurve_Q9UFN0_NIPSNAP3A.pdf</v>
      </c>
    </row>
    <row r="6328" spans="1:28" x14ac:dyDescent="0.25">
      <c r="A6328" t="s">
        <v>6332</v>
      </c>
      <c r="B6328">
        <v>0.995954080203443</v>
      </c>
      <c r="C6328">
        <v>1.0490382940499201</v>
      </c>
      <c r="D6328">
        <v>0.97340686473614702</v>
      </c>
      <c r="E6328">
        <v>0.90374049315647798</v>
      </c>
      <c r="F6328">
        <v>0.77227057435162805</v>
      </c>
      <c r="G6328">
        <v>0.581530870175619</v>
      </c>
      <c r="H6328">
        <v>0.538912870679086</v>
      </c>
      <c r="I6328">
        <v>0.64652113625102603</v>
      </c>
      <c r="J6328">
        <v>0.76417732042826003</v>
      </c>
      <c r="K6328">
        <v>0.76264505372267299</v>
      </c>
      <c r="L6328">
        <v>1972.5149056589801</v>
      </c>
      <c r="M6328">
        <v>38.3185249712161</v>
      </c>
      <c r="O6328">
        <v>51.337195752051798</v>
      </c>
      <c r="P6328">
        <v>-6.3308785268099702E-2</v>
      </c>
      <c r="Q6328">
        <v>0.66072937273973098</v>
      </c>
      <c r="R6328">
        <v>0.83168136667016601</v>
      </c>
      <c r="S6328" t="s">
        <v>13134</v>
      </c>
      <c r="T6328" t="s">
        <v>13610</v>
      </c>
      <c r="U6328" t="s">
        <v>13610</v>
      </c>
      <c r="V6328" t="s">
        <v>13610</v>
      </c>
      <c r="W6328" t="s">
        <v>19862</v>
      </c>
      <c r="X6328">
        <v>8</v>
      </c>
      <c r="Y6328" t="s">
        <v>26407</v>
      </c>
      <c r="Z6328" t="s">
        <v>33183</v>
      </c>
      <c r="AA6328">
        <v>0.79183655921979379</v>
      </c>
      <c r="AB6328" t="str">
        <f>HYPERLINK("Melting_Curves/meltCurve_Q9UFW8_CGGBP1.pdf", "Melting_Curves/meltCurve_Q9UFW8_CGGBP1.pdf")</f>
        <v>Melting_Curves/meltCurve_Q9UFW8_CGGBP1.pdf</v>
      </c>
    </row>
    <row r="6329" spans="1:28" x14ac:dyDescent="0.25">
      <c r="A6329" t="s">
        <v>6333</v>
      </c>
      <c r="B6329">
        <v>0.995954080203443</v>
      </c>
      <c r="C6329">
        <v>0.68888656116882896</v>
      </c>
      <c r="D6329">
        <v>0.42539188978304798</v>
      </c>
      <c r="E6329">
        <v>0.26773594973459203</v>
      </c>
      <c r="F6329">
        <v>0.128751789648724</v>
      </c>
      <c r="G6329">
        <v>9.6847086753062195E-2</v>
      </c>
      <c r="H6329">
        <v>4.33890302039526E-2</v>
      </c>
      <c r="I6329">
        <v>5.0075358815417997E-2</v>
      </c>
      <c r="J6329">
        <v>3.8889016025262797E-2</v>
      </c>
      <c r="K6329">
        <v>4.6681234506355002E-2</v>
      </c>
      <c r="L6329">
        <v>754.18251125617098</v>
      </c>
      <c r="M6329">
        <v>16.665888393695301</v>
      </c>
      <c r="N6329">
        <v>45.5369617188177</v>
      </c>
      <c r="O6329">
        <v>44.616581134640398</v>
      </c>
      <c r="P6329">
        <v>-8.8781967254174698E-2</v>
      </c>
      <c r="Q6329">
        <v>4.9343644208762999E-2</v>
      </c>
      <c r="R6329">
        <v>0.98434247024042898</v>
      </c>
      <c r="S6329" t="s">
        <v>13135</v>
      </c>
      <c r="T6329" t="s">
        <v>13610</v>
      </c>
      <c r="U6329" t="s">
        <v>13610</v>
      </c>
      <c r="V6329" t="s">
        <v>13610</v>
      </c>
      <c r="W6329" t="s">
        <v>19863</v>
      </c>
      <c r="X6329">
        <v>2</v>
      </c>
      <c r="Y6329" t="s">
        <v>26408</v>
      </c>
      <c r="Z6329" t="s">
        <v>33184</v>
      </c>
      <c r="AA6329">
        <v>0.23950289801021421</v>
      </c>
      <c r="AB6329" t="str">
        <f>HYPERLINK("Melting_Curves/meltCurve_Q9UG01_IFT172.pdf", "Melting_Curves/meltCurve_Q9UG01_IFT172.pdf")</f>
        <v>Melting_Curves/meltCurve_Q9UG01_IFT172.pdf</v>
      </c>
    </row>
    <row r="6330" spans="1:28" x14ac:dyDescent="0.25">
      <c r="A6330" t="s">
        <v>6334</v>
      </c>
      <c r="B6330">
        <v>0.995954080203443</v>
      </c>
      <c r="C6330">
        <v>0.76868639241918701</v>
      </c>
      <c r="D6330">
        <v>0.53259168492682196</v>
      </c>
      <c r="E6330">
        <v>0.51679469326195304</v>
      </c>
      <c r="F6330">
        <v>0.33943264292158198</v>
      </c>
      <c r="G6330">
        <v>0.16427947667253501</v>
      </c>
      <c r="H6330">
        <v>8.3790513425784197E-2</v>
      </c>
      <c r="I6330">
        <v>8.1563383114550303E-2</v>
      </c>
      <c r="J6330">
        <v>8.7487234606381206E-2</v>
      </c>
      <c r="K6330">
        <v>7.9819078738433302E-2</v>
      </c>
      <c r="L6330">
        <v>495.82937092877899</v>
      </c>
      <c r="M6330">
        <v>10.2337486479476</v>
      </c>
      <c r="N6330">
        <v>48.629754451637297</v>
      </c>
      <c r="O6330">
        <v>46.709701247392999</v>
      </c>
      <c r="P6330">
        <v>-5.3782756588385799E-2</v>
      </c>
      <c r="Q6330">
        <v>1.8518552535612499E-2</v>
      </c>
      <c r="R6330">
        <v>0.96586562582620905</v>
      </c>
      <c r="S6330" t="s">
        <v>13136</v>
      </c>
      <c r="T6330" t="s">
        <v>13610</v>
      </c>
      <c r="U6330" t="s">
        <v>13610</v>
      </c>
      <c r="V6330" t="s">
        <v>13610</v>
      </c>
      <c r="W6330" t="s">
        <v>19864</v>
      </c>
      <c r="X6330">
        <v>15</v>
      </c>
      <c r="Y6330" t="s">
        <v>26409</v>
      </c>
      <c r="Z6330" t="s">
        <v>33185</v>
      </c>
      <c r="AA6330">
        <v>0.34340310349103692</v>
      </c>
      <c r="AB6330" t="str">
        <f>HYPERLINK("Melting_Curves/meltCurve_Q9UG63_ABCF2.pdf", "Melting_Curves/meltCurve_Q9UG63_ABCF2.pdf")</f>
        <v>Melting_Curves/meltCurve_Q9UG63_ABCF2.pdf</v>
      </c>
    </row>
    <row r="6331" spans="1:28" x14ac:dyDescent="0.25">
      <c r="A6331" t="s">
        <v>6335</v>
      </c>
      <c r="B6331">
        <v>0.995954080203443</v>
      </c>
      <c r="C6331">
        <v>0.88566338860129601</v>
      </c>
      <c r="D6331">
        <v>0.78938012000507796</v>
      </c>
      <c r="E6331">
        <v>0.57963227586365196</v>
      </c>
      <c r="F6331">
        <v>0.39510696426543002</v>
      </c>
      <c r="G6331">
        <v>0.16864151444733999</v>
      </c>
      <c r="H6331">
        <v>0.12849142770880501</v>
      </c>
      <c r="I6331">
        <v>0.12056965021233999</v>
      </c>
      <c r="J6331">
        <v>0.158353626878073</v>
      </c>
      <c r="K6331">
        <v>0.13360305739794101</v>
      </c>
      <c r="L6331">
        <v>738.98246497926505</v>
      </c>
      <c r="M6331">
        <v>14.7823513048753</v>
      </c>
      <c r="N6331">
        <v>50.744636719827703</v>
      </c>
      <c r="O6331">
        <v>49.1027551028685</v>
      </c>
      <c r="P6331">
        <v>-6.7850806161239105E-2</v>
      </c>
      <c r="Q6331">
        <v>9.8572539506100204E-2</v>
      </c>
      <c r="R6331">
        <v>0.99089034198331205</v>
      </c>
      <c r="S6331" t="s">
        <v>13137</v>
      </c>
      <c r="T6331" t="s">
        <v>13610</v>
      </c>
      <c r="U6331" t="s">
        <v>13610</v>
      </c>
      <c r="V6331" t="s">
        <v>13610</v>
      </c>
      <c r="W6331" t="s">
        <v>19865</v>
      </c>
      <c r="X6331">
        <v>34</v>
      </c>
      <c r="Y6331" t="s">
        <v>26410</v>
      </c>
      <c r="Z6331" t="s">
        <v>33186</v>
      </c>
      <c r="AA6331">
        <v>0.42083809188173421</v>
      </c>
      <c r="AB6331" t="str">
        <f>HYPERLINK("Melting_Curves/meltCurve_Q9UGI8_TES.pdf", "Melting_Curves/meltCurve_Q9UGI8_TES.pdf")</f>
        <v>Melting_Curves/meltCurve_Q9UGI8_TES.pdf</v>
      </c>
    </row>
    <row r="6332" spans="1:28" x14ac:dyDescent="0.25">
      <c r="A6332" t="s">
        <v>6336</v>
      </c>
      <c r="B6332">
        <v>0.995954080203443</v>
      </c>
      <c r="C6332">
        <v>0.94244684688928104</v>
      </c>
      <c r="D6332">
        <v>0.88939715516834705</v>
      </c>
      <c r="E6332">
        <v>0.61323933908758599</v>
      </c>
      <c r="F6332">
        <v>0.397062144206691</v>
      </c>
      <c r="G6332">
        <v>0.139307948411143</v>
      </c>
      <c r="H6332">
        <v>9.8827294185826406E-2</v>
      </c>
      <c r="I6332">
        <v>9.3277210190415405E-2</v>
      </c>
      <c r="J6332">
        <v>0.10912663307541901</v>
      </c>
      <c r="K6332">
        <v>0.10043565010578</v>
      </c>
      <c r="L6332">
        <v>985.85118221247603</v>
      </c>
      <c r="M6332">
        <v>19.385856939292299</v>
      </c>
      <c r="N6332">
        <v>51.3121238072914</v>
      </c>
      <c r="O6332">
        <v>50.322293718889803</v>
      </c>
      <c r="P6332">
        <v>-8.8660845665102503E-2</v>
      </c>
      <c r="Q6332">
        <v>7.9441921467922894E-2</v>
      </c>
      <c r="R6332">
        <v>0.99653632748949605</v>
      </c>
      <c r="S6332" t="s">
        <v>13138</v>
      </c>
      <c r="T6332" t="s">
        <v>13610</v>
      </c>
      <c r="U6332" t="s">
        <v>13610</v>
      </c>
      <c r="V6332" t="s">
        <v>13610</v>
      </c>
      <c r="W6332" t="s">
        <v>19866</v>
      </c>
      <c r="X6332">
        <v>34</v>
      </c>
      <c r="Y6332" t="s">
        <v>26410</v>
      </c>
      <c r="Z6332" t="s">
        <v>33187</v>
      </c>
      <c r="AA6332">
        <v>0.4260572341538359</v>
      </c>
      <c r="AB6332" t="str">
        <f>HYPERLINK("Melting_Curves/meltCurve_Q9UGI8_2_TES.pdf", "Melting_Curves/meltCurve_Q9UGI8_2_TES.pdf")</f>
        <v>Melting_Curves/meltCurve_Q9UGI8_2_TES.pdf</v>
      </c>
    </row>
    <row r="6333" spans="1:28" x14ac:dyDescent="0.25">
      <c r="A6333" t="s">
        <v>6337</v>
      </c>
      <c r="B6333">
        <v>0.995954080203443</v>
      </c>
      <c r="C6333">
        <v>1.01988179363775</v>
      </c>
      <c r="D6333">
        <v>1.08745939930125</v>
      </c>
      <c r="E6333">
        <v>0.82551993220956199</v>
      </c>
      <c r="F6333">
        <v>0.61539111743423003</v>
      </c>
      <c r="G6333">
        <v>0.42270330085824098</v>
      </c>
      <c r="H6333">
        <v>0.25241310283712498</v>
      </c>
      <c r="I6333">
        <v>0.246339781633553</v>
      </c>
      <c r="J6333">
        <v>0.29748937179643598</v>
      </c>
      <c r="K6333">
        <v>0.25402927069935699</v>
      </c>
      <c r="L6333">
        <v>1239.3698665749</v>
      </c>
      <c r="M6333">
        <v>23.3882225235918</v>
      </c>
      <c r="N6333">
        <v>54.67730831427</v>
      </c>
      <c r="O6333">
        <v>52.608333602243</v>
      </c>
      <c r="P6333">
        <v>-8.2589192312978899E-2</v>
      </c>
      <c r="Q6333">
        <v>0.256924220468711</v>
      </c>
      <c r="R6333">
        <v>0.98340795700723205</v>
      </c>
      <c r="S6333" t="s">
        <v>13139</v>
      </c>
      <c r="T6333" t="s">
        <v>13610</v>
      </c>
      <c r="U6333" t="s">
        <v>13610</v>
      </c>
      <c r="V6333" t="s">
        <v>13610</v>
      </c>
      <c r="W6333" t="s">
        <v>19867</v>
      </c>
      <c r="X6333">
        <v>6</v>
      </c>
      <c r="Y6333" t="s">
        <v>26411</v>
      </c>
      <c r="Z6333" t="s">
        <v>33188</v>
      </c>
      <c r="AA6333">
        <v>0.58644820278670085</v>
      </c>
      <c r="AB6333" t="str">
        <f>HYPERLINK("Melting_Curves/meltCurve_Q9UGK8_SERGEF.pdf", "Melting_Curves/meltCurve_Q9UGK8_SERGEF.pdf")</f>
        <v>Melting_Curves/meltCurve_Q9UGK8_SERGEF.pdf</v>
      </c>
    </row>
    <row r="6334" spans="1:28" x14ac:dyDescent="0.25">
      <c r="A6334" t="s">
        <v>6338</v>
      </c>
      <c r="B6334">
        <v>0.995954080203443</v>
      </c>
      <c r="C6334">
        <v>0.89724382193156904</v>
      </c>
      <c r="D6334">
        <v>0.87252801726646101</v>
      </c>
      <c r="E6334">
        <v>0.740593169818068</v>
      </c>
      <c r="F6334">
        <v>0.78743535545249599</v>
      </c>
      <c r="G6334">
        <v>0.526422180078982</v>
      </c>
      <c r="H6334">
        <v>0.49438558055284998</v>
      </c>
      <c r="I6334">
        <v>0.55405739699993795</v>
      </c>
      <c r="J6334">
        <v>1.0496088647466499</v>
      </c>
      <c r="K6334">
        <v>0.68946543529095905</v>
      </c>
      <c r="L6334">
        <v>859.27013271686803</v>
      </c>
      <c r="M6334">
        <v>18.541690484333198</v>
      </c>
      <c r="O6334">
        <v>45.813657605416203</v>
      </c>
      <c r="P6334">
        <v>-3.2772531159419499E-2</v>
      </c>
      <c r="Q6334">
        <v>0.676110882429932</v>
      </c>
      <c r="R6334">
        <v>0.35171241034772799</v>
      </c>
      <c r="S6334" t="s">
        <v>13140</v>
      </c>
      <c r="T6334" t="s">
        <v>13610</v>
      </c>
      <c r="U6334" t="s">
        <v>13610</v>
      </c>
      <c r="V6334" t="s">
        <v>13610</v>
      </c>
      <c r="W6334" t="s">
        <v>19868</v>
      </c>
      <c r="X6334">
        <v>4</v>
      </c>
      <c r="Y6334" t="s">
        <v>26412</v>
      </c>
      <c r="Z6334" t="s">
        <v>33189</v>
      </c>
      <c r="AA6334">
        <v>0.75039553435708717</v>
      </c>
      <c r="AB6334" t="str">
        <f>HYPERLINK("Melting_Curves/meltCurve_Q9UGL1_KDM5B.pdf", "Melting_Curves/meltCurve_Q9UGL1_KDM5B.pdf")</f>
        <v>Melting_Curves/meltCurve_Q9UGL1_KDM5B.pdf</v>
      </c>
    </row>
    <row r="6335" spans="1:28" x14ac:dyDescent="0.25">
      <c r="A6335" t="s">
        <v>6339</v>
      </c>
      <c r="B6335">
        <v>0.995954080203443</v>
      </c>
      <c r="C6335">
        <v>0.94677740449602099</v>
      </c>
      <c r="D6335">
        <v>0.94025041455858904</v>
      </c>
      <c r="E6335">
        <v>0.89225832498393198</v>
      </c>
      <c r="F6335">
        <v>0.91813923863858304</v>
      </c>
      <c r="G6335">
        <v>0.69531678639979599</v>
      </c>
      <c r="H6335">
        <v>0.70214071311216497</v>
      </c>
      <c r="I6335">
        <v>0.83486893941915596</v>
      </c>
      <c r="J6335">
        <v>1.01313423369726</v>
      </c>
      <c r="K6335">
        <v>1.0022504547226001</v>
      </c>
      <c r="L6335">
        <v>921.71872057931296</v>
      </c>
      <c r="M6335">
        <v>20.159417522256899</v>
      </c>
      <c r="O6335">
        <v>45.278729060036099</v>
      </c>
      <c r="P6335">
        <v>-1.5479310544008E-2</v>
      </c>
      <c r="Q6335">
        <v>0.86093618207120304</v>
      </c>
      <c r="R6335">
        <v>0.17108379054821299</v>
      </c>
      <c r="S6335" t="s">
        <v>13141</v>
      </c>
      <c r="T6335" t="s">
        <v>13610</v>
      </c>
      <c r="U6335" t="s">
        <v>13610</v>
      </c>
      <c r="V6335" t="s">
        <v>13610</v>
      </c>
      <c r="W6335" t="s">
        <v>19869</v>
      </c>
      <c r="X6335">
        <v>11</v>
      </c>
      <c r="Y6335" t="s">
        <v>26413</v>
      </c>
      <c r="Z6335" t="s">
        <v>33190</v>
      </c>
      <c r="AA6335">
        <v>0.88961374444743235</v>
      </c>
      <c r="AB6335" t="str">
        <f>HYPERLINK("Melting_Curves/meltCurve_Q9UGP4_LIMD1.pdf", "Melting_Curves/meltCurve_Q9UGP4_LIMD1.pdf")</f>
        <v>Melting_Curves/meltCurve_Q9UGP4_LIMD1.pdf</v>
      </c>
    </row>
    <row r="6336" spans="1:28" x14ac:dyDescent="0.25">
      <c r="A6336" t="s">
        <v>6340</v>
      </c>
      <c r="B6336">
        <v>0.995954080203443</v>
      </c>
      <c r="C6336">
        <v>0.83758955722475703</v>
      </c>
      <c r="D6336">
        <v>0.67425384265342603</v>
      </c>
      <c r="E6336">
        <v>0.79058224424228996</v>
      </c>
      <c r="F6336">
        <v>0.332019526465824</v>
      </c>
      <c r="G6336">
        <v>0.165711326285331</v>
      </c>
      <c r="H6336">
        <v>0.111635277936906</v>
      </c>
      <c r="I6336">
        <v>9.6058019274031806E-2</v>
      </c>
      <c r="J6336">
        <v>0.107482696407999</v>
      </c>
      <c r="K6336">
        <v>7.8753685865616999E-2</v>
      </c>
      <c r="L6336">
        <v>600.89465570798598</v>
      </c>
      <c r="M6336">
        <v>11.7615711589009</v>
      </c>
      <c r="N6336">
        <v>51.208834771477498</v>
      </c>
      <c r="O6336">
        <v>49.679846508294901</v>
      </c>
      <c r="P6336">
        <v>-5.8403000140236402E-2</v>
      </c>
      <c r="Q6336">
        <v>1.3500480762994401E-2</v>
      </c>
      <c r="R6336">
        <v>0.93223031838244397</v>
      </c>
      <c r="S6336" t="s">
        <v>13142</v>
      </c>
      <c r="T6336" t="s">
        <v>13610</v>
      </c>
      <c r="U6336" t="s">
        <v>13610</v>
      </c>
      <c r="V6336" t="s">
        <v>13610</v>
      </c>
      <c r="W6336" t="s">
        <v>19870</v>
      </c>
      <c r="X6336">
        <v>5</v>
      </c>
      <c r="Y6336" t="s">
        <v>26414</v>
      </c>
      <c r="Z6336" t="s">
        <v>33191</v>
      </c>
      <c r="AA6336">
        <v>0.41108066409470628</v>
      </c>
      <c r="AB6336" t="str">
        <f>HYPERLINK("Melting_Curves/meltCurve_Q9UGP8_SEC63.pdf", "Melting_Curves/meltCurve_Q9UGP8_SEC63.pdf")</f>
        <v>Melting_Curves/meltCurve_Q9UGP8_SEC63.pdf</v>
      </c>
    </row>
    <row r="6337" spans="1:28" x14ac:dyDescent="0.25">
      <c r="A6337" t="s">
        <v>6341</v>
      </c>
      <c r="B6337">
        <v>0.995954080203443</v>
      </c>
      <c r="C6337">
        <v>0.93846773605112799</v>
      </c>
      <c r="D6337">
        <v>0.64552953648907796</v>
      </c>
      <c r="E6337">
        <v>0.50058222630984595</v>
      </c>
      <c r="F6337">
        <v>0.27396669998772699</v>
      </c>
      <c r="G6337">
        <v>0.16942493817594401</v>
      </c>
      <c r="H6337">
        <v>0.13083112527152599</v>
      </c>
      <c r="I6337">
        <v>0.12349410586449899</v>
      </c>
      <c r="J6337">
        <v>0.128800741367672</v>
      </c>
      <c r="K6337">
        <v>0.13101322778845301</v>
      </c>
      <c r="L6337">
        <v>755.85147096898697</v>
      </c>
      <c r="M6337">
        <v>15.644932322443999</v>
      </c>
      <c r="N6337">
        <v>49.091970035963897</v>
      </c>
      <c r="O6337">
        <v>47.544171272713101</v>
      </c>
      <c r="P6337">
        <v>-7.3227818620913002E-2</v>
      </c>
      <c r="Q6337">
        <v>0.10993341802713801</v>
      </c>
      <c r="R6337">
        <v>0.98761246651726098</v>
      </c>
      <c r="S6337" t="s">
        <v>13143</v>
      </c>
      <c r="T6337" t="s">
        <v>13610</v>
      </c>
      <c r="U6337" t="s">
        <v>13610</v>
      </c>
      <c r="V6337" t="s">
        <v>13610</v>
      </c>
      <c r="W6337" t="s">
        <v>19871</v>
      </c>
      <c r="X6337">
        <v>2</v>
      </c>
      <c r="Y6337" t="s">
        <v>26415</v>
      </c>
      <c r="Z6337" t="s">
        <v>33192</v>
      </c>
      <c r="AA6337">
        <v>0.377355597421205</v>
      </c>
      <c r="AB6337" t="str">
        <f>HYPERLINK("Melting_Curves/meltCurve_Q9UGR2_2_ZC3H7B.pdf", "Melting_Curves/meltCurve_Q9UGR2_2_ZC3H7B.pdf")</f>
        <v>Melting_Curves/meltCurve_Q9UGR2_2_ZC3H7B.pdf</v>
      </c>
    </row>
    <row r="6338" spans="1:28" x14ac:dyDescent="0.25">
      <c r="A6338" t="s">
        <v>6342</v>
      </c>
      <c r="B6338">
        <v>0.995954080203443</v>
      </c>
      <c r="C6338">
        <v>0.989042044204683</v>
      </c>
      <c r="D6338">
        <v>1.0045762275129899</v>
      </c>
      <c r="E6338">
        <v>0.94216918931583005</v>
      </c>
      <c r="F6338">
        <v>0.914635386409546</v>
      </c>
      <c r="G6338">
        <v>0.74577777584171501</v>
      </c>
      <c r="H6338">
        <v>0.70552236732072504</v>
      </c>
      <c r="I6338">
        <v>0.83407847911752298</v>
      </c>
      <c r="J6338">
        <v>0.99445949670383504</v>
      </c>
      <c r="K6338">
        <v>1.0003854361301201</v>
      </c>
      <c r="L6338">
        <v>2014.6339518656</v>
      </c>
      <c r="M6338">
        <v>39.587917240213599</v>
      </c>
      <c r="O6338">
        <v>50.760799193691497</v>
      </c>
      <c r="P6338">
        <v>-2.72449282120606E-2</v>
      </c>
      <c r="Q6338">
        <v>0.86026332885476897</v>
      </c>
      <c r="R6338">
        <v>0.31986958094832801</v>
      </c>
      <c r="S6338" t="s">
        <v>13144</v>
      </c>
      <c r="T6338" t="s">
        <v>13610</v>
      </c>
      <c r="U6338" t="s">
        <v>13610</v>
      </c>
      <c r="V6338" t="s">
        <v>13610</v>
      </c>
      <c r="W6338" t="s">
        <v>19872</v>
      </c>
      <c r="X6338">
        <v>21</v>
      </c>
      <c r="Y6338" t="s">
        <v>26416</v>
      </c>
      <c r="Z6338" t="s">
        <v>33193</v>
      </c>
      <c r="AA6338">
        <v>0.91149020998072328</v>
      </c>
      <c r="AB6338" t="str">
        <f>HYPERLINK("Melting_Curves/meltCurve_Q9UGU0_2_TCF20.pdf", "Melting_Curves/meltCurve_Q9UGU0_2_TCF20.pdf")</f>
        <v>Melting_Curves/meltCurve_Q9UGU0_2_TCF20.pdf</v>
      </c>
    </row>
    <row r="6339" spans="1:28" x14ac:dyDescent="0.25">
      <c r="A6339" t="s">
        <v>6343</v>
      </c>
      <c r="B6339">
        <v>0.995954080203443</v>
      </c>
      <c r="C6339">
        <v>0.98397099480982897</v>
      </c>
      <c r="D6339">
        <v>0.974288201711487</v>
      </c>
      <c r="E6339">
        <v>1.02383694593397</v>
      </c>
      <c r="F6339">
        <v>1.0220415267293801</v>
      </c>
      <c r="G6339">
        <v>0.72326049749649701</v>
      </c>
      <c r="H6339">
        <v>0.70300539936564799</v>
      </c>
      <c r="I6339">
        <v>0.92686634311453497</v>
      </c>
      <c r="J6339">
        <v>1.1502112498030701</v>
      </c>
      <c r="K6339">
        <v>1.0512093499019399</v>
      </c>
      <c r="L6339">
        <v>2382.5556752734301</v>
      </c>
      <c r="M6339">
        <v>35.519255997037703</v>
      </c>
      <c r="O6339">
        <v>66.866306673287994</v>
      </c>
      <c r="P6339">
        <v>1.3504234960657301E-2</v>
      </c>
      <c r="Q6339">
        <v>1.1016885355125901</v>
      </c>
      <c r="R6339">
        <v>-5.6779527975949998E-2</v>
      </c>
      <c r="S6339" t="s">
        <v>13145</v>
      </c>
      <c r="T6339" t="s">
        <v>13610</v>
      </c>
      <c r="U6339" t="s">
        <v>13610</v>
      </c>
      <c r="V6339" t="s">
        <v>13610</v>
      </c>
      <c r="W6339" t="s">
        <v>19873</v>
      </c>
      <c r="X6339">
        <v>2</v>
      </c>
      <c r="Y6339" t="s">
        <v>26417</v>
      </c>
      <c r="Z6339" t="s">
        <v>33194</v>
      </c>
      <c r="AA6339">
        <v>1.010828841129908</v>
      </c>
      <c r="AB6339" t="str">
        <f>HYPERLINK("Melting_Curves/meltCurve_Q9UGU5_HMGXB4.pdf", "Melting_Curves/meltCurve_Q9UGU5_HMGXB4.pdf")</f>
        <v>Melting_Curves/meltCurve_Q9UGU5_HMGXB4.pdf</v>
      </c>
    </row>
    <row r="6340" spans="1:28" x14ac:dyDescent="0.25">
      <c r="A6340" t="s">
        <v>6344</v>
      </c>
      <c r="B6340">
        <v>0.995954080203443</v>
      </c>
      <c r="C6340">
        <v>1.0162396807096701</v>
      </c>
      <c r="D6340">
        <v>0.95135387027225804</v>
      </c>
      <c r="E6340">
        <v>0.84818371413239801</v>
      </c>
      <c r="F6340">
        <v>0.51057382375049698</v>
      </c>
      <c r="G6340">
        <v>0.185268822854086</v>
      </c>
      <c r="H6340">
        <v>9.7223819667542996E-2</v>
      </c>
      <c r="I6340">
        <v>7.4334592230414998E-2</v>
      </c>
      <c r="J6340">
        <v>6.4015050044000404E-2</v>
      </c>
      <c r="K6340">
        <v>5.0963289539839599E-2</v>
      </c>
      <c r="L6340">
        <v>1397.9622591469899</v>
      </c>
      <c r="M6340">
        <v>26.4251699534185</v>
      </c>
      <c r="N6340">
        <v>53.164290225911103</v>
      </c>
      <c r="O6340">
        <v>52.602498488176501</v>
      </c>
      <c r="P6340">
        <v>-0.117933433462454</v>
      </c>
      <c r="Q6340">
        <v>6.0967052858423097E-2</v>
      </c>
      <c r="R6340">
        <v>0.99889644630605201</v>
      </c>
      <c r="S6340" t="s">
        <v>13146</v>
      </c>
      <c r="T6340" t="s">
        <v>13610</v>
      </c>
      <c r="U6340" t="s">
        <v>13610</v>
      </c>
      <c r="V6340" t="s">
        <v>13610</v>
      </c>
      <c r="W6340" t="s">
        <v>19874</v>
      </c>
      <c r="X6340">
        <v>9</v>
      </c>
      <c r="Y6340" t="s">
        <v>26418</v>
      </c>
      <c r="Z6340" t="s">
        <v>33195</v>
      </c>
      <c r="AA6340">
        <v>0.47261212623375898</v>
      </c>
      <c r="AB6340" t="str">
        <f>HYPERLINK("Melting_Curves/meltCurve_Q9UGV2_NDRG3.pdf", "Melting_Curves/meltCurve_Q9UGV2_NDRG3.pdf")</f>
        <v>Melting_Curves/meltCurve_Q9UGV2_NDRG3.pdf</v>
      </c>
    </row>
    <row r="6341" spans="1:28" x14ac:dyDescent="0.25">
      <c r="A6341" t="s">
        <v>6345</v>
      </c>
      <c r="B6341">
        <v>0.995954080203443</v>
      </c>
      <c r="C6341">
        <v>0.83074116124917696</v>
      </c>
      <c r="D6341">
        <v>0.78518731951612897</v>
      </c>
      <c r="E6341">
        <v>0.78763077453251196</v>
      </c>
      <c r="F6341">
        <v>0.65161003271837303</v>
      </c>
      <c r="G6341">
        <v>0.43999744378177003</v>
      </c>
      <c r="H6341">
        <v>0.43552540006234097</v>
      </c>
      <c r="I6341">
        <v>0.37276410861857801</v>
      </c>
      <c r="J6341">
        <v>0.59057380974256102</v>
      </c>
      <c r="K6341">
        <v>0.51214241686943696</v>
      </c>
      <c r="L6341">
        <v>549.97761949636197</v>
      </c>
      <c r="M6341">
        <v>11.230517627650499</v>
      </c>
      <c r="N6341">
        <v>60.509131061514502</v>
      </c>
      <c r="O6341">
        <v>47.495985146239697</v>
      </c>
      <c r="P6341">
        <v>-3.3039552084558999E-2</v>
      </c>
      <c r="Q6341">
        <v>0.44125194590813899</v>
      </c>
      <c r="R6341">
        <v>0.83623887315852297</v>
      </c>
      <c r="S6341" t="s">
        <v>13147</v>
      </c>
      <c r="T6341" t="s">
        <v>13610</v>
      </c>
      <c r="U6341" t="s">
        <v>13610</v>
      </c>
      <c r="V6341" t="s">
        <v>13610</v>
      </c>
      <c r="W6341" t="s">
        <v>19875</v>
      </c>
      <c r="X6341">
        <v>5</v>
      </c>
      <c r="Y6341" t="s">
        <v>26419</v>
      </c>
      <c r="Z6341" t="s">
        <v>33196</v>
      </c>
      <c r="AA6341">
        <v>0.63127470331859548</v>
      </c>
      <c r="AB6341" t="str">
        <f>HYPERLINK("Melting_Curves/meltCurve_Q9UGY1_NOL12.pdf", "Melting_Curves/meltCurve_Q9UGY1_NOL12.pdf")</f>
        <v>Melting_Curves/meltCurve_Q9UGY1_NOL12.pdf</v>
      </c>
    </row>
    <row r="6342" spans="1:28" x14ac:dyDescent="0.25">
      <c r="A6342" t="s">
        <v>6346</v>
      </c>
      <c r="B6342">
        <v>0.995954080203443</v>
      </c>
      <c r="C6342">
        <v>0.87834302823775301</v>
      </c>
      <c r="D6342">
        <v>0.52188102130848701</v>
      </c>
      <c r="E6342">
        <v>0.302545816908665</v>
      </c>
      <c r="F6342">
        <v>0.148051234384251</v>
      </c>
      <c r="G6342">
        <v>8.4375157604688097E-2</v>
      </c>
      <c r="H6342">
        <v>5.12591420009057E-2</v>
      </c>
      <c r="I6342">
        <v>4.1699583770732303E-2</v>
      </c>
      <c r="J6342">
        <v>4.0294988186874797E-2</v>
      </c>
      <c r="K6342">
        <v>2.8058806188529802E-2</v>
      </c>
      <c r="L6342">
        <v>843.32843907961103</v>
      </c>
      <c r="M6342">
        <v>18.063400105607101</v>
      </c>
      <c r="N6342">
        <v>46.9058097884894</v>
      </c>
      <c r="O6342">
        <v>46.126234030408902</v>
      </c>
      <c r="P6342">
        <v>-9.3953191075654294E-2</v>
      </c>
      <c r="Q6342">
        <v>4.0381231529900002E-2</v>
      </c>
      <c r="R6342">
        <v>0.99240443650947696</v>
      </c>
      <c r="S6342" t="s">
        <v>13148</v>
      </c>
      <c r="T6342" t="s">
        <v>13610</v>
      </c>
      <c r="U6342" t="s">
        <v>13610</v>
      </c>
      <c r="V6342" t="s">
        <v>13610</v>
      </c>
      <c r="W6342" t="s">
        <v>19876</v>
      </c>
      <c r="X6342">
        <v>9</v>
      </c>
      <c r="Y6342" t="s">
        <v>26420</v>
      </c>
      <c r="Z6342" t="s">
        <v>33197</v>
      </c>
      <c r="AA6342">
        <v>0.27214578897533259</v>
      </c>
      <c r="AB6342" t="str">
        <f>HYPERLINK("Melting_Curves/meltCurve_Q9UH62_ARMCX3.pdf", "Melting_Curves/meltCurve_Q9UH62_ARMCX3.pdf")</f>
        <v>Melting_Curves/meltCurve_Q9UH62_ARMCX3.pdf</v>
      </c>
    </row>
    <row r="6343" spans="1:28" x14ac:dyDescent="0.25">
      <c r="A6343" t="s">
        <v>6347</v>
      </c>
      <c r="B6343">
        <v>0.995954080203443</v>
      </c>
      <c r="C6343">
        <v>1.0379022367930899</v>
      </c>
      <c r="D6343">
        <v>1.0056788851894201</v>
      </c>
      <c r="E6343">
        <v>0.85438826225387099</v>
      </c>
      <c r="F6343">
        <v>0.595665466543703</v>
      </c>
      <c r="G6343">
        <v>0.210993257608935</v>
      </c>
      <c r="H6343">
        <v>0.122193705224629</v>
      </c>
      <c r="I6343">
        <v>0.12524875198138599</v>
      </c>
      <c r="J6343">
        <v>0.13387542287912199</v>
      </c>
      <c r="K6343">
        <v>0.138415217585177</v>
      </c>
      <c r="L6343">
        <v>1568.2533268969501</v>
      </c>
      <c r="M6343">
        <v>29.517510394359402</v>
      </c>
      <c r="N6343">
        <v>53.634820264727097</v>
      </c>
      <c r="O6343">
        <v>52.887529257544301</v>
      </c>
      <c r="P6343">
        <v>-0.12259592120010999</v>
      </c>
      <c r="Q6343">
        <v>0.121368945692476</v>
      </c>
      <c r="R6343">
        <v>0.99761779790579896</v>
      </c>
      <c r="S6343" t="s">
        <v>13149</v>
      </c>
      <c r="T6343" t="s">
        <v>13610</v>
      </c>
      <c r="U6343" t="s">
        <v>13610</v>
      </c>
      <c r="V6343" t="s">
        <v>13610</v>
      </c>
      <c r="W6343" t="s">
        <v>19877</v>
      </c>
      <c r="X6343">
        <v>11</v>
      </c>
      <c r="Y6343" t="s">
        <v>26421</v>
      </c>
      <c r="Z6343" t="s">
        <v>33198</v>
      </c>
      <c r="AA6343">
        <v>0.51179635515474386</v>
      </c>
      <c r="AB6343" t="str">
        <f>HYPERLINK("Melting_Curves/meltCurve_Q9UH65_SWAP70.pdf", "Melting_Curves/meltCurve_Q9UH65_SWAP70.pdf")</f>
        <v>Melting_Curves/meltCurve_Q9UH65_SWAP70.pdf</v>
      </c>
    </row>
    <row r="6344" spans="1:28" x14ac:dyDescent="0.25">
      <c r="A6344" t="s">
        <v>6348</v>
      </c>
      <c r="B6344">
        <v>0.995954080203443</v>
      </c>
      <c r="C6344">
        <v>1.0345972355855799</v>
      </c>
      <c r="D6344">
        <v>0.93092463425051397</v>
      </c>
      <c r="E6344">
        <v>0.60518765937069996</v>
      </c>
      <c r="F6344">
        <v>0.33291629115006999</v>
      </c>
      <c r="G6344">
        <v>0.23137158494741999</v>
      </c>
      <c r="H6344">
        <v>0.232966771142295</v>
      </c>
      <c r="I6344">
        <v>0.258687746713049</v>
      </c>
      <c r="J6344">
        <v>0.28719541569277102</v>
      </c>
      <c r="K6344">
        <v>0.29313303782949202</v>
      </c>
      <c r="L6344">
        <v>1698.4951509453499</v>
      </c>
      <c r="M6344">
        <v>34.149943396157497</v>
      </c>
      <c r="N6344">
        <v>50.817455616398497</v>
      </c>
      <c r="O6344">
        <v>49.566776765958501</v>
      </c>
      <c r="P6344">
        <v>-0.12777023754879599</v>
      </c>
      <c r="Q6344">
        <v>0.25819682838139801</v>
      </c>
      <c r="R6344">
        <v>0.99396288548234502</v>
      </c>
      <c r="S6344" t="s">
        <v>13150</v>
      </c>
      <c r="T6344" t="s">
        <v>13610</v>
      </c>
      <c r="U6344" t="s">
        <v>13610</v>
      </c>
      <c r="V6344" t="s">
        <v>13610</v>
      </c>
      <c r="W6344" t="s">
        <v>19878</v>
      </c>
      <c r="X6344">
        <v>2</v>
      </c>
      <c r="Y6344" t="s">
        <v>26422</v>
      </c>
      <c r="Z6344" t="s">
        <v>33199</v>
      </c>
      <c r="AA6344">
        <v>0.50245954731559828</v>
      </c>
      <c r="AB6344" t="str">
        <f>HYPERLINK("Melting_Curves/meltCurve_Q9UH90_FBXO40.pdf", "Melting_Curves/meltCurve_Q9UH90_FBXO40.pdf")</f>
        <v>Melting_Curves/meltCurve_Q9UH90_FBXO40.pdf</v>
      </c>
    </row>
    <row r="6345" spans="1:28" x14ac:dyDescent="0.25">
      <c r="A6345" t="s">
        <v>6349</v>
      </c>
      <c r="B6345">
        <v>0.995954080203443</v>
      </c>
      <c r="C6345">
        <v>0.84587031921089995</v>
      </c>
      <c r="D6345">
        <v>0.97992816005430206</v>
      </c>
      <c r="E6345">
        <v>0.78508095259285804</v>
      </c>
      <c r="F6345">
        <v>0.71122863602348996</v>
      </c>
      <c r="G6345">
        <v>0.27597752895678102</v>
      </c>
      <c r="H6345">
        <v>0.25238121352152798</v>
      </c>
      <c r="I6345">
        <v>0.30844971519434999</v>
      </c>
      <c r="J6345">
        <v>0.341531108426404</v>
      </c>
      <c r="K6345">
        <v>0.33298908859615001</v>
      </c>
      <c r="L6345">
        <v>1400.0503658479299</v>
      </c>
      <c r="M6345">
        <v>26.578603882024701</v>
      </c>
      <c r="N6345">
        <v>54.449613191605899</v>
      </c>
      <c r="O6345">
        <v>52.380362994058103</v>
      </c>
      <c r="P6345">
        <v>-9.0111623875433894E-2</v>
      </c>
      <c r="Q6345">
        <v>0.28964975208634403</v>
      </c>
      <c r="R6345">
        <v>0.93537861409269996</v>
      </c>
      <c r="S6345" t="s">
        <v>13151</v>
      </c>
      <c r="T6345" t="s">
        <v>13610</v>
      </c>
      <c r="U6345" t="s">
        <v>13610</v>
      </c>
      <c r="V6345" t="s">
        <v>13610</v>
      </c>
      <c r="W6345" t="s">
        <v>19879</v>
      </c>
      <c r="X6345">
        <v>4</v>
      </c>
      <c r="Y6345" t="s">
        <v>26423</v>
      </c>
      <c r="Z6345" t="s">
        <v>33200</v>
      </c>
      <c r="AA6345">
        <v>0.59559720515829062</v>
      </c>
      <c r="AB6345" t="str">
        <f>HYPERLINK("Melting_Curves/meltCurve_Q9UH92_2_MLX.pdf", "Melting_Curves/meltCurve_Q9UH92_2_MLX.pdf")</f>
        <v>Melting_Curves/meltCurve_Q9UH92_2_MLX.pdf</v>
      </c>
    </row>
    <row r="6346" spans="1:28" x14ac:dyDescent="0.25">
      <c r="A6346" t="s">
        <v>6350</v>
      </c>
      <c r="B6346">
        <v>0.995954080203443</v>
      </c>
      <c r="C6346">
        <v>0.93223021943760298</v>
      </c>
      <c r="D6346">
        <v>1.25145829194273</v>
      </c>
      <c r="E6346">
        <v>0.81749892753547504</v>
      </c>
      <c r="F6346">
        <v>0.77611068704564701</v>
      </c>
      <c r="G6346">
        <v>0.71554214257944404</v>
      </c>
      <c r="H6346">
        <v>0.57733146032244198</v>
      </c>
      <c r="I6346">
        <v>0.72337773033257902</v>
      </c>
      <c r="J6346">
        <v>0.71078385856814696</v>
      </c>
      <c r="K6346">
        <v>0.75465991649034203</v>
      </c>
      <c r="L6346">
        <v>4570.8810219317002</v>
      </c>
      <c r="M6346">
        <v>91.917149626537196</v>
      </c>
      <c r="O6346">
        <v>49.704747179183101</v>
      </c>
      <c r="P6346">
        <v>-0.13439928303722501</v>
      </c>
      <c r="Q6346">
        <v>0.709291164565374</v>
      </c>
      <c r="R6346">
        <v>0.71845990206615695</v>
      </c>
      <c r="S6346" t="s">
        <v>13152</v>
      </c>
      <c r="T6346" t="s">
        <v>13610</v>
      </c>
      <c r="U6346" t="s">
        <v>13610</v>
      </c>
      <c r="V6346" t="s">
        <v>13610</v>
      </c>
      <c r="W6346" t="s">
        <v>19880</v>
      </c>
      <c r="X6346">
        <v>1</v>
      </c>
      <c r="Y6346" t="s">
        <v>26424</v>
      </c>
      <c r="Z6346" t="s">
        <v>33201</v>
      </c>
      <c r="AA6346">
        <v>0.80374893391972024</v>
      </c>
      <c r="AB6346" t="str">
        <f>HYPERLINK("Melting_Curves/meltCurve_Q9UHA3_RSL24D1.pdf", "Melting_Curves/meltCurve_Q9UHA3_RSL24D1.pdf")</f>
        <v>Melting_Curves/meltCurve_Q9UHA3_RSL24D1.pdf</v>
      </c>
    </row>
    <row r="6347" spans="1:28" x14ac:dyDescent="0.25">
      <c r="A6347" t="s">
        <v>6351</v>
      </c>
      <c r="B6347">
        <v>0.995954080203443</v>
      </c>
      <c r="C6347">
        <v>1.010204372524</v>
      </c>
      <c r="D6347">
        <v>1.0286076642552899</v>
      </c>
      <c r="E6347">
        <v>0.92322915979914399</v>
      </c>
      <c r="F6347">
        <v>0.867627891452325</v>
      </c>
      <c r="G6347">
        <v>0.66119656599827603</v>
      </c>
      <c r="H6347">
        <v>0.45079934563415802</v>
      </c>
      <c r="I6347">
        <v>0.32102335243444302</v>
      </c>
      <c r="J6347">
        <v>0.17180400437654</v>
      </c>
      <c r="K6347">
        <v>0.10551946691481601</v>
      </c>
      <c r="L6347">
        <v>837.87013230345599</v>
      </c>
      <c r="M6347">
        <v>13.963516662399501</v>
      </c>
      <c r="N6347">
        <v>60.004234954177399</v>
      </c>
      <c r="O6347">
        <v>58.813754224000697</v>
      </c>
      <c r="P6347">
        <v>-5.9362749039851802E-2</v>
      </c>
      <c r="Q6347">
        <v>0</v>
      </c>
      <c r="R6347">
        <v>0.99674764518938996</v>
      </c>
      <c r="S6347" t="s">
        <v>13153</v>
      </c>
      <c r="T6347" t="s">
        <v>13610</v>
      </c>
      <c r="U6347" t="s">
        <v>13610</v>
      </c>
      <c r="V6347" t="s">
        <v>13610</v>
      </c>
      <c r="W6347" t="s">
        <v>19881</v>
      </c>
      <c r="X6347">
        <v>4</v>
      </c>
      <c r="Y6347" t="s">
        <v>26425</v>
      </c>
      <c r="Z6347" t="s">
        <v>33202</v>
      </c>
      <c r="AA6347">
        <v>0.67258437013834016</v>
      </c>
      <c r="AB6347" t="str">
        <f>HYPERLINK("Melting_Curves/meltCurve_Q9UHA4_LAMTOR3.pdf", "Melting_Curves/meltCurve_Q9UHA4_LAMTOR3.pdf")</f>
        <v>Melting_Curves/meltCurve_Q9UHA4_LAMTOR3.pdf</v>
      </c>
    </row>
    <row r="6348" spans="1:28" x14ac:dyDescent="0.25">
      <c r="A6348" t="s">
        <v>6352</v>
      </c>
      <c r="B6348">
        <v>0.995954080203443</v>
      </c>
      <c r="C6348">
        <v>0.97578565457543398</v>
      </c>
      <c r="D6348">
        <v>1.00698267778966</v>
      </c>
      <c r="E6348">
        <v>0.90185009254469295</v>
      </c>
      <c r="F6348">
        <v>0.90305721662029104</v>
      </c>
      <c r="G6348">
        <v>0.67296109826031303</v>
      </c>
      <c r="H6348">
        <v>0.63381347334262195</v>
      </c>
      <c r="I6348">
        <v>0.81080445882608698</v>
      </c>
      <c r="J6348">
        <v>0.877204793604626</v>
      </c>
      <c r="K6348">
        <v>0.95284706712794198</v>
      </c>
      <c r="L6348">
        <v>1680.60571745524</v>
      </c>
      <c r="M6348">
        <v>32.957682560504701</v>
      </c>
      <c r="O6348">
        <v>50.806198850305897</v>
      </c>
      <c r="P6348">
        <v>-3.2991973610557002E-2</v>
      </c>
      <c r="Q6348">
        <v>0.79656467245679297</v>
      </c>
      <c r="R6348">
        <v>0.47659055378991599</v>
      </c>
      <c r="S6348" t="s">
        <v>13154</v>
      </c>
      <c r="T6348" t="s">
        <v>13610</v>
      </c>
      <c r="U6348" t="s">
        <v>13610</v>
      </c>
      <c r="V6348" t="s">
        <v>13610</v>
      </c>
      <c r="W6348" t="s">
        <v>19882</v>
      </c>
      <c r="X6348">
        <v>37</v>
      </c>
      <c r="Y6348" t="s">
        <v>26426</v>
      </c>
      <c r="Z6348" t="s">
        <v>33203</v>
      </c>
      <c r="AA6348">
        <v>0.87216800142496775</v>
      </c>
      <c r="AB6348" t="str">
        <f>HYPERLINK("Melting_Curves/meltCurve_Q9UHB6_LIMA1.pdf", "Melting_Curves/meltCurve_Q9UHB6_LIMA1.pdf")</f>
        <v>Melting_Curves/meltCurve_Q9UHB6_LIMA1.pdf</v>
      </c>
    </row>
    <row r="6349" spans="1:28" x14ac:dyDescent="0.25">
      <c r="A6349" t="s">
        <v>6353</v>
      </c>
      <c r="B6349">
        <v>0.995954080203443</v>
      </c>
      <c r="C6349">
        <v>0.85569530780519798</v>
      </c>
      <c r="D6349">
        <v>1.1982745674776001</v>
      </c>
      <c r="E6349">
        <v>0.97452090461297403</v>
      </c>
      <c r="F6349">
        <v>1.2233932714684801</v>
      </c>
      <c r="G6349">
        <v>0.97663011594000204</v>
      </c>
      <c r="H6349">
        <v>0.97557910228621303</v>
      </c>
      <c r="I6349">
        <v>1.1645582856699499</v>
      </c>
      <c r="J6349">
        <v>1.3465088765290201</v>
      </c>
      <c r="K6349">
        <v>1.5546760086934399</v>
      </c>
      <c r="L6349">
        <v>3115.7382071993102</v>
      </c>
      <c r="M6349">
        <v>47.713594986248701</v>
      </c>
      <c r="O6349">
        <v>65.186452247761494</v>
      </c>
      <c r="P6349">
        <v>9.1494561524586196E-2</v>
      </c>
      <c r="Q6349">
        <v>1.5</v>
      </c>
      <c r="R6349">
        <v>0.70303569769834595</v>
      </c>
      <c r="S6349" t="s">
        <v>13155</v>
      </c>
      <c r="T6349" t="s">
        <v>13610</v>
      </c>
      <c r="U6349" t="s">
        <v>13610</v>
      </c>
      <c r="V6349" t="s">
        <v>13610</v>
      </c>
      <c r="W6349" t="s">
        <v>19883</v>
      </c>
      <c r="X6349">
        <v>36</v>
      </c>
      <c r="Y6349" t="s">
        <v>26426</v>
      </c>
      <c r="Z6349" t="s">
        <v>33204</v>
      </c>
      <c r="AA6349">
        <v>1.077831776848388</v>
      </c>
      <c r="AB6349" t="str">
        <f>HYPERLINK("Melting_Curves/meltCurve_Q9UHB6_4_LIMA1.pdf", "Melting_Curves/meltCurve_Q9UHB6_4_LIMA1.pdf")</f>
        <v>Melting_Curves/meltCurve_Q9UHB6_4_LIMA1.pdf</v>
      </c>
    </row>
    <row r="6350" spans="1:28" x14ac:dyDescent="0.25">
      <c r="A6350" t="s">
        <v>6354</v>
      </c>
      <c r="B6350">
        <v>0.995954080203443</v>
      </c>
      <c r="C6350">
        <v>0.97468202153381001</v>
      </c>
      <c r="D6350">
        <v>0.94403399886291195</v>
      </c>
      <c r="E6350">
        <v>0.830982431949845</v>
      </c>
      <c r="F6350">
        <v>0.87243449176403898</v>
      </c>
      <c r="G6350">
        <v>0.66067944406319201</v>
      </c>
      <c r="H6350">
        <v>0.65444720735387696</v>
      </c>
      <c r="I6350">
        <v>0.80604408499145597</v>
      </c>
      <c r="J6350">
        <v>0.95075022553537003</v>
      </c>
      <c r="K6350">
        <v>0.97509298209293405</v>
      </c>
      <c r="L6350">
        <v>1489.72148014304</v>
      </c>
      <c r="M6350">
        <v>31.713317308131199</v>
      </c>
      <c r="O6350">
        <v>46.789036591701297</v>
      </c>
      <c r="P6350">
        <v>-3.0908519776833999E-2</v>
      </c>
      <c r="Q6350">
        <v>0.81759432109371999</v>
      </c>
      <c r="R6350">
        <v>0.333399372471678</v>
      </c>
      <c r="S6350" t="s">
        <v>13156</v>
      </c>
      <c r="T6350" t="s">
        <v>13610</v>
      </c>
      <c r="U6350" t="s">
        <v>13610</v>
      </c>
      <c r="V6350" t="s">
        <v>13610</v>
      </c>
      <c r="W6350" t="s">
        <v>19884</v>
      </c>
      <c r="X6350">
        <v>28</v>
      </c>
      <c r="Y6350" t="s">
        <v>26427</v>
      </c>
      <c r="Z6350" t="s">
        <v>33205</v>
      </c>
      <c r="AA6350">
        <v>0.86097286499316084</v>
      </c>
      <c r="AB6350" t="str">
        <f>HYPERLINK("Melting_Curves/meltCurve_Q9UHB7_AFF4.pdf", "Melting_Curves/meltCurve_Q9UHB7_AFF4.pdf")</f>
        <v>Melting_Curves/meltCurve_Q9UHB7_AFF4.pdf</v>
      </c>
    </row>
    <row r="6351" spans="1:28" x14ac:dyDescent="0.25">
      <c r="A6351" t="s">
        <v>6355</v>
      </c>
      <c r="B6351">
        <v>0.995954080203443</v>
      </c>
      <c r="C6351">
        <v>0.79860088578863597</v>
      </c>
      <c r="D6351">
        <v>0.55191500236880597</v>
      </c>
      <c r="E6351">
        <v>0.33901503774775998</v>
      </c>
      <c r="F6351">
        <v>0.15232689106762001</v>
      </c>
      <c r="G6351">
        <v>7.1884066937521807E-2</v>
      </c>
      <c r="H6351">
        <v>4.3624319202777199E-2</v>
      </c>
      <c r="I6351">
        <v>3.6921053421667502E-2</v>
      </c>
      <c r="J6351">
        <v>3.82055936337342E-2</v>
      </c>
      <c r="K6351">
        <v>3.7696857663898298E-2</v>
      </c>
      <c r="L6351">
        <v>727.19516090338698</v>
      </c>
      <c r="M6351">
        <v>15.5092330977934</v>
      </c>
      <c r="N6351">
        <v>47.041748742769897</v>
      </c>
      <c r="O6351">
        <v>46.1291086831827</v>
      </c>
      <c r="P6351">
        <v>-8.1981946559832805E-2</v>
      </c>
      <c r="Q6351">
        <v>2.47309229637135E-2</v>
      </c>
      <c r="R6351">
        <v>0.99365735196711302</v>
      </c>
      <c r="S6351" t="s">
        <v>13157</v>
      </c>
      <c r="T6351" t="s">
        <v>13610</v>
      </c>
      <c r="U6351" t="s">
        <v>13610</v>
      </c>
      <c r="V6351" t="s">
        <v>13610</v>
      </c>
      <c r="W6351" t="s">
        <v>19885</v>
      </c>
      <c r="X6351">
        <v>27</v>
      </c>
      <c r="Y6351" t="s">
        <v>26428</v>
      </c>
      <c r="Z6351" t="s">
        <v>33206</v>
      </c>
      <c r="AA6351">
        <v>0.27354654634972481</v>
      </c>
      <c r="AB6351" t="str">
        <f>HYPERLINK("Melting_Curves/meltCurve_Q9UHB9_SRP68.pdf", "Melting_Curves/meltCurve_Q9UHB9_SRP68.pdf")</f>
        <v>Melting_Curves/meltCurve_Q9UHB9_SRP68.pdf</v>
      </c>
    </row>
    <row r="6352" spans="1:28" x14ac:dyDescent="0.25">
      <c r="A6352" t="s">
        <v>6356</v>
      </c>
      <c r="B6352">
        <v>0.995954080203443</v>
      </c>
      <c r="C6352">
        <v>0.96826839853048297</v>
      </c>
      <c r="D6352">
        <v>0.93958037659619797</v>
      </c>
      <c r="E6352">
        <v>0.79058049307557698</v>
      </c>
      <c r="F6352">
        <v>0.40200902160143998</v>
      </c>
      <c r="G6352">
        <v>0.16874043058454</v>
      </c>
      <c r="H6352">
        <v>0.11567907015625099</v>
      </c>
      <c r="I6352">
        <v>8.9046820068278701E-2</v>
      </c>
      <c r="J6352">
        <v>8.5383038963672497E-2</v>
      </c>
      <c r="K6352">
        <v>8.0699875853876502E-2</v>
      </c>
      <c r="L6352">
        <v>1458.8960082256001</v>
      </c>
      <c r="M6352">
        <v>28.0922250919166</v>
      </c>
      <c r="N6352">
        <v>52.294748632105097</v>
      </c>
      <c r="O6352">
        <v>51.671345160067098</v>
      </c>
      <c r="P6352">
        <v>-0.12389758630919299</v>
      </c>
      <c r="Q6352">
        <v>8.8445019214909701E-2</v>
      </c>
      <c r="R6352">
        <v>0.99779812649333</v>
      </c>
      <c r="S6352" t="s">
        <v>13158</v>
      </c>
      <c r="T6352" t="s">
        <v>13610</v>
      </c>
      <c r="U6352" t="s">
        <v>13610</v>
      </c>
      <c r="V6352" t="s">
        <v>13610</v>
      </c>
      <c r="W6352" t="s">
        <v>19886</v>
      </c>
      <c r="X6352">
        <v>17</v>
      </c>
      <c r="Y6352" t="s">
        <v>26429</v>
      </c>
      <c r="Z6352" t="s">
        <v>33207</v>
      </c>
      <c r="AA6352">
        <v>0.45763720551350351</v>
      </c>
      <c r="AB6352" t="str">
        <f>HYPERLINK("Melting_Curves/meltCurve_Q9UHD1_CHORDC1.pdf", "Melting_Curves/meltCurve_Q9UHD1_CHORDC1.pdf")</f>
        <v>Melting_Curves/meltCurve_Q9UHD1_CHORDC1.pdf</v>
      </c>
    </row>
    <row r="6353" spans="1:28" x14ac:dyDescent="0.25">
      <c r="A6353" t="s">
        <v>6357</v>
      </c>
      <c r="B6353">
        <v>0.995954080203443</v>
      </c>
      <c r="C6353">
        <v>0.68220309216540698</v>
      </c>
      <c r="D6353">
        <v>0.40489238793527299</v>
      </c>
      <c r="E6353">
        <v>0.198199829106112</v>
      </c>
      <c r="F6353">
        <v>0.119436253398959</v>
      </c>
      <c r="G6353">
        <v>6.8214133210266203E-2</v>
      </c>
      <c r="H6353">
        <v>4.3623549401872803E-2</v>
      </c>
      <c r="I6353">
        <v>3.7610616857763297E-2</v>
      </c>
      <c r="J6353">
        <v>4.1313421533414697E-2</v>
      </c>
      <c r="K6353">
        <v>4.0754090355018202E-2</v>
      </c>
      <c r="L6353">
        <v>854.10783401994195</v>
      </c>
      <c r="M6353">
        <v>19.025883044394501</v>
      </c>
      <c r="N6353">
        <v>45.130902450264898</v>
      </c>
      <c r="O6353">
        <v>44.404771177676103</v>
      </c>
      <c r="P6353">
        <v>-0.101986657234407</v>
      </c>
      <c r="Q6353">
        <v>4.7925479370723598E-2</v>
      </c>
      <c r="R6353">
        <v>0.989834451016814</v>
      </c>
      <c r="S6353" t="s">
        <v>13159</v>
      </c>
      <c r="T6353" t="s">
        <v>13610</v>
      </c>
      <c r="U6353" t="s">
        <v>13610</v>
      </c>
      <c r="V6353" t="s">
        <v>13610</v>
      </c>
      <c r="W6353" t="s">
        <v>19887</v>
      </c>
      <c r="X6353">
        <v>14</v>
      </c>
      <c r="Y6353" t="s">
        <v>26430</v>
      </c>
      <c r="Z6353" t="s">
        <v>33208</v>
      </c>
      <c r="AA6353">
        <v>0.22149464848530509</v>
      </c>
      <c r="AB6353" t="str">
        <f>HYPERLINK("Melting_Curves/meltCurve_Q9UHD2_TBK1.pdf", "Melting_Curves/meltCurve_Q9UHD2_TBK1.pdf")</f>
        <v>Melting_Curves/meltCurve_Q9UHD2_TBK1.pdf</v>
      </c>
    </row>
    <row r="6354" spans="1:28" x14ac:dyDescent="0.25">
      <c r="A6354" t="s">
        <v>6358</v>
      </c>
      <c r="B6354">
        <v>0.995954080203443</v>
      </c>
      <c r="C6354">
        <v>0.80966892445205796</v>
      </c>
      <c r="D6354">
        <v>0.723392069739767</v>
      </c>
      <c r="E6354">
        <v>0.78900861898136798</v>
      </c>
      <c r="F6354">
        <v>0.53692151517243802</v>
      </c>
      <c r="G6354">
        <v>0.19834399309741499</v>
      </c>
      <c r="H6354">
        <v>0.15284952401714599</v>
      </c>
      <c r="I6354">
        <v>0.16156354004690299</v>
      </c>
      <c r="J6354">
        <v>0.18492444810682901</v>
      </c>
      <c r="K6354">
        <v>0.180116467374829</v>
      </c>
      <c r="L6354">
        <v>581.58614936162598</v>
      </c>
      <c r="M6354">
        <v>11.2213653227201</v>
      </c>
      <c r="N6354">
        <v>52.603115698745398</v>
      </c>
      <c r="O6354">
        <v>50.264235493937001</v>
      </c>
      <c r="P6354">
        <v>-5.1577421251939197E-2</v>
      </c>
      <c r="Q6354">
        <v>7.6158804056244506E-2</v>
      </c>
      <c r="R6354">
        <v>0.92509165413723105</v>
      </c>
      <c r="S6354" t="s">
        <v>13160</v>
      </c>
      <c r="T6354" t="s">
        <v>13610</v>
      </c>
      <c r="U6354" t="s">
        <v>13610</v>
      </c>
      <c r="V6354" t="s">
        <v>13610</v>
      </c>
      <c r="W6354" t="s">
        <v>19888</v>
      </c>
      <c r="X6354">
        <v>40</v>
      </c>
      <c r="Y6354" t="s">
        <v>26431</v>
      </c>
      <c r="Z6354" t="s">
        <v>33209</v>
      </c>
      <c r="AA6354">
        <v>0.47155941944049051</v>
      </c>
      <c r="AB6354" t="str">
        <f>HYPERLINK("Melting_Curves/meltCurve_Q9UHD8_7_SEPT9.pdf", "Melting_Curves/meltCurve_Q9UHD8_7_SEPT9.pdf")</f>
        <v>Melting_Curves/meltCurve_Q9UHD8_7_SEPT9.pdf</v>
      </c>
    </row>
    <row r="6355" spans="1:28" x14ac:dyDescent="0.25">
      <c r="A6355" t="s">
        <v>6359</v>
      </c>
      <c r="B6355">
        <v>0.995954080203443</v>
      </c>
      <c r="C6355">
        <v>1.05412509153616</v>
      </c>
      <c r="D6355">
        <v>0.99945887710910797</v>
      </c>
      <c r="E6355">
        <v>0.90741822444749598</v>
      </c>
      <c r="F6355">
        <v>0.67667972944623</v>
      </c>
      <c r="G6355">
        <v>0.47802678475023402</v>
      </c>
      <c r="H6355">
        <v>0.403691358649441</v>
      </c>
      <c r="I6355">
        <v>0.454672026782522</v>
      </c>
      <c r="J6355">
        <v>0.453195939204523</v>
      </c>
      <c r="K6355">
        <v>0.486247391758305</v>
      </c>
      <c r="L6355">
        <v>1840.5788470477901</v>
      </c>
      <c r="M6355">
        <v>35.115844755887601</v>
      </c>
      <c r="N6355">
        <v>56.040366245517397</v>
      </c>
      <c r="O6355">
        <v>52.245392083251403</v>
      </c>
      <c r="P6355">
        <v>-9.2679210609067503E-2</v>
      </c>
      <c r="Q6355">
        <v>0.44844918306758602</v>
      </c>
      <c r="R6355">
        <v>0.98936999667759895</v>
      </c>
      <c r="S6355" t="s">
        <v>13161</v>
      </c>
      <c r="T6355" t="s">
        <v>13610</v>
      </c>
      <c r="U6355" t="s">
        <v>13610</v>
      </c>
      <c r="V6355" t="s">
        <v>13610</v>
      </c>
      <c r="W6355" t="s">
        <v>19889</v>
      </c>
      <c r="X6355">
        <v>11</v>
      </c>
      <c r="Y6355" t="s">
        <v>26432</v>
      </c>
      <c r="Z6355" t="s">
        <v>33210</v>
      </c>
      <c r="AA6355">
        <v>0.67928272186723793</v>
      </c>
      <c r="AB6355" t="str">
        <f>HYPERLINK("Melting_Curves/meltCurve_Q9UHD9_UBQLN2.pdf", "Melting_Curves/meltCurve_Q9UHD9_UBQLN2.pdf")</f>
        <v>Melting_Curves/meltCurve_Q9UHD9_UBQLN2.pdf</v>
      </c>
    </row>
    <row r="6356" spans="1:28" x14ac:dyDescent="0.25">
      <c r="A6356" t="s">
        <v>6360</v>
      </c>
      <c r="B6356">
        <v>0.995954080203443</v>
      </c>
      <c r="C6356">
        <v>1.03605440511863</v>
      </c>
      <c r="D6356">
        <v>1.54831850172486</v>
      </c>
      <c r="E6356">
        <v>1.0978334972949799</v>
      </c>
      <c r="F6356">
        <v>1.3020130099660101</v>
      </c>
      <c r="G6356">
        <v>0.76065589443835502</v>
      </c>
      <c r="H6356">
        <v>0.93467434389622295</v>
      </c>
      <c r="I6356">
        <v>1.0135658423203699</v>
      </c>
      <c r="J6356">
        <v>0.97969909506491204</v>
      </c>
      <c r="K6356">
        <v>1.53232267609855</v>
      </c>
      <c r="L6356">
        <v>15000</v>
      </c>
      <c r="M6356">
        <v>219.2613042612</v>
      </c>
      <c r="O6356">
        <v>68.405846156214295</v>
      </c>
      <c r="P6356">
        <v>0.400662661780257</v>
      </c>
      <c r="Q6356">
        <v>1.5</v>
      </c>
      <c r="R6356">
        <v>0.22782042706247899</v>
      </c>
      <c r="S6356" t="s">
        <v>13162</v>
      </c>
      <c r="T6356" t="s">
        <v>13610</v>
      </c>
      <c r="U6356" t="s">
        <v>13610</v>
      </c>
      <c r="V6356" t="s">
        <v>13610</v>
      </c>
      <c r="W6356" t="s">
        <v>19890</v>
      </c>
      <c r="X6356">
        <v>1</v>
      </c>
      <c r="Y6356" t="s">
        <v>26433</v>
      </c>
      <c r="Z6356" t="s">
        <v>33211</v>
      </c>
      <c r="AA6356">
        <v>1.0264343681012009</v>
      </c>
      <c r="AB6356" t="str">
        <f>HYPERLINK("Melting_Curves/meltCurve_Q9UHF1_EGFL7.pdf", "Melting_Curves/meltCurve_Q9UHF1_EGFL7.pdf")</f>
        <v>Melting_Curves/meltCurve_Q9UHF1_EGFL7.pdf</v>
      </c>
    </row>
    <row r="6357" spans="1:28" x14ac:dyDescent="0.25">
      <c r="A6357" t="s">
        <v>6361</v>
      </c>
      <c r="B6357">
        <v>0.995954080203443</v>
      </c>
      <c r="C6357">
        <v>1.0216306247676501</v>
      </c>
      <c r="D6357">
        <v>0.92594594665031305</v>
      </c>
      <c r="E6357">
        <v>0.62542315765668799</v>
      </c>
      <c r="F6357">
        <v>0.25947596298336301</v>
      </c>
      <c r="G6357">
        <v>0.15373967483596901</v>
      </c>
      <c r="H6357">
        <v>0.134907165795429</v>
      </c>
      <c r="I6357">
        <v>0.14938932450530501</v>
      </c>
      <c r="J6357">
        <v>0.16651940404305099</v>
      </c>
      <c r="K6357">
        <v>0.17150800613791001</v>
      </c>
      <c r="L6357">
        <v>1726.16665245069</v>
      </c>
      <c r="M6357">
        <v>34.3502818833283</v>
      </c>
      <c r="N6357">
        <v>50.781171053599202</v>
      </c>
      <c r="O6357">
        <v>50.082494860673002</v>
      </c>
      <c r="P6357">
        <v>-0.14566799474860501</v>
      </c>
      <c r="Q6357">
        <v>0.15047115646192599</v>
      </c>
      <c r="R6357">
        <v>0.997280506723634</v>
      </c>
      <c r="S6357" t="s">
        <v>13163</v>
      </c>
      <c r="T6357" t="s">
        <v>13610</v>
      </c>
      <c r="U6357" t="s">
        <v>13610</v>
      </c>
      <c r="V6357" t="s">
        <v>13610</v>
      </c>
      <c r="W6357" t="s">
        <v>19891</v>
      </c>
      <c r="X6357">
        <v>16</v>
      </c>
      <c r="Y6357" t="s">
        <v>26434</v>
      </c>
      <c r="Z6357" t="s">
        <v>33212</v>
      </c>
      <c r="AA6357">
        <v>0.44479410331537772</v>
      </c>
      <c r="AB6357" t="str">
        <f>HYPERLINK("Melting_Curves/meltCurve_Q9UHI6_DDX20.pdf", "Melting_Curves/meltCurve_Q9UHI6_DDX20.pdf")</f>
        <v>Melting_Curves/meltCurve_Q9UHI6_DDX20.pdf</v>
      </c>
    </row>
    <row r="6358" spans="1:28" x14ac:dyDescent="0.25">
      <c r="A6358" t="s">
        <v>6362</v>
      </c>
      <c r="B6358">
        <v>0.995954080203443</v>
      </c>
      <c r="C6358">
        <v>0.87462857555623996</v>
      </c>
      <c r="D6358">
        <v>0.73010634446195</v>
      </c>
      <c r="E6358">
        <v>0.58910419063908803</v>
      </c>
      <c r="F6358">
        <v>0.44390423401064699</v>
      </c>
      <c r="G6358">
        <v>0.315696972829281</v>
      </c>
      <c r="H6358">
        <v>0.26840842420147698</v>
      </c>
      <c r="I6358">
        <v>0.30299590259818499</v>
      </c>
      <c r="J6358">
        <v>0.412605232418844</v>
      </c>
      <c r="K6358">
        <v>0.38090844247064198</v>
      </c>
      <c r="L6358">
        <v>753.60553861764595</v>
      </c>
      <c r="M6358">
        <v>15.8443904496445</v>
      </c>
      <c r="N6358">
        <v>50.952755060821502</v>
      </c>
      <c r="O6358">
        <v>46.824627540469798</v>
      </c>
      <c r="P6358">
        <v>-5.70424923432961E-2</v>
      </c>
      <c r="Q6358">
        <v>0.32574876685109999</v>
      </c>
      <c r="R6358">
        <v>0.95988095663013395</v>
      </c>
      <c r="S6358" t="s">
        <v>13164</v>
      </c>
      <c r="T6358" t="s">
        <v>13610</v>
      </c>
      <c r="U6358" t="s">
        <v>13610</v>
      </c>
      <c r="V6358" t="s">
        <v>13610</v>
      </c>
      <c r="W6358" t="s">
        <v>19892</v>
      </c>
      <c r="X6358">
        <v>3</v>
      </c>
      <c r="Y6358" t="s">
        <v>26435</v>
      </c>
      <c r="Z6358" t="s">
        <v>33213</v>
      </c>
      <c r="AA6358">
        <v>0.51158786355818353</v>
      </c>
      <c r="AB6358" t="str">
        <f>HYPERLINK("Melting_Curves/meltCurve_Q9UHJ3_2_SFMBT1.pdf", "Melting_Curves/meltCurve_Q9UHJ3_2_SFMBT1.pdf")</f>
        <v>Melting_Curves/meltCurve_Q9UHJ3_2_SFMBT1.pdf</v>
      </c>
    </row>
    <row r="6359" spans="1:28" x14ac:dyDescent="0.25">
      <c r="A6359" t="s">
        <v>6363</v>
      </c>
      <c r="B6359">
        <v>0.995954080203443</v>
      </c>
      <c r="C6359">
        <v>1.0199943006541901</v>
      </c>
      <c r="D6359">
        <v>1.0060008485929</v>
      </c>
      <c r="E6359">
        <v>0.478558479268687</v>
      </c>
      <c r="F6359">
        <v>0.205880722255875</v>
      </c>
      <c r="G6359">
        <v>0.12758466941825899</v>
      </c>
      <c r="H6359">
        <v>9.74828319975274E-2</v>
      </c>
      <c r="I6359">
        <v>9.4293052095121496E-2</v>
      </c>
      <c r="J6359">
        <v>0.105830208410089</v>
      </c>
      <c r="K6359">
        <v>9.9215183455075795E-2</v>
      </c>
      <c r="L6359">
        <v>2013.5208620957801</v>
      </c>
      <c r="M6359">
        <v>40.5425475000837</v>
      </c>
      <c r="N6359">
        <v>49.965746453261502</v>
      </c>
      <c r="O6359">
        <v>49.5440304996484</v>
      </c>
      <c r="P6359">
        <v>-0.18239008155853101</v>
      </c>
      <c r="Q6359">
        <v>0.108460603358411</v>
      </c>
      <c r="R6359">
        <v>0.99745360449501197</v>
      </c>
      <c r="S6359" t="s">
        <v>13165</v>
      </c>
      <c r="T6359" t="s">
        <v>13610</v>
      </c>
      <c r="U6359" t="s">
        <v>13610</v>
      </c>
      <c r="V6359" t="s">
        <v>13610</v>
      </c>
      <c r="W6359" t="s">
        <v>19893</v>
      </c>
      <c r="X6359">
        <v>12</v>
      </c>
      <c r="Y6359" t="s">
        <v>26436</v>
      </c>
      <c r="Z6359" t="s">
        <v>33214</v>
      </c>
      <c r="AA6359">
        <v>0.39864678988634161</v>
      </c>
      <c r="AB6359" t="str">
        <f>HYPERLINK("Melting_Curves/meltCurve_Q9UHJ6_SHPK.pdf", "Melting_Curves/meltCurve_Q9UHJ6_SHPK.pdf")</f>
        <v>Melting_Curves/meltCurve_Q9UHJ6_SHPK.pdf</v>
      </c>
    </row>
    <row r="6360" spans="1:28" x14ac:dyDescent="0.25">
      <c r="A6360" t="s">
        <v>6364</v>
      </c>
      <c r="B6360">
        <v>0.995954080203443</v>
      </c>
      <c r="C6360">
        <v>0.96954729811305496</v>
      </c>
      <c r="D6360">
        <v>0.73759379874205899</v>
      </c>
      <c r="E6360">
        <v>0.44570116169824398</v>
      </c>
      <c r="F6360">
        <v>0.23953590142393799</v>
      </c>
      <c r="G6360">
        <v>0.13629191197347701</v>
      </c>
      <c r="H6360">
        <v>7.9053313341357304E-2</v>
      </c>
      <c r="I6360">
        <v>6.5843772995231198E-2</v>
      </c>
      <c r="J6360">
        <v>8.2116119969064399E-2</v>
      </c>
      <c r="K6360">
        <v>7.1406476095085297E-2</v>
      </c>
      <c r="L6360">
        <v>894.802953439475</v>
      </c>
      <c r="M6360">
        <v>18.335731392715701</v>
      </c>
      <c r="N6360">
        <v>49.178363547617899</v>
      </c>
      <c r="O6360">
        <v>48.231683997078399</v>
      </c>
      <c r="P6360">
        <v>-8.8807853596133801E-2</v>
      </c>
      <c r="Q6360">
        <v>6.5615446097655003E-2</v>
      </c>
      <c r="R6360">
        <v>0.99748165964526003</v>
      </c>
      <c r="S6360" t="s">
        <v>13166</v>
      </c>
      <c r="T6360" t="s">
        <v>13610</v>
      </c>
      <c r="U6360" t="s">
        <v>13610</v>
      </c>
      <c r="V6360" t="s">
        <v>13610</v>
      </c>
      <c r="W6360" t="s">
        <v>19894</v>
      </c>
      <c r="X6360">
        <v>2</v>
      </c>
      <c r="Y6360" t="s">
        <v>26437</v>
      </c>
      <c r="Z6360" t="s">
        <v>33215</v>
      </c>
      <c r="AA6360">
        <v>0.35538778568081342</v>
      </c>
      <c r="AB6360" t="str">
        <f>HYPERLINK("Melting_Curves/meltCurve_Q9UHK0_NUFIP1.pdf", "Melting_Curves/meltCurve_Q9UHK0_NUFIP1.pdf")</f>
        <v>Melting_Curves/meltCurve_Q9UHK0_NUFIP1.pdf</v>
      </c>
    </row>
    <row r="6361" spans="1:28" x14ac:dyDescent="0.25">
      <c r="A6361" t="s">
        <v>6365</v>
      </c>
      <c r="B6361">
        <v>0.995954080203443</v>
      </c>
      <c r="C6361">
        <v>1.01207357293545</v>
      </c>
      <c r="D6361">
        <v>0.98630249732961095</v>
      </c>
      <c r="E6361">
        <v>0.89866574350266304</v>
      </c>
      <c r="F6361">
        <v>0.81228061657654804</v>
      </c>
      <c r="G6361">
        <v>0.64311023030011705</v>
      </c>
      <c r="H6361">
        <v>0.50314019707227897</v>
      </c>
      <c r="I6361">
        <v>0.46406625499480503</v>
      </c>
      <c r="J6361">
        <v>0.26308998337946998</v>
      </c>
      <c r="K6361">
        <v>0.13308849302381201</v>
      </c>
      <c r="L6361">
        <v>642.90290331736105</v>
      </c>
      <c r="M6361">
        <v>10.556720127014099</v>
      </c>
      <c r="N6361">
        <v>60.899871903567004</v>
      </c>
      <c r="O6361">
        <v>58.836389269430001</v>
      </c>
      <c r="P6361">
        <v>-4.4873976613700101E-2</v>
      </c>
      <c r="Q6361">
        <v>0</v>
      </c>
      <c r="R6361">
        <v>0.98356441965788999</v>
      </c>
      <c r="S6361" t="s">
        <v>13167</v>
      </c>
      <c r="T6361" t="s">
        <v>13610</v>
      </c>
      <c r="U6361" t="s">
        <v>13610</v>
      </c>
      <c r="V6361" t="s">
        <v>13610</v>
      </c>
      <c r="W6361" t="s">
        <v>19895</v>
      </c>
      <c r="X6361">
        <v>12</v>
      </c>
      <c r="Y6361" t="s">
        <v>26438</v>
      </c>
      <c r="Z6361" t="s">
        <v>33216</v>
      </c>
      <c r="AA6361">
        <v>0.6880029952565524</v>
      </c>
      <c r="AB6361" t="str">
        <f>HYPERLINK("Melting_Curves/meltCurve_Q9UHL4_DPP7.pdf", "Melting_Curves/meltCurve_Q9UHL4_DPP7.pdf")</f>
        <v>Melting_Curves/meltCurve_Q9UHL4_DPP7.pdf</v>
      </c>
    </row>
    <row r="6362" spans="1:28" x14ac:dyDescent="0.25">
      <c r="A6362" t="s">
        <v>6366</v>
      </c>
      <c r="B6362">
        <v>0.995954080203443</v>
      </c>
      <c r="C6362">
        <v>0.95392586058838702</v>
      </c>
      <c r="D6362">
        <v>0.90520412321677801</v>
      </c>
      <c r="E6362">
        <v>0.84917974431145005</v>
      </c>
      <c r="F6362">
        <v>0.59852943004687098</v>
      </c>
      <c r="G6362">
        <v>0.42759569092885003</v>
      </c>
      <c r="H6362">
        <v>0.333100537232493</v>
      </c>
      <c r="I6362">
        <v>0.32472741167916203</v>
      </c>
      <c r="J6362">
        <v>0.398736616988078</v>
      </c>
      <c r="K6362">
        <v>0.33951958219022299</v>
      </c>
      <c r="L6362">
        <v>1160.5912304876599</v>
      </c>
      <c r="M6362">
        <v>22.263980861221</v>
      </c>
      <c r="N6362">
        <v>54.926765407111901</v>
      </c>
      <c r="O6362">
        <v>51.713565278692101</v>
      </c>
      <c r="P6362">
        <v>-7.1128740977414201E-2</v>
      </c>
      <c r="Q6362">
        <v>0.33915823448035098</v>
      </c>
      <c r="R6362">
        <v>0.984141393853882</v>
      </c>
      <c r="S6362" t="s">
        <v>13168</v>
      </c>
      <c r="T6362" t="s">
        <v>13610</v>
      </c>
      <c r="U6362" t="s">
        <v>13610</v>
      </c>
      <c r="V6362" t="s">
        <v>13610</v>
      </c>
      <c r="W6362" t="s">
        <v>19896</v>
      </c>
      <c r="X6362">
        <v>7</v>
      </c>
      <c r="Y6362" t="s">
        <v>26439</v>
      </c>
      <c r="Z6362" t="s">
        <v>33217</v>
      </c>
      <c r="AA6362">
        <v>0.61384794327614867</v>
      </c>
      <c r="AB6362" t="str">
        <f>HYPERLINK("Melting_Curves/meltCurve_Q9UHN1_POLG2.pdf", "Melting_Curves/meltCurve_Q9UHN1_POLG2.pdf")</f>
        <v>Melting_Curves/meltCurve_Q9UHN1_POLG2.pdf</v>
      </c>
    </row>
    <row r="6363" spans="1:28" x14ac:dyDescent="0.25">
      <c r="A6363" t="s">
        <v>6367</v>
      </c>
      <c r="B6363">
        <v>0.995954080203443</v>
      </c>
      <c r="C6363">
        <v>0.97281968117276696</v>
      </c>
      <c r="D6363">
        <v>0.87000480924377999</v>
      </c>
      <c r="E6363">
        <v>0.91366902172833997</v>
      </c>
      <c r="F6363">
        <v>0.54664017643280205</v>
      </c>
      <c r="G6363">
        <v>0.18708517843421699</v>
      </c>
      <c r="H6363">
        <v>8.9963055234183104E-2</v>
      </c>
      <c r="I6363">
        <v>8.6776451941038196E-2</v>
      </c>
      <c r="J6363">
        <v>8.7817920303714603E-2</v>
      </c>
      <c r="K6363">
        <v>6.5735519305775605E-2</v>
      </c>
      <c r="L6363">
        <v>1631.39150510696</v>
      </c>
      <c r="M6363">
        <v>30.695076339780499</v>
      </c>
      <c r="N6363">
        <v>53.440438059065201</v>
      </c>
      <c r="O6363">
        <v>52.924261352054003</v>
      </c>
      <c r="P6363">
        <v>-0.133797422743439</v>
      </c>
      <c r="Q6363">
        <v>7.7234779305492496E-2</v>
      </c>
      <c r="R6363">
        <v>0.98915857760911097</v>
      </c>
      <c r="S6363" t="s">
        <v>13169</v>
      </c>
      <c r="T6363" t="s">
        <v>13610</v>
      </c>
      <c r="U6363" t="s">
        <v>13610</v>
      </c>
      <c r="V6363" t="s">
        <v>13610</v>
      </c>
      <c r="W6363" t="s">
        <v>19897</v>
      </c>
      <c r="X6363">
        <v>1</v>
      </c>
      <c r="Y6363" t="s">
        <v>26440</v>
      </c>
      <c r="Z6363" t="s">
        <v>33218</v>
      </c>
      <c r="AA6363">
        <v>0.48739499033458722</v>
      </c>
      <c r="AB6363" t="str">
        <f>HYPERLINK("Melting_Curves/meltCurve_Q9UHN6_2_TMEM2.pdf", "Melting_Curves/meltCurve_Q9UHN6_2_TMEM2.pdf")</f>
        <v>Melting_Curves/meltCurve_Q9UHN6_2_TMEM2.pdf</v>
      </c>
    </row>
    <row r="6364" spans="1:28" x14ac:dyDescent="0.25">
      <c r="A6364" t="s">
        <v>6368</v>
      </c>
      <c r="B6364">
        <v>0.995954080203443</v>
      </c>
      <c r="C6364">
        <v>0.93967698854947002</v>
      </c>
      <c r="D6364">
        <v>0.91950013428674804</v>
      </c>
      <c r="E6364">
        <v>0.73076124794808595</v>
      </c>
      <c r="F6364">
        <v>0.33803653705315401</v>
      </c>
      <c r="G6364">
        <v>0.18920542201621501</v>
      </c>
      <c r="H6364">
        <v>0.13024103162889</v>
      </c>
      <c r="I6364">
        <v>0.13181666240647799</v>
      </c>
      <c r="J6364">
        <v>0.14580075705568701</v>
      </c>
      <c r="K6364">
        <v>0.14333503049177199</v>
      </c>
      <c r="L6364">
        <v>1513.3718422607501</v>
      </c>
      <c r="M6364">
        <v>29.606298692381099</v>
      </c>
      <c r="N6364">
        <v>51.671607703356997</v>
      </c>
      <c r="O6364">
        <v>50.885042233009997</v>
      </c>
      <c r="P6364">
        <v>-0.12564477985691899</v>
      </c>
      <c r="Q6364">
        <v>0.13621138310130701</v>
      </c>
      <c r="R6364">
        <v>0.99433646993243996</v>
      </c>
      <c r="S6364" t="s">
        <v>13170</v>
      </c>
      <c r="T6364" t="s">
        <v>13610</v>
      </c>
      <c r="U6364" t="s">
        <v>13610</v>
      </c>
      <c r="V6364" t="s">
        <v>13610</v>
      </c>
      <c r="W6364" t="s">
        <v>19898</v>
      </c>
      <c r="X6364">
        <v>32</v>
      </c>
      <c r="Y6364" t="s">
        <v>26441</v>
      </c>
      <c r="Z6364" t="s">
        <v>33219</v>
      </c>
      <c r="AA6364">
        <v>0.46187675568761521</v>
      </c>
      <c r="AB6364" t="str">
        <f>HYPERLINK("Melting_Curves/meltCurve_Q9UHP3_USP25.pdf", "Melting_Curves/meltCurve_Q9UHP3_USP25.pdf")</f>
        <v>Melting_Curves/meltCurve_Q9UHP3_USP25.pdf</v>
      </c>
    </row>
    <row r="6365" spans="1:28" x14ac:dyDescent="0.25">
      <c r="A6365" t="s">
        <v>6369</v>
      </c>
      <c r="B6365">
        <v>0.995954080203443</v>
      </c>
      <c r="C6365">
        <v>0.91657425052108199</v>
      </c>
      <c r="D6365">
        <v>0.62475987631195995</v>
      </c>
      <c r="E6365">
        <v>0.49501792223500801</v>
      </c>
      <c r="F6365">
        <v>0.34326733821716698</v>
      </c>
      <c r="G6365">
        <v>0.18866905683713001</v>
      </c>
      <c r="H6365">
        <v>8.5003066310382805E-2</v>
      </c>
      <c r="I6365">
        <v>0.14877251909959099</v>
      </c>
      <c r="J6365">
        <v>0.123492331506144</v>
      </c>
      <c r="K6365">
        <v>7.6101911732835301E-2</v>
      </c>
      <c r="L6365">
        <v>640.74929172190605</v>
      </c>
      <c r="M6365">
        <v>13.1430770659872</v>
      </c>
      <c r="N6365">
        <v>49.378970001909501</v>
      </c>
      <c r="O6365">
        <v>47.664662757436801</v>
      </c>
      <c r="P6365">
        <v>-6.3647115776443997E-2</v>
      </c>
      <c r="Q6365">
        <v>7.6866157187754705E-2</v>
      </c>
      <c r="R6365">
        <v>0.98285258916808504</v>
      </c>
      <c r="S6365" t="s">
        <v>13171</v>
      </c>
      <c r="T6365" t="s">
        <v>13610</v>
      </c>
      <c r="U6365" t="s">
        <v>13610</v>
      </c>
      <c r="V6365" t="s">
        <v>13610</v>
      </c>
      <c r="W6365" t="s">
        <v>19899</v>
      </c>
      <c r="X6365">
        <v>5</v>
      </c>
      <c r="Y6365" t="s">
        <v>26442</v>
      </c>
      <c r="Z6365" t="s">
        <v>33220</v>
      </c>
      <c r="AA6365">
        <v>0.37554583045886031</v>
      </c>
      <c r="AB6365" t="str">
        <f>HYPERLINK("Melting_Curves/meltCurve_Q9UHQ1_4_NARF.pdf", "Melting_Curves/meltCurve_Q9UHQ1_4_NARF.pdf")</f>
        <v>Melting_Curves/meltCurve_Q9UHQ1_4_NARF.pdf</v>
      </c>
    </row>
    <row r="6366" spans="1:28" x14ac:dyDescent="0.25">
      <c r="A6366" t="s">
        <v>6370</v>
      </c>
      <c r="B6366">
        <v>0.995954080203443</v>
      </c>
      <c r="C6366">
        <v>1.0224796161951399</v>
      </c>
      <c r="D6366">
        <v>1.13570163803417</v>
      </c>
      <c r="E6366">
        <v>0.95810671911452805</v>
      </c>
      <c r="F6366">
        <v>0.87376939866550696</v>
      </c>
      <c r="G6366">
        <v>0.63905124462167695</v>
      </c>
      <c r="H6366">
        <v>0.42220597986005298</v>
      </c>
      <c r="I6366">
        <v>0.32517969083364501</v>
      </c>
      <c r="J6366">
        <v>0.25710711999695701</v>
      </c>
      <c r="K6366">
        <v>0.215808766521007</v>
      </c>
      <c r="L6366">
        <v>1101.93283954557</v>
      </c>
      <c r="M6366">
        <v>19.077917931510399</v>
      </c>
      <c r="N6366">
        <v>59.377907059228598</v>
      </c>
      <c r="O6366">
        <v>57.136205338155001</v>
      </c>
      <c r="P6366">
        <v>-6.6555446438596302E-2</v>
      </c>
      <c r="Q6366">
        <v>0.202727154163763</v>
      </c>
      <c r="R6366">
        <v>0.981087463538722</v>
      </c>
      <c r="S6366" t="s">
        <v>13172</v>
      </c>
      <c r="T6366" t="s">
        <v>13610</v>
      </c>
      <c r="U6366" t="s">
        <v>13610</v>
      </c>
      <c r="V6366" t="s">
        <v>13610</v>
      </c>
      <c r="W6366" t="s">
        <v>19900</v>
      </c>
      <c r="X6366">
        <v>28</v>
      </c>
      <c r="Y6366" t="s">
        <v>26443</v>
      </c>
      <c r="Z6366" t="s">
        <v>33221</v>
      </c>
      <c r="AA6366">
        <v>0.68436351667634399</v>
      </c>
      <c r="AB6366" t="str">
        <f>HYPERLINK("Melting_Curves/meltCurve_Q9UHR4_BAIAP2L1.pdf", "Melting_Curves/meltCurve_Q9UHR4_BAIAP2L1.pdf")</f>
        <v>Melting_Curves/meltCurve_Q9UHR4_BAIAP2L1.pdf</v>
      </c>
    </row>
    <row r="6367" spans="1:28" x14ac:dyDescent="0.25">
      <c r="A6367" t="s">
        <v>6371</v>
      </c>
      <c r="B6367">
        <v>0.995954080203443</v>
      </c>
      <c r="C6367">
        <v>0.96217195308573999</v>
      </c>
      <c r="D6367">
        <v>0.92327880136479901</v>
      </c>
      <c r="E6367">
        <v>0.83963241103467201</v>
      </c>
      <c r="F6367">
        <v>0.75355997436107203</v>
      </c>
      <c r="G6367">
        <v>0.57775170860976699</v>
      </c>
      <c r="H6367">
        <v>0.53232598324966796</v>
      </c>
      <c r="I6367">
        <v>0.65258542400514996</v>
      </c>
      <c r="J6367">
        <v>0.71080775142238095</v>
      </c>
      <c r="K6367">
        <v>0.753299441809681</v>
      </c>
      <c r="L6367">
        <v>1184.37908609335</v>
      </c>
      <c r="M6367">
        <v>23.703948018303301</v>
      </c>
      <c r="O6367">
        <v>49.6139395318963</v>
      </c>
      <c r="P6367">
        <v>-4.2102302796430603E-2</v>
      </c>
      <c r="Q6367">
        <v>0.64751419179247505</v>
      </c>
      <c r="R6367">
        <v>0.82063278559538699</v>
      </c>
      <c r="S6367" t="s">
        <v>13173</v>
      </c>
      <c r="T6367" t="s">
        <v>13610</v>
      </c>
      <c r="U6367" t="s">
        <v>13610</v>
      </c>
      <c r="V6367" t="s">
        <v>13610</v>
      </c>
      <c r="W6367" t="s">
        <v>19901</v>
      </c>
      <c r="X6367">
        <v>14</v>
      </c>
      <c r="Y6367" t="s">
        <v>26444</v>
      </c>
      <c r="Z6367" t="s">
        <v>33222</v>
      </c>
      <c r="AA6367">
        <v>0.76810852382339123</v>
      </c>
      <c r="AB6367" t="str">
        <f>HYPERLINK("Melting_Curves/meltCurve_Q9UHR5_SAP30BP.pdf", "Melting_Curves/meltCurve_Q9UHR5_SAP30BP.pdf")</f>
        <v>Melting_Curves/meltCurve_Q9UHR5_SAP30BP.pdf</v>
      </c>
    </row>
    <row r="6368" spans="1:28" x14ac:dyDescent="0.25">
      <c r="A6368" t="s">
        <v>6372</v>
      </c>
      <c r="B6368">
        <v>0.995954080203443</v>
      </c>
      <c r="C6368">
        <v>0.67385713257567503</v>
      </c>
      <c r="D6368">
        <v>0.42758509525531502</v>
      </c>
      <c r="E6368">
        <v>0.40855386230148899</v>
      </c>
      <c r="F6368">
        <v>0.27224605879701702</v>
      </c>
      <c r="G6368">
        <v>0.19431661083593499</v>
      </c>
      <c r="H6368">
        <v>0.114224221466993</v>
      </c>
      <c r="I6368">
        <v>0.107856097314999</v>
      </c>
      <c r="J6368">
        <v>0.103429955465173</v>
      </c>
      <c r="K6368">
        <v>0.12963475908064401</v>
      </c>
      <c r="L6368">
        <v>585.62590755965505</v>
      </c>
      <c r="M6368">
        <v>12.8659269236441</v>
      </c>
      <c r="N6368">
        <v>46.426193715555002</v>
      </c>
      <c r="O6368">
        <v>44.4600311351263</v>
      </c>
      <c r="P6368">
        <v>-6.4305275694825803E-2</v>
      </c>
      <c r="Q6368">
        <v>0.111299892222906</v>
      </c>
      <c r="R6368">
        <v>0.95109665407009303</v>
      </c>
      <c r="S6368" t="s">
        <v>13174</v>
      </c>
      <c r="T6368" t="s">
        <v>13610</v>
      </c>
      <c r="U6368" t="s">
        <v>13610</v>
      </c>
      <c r="V6368" t="s">
        <v>13610</v>
      </c>
      <c r="W6368" t="s">
        <v>19902</v>
      </c>
      <c r="X6368">
        <v>9</v>
      </c>
      <c r="Y6368" t="s">
        <v>26445</v>
      </c>
      <c r="Z6368" t="s">
        <v>33223</v>
      </c>
      <c r="AA6368">
        <v>0.31173297411273199</v>
      </c>
      <c r="AB6368" t="str">
        <f>HYPERLINK("Melting_Curves/meltCurve_Q9UHR6_ZNHIT2.pdf", "Melting_Curves/meltCurve_Q9UHR6_ZNHIT2.pdf")</f>
        <v>Melting_Curves/meltCurve_Q9UHR6_ZNHIT2.pdf</v>
      </c>
    </row>
    <row r="6369" spans="1:28" x14ac:dyDescent="0.25">
      <c r="A6369" t="s">
        <v>6373</v>
      </c>
      <c r="B6369">
        <v>0.995954080203443</v>
      </c>
      <c r="C6369">
        <v>0.87202319994612698</v>
      </c>
      <c r="D6369">
        <v>0.65033078070501904</v>
      </c>
      <c r="E6369">
        <v>0.69538576726859702</v>
      </c>
      <c r="F6369">
        <v>0.42401404509261298</v>
      </c>
      <c r="G6369">
        <v>0.25977413687552597</v>
      </c>
      <c r="H6369">
        <v>0.240952855103297</v>
      </c>
      <c r="I6369">
        <v>0.220175143492361</v>
      </c>
      <c r="J6369">
        <v>0.221103717517078</v>
      </c>
      <c r="K6369">
        <v>0.198307986012139</v>
      </c>
      <c r="L6369">
        <v>545.700690479179</v>
      </c>
      <c r="M6369">
        <v>10.9578750826571</v>
      </c>
      <c r="N6369">
        <v>51.499166163068999</v>
      </c>
      <c r="O6369">
        <v>48.227499218451399</v>
      </c>
      <c r="P6369">
        <v>-4.8201941055087003E-2</v>
      </c>
      <c r="Q6369">
        <v>0.151710244711772</v>
      </c>
      <c r="R6369">
        <v>0.95714738093042695</v>
      </c>
      <c r="S6369" t="s">
        <v>13175</v>
      </c>
      <c r="T6369" t="s">
        <v>13610</v>
      </c>
      <c r="U6369" t="s">
        <v>13610</v>
      </c>
      <c r="V6369" t="s">
        <v>13610</v>
      </c>
      <c r="W6369" t="s">
        <v>19903</v>
      </c>
      <c r="X6369">
        <v>1</v>
      </c>
      <c r="Y6369" t="s">
        <v>26446</v>
      </c>
      <c r="Z6369" t="s">
        <v>33224</v>
      </c>
      <c r="AA6369">
        <v>0.46298058119482233</v>
      </c>
      <c r="AB6369" t="str">
        <f>HYPERLINK("Melting_Curves/meltCurve_Q9UHV7_MED13.pdf", "Melting_Curves/meltCurve_Q9UHV7_MED13.pdf")</f>
        <v>Melting_Curves/meltCurve_Q9UHV7_MED13.pdf</v>
      </c>
    </row>
    <row r="6370" spans="1:28" x14ac:dyDescent="0.25">
      <c r="A6370" t="s">
        <v>6374</v>
      </c>
      <c r="B6370">
        <v>0.995954080203443</v>
      </c>
      <c r="C6370">
        <v>0.91175197611318903</v>
      </c>
      <c r="D6370">
        <v>1.03700486102723</v>
      </c>
      <c r="E6370">
        <v>0.85767949097739304</v>
      </c>
      <c r="F6370">
        <v>0.82589166490508004</v>
      </c>
      <c r="G6370">
        <v>0.67171327481687204</v>
      </c>
      <c r="H6370">
        <v>0.618448697901264</v>
      </c>
      <c r="I6370">
        <v>0.72023848127706303</v>
      </c>
      <c r="J6370">
        <v>0.991226657492009</v>
      </c>
      <c r="K6370">
        <v>0.90427097843538895</v>
      </c>
      <c r="L6370">
        <v>3151.1649011496902</v>
      </c>
      <c r="M6370">
        <v>63.660909730068497</v>
      </c>
      <c r="O6370">
        <v>49.450444099644201</v>
      </c>
      <c r="P6370">
        <v>-6.8327911501867303E-2</v>
      </c>
      <c r="Q6370">
        <v>0.78769740948883804</v>
      </c>
      <c r="R6370">
        <v>0.39586494548043</v>
      </c>
      <c r="S6370" t="s">
        <v>13176</v>
      </c>
      <c r="T6370" t="s">
        <v>13610</v>
      </c>
      <c r="U6370" t="s">
        <v>13610</v>
      </c>
      <c r="V6370" t="s">
        <v>13610</v>
      </c>
      <c r="W6370" t="s">
        <v>19904</v>
      </c>
      <c r="X6370">
        <v>13</v>
      </c>
      <c r="Y6370" t="s">
        <v>26447</v>
      </c>
      <c r="Z6370" t="s">
        <v>33225</v>
      </c>
      <c r="AA6370">
        <v>0.85520632621297532</v>
      </c>
      <c r="AB6370" t="str">
        <f>HYPERLINK("Melting_Curves/meltCurve_Q9UHV9_PFDN2.pdf", "Melting_Curves/meltCurve_Q9UHV9_PFDN2.pdf")</f>
        <v>Melting_Curves/meltCurve_Q9UHV9_PFDN2.pdf</v>
      </c>
    </row>
    <row r="6371" spans="1:28" x14ac:dyDescent="0.25">
      <c r="A6371" t="s">
        <v>6375</v>
      </c>
      <c r="B6371">
        <v>0.995954080203443</v>
      </c>
      <c r="C6371">
        <v>0.93849565993308404</v>
      </c>
      <c r="D6371">
        <v>0.81074487662610095</v>
      </c>
      <c r="E6371">
        <v>0.755260676211157</v>
      </c>
      <c r="F6371">
        <v>0.63791251242512403</v>
      </c>
      <c r="G6371">
        <v>0.40259275080939899</v>
      </c>
      <c r="H6371">
        <v>0.290499221569257</v>
      </c>
      <c r="I6371">
        <v>0.159468788913742</v>
      </c>
      <c r="J6371">
        <v>0.163600611813775</v>
      </c>
      <c r="K6371">
        <v>0.142843485951933</v>
      </c>
      <c r="L6371">
        <v>538.99956218022498</v>
      </c>
      <c r="M6371">
        <v>9.7868370587928997</v>
      </c>
      <c r="N6371">
        <v>55.152421723110798</v>
      </c>
      <c r="O6371">
        <v>52.922228900147303</v>
      </c>
      <c r="P6371">
        <v>-4.5936674147338298E-2</v>
      </c>
      <c r="Q6371">
        <v>6.9160837116297499E-3</v>
      </c>
      <c r="R6371">
        <v>0.98991620744091702</v>
      </c>
      <c r="S6371" t="s">
        <v>13177</v>
      </c>
      <c r="T6371" t="s">
        <v>13610</v>
      </c>
      <c r="U6371" t="s">
        <v>13610</v>
      </c>
      <c r="V6371" t="s">
        <v>13610</v>
      </c>
      <c r="W6371" t="s">
        <v>19905</v>
      </c>
      <c r="X6371">
        <v>6</v>
      </c>
      <c r="Y6371" t="s">
        <v>26448</v>
      </c>
      <c r="Z6371" t="s">
        <v>33226</v>
      </c>
      <c r="AA6371">
        <v>0.5314537484378784</v>
      </c>
      <c r="AB6371" t="str">
        <f>HYPERLINK("Melting_Curves/meltCurve_Q9UHW5_GPN3.pdf", "Melting_Curves/meltCurve_Q9UHW5_GPN3.pdf")</f>
        <v>Melting_Curves/meltCurve_Q9UHW5_GPN3.pdf</v>
      </c>
    </row>
    <row r="6372" spans="1:28" x14ac:dyDescent="0.25">
      <c r="A6372" t="s">
        <v>6376</v>
      </c>
      <c r="B6372">
        <v>0.995954080203443</v>
      </c>
      <c r="C6372">
        <v>0.98576453101922201</v>
      </c>
      <c r="D6372">
        <v>1.00479182256906</v>
      </c>
      <c r="E6372">
        <v>0.91436477653258197</v>
      </c>
      <c r="F6372">
        <v>0.73393030794538305</v>
      </c>
      <c r="G6372">
        <v>0.34520494594961598</v>
      </c>
      <c r="H6372">
        <v>0.22579034827033101</v>
      </c>
      <c r="I6372">
        <v>0.201702031811646</v>
      </c>
      <c r="J6372">
        <v>0.20661798377340401</v>
      </c>
      <c r="K6372">
        <v>0.193653165178444</v>
      </c>
      <c r="L6372">
        <v>1553.94366368736</v>
      </c>
      <c r="M6372">
        <v>28.675063048279501</v>
      </c>
      <c r="N6372">
        <v>55.139551038248896</v>
      </c>
      <c r="O6372">
        <v>53.929959872696202</v>
      </c>
      <c r="P6372">
        <v>-0.107057984988444</v>
      </c>
      <c r="Q6372">
        <v>0.194618988343046</v>
      </c>
      <c r="R6372">
        <v>0.99927461181700805</v>
      </c>
      <c r="S6372" t="s">
        <v>13178</v>
      </c>
      <c r="T6372" t="s">
        <v>13610</v>
      </c>
      <c r="U6372" t="s">
        <v>13610</v>
      </c>
      <c r="V6372" t="s">
        <v>13610</v>
      </c>
      <c r="W6372" t="s">
        <v>19906</v>
      </c>
      <c r="X6372">
        <v>27</v>
      </c>
      <c r="Y6372" t="s">
        <v>26449</v>
      </c>
      <c r="Z6372" t="s">
        <v>33227</v>
      </c>
      <c r="AA6372">
        <v>0.58138313681164766</v>
      </c>
      <c r="AB6372" t="str">
        <f>HYPERLINK("Melting_Curves/meltCurve_Q9UHX1_2_PUF60.pdf", "Melting_Curves/meltCurve_Q9UHX1_2_PUF60.pdf")</f>
        <v>Melting_Curves/meltCurve_Q9UHX1_2_PUF60.pdf</v>
      </c>
    </row>
    <row r="6373" spans="1:28" x14ac:dyDescent="0.25">
      <c r="A6373" t="s">
        <v>6377</v>
      </c>
      <c r="B6373">
        <v>0.995954080203443</v>
      </c>
      <c r="C6373">
        <v>1.08688606183203</v>
      </c>
      <c r="D6373">
        <v>1.04613540889268</v>
      </c>
      <c r="E6373">
        <v>0.93201984744157096</v>
      </c>
      <c r="F6373">
        <v>0.60202852567816101</v>
      </c>
      <c r="G6373">
        <v>0.177085305687186</v>
      </c>
      <c r="H6373">
        <v>9.3315157768962403E-2</v>
      </c>
      <c r="I6373">
        <v>7.2685954118238194E-2</v>
      </c>
      <c r="J6373">
        <v>7.5047662004957993E-2</v>
      </c>
      <c r="K6373">
        <v>7.1917684639027202E-2</v>
      </c>
      <c r="L6373">
        <v>1881.0840850918401</v>
      </c>
      <c r="M6373">
        <v>35.186610390674602</v>
      </c>
      <c r="N6373">
        <v>53.710729354823101</v>
      </c>
      <c r="O6373">
        <v>53.288432714009197</v>
      </c>
      <c r="P6373">
        <v>-0.15258430769371101</v>
      </c>
      <c r="Q6373">
        <v>7.5676771961384406E-2</v>
      </c>
      <c r="R6373">
        <v>0.99460954863826201</v>
      </c>
      <c r="S6373" t="s">
        <v>13179</v>
      </c>
      <c r="T6373" t="s">
        <v>13610</v>
      </c>
      <c r="U6373" t="s">
        <v>13610</v>
      </c>
      <c r="V6373" t="s">
        <v>13610</v>
      </c>
      <c r="W6373" t="s">
        <v>19907</v>
      </c>
      <c r="X6373">
        <v>10</v>
      </c>
      <c r="Y6373" t="s">
        <v>26450</v>
      </c>
      <c r="Z6373" t="s">
        <v>33228</v>
      </c>
      <c r="AA6373">
        <v>0.49480250512738799</v>
      </c>
      <c r="AB6373" t="str">
        <f>HYPERLINK("Melting_Curves/meltCurve_Q9UHY1_NRBP1.pdf", "Melting_Curves/meltCurve_Q9UHY1_NRBP1.pdf")</f>
        <v>Melting_Curves/meltCurve_Q9UHY1_NRBP1.pdf</v>
      </c>
    </row>
    <row r="6374" spans="1:28" x14ac:dyDescent="0.25">
      <c r="A6374" t="s">
        <v>6378</v>
      </c>
      <c r="B6374">
        <v>0.995954080203443</v>
      </c>
      <c r="C6374">
        <v>0.99241234782715004</v>
      </c>
      <c r="D6374">
        <v>0.92970242174757001</v>
      </c>
      <c r="E6374">
        <v>0.54497298356274904</v>
      </c>
      <c r="F6374">
        <v>0.17806991300932401</v>
      </c>
      <c r="G6374">
        <v>0.12119079706821</v>
      </c>
      <c r="H6374">
        <v>7.7628082495496006E-2</v>
      </c>
      <c r="I6374">
        <v>6.7200161521093399E-2</v>
      </c>
      <c r="J6374">
        <v>7.1599188254222096E-2</v>
      </c>
      <c r="K6374">
        <v>6.8937983535605402E-2</v>
      </c>
      <c r="L6374">
        <v>1616.9384421146001</v>
      </c>
      <c r="M6374">
        <v>32.356883856291503</v>
      </c>
      <c r="N6374">
        <v>50.221620763835602</v>
      </c>
      <c r="O6374">
        <v>49.782292281696101</v>
      </c>
      <c r="P6374">
        <v>-0.150423465190167</v>
      </c>
      <c r="Q6374">
        <v>7.4275629526758494E-2</v>
      </c>
      <c r="R6374">
        <v>0.99875471597660503</v>
      </c>
      <c r="S6374" t="s">
        <v>13180</v>
      </c>
      <c r="T6374" t="s">
        <v>13610</v>
      </c>
      <c r="U6374" t="s">
        <v>13610</v>
      </c>
      <c r="V6374" t="s">
        <v>13610</v>
      </c>
      <c r="W6374" t="s">
        <v>19908</v>
      </c>
      <c r="X6374">
        <v>12</v>
      </c>
      <c r="Y6374" t="s">
        <v>26451</v>
      </c>
      <c r="Z6374" t="s">
        <v>33229</v>
      </c>
      <c r="AA6374">
        <v>0.38689736687379289</v>
      </c>
      <c r="AB6374" t="str">
        <f>HYPERLINK("Melting_Curves/meltCurve_Q9UHY7_ENOPH1.pdf", "Melting_Curves/meltCurve_Q9UHY7_ENOPH1.pdf")</f>
        <v>Melting_Curves/meltCurve_Q9UHY7_ENOPH1.pdf</v>
      </c>
    </row>
    <row r="6375" spans="1:28" x14ac:dyDescent="0.25">
      <c r="A6375" t="s">
        <v>6379</v>
      </c>
      <c r="B6375">
        <v>0.995954080203443</v>
      </c>
      <c r="C6375">
        <v>1.02610374383394</v>
      </c>
      <c r="D6375">
        <v>1.00786246902469</v>
      </c>
      <c r="E6375">
        <v>0.90339107070399405</v>
      </c>
      <c r="F6375">
        <v>0.82831930088153405</v>
      </c>
      <c r="G6375">
        <v>0.562347044489095</v>
      </c>
      <c r="H6375">
        <v>0.44827289111732199</v>
      </c>
      <c r="I6375">
        <v>0.45128603723666899</v>
      </c>
      <c r="J6375">
        <v>0.50086008254069303</v>
      </c>
      <c r="K6375">
        <v>0.460606451715249</v>
      </c>
      <c r="L6375">
        <v>1472.83225357383</v>
      </c>
      <c r="M6375">
        <v>27.220939053519398</v>
      </c>
      <c r="N6375">
        <v>59.471251628208698</v>
      </c>
      <c r="O6375">
        <v>53.817124087899003</v>
      </c>
      <c r="P6375">
        <v>-6.8652316767612895E-2</v>
      </c>
      <c r="Q6375">
        <v>0.45708941548082399</v>
      </c>
      <c r="R6375">
        <v>0.98907023880725797</v>
      </c>
      <c r="S6375" t="s">
        <v>13181</v>
      </c>
      <c r="T6375" t="s">
        <v>13610</v>
      </c>
      <c r="U6375" t="s">
        <v>13610</v>
      </c>
      <c r="V6375" t="s">
        <v>13610</v>
      </c>
      <c r="W6375" t="s">
        <v>19909</v>
      </c>
      <c r="X6375">
        <v>19</v>
      </c>
      <c r="Y6375" t="s">
        <v>26452</v>
      </c>
      <c r="Z6375" t="s">
        <v>33230</v>
      </c>
      <c r="AA6375">
        <v>0.71667171733273771</v>
      </c>
      <c r="AB6375" t="str">
        <f>HYPERLINK("Melting_Curves/meltCurve_Q9UI08_EVL.pdf", "Melting_Curves/meltCurve_Q9UI08_EVL.pdf")</f>
        <v>Melting_Curves/meltCurve_Q9UI08_EVL.pdf</v>
      </c>
    </row>
    <row r="6376" spans="1:28" x14ac:dyDescent="0.25">
      <c r="A6376" t="s">
        <v>6380</v>
      </c>
      <c r="B6376">
        <v>0.995954080203443</v>
      </c>
      <c r="C6376">
        <v>1.0385869692466201</v>
      </c>
      <c r="D6376">
        <v>0.99402615338398004</v>
      </c>
      <c r="E6376">
        <v>0.95966113578924905</v>
      </c>
      <c r="F6376">
        <v>0.94270835805137698</v>
      </c>
      <c r="G6376">
        <v>0.76153197378837101</v>
      </c>
      <c r="H6376">
        <v>0.69712485941037305</v>
      </c>
      <c r="I6376">
        <v>0.86470676893859599</v>
      </c>
      <c r="J6376">
        <v>1.1341568548352401</v>
      </c>
      <c r="K6376">
        <v>1.11073192856161</v>
      </c>
      <c r="L6376">
        <v>2348.0316765992702</v>
      </c>
      <c r="M6376">
        <v>46.769231912165303</v>
      </c>
      <c r="O6376">
        <v>50.113097789948803</v>
      </c>
      <c r="P6376">
        <v>-1.9367308650562E-2</v>
      </c>
      <c r="Q6376">
        <v>0.916992036316152</v>
      </c>
      <c r="R6376">
        <v>9.2865988647230904E-2</v>
      </c>
      <c r="S6376" t="s">
        <v>13182</v>
      </c>
      <c r="T6376" t="s">
        <v>13610</v>
      </c>
      <c r="U6376" t="s">
        <v>13610</v>
      </c>
      <c r="V6376" t="s">
        <v>13610</v>
      </c>
      <c r="W6376" t="s">
        <v>19910</v>
      </c>
      <c r="X6376">
        <v>20</v>
      </c>
      <c r="Y6376" t="s">
        <v>26453</v>
      </c>
      <c r="Z6376" t="s">
        <v>33231</v>
      </c>
      <c r="AA6376">
        <v>0.94543780648266684</v>
      </c>
      <c r="AB6376" t="str">
        <f>HYPERLINK("Melting_Curves/meltCurve_Q9UI10_EIF2B4.pdf", "Melting_Curves/meltCurve_Q9UI10_EIF2B4.pdf")</f>
        <v>Melting_Curves/meltCurve_Q9UI10_EIF2B4.pdf</v>
      </c>
    </row>
    <row r="6377" spans="1:28" x14ac:dyDescent="0.25">
      <c r="A6377" t="s">
        <v>6381</v>
      </c>
      <c r="B6377">
        <v>0.995954080203443</v>
      </c>
      <c r="C6377">
        <v>0.75392783133741803</v>
      </c>
      <c r="D6377">
        <v>0.55872366871225498</v>
      </c>
      <c r="E6377">
        <v>0.460035180642208</v>
      </c>
      <c r="F6377">
        <v>0.34783875895480598</v>
      </c>
      <c r="G6377">
        <v>0.24827046931173799</v>
      </c>
      <c r="H6377">
        <v>0.23830073148483799</v>
      </c>
      <c r="I6377">
        <v>0.261461360089005</v>
      </c>
      <c r="J6377">
        <v>0.33650393752952401</v>
      </c>
      <c r="K6377">
        <v>0.28603766129698099</v>
      </c>
      <c r="L6377">
        <v>749.24720165600797</v>
      </c>
      <c r="M6377">
        <v>16.5679371299818</v>
      </c>
      <c r="N6377">
        <v>47.510234489751198</v>
      </c>
      <c r="O6377">
        <v>44.579299781944698</v>
      </c>
      <c r="P6377">
        <v>-6.7383068071923596E-2</v>
      </c>
      <c r="Q6377">
        <v>0.27481989893717401</v>
      </c>
      <c r="R6377">
        <v>0.96591269269885005</v>
      </c>
      <c r="S6377" t="s">
        <v>13183</v>
      </c>
      <c r="T6377" t="s">
        <v>13610</v>
      </c>
      <c r="U6377" t="s">
        <v>13610</v>
      </c>
      <c r="V6377" t="s">
        <v>13610</v>
      </c>
      <c r="W6377" t="s">
        <v>19911</v>
      </c>
      <c r="X6377">
        <v>21</v>
      </c>
      <c r="Y6377" t="s">
        <v>26453</v>
      </c>
      <c r="Z6377" t="s">
        <v>33232</v>
      </c>
      <c r="AA6377">
        <v>0.41943728236448602</v>
      </c>
      <c r="AB6377" t="str">
        <f>HYPERLINK("Melting_Curves/meltCurve_Q9UI10_3_EIF2B4.pdf", "Melting_Curves/meltCurve_Q9UI10_3_EIF2B4.pdf")</f>
        <v>Melting_Curves/meltCurve_Q9UI10_3_EIF2B4.pdf</v>
      </c>
    </row>
    <row r="6378" spans="1:28" x14ac:dyDescent="0.25">
      <c r="A6378" t="s">
        <v>6382</v>
      </c>
      <c r="B6378">
        <v>0.995954080203443</v>
      </c>
      <c r="C6378">
        <v>0.80748186473227002</v>
      </c>
      <c r="D6378">
        <v>0.44958924770657699</v>
      </c>
      <c r="E6378">
        <v>0.67208504282808101</v>
      </c>
      <c r="F6378">
        <v>0.34504639396211501</v>
      </c>
      <c r="G6378">
        <v>7.9796756999813603E-2</v>
      </c>
      <c r="H6378">
        <v>4.9371076752550598E-2</v>
      </c>
      <c r="I6378">
        <v>3.7995139068812897E-2</v>
      </c>
      <c r="J6378">
        <v>4.4763965120502798E-2</v>
      </c>
      <c r="K6378">
        <v>3.8112078609113899E-2</v>
      </c>
      <c r="L6378">
        <v>525.23910928585894</v>
      </c>
      <c r="M6378">
        <v>10.741199614453601</v>
      </c>
      <c r="N6378">
        <v>48.899470499360199</v>
      </c>
      <c r="O6378">
        <v>47.296009837524799</v>
      </c>
      <c r="P6378">
        <v>-5.6797451175614598E-2</v>
      </c>
      <c r="Q6378">
        <v>0</v>
      </c>
      <c r="R6378">
        <v>0.89809481620007403</v>
      </c>
      <c r="S6378" t="s">
        <v>13184</v>
      </c>
      <c r="T6378" t="s">
        <v>13610</v>
      </c>
      <c r="U6378" t="s">
        <v>13610</v>
      </c>
      <c r="V6378" t="s">
        <v>13610</v>
      </c>
      <c r="W6378" t="s">
        <v>19912</v>
      </c>
      <c r="X6378">
        <v>17</v>
      </c>
      <c r="Y6378" t="s">
        <v>26454</v>
      </c>
      <c r="Z6378" t="s">
        <v>33233</v>
      </c>
      <c r="AA6378">
        <v>0.340900878258106</v>
      </c>
      <c r="AB6378" t="str">
        <f>HYPERLINK("Melting_Curves/meltCurve_Q9UI12_ATP6V1H.pdf", "Melting_Curves/meltCurve_Q9UI12_ATP6V1H.pdf")</f>
        <v>Melting_Curves/meltCurve_Q9UI12_ATP6V1H.pdf</v>
      </c>
    </row>
    <row r="6379" spans="1:28" x14ac:dyDescent="0.25">
      <c r="A6379" t="s">
        <v>6383</v>
      </c>
      <c r="B6379">
        <v>0.995954080203443</v>
      </c>
      <c r="C6379">
        <v>0.92926740697585497</v>
      </c>
      <c r="D6379">
        <v>0.99523857015335504</v>
      </c>
      <c r="E6379">
        <v>0.87443154627929298</v>
      </c>
      <c r="F6379">
        <v>0.352560331608337</v>
      </c>
      <c r="G6379">
        <v>0.16408639605981101</v>
      </c>
      <c r="H6379">
        <v>0.11302837025354801</v>
      </c>
      <c r="I6379">
        <v>0.11036914934021599</v>
      </c>
      <c r="J6379">
        <v>0.122742449354051</v>
      </c>
      <c r="K6379">
        <v>0.11750179921444499</v>
      </c>
      <c r="L6379">
        <v>2439.4739315439501</v>
      </c>
      <c r="M6379">
        <v>47.0350501925614</v>
      </c>
      <c r="N6379">
        <v>52.176003185491098</v>
      </c>
      <c r="O6379">
        <v>51.771540049948001</v>
      </c>
      <c r="P6379">
        <v>-0.199364889649183</v>
      </c>
      <c r="Q6379">
        <v>0.122236396637072</v>
      </c>
      <c r="R6379">
        <v>0.99597370780886796</v>
      </c>
      <c r="S6379" t="s">
        <v>13185</v>
      </c>
      <c r="T6379" t="s">
        <v>13610</v>
      </c>
      <c r="U6379" t="s">
        <v>13610</v>
      </c>
      <c r="V6379" t="s">
        <v>13610</v>
      </c>
      <c r="W6379" t="s">
        <v>19913</v>
      </c>
      <c r="X6379">
        <v>24</v>
      </c>
      <c r="Y6379" t="s">
        <v>26455</v>
      </c>
      <c r="Z6379" t="s">
        <v>33234</v>
      </c>
      <c r="AA6379">
        <v>0.47166321318518611</v>
      </c>
      <c r="AB6379" t="str">
        <f>HYPERLINK("Melting_Curves/meltCurve_Q9UI26_IPO11.pdf", "Melting_Curves/meltCurve_Q9UI26_IPO11.pdf")</f>
        <v>Melting_Curves/meltCurve_Q9UI26_IPO11.pdf</v>
      </c>
    </row>
    <row r="6380" spans="1:28" x14ac:dyDescent="0.25">
      <c r="A6380" t="s">
        <v>6384</v>
      </c>
      <c r="B6380">
        <v>0.995954080203443</v>
      </c>
      <c r="C6380">
        <v>0.97753422778523402</v>
      </c>
      <c r="D6380">
        <v>0.81937595103107697</v>
      </c>
      <c r="E6380">
        <v>0.70572120209074696</v>
      </c>
      <c r="F6380">
        <v>0.49229111316055002</v>
      </c>
      <c r="G6380">
        <v>0.26266087767789398</v>
      </c>
      <c r="H6380">
        <v>0.16518567354918701</v>
      </c>
      <c r="I6380">
        <v>0.14845107638497301</v>
      </c>
      <c r="J6380">
        <v>0.14134591451495601</v>
      </c>
      <c r="K6380">
        <v>0.105603708974497</v>
      </c>
      <c r="L6380">
        <v>746.81439407723803</v>
      </c>
      <c r="M6380">
        <v>14.360885991993101</v>
      </c>
      <c r="N6380">
        <v>52.687760088024397</v>
      </c>
      <c r="O6380">
        <v>51.026178154070003</v>
      </c>
      <c r="P6380">
        <v>-6.4381246821236499E-2</v>
      </c>
      <c r="Q6380">
        <v>8.5088354575609301E-2</v>
      </c>
      <c r="R6380">
        <v>0.99440813754660795</v>
      </c>
      <c r="S6380" t="s">
        <v>13186</v>
      </c>
      <c r="T6380" t="s">
        <v>13610</v>
      </c>
      <c r="U6380" t="s">
        <v>13610</v>
      </c>
      <c r="V6380" t="s">
        <v>13610</v>
      </c>
      <c r="W6380" t="s">
        <v>19914</v>
      </c>
      <c r="X6380">
        <v>4</v>
      </c>
      <c r="Y6380" t="s">
        <v>26456</v>
      </c>
      <c r="Z6380" t="s">
        <v>33235</v>
      </c>
      <c r="AA6380">
        <v>0.47299228185162262</v>
      </c>
      <c r="AB6380" t="str">
        <f>HYPERLINK("Melting_Curves/meltCurve_Q9UI30_TRMT112.pdf", "Melting_Curves/meltCurve_Q9UI30_TRMT112.pdf")</f>
        <v>Melting_Curves/meltCurve_Q9UI30_TRMT112.pdf</v>
      </c>
    </row>
    <row r="6381" spans="1:28" x14ac:dyDescent="0.25">
      <c r="A6381" t="s">
        <v>6385</v>
      </c>
      <c r="B6381">
        <v>0.995954080203443</v>
      </c>
      <c r="C6381">
        <v>0.88873574319473203</v>
      </c>
      <c r="D6381">
        <v>0.82506372647734305</v>
      </c>
      <c r="E6381">
        <v>0.50177020039806997</v>
      </c>
      <c r="F6381">
        <v>0.26285850752425199</v>
      </c>
      <c r="G6381">
        <v>0.10315170299045499</v>
      </c>
      <c r="H6381">
        <v>4.3735263601714897E-2</v>
      </c>
      <c r="I6381">
        <v>3.5468314040505898E-2</v>
      </c>
      <c r="J6381">
        <v>4.5552015115844897E-2</v>
      </c>
      <c r="K6381">
        <v>4.0582260302071099E-2</v>
      </c>
      <c r="L6381">
        <v>871.20197413261803</v>
      </c>
      <c r="M6381">
        <v>17.513286261529998</v>
      </c>
      <c r="N6381">
        <v>49.865195481931302</v>
      </c>
      <c r="O6381">
        <v>49.110192663615003</v>
      </c>
      <c r="P6381">
        <v>-8.7318223667165004E-2</v>
      </c>
      <c r="Q6381">
        <v>2.0633660783111699E-2</v>
      </c>
      <c r="R6381">
        <v>0.99691815961055597</v>
      </c>
      <c r="S6381" t="s">
        <v>13187</v>
      </c>
      <c r="T6381" t="s">
        <v>13610</v>
      </c>
      <c r="U6381" t="s">
        <v>13610</v>
      </c>
      <c r="V6381" t="s">
        <v>13610</v>
      </c>
      <c r="W6381" t="s">
        <v>19915</v>
      </c>
      <c r="X6381">
        <v>4</v>
      </c>
      <c r="Y6381" t="s">
        <v>26457</v>
      </c>
      <c r="Z6381" t="s">
        <v>33236</v>
      </c>
      <c r="AA6381">
        <v>0.35643405065322631</v>
      </c>
      <c r="AB6381" t="str">
        <f>HYPERLINK("Melting_Curves/meltCurve_Q9UI95_MAD2L2.pdf", "Melting_Curves/meltCurve_Q9UI95_MAD2L2.pdf")</f>
        <v>Melting_Curves/meltCurve_Q9UI95_MAD2L2.pdf</v>
      </c>
    </row>
    <row r="6382" spans="1:28" x14ac:dyDescent="0.25">
      <c r="A6382" t="s">
        <v>6386</v>
      </c>
      <c r="B6382">
        <v>0.995954080203443</v>
      </c>
      <c r="C6382">
        <v>1.1093456405728199</v>
      </c>
      <c r="D6382">
        <v>0.90691774936394898</v>
      </c>
      <c r="E6382">
        <v>1.20527729957535</v>
      </c>
      <c r="F6382">
        <v>0.57651372610171403</v>
      </c>
      <c r="G6382">
        <v>0.117642747223035</v>
      </c>
      <c r="H6382">
        <v>7.3605341619852604E-2</v>
      </c>
      <c r="I6382">
        <v>5.6168711220378198E-2</v>
      </c>
      <c r="J6382">
        <v>8.5517855823778993E-2</v>
      </c>
      <c r="K6382">
        <v>6.8678658483423194E-2</v>
      </c>
      <c r="L6382">
        <v>13258.397372850999</v>
      </c>
      <c r="M6382">
        <v>250</v>
      </c>
      <c r="N6382">
        <v>53.0707826446898</v>
      </c>
      <c r="O6382">
        <v>53.030181931742803</v>
      </c>
      <c r="P6382">
        <v>-1.08390764495614</v>
      </c>
      <c r="Q6382">
        <v>8.03226476984506E-2</v>
      </c>
      <c r="R6382">
        <v>0.969997190734051</v>
      </c>
      <c r="S6382" t="s">
        <v>13188</v>
      </c>
      <c r="T6382" t="s">
        <v>13610</v>
      </c>
      <c r="U6382" t="s">
        <v>13610</v>
      </c>
      <c r="V6382" t="s">
        <v>13610</v>
      </c>
      <c r="W6382" t="s">
        <v>14025</v>
      </c>
      <c r="X6382">
        <v>46</v>
      </c>
      <c r="Y6382" t="s">
        <v>20749</v>
      </c>
      <c r="Z6382" t="s">
        <v>33237</v>
      </c>
      <c r="AA6382">
        <v>0.47996481409085029</v>
      </c>
      <c r="AB6382" t="str">
        <f>HYPERLINK("Melting_Curves/meltCurve_Q9UIA9_XPO7.pdf", "Melting_Curves/meltCurve_Q9UIA9_XPO7.pdf")</f>
        <v>Melting_Curves/meltCurve_Q9UIA9_XPO7.pdf</v>
      </c>
    </row>
    <row r="6383" spans="1:28" x14ac:dyDescent="0.25">
      <c r="A6383" t="s">
        <v>6387</v>
      </c>
      <c r="B6383">
        <v>0.995954080203443</v>
      </c>
      <c r="C6383">
        <v>1.05243981321377</v>
      </c>
      <c r="D6383">
        <v>1.0413774979747901</v>
      </c>
      <c r="E6383">
        <v>0.93115280397751599</v>
      </c>
      <c r="F6383">
        <v>0.44951348128805202</v>
      </c>
      <c r="G6383">
        <v>0.16211604813802599</v>
      </c>
      <c r="H6383">
        <v>0.10546075049605499</v>
      </c>
      <c r="I6383">
        <v>9.2531185596959498E-2</v>
      </c>
      <c r="J6383">
        <v>9.85855660762361E-2</v>
      </c>
      <c r="K6383">
        <v>9.3215112783128398E-2</v>
      </c>
      <c r="L6383">
        <v>2444.4098118418601</v>
      </c>
      <c r="M6383">
        <v>46.5547019881746</v>
      </c>
      <c r="N6383">
        <v>52.772668053646399</v>
      </c>
      <c r="O6383">
        <v>52.409578190016603</v>
      </c>
      <c r="P6383">
        <v>-0.19881024363417699</v>
      </c>
      <c r="Q6383">
        <v>0.10474785574225901</v>
      </c>
      <c r="R6383">
        <v>0.99648802742850795</v>
      </c>
      <c r="S6383" t="s">
        <v>13189</v>
      </c>
      <c r="T6383" t="s">
        <v>13610</v>
      </c>
      <c r="U6383" t="s">
        <v>13610</v>
      </c>
      <c r="V6383" t="s">
        <v>13610</v>
      </c>
      <c r="W6383" t="s">
        <v>19916</v>
      </c>
      <c r="X6383">
        <v>10</v>
      </c>
      <c r="Y6383" t="s">
        <v>26458</v>
      </c>
      <c r="Z6383" t="s">
        <v>33238</v>
      </c>
      <c r="AA6383">
        <v>0.48034740369620837</v>
      </c>
      <c r="AB6383" t="str">
        <f>HYPERLINK("Melting_Curves/meltCurve_Q9UIC8_LCMT1.pdf", "Melting_Curves/meltCurve_Q9UIC8_LCMT1.pdf")</f>
        <v>Melting_Curves/meltCurve_Q9UIC8_LCMT1.pdf</v>
      </c>
    </row>
    <row r="6384" spans="1:28" x14ac:dyDescent="0.25">
      <c r="A6384" t="s">
        <v>6388</v>
      </c>
      <c r="B6384">
        <v>0.995954080203443</v>
      </c>
      <c r="C6384">
        <v>0.88891714310213499</v>
      </c>
      <c r="D6384">
        <v>0.67433881098882797</v>
      </c>
      <c r="E6384">
        <v>0.51482469718118196</v>
      </c>
      <c r="F6384">
        <v>0.190353573084312</v>
      </c>
      <c r="G6384">
        <v>0.11332057579291099</v>
      </c>
      <c r="H6384">
        <v>8.4458078497220104E-2</v>
      </c>
      <c r="I6384">
        <v>7.9510264136928896E-2</v>
      </c>
      <c r="J6384">
        <v>8.8351452592934102E-2</v>
      </c>
      <c r="K6384">
        <v>8.3935529754174301E-2</v>
      </c>
      <c r="L6384">
        <v>772.27990432992101</v>
      </c>
      <c r="M6384">
        <v>15.9135992282211</v>
      </c>
      <c r="N6384">
        <v>48.909985908313097</v>
      </c>
      <c r="O6384">
        <v>47.782611719048901</v>
      </c>
      <c r="P6384">
        <v>-7.8419913786289902E-2</v>
      </c>
      <c r="Q6384">
        <v>5.8212275058705701E-2</v>
      </c>
      <c r="R6384">
        <v>0.98554722456382704</v>
      </c>
      <c r="S6384" t="s">
        <v>13190</v>
      </c>
      <c r="T6384" t="s">
        <v>13610</v>
      </c>
      <c r="U6384" t="s">
        <v>13610</v>
      </c>
      <c r="V6384" t="s">
        <v>13610</v>
      </c>
      <c r="W6384" t="s">
        <v>19917</v>
      </c>
      <c r="X6384">
        <v>24</v>
      </c>
      <c r="Y6384" t="s">
        <v>26459</v>
      </c>
      <c r="Z6384" t="s">
        <v>33239</v>
      </c>
      <c r="AA6384">
        <v>0.34707715495309499</v>
      </c>
      <c r="AB6384" t="str">
        <f>HYPERLINK("Melting_Curves/meltCurve_Q9UID3_VPS51.pdf", "Melting_Curves/meltCurve_Q9UID3_VPS51.pdf")</f>
        <v>Melting_Curves/meltCurve_Q9UID3_VPS51.pdf</v>
      </c>
    </row>
    <row r="6385" spans="1:28" x14ac:dyDescent="0.25">
      <c r="A6385" t="s">
        <v>6389</v>
      </c>
      <c r="B6385">
        <v>0.995954080203443</v>
      </c>
      <c r="C6385">
        <v>0.79859981345379505</v>
      </c>
      <c r="D6385">
        <v>0.45962547622114502</v>
      </c>
      <c r="E6385">
        <v>0.27259050304870602</v>
      </c>
      <c r="F6385">
        <v>0.16598742881544601</v>
      </c>
      <c r="G6385">
        <v>0.102242891569682</v>
      </c>
      <c r="H6385">
        <v>8.2543906239677195E-2</v>
      </c>
      <c r="I6385">
        <v>9.6312378633685594E-2</v>
      </c>
      <c r="J6385">
        <v>0.10871853315284</v>
      </c>
      <c r="K6385">
        <v>0.107180724625629</v>
      </c>
      <c r="L6385">
        <v>920.88489943474497</v>
      </c>
      <c r="M6385">
        <v>20.255205461463699</v>
      </c>
      <c r="N6385">
        <v>45.983345769965503</v>
      </c>
      <c r="O6385">
        <v>45.027925166135802</v>
      </c>
      <c r="P6385">
        <v>-0.10096628791984399</v>
      </c>
      <c r="Q6385">
        <v>0.102223550767997</v>
      </c>
      <c r="R6385">
        <v>0.99246466047640802</v>
      </c>
      <c r="S6385" t="s">
        <v>13191</v>
      </c>
      <c r="T6385" t="s">
        <v>13610</v>
      </c>
      <c r="U6385" t="s">
        <v>13610</v>
      </c>
      <c r="V6385" t="s">
        <v>13610</v>
      </c>
      <c r="W6385" t="s">
        <v>19918</v>
      </c>
      <c r="X6385">
        <v>21</v>
      </c>
      <c r="Y6385" t="s">
        <v>26460</v>
      </c>
      <c r="Z6385" t="s">
        <v>33240</v>
      </c>
      <c r="AA6385">
        <v>0.27981540762715978</v>
      </c>
      <c r="AB6385" t="str">
        <f>HYPERLINK("Melting_Curves/meltCurve_Q9UIG0_2_BAZ1B.pdf", "Melting_Curves/meltCurve_Q9UIG0_2_BAZ1B.pdf")</f>
        <v>Melting_Curves/meltCurve_Q9UIG0_2_BAZ1B.pdf</v>
      </c>
    </row>
    <row r="6386" spans="1:28" x14ac:dyDescent="0.25">
      <c r="A6386" t="s">
        <v>6390</v>
      </c>
      <c r="B6386">
        <v>0.995954080203443</v>
      </c>
      <c r="C6386">
        <v>0.81117148438266196</v>
      </c>
      <c r="D6386">
        <v>1.34518796214533</v>
      </c>
      <c r="E6386">
        <v>0.83488205923088699</v>
      </c>
      <c r="F6386">
        <v>1.1118849149922001</v>
      </c>
      <c r="G6386">
        <v>1.1160304589494201</v>
      </c>
      <c r="H6386">
        <v>1.1137324485071101</v>
      </c>
      <c r="I6386">
        <v>1.58517590590012</v>
      </c>
      <c r="J6386">
        <v>2.07243380010217</v>
      </c>
      <c r="K6386">
        <v>1.7066529426386801</v>
      </c>
      <c r="L6386">
        <v>15000</v>
      </c>
      <c r="M6386">
        <v>244.67914270334899</v>
      </c>
      <c r="O6386">
        <v>61.300680083923503</v>
      </c>
      <c r="P6386">
        <v>0.49893235654130103</v>
      </c>
      <c r="Q6386">
        <v>1.5</v>
      </c>
      <c r="R6386">
        <v>0.60627535599097004</v>
      </c>
      <c r="S6386" t="s">
        <v>13192</v>
      </c>
      <c r="T6386" t="s">
        <v>13610</v>
      </c>
      <c r="U6386" t="s">
        <v>13610</v>
      </c>
      <c r="V6386" t="s">
        <v>13610</v>
      </c>
      <c r="W6386" t="s">
        <v>19919</v>
      </c>
      <c r="X6386">
        <v>8</v>
      </c>
      <c r="Y6386" t="s">
        <v>26461</v>
      </c>
      <c r="Z6386" t="s">
        <v>33241</v>
      </c>
      <c r="AA6386">
        <v>1.1448642422978601</v>
      </c>
      <c r="AB6386" t="str">
        <f>HYPERLINK("Melting_Curves/meltCurve_Q9UII2_ATPIF1.pdf", "Melting_Curves/meltCurve_Q9UII2_ATPIF1.pdf")</f>
        <v>Melting_Curves/meltCurve_Q9UII2_ATPIF1.pdf</v>
      </c>
    </row>
    <row r="6387" spans="1:28" x14ac:dyDescent="0.25">
      <c r="A6387" t="s">
        <v>6391</v>
      </c>
      <c r="B6387">
        <v>0.995954080203443</v>
      </c>
      <c r="C6387">
        <v>0.88681134876283696</v>
      </c>
      <c r="D6387">
        <v>1.1241996978282001</v>
      </c>
      <c r="E6387">
        <v>0.801036851637416</v>
      </c>
      <c r="F6387">
        <v>0.937648258690985</v>
      </c>
      <c r="G6387">
        <v>0.707094062920121</v>
      </c>
      <c r="H6387">
        <v>0.70303096517605701</v>
      </c>
      <c r="I6387">
        <v>0.76460637251775598</v>
      </c>
      <c r="J6387">
        <v>1.1334197302251401</v>
      </c>
      <c r="K6387">
        <v>0.88219672110107705</v>
      </c>
      <c r="L6387">
        <v>12004.0136925718</v>
      </c>
      <c r="M6387">
        <v>250</v>
      </c>
      <c r="O6387">
        <v>48.012982605423701</v>
      </c>
      <c r="P6387">
        <v>-0.19915933068553601</v>
      </c>
      <c r="Q6387">
        <v>0.84700426623442304</v>
      </c>
      <c r="R6387">
        <v>0.230617860194619</v>
      </c>
      <c r="S6387" t="s">
        <v>13193</v>
      </c>
      <c r="T6387" t="s">
        <v>13610</v>
      </c>
      <c r="U6387" t="s">
        <v>13610</v>
      </c>
      <c r="V6387" t="s">
        <v>13610</v>
      </c>
      <c r="W6387" t="s">
        <v>19920</v>
      </c>
      <c r="X6387">
        <v>2</v>
      </c>
      <c r="Y6387" t="s">
        <v>26462</v>
      </c>
      <c r="Z6387" t="s">
        <v>33242</v>
      </c>
      <c r="AA6387">
        <v>0.88789789817436737</v>
      </c>
      <c r="AB6387" t="str">
        <f>HYPERLINK("Melting_Curves/meltCurve_Q9UIL1_3_SCOC.pdf", "Melting_Curves/meltCurve_Q9UIL1_3_SCOC.pdf")</f>
        <v>Melting_Curves/meltCurve_Q9UIL1_3_SCOC.pdf</v>
      </c>
    </row>
    <row r="6388" spans="1:28" x14ac:dyDescent="0.25">
      <c r="A6388" t="s">
        <v>6392</v>
      </c>
      <c r="B6388">
        <v>0.995954080203443</v>
      </c>
      <c r="C6388">
        <v>1.0602295637932999</v>
      </c>
      <c r="D6388">
        <v>1.0258466221940801</v>
      </c>
      <c r="E6388">
        <v>0.81844130374342094</v>
      </c>
      <c r="F6388">
        <v>0.41907767768816301</v>
      </c>
      <c r="G6388">
        <v>0.218434493379212</v>
      </c>
      <c r="H6388">
        <v>0.14534855501680699</v>
      </c>
      <c r="I6388">
        <v>0.13707536321932901</v>
      </c>
      <c r="J6388">
        <v>0.15606415639323201</v>
      </c>
      <c r="K6388">
        <v>0.16040050300818501</v>
      </c>
      <c r="L6388">
        <v>1809.5499617944199</v>
      </c>
      <c r="M6388">
        <v>34.891420530224003</v>
      </c>
      <c r="N6388">
        <v>52.416349258807898</v>
      </c>
      <c r="O6388">
        <v>51.692843787956903</v>
      </c>
      <c r="P6388">
        <v>-0.14272199243727299</v>
      </c>
      <c r="Q6388">
        <v>0.154212789196841</v>
      </c>
      <c r="R6388">
        <v>0.99574354638461005</v>
      </c>
      <c r="S6388" t="s">
        <v>13194</v>
      </c>
      <c r="T6388" t="s">
        <v>13610</v>
      </c>
      <c r="U6388" t="s">
        <v>13610</v>
      </c>
      <c r="V6388" t="s">
        <v>13610</v>
      </c>
      <c r="W6388" t="s">
        <v>19921</v>
      </c>
      <c r="X6388">
        <v>14</v>
      </c>
      <c r="Y6388" t="s">
        <v>26463</v>
      </c>
      <c r="Z6388" t="s">
        <v>33243</v>
      </c>
      <c r="AA6388">
        <v>0.49263424425701779</v>
      </c>
      <c r="AB6388" t="str">
        <f>HYPERLINK("Melting_Curves/meltCurve_Q9UIM3_FKBPL.pdf", "Melting_Curves/meltCurve_Q9UIM3_FKBPL.pdf")</f>
        <v>Melting_Curves/meltCurve_Q9UIM3_FKBPL.pdf</v>
      </c>
    </row>
    <row r="6389" spans="1:28" x14ac:dyDescent="0.25">
      <c r="A6389" t="s">
        <v>6393</v>
      </c>
      <c r="B6389">
        <v>0.995954080203443</v>
      </c>
      <c r="C6389">
        <v>1.13004573989549</v>
      </c>
      <c r="D6389">
        <v>1.01096422910704</v>
      </c>
      <c r="E6389">
        <v>0.98683507494494405</v>
      </c>
      <c r="F6389">
        <v>0.77340972585464596</v>
      </c>
      <c r="G6389">
        <v>0.51127512973963596</v>
      </c>
      <c r="H6389">
        <v>0.38820265574342699</v>
      </c>
      <c r="I6389">
        <v>0.46443090223357802</v>
      </c>
      <c r="J6389">
        <v>0.40204525238982403</v>
      </c>
      <c r="K6389">
        <v>0.52282794274958899</v>
      </c>
      <c r="L6389">
        <v>2184.0559368653999</v>
      </c>
      <c r="M6389">
        <v>40.786153312098897</v>
      </c>
      <c r="N6389">
        <v>56.681391133394499</v>
      </c>
      <c r="O6389">
        <v>53.420719085177502</v>
      </c>
      <c r="P6389">
        <v>-0.105455150190532</v>
      </c>
      <c r="Q6389">
        <v>0.44751072750465198</v>
      </c>
      <c r="R6389">
        <v>0.96089375079577399</v>
      </c>
      <c r="S6389" t="s">
        <v>13195</v>
      </c>
      <c r="T6389" t="s">
        <v>13610</v>
      </c>
      <c r="U6389" t="s">
        <v>13610</v>
      </c>
      <c r="V6389" t="s">
        <v>13610</v>
      </c>
      <c r="W6389" t="s">
        <v>19922</v>
      </c>
      <c r="X6389">
        <v>3</v>
      </c>
      <c r="Y6389" t="s">
        <v>26464</v>
      </c>
      <c r="Z6389" t="s">
        <v>33244</v>
      </c>
      <c r="AA6389">
        <v>0.6989963017070282</v>
      </c>
      <c r="AB6389" t="str">
        <f>HYPERLINK("Melting_Curves/meltCurve_Q9UIQ6_3_LNPEP.pdf", "Melting_Curves/meltCurve_Q9UIQ6_3_LNPEP.pdf")</f>
        <v>Melting_Curves/meltCurve_Q9UIQ6_3_LNPEP.pdf</v>
      </c>
    </row>
    <row r="6390" spans="1:28" x14ac:dyDescent="0.25">
      <c r="A6390" t="s">
        <v>6394</v>
      </c>
      <c r="B6390">
        <v>0.995954080203443</v>
      </c>
      <c r="C6390">
        <v>0.97692509977067099</v>
      </c>
      <c r="D6390">
        <v>0.98415542354499597</v>
      </c>
      <c r="E6390">
        <v>0.90276604974458097</v>
      </c>
      <c r="F6390">
        <v>0.91915774002985595</v>
      </c>
      <c r="G6390">
        <v>0.70046855931566998</v>
      </c>
      <c r="H6390">
        <v>0.69585380116436102</v>
      </c>
      <c r="I6390">
        <v>0.88586163280503305</v>
      </c>
      <c r="J6390">
        <v>0.97917372370450495</v>
      </c>
      <c r="K6390">
        <v>1.0237191394838301</v>
      </c>
      <c r="L6390">
        <v>1626.17871050036</v>
      </c>
      <c r="M6390">
        <v>33.294588659798201</v>
      </c>
      <c r="O6390">
        <v>48.666942491137597</v>
      </c>
      <c r="P6390">
        <v>-2.31304229360191E-2</v>
      </c>
      <c r="Q6390">
        <v>0.86476094781730595</v>
      </c>
      <c r="R6390">
        <v>0.22426663679874101</v>
      </c>
      <c r="S6390" t="s">
        <v>13196</v>
      </c>
      <c r="T6390" t="s">
        <v>13610</v>
      </c>
      <c r="U6390" t="s">
        <v>13610</v>
      </c>
      <c r="V6390" t="s">
        <v>13610</v>
      </c>
      <c r="W6390" t="s">
        <v>19923</v>
      </c>
      <c r="X6390">
        <v>3</v>
      </c>
      <c r="Y6390" t="s">
        <v>26465</v>
      </c>
      <c r="Z6390" t="s">
        <v>33245</v>
      </c>
      <c r="AA6390">
        <v>0.9052848855886656</v>
      </c>
      <c r="AB6390" t="str">
        <f>HYPERLINK("Melting_Curves/meltCurve_Q9UIU6_SIX4.pdf", "Melting_Curves/meltCurve_Q9UIU6_SIX4.pdf")</f>
        <v>Melting_Curves/meltCurve_Q9UIU6_SIX4.pdf</v>
      </c>
    </row>
    <row r="6391" spans="1:28" x14ac:dyDescent="0.25">
      <c r="A6391" t="s">
        <v>6395</v>
      </c>
      <c r="B6391">
        <v>0.995954080203443</v>
      </c>
      <c r="C6391">
        <v>0.85532958925565294</v>
      </c>
      <c r="D6391">
        <v>0.71538887763811199</v>
      </c>
      <c r="E6391">
        <v>0.83921979910453903</v>
      </c>
      <c r="F6391">
        <v>0.42458392328869898</v>
      </c>
      <c r="G6391">
        <v>0.187346869418062</v>
      </c>
      <c r="H6391">
        <v>0.104654368816578</v>
      </c>
      <c r="I6391">
        <v>8.7099885385982206E-2</v>
      </c>
      <c r="J6391">
        <v>9.5216242017629502E-2</v>
      </c>
      <c r="K6391">
        <v>8.4685623517849598E-2</v>
      </c>
      <c r="L6391">
        <v>681.17482551866101</v>
      </c>
      <c r="M6391">
        <v>13.0550051820536</v>
      </c>
      <c r="N6391">
        <v>52.281822017789402</v>
      </c>
      <c r="O6391">
        <v>50.998553104159498</v>
      </c>
      <c r="P6391">
        <v>-6.3183505474482496E-2</v>
      </c>
      <c r="Q6391">
        <v>1.2882055685503799E-2</v>
      </c>
      <c r="R6391">
        <v>0.93994863944444496</v>
      </c>
      <c r="S6391" t="s">
        <v>13197</v>
      </c>
      <c r="T6391" t="s">
        <v>13610</v>
      </c>
      <c r="U6391" t="s">
        <v>13610</v>
      </c>
      <c r="V6391" t="s">
        <v>13610</v>
      </c>
      <c r="W6391" t="s">
        <v>19924</v>
      </c>
      <c r="X6391">
        <v>9</v>
      </c>
      <c r="Y6391" t="s">
        <v>26466</v>
      </c>
      <c r="Z6391" t="s">
        <v>33246</v>
      </c>
      <c r="AA6391">
        <v>0.44030603120737499</v>
      </c>
      <c r="AB6391" t="str">
        <f>HYPERLINK("Melting_Curves/meltCurve_Q9UIV1_CNOT7.pdf", "Melting_Curves/meltCurve_Q9UIV1_CNOT7.pdf")</f>
        <v>Melting_Curves/meltCurve_Q9UIV1_CNOT7.pdf</v>
      </c>
    </row>
    <row r="6392" spans="1:28" x14ac:dyDescent="0.25">
      <c r="A6392" t="s">
        <v>6396</v>
      </c>
      <c r="B6392">
        <v>0.995954080203443</v>
      </c>
      <c r="C6392">
        <v>1.00639516227536</v>
      </c>
      <c r="D6392">
        <v>0.97540348972200197</v>
      </c>
      <c r="E6392">
        <v>0.83085233042675499</v>
      </c>
      <c r="F6392">
        <v>0.58293675904925502</v>
      </c>
      <c r="G6392">
        <v>0.279485971965452</v>
      </c>
      <c r="H6392">
        <v>0.12553784334448101</v>
      </c>
      <c r="I6392">
        <v>0.11379494641733801</v>
      </c>
      <c r="J6392">
        <v>0.14119737640386401</v>
      </c>
      <c r="K6392">
        <v>0.121282439715687</v>
      </c>
      <c r="L6392">
        <v>1233.86950836238</v>
      </c>
      <c r="M6392">
        <v>23.171952891001698</v>
      </c>
      <c r="N6392">
        <v>53.8242390257926</v>
      </c>
      <c r="O6392">
        <v>52.856578932238499</v>
      </c>
      <c r="P6392">
        <v>-9.7568060649036698E-2</v>
      </c>
      <c r="Q6392">
        <v>0.109782382976624</v>
      </c>
      <c r="R6392">
        <v>0.99866117221817396</v>
      </c>
      <c r="S6392" t="s">
        <v>13198</v>
      </c>
      <c r="T6392" t="s">
        <v>13610</v>
      </c>
      <c r="U6392" t="s">
        <v>13610</v>
      </c>
      <c r="V6392" t="s">
        <v>13610</v>
      </c>
      <c r="W6392" t="s">
        <v>19925</v>
      </c>
      <c r="X6392">
        <v>20</v>
      </c>
      <c r="Y6392" t="s">
        <v>26467</v>
      </c>
      <c r="Z6392" t="s">
        <v>33247</v>
      </c>
      <c r="AA6392">
        <v>0.51235471341059236</v>
      </c>
      <c r="AB6392" t="str">
        <f>HYPERLINK("Melting_Curves/meltCurve_Q9UJ41_2_RABGEF1.pdf", "Melting_Curves/meltCurve_Q9UJ41_2_RABGEF1.pdf")</f>
        <v>Melting_Curves/meltCurve_Q9UJ41_2_RABGEF1.pdf</v>
      </c>
    </row>
    <row r="6393" spans="1:28" x14ac:dyDescent="0.25">
      <c r="A6393" t="s">
        <v>6397</v>
      </c>
      <c r="B6393">
        <v>0.995954080203443</v>
      </c>
      <c r="C6393">
        <v>0.86121040440864005</v>
      </c>
      <c r="D6393">
        <v>0.74194783149874399</v>
      </c>
      <c r="E6393">
        <v>0.38350278099360702</v>
      </c>
      <c r="F6393">
        <v>0.27772293842504098</v>
      </c>
      <c r="G6393">
        <v>0.18190661682610201</v>
      </c>
      <c r="H6393">
        <v>0.123909627854667</v>
      </c>
      <c r="I6393">
        <v>4.9946587379082197E-2</v>
      </c>
      <c r="J6393">
        <v>0.135548025558861</v>
      </c>
      <c r="K6393">
        <v>0.14208421142191399</v>
      </c>
      <c r="L6393">
        <v>811.41530786360897</v>
      </c>
      <c r="M6393">
        <v>16.8845929619022</v>
      </c>
      <c r="N6393">
        <v>48.741061125733999</v>
      </c>
      <c r="O6393">
        <v>47.397659283941202</v>
      </c>
      <c r="P6393">
        <v>-7.9662653025426702E-2</v>
      </c>
      <c r="Q6393">
        <v>0.10555568483761001</v>
      </c>
      <c r="R6393">
        <v>0.99045912990111995</v>
      </c>
      <c r="S6393" t="s">
        <v>13199</v>
      </c>
      <c r="T6393" t="s">
        <v>13610</v>
      </c>
      <c r="U6393" t="s">
        <v>13610</v>
      </c>
      <c r="V6393" t="s">
        <v>13610</v>
      </c>
      <c r="W6393" t="s">
        <v>19926</v>
      </c>
      <c r="X6393">
        <v>5</v>
      </c>
      <c r="Y6393" t="s">
        <v>26468</v>
      </c>
      <c r="Z6393" t="s">
        <v>33248</v>
      </c>
      <c r="AA6393">
        <v>0.36384458584463952</v>
      </c>
      <c r="AB6393" t="str">
        <f>HYPERLINK("Melting_Curves/meltCurve_Q9UJ68_2_MSRA.pdf", "Melting_Curves/meltCurve_Q9UJ68_2_MSRA.pdf")</f>
        <v>Melting_Curves/meltCurve_Q9UJ68_2_MSRA.pdf</v>
      </c>
    </row>
    <row r="6394" spans="1:28" x14ac:dyDescent="0.25">
      <c r="A6394" t="s">
        <v>6398</v>
      </c>
      <c r="B6394">
        <v>0.995954080203443</v>
      </c>
      <c r="C6394">
        <v>0.97561750915188805</v>
      </c>
      <c r="D6394">
        <v>0.96525671501643495</v>
      </c>
      <c r="E6394">
        <v>0.86427921950335296</v>
      </c>
      <c r="F6394">
        <v>0.77062978936429405</v>
      </c>
      <c r="G6394">
        <v>0.46648684167453303</v>
      </c>
      <c r="H6394">
        <v>0.16691650256694501</v>
      </c>
      <c r="I6394">
        <v>0.102150806204408</v>
      </c>
      <c r="J6394">
        <v>0.1041809998122</v>
      </c>
      <c r="K6394">
        <v>9.5024794699833701E-2</v>
      </c>
      <c r="L6394">
        <v>1077.0472599530401</v>
      </c>
      <c r="M6394">
        <v>19.2780237087347</v>
      </c>
      <c r="N6394">
        <v>56.185775963805703</v>
      </c>
      <c r="O6394">
        <v>55.2784222575239</v>
      </c>
      <c r="P6394">
        <v>-8.2701777581945093E-2</v>
      </c>
      <c r="Q6394">
        <v>5.1468837529996002E-2</v>
      </c>
      <c r="R6394">
        <v>0.99493196924240002</v>
      </c>
      <c r="S6394" t="s">
        <v>13200</v>
      </c>
      <c r="T6394" t="s">
        <v>13610</v>
      </c>
      <c r="U6394" t="s">
        <v>13610</v>
      </c>
      <c r="V6394" t="s">
        <v>13610</v>
      </c>
      <c r="W6394" t="s">
        <v>19927</v>
      </c>
      <c r="X6394">
        <v>15</v>
      </c>
      <c r="Y6394" t="s">
        <v>26469</v>
      </c>
      <c r="Z6394" t="s">
        <v>33249</v>
      </c>
      <c r="AA6394">
        <v>0.56612312369975704</v>
      </c>
      <c r="AB6394" t="str">
        <f>HYPERLINK("Melting_Curves/meltCurve_Q9UJ70_NAGK.pdf", "Melting_Curves/meltCurve_Q9UJ70_NAGK.pdf")</f>
        <v>Melting_Curves/meltCurve_Q9UJ70_NAGK.pdf</v>
      </c>
    </row>
    <row r="6395" spans="1:28" x14ac:dyDescent="0.25">
      <c r="A6395" t="s">
        <v>6399</v>
      </c>
      <c r="B6395">
        <v>0.995954080203443</v>
      </c>
      <c r="C6395">
        <v>0.92846550379789505</v>
      </c>
      <c r="D6395">
        <v>0.84363194217561599</v>
      </c>
      <c r="E6395">
        <v>0.74896529797427702</v>
      </c>
      <c r="F6395">
        <v>0.62304394184350798</v>
      </c>
      <c r="G6395">
        <v>0.408973196668724</v>
      </c>
      <c r="H6395">
        <v>0.35911347993407799</v>
      </c>
      <c r="I6395">
        <v>0.42445189930317401</v>
      </c>
      <c r="J6395">
        <v>0.47690300624208498</v>
      </c>
      <c r="K6395">
        <v>0.41708050454788598</v>
      </c>
      <c r="L6395">
        <v>775.59919597188605</v>
      </c>
      <c r="M6395">
        <v>15.4334723327886</v>
      </c>
      <c r="N6395">
        <v>55.896539190084901</v>
      </c>
      <c r="O6395">
        <v>49.4333091588258</v>
      </c>
      <c r="P6395">
        <v>-4.7248672235981802E-2</v>
      </c>
      <c r="Q6395">
        <v>0.394705959902383</v>
      </c>
      <c r="R6395">
        <v>0.95899222870628698</v>
      </c>
      <c r="S6395" t="s">
        <v>13201</v>
      </c>
      <c r="T6395" t="s">
        <v>13610</v>
      </c>
      <c r="U6395" t="s">
        <v>13610</v>
      </c>
      <c r="V6395" t="s">
        <v>13610</v>
      </c>
      <c r="W6395" t="s">
        <v>19928</v>
      </c>
      <c r="X6395">
        <v>3</v>
      </c>
      <c r="Y6395" t="s">
        <v>26470</v>
      </c>
      <c r="Z6395" t="s">
        <v>33250</v>
      </c>
      <c r="AA6395">
        <v>0.61522199146259993</v>
      </c>
      <c r="AB6395" t="str">
        <f>HYPERLINK("Melting_Curves/meltCurve_Q9UJ78_2_ZMYM5.pdf", "Melting_Curves/meltCurve_Q9UJ78_2_ZMYM5.pdf")</f>
        <v>Melting_Curves/meltCurve_Q9UJ78_2_ZMYM5.pdf</v>
      </c>
    </row>
    <row r="6396" spans="1:28" x14ac:dyDescent="0.25">
      <c r="A6396" t="s">
        <v>6400</v>
      </c>
      <c r="B6396">
        <v>0.995954080203443</v>
      </c>
      <c r="C6396">
        <v>0.88014060767063196</v>
      </c>
      <c r="D6396">
        <v>0.75210385149581505</v>
      </c>
      <c r="E6396">
        <v>0.85428228412685603</v>
      </c>
      <c r="F6396">
        <v>0.60526758099422195</v>
      </c>
      <c r="G6396">
        <v>0.40744053373740202</v>
      </c>
      <c r="H6396">
        <v>0.14299566106037501</v>
      </c>
      <c r="I6396">
        <v>9.1523617702799195E-2</v>
      </c>
      <c r="J6396">
        <v>9.2985517490325895E-2</v>
      </c>
      <c r="K6396">
        <v>8.2047304319571898E-2</v>
      </c>
      <c r="L6396">
        <v>675.48607106267002</v>
      </c>
      <c r="M6396">
        <v>12.3864004601995</v>
      </c>
      <c r="N6396">
        <v>54.534493100732298</v>
      </c>
      <c r="O6396">
        <v>53.171530960786903</v>
      </c>
      <c r="P6396">
        <v>-5.82503501647261E-2</v>
      </c>
      <c r="Q6396">
        <v>0</v>
      </c>
      <c r="R6396">
        <v>0.95857871043301801</v>
      </c>
      <c r="S6396" t="s">
        <v>13202</v>
      </c>
      <c r="T6396" t="s">
        <v>13610</v>
      </c>
      <c r="U6396" t="s">
        <v>13610</v>
      </c>
      <c r="V6396" t="s">
        <v>13610</v>
      </c>
      <c r="W6396" t="s">
        <v>19929</v>
      </c>
      <c r="X6396">
        <v>15</v>
      </c>
      <c r="Y6396" t="s">
        <v>26471</v>
      </c>
      <c r="Z6396" t="s">
        <v>33251</v>
      </c>
      <c r="AA6396">
        <v>0.50857851559885081</v>
      </c>
      <c r="AB6396" t="str">
        <f>HYPERLINK("Melting_Curves/meltCurve_Q9UJA5_TRMT6.pdf", "Melting_Curves/meltCurve_Q9UJA5_TRMT6.pdf")</f>
        <v>Melting_Curves/meltCurve_Q9UJA5_TRMT6.pdf</v>
      </c>
    </row>
    <row r="6397" spans="1:28" x14ac:dyDescent="0.25">
      <c r="A6397" t="s">
        <v>6401</v>
      </c>
      <c r="B6397">
        <v>0.995954080203443</v>
      </c>
      <c r="C6397">
        <v>1.0141625787766699</v>
      </c>
      <c r="D6397">
        <v>0.93580968310535395</v>
      </c>
      <c r="E6397">
        <v>0.92184883219299196</v>
      </c>
      <c r="F6397">
        <v>0.75186870304790299</v>
      </c>
      <c r="G6397">
        <v>0.46421460748625498</v>
      </c>
      <c r="H6397">
        <v>0.20896682701972499</v>
      </c>
      <c r="I6397">
        <v>0.11165771760811501</v>
      </c>
      <c r="J6397">
        <v>9.4458135230627197E-2</v>
      </c>
      <c r="K6397">
        <v>9.40126656051299E-2</v>
      </c>
      <c r="L6397">
        <v>1071.5680387264799</v>
      </c>
      <c r="M6397">
        <v>19.139481193630399</v>
      </c>
      <c r="N6397">
        <v>56.328825163735203</v>
      </c>
      <c r="O6397">
        <v>55.386857262125297</v>
      </c>
      <c r="P6397">
        <v>-8.1660685885515102E-2</v>
      </c>
      <c r="Q6397">
        <v>5.47803150253258E-2</v>
      </c>
      <c r="R6397">
        <v>0.99722149869855803</v>
      </c>
      <c r="S6397" t="s">
        <v>13203</v>
      </c>
      <c r="T6397" t="s">
        <v>13610</v>
      </c>
      <c r="U6397" t="s">
        <v>13610</v>
      </c>
      <c r="V6397" t="s">
        <v>13610</v>
      </c>
      <c r="W6397" t="s">
        <v>19930</v>
      </c>
      <c r="X6397">
        <v>3</v>
      </c>
      <c r="Y6397" t="s">
        <v>26472</v>
      </c>
      <c r="Z6397" t="s">
        <v>33252</v>
      </c>
      <c r="AA6397">
        <v>0.57141133356759843</v>
      </c>
      <c r="AB6397" t="str">
        <f>HYPERLINK("Melting_Curves/meltCurve_Q9UJC5_SH3BGRL2.pdf", "Melting_Curves/meltCurve_Q9UJC5_SH3BGRL2.pdf")</f>
        <v>Melting_Curves/meltCurve_Q9UJC5_SH3BGRL2.pdf</v>
      </c>
    </row>
    <row r="6398" spans="1:28" x14ac:dyDescent="0.25">
      <c r="A6398" t="s">
        <v>6402</v>
      </c>
      <c r="B6398">
        <v>0.995954080203443</v>
      </c>
      <c r="C6398">
        <v>0.91077621077731896</v>
      </c>
      <c r="D6398">
        <v>0.96833782744860897</v>
      </c>
      <c r="E6398">
        <v>0.74519374412975004</v>
      </c>
      <c r="F6398">
        <v>0.75776520514379697</v>
      </c>
      <c r="G6398">
        <v>0.56037229851622194</v>
      </c>
      <c r="H6398">
        <v>0.48771325745772398</v>
      </c>
      <c r="I6398">
        <v>0.55425189229729699</v>
      </c>
      <c r="J6398">
        <v>0.61972187144254798</v>
      </c>
      <c r="K6398">
        <v>0.61812745011764003</v>
      </c>
      <c r="L6398">
        <v>932.76210846073798</v>
      </c>
      <c r="M6398">
        <v>18.5945722482371</v>
      </c>
      <c r="O6398">
        <v>49.593742337895399</v>
      </c>
      <c r="P6398">
        <v>-4.0988908930280697E-2</v>
      </c>
      <c r="Q6398">
        <v>0.56273135676142405</v>
      </c>
      <c r="R6398">
        <v>0.900230155282294</v>
      </c>
      <c r="S6398" t="s">
        <v>13204</v>
      </c>
      <c r="T6398" t="s">
        <v>13610</v>
      </c>
      <c r="U6398" t="s">
        <v>13610</v>
      </c>
      <c r="V6398" t="s">
        <v>13610</v>
      </c>
      <c r="W6398" t="s">
        <v>19931</v>
      </c>
      <c r="X6398">
        <v>9</v>
      </c>
      <c r="Y6398" t="s">
        <v>26473</v>
      </c>
      <c r="Z6398" t="s">
        <v>33253</v>
      </c>
      <c r="AA6398">
        <v>0.71786291052983253</v>
      </c>
      <c r="AB6398" t="str">
        <f>HYPERLINK("Melting_Curves/meltCurve_Q9UJJ2_ZNF280C.pdf", "Melting_Curves/meltCurve_Q9UJJ2_ZNF280C.pdf")</f>
        <v>Melting_Curves/meltCurve_Q9UJJ2_ZNF280C.pdf</v>
      </c>
    </row>
    <row r="6399" spans="1:28" x14ac:dyDescent="0.25">
      <c r="A6399" t="s">
        <v>6403</v>
      </c>
      <c r="B6399">
        <v>0.995954080203443</v>
      </c>
      <c r="C6399">
        <v>0.963141688327949</v>
      </c>
      <c r="D6399">
        <v>0.81405602237436903</v>
      </c>
      <c r="E6399">
        <v>0.74558165347175798</v>
      </c>
      <c r="F6399">
        <v>0.60264151213059702</v>
      </c>
      <c r="G6399">
        <v>0.36194451299449798</v>
      </c>
      <c r="H6399">
        <v>0.16434816205335301</v>
      </c>
      <c r="I6399">
        <v>0.10763089438597</v>
      </c>
      <c r="J6399">
        <v>7.8925748562271206E-2</v>
      </c>
      <c r="K6399">
        <v>0.10616444512659701</v>
      </c>
      <c r="L6399">
        <v>649.26339805661405</v>
      </c>
      <c r="M6399">
        <v>11.998821519891999</v>
      </c>
      <c r="N6399">
        <v>54.1105969876321</v>
      </c>
      <c r="O6399">
        <v>52.673329263201403</v>
      </c>
      <c r="P6399">
        <v>-5.6962959727006601E-2</v>
      </c>
      <c r="Q6399">
        <v>0</v>
      </c>
      <c r="R6399">
        <v>0.98973520881930299</v>
      </c>
      <c r="S6399" t="s">
        <v>13205</v>
      </c>
      <c r="T6399" t="s">
        <v>13610</v>
      </c>
      <c r="U6399" t="s">
        <v>13610</v>
      </c>
      <c r="V6399" t="s">
        <v>13610</v>
      </c>
      <c r="W6399" t="s">
        <v>19932</v>
      </c>
      <c r="X6399">
        <v>5</v>
      </c>
      <c r="Y6399" t="s">
        <v>26474</v>
      </c>
      <c r="Z6399" t="s">
        <v>33254</v>
      </c>
      <c r="AA6399">
        <v>0.49619518543473462</v>
      </c>
      <c r="AB6399" t="str">
        <f>HYPERLINK("Melting_Curves/meltCurve_Q9UJK0_TSR3.pdf", "Melting_Curves/meltCurve_Q9UJK0_TSR3.pdf")</f>
        <v>Melting_Curves/meltCurve_Q9UJK0_TSR3.pdf</v>
      </c>
    </row>
    <row r="6400" spans="1:28" x14ac:dyDescent="0.25">
      <c r="A6400" t="s">
        <v>6404</v>
      </c>
      <c r="B6400">
        <v>0.995954080203443</v>
      </c>
      <c r="C6400">
        <v>0.70082923839912703</v>
      </c>
      <c r="D6400">
        <v>0</v>
      </c>
      <c r="E6400">
        <v>0.657723922698085</v>
      </c>
      <c r="F6400">
        <v>0.82999078786646896</v>
      </c>
      <c r="G6400">
        <v>0.73156197944430501</v>
      </c>
      <c r="H6400">
        <v>0.73107308538336602</v>
      </c>
      <c r="I6400">
        <v>0.96077358751847697</v>
      </c>
      <c r="J6400">
        <v>1.0445062004029599</v>
      </c>
      <c r="K6400">
        <v>1.1748445174009701</v>
      </c>
      <c r="L6400">
        <v>15000</v>
      </c>
      <c r="M6400">
        <v>222.805764631915</v>
      </c>
      <c r="O6400">
        <v>67.317789307089896</v>
      </c>
      <c r="P6400">
        <v>0.144702329419124</v>
      </c>
      <c r="Q6400">
        <v>1.1748795129793099</v>
      </c>
      <c r="R6400">
        <v>-0.46660929712327198</v>
      </c>
      <c r="S6400" t="s">
        <v>13206</v>
      </c>
      <c r="T6400" t="s">
        <v>13610</v>
      </c>
      <c r="U6400" t="s">
        <v>13610</v>
      </c>
      <c r="V6400" t="s">
        <v>13610</v>
      </c>
      <c r="W6400" t="s">
        <v>19933</v>
      </c>
      <c r="X6400">
        <v>1</v>
      </c>
      <c r="Y6400" t="s">
        <v>26475</v>
      </c>
      <c r="Z6400" t="s">
        <v>33255</v>
      </c>
      <c r="AA6400">
        <v>1.0155782069239869</v>
      </c>
      <c r="AB6400" t="str">
        <f>HYPERLINK("Melting_Curves/meltCurve_Q9UJM3_ERRFI1.pdf", "Melting_Curves/meltCurve_Q9UJM3_ERRFI1.pdf")</f>
        <v>Melting_Curves/meltCurve_Q9UJM3_ERRFI1.pdf</v>
      </c>
    </row>
    <row r="6401" spans="1:28" x14ac:dyDescent="0.25">
      <c r="A6401" t="s">
        <v>6405</v>
      </c>
      <c r="B6401">
        <v>0.995954080203443</v>
      </c>
      <c r="C6401">
        <v>0.63631481381565203</v>
      </c>
      <c r="D6401">
        <v>0.73657233618103402</v>
      </c>
      <c r="E6401">
        <v>0.62512098143342498</v>
      </c>
      <c r="F6401">
        <v>0.69749083390183697</v>
      </c>
      <c r="G6401">
        <v>0.57274466201301799</v>
      </c>
      <c r="H6401">
        <v>0.53859772789217497</v>
      </c>
      <c r="I6401">
        <v>0.68242563314115101</v>
      </c>
      <c r="J6401">
        <v>1.0167306928470901</v>
      </c>
      <c r="K6401">
        <v>0.81699766078145697</v>
      </c>
      <c r="L6401">
        <v>10171.239153705301</v>
      </c>
      <c r="M6401">
        <v>250</v>
      </c>
      <c r="O6401">
        <v>40.682352858358698</v>
      </c>
      <c r="P6401">
        <v>-0.45696258090133601</v>
      </c>
      <c r="Q6401">
        <v>0.70255499161726398</v>
      </c>
      <c r="R6401">
        <v>0.31624518502548399</v>
      </c>
      <c r="S6401" t="s">
        <v>13207</v>
      </c>
      <c r="T6401" t="s">
        <v>13610</v>
      </c>
      <c r="U6401" t="s">
        <v>13610</v>
      </c>
      <c r="V6401" t="s">
        <v>13610</v>
      </c>
      <c r="W6401" t="s">
        <v>19934</v>
      </c>
      <c r="X6401">
        <v>3</v>
      </c>
      <c r="Y6401" t="s">
        <v>26476</v>
      </c>
      <c r="Z6401" t="s">
        <v>33256</v>
      </c>
      <c r="AA6401">
        <v>0.70938871442522911</v>
      </c>
      <c r="AB6401" t="str">
        <f>HYPERLINK("Melting_Curves/meltCurve_Q9UJN7_ZNF391.pdf", "Melting_Curves/meltCurve_Q9UJN7_ZNF391.pdf")</f>
        <v>Melting_Curves/meltCurve_Q9UJN7_ZNF391.pdf</v>
      </c>
    </row>
    <row r="6402" spans="1:28" x14ac:dyDescent="0.25">
      <c r="A6402" t="s">
        <v>6406</v>
      </c>
      <c r="B6402">
        <v>0.995954080203443</v>
      </c>
      <c r="C6402">
        <v>0.93861950203829403</v>
      </c>
      <c r="D6402">
        <v>0.82430688154153797</v>
      </c>
      <c r="E6402">
        <v>0.79287252086516302</v>
      </c>
      <c r="F6402">
        <v>0.36049793426761001</v>
      </c>
      <c r="G6402">
        <v>0.17235613295595201</v>
      </c>
      <c r="H6402">
        <v>7.3435823815540896E-2</v>
      </c>
      <c r="I6402">
        <v>6.0488542759867599E-2</v>
      </c>
      <c r="J6402">
        <v>5.3289267146049403E-2</v>
      </c>
      <c r="K6402">
        <v>3.4235029746491202E-2</v>
      </c>
      <c r="L6402">
        <v>1050.49076091897</v>
      </c>
      <c r="M6402">
        <v>20.232832976652599</v>
      </c>
      <c r="N6402">
        <v>52.093770773544698</v>
      </c>
      <c r="O6402">
        <v>51.420878652727197</v>
      </c>
      <c r="P6402">
        <v>-9.5163552701154702E-2</v>
      </c>
      <c r="Q6402">
        <v>3.2613449342869701E-2</v>
      </c>
      <c r="R6402">
        <v>0.98185253000071104</v>
      </c>
      <c r="S6402" t="s">
        <v>13208</v>
      </c>
      <c r="T6402" t="s">
        <v>13610</v>
      </c>
      <c r="U6402" t="s">
        <v>13610</v>
      </c>
      <c r="V6402" t="s">
        <v>13610</v>
      </c>
      <c r="W6402" t="s">
        <v>19935</v>
      </c>
      <c r="X6402">
        <v>4</v>
      </c>
      <c r="Y6402" t="s">
        <v>26477</v>
      </c>
      <c r="Z6402" t="s">
        <v>33257</v>
      </c>
      <c r="AA6402">
        <v>0.43010688910155948</v>
      </c>
      <c r="AB6402" t="str">
        <f>HYPERLINK("Melting_Curves/meltCurve_Q9UJT0_TUBE1.pdf", "Melting_Curves/meltCurve_Q9UJT0_TUBE1.pdf")</f>
        <v>Melting_Curves/meltCurve_Q9UJT0_TUBE1.pdf</v>
      </c>
    </row>
    <row r="6403" spans="1:28" x14ac:dyDescent="0.25">
      <c r="A6403" t="s">
        <v>6407</v>
      </c>
      <c r="B6403">
        <v>0.995954080203443</v>
      </c>
      <c r="C6403">
        <v>0.96966449561762202</v>
      </c>
      <c r="D6403">
        <v>0.80772964309185002</v>
      </c>
      <c r="E6403">
        <v>0.69241322669419303</v>
      </c>
      <c r="F6403">
        <v>0.41537013012374902</v>
      </c>
      <c r="G6403">
        <v>0.229167121002048</v>
      </c>
      <c r="H6403">
        <v>0.151876408870604</v>
      </c>
      <c r="I6403">
        <v>0.153371232531653</v>
      </c>
      <c r="J6403">
        <v>0.12622418760819201</v>
      </c>
      <c r="K6403">
        <v>0.14501088013827099</v>
      </c>
      <c r="L6403">
        <v>824.87005814952295</v>
      </c>
      <c r="M6403">
        <v>16.1434107888753</v>
      </c>
      <c r="N6403">
        <v>51.898509162076202</v>
      </c>
      <c r="O6403">
        <v>50.331625249100298</v>
      </c>
      <c r="P6403">
        <v>-7.1337673967430099E-2</v>
      </c>
      <c r="Q6403">
        <v>0.110406337544095</v>
      </c>
      <c r="R6403">
        <v>0.99190034095522195</v>
      </c>
      <c r="S6403" t="s">
        <v>13209</v>
      </c>
      <c r="T6403" t="s">
        <v>13610</v>
      </c>
      <c r="U6403" t="s">
        <v>13610</v>
      </c>
      <c r="V6403" t="s">
        <v>13610</v>
      </c>
      <c r="W6403" t="s">
        <v>19936</v>
      </c>
      <c r="X6403">
        <v>2</v>
      </c>
      <c r="Y6403" t="s">
        <v>26478</v>
      </c>
      <c r="Z6403" t="s">
        <v>33258</v>
      </c>
      <c r="AA6403">
        <v>0.45756754564319368</v>
      </c>
      <c r="AB6403" t="str">
        <f>HYPERLINK("Melting_Curves/meltCurve_Q9UJT2_2_TSKS.pdf", "Melting_Curves/meltCurve_Q9UJT2_2_TSKS.pdf")</f>
        <v>Melting_Curves/meltCurve_Q9UJT2_2_TSKS.pdf</v>
      </c>
    </row>
    <row r="6404" spans="1:28" x14ac:dyDescent="0.25">
      <c r="A6404" t="s">
        <v>6408</v>
      </c>
      <c r="B6404">
        <v>0.995954080203443</v>
      </c>
      <c r="C6404">
        <v>0.94928018021416005</v>
      </c>
      <c r="D6404">
        <v>0.97468411536181299</v>
      </c>
      <c r="E6404">
        <v>0.769555613612533</v>
      </c>
      <c r="F6404">
        <v>0.64123163375317105</v>
      </c>
      <c r="G6404">
        <v>0.442776667091972</v>
      </c>
      <c r="H6404">
        <v>0.403786495553208</v>
      </c>
      <c r="I6404">
        <v>0.49287521688489599</v>
      </c>
      <c r="J6404">
        <v>0.63162260759476296</v>
      </c>
      <c r="K6404">
        <v>0.610006976610037</v>
      </c>
      <c r="L6404">
        <v>1550.4337085048401</v>
      </c>
      <c r="M6404">
        <v>30.834398276342998</v>
      </c>
      <c r="O6404">
        <v>50.072499552199297</v>
      </c>
      <c r="P6404">
        <v>-7.4009962231901996E-2</v>
      </c>
      <c r="Q6404">
        <v>0.51925846516349305</v>
      </c>
      <c r="R6404">
        <v>0.89301053298813005</v>
      </c>
      <c r="S6404" t="s">
        <v>13210</v>
      </c>
      <c r="T6404" t="s">
        <v>13610</v>
      </c>
      <c r="U6404" t="s">
        <v>13610</v>
      </c>
      <c r="V6404" t="s">
        <v>13610</v>
      </c>
      <c r="W6404" t="s">
        <v>19937</v>
      </c>
      <c r="X6404">
        <v>28</v>
      </c>
      <c r="Y6404" t="s">
        <v>26479</v>
      </c>
      <c r="Z6404" t="s">
        <v>33259</v>
      </c>
      <c r="AA6404">
        <v>0.6868605315886851</v>
      </c>
      <c r="AB6404" t="str">
        <f>HYPERLINK("Melting_Curves/meltCurve_Q9UJU6_DBNL.pdf", "Melting_Curves/meltCurve_Q9UJU6_DBNL.pdf")</f>
        <v>Melting_Curves/meltCurve_Q9UJU6_DBNL.pdf</v>
      </c>
    </row>
    <row r="6405" spans="1:28" x14ac:dyDescent="0.25">
      <c r="A6405" t="s">
        <v>6409</v>
      </c>
      <c r="B6405">
        <v>0.995954080203443</v>
      </c>
      <c r="C6405">
        <v>0.65337839144346399</v>
      </c>
      <c r="D6405">
        <v>2.2448023028591799</v>
      </c>
      <c r="E6405">
        <v>1.1157200351588801</v>
      </c>
      <c r="F6405">
        <v>2.5344724259121199</v>
      </c>
      <c r="G6405">
        <v>2.4377042561950302</v>
      </c>
      <c r="H6405">
        <v>2.5673751435338299</v>
      </c>
      <c r="I6405">
        <v>3.3358623958312501</v>
      </c>
      <c r="J6405">
        <v>3.7326068000445001</v>
      </c>
      <c r="K6405">
        <v>4.2625905794896699</v>
      </c>
      <c r="L6405">
        <v>11083.5361841307</v>
      </c>
      <c r="M6405">
        <v>250</v>
      </c>
      <c r="O6405">
        <v>44.331309192146598</v>
      </c>
      <c r="P6405">
        <v>0.70491942818518005</v>
      </c>
      <c r="Q6405">
        <v>1.5</v>
      </c>
      <c r="R6405">
        <v>-0.54699831238228303</v>
      </c>
      <c r="S6405" t="s">
        <v>13211</v>
      </c>
      <c r="T6405" t="s">
        <v>13610</v>
      </c>
      <c r="U6405" t="s">
        <v>13610</v>
      </c>
      <c r="V6405" t="s">
        <v>13610</v>
      </c>
      <c r="W6405" t="s">
        <v>19938</v>
      </c>
      <c r="X6405">
        <v>28</v>
      </c>
      <c r="Y6405" t="s">
        <v>26479</v>
      </c>
      <c r="Z6405" t="s">
        <v>33260</v>
      </c>
      <c r="AA6405">
        <v>1.427725351524272</v>
      </c>
      <c r="AB6405" t="str">
        <f>HYPERLINK("Melting_Curves/meltCurve_Q9UJU6_2_DBNL.pdf", "Melting_Curves/meltCurve_Q9UJU6_2_DBNL.pdf")</f>
        <v>Melting_Curves/meltCurve_Q9UJU6_2_DBNL.pdf</v>
      </c>
    </row>
    <row r="6406" spans="1:28" x14ac:dyDescent="0.25">
      <c r="A6406" t="s">
        <v>6410</v>
      </c>
      <c r="B6406">
        <v>0.995954080203443</v>
      </c>
      <c r="C6406">
        <v>0.75840556772006096</v>
      </c>
      <c r="D6406">
        <v>0.47366689455650501</v>
      </c>
      <c r="E6406">
        <v>0.35509453022170501</v>
      </c>
      <c r="F6406">
        <v>0.26681193584519203</v>
      </c>
      <c r="G6406">
        <v>0.17908831696774799</v>
      </c>
      <c r="H6406">
        <v>0.125321897748047</v>
      </c>
      <c r="I6406">
        <v>0.13715171616587801</v>
      </c>
      <c r="J6406">
        <v>0.133935818644219</v>
      </c>
      <c r="K6406">
        <v>0.135506383478602</v>
      </c>
      <c r="L6406">
        <v>720.45671198911805</v>
      </c>
      <c r="M6406">
        <v>15.801036027981301</v>
      </c>
      <c r="N6406">
        <v>46.545635281984197</v>
      </c>
      <c r="O6406">
        <v>44.883987600964403</v>
      </c>
      <c r="P6406">
        <v>-7.5884923356542094E-2</v>
      </c>
      <c r="Q6406">
        <v>0.13784476454719399</v>
      </c>
      <c r="R6406">
        <v>0.98062777731333906</v>
      </c>
      <c r="S6406" t="s">
        <v>13212</v>
      </c>
      <c r="T6406" t="s">
        <v>13610</v>
      </c>
      <c r="U6406" t="s">
        <v>13610</v>
      </c>
      <c r="V6406" t="s">
        <v>13610</v>
      </c>
      <c r="W6406" t="s">
        <v>19939</v>
      </c>
      <c r="X6406">
        <v>29</v>
      </c>
      <c r="Y6406" t="s">
        <v>26480</v>
      </c>
      <c r="Z6406" t="s">
        <v>33261</v>
      </c>
      <c r="AA6406">
        <v>0.32200061994786472</v>
      </c>
      <c r="AB6406" t="str">
        <f>HYPERLINK("Melting_Curves/meltCurve_Q9UJV9_DDX41.pdf", "Melting_Curves/meltCurve_Q9UJV9_DDX41.pdf")</f>
        <v>Melting_Curves/meltCurve_Q9UJV9_DDX41.pdf</v>
      </c>
    </row>
    <row r="6407" spans="1:28" x14ac:dyDescent="0.25">
      <c r="A6407" t="s">
        <v>6411</v>
      </c>
      <c r="B6407">
        <v>0.995954080203443</v>
      </c>
      <c r="C6407">
        <v>0.71617825994872997</v>
      </c>
      <c r="D6407">
        <v>0.53020639222016397</v>
      </c>
      <c r="E6407">
        <v>0.77876419487038695</v>
      </c>
      <c r="F6407">
        <v>0.47818910136197301</v>
      </c>
      <c r="G6407">
        <v>0.37811123511818201</v>
      </c>
      <c r="H6407">
        <v>0.29961201993186998</v>
      </c>
      <c r="I6407">
        <v>0.23026203603758499</v>
      </c>
      <c r="J6407">
        <v>0.111221766464717</v>
      </c>
      <c r="K6407">
        <v>0.10322912003297099</v>
      </c>
      <c r="L6407">
        <v>353.573821591875</v>
      </c>
      <c r="M6407">
        <v>6.7647826615673798</v>
      </c>
      <c r="N6407">
        <v>52.266840672222997</v>
      </c>
      <c r="O6407">
        <v>48.269043635777102</v>
      </c>
      <c r="P6407">
        <v>-3.5110460898364199E-2</v>
      </c>
      <c r="Q6407">
        <v>0</v>
      </c>
      <c r="R6407">
        <v>0.86751907657156002</v>
      </c>
      <c r="S6407" t="s">
        <v>13213</v>
      </c>
      <c r="T6407" t="s">
        <v>13610</v>
      </c>
      <c r="U6407" t="s">
        <v>13610</v>
      </c>
      <c r="V6407" t="s">
        <v>13610</v>
      </c>
      <c r="W6407" t="s">
        <v>19940</v>
      </c>
      <c r="X6407">
        <v>11</v>
      </c>
      <c r="Y6407" t="s">
        <v>26481</v>
      </c>
      <c r="Z6407" t="s">
        <v>33262</v>
      </c>
      <c r="AA6407">
        <v>0.46029323948923823</v>
      </c>
      <c r="AB6407" t="str">
        <f>HYPERLINK("Melting_Curves/meltCurve_Q9UJW0_DCTN4.pdf", "Melting_Curves/meltCurve_Q9UJW0_DCTN4.pdf")</f>
        <v>Melting_Curves/meltCurve_Q9UJW0_DCTN4.pdf</v>
      </c>
    </row>
    <row r="6408" spans="1:28" x14ac:dyDescent="0.25">
      <c r="A6408" t="s">
        <v>6412</v>
      </c>
      <c r="B6408">
        <v>0.995954080203443</v>
      </c>
      <c r="C6408">
        <v>0.66975354219944205</v>
      </c>
      <c r="D6408">
        <v>0.47334679290708898</v>
      </c>
      <c r="E6408">
        <v>0.74791973799020595</v>
      </c>
      <c r="F6408">
        <v>0.30784932960561401</v>
      </c>
      <c r="G6408">
        <v>0.10730374620733001</v>
      </c>
      <c r="H6408">
        <v>6.3653988701168202E-2</v>
      </c>
      <c r="I6408">
        <v>5.6302791485897397E-2</v>
      </c>
      <c r="J6408">
        <v>6.4256355199132101E-2</v>
      </c>
      <c r="K6408">
        <v>5.3546033843121302E-2</v>
      </c>
      <c r="L6408">
        <v>466.09112992003401</v>
      </c>
      <c r="M6408">
        <v>9.5572899533056006</v>
      </c>
      <c r="N6408">
        <v>48.768127104961998</v>
      </c>
      <c r="O6408">
        <v>46.776338075063698</v>
      </c>
      <c r="P6408">
        <v>-5.1109255260241397E-2</v>
      </c>
      <c r="Q6408">
        <v>0</v>
      </c>
      <c r="R6408">
        <v>0.85243533623309098</v>
      </c>
      <c r="S6408" t="s">
        <v>13214</v>
      </c>
      <c r="T6408" t="s">
        <v>13610</v>
      </c>
      <c r="U6408" t="s">
        <v>13610</v>
      </c>
      <c r="V6408" t="s">
        <v>13610</v>
      </c>
      <c r="W6408" t="s">
        <v>19941</v>
      </c>
      <c r="X6408">
        <v>14</v>
      </c>
      <c r="Y6408" t="s">
        <v>26482</v>
      </c>
      <c r="Z6408" t="s">
        <v>33263</v>
      </c>
      <c r="AA6408">
        <v>0.34553755398568547</v>
      </c>
      <c r="AB6408" t="str">
        <f>HYPERLINK("Melting_Curves/meltCurve_Q9UJX2_3_CDC23.pdf", "Melting_Curves/meltCurve_Q9UJX2_3_CDC23.pdf")</f>
        <v>Melting_Curves/meltCurve_Q9UJX2_3_CDC23.pdf</v>
      </c>
    </row>
    <row r="6409" spans="1:28" x14ac:dyDescent="0.25">
      <c r="A6409" t="s">
        <v>6413</v>
      </c>
      <c r="B6409">
        <v>0.995954080203443</v>
      </c>
      <c r="C6409">
        <v>0.59525094528892297</v>
      </c>
      <c r="D6409">
        <v>0.35955882632842701</v>
      </c>
      <c r="E6409">
        <v>0.57764220876855599</v>
      </c>
      <c r="F6409">
        <v>0.28471763843611197</v>
      </c>
      <c r="G6409">
        <v>0.112768915526174</v>
      </c>
      <c r="H6409">
        <v>7.6666646349395198E-2</v>
      </c>
      <c r="I6409">
        <v>7.44035058128346E-2</v>
      </c>
      <c r="J6409">
        <v>8.0131389148646898E-2</v>
      </c>
      <c r="K6409">
        <v>7.5265670460497605E-2</v>
      </c>
      <c r="L6409">
        <v>424.38534370798197</v>
      </c>
      <c r="M6409">
        <v>9.07429017946464</v>
      </c>
      <c r="N6409">
        <v>46.865663686398499</v>
      </c>
      <c r="O6409">
        <v>44.664331790418402</v>
      </c>
      <c r="P6409">
        <v>-5.0350716942586998E-2</v>
      </c>
      <c r="Q6409">
        <v>9.3770637756215303E-3</v>
      </c>
      <c r="R6409">
        <v>0.85810229673081195</v>
      </c>
      <c r="S6409" t="s">
        <v>13215</v>
      </c>
      <c r="T6409" t="s">
        <v>13610</v>
      </c>
      <c r="U6409" t="s">
        <v>13610</v>
      </c>
      <c r="V6409" t="s">
        <v>13610</v>
      </c>
      <c r="W6409" t="s">
        <v>19942</v>
      </c>
      <c r="X6409">
        <v>10</v>
      </c>
      <c r="Y6409" t="s">
        <v>26483</v>
      </c>
      <c r="Z6409" t="s">
        <v>33264</v>
      </c>
      <c r="AA6409">
        <v>0.30032477284417902</v>
      </c>
      <c r="AB6409" t="str">
        <f>HYPERLINK("Melting_Curves/meltCurve_Q9UJX3_2_ANAPC7.pdf", "Melting_Curves/meltCurve_Q9UJX3_2_ANAPC7.pdf")</f>
        <v>Melting_Curves/meltCurve_Q9UJX3_2_ANAPC7.pdf</v>
      </c>
    </row>
    <row r="6410" spans="1:28" x14ac:dyDescent="0.25">
      <c r="A6410" t="s">
        <v>6414</v>
      </c>
      <c r="B6410">
        <v>0.995954080203443</v>
      </c>
      <c r="C6410">
        <v>1.02529876024706</v>
      </c>
      <c r="D6410">
        <v>0.63636275912990303</v>
      </c>
      <c r="E6410">
        <v>1.2805384195418501</v>
      </c>
      <c r="F6410">
        <v>0.46936075289390899</v>
      </c>
      <c r="G6410">
        <v>0.19889377234525199</v>
      </c>
      <c r="H6410">
        <v>0.117085254222309</v>
      </c>
      <c r="I6410">
        <v>8.4482777638004505E-2</v>
      </c>
      <c r="J6410">
        <v>9.5374873603591898E-2</v>
      </c>
      <c r="K6410">
        <v>0.10101219127586</v>
      </c>
      <c r="L6410">
        <v>13227.942880369401</v>
      </c>
      <c r="M6410">
        <v>250</v>
      </c>
      <c r="N6410">
        <v>52.9695677457008</v>
      </c>
      <c r="O6410">
        <v>52.908401271255897</v>
      </c>
      <c r="P6410">
        <v>-1.04027729280716</v>
      </c>
      <c r="Q6410">
        <v>0.11936972694098399</v>
      </c>
      <c r="R6410">
        <v>0.88317213412019502</v>
      </c>
      <c r="S6410" t="s">
        <v>13216</v>
      </c>
      <c r="T6410" t="s">
        <v>13610</v>
      </c>
      <c r="U6410" t="s">
        <v>13610</v>
      </c>
      <c r="V6410" t="s">
        <v>13610</v>
      </c>
      <c r="W6410" t="s">
        <v>19943</v>
      </c>
      <c r="X6410">
        <v>9</v>
      </c>
      <c r="Y6410" t="s">
        <v>26484</v>
      </c>
      <c r="Z6410" t="s">
        <v>33265</v>
      </c>
      <c r="AA6410">
        <v>0.49846806437080537</v>
      </c>
      <c r="AB6410" t="str">
        <f>HYPERLINK("Melting_Curves/meltCurve_Q9UJX6_ANAPC2.pdf", "Melting_Curves/meltCurve_Q9UJX6_ANAPC2.pdf")</f>
        <v>Melting_Curves/meltCurve_Q9UJX6_ANAPC2.pdf</v>
      </c>
    </row>
    <row r="6411" spans="1:28" x14ac:dyDescent="0.25">
      <c r="A6411" t="s">
        <v>6415</v>
      </c>
      <c r="B6411">
        <v>0.995954080203443</v>
      </c>
      <c r="C6411">
        <v>0.95207224137743196</v>
      </c>
      <c r="D6411">
        <v>0.92758682501835199</v>
      </c>
      <c r="E6411">
        <v>0.61091606300541101</v>
      </c>
      <c r="F6411">
        <v>0.397444763550929</v>
      </c>
      <c r="G6411">
        <v>0.20987667203552701</v>
      </c>
      <c r="H6411">
        <v>0.141477999391597</v>
      </c>
      <c r="I6411">
        <v>0.14083103925101001</v>
      </c>
      <c r="J6411">
        <v>0.155738164567957</v>
      </c>
      <c r="K6411">
        <v>0.147029810191911</v>
      </c>
      <c r="L6411">
        <v>1058.8748345023</v>
      </c>
      <c r="M6411">
        <v>20.905326397882401</v>
      </c>
      <c r="N6411">
        <v>51.4352890367756</v>
      </c>
      <c r="O6411">
        <v>50.194319297642899</v>
      </c>
      <c r="P6411">
        <v>-8.9913807736577395E-2</v>
      </c>
      <c r="Q6411">
        <v>0.13648053466690399</v>
      </c>
      <c r="R6411">
        <v>0.99802453534106506</v>
      </c>
      <c r="S6411" t="s">
        <v>13217</v>
      </c>
      <c r="T6411" t="s">
        <v>13610</v>
      </c>
      <c r="U6411" t="s">
        <v>13610</v>
      </c>
      <c r="V6411" t="s">
        <v>13610</v>
      </c>
      <c r="W6411" t="s">
        <v>19944</v>
      </c>
      <c r="X6411">
        <v>15</v>
      </c>
      <c r="Y6411" t="s">
        <v>26485</v>
      </c>
      <c r="Z6411" t="s">
        <v>33266</v>
      </c>
      <c r="AA6411">
        <v>0.4540820049467974</v>
      </c>
      <c r="AB6411" t="str">
        <f>HYPERLINK("Melting_Curves/meltCurve_Q9UJY4_GGA2.pdf", "Melting_Curves/meltCurve_Q9UJY4_GGA2.pdf")</f>
        <v>Melting_Curves/meltCurve_Q9UJY4_GGA2.pdf</v>
      </c>
    </row>
    <row r="6412" spans="1:28" x14ac:dyDescent="0.25">
      <c r="A6412" t="s">
        <v>6416</v>
      </c>
      <c r="B6412">
        <v>0.995954080203443</v>
      </c>
      <c r="C6412">
        <v>0.99930320115248294</v>
      </c>
      <c r="D6412">
        <v>0.98432213513202305</v>
      </c>
      <c r="E6412">
        <v>0.85232706411702897</v>
      </c>
      <c r="F6412">
        <v>0.76162500186457305</v>
      </c>
      <c r="G6412">
        <v>0.47010469071836403</v>
      </c>
      <c r="H6412">
        <v>0.33773711811365298</v>
      </c>
      <c r="I6412">
        <v>0.348470557365121</v>
      </c>
      <c r="J6412">
        <v>0.51660076740207805</v>
      </c>
      <c r="K6412">
        <v>0.36871893342414203</v>
      </c>
      <c r="L6412">
        <v>1372.2760585011699</v>
      </c>
      <c r="M6412">
        <v>25.737174715975598</v>
      </c>
      <c r="N6412">
        <v>56.5477077249693</v>
      </c>
      <c r="O6412">
        <v>53.000061434875903</v>
      </c>
      <c r="P6412">
        <v>-7.4664048324205104E-2</v>
      </c>
      <c r="Q6412">
        <v>0.384990501043799</v>
      </c>
      <c r="R6412">
        <v>0.96003510376010204</v>
      </c>
      <c r="S6412" t="s">
        <v>13218</v>
      </c>
      <c r="T6412" t="s">
        <v>13610</v>
      </c>
      <c r="U6412" t="s">
        <v>13610</v>
      </c>
      <c r="V6412" t="s">
        <v>13610</v>
      </c>
      <c r="W6412" t="s">
        <v>19945</v>
      </c>
      <c r="X6412">
        <v>17</v>
      </c>
      <c r="Y6412" t="s">
        <v>26486</v>
      </c>
      <c r="Z6412" t="s">
        <v>33267</v>
      </c>
      <c r="AA6412">
        <v>0.66340486416125832</v>
      </c>
      <c r="AB6412" t="str">
        <f>HYPERLINK("Melting_Curves/meltCurve_Q9UJY5_4_GGA1.pdf", "Melting_Curves/meltCurve_Q9UJY5_4_GGA1.pdf")</f>
        <v>Melting_Curves/meltCurve_Q9UJY5_4_GGA1.pdf</v>
      </c>
    </row>
    <row r="6413" spans="1:28" x14ac:dyDescent="0.25">
      <c r="A6413" t="s">
        <v>6417</v>
      </c>
      <c r="B6413">
        <v>0.995954080203443</v>
      </c>
      <c r="C6413">
        <v>1.0217387644798701</v>
      </c>
      <c r="D6413">
        <v>0.95872602768045201</v>
      </c>
      <c r="E6413">
        <v>0.78494992172151501</v>
      </c>
      <c r="F6413">
        <v>0.36951549990496302</v>
      </c>
      <c r="G6413">
        <v>0.16257084270993999</v>
      </c>
      <c r="H6413">
        <v>0.106299370206832</v>
      </c>
      <c r="I6413">
        <v>9.6122614086637498E-2</v>
      </c>
      <c r="J6413">
        <v>0.115296295377613</v>
      </c>
      <c r="K6413">
        <v>9.9065826072305796E-2</v>
      </c>
      <c r="L6413">
        <v>1689.16058269324</v>
      </c>
      <c r="M6413">
        <v>32.688663404563499</v>
      </c>
      <c r="N6413">
        <v>52.049744075133098</v>
      </c>
      <c r="O6413">
        <v>51.481964411633903</v>
      </c>
      <c r="P6413">
        <v>-0.142063471656592</v>
      </c>
      <c r="Q6413">
        <v>0.105050894583731</v>
      </c>
      <c r="R6413">
        <v>0.998754793126434</v>
      </c>
      <c r="S6413" t="s">
        <v>13219</v>
      </c>
      <c r="T6413" t="s">
        <v>13610</v>
      </c>
      <c r="U6413" t="s">
        <v>13610</v>
      </c>
      <c r="V6413" t="s">
        <v>13610</v>
      </c>
      <c r="W6413" t="s">
        <v>19946</v>
      </c>
      <c r="X6413">
        <v>18</v>
      </c>
      <c r="Y6413" t="s">
        <v>26487</v>
      </c>
      <c r="Z6413" t="s">
        <v>33268</v>
      </c>
      <c r="AA6413">
        <v>0.45810452518961858</v>
      </c>
      <c r="AB6413" t="str">
        <f>HYPERLINK("Melting_Curves/meltCurve_Q9UK41_VPS28.pdf", "Melting_Curves/meltCurve_Q9UK41_VPS28.pdf")</f>
        <v>Melting_Curves/meltCurve_Q9UK41_VPS28.pdf</v>
      </c>
    </row>
    <row r="6414" spans="1:28" x14ac:dyDescent="0.25">
      <c r="A6414" t="s">
        <v>6418</v>
      </c>
      <c r="B6414">
        <v>0.995954080203443</v>
      </c>
      <c r="C6414">
        <v>0.864916266088537</v>
      </c>
      <c r="D6414">
        <v>0.71752510944655601</v>
      </c>
      <c r="E6414">
        <v>0.70808347323964305</v>
      </c>
      <c r="F6414">
        <v>0.45726610733008999</v>
      </c>
      <c r="G6414">
        <v>0.28114142364817901</v>
      </c>
      <c r="H6414">
        <v>0.197317302469769</v>
      </c>
      <c r="I6414">
        <v>0.15315147343084301</v>
      </c>
      <c r="J6414">
        <v>0.10030085741436701</v>
      </c>
      <c r="K6414">
        <v>8.6733232066431201E-2</v>
      </c>
      <c r="L6414">
        <v>506.13178620748801</v>
      </c>
      <c r="M6414">
        <v>9.6694488720899407</v>
      </c>
      <c r="N6414">
        <v>52.343391536911398</v>
      </c>
      <c r="O6414">
        <v>50.251675743748102</v>
      </c>
      <c r="P6414">
        <v>-4.8131709114918098E-2</v>
      </c>
      <c r="Q6414">
        <v>0</v>
      </c>
      <c r="R6414">
        <v>0.98190612019542001</v>
      </c>
      <c r="S6414" t="s">
        <v>13220</v>
      </c>
      <c r="T6414" t="s">
        <v>13610</v>
      </c>
      <c r="U6414" t="s">
        <v>13610</v>
      </c>
      <c r="V6414" t="s">
        <v>13610</v>
      </c>
      <c r="W6414" t="s">
        <v>19947</v>
      </c>
      <c r="X6414">
        <v>5</v>
      </c>
      <c r="Y6414" t="s">
        <v>26488</v>
      </c>
      <c r="Z6414" t="s">
        <v>33269</v>
      </c>
      <c r="AA6414">
        <v>0.44940527020340609</v>
      </c>
      <c r="AB6414" t="str">
        <f>HYPERLINK("Melting_Curves/meltCurve_Q9UK45_LSM7.pdf", "Melting_Curves/meltCurve_Q9UK45_LSM7.pdf")</f>
        <v>Melting_Curves/meltCurve_Q9UK45_LSM7.pdf</v>
      </c>
    </row>
    <row r="6415" spans="1:28" x14ac:dyDescent="0.25">
      <c r="A6415" t="s">
        <v>6419</v>
      </c>
      <c r="B6415">
        <v>0.995954080203443</v>
      </c>
      <c r="C6415">
        <v>0.77666783369381298</v>
      </c>
      <c r="D6415">
        <v>0.63987117103938695</v>
      </c>
      <c r="E6415">
        <v>0.59928863517331499</v>
      </c>
      <c r="F6415">
        <v>0.43782695017147599</v>
      </c>
      <c r="G6415">
        <v>0.30709394055664802</v>
      </c>
      <c r="H6415">
        <v>0.15618642352852499</v>
      </c>
      <c r="I6415">
        <v>0.15779000169288501</v>
      </c>
      <c r="J6415">
        <v>0.169507734557581</v>
      </c>
      <c r="K6415">
        <v>0.12754942850589601</v>
      </c>
      <c r="L6415">
        <v>434.99289075429903</v>
      </c>
      <c r="M6415">
        <v>8.6244534364208505</v>
      </c>
      <c r="N6415">
        <v>50.910978280882702</v>
      </c>
      <c r="O6415">
        <v>47.945284149750499</v>
      </c>
      <c r="P6415">
        <v>-4.3272893192923101E-2</v>
      </c>
      <c r="Q6415">
        <v>3.8565038565103398E-2</v>
      </c>
      <c r="R6415">
        <v>0.97169282986607197</v>
      </c>
      <c r="S6415" t="s">
        <v>13221</v>
      </c>
      <c r="T6415" t="s">
        <v>13610</v>
      </c>
      <c r="U6415" t="s">
        <v>13610</v>
      </c>
      <c r="V6415" t="s">
        <v>13610</v>
      </c>
      <c r="W6415" t="s">
        <v>19948</v>
      </c>
      <c r="X6415">
        <v>1</v>
      </c>
      <c r="Y6415" t="s">
        <v>26489</v>
      </c>
      <c r="Z6415" t="s">
        <v>33270</v>
      </c>
      <c r="AA6415">
        <v>0.42336994922065752</v>
      </c>
      <c r="AB6415" t="str">
        <f>HYPERLINK("Melting_Curves/meltCurve_Q9UK53_3_ING1.pdf", "Melting_Curves/meltCurve_Q9UK53_3_ING1.pdf")</f>
        <v>Melting_Curves/meltCurve_Q9UK53_3_ING1.pdf</v>
      </c>
    </row>
    <row r="6416" spans="1:28" x14ac:dyDescent="0.25">
      <c r="A6416" t="s">
        <v>6420</v>
      </c>
      <c r="B6416">
        <v>0.995954080203443</v>
      </c>
      <c r="C6416">
        <v>0.97616138124324303</v>
      </c>
      <c r="D6416">
        <v>0.85915985186420496</v>
      </c>
      <c r="E6416">
        <v>0.74661708395688298</v>
      </c>
      <c r="F6416">
        <v>0.54151514391716005</v>
      </c>
      <c r="G6416">
        <v>0.32711963786387099</v>
      </c>
      <c r="H6416">
        <v>0.17877200772059701</v>
      </c>
      <c r="I6416">
        <v>0.15740238275840701</v>
      </c>
      <c r="J6416">
        <v>0.147447877440849</v>
      </c>
      <c r="K6416">
        <v>0.171946919344593</v>
      </c>
      <c r="L6416">
        <v>798.03157030438399</v>
      </c>
      <c r="M6416">
        <v>15.175469361291</v>
      </c>
      <c r="N6416">
        <v>53.517972273303101</v>
      </c>
      <c r="O6416">
        <v>51.699149946853801</v>
      </c>
      <c r="P6416">
        <v>-6.4876352769283802E-2</v>
      </c>
      <c r="Q6416">
        <v>0.11601322483917401</v>
      </c>
      <c r="R6416">
        <v>0.99484677480313699</v>
      </c>
      <c r="S6416" t="s">
        <v>13222</v>
      </c>
      <c r="T6416" t="s">
        <v>13610</v>
      </c>
      <c r="U6416" t="s">
        <v>13610</v>
      </c>
      <c r="V6416" t="s">
        <v>13610</v>
      </c>
      <c r="W6416" t="s">
        <v>19949</v>
      </c>
      <c r="X6416">
        <v>17</v>
      </c>
      <c r="Y6416" t="s">
        <v>26490</v>
      </c>
      <c r="Z6416" t="s">
        <v>33271</v>
      </c>
      <c r="AA6416">
        <v>0.5059202390924048</v>
      </c>
      <c r="AB6416" t="str">
        <f>HYPERLINK("Melting_Curves/meltCurve_Q9UK59_DBR1.pdf", "Melting_Curves/meltCurve_Q9UK59_DBR1.pdf")</f>
        <v>Melting_Curves/meltCurve_Q9UK59_DBR1.pdf</v>
      </c>
    </row>
    <row r="6417" spans="1:28" x14ac:dyDescent="0.25">
      <c r="A6417" t="s">
        <v>6421</v>
      </c>
      <c r="B6417">
        <v>0.995954080203443</v>
      </c>
      <c r="C6417">
        <v>0.95109242941086103</v>
      </c>
      <c r="D6417">
        <v>0.99644848017992704</v>
      </c>
      <c r="E6417">
        <v>0.77462188224335604</v>
      </c>
      <c r="F6417">
        <v>0.75031349913787304</v>
      </c>
      <c r="G6417">
        <v>0.44410214718545998</v>
      </c>
      <c r="H6417">
        <v>0.29270484873629199</v>
      </c>
      <c r="I6417">
        <v>0.30345723385735701</v>
      </c>
      <c r="J6417">
        <v>0.30837558744090598</v>
      </c>
      <c r="K6417">
        <v>0.33354126975053999</v>
      </c>
      <c r="L6417">
        <v>1008.99757637751</v>
      </c>
      <c r="M6417">
        <v>18.8428394042941</v>
      </c>
      <c r="N6417">
        <v>56.0255984190674</v>
      </c>
      <c r="O6417">
        <v>52.955866247379198</v>
      </c>
      <c r="P6417">
        <v>-6.3811689244710201E-2</v>
      </c>
      <c r="Q6417">
        <v>0.28268450586160798</v>
      </c>
      <c r="R6417">
        <v>0.97758401115034199</v>
      </c>
      <c r="S6417" t="s">
        <v>13223</v>
      </c>
      <c r="T6417" t="s">
        <v>13610</v>
      </c>
      <c r="U6417" t="s">
        <v>13610</v>
      </c>
      <c r="V6417" t="s">
        <v>13610</v>
      </c>
      <c r="W6417" t="s">
        <v>19950</v>
      </c>
      <c r="X6417">
        <v>31</v>
      </c>
      <c r="Y6417" t="s">
        <v>26491</v>
      </c>
      <c r="Z6417" t="s">
        <v>33272</v>
      </c>
      <c r="AA6417">
        <v>0.61743311312849125</v>
      </c>
      <c r="AB6417" t="str">
        <f>HYPERLINK("Melting_Curves/meltCurve_Q9UK61_3_FAM208A.pdf", "Melting_Curves/meltCurve_Q9UK61_3_FAM208A.pdf")</f>
        <v>Melting_Curves/meltCurve_Q9UK61_3_FAM208A.pdf</v>
      </c>
    </row>
    <row r="6418" spans="1:28" x14ac:dyDescent="0.25">
      <c r="A6418" t="s">
        <v>6422</v>
      </c>
      <c r="B6418">
        <v>0.995954080203443</v>
      </c>
      <c r="C6418">
        <v>0.74853753684270097</v>
      </c>
      <c r="D6418">
        <v>0.53576074835072096</v>
      </c>
      <c r="E6418">
        <v>0.63032537694031898</v>
      </c>
      <c r="F6418">
        <v>0.30410579853728698</v>
      </c>
      <c r="G6418">
        <v>0.13560847956906</v>
      </c>
      <c r="H6418">
        <v>7.3380248919954594E-2</v>
      </c>
      <c r="I6418">
        <v>8.8542661939707001E-2</v>
      </c>
      <c r="J6418">
        <v>6.0836247288909802E-2</v>
      </c>
      <c r="K6418">
        <v>0.15281226000780301</v>
      </c>
      <c r="L6418">
        <v>500.55869315682298</v>
      </c>
      <c r="M6418">
        <v>10.281453200460501</v>
      </c>
      <c r="N6418">
        <v>48.915295436172897</v>
      </c>
      <c r="O6418">
        <v>46.951687024027898</v>
      </c>
      <c r="P6418">
        <v>-5.3478093414069103E-2</v>
      </c>
      <c r="Q6418">
        <v>2.3566447362465201E-2</v>
      </c>
      <c r="R6418">
        <v>0.92435938860824696</v>
      </c>
      <c r="S6418" t="s">
        <v>13224</v>
      </c>
      <c r="T6418" t="s">
        <v>13610</v>
      </c>
      <c r="U6418" t="s">
        <v>13610</v>
      </c>
      <c r="V6418" t="s">
        <v>13610</v>
      </c>
      <c r="W6418" t="s">
        <v>19951</v>
      </c>
      <c r="X6418">
        <v>4</v>
      </c>
      <c r="Y6418" t="s">
        <v>26492</v>
      </c>
      <c r="Z6418" t="s">
        <v>33273</v>
      </c>
      <c r="AA6418">
        <v>0.35323667558868732</v>
      </c>
      <c r="AB6418" t="str">
        <f>HYPERLINK("Melting_Curves/meltCurve_Q9UK73_FEM1B.pdf", "Melting_Curves/meltCurve_Q9UK73_FEM1B.pdf")</f>
        <v>Melting_Curves/meltCurve_Q9UK73_FEM1B.pdf</v>
      </c>
    </row>
    <row r="6419" spans="1:28" x14ac:dyDescent="0.25">
      <c r="A6419" t="s">
        <v>6423</v>
      </c>
      <c r="B6419">
        <v>0.995954080203443</v>
      </c>
      <c r="C6419">
        <v>0.94209692258314204</v>
      </c>
      <c r="D6419">
        <v>0.80290690123502995</v>
      </c>
      <c r="E6419">
        <v>0.59303474203989703</v>
      </c>
      <c r="F6419">
        <v>0.26377383239965702</v>
      </c>
      <c r="G6419">
        <v>0.18499288651139001</v>
      </c>
      <c r="H6419">
        <v>0.12935004269205999</v>
      </c>
      <c r="I6419">
        <v>0.12182177682829801</v>
      </c>
      <c r="J6419">
        <v>0.100200212436271</v>
      </c>
      <c r="K6419">
        <v>6.6269926088433698E-2</v>
      </c>
      <c r="L6419">
        <v>880.32486431210305</v>
      </c>
      <c r="M6419">
        <v>17.643951653633</v>
      </c>
      <c r="N6419">
        <v>50.419469628303602</v>
      </c>
      <c r="O6419">
        <v>49.266173718465701</v>
      </c>
      <c r="P6419">
        <v>-8.2016960701069799E-2</v>
      </c>
      <c r="Q6419">
        <v>8.4004239686951906E-2</v>
      </c>
      <c r="R6419">
        <v>0.99258322228337104</v>
      </c>
      <c r="S6419" t="s">
        <v>13225</v>
      </c>
      <c r="T6419" t="s">
        <v>13610</v>
      </c>
      <c r="U6419" t="s">
        <v>13610</v>
      </c>
      <c r="V6419" t="s">
        <v>13610</v>
      </c>
      <c r="W6419" t="s">
        <v>19952</v>
      </c>
      <c r="X6419">
        <v>5</v>
      </c>
      <c r="Y6419" t="s">
        <v>26493</v>
      </c>
      <c r="Z6419" t="s">
        <v>33274</v>
      </c>
      <c r="AA6419">
        <v>0.40234463510976609</v>
      </c>
      <c r="AB6419" t="str">
        <f>HYPERLINK("Melting_Curves/meltCurve_Q9UK97_3_FBXO9.pdf", "Melting_Curves/meltCurve_Q9UK97_3_FBXO9.pdf")</f>
        <v>Melting_Curves/meltCurve_Q9UK97_3_FBXO9.pdf</v>
      </c>
    </row>
    <row r="6420" spans="1:28" x14ac:dyDescent="0.25">
      <c r="A6420" t="s">
        <v>6424</v>
      </c>
      <c r="B6420">
        <v>0.995954080203443</v>
      </c>
      <c r="C6420">
        <v>1.0086500146825199</v>
      </c>
      <c r="D6420">
        <v>0.90136313604020502</v>
      </c>
      <c r="E6420">
        <v>0.85133375375000997</v>
      </c>
      <c r="F6420">
        <v>0.51232423641577296</v>
      </c>
      <c r="G6420">
        <v>0.21235741012141601</v>
      </c>
      <c r="H6420">
        <v>0.100185182935254</v>
      </c>
      <c r="I6420">
        <v>7.2496798594164899E-2</v>
      </c>
      <c r="J6420">
        <v>5.9169242719630297E-2</v>
      </c>
      <c r="K6420">
        <v>5.9156512565126697E-2</v>
      </c>
      <c r="L6420">
        <v>1247.7711641086901</v>
      </c>
      <c r="M6420">
        <v>23.535813127044499</v>
      </c>
      <c r="N6420">
        <v>53.283138154977102</v>
      </c>
      <c r="O6420">
        <v>52.637564183648003</v>
      </c>
      <c r="P6420">
        <v>-0.105560115377077</v>
      </c>
      <c r="Q6420">
        <v>5.5680394966807503E-2</v>
      </c>
      <c r="R6420">
        <v>0.99555513584037403</v>
      </c>
      <c r="S6420" t="s">
        <v>13226</v>
      </c>
      <c r="T6420" t="s">
        <v>13610</v>
      </c>
      <c r="U6420" t="s">
        <v>13610</v>
      </c>
      <c r="V6420" t="s">
        <v>13610</v>
      </c>
      <c r="W6420" t="s">
        <v>19953</v>
      </c>
      <c r="X6420">
        <v>14</v>
      </c>
      <c r="Y6420" t="s">
        <v>26494</v>
      </c>
      <c r="Z6420" t="s">
        <v>33275</v>
      </c>
      <c r="AA6420">
        <v>0.4751117591272972</v>
      </c>
      <c r="AB6420" t="str">
        <f>HYPERLINK("Melting_Curves/meltCurve_Q9UK99_2_FBXO3.pdf", "Melting_Curves/meltCurve_Q9UK99_2_FBXO3.pdf")</f>
        <v>Melting_Curves/meltCurve_Q9UK99_2_FBXO3.pdf</v>
      </c>
    </row>
    <row r="6421" spans="1:28" x14ac:dyDescent="0.25">
      <c r="A6421" t="s">
        <v>6425</v>
      </c>
      <c r="B6421">
        <v>0.995954080203443</v>
      </c>
      <c r="C6421">
        <v>0.95128556340450499</v>
      </c>
      <c r="D6421">
        <v>0.81194183123893904</v>
      </c>
      <c r="E6421">
        <v>0.65375516729101302</v>
      </c>
      <c r="F6421">
        <v>0.62097564777571801</v>
      </c>
      <c r="G6421">
        <v>0.44161459665362801</v>
      </c>
      <c r="H6421">
        <v>0.38341125526082298</v>
      </c>
      <c r="I6421">
        <v>0.460893719930065</v>
      </c>
      <c r="J6421">
        <v>0.55162111370211897</v>
      </c>
      <c r="K6421">
        <v>0.53685251369433595</v>
      </c>
      <c r="L6421">
        <v>849.37446881111305</v>
      </c>
      <c r="M6421">
        <v>17.683737768863299</v>
      </c>
      <c r="N6421">
        <v>57.809206743855398</v>
      </c>
      <c r="O6421">
        <v>47.4297909669368</v>
      </c>
      <c r="P6421">
        <v>-4.8948889161670998E-2</v>
      </c>
      <c r="Q6421">
        <v>0.47488187269333498</v>
      </c>
      <c r="R6421">
        <v>0.92985537114695105</v>
      </c>
      <c r="S6421" t="s">
        <v>13227</v>
      </c>
      <c r="T6421" t="s">
        <v>13610</v>
      </c>
      <c r="U6421" t="s">
        <v>13610</v>
      </c>
      <c r="V6421" t="s">
        <v>13610</v>
      </c>
      <c r="W6421" t="s">
        <v>19954</v>
      </c>
      <c r="X6421">
        <v>16</v>
      </c>
      <c r="Y6421" t="s">
        <v>26495</v>
      </c>
      <c r="Z6421" t="s">
        <v>33276</v>
      </c>
      <c r="AA6421">
        <v>0.62512082206990982</v>
      </c>
      <c r="AB6421" t="str">
        <f>HYPERLINK("Melting_Curves/meltCurve_Q9UKA4_AKAP11.pdf", "Melting_Curves/meltCurve_Q9UKA4_AKAP11.pdf")</f>
        <v>Melting_Curves/meltCurve_Q9UKA4_AKAP11.pdf</v>
      </c>
    </row>
    <row r="6422" spans="1:28" x14ac:dyDescent="0.25">
      <c r="A6422" t="s">
        <v>6426</v>
      </c>
      <c r="B6422">
        <v>0.995954080203443</v>
      </c>
      <c r="C6422">
        <v>0.95819779745679601</v>
      </c>
      <c r="D6422">
        <v>0.883292988198493</v>
      </c>
      <c r="E6422">
        <v>0.65061358654621304</v>
      </c>
      <c r="F6422">
        <v>0.51106299072892003</v>
      </c>
      <c r="G6422">
        <v>0.33901222408126203</v>
      </c>
      <c r="H6422">
        <v>0.20482020082156299</v>
      </c>
      <c r="I6422">
        <v>0.122116561596677</v>
      </c>
      <c r="J6422">
        <v>0.101614873846699</v>
      </c>
      <c r="K6422">
        <v>7.6642062600057001E-2</v>
      </c>
      <c r="L6422">
        <v>636.09054212046703</v>
      </c>
      <c r="M6422">
        <v>12.007069240857501</v>
      </c>
      <c r="N6422">
        <v>53.236102568078003</v>
      </c>
      <c r="O6422">
        <v>51.571040356923199</v>
      </c>
      <c r="P6422">
        <v>-5.6564021541194803E-2</v>
      </c>
      <c r="Q6422">
        <v>2.84509098051118E-2</v>
      </c>
      <c r="R6422">
        <v>0.99804899678114101</v>
      </c>
      <c r="S6422" t="s">
        <v>13228</v>
      </c>
      <c r="T6422" t="s">
        <v>13610</v>
      </c>
      <c r="U6422" t="s">
        <v>13610</v>
      </c>
      <c r="V6422" t="s">
        <v>13610</v>
      </c>
      <c r="W6422" t="s">
        <v>19955</v>
      </c>
      <c r="X6422">
        <v>4</v>
      </c>
      <c r="Y6422" t="s">
        <v>26496</v>
      </c>
      <c r="Z6422" t="s">
        <v>33277</v>
      </c>
      <c r="AA6422">
        <v>0.47638294186576952</v>
      </c>
      <c r="AB6422" t="str">
        <f>HYPERLINK("Melting_Curves/meltCurve_Q9UKA9_PTBP2.pdf", "Melting_Curves/meltCurve_Q9UKA9_PTBP2.pdf")</f>
        <v>Melting_Curves/meltCurve_Q9UKA9_PTBP2.pdf</v>
      </c>
    </row>
    <row r="6423" spans="1:28" x14ac:dyDescent="0.25">
      <c r="A6423" t="s">
        <v>6427</v>
      </c>
      <c r="B6423">
        <v>0.995954080203443</v>
      </c>
      <c r="C6423">
        <v>0.92207804458630505</v>
      </c>
      <c r="D6423">
        <v>0.79021907064327301</v>
      </c>
      <c r="E6423">
        <v>0.70558420525908905</v>
      </c>
      <c r="F6423">
        <v>0.38834386674608701</v>
      </c>
      <c r="G6423">
        <v>0.151849691108768</v>
      </c>
      <c r="H6423">
        <v>6.8498145890305395E-2</v>
      </c>
      <c r="I6423">
        <v>6.0892117325527101E-2</v>
      </c>
      <c r="J6423">
        <v>6.0828482303900297E-2</v>
      </c>
      <c r="K6423">
        <v>6.0891928370894501E-2</v>
      </c>
      <c r="L6423">
        <v>809.08908569528603</v>
      </c>
      <c r="M6423">
        <v>15.7209404407173</v>
      </c>
      <c r="N6423">
        <v>51.586047669277598</v>
      </c>
      <c r="O6423">
        <v>50.654517305292202</v>
      </c>
      <c r="P6423">
        <v>-7.6198273730598204E-2</v>
      </c>
      <c r="Q6423">
        <v>1.8006965069242199E-2</v>
      </c>
      <c r="R6423">
        <v>0.98663283210240205</v>
      </c>
      <c r="S6423" t="s">
        <v>13229</v>
      </c>
      <c r="T6423" t="s">
        <v>13610</v>
      </c>
      <c r="U6423" t="s">
        <v>13610</v>
      </c>
      <c r="V6423" t="s">
        <v>13610</v>
      </c>
      <c r="W6423" t="s">
        <v>19956</v>
      </c>
      <c r="X6423">
        <v>7</v>
      </c>
      <c r="Y6423" t="s">
        <v>26497</v>
      </c>
      <c r="Z6423" t="s">
        <v>33278</v>
      </c>
      <c r="AA6423">
        <v>0.41403153893118189</v>
      </c>
      <c r="AB6423" t="str">
        <f>HYPERLINK("Melting_Curves/meltCurve_Q9UKB1_2_FBXW11.pdf", "Melting_Curves/meltCurve_Q9UKB1_2_FBXW11.pdf")</f>
        <v>Melting_Curves/meltCurve_Q9UKB1_2_FBXW11.pdf</v>
      </c>
    </row>
    <row r="6424" spans="1:28" x14ac:dyDescent="0.25">
      <c r="A6424" t="s">
        <v>6428</v>
      </c>
      <c r="B6424">
        <v>0.995954080203443</v>
      </c>
      <c r="C6424">
        <v>0.91364272076755404</v>
      </c>
      <c r="D6424">
        <v>1.10748505716932</v>
      </c>
      <c r="E6424">
        <v>0.90115220855059697</v>
      </c>
      <c r="F6424">
        <v>1.08717772648281</v>
      </c>
      <c r="G6424">
        <v>0.96586071816277497</v>
      </c>
      <c r="H6424">
        <v>1.07087450237853</v>
      </c>
      <c r="I6424">
        <v>1.40320822772444</v>
      </c>
      <c r="J6424">
        <v>1.5097785064612601</v>
      </c>
      <c r="K6424">
        <v>1.5798986672275801</v>
      </c>
      <c r="L6424">
        <v>4322.7228458415002</v>
      </c>
      <c r="M6424">
        <v>69.014651471732904</v>
      </c>
      <c r="O6424">
        <v>62.582329643355997</v>
      </c>
      <c r="P6424">
        <v>0.137847751554913</v>
      </c>
      <c r="Q6424">
        <v>1.5</v>
      </c>
      <c r="R6424">
        <v>0.92169727127539303</v>
      </c>
      <c r="S6424" t="s">
        <v>13230</v>
      </c>
      <c r="T6424" t="s">
        <v>13610</v>
      </c>
      <c r="U6424" t="s">
        <v>13610</v>
      </c>
      <c r="V6424" t="s">
        <v>13610</v>
      </c>
      <c r="W6424" t="s">
        <v>19957</v>
      </c>
      <c r="X6424">
        <v>13</v>
      </c>
      <c r="Y6424" t="s">
        <v>26498</v>
      </c>
      <c r="Z6424" t="s">
        <v>33279</v>
      </c>
      <c r="AA6424">
        <v>1.1220429417213349</v>
      </c>
      <c r="AB6424" t="str">
        <f>HYPERLINK("Melting_Curves/meltCurve_Q9UKB3_DNAJC12.pdf", "Melting_Curves/meltCurve_Q9UKB3_DNAJC12.pdf")</f>
        <v>Melting_Curves/meltCurve_Q9UKB3_DNAJC12.pdf</v>
      </c>
    </row>
    <row r="6425" spans="1:28" x14ac:dyDescent="0.25">
      <c r="A6425" t="s">
        <v>6429</v>
      </c>
      <c r="B6425">
        <v>0.995954080203443</v>
      </c>
      <c r="C6425">
        <v>1.03091083704384</v>
      </c>
      <c r="D6425">
        <v>0.949039532612584</v>
      </c>
      <c r="E6425">
        <v>0.48480762823502599</v>
      </c>
      <c r="F6425">
        <v>0.154539130025556</v>
      </c>
      <c r="G6425">
        <v>9.3037826488520797E-2</v>
      </c>
      <c r="H6425">
        <v>7.0344076609280298E-2</v>
      </c>
      <c r="I6425">
        <v>6.3436140074572406E-2</v>
      </c>
      <c r="J6425">
        <v>6.8424009777530798E-2</v>
      </c>
      <c r="K6425">
        <v>6.5757804468405998E-2</v>
      </c>
      <c r="L6425">
        <v>1806.21371590595</v>
      </c>
      <c r="M6425">
        <v>36.343127437308603</v>
      </c>
      <c r="N6425">
        <v>49.904976811689799</v>
      </c>
      <c r="O6425">
        <v>49.549156771954301</v>
      </c>
      <c r="P6425">
        <v>-0.17059205294690699</v>
      </c>
      <c r="Q6425">
        <v>6.9682026732514002E-2</v>
      </c>
      <c r="R6425">
        <v>0.99912462412196101</v>
      </c>
      <c r="S6425" t="s">
        <v>13231</v>
      </c>
      <c r="T6425" t="s">
        <v>13610</v>
      </c>
      <c r="U6425" t="s">
        <v>13610</v>
      </c>
      <c r="V6425" t="s">
        <v>13610</v>
      </c>
      <c r="W6425" t="s">
        <v>19958</v>
      </c>
      <c r="X6425">
        <v>17</v>
      </c>
      <c r="Y6425" t="s">
        <v>26499</v>
      </c>
      <c r="Z6425" t="s">
        <v>33280</v>
      </c>
      <c r="AA6425">
        <v>0.37433235660493502</v>
      </c>
      <c r="AB6425" t="str">
        <f>HYPERLINK("Melting_Curves/meltCurve_Q9UKD2_MRTO4.pdf", "Melting_Curves/meltCurve_Q9UKD2_MRTO4.pdf")</f>
        <v>Melting_Curves/meltCurve_Q9UKD2_MRTO4.pdf</v>
      </c>
    </row>
    <row r="6426" spans="1:28" x14ac:dyDescent="0.25">
      <c r="A6426" t="s">
        <v>6430</v>
      </c>
      <c r="B6426">
        <v>0.995954080203443</v>
      </c>
      <c r="C6426">
        <v>0.88217486219659702</v>
      </c>
      <c r="D6426">
        <v>0.83057895529518599</v>
      </c>
      <c r="E6426">
        <v>0.72708276865330101</v>
      </c>
      <c r="F6426">
        <v>0.64052184275040902</v>
      </c>
      <c r="G6426">
        <v>0.45413345529060301</v>
      </c>
      <c r="H6426">
        <v>0.39746214979782102</v>
      </c>
      <c r="I6426">
        <v>0.42916923753007802</v>
      </c>
      <c r="J6426">
        <v>0.53604577019108601</v>
      </c>
      <c r="K6426">
        <v>0.52280468863739005</v>
      </c>
      <c r="L6426">
        <v>679.82623678145706</v>
      </c>
      <c r="M6426">
        <v>13.865920748536301</v>
      </c>
      <c r="N6426">
        <v>58.875705714187497</v>
      </c>
      <c r="O6426">
        <v>48.042536556291701</v>
      </c>
      <c r="P6426">
        <v>-3.9631189102123897E-2</v>
      </c>
      <c r="Q6426">
        <v>0.450819882156552</v>
      </c>
      <c r="R6426">
        <v>0.92411886954158595</v>
      </c>
      <c r="S6426" t="s">
        <v>13232</v>
      </c>
      <c r="T6426" t="s">
        <v>13610</v>
      </c>
      <c r="U6426" t="s">
        <v>13610</v>
      </c>
      <c r="V6426" t="s">
        <v>13610</v>
      </c>
      <c r="W6426" t="s">
        <v>19959</v>
      </c>
      <c r="X6426">
        <v>23</v>
      </c>
      <c r="Y6426" t="s">
        <v>26500</v>
      </c>
      <c r="Z6426" t="s">
        <v>33281</v>
      </c>
      <c r="AA6426">
        <v>0.63175110035113669</v>
      </c>
      <c r="AB6426" t="str">
        <f>HYPERLINK("Melting_Curves/meltCurve_Q9UKE5_TNIK.pdf", "Melting_Curves/meltCurve_Q9UKE5_TNIK.pdf")</f>
        <v>Melting_Curves/meltCurve_Q9UKE5_TNIK.pdf</v>
      </c>
    </row>
    <row r="6427" spans="1:28" x14ac:dyDescent="0.25">
      <c r="A6427" t="s">
        <v>6431</v>
      </c>
      <c r="B6427">
        <v>0.995954080203443</v>
      </c>
      <c r="C6427">
        <v>0.69953871107578303</v>
      </c>
      <c r="D6427">
        <v>0.66450168195708803</v>
      </c>
      <c r="E6427">
        <v>0.63972024971932295</v>
      </c>
      <c r="F6427">
        <v>0.52890969301934099</v>
      </c>
      <c r="G6427">
        <v>0.42993918126856201</v>
      </c>
      <c r="H6427">
        <v>0.35570539336066098</v>
      </c>
      <c r="I6427">
        <v>0.380775843994548</v>
      </c>
      <c r="J6427">
        <v>0.50028428879023201</v>
      </c>
      <c r="K6427">
        <v>0.45749106348049301</v>
      </c>
      <c r="L6427">
        <v>533.90543511905798</v>
      </c>
      <c r="M6427">
        <v>11.788016846693001</v>
      </c>
      <c r="N6427">
        <v>53.261296748462499</v>
      </c>
      <c r="O6427">
        <v>44.0477264905658</v>
      </c>
      <c r="P6427">
        <v>-3.9196284709917199E-2</v>
      </c>
      <c r="Q6427">
        <v>0.41429959089180302</v>
      </c>
      <c r="R6427">
        <v>0.86596958904487598</v>
      </c>
      <c r="S6427" t="s">
        <v>13233</v>
      </c>
      <c r="T6427" t="s">
        <v>13610</v>
      </c>
      <c r="U6427" t="s">
        <v>13610</v>
      </c>
      <c r="V6427" t="s">
        <v>13610</v>
      </c>
      <c r="W6427" t="s">
        <v>19960</v>
      </c>
      <c r="X6427">
        <v>23</v>
      </c>
      <c r="Y6427" t="s">
        <v>26500</v>
      </c>
      <c r="Z6427" t="s">
        <v>33282</v>
      </c>
      <c r="AA6427">
        <v>0.54700074527193665</v>
      </c>
      <c r="AB6427" t="str">
        <f>HYPERLINK("Melting_Curves/meltCurve_Q9UKE5_3_TNIK.pdf", "Melting_Curves/meltCurve_Q9UKE5_3_TNIK.pdf")</f>
        <v>Melting_Curves/meltCurve_Q9UKE5_3_TNIK.pdf</v>
      </c>
    </row>
    <row r="6428" spans="1:28" x14ac:dyDescent="0.25">
      <c r="A6428" t="s">
        <v>6432</v>
      </c>
      <c r="B6428">
        <v>0.995954080203443</v>
      </c>
      <c r="C6428">
        <v>0.92460724664723304</v>
      </c>
      <c r="D6428">
        <v>0.90017858036642195</v>
      </c>
      <c r="E6428">
        <v>0.84758886064903904</v>
      </c>
      <c r="F6428">
        <v>0.72835060059508006</v>
      </c>
      <c r="G6428">
        <v>0.55815829281880902</v>
      </c>
      <c r="H6428">
        <v>0.57209799135029504</v>
      </c>
      <c r="I6428">
        <v>0.57279176324235304</v>
      </c>
      <c r="J6428">
        <v>0.76138585098919298</v>
      </c>
      <c r="K6428">
        <v>0.68564977728719001</v>
      </c>
      <c r="L6428">
        <v>959.16560234711505</v>
      </c>
      <c r="M6428">
        <v>19.366644475016599</v>
      </c>
      <c r="O6428">
        <v>49.007689823095703</v>
      </c>
      <c r="P6428">
        <v>-3.6625827219438398E-2</v>
      </c>
      <c r="Q6428">
        <v>0.62928408463798702</v>
      </c>
      <c r="R6428">
        <v>0.80300173046317602</v>
      </c>
      <c r="S6428" t="s">
        <v>13234</v>
      </c>
      <c r="T6428" t="s">
        <v>13610</v>
      </c>
      <c r="U6428" t="s">
        <v>13610</v>
      </c>
      <c r="V6428" t="s">
        <v>13610</v>
      </c>
      <c r="W6428" t="s">
        <v>19961</v>
      </c>
      <c r="X6428">
        <v>23</v>
      </c>
      <c r="Y6428" t="s">
        <v>26500</v>
      </c>
      <c r="Z6428" t="s">
        <v>33283</v>
      </c>
      <c r="AA6428">
        <v>0.75252049503774132</v>
      </c>
      <c r="AB6428" t="str">
        <f>HYPERLINK("Melting_Curves/meltCurve_Q9UKE5_4_TNIK.pdf", "Melting_Curves/meltCurve_Q9UKE5_4_TNIK.pdf")</f>
        <v>Melting_Curves/meltCurve_Q9UKE5_4_TNIK.pdf</v>
      </c>
    </row>
    <row r="6429" spans="1:28" x14ac:dyDescent="0.25">
      <c r="A6429" t="s">
        <v>6433</v>
      </c>
      <c r="B6429">
        <v>0.995954080203443</v>
      </c>
      <c r="C6429">
        <v>0.870681528011651</v>
      </c>
      <c r="D6429">
        <v>0.84021651521648799</v>
      </c>
      <c r="E6429">
        <v>0.74765771455720997</v>
      </c>
      <c r="F6429">
        <v>0.52630468779240003</v>
      </c>
      <c r="G6429">
        <v>0.26936591923622</v>
      </c>
      <c r="H6429">
        <v>0.149354651294518</v>
      </c>
      <c r="I6429">
        <v>8.5902746732495497E-2</v>
      </c>
      <c r="J6429">
        <v>8.2368520190827701E-2</v>
      </c>
      <c r="K6429">
        <v>8.17728032027491E-2</v>
      </c>
      <c r="L6429">
        <v>674.218123746797</v>
      </c>
      <c r="M6429">
        <v>12.693846533318601</v>
      </c>
      <c r="N6429">
        <v>53.162916302348798</v>
      </c>
      <c r="O6429">
        <v>51.847351444646797</v>
      </c>
      <c r="P6429">
        <v>-6.0862640656684598E-2</v>
      </c>
      <c r="Q6429">
        <v>5.8316216006888298E-3</v>
      </c>
      <c r="R6429">
        <v>0.98800133748989105</v>
      </c>
      <c r="S6429" t="s">
        <v>13235</v>
      </c>
      <c r="T6429" t="s">
        <v>13610</v>
      </c>
      <c r="U6429" t="s">
        <v>13610</v>
      </c>
      <c r="V6429" t="s">
        <v>13610</v>
      </c>
      <c r="W6429" t="s">
        <v>19962</v>
      </c>
      <c r="X6429">
        <v>28</v>
      </c>
      <c r="Y6429" t="s">
        <v>26501</v>
      </c>
      <c r="Z6429" t="s">
        <v>33284</v>
      </c>
      <c r="AA6429">
        <v>0.46673148696109451</v>
      </c>
      <c r="AB6429" t="str">
        <f>HYPERLINK("Melting_Curves/meltCurve_Q9UKF6_CPSF3.pdf", "Melting_Curves/meltCurve_Q9UKF6_CPSF3.pdf")</f>
        <v>Melting_Curves/meltCurve_Q9UKF6_CPSF3.pdf</v>
      </c>
    </row>
    <row r="6430" spans="1:28" x14ac:dyDescent="0.25">
      <c r="A6430" t="s">
        <v>6434</v>
      </c>
      <c r="B6430">
        <v>0.995954080203443</v>
      </c>
      <c r="C6430">
        <v>0.97082165125401698</v>
      </c>
      <c r="D6430">
        <v>0.96346897530743703</v>
      </c>
      <c r="E6430">
        <v>0.755478460999639</v>
      </c>
      <c r="F6430">
        <v>0.51375397709011195</v>
      </c>
      <c r="G6430">
        <v>0.26948317416672202</v>
      </c>
      <c r="H6430">
        <v>0.15048251281775901</v>
      </c>
      <c r="I6430">
        <v>0.11780453319414901</v>
      </c>
      <c r="J6430">
        <v>0.12218239553568799</v>
      </c>
      <c r="K6430">
        <v>0.104164394683033</v>
      </c>
      <c r="L6430">
        <v>1026.68778868664</v>
      </c>
      <c r="M6430">
        <v>19.521820590251298</v>
      </c>
      <c r="N6430">
        <v>53.191863667861803</v>
      </c>
      <c r="O6430">
        <v>52.0492731569813</v>
      </c>
      <c r="P6430">
        <v>-8.4502092775316603E-2</v>
      </c>
      <c r="Q6430">
        <v>9.8830981119582606E-2</v>
      </c>
      <c r="R6430">
        <v>0.99937853475879201</v>
      </c>
      <c r="S6430" t="s">
        <v>13236</v>
      </c>
      <c r="T6430" t="s">
        <v>13610</v>
      </c>
      <c r="U6430" t="s">
        <v>13610</v>
      </c>
      <c r="V6430" t="s">
        <v>13610</v>
      </c>
      <c r="W6430" t="s">
        <v>19963</v>
      </c>
      <c r="X6430">
        <v>27</v>
      </c>
      <c r="Y6430" t="s">
        <v>26502</v>
      </c>
      <c r="Z6430" t="s">
        <v>33285</v>
      </c>
      <c r="AA6430">
        <v>0.49004038764364027</v>
      </c>
      <c r="AB6430" t="str">
        <f>HYPERLINK("Melting_Curves/meltCurve_Q9UKG1_APPL1.pdf", "Melting_Curves/meltCurve_Q9UKG1_APPL1.pdf")</f>
        <v>Melting_Curves/meltCurve_Q9UKG1_APPL1.pdf</v>
      </c>
    </row>
    <row r="6431" spans="1:28" x14ac:dyDescent="0.25">
      <c r="A6431" t="s">
        <v>6435</v>
      </c>
      <c r="B6431">
        <v>0.995954080203443</v>
      </c>
      <c r="C6431">
        <v>0.89444501289817302</v>
      </c>
      <c r="D6431">
        <v>0.70326697606812505</v>
      </c>
      <c r="E6431">
        <v>0.4179710309843</v>
      </c>
      <c r="F6431">
        <v>0.221213564801437</v>
      </c>
      <c r="G6431">
        <v>0.142281203667457</v>
      </c>
      <c r="H6431">
        <v>0.105601997734094</v>
      </c>
      <c r="I6431">
        <v>0.120979631170704</v>
      </c>
      <c r="J6431">
        <v>0.13981024073228501</v>
      </c>
      <c r="K6431">
        <v>0.13601121294271001</v>
      </c>
      <c r="L6431">
        <v>883.80726143162804</v>
      </c>
      <c r="M6431">
        <v>18.473882966828299</v>
      </c>
      <c r="N6431">
        <v>48.5214178031244</v>
      </c>
      <c r="O6431">
        <v>47.290898071880498</v>
      </c>
      <c r="P6431">
        <v>-8.6519094647721895E-2</v>
      </c>
      <c r="Q6431">
        <v>0.114125887292261</v>
      </c>
      <c r="R6431">
        <v>0.99684354020876798</v>
      </c>
      <c r="S6431" t="s">
        <v>13237</v>
      </c>
      <c r="T6431" t="s">
        <v>13610</v>
      </c>
      <c r="U6431" t="s">
        <v>13610</v>
      </c>
      <c r="V6431" t="s">
        <v>13610</v>
      </c>
      <c r="W6431" t="s">
        <v>19964</v>
      </c>
      <c r="X6431">
        <v>13</v>
      </c>
      <c r="Y6431" t="s">
        <v>26503</v>
      </c>
      <c r="Z6431" t="s">
        <v>33286</v>
      </c>
      <c r="AA6431">
        <v>0.36061564554859787</v>
      </c>
      <c r="AB6431" t="str">
        <f>HYPERLINK("Melting_Curves/meltCurve_Q9UKI8_TLK1.pdf", "Melting_Curves/meltCurve_Q9UKI8_TLK1.pdf")</f>
        <v>Melting_Curves/meltCurve_Q9UKI8_TLK1.pdf</v>
      </c>
    </row>
    <row r="6432" spans="1:28" x14ac:dyDescent="0.25">
      <c r="A6432" t="s">
        <v>6436</v>
      </c>
      <c r="B6432">
        <v>0.995954080203443</v>
      </c>
      <c r="C6432">
        <v>0.97634057295280796</v>
      </c>
      <c r="D6432">
        <v>1.0234920700622301</v>
      </c>
      <c r="E6432">
        <v>0.91993633680371401</v>
      </c>
      <c r="F6432">
        <v>0.88231683338951195</v>
      </c>
      <c r="G6432">
        <v>0.66065763444838499</v>
      </c>
      <c r="H6432">
        <v>0.63182701776330996</v>
      </c>
      <c r="I6432">
        <v>0.74464662706969098</v>
      </c>
      <c r="J6432">
        <v>0.88619077502837595</v>
      </c>
      <c r="K6432">
        <v>0.88745556631626998</v>
      </c>
      <c r="L6432">
        <v>1978.53442544775</v>
      </c>
      <c r="M6432">
        <v>38.114555394415802</v>
      </c>
      <c r="O6432">
        <v>51.767926139198998</v>
      </c>
      <c r="P6432">
        <v>-4.3098601902199801E-2</v>
      </c>
      <c r="Q6432">
        <v>0.76585117029873195</v>
      </c>
      <c r="R6432">
        <v>0.61658620921348695</v>
      </c>
      <c r="S6432" t="s">
        <v>13238</v>
      </c>
      <c r="T6432" t="s">
        <v>13610</v>
      </c>
      <c r="U6432" t="s">
        <v>13610</v>
      </c>
      <c r="V6432" t="s">
        <v>13610</v>
      </c>
      <c r="W6432" t="s">
        <v>19965</v>
      </c>
      <c r="X6432">
        <v>32</v>
      </c>
      <c r="Y6432" t="s">
        <v>26504</v>
      </c>
      <c r="Z6432" t="s">
        <v>33287</v>
      </c>
      <c r="AA6432">
        <v>0.8597352871658932</v>
      </c>
      <c r="AB6432" t="str">
        <f>HYPERLINK("Melting_Curves/meltCurve_Q9UKJ3_GPATCH8.pdf", "Melting_Curves/meltCurve_Q9UKJ3_GPATCH8.pdf")</f>
        <v>Melting_Curves/meltCurve_Q9UKJ3_GPATCH8.pdf</v>
      </c>
    </row>
    <row r="6433" spans="1:28" x14ac:dyDescent="0.25">
      <c r="A6433" t="s">
        <v>6437</v>
      </c>
      <c r="B6433">
        <v>0.995954080203443</v>
      </c>
      <c r="C6433">
        <v>0.78457673633988601</v>
      </c>
      <c r="D6433">
        <v>0.60789928892522604</v>
      </c>
      <c r="E6433">
        <v>0.28917510893635301</v>
      </c>
      <c r="F6433">
        <v>0.18548187411348299</v>
      </c>
      <c r="G6433">
        <v>0.12153904632658701</v>
      </c>
      <c r="H6433">
        <v>5.9691947627079099E-2</v>
      </c>
      <c r="I6433">
        <v>2.8006146943441401E-2</v>
      </c>
      <c r="J6433">
        <v>3.9841050957577499E-2</v>
      </c>
      <c r="K6433">
        <v>5.3428157885765902E-2</v>
      </c>
      <c r="L6433">
        <v>736.148877830831</v>
      </c>
      <c r="M6433">
        <v>15.683601061450901</v>
      </c>
      <c r="N6433">
        <v>47.175970083315804</v>
      </c>
      <c r="O6433">
        <v>46.194270108045203</v>
      </c>
      <c r="P6433">
        <v>-8.1650677302851998E-2</v>
      </c>
      <c r="Q6433">
        <v>3.8110421198067901E-2</v>
      </c>
      <c r="R6433">
        <v>0.99429826116522702</v>
      </c>
      <c r="S6433" t="s">
        <v>13239</v>
      </c>
      <c r="T6433" t="s">
        <v>13610</v>
      </c>
      <c r="U6433" t="s">
        <v>13610</v>
      </c>
      <c r="V6433" t="s">
        <v>13610</v>
      </c>
      <c r="W6433" t="s">
        <v>19966</v>
      </c>
      <c r="X6433">
        <v>3</v>
      </c>
      <c r="Y6433" t="s">
        <v>26505</v>
      </c>
      <c r="Z6433" t="s">
        <v>33288</v>
      </c>
      <c r="AA6433">
        <v>0.28446158623694601</v>
      </c>
      <c r="AB6433" t="str">
        <f>HYPERLINK("Melting_Curves/meltCurve_Q9UKK3_PARP4.pdf", "Melting_Curves/meltCurve_Q9UKK3_PARP4.pdf")</f>
        <v>Melting_Curves/meltCurve_Q9UKK3_PARP4.pdf</v>
      </c>
    </row>
    <row r="6434" spans="1:28" x14ac:dyDescent="0.25">
      <c r="A6434" t="s">
        <v>6438</v>
      </c>
      <c r="B6434">
        <v>0.995954080203443</v>
      </c>
      <c r="C6434">
        <v>0.88825866412457699</v>
      </c>
      <c r="D6434">
        <v>0.72038918136165297</v>
      </c>
      <c r="E6434">
        <v>0.49071625239569</v>
      </c>
      <c r="F6434">
        <v>0.211157963342536</v>
      </c>
      <c r="G6434">
        <v>9.8846194763604595E-2</v>
      </c>
      <c r="H6434">
        <v>5.6323139163872299E-2</v>
      </c>
      <c r="I6434">
        <v>4.5265630548301801E-2</v>
      </c>
      <c r="J6434">
        <v>4.7320563538215399E-2</v>
      </c>
      <c r="K6434">
        <v>4.1543978091410999E-2</v>
      </c>
      <c r="L6434">
        <v>779.396982786639</v>
      </c>
      <c r="M6434">
        <v>15.9036416156322</v>
      </c>
      <c r="N6434">
        <v>49.142419443113397</v>
      </c>
      <c r="O6434">
        <v>48.2522325993286</v>
      </c>
      <c r="P6434">
        <v>-8.0644182831228206E-2</v>
      </c>
      <c r="Q6434">
        <v>2.13689389987557E-2</v>
      </c>
      <c r="R6434">
        <v>0.99489647022795302</v>
      </c>
      <c r="S6434" t="s">
        <v>13240</v>
      </c>
      <c r="T6434" t="s">
        <v>13610</v>
      </c>
      <c r="U6434" t="s">
        <v>13610</v>
      </c>
      <c r="V6434" t="s">
        <v>13610</v>
      </c>
      <c r="W6434" t="s">
        <v>19967</v>
      </c>
      <c r="X6434">
        <v>16</v>
      </c>
      <c r="Y6434" t="s">
        <v>26506</v>
      </c>
      <c r="Z6434" t="s">
        <v>33289</v>
      </c>
      <c r="AA6434">
        <v>0.33680545830135761</v>
      </c>
      <c r="AB6434" t="str">
        <f>HYPERLINK("Melting_Curves/meltCurve_Q9UKL0_RCOR1.pdf", "Melting_Curves/meltCurve_Q9UKL0_RCOR1.pdf")</f>
        <v>Melting_Curves/meltCurve_Q9UKL0_RCOR1.pdf</v>
      </c>
    </row>
    <row r="6435" spans="1:28" x14ac:dyDescent="0.25">
      <c r="A6435" t="s">
        <v>6439</v>
      </c>
      <c r="B6435">
        <v>0.995954080203443</v>
      </c>
      <c r="C6435">
        <v>0.94632924011655795</v>
      </c>
      <c r="D6435">
        <v>0.98806475876767896</v>
      </c>
      <c r="E6435">
        <v>0.78544166027677598</v>
      </c>
      <c r="F6435">
        <v>0.64193884052761097</v>
      </c>
      <c r="G6435">
        <v>0.38077026398784602</v>
      </c>
      <c r="H6435">
        <v>0.31537346388114501</v>
      </c>
      <c r="I6435">
        <v>0.32792694315355903</v>
      </c>
      <c r="J6435">
        <v>0.41734616845151401</v>
      </c>
      <c r="K6435">
        <v>0.37955814398429</v>
      </c>
      <c r="L6435">
        <v>1274.1721387991299</v>
      </c>
      <c r="M6435">
        <v>24.5395998151944</v>
      </c>
      <c r="N6435">
        <v>54.613018463824901</v>
      </c>
      <c r="O6435">
        <v>51.581964302623703</v>
      </c>
      <c r="P6435">
        <v>-7.7225114936398206E-2</v>
      </c>
      <c r="Q6435">
        <v>0.35070391696527498</v>
      </c>
      <c r="R6435">
        <v>0.97913712845971101</v>
      </c>
      <c r="S6435" t="s">
        <v>13241</v>
      </c>
      <c r="T6435" t="s">
        <v>13610</v>
      </c>
      <c r="U6435" t="s">
        <v>13610</v>
      </c>
      <c r="V6435" t="s">
        <v>13610</v>
      </c>
      <c r="W6435" t="s">
        <v>19968</v>
      </c>
      <c r="X6435">
        <v>20</v>
      </c>
      <c r="Y6435" t="s">
        <v>26507</v>
      </c>
      <c r="Z6435" t="s">
        <v>33290</v>
      </c>
      <c r="AA6435">
        <v>0.61489664867149874</v>
      </c>
      <c r="AB6435" t="str">
        <f>HYPERLINK("Melting_Curves/meltCurve_Q9UKL3_CASP8AP2.pdf", "Melting_Curves/meltCurve_Q9UKL3_CASP8AP2.pdf")</f>
        <v>Melting_Curves/meltCurve_Q9UKL3_CASP8AP2.pdf</v>
      </c>
    </row>
    <row r="6436" spans="1:28" x14ac:dyDescent="0.25">
      <c r="A6436" t="s">
        <v>6440</v>
      </c>
      <c r="B6436">
        <v>0.995954080203443</v>
      </c>
      <c r="C6436">
        <v>1.0175249695773601</v>
      </c>
      <c r="D6436">
        <v>1.13606843827884</v>
      </c>
      <c r="E6436">
        <v>0.92817623524663495</v>
      </c>
      <c r="F6436">
        <v>0.92149319625831705</v>
      </c>
      <c r="G6436">
        <v>0.59979195243199002</v>
      </c>
      <c r="H6436">
        <v>0.28082778800820302</v>
      </c>
      <c r="I6436">
        <v>0.13220621439044999</v>
      </c>
      <c r="J6436">
        <v>0.12415967263899</v>
      </c>
      <c r="K6436">
        <v>0.109466934714289</v>
      </c>
      <c r="L6436">
        <v>1463.6928666927299</v>
      </c>
      <c r="M6436">
        <v>25.4246753844679</v>
      </c>
      <c r="N6436">
        <v>58.035583911442103</v>
      </c>
      <c r="O6436">
        <v>57.217165808413</v>
      </c>
      <c r="P6436">
        <v>-0.100836650200699</v>
      </c>
      <c r="Q6436">
        <v>9.2296800250608102E-2</v>
      </c>
      <c r="R6436">
        <v>0.98562364363630495</v>
      </c>
      <c r="S6436" t="s">
        <v>13242</v>
      </c>
      <c r="T6436" t="s">
        <v>13610</v>
      </c>
      <c r="U6436" t="s">
        <v>13610</v>
      </c>
      <c r="V6436" t="s">
        <v>13610</v>
      </c>
      <c r="W6436" t="s">
        <v>19969</v>
      </c>
      <c r="X6436">
        <v>12</v>
      </c>
      <c r="Y6436" t="s">
        <v>26508</v>
      </c>
      <c r="Z6436" t="s">
        <v>33291</v>
      </c>
      <c r="AA6436">
        <v>0.63173911363019775</v>
      </c>
      <c r="AB6436" t="str">
        <f>HYPERLINK("Melting_Curves/meltCurve_Q9UKL6_PCTP.pdf", "Melting_Curves/meltCurve_Q9UKL6_PCTP.pdf")</f>
        <v>Melting_Curves/meltCurve_Q9UKL6_PCTP.pdf</v>
      </c>
    </row>
    <row r="6437" spans="1:28" x14ac:dyDescent="0.25">
      <c r="A6437" t="s">
        <v>6441</v>
      </c>
      <c r="B6437">
        <v>0.995954080203443</v>
      </c>
      <c r="C6437">
        <v>0.89820397299565202</v>
      </c>
      <c r="D6437">
        <v>0.76644760690161595</v>
      </c>
      <c r="E6437">
        <v>0.57034602508643595</v>
      </c>
      <c r="F6437">
        <v>0.195524768752289</v>
      </c>
      <c r="G6437">
        <v>0.109034380603992</v>
      </c>
      <c r="H6437">
        <v>7.4430676757192393E-2</v>
      </c>
      <c r="I6437">
        <v>6.2731657141865696E-2</v>
      </c>
      <c r="J6437">
        <v>7.9309374498719401E-2</v>
      </c>
      <c r="K6437">
        <v>6.9096350629907599E-2</v>
      </c>
      <c r="L6437">
        <v>882.15553151161396</v>
      </c>
      <c r="M6437">
        <v>17.836126109134199</v>
      </c>
      <c r="N6437">
        <v>49.736017015855197</v>
      </c>
      <c r="O6437">
        <v>48.8497897419713</v>
      </c>
      <c r="P6437">
        <v>-8.6967674487260394E-2</v>
      </c>
      <c r="Q6437">
        <v>4.7296811908602999E-2</v>
      </c>
      <c r="R6437">
        <v>0.98599086936463598</v>
      </c>
      <c r="S6437" t="s">
        <v>13243</v>
      </c>
      <c r="T6437" t="s">
        <v>13610</v>
      </c>
      <c r="U6437" t="s">
        <v>13610</v>
      </c>
      <c r="V6437" t="s">
        <v>13610</v>
      </c>
      <c r="W6437" t="s">
        <v>19970</v>
      </c>
      <c r="X6437">
        <v>27</v>
      </c>
      <c r="Y6437" t="s">
        <v>26509</v>
      </c>
      <c r="Z6437" t="s">
        <v>33292</v>
      </c>
      <c r="AA6437">
        <v>0.36434827412616527</v>
      </c>
      <c r="AB6437" t="str">
        <f>HYPERLINK("Melting_Curves/meltCurve_Q9UKN8_GTF3C4.pdf", "Melting_Curves/meltCurve_Q9UKN8_GTF3C4.pdf")</f>
        <v>Melting_Curves/meltCurve_Q9UKN8_GTF3C4.pdf</v>
      </c>
    </row>
    <row r="6438" spans="1:28" x14ac:dyDescent="0.25">
      <c r="A6438" t="s">
        <v>6442</v>
      </c>
      <c r="B6438">
        <v>0.995954080203443</v>
      </c>
      <c r="C6438">
        <v>0.87235082988221002</v>
      </c>
      <c r="D6438">
        <v>0.836565528322465</v>
      </c>
      <c r="E6438">
        <v>0.66558027957823596</v>
      </c>
      <c r="F6438">
        <v>0.677307554241389</v>
      </c>
      <c r="G6438">
        <v>0.56576409337389599</v>
      </c>
      <c r="H6438">
        <v>0.54425080999304698</v>
      </c>
      <c r="I6438">
        <v>0.65276430351692805</v>
      </c>
      <c r="J6438">
        <v>0.79876935697454499</v>
      </c>
      <c r="K6438">
        <v>0.78361395237826703</v>
      </c>
      <c r="L6438">
        <v>1004.50231292988</v>
      </c>
      <c r="M6438">
        <v>22.365087244946601</v>
      </c>
      <c r="O6438">
        <v>44.559402281369799</v>
      </c>
      <c r="P6438">
        <v>-4.1851061092700099E-2</v>
      </c>
      <c r="Q6438">
        <v>0.66647673308487898</v>
      </c>
      <c r="R6438">
        <v>0.66007546150989804</v>
      </c>
      <c r="S6438" t="s">
        <v>13244</v>
      </c>
      <c r="T6438" t="s">
        <v>13610</v>
      </c>
      <c r="U6438" t="s">
        <v>13610</v>
      </c>
      <c r="V6438" t="s">
        <v>13610</v>
      </c>
      <c r="W6438" t="s">
        <v>19971</v>
      </c>
      <c r="X6438">
        <v>3</v>
      </c>
      <c r="Y6438" t="s">
        <v>26510</v>
      </c>
      <c r="Z6438" t="s">
        <v>33293</v>
      </c>
      <c r="AA6438">
        <v>0.72548673084046711</v>
      </c>
      <c r="AB6438" t="str">
        <f>HYPERLINK("Melting_Curves/meltCurve_Q9UKS6_PACSIN3.pdf", "Melting_Curves/meltCurve_Q9UKS6_PACSIN3.pdf")</f>
        <v>Melting_Curves/meltCurve_Q9UKS6_PACSIN3.pdf</v>
      </c>
    </row>
    <row r="6439" spans="1:28" x14ac:dyDescent="0.25">
      <c r="A6439" t="s">
        <v>6443</v>
      </c>
      <c r="B6439">
        <v>0.995954080203443</v>
      </c>
      <c r="C6439">
        <v>0.84549115967203903</v>
      </c>
      <c r="D6439">
        <v>0.93662520633583302</v>
      </c>
      <c r="E6439">
        <v>0.763928383915221</v>
      </c>
      <c r="F6439">
        <v>0.87932705338886497</v>
      </c>
      <c r="G6439">
        <v>0.64059588578113802</v>
      </c>
      <c r="H6439">
        <v>0.64074235570011995</v>
      </c>
      <c r="I6439">
        <v>0.738678415176376</v>
      </c>
      <c r="J6439">
        <v>0.87719193614142899</v>
      </c>
      <c r="K6439">
        <v>0.87597777969653301</v>
      </c>
      <c r="L6439">
        <v>681.15552014161403</v>
      </c>
      <c r="M6439">
        <v>15.214702222826901</v>
      </c>
      <c r="O6439">
        <v>44.017519879576</v>
      </c>
      <c r="P6439">
        <v>-2.0129382928691899E-2</v>
      </c>
      <c r="Q6439">
        <v>0.76707766882874895</v>
      </c>
      <c r="R6439">
        <v>0.36327204311799599</v>
      </c>
      <c r="S6439" t="s">
        <v>13245</v>
      </c>
      <c r="T6439" t="s">
        <v>13610</v>
      </c>
      <c r="U6439" t="s">
        <v>13610</v>
      </c>
      <c r="V6439" t="s">
        <v>13610</v>
      </c>
      <c r="W6439" t="s">
        <v>19972</v>
      </c>
      <c r="X6439">
        <v>5</v>
      </c>
      <c r="Y6439" t="s">
        <v>26511</v>
      </c>
      <c r="Z6439" t="s">
        <v>33294</v>
      </c>
      <c r="AA6439">
        <v>0.81155938884899259</v>
      </c>
      <c r="AB6439" t="str">
        <f>HYPERLINK("Melting_Curves/meltCurve_Q9UKT4_2_FBXO5.pdf", "Melting_Curves/meltCurve_Q9UKT4_2_FBXO5.pdf")</f>
        <v>Melting_Curves/meltCurve_Q9UKT4_2_FBXO5.pdf</v>
      </c>
    </row>
    <row r="6440" spans="1:28" x14ac:dyDescent="0.25">
      <c r="A6440" t="s">
        <v>6444</v>
      </c>
      <c r="B6440">
        <v>0.995954080203443</v>
      </c>
      <c r="C6440">
        <v>0.908054847379687</v>
      </c>
      <c r="D6440">
        <v>0.87374025394872801</v>
      </c>
      <c r="E6440">
        <v>0.65196588860276805</v>
      </c>
      <c r="F6440">
        <v>0.31078643221705199</v>
      </c>
      <c r="G6440">
        <v>0.15530518182481101</v>
      </c>
      <c r="H6440">
        <v>0.10877145590314299</v>
      </c>
      <c r="I6440">
        <v>9.9600530455249595E-2</v>
      </c>
      <c r="J6440">
        <v>0.113271590161516</v>
      </c>
      <c r="K6440">
        <v>0.102750890862774</v>
      </c>
      <c r="L6440">
        <v>1070.94588181481</v>
      </c>
      <c r="M6440">
        <v>21.161621263452101</v>
      </c>
      <c r="N6440">
        <v>51.091518816666898</v>
      </c>
      <c r="O6440">
        <v>50.162504101826201</v>
      </c>
      <c r="P6440">
        <v>-9.5896210231109696E-2</v>
      </c>
      <c r="Q6440">
        <v>9.0756096589354796E-2</v>
      </c>
      <c r="R6440">
        <v>0.99230637996948701</v>
      </c>
      <c r="S6440" t="s">
        <v>13246</v>
      </c>
      <c r="T6440" t="s">
        <v>13610</v>
      </c>
      <c r="U6440" t="s">
        <v>13610</v>
      </c>
      <c r="V6440" t="s">
        <v>13610</v>
      </c>
      <c r="W6440" t="s">
        <v>19973</v>
      </c>
      <c r="X6440">
        <v>10</v>
      </c>
      <c r="Y6440" t="s">
        <v>26512</v>
      </c>
      <c r="Z6440" t="s">
        <v>33295</v>
      </c>
      <c r="AA6440">
        <v>0.42360116913969242</v>
      </c>
      <c r="AB6440" t="str">
        <f>HYPERLINK("Melting_Curves/meltCurve_Q9UKT5_FBXO4.pdf", "Melting_Curves/meltCurve_Q9UKT5_FBXO4.pdf")</f>
        <v>Melting_Curves/meltCurve_Q9UKT5_FBXO4.pdf</v>
      </c>
    </row>
    <row r="6441" spans="1:28" x14ac:dyDescent="0.25">
      <c r="A6441" t="s">
        <v>6445</v>
      </c>
      <c r="B6441">
        <v>0.995954080203443</v>
      </c>
      <c r="C6441">
        <v>0.90673989446457604</v>
      </c>
      <c r="D6441">
        <v>0.87030497204956903</v>
      </c>
      <c r="E6441">
        <v>0.74092643632134503</v>
      </c>
      <c r="F6441">
        <v>0.67950805858980201</v>
      </c>
      <c r="G6441">
        <v>0.55842808438121605</v>
      </c>
      <c r="H6441">
        <v>0.51418701610450901</v>
      </c>
      <c r="I6441">
        <v>0.60427810792081105</v>
      </c>
      <c r="J6441">
        <v>0.68710512536389001</v>
      </c>
      <c r="K6441">
        <v>0.71669468675575598</v>
      </c>
      <c r="L6441">
        <v>868.04979355632702</v>
      </c>
      <c r="M6441">
        <v>18.355668795671999</v>
      </c>
      <c r="O6441">
        <v>46.739990147842697</v>
      </c>
      <c r="P6441">
        <v>-3.7592015726062397E-2</v>
      </c>
      <c r="Q6441">
        <v>0.61712750183475995</v>
      </c>
      <c r="R6441">
        <v>0.84020181078524503</v>
      </c>
      <c r="S6441" t="s">
        <v>13247</v>
      </c>
      <c r="T6441" t="s">
        <v>13610</v>
      </c>
      <c r="U6441" t="s">
        <v>13610</v>
      </c>
      <c r="V6441" t="s">
        <v>13610</v>
      </c>
      <c r="W6441" t="s">
        <v>19974</v>
      </c>
      <c r="X6441">
        <v>9</v>
      </c>
      <c r="Y6441" t="s">
        <v>26513</v>
      </c>
      <c r="Z6441" t="s">
        <v>33296</v>
      </c>
      <c r="AA6441">
        <v>0.71685482826109914</v>
      </c>
      <c r="AB6441" t="str">
        <f>HYPERLINK("Melting_Curves/meltCurve_Q9UKT9_7_IKZF3.pdf", "Melting_Curves/meltCurve_Q9UKT9_7_IKZF3.pdf")</f>
        <v>Melting_Curves/meltCurve_Q9UKT9_7_IKZF3.pdf</v>
      </c>
    </row>
    <row r="6442" spans="1:28" x14ac:dyDescent="0.25">
      <c r="A6442" t="s">
        <v>6446</v>
      </c>
      <c r="B6442">
        <v>0.995954080203443</v>
      </c>
      <c r="C6442">
        <v>0.98378824183955305</v>
      </c>
      <c r="D6442">
        <v>0.86394959987667896</v>
      </c>
      <c r="E6442">
        <v>0.70802352326265505</v>
      </c>
      <c r="F6442">
        <v>0.38729445325668299</v>
      </c>
      <c r="G6442">
        <v>0.16380979197318099</v>
      </c>
      <c r="H6442">
        <v>0.107752501749906</v>
      </c>
      <c r="I6442">
        <v>0.104224484895098</v>
      </c>
      <c r="J6442">
        <v>0.102510969792621</v>
      </c>
      <c r="K6442">
        <v>0.103858786870762</v>
      </c>
      <c r="L6442">
        <v>1082.8562427331201</v>
      </c>
      <c r="M6442">
        <v>21.095717784518399</v>
      </c>
      <c r="N6442">
        <v>51.797871652065901</v>
      </c>
      <c r="O6442">
        <v>50.876041758628403</v>
      </c>
      <c r="P6442">
        <v>-9.4682795504970094E-2</v>
      </c>
      <c r="Q6442">
        <v>8.6647027179725E-2</v>
      </c>
      <c r="R6442">
        <v>0.99524796377774705</v>
      </c>
      <c r="S6442" t="s">
        <v>13248</v>
      </c>
      <c r="T6442" t="s">
        <v>13610</v>
      </c>
      <c r="U6442" t="s">
        <v>13610</v>
      </c>
      <c r="V6442" t="s">
        <v>13610</v>
      </c>
      <c r="W6442" t="s">
        <v>19975</v>
      </c>
      <c r="X6442">
        <v>11</v>
      </c>
      <c r="Y6442" t="s">
        <v>26514</v>
      </c>
      <c r="Z6442" t="s">
        <v>33297</v>
      </c>
      <c r="AA6442">
        <v>0.44307915404558929</v>
      </c>
      <c r="AB6442" t="str">
        <f>HYPERLINK("Melting_Curves/meltCurve_Q9UKU7_ACAD8.pdf", "Melting_Curves/meltCurve_Q9UKU7_ACAD8.pdf")</f>
        <v>Melting_Curves/meltCurve_Q9UKU7_ACAD8.pdf</v>
      </c>
    </row>
    <row r="6443" spans="1:28" x14ac:dyDescent="0.25">
      <c r="A6443" t="s">
        <v>6447</v>
      </c>
      <c r="B6443">
        <v>0.995954080203443</v>
      </c>
      <c r="C6443">
        <v>0.99689246122550401</v>
      </c>
      <c r="D6443">
        <v>1.0755508106571701</v>
      </c>
      <c r="E6443">
        <v>0.95585190458297198</v>
      </c>
      <c r="F6443">
        <v>1.0350264558285001</v>
      </c>
      <c r="G6443">
        <v>0.80784281762704102</v>
      </c>
      <c r="H6443">
        <v>0.847790182857313</v>
      </c>
      <c r="I6443">
        <v>1.01790666920984</v>
      </c>
      <c r="J6443">
        <v>1.4258346295755899</v>
      </c>
      <c r="K6443">
        <v>1.2381340972633099</v>
      </c>
      <c r="L6443">
        <v>15000</v>
      </c>
      <c r="M6443">
        <v>231.55758399077999</v>
      </c>
      <c r="O6443">
        <v>64.773895241098998</v>
      </c>
      <c r="P6443">
        <v>0.29672816037920302</v>
      </c>
      <c r="Q6443">
        <v>1.33201644832118</v>
      </c>
      <c r="R6443">
        <v>0.70287757384982896</v>
      </c>
      <c r="S6443" t="s">
        <v>13249</v>
      </c>
      <c r="T6443" t="s">
        <v>13610</v>
      </c>
      <c r="U6443" t="s">
        <v>13610</v>
      </c>
      <c r="V6443" t="s">
        <v>13610</v>
      </c>
      <c r="W6443" t="s">
        <v>19976</v>
      </c>
      <c r="X6443">
        <v>35</v>
      </c>
      <c r="Y6443" t="s">
        <v>26515</v>
      </c>
      <c r="Z6443" t="s">
        <v>33298</v>
      </c>
      <c r="AA6443">
        <v>1.057741215401206</v>
      </c>
      <c r="AB6443" t="str">
        <f>HYPERLINK("Melting_Curves/meltCurve_Q9UKV3_ACIN1.pdf", "Melting_Curves/meltCurve_Q9UKV3_ACIN1.pdf")</f>
        <v>Melting_Curves/meltCurve_Q9UKV3_ACIN1.pdf</v>
      </c>
    </row>
    <row r="6444" spans="1:28" x14ac:dyDescent="0.25">
      <c r="A6444" t="s">
        <v>6448</v>
      </c>
      <c r="B6444">
        <v>0.995954080203443</v>
      </c>
      <c r="C6444">
        <v>0.74108431692588494</v>
      </c>
      <c r="D6444">
        <v>0.78081178383656802</v>
      </c>
      <c r="E6444">
        <v>0.617022915625144</v>
      </c>
      <c r="F6444">
        <v>0.64206942710106696</v>
      </c>
      <c r="G6444">
        <v>0.52831322471346298</v>
      </c>
      <c r="H6444">
        <v>0.48297708175120702</v>
      </c>
      <c r="I6444">
        <v>0.51758936262584399</v>
      </c>
      <c r="J6444">
        <v>0.96488391991586298</v>
      </c>
      <c r="K6444">
        <v>0.58171740432985397</v>
      </c>
      <c r="L6444">
        <v>897.38433445258204</v>
      </c>
      <c r="M6444">
        <v>20.809957992299701</v>
      </c>
      <c r="O6444">
        <v>42.730546405612898</v>
      </c>
      <c r="P6444">
        <v>-4.6285506039068197E-2</v>
      </c>
      <c r="Q6444">
        <v>0.61984549024716296</v>
      </c>
      <c r="R6444">
        <v>0.41092266996479798</v>
      </c>
      <c r="S6444" t="s">
        <v>13250</v>
      </c>
      <c r="T6444" t="s">
        <v>13610</v>
      </c>
      <c r="U6444" t="s">
        <v>13610</v>
      </c>
      <c r="V6444" t="s">
        <v>13610</v>
      </c>
      <c r="W6444" t="s">
        <v>19977</v>
      </c>
      <c r="X6444">
        <v>33</v>
      </c>
      <c r="Y6444" t="s">
        <v>26515</v>
      </c>
      <c r="Z6444" t="s">
        <v>33299</v>
      </c>
      <c r="AA6444">
        <v>0.66741166691145037</v>
      </c>
      <c r="AB6444" t="str">
        <f>HYPERLINK("Melting_Curves/meltCurve_Q9UKV3_5_ACIN1.pdf", "Melting_Curves/meltCurve_Q9UKV3_5_ACIN1.pdf")</f>
        <v>Melting_Curves/meltCurve_Q9UKV3_5_ACIN1.pdf</v>
      </c>
    </row>
    <row r="6445" spans="1:28" x14ac:dyDescent="0.25">
      <c r="A6445" t="s">
        <v>6449</v>
      </c>
      <c r="B6445">
        <v>0.995954080203443</v>
      </c>
      <c r="C6445">
        <v>0.91181805207765898</v>
      </c>
      <c r="D6445">
        <v>0.783938314091981</v>
      </c>
      <c r="E6445">
        <v>0.88504112380317801</v>
      </c>
      <c r="F6445">
        <v>0.63874587964632901</v>
      </c>
      <c r="G6445">
        <v>0.501972331039369</v>
      </c>
      <c r="H6445">
        <v>0.32638659434121903</v>
      </c>
      <c r="I6445">
        <v>0.29486981450681299</v>
      </c>
      <c r="J6445">
        <v>0.229356123266306</v>
      </c>
      <c r="K6445">
        <v>0.15143217173653201</v>
      </c>
      <c r="L6445">
        <v>492.17891609189797</v>
      </c>
      <c r="M6445">
        <v>8.6352122700917899</v>
      </c>
      <c r="N6445">
        <v>56.996751775712802</v>
      </c>
      <c r="O6445">
        <v>54.1872372289561</v>
      </c>
      <c r="P6445">
        <v>-3.9873523020074401E-2</v>
      </c>
      <c r="Q6445">
        <v>0</v>
      </c>
      <c r="R6445">
        <v>0.96845983094133503</v>
      </c>
      <c r="S6445" t="s">
        <v>13251</v>
      </c>
      <c r="T6445" t="s">
        <v>13610</v>
      </c>
      <c r="U6445" t="s">
        <v>13610</v>
      </c>
      <c r="V6445" t="s">
        <v>13610</v>
      </c>
      <c r="W6445" t="s">
        <v>19978</v>
      </c>
      <c r="X6445">
        <v>33</v>
      </c>
      <c r="Y6445" t="s">
        <v>26516</v>
      </c>
      <c r="Z6445" t="s">
        <v>33300</v>
      </c>
      <c r="AA6445">
        <v>0.58018657455873668</v>
      </c>
      <c r="AB6445" t="str">
        <f>HYPERLINK("Melting_Curves/meltCurve_Q9UKV8_AGO2.pdf", "Melting_Curves/meltCurve_Q9UKV8_AGO2.pdf")</f>
        <v>Melting_Curves/meltCurve_Q9UKV8_AGO2.pdf</v>
      </c>
    </row>
    <row r="6446" spans="1:28" x14ac:dyDescent="0.25">
      <c r="A6446" t="s">
        <v>6450</v>
      </c>
      <c r="B6446">
        <v>0.995954080203443</v>
      </c>
      <c r="C6446">
        <v>1.0444781508849901</v>
      </c>
      <c r="D6446">
        <v>1.0777623996418999</v>
      </c>
      <c r="E6446">
        <v>0.99005159511469598</v>
      </c>
      <c r="F6446">
        <v>0.98097734883431498</v>
      </c>
      <c r="G6446">
        <v>0.707986469784878</v>
      </c>
      <c r="H6446">
        <v>0.57460384054212599</v>
      </c>
      <c r="I6446">
        <v>0.627364890706826</v>
      </c>
      <c r="J6446">
        <v>0.70940400021532801</v>
      </c>
      <c r="K6446">
        <v>0.66261177153755901</v>
      </c>
      <c r="L6446">
        <v>3603.3550145161198</v>
      </c>
      <c r="M6446">
        <v>64.790359324815498</v>
      </c>
      <c r="O6446">
        <v>55.562693881026803</v>
      </c>
      <c r="P6446">
        <v>-0.103834580323304</v>
      </c>
      <c r="Q6446">
        <v>0.64381569779131498</v>
      </c>
      <c r="R6446">
        <v>0.94791608593941501</v>
      </c>
      <c r="S6446" t="s">
        <v>13252</v>
      </c>
      <c r="T6446" t="s">
        <v>13610</v>
      </c>
      <c r="U6446" t="s">
        <v>13610</v>
      </c>
      <c r="V6446" t="s">
        <v>13610</v>
      </c>
      <c r="W6446" t="s">
        <v>19979</v>
      </c>
      <c r="X6446">
        <v>22</v>
      </c>
      <c r="Y6446" t="s">
        <v>26517</v>
      </c>
      <c r="Z6446" t="s">
        <v>33301</v>
      </c>
      <c r="AA6446">
        <v>0.82973599247943042</v>
      </c>
      <c r="AB6446" t="str">
        <f>HYPERLINK("Melting_Curves/meltCurve_Q9UKX7_NUP50.pdf", "Melting_Curves/meltCurve_Q9UKX7_NUP50.pdf")</f>
        <v>Melting_Curves/meltCurve_Q9UKX7_NUP50.pdf</v>
      </c>
    </row>
    <row r="6447" spans="1:28" x14ac:dyDescent="0.25">
      <c r="A6447" t="s">
        <v>6451</v>
      </c>
      <c r="B6447">
        <v>0.995954080203443</v>
      </c>
      <c r="C6447">
        <v>1.0644882465849199</v>
      </c>
      <c r="D6447">
        <v>1.0862266122353099</v>
      </c>
      <c r="E6447">
        <v>0.93924819113830704</v>
      </c>
      <c r="F6447">
        <v>0.64373130450555704</v>
      </c>
      <c r="G6447">
        <v>0.39502887788110003</v>
      </c>
      <c r="H6447">
        <v>0.29298699055017402</v>
      </c>
      <c r="I6447">
        <v>0.32268973887765701</v>
      </c>
      <c r="J6447">
        <v>0.37109992975674799</v>
      </c>
      <c r="K6447">
        <v>0.35423486011126698</v>
      </c>
      <c r="L6447">
        <v>2111.93960399867</v>
      </c>
      <c r="M6447">
        <v>39.975024182286099</v>
      </c>
      <c r="N6447">
        <v>54.373413596155103</v>
      </c>
      <c r="O6447">
        <v>52.699794005068398</v>
      </c>
      <c r="P6447">
        <v>-0.12533664882024001</v>
      </c>
      <c r="Q6447">
        <v>0.33906726699718598</v>
      </c>
      <c r="R6447">
        <v>0.98408410202738095</v>
      </c>
      <c r="S6447" t="s">
        <v>13253</v>
      </c>
      <c r="T6447" t="s">
        <v>13610</v>
      </c>
      <c r="U6447" t="s">
        <v>13610</v>
      </c>
      <c r="V6447" t="s">
        <v>13610</v>
      </c>
      <c r="W6447" t="s">
        <v>19980</v>
      </c>
      <c r="X6447">
        <v>8</v>
      </c>
      <c r="Y6447" t="s">
        <v>26518</v>
      </c>
      <c r="Z6447" t="s">
        <v>33302</v>
      </c>
      <c r="AA6447">
        <v>0.62417311377964435</v>
      </c>
      <c r="AB6447" t="str">
        <f>HYPERLINK("Melting_Curves/meltCurve_Q9UKY1_ZHX1.pdf", "Melting_Curves/meltCurve_Q9UKY1_ZHX1.pdf")</f>
        <v>Melting_Curves/meltCurve_Q9UKY1_ZHX1.pdf</v>
      </c>
    </row>
    <row r="6448" spans="1:28" x14ac:dyDescent="0.25">
      <c r="A6448" t="s">
        <v>6452</v>
      </c>
      <c r="B6448">
        <v>0.995954080203443</v>
      </c>
      <c r="C6448">
        <v>0.95886824363525802</v>
      </c>
      <c r="D6448">
        <v>0.92772192566089695</v>
      </c>
      <c r="E6448">
        <v>0.86053078324128096</v>
      </c>
      <c r="F6448">
        <v>0.80916152226221305</v>
      </c>
      <c r="G6448">
        <v>0.62925785425793301</v>
      </c>
      <c r="H6448">
        <v>0.64152888539170305</v>
      </c>
      <c r="I6448">
        <v>0.80680245747524904</v>
      </c>
      <c r="J6448">
        <v>1.1882676119553099</v>
      </c>
      <c r="K6448">
        <v>0.95993523376911605</v>
      </c>
      <c r="L6448">
        <v>1363.82718317942</v>
      </c>
      <c r="M6448">
        <v>29.7744196044357</v>
      </c>
      <c r="O6448">
        <v>45.600198764729399</v>
      </c>
      <c r="P6448">
        <v>-2.6009407126874599E-2</v>
      </c>
      <c r="Q6448">
        <v>0.84066508716059196</v>
      </c>
      <c r="R6448">
        <v>0.12270232859172001</v>
      </c>
      <c r="S6448" t="s">
        <v>13254</v>
      </c>
      <c r="T6448" t="s">
        <v>13610</v>
      </c>
      <c r="U6448" t="s">
        <v>13610</v>
      </c>
      <c r="V6448" t="s">
        <v>13610</v>
      </c>
      <c r="W6448" t="s">
        <v>13954</v>
      </c>
      <c r="X6448">
        <v>17</v>
      </c>
      <c r="Y6448" t="s">
        <v>20677</v>
      </c>
      <c r="Z6448" t="s">
        <v>33303</v>
      </c>
      <c r="AA6448">
        <v>0.87249261025518277</v>
      </c>
      <c r="AB6448" t="str">
        <f>HYPERLINK("Melting_Curves/meltCurve_Q9UKY7_CDV3.pdf", "Melting_Curves/meltCurve_Q9UKY7_CDV3.pdf")</f>
        <v>Melting_Curves/meltCurve_Q9UKY7_CDV3.pdf</v>
      </c>
    </row>
    <row r="6449" spans="1:28" x14ac:dyDescent="0.25">
      <c r="A6449" t="s">
        <v>6453</v>
      </c>
      <c r="B6449">
        <v>0.995954080203443</v>
      </c>
      <c r="C6449">
        <v>0.89155887366401398</v>
      </c>
      <c r="D6449">
        <v>0.80453191786225098</v>
      </c>
      <c r="E6449">
        <v>0.60092247129243104</v>
      </c>
      <c r="F6449">
        <v>0.22533565289285201</v>
      </c>
      <c r="G6449">
        <v>0.124464699936385</v>
      </c>
      <c r="H6449">
        <v>8.5606640033116896E-2</v>
      </c>
      <c r="I6449">
        <v>9.9103857930401495E-2</v>
      </c>
      <c r="J6449">
        <v>0.10243581458198001</v>
      </c>
      <c r="K6449">
        <v>9.6870796427514699E-2</v>
      </c>
      <c r="L6449">
        <v>950.23899841467005</v>
      </c>
      <c r="M6449">
        <v>19.1046886799143</v>
      </c>
      <c r="N6449">
        <v>50.1608766246868</v>
      </c>
      <c r="O6449">
        <v>49.203168698400603</v>
      </c>
      <c r="P6449">
        <v>-8.9862086118283099E-2</v>
      </c>
      <c r="Q6449">
        <v>7.4294717213866004E-2</v>
      </c>
      <c r="R6449">
        <v>0.98478462264664002</v>
      </c>
      <c r="S6449" t="s">
        <v>13255</v>
      </c>
      <c r="T6449" t="s">
        <v>13610</v>
      </c>
      <c r="U6449" t="s">
        <v>13610</v>
      </c>
      <c r="V6449" t="s">
        <v>13610</v>
      </c>
      <c r="W6449" t="s">
        <v>19981</v>
      </c>
      <c r="X6449">
        <v>8</v>
      </c>
      <c r="Y6449" t="s">
        <v>26519</v>
      </c>
      <c r="Z6449" t="s">
        <v>33304</v>
      </c>
      <c r="AA6449">
        <v>0.38890970005065828</v>
      </c>
      <c r="AB6449" t="str">
        <f>HYPERLINK("Melting_Curves/meltCurve_Q9UKZ1_CNOT11.pdf", "Melting_Curves/meltCurve_Q9UKZ1_CNOT11.pdf")</f>
        <v>Melting_Curves/meltCurve_Q9UKZ1_CNOT11.pdf</v>
      </c>
    </row>
    <row r="6450" spans="1:28" x14ac:dyDescent="0.25">
      <c r="A6450" t="s">
        <v>6454</v>
      </c>
      <c r="B6450">
        <v>0.995954080203443</v>
      </c>
      <c r="C6450">
        <v>1.0297509978144399</v>
      </c>
      <c r="D6450">
        <v>1.04345212163122</v>
      </c>
      <c r="E6450">
        <v>0.78193863559754295</v>
      </c>
      <c r="F6450">
        <v>0.36241593309027298</v>
      </c>
      <c r="G6450">
        <v>0.111058464783552</v>
      </c>
      <c r="H6450">
        <v>7.6766135799638799E-2</v>
      </c>
      <c r="I6450">
        <v>5.47949101636643E-2</v>
      </c>
      <c r="J6450">
        <v>7.3350103425013802E-2</v>
      </c>
      <c r="K6450">
        <v>5.8017681901896302E-2</v>
      </c>
      <c r="L6450">
        <v>1784.13299657927</v>
      </c>
      <c r="M6450">
        <v>34.439847944738702</v>
      </c>
      <c r="N6450">
        <v>52.016972488101999</v>
      </c>
      <c r="O6450">
        <v>51.630603120739799</v>
      </c>
      <c r="P6450">
        <v>-0.15580993935229101</v>
      </c>
      <c r="Q6450">
        <v>6.5671893828793099E-2</v>
      </c>
      <c r="R6450">
        <v>0.99754580262674997</v>
      </c>
      <c r="S6450" t="s">
        <v>13256</v>
      </c>
      <c r="T6450" t="s">
        <v>13610</v>
      </c>
      <c r="U6450" t="s">
        <v>13610</v>
      </c>
      <c r="V6450" t="s">
        <v>13610</v>
      </c>
      <c r="W6450" t="s">
        <v>19982</v>
      </c>
      <c r="X6450">
        <v>14</v>
      </c>
      <c r="Y6450" t="s">
        <v>26520</v>
      </c>
      <c r="Z6450" t="s">
        <v>33305</v>
      </c>
      <c r="AA6450">
        <v>0.43782652722482113</v>
      </c>
      <c r="AB6450" t="str">
        <f>HYPERLINK("Melting_Curves/meltCurve_Q9UL15_BAG5.pdf", "Melting_Curves/meltCurve_Q9UL15_BAG5.pdf")</f>
        <v>Melting_Curves/meltCurve_Q9UL15_BAG5.pdf</v>
      </c>
    </row>
    <row r="6451" spans="1:28" x14ac:dyDescent="0.25">
      <c r="A6451" t="s">
        <v>6455</v>
      </c>
      <c r="B6451">
        <v>0.995954080203443</v>
      </c>
      <c r="C6451">
        <v>0.95079834858508305</v>
      </c>
      <c r="D6451">
        <v>0.90511519910387905</v>
      </c>
      <c r="E6451">
        <v>0.83918385458461497</v>
      </c>
      <c r="F6451">
        <v>0.71253637702161299</v>
      </c>
      <c r="G6451">
        <v>0.45276265044310599</v>
      </c>
      <c r="H6451">
        <v>0.14241889852970199</v>
      </c>
      <c r="I6451">
        <v>9.2004924170883198E-2</v>
      </c>
      <c r="J6451">
        <v>9.1011144728691998E-2</v>
      </c>
      <c r="K6451">
        <v>8.5321783690080602E-2</v>
      </c>
      <c r="L6451">
        <v>896.20994275103601</v>
      </c>
      <c r="M6451">
        <v>16.131456048821001</v>
      </c>
      <c r="N6451">
        <v>55.6715668250948</v>
      </c>
      <c r="O6451">
        <v>54.723937248145702</v>
      </c>
      <c r="P6451">
        <v>-7.2493629828024098E-2</v>
      </c>
      <c r="Q6451">
        <v>1.6372595995933499E-2</v>
      </c>
      <c r="R6451">
        <v>0.98966887152099003</v>
      </c>
      <c r="S6451" t="s">
        <v>13257</v>
      </c>
      <c r="T6451" t="s">
        <v>13610</v>
      </c>
      <c r="U6451" t="s">
        <v>13610</v>
      </c>
      <c r="V6451" t="s">
        <v>13610</v>
      </c>
      <c r="W6451" t="s">
        <v>19983</v>
      </c>
      <c r="X6451">
        <v>9</v>
      </c>
      <c r="Y6451" t="s">
        <v>26521</v>
      </c>
      <c r="Z6451" t="s">
        <v>33306</v>
      </c>
      <c r="AA6451">
        <v>0.54331193483054452</v>
      </c>
      <c r="AB6451" t="str">
        <f>HYPERLINK("Melting_Curves/meltCurve_Q9UL25_RAB21.pdf", "Melting_Curves/meltCurve_Q9UL25_RAB21.pdf")</f>
        <v>Melting_Curves/meltCurve_Q9UL25_RAB21.pdf</v>
      </c>
    </row>
    <row r="6452" spans="1:28" x14ac:dyDescent="0.25">
      <c r="A6452" t="s">
        <v>6456</v>
      </c>
      <c r="B6452">
        <v>0.995954080203443</v>
      </c>
      <c r="C6452">
        <v>1.0264044487175701</v>
      </c>
      <c r="D6452">
        <v>1.0631038038935201</v>
      </c>
      <c r="E6452">
        <v>0.889675437232751</v>
      </c>
      <c r="F6452">
        <v>0.67111280671374995</v>
      </c>
      <c r="G6452">
        <v>0.33890497169800698</v>
      </c>
      <c r="H6452">
        <v>0.14464150929154301</v>
      </c>
      <c r="I6452">
        <v>0.131379468887068</v>
      </c>
      <c r="J6452">
        <v>0.13310563930262201</v>
      </c>
      <c r="K6452">
        <v>0.12182375338255</v>
      </c>
      <c r="L6452">
        <v>1334.7500077720999</v>
      </c>
      <c r="M6452">
        <v>24.6179855975317</v>
      </c>
      <c r="N6452">
        <v>54.7982942423181</v>
      </c>
      <c r="O6452">
        <v>53.864526878402998</v>
      </c>
      <c r="P6452">
        <v>-0.101159625203601</v>
      </c>
      <c r="Q6452">
        <v>0.11465747284908701</v>
      </c>
      <c r="R6452">
        <v>0.99517348665885297</v>
      </c>
      <c r="S6452" t="s">
        <v>13258</v>
      </c>
      <c r="T6452" t="s">
        <v>13610</v>
      </c>
      <c r="U6452" t="s">
        <v>13610</v>
      </c>
      <c r="V6452" t="s">
        <v>13610</v>
      </c>
      <c r="W6452" t="s">
        <v>19984</v>
      </c>
      <c r="X6452">
        <v>6</v>
      </c>
      <c r="Y6452" t="s">
        <v>26522</v>
      </c>
      <c r="Z6452" t="s">
        <v>33307</v>
      </c>
      <c r="AA6452">
        <v>0.54269234989325288</v>
      </c>
      <c r="AB6452" t="str">
        <f>HYPERLINK("Melting_Curves/meltCurve_Q9UL26_RAB22A.pdf", "Melting_Curves/meltCurve_Q9UL26_RAB22A.pdf")</f>
        <v>Melting_Curves/meltCurve_Q9UL26_RAB22A.pdf</v>
      </c>
    </row>
    <row r="6453" spans="1:28" x14ac:dyDescent="0.25">
      <c r="A6453" t="s">
        <v>6457</v>
      </c>
      <c r="B6453">
        <v>0.995954080203443</v>
      </c>
      <c r="C6453">
        <v>0.83833761240704996</v>
      </c>
      <c r="D6453">
        <v>0.80677666489372502</v>
      </c>
      <c r="E6453">
        <v>0.69106932514782904</v>
      </c>
      <c r="F6453">
        <v>0.51364417862372302</v>
      </c>
      <c r="G6453">
        <v>0.20786864637225899</v>
      </c>
      <c r="H6453">
        <v>0.117594471937601</v>
      </c>
      <c r="I6453">
        <v>9.5759684960020894E-2</v>
      </c>
      <c r="J6453">
        <v>0.116727897704569</v>
      </c>
      <c r="K6453">
        <v>8.84278895290284E-2</v>
      </c>
      <c r="L6453">
        <v>632.77680303740601</v>
      </c>
      <c r="M6453">
        <v>12.133010882068801</v>
      </c>
      <c r="N6453">
        <v>52.303280830753302</v>
      </c>
      <c r="O6453">
        <v>50.797211290605397</v>
      </c>
      <c r="P6453">
        <v>-5.8705769658289303E-2</v>
      </c>
      <c r="Q6453">
        <v>1.70945202917459E-2</v>
      </c>
      <c r="R6453">
        <v>0.97847950406170103</v>
      </c>
      <c r="S6453" t="s">
        <v>13259</v>
      </c>
      <c r="T6453" t="s">
        <v>13610</v>
      </c>
      <c r="U6453" t="s">
        <v>13610</v>
      </c>
      <c r="V6453" t="s">
        <v>13610</v>
      </c>
      <c r="W6453" t="s">
        <v>19985</v>
      </c>
      <c r="X6453">
        <v>4</v>
      </c>
      <c r="Y6453" t="s">
        <v>26523</v>
      </c>
      <c r="Z6453" t="s">
        <v>33308</v>
      </c>
      <c r="AA6453">
        <v>0.44463677799487872</v>
      </c>
      <c r="AB6453" t="str">
        <f>HYPERLINK("Melting_Curves/meltCurve_Q9UL33_2_TRAPPC2L.pdf", "Melting_Curves/meltCurve_Q9UL33_2_TRAPPC2L.pdf")</f>
        <v>Melting_Curves/meltCurve_Q9UL33_2_TRAPPC2L.pdf</v>
      </c>
    </row>
    <row r="6454" spans="1:28" x14ac:dyDescent="0.25">
      <c r="A6454" t="s">
        <v>6458</v>
      </c>
      <c r="B6454">
        <v>0.995954080203443</v>
      </c>
      <c r="C6454">
        <v>1.0224812973578901</v>
      </c>
      <c r="D6454">
        <v>1.0847281562942099</v>
      </c>
      <c r="E6454">
        <v>0.96195534907917002</v>
      </c>
      <c r="F6454">
        <v>0.92146216307937301</v>
      </c>
      <c r="G6454">
        <v>0.58335964112914895</v>
      </c>
      <c r="H6454">
        <v>0.25897702914202297</v>
      </c>
      <c r="I6454">
        <v>0.148227842508667</v>
      </c>
      <c r="J6454">
        <v>0.135719779848892</v>
      </c>
      <c r="K6454">
        <v>0.116346994001122</v>
      </c>
      <c r="L6454">
        <v>1579.7323206784499</v>
      </c>
      <c r="M6454">
        <v>27.5755393206341</v>
      </c>
      <c r="N6454">
        <v>57.820797434845502</v>
      </c>
      <c r="O6454">
        <v>56.988707665554003</v>
      </c>
      <c r="P6454">
        <v>-0.10738608642701</v>
      </c>
      <c r="Q6454">
        <v>0.112294520175851</v>
      </c>
      <c r="R6454">
        <v>0.99447446054080102</v>
      </c>
      <c r="S6454" t="s">
        <v>13260</v>
      </c>
      <c r="T6454" t="s">
        <v>13610</v>
      </c>
      <c r="U6454" t="s">
        <v>13610</v>
      </c>
      <c r="V6454" t="s">
        <v>13610</v>
      </c>
      <c r="W6454" t="s">
        <v>19986</v>
      </c>
      <c r="X6454">
        <v>13</v>
      </c>
      <c r="Y6454" t="s">
        <v>26524</v>
      </c>
      <c r="Z6454" t="s">
        <v>33309</v>
      </c>
      <c r="AA6454">
        <v>0.63063197222803236</v>
      </c>
      <c r="AB6454" t="str">
        <f>HYPERLINK("Melting_Curves/meltCurve_Q9UL46_PSME2.pdf", "Melting_Curves/meltCurve_Q9UL46_PSME2.pdf")</f>
        <v>Melting_Curves/meltCurve_Q9UL46_PSME2.pdf</v>
      </c>
    </row>
    <row r="6455" spans="1:28" x14ac:dyDescent="0.25">
      <c r="A6455" t="s">
        <v>6459</v>
      </c>
      <c r="B6455">
        <v>0.995954080203443</v>
      </c>
      <c r="C6455">
        <v>0.73837248363022501</v>
      </c>
      <c r="D6455">
        <v>0.27135825509943901</v>
      </c>
      <c r="E6455">
        <v>0.17106786055279799</v>
      </c>
      <c r="F6455">
        <v>8.4779767906042899E-2</v>
      </c>
      <c r="G6455">
        <v>5.00486550034474E-2</v>
      </c>
      <c r="H6455">
        <v>3.8059309119851399E-2</v>
      </c>
      <c r="I6455">
        <v>3.1257952503832398E-2</v>
      </c>
      <c r="J6455">
        <v>3.7414299549246098E-2</v>
      </c>
      <c r="K6455">
        <v>3.4956957217506197E-2</v>
      </c>
      <c r="L6455">
        <v>1284.02422258051</v>
      </c>
      <c r="M6455">
        <v>28.980514877103101</v>
      </c>
      <c r="N6455">
        <v>44.4847790864237</v>
      </c>
      <c r="O6455">
        <v>44.097100767929298</v>
      </c>
      <c r="P6455">
        <v>-0.15528999374649399</v>
      </c>
      <c r="Q6455">
        <v>5.4842342281953199E-2</v>
      </c>
      <c r="R6455">
        <v>0.98970554736773597</v>
      </c>
      <c r="S6455" t="s">
        <v>13261</v>
      </c>
      <c r="T6455" t="s">
        <v>13610</v>
      </c>
      <c r="U6455" t="s">
        <v>13610</v>
      </c>
      <c r="V6455" t="s">
        <v>13610</v>
      </c>
      <c r="W6455" t="s">
        <v>19987</v>
      </c>
      <c r="X6455">
        <v>9</v>
      </c>
      <c r="Y6455" t="s">
        <v>26525</v>
      </c>
      <c r="Z6455" t="s">
        <v>33310</v>
      </c>
      <c r="AA6455">
        <v>0.19767513236244541</v>
      </c>
      <c r="AB6455" t="str">
        <f>HYPERLINK("Melting_Curves/meltCurve_Q9UL54_2_TAOK2.pdf", "Melting_Curves/meltCurve_Q9UL54_2_TAOK2.pdf")</f>
        <v>Melting_Curves/meltCurve_Q9UL54_2_TAOK2.pdf</v>
      </c>
    </row>
    <row r="6456" spans="1:28" x14ac:dyDescent="0.25">
      <c r="A6456" t="s">
        <v>6460</v>
      </c>
      <c r="B6456">
        <v>0.995954080203443</v>
      </c>
      <c r="C6456">
        <v>0.63226831412054796</v>
      </c>
      <c r="D6456">
        <v>0.46279011449334401</v>
      </c>
      <c r="E6456">
        <v>0.57697832723046905</v>
      </c>
      <c r="F6456">
        <v>0.39767463018969501</v>
      </c>
      <c r="G6456">
        <v>0.162360309867491</v>
      </c>
      <c r="H6456">
        <v>8.6826822431956094E-2</v>
      </c>
      <c r="I6456">
        <v>7.1204073171107302E-2</v>
      </c>
      <c r="J6456">
        <v>0.121543636424756</v>
      </c>
      <c r="K6456">
        <v>8.1188500382577605E-2</v>
      </c>
      <c r="L6456">
        <v>403.82823814031701</v>
      </c>
      <c r="M6456">
        <v>8.3667807559826795</v>
      </c>
      <c r="N6456">
        <v>48.265665524375002</v>
      </c>
      <c r="O6456">
        <v>45.744592654546999</v>
      </c>
      <c r="P6456">
        <v>-4.5769240150688097E-2</v>
      </c>
      <c r="Q6456">
        <v>0</v>
      </c>
      <c r="R6456">
        <v>0.89613340557446597</v>
      </c>
      <c r="S6456" t="s">
        <v>13262</v>
      </c>
      <c r="T6456" t="s">
        <v>13610</v>
      </c>
      <c r="U6456" t="s">
        <v>13610</v>
      </c>
      <c r="V6456" t="s">
        <v>13610</v>
      </c>
      <c r="W6456" t="s">
        <v>19988</v>
      </c>
      <c r="X6456">
        <v>9</v>
      </c>
      <c r="Y6456" t="s">
        <v>26526</v>
      </c>
      <c r="Z6456" t="s">
        <v>33311</v>
      </c>
      <c r="AA6456">
        <v>0.34238459068944849</v>
      </c>
      <c r="AB6456" t="str">
        <f>HYPERLINK("Melting_Curves/meltCurve_Q9UL63_MKLN1.pdf", "Melting_Curves/meltCurve_Q9UL63_MKLN1.pdf")</f>
        <v>Melting_Curves/meltCurve_Q9UL63_MKLN1.pdf</v>
      </c>
    </row>
    <row r="6457" spans="1:28" x14ac:dyDescent="0.25">
      <c r="A6457" t="s">
        <v>6461</v>
      </c>
      <c r="B6457">
        <v>0.995954080203443</v>
      </c>
      <c r="C6457">
        <v>0.78246892273855795</v>
      </c>
      <c r="D6457">
        <v>0.58861080061441295</v>
      </c>
      <c r="E6457">
        <v>0.90040793237437999</v>
      </c>
      <c r="F6457">
        <v>0.65984232647152796</v>
      </c>
      <c r="G6457">
        <v>0.49201041263033501</v>
      </c>
      <c r="H6457">
        <v>0.24740293293287399</v>
      </c>
      <c r="I6457">
        <v>0.26158169595550801</v>
      </c>
      <c r="J6457">
        <v>0.13170764691269299</v>
      </c>
      <c r="K6457">
        <v>0.19631865867175899</v>
      </c>
      <c r="L6457">
        <v>413.63136277132799</v>
      </c>
      <c r="M6457">
        <v>7.4662114558013597</v>
      </c>
      <c r="N6457">
        <v>55.400435030962001</v>
      </c>
      <c r="O6457">
        <v>51.843407575432799</v>
      </c>
      <c r="P6457">
        <v>-3.6056309307859399E-2</v>
      </c>
      <c r="Q6457">
        <v>0</v>
      </c>
      <c r="R6457">
        <v>0.84136587124073203</v>
      </c>
      <c r="S6457" t="s">
        <v>13263</v>
      </c>
      <c r="T6457" t="s">
        <v>13610</v>
      </c>
      <c r="U6457" t="s">
        <v>13610</v>
      </c>
      <c r="V6457" t="s">
        <v>13610</v>
      </c>
      <c r="W6457" t="s">
        <v>19989</v>
      </c>
      <c r="X6457">
        <v>16</v>
      </c>
      <c r="Y6457" t="s">
        <v>20579</v>
      </c>
      <c r="Z6457" t="s">
        <v>33312</v>
      </c>
      <c r="AA6457">
        <v>0.53727683016384953</v>
      </c>
      <c r="AB6457" t="str">
        <f>HYPERLINK("Melting_Curves/meltCurve_Q9ULA0_DNPEP.pdf", "Melting_Curves/meltCurve_Q9ULA0_DNPEP.pdf")</f>
        <v>Melting_Curves/meltCurve_Q9ULA0_DNPEP.pdf</v>
      </c>
    </row>
    <row r="6458" spans="1:28" x14ac:dyDescent="0.25">
      <c r="A6458" t="s">
        <v>6462</v>
      </c>
      <c r="B6458">
        <v>0.995954080203443</v>
      </c>
      <c r="C6458">
        <v>1.02421375216094</v>
      </c>
      <c r="D6458">
        <v>0.94552052883176396</v>
      </c>
      <c r="E6458">
        <v>0.63991952412429898</v>
      </c>
      <c r="F6458">
        <v>0.35585184269708298</v>
      </c>
      <c r="G6458">
        <v>0.16503445769601199</v>
      </c>
      <c r="H6458">
        <v>0.115701632498926</v>
      </c>
      <c r="I6458">
        <v>0.112126953864468</v>
      </c>
      <c r="J6458">
        <v>0.13514484939135299</v>
      </c>
      <c r="K6458">
        <v>0.118082257536425</v>
      </c>
      <c r="L6458">
        <v>1294.6130138676101</v>
      </c>
      <c r="M6458">
        <v>25.475053147839098</v>
      </c>
      <c r="N6458">
        <v>51.3498745497794</v>
      </c>
      <c r="O6458">
        <v>50.508795915762498</v>
      </c>
      <c r="P6458">
        <v>-0.111492357032387</v>
      </c>
      <c r="Q6458">
        <v>0.115797554772787</v>
      </c>
      <c r="R6458">
        <v>0.99875357203827997</v>
      </c>
      <c r="S6458" t="s">
        <v>13264</v>
      </c>
      <c r="T6458" t="s">
        <v>13610</v>
      </c>
      <c r="U6458" t="s">
        <v>13610</v>
      </c>
      <c r="V6458" t="s">
        <v>13610</v>
      </c>
      <c r="W6458" t="s">
        <v>19990</v>
      </c>
      <c r="X6458">
        <v>3</v>
      </c>
      <c r="Y6458" t="s">
        <v>26527</v>
      </c>
      <c r="Z6458" t="s">
        <v>33313</v>
      </c>
      <c r="AA6458">
        <v>0.44234688719596532</v>
      </c>
      <c r="AB6458" t="str">
        <f>HYPERLINK("Melting_Curves/meltCurve_Q9ULC3_RAB23.pdf", "Melting_Curves/meltCurve_Q9ULC3_RAB23.pdf")</f>
        <v>Melting_Curves/meltCurve_Q9ULC3_RAB23.pdf</v>
      </c>
    </row>
    <row r="6459" spans="1:28" x14ac:dyDescent="0.25">
      <c r="A6459" t="s">
        <v>6463</v>
      </c>
      <c r="B6459">
        <v>0.995954080203443</v>
      </c>
      <c r="C6459">
        <v>1.0262615884341899</v>
      </c>
      <c r="D6459">
        <v>0.96352020758071999</v>
      </c>
      <c r="E6459">
        <v>0.78138774427644597</v>
      </c>
      <c r="F6459">
        <v>0.56312310595002801</v>
      </c>
      <c r="G6459">
        <v>0.23045757185735399</v>
      </c>
      <c r="H6459">
        <v>7.5217832912399293E-2</v>
      </c>
      <c r="I6459">
        <v>5.1799670556740098E-2</v>
      </c>
      <c r="J6459">
        <v>5.2343744049846201E-2</v>
      </c>
      <c r="K6459">
        <v>4.9760799765041198E-2</v>
      </c>
      <c r="L6459">
        <v>1102.09576965823</v>
      </c>
      <c r="M6459">
        <v>20.6734098274781</v>
      </c>
      <c r="N6459">
        <v>53.466273290514501</v>
      </c>
      <c r="O6459">
        <v>52.818532204894296</v>
      </c>
      <c r="P6459">
        <v>-9.4981992879662594E-2</v>
      </c>
      <c r="Q6459">
        <v>2.9349055265442001E-2</v>
      </c>
      <c r="R6459">
        <v>0.99840704614034603</v>
      </c>
      <c r="S6459" t="s">
        <v>13265</v>
      </c>
      <c r="T6459" t="s">
        <v>13610</v>
      </c>
      <c r="U6459" t="s">
        <v>13610</v>
      </c>
      <c r="V6459" t="s">
        <v>13610</v>
      </c>
      <c r="W6459" t="s">
        <v>19991</v>
      </c>
      <c r="X6459">
        <v>12</v>
      </c>
      <c r="Y6459" t="s">
        <v>26528</v>
      </c>
      <c r="Z6459" t="s">
        <v>33314</v>
      </c>
      <c r="AA6459">
        <v>0.47257334963753039</v>
      </c>
      <c r="AB6459" t="str">
        <f>HYPERLINK("Melting_Curves/meltCurve_Q9ULC4_MCTS1.pdf", "Melting_Curves/meltCurve_Q9ULC4_MCTS1.pdf")</f>
        <v>Melting_Curves/meltCurve_Q9ULC4_MCTS1.pdf</v>
      </c>
    </row>
    <row r="6460" spans="1:28" x14ac:dyDescent="0.25">
      <c r="A6460" t="s">
        <v>6464</v>
      </c>
      <c r="B6460">
        <v>0.995954080203443</v>
      </c>
      <c r="C6460">
        <v>1.1219806333187601</v>
      </c>
      <c r="D6460">
        <v>1.0604078149635601</v>
      </c>
      <c r="E6460">
        <v>1.02131325858944</v>
      </c>
      <c r="F6460">
        <v>0.67751979920204697</v>
      </c>
      <c r="G6460">
        <v>0.25117880927293601</v>
      </c>
      <c r="H6460">
        <v>0.142619346433139</v>
      </c>
      <c r="I6460">
        <v>9.6638881474099395E-2</v>
      </c>
      <c r="J6460">
        <v>0.12168980079925799</v>
      </c>
      <c r="K6460">
        <v>0.101695770312394</v>
      </c>
      <c r="L6460">
        <v>1988.1382840240899</v>
      </c>
      <c r="M6460">
        <v>36.820457699673298</v>
      </c>
      <c r="N6460">
        <v>54.3833591566395</v>
      </c>
      <c r="O6460">
        <v>53.8369507213269</v>
      </c>
      <c r="P6460">
        <v>-0.15123623824746399</v>
      </c>
      <c r="Q6460">
        <v>0.115483630756235</v>
      </c>
      <c r="R6460">
        <v>0.98646401969041997</v>
      </c>
      <c r="S6460" t="s">
        <v>13266</v>
      </c>
      <c r="T6460" t="s">
        <v>13610</v>
      </c>
      <c r="U6460" t="s">
        <v>13610</v>
      </c>
      <c r="V6460" t="s">
        <v>13610</v>
      </c>
      <c r="W6460" t="s">
        <v>19992</v>
      </c>
      <c r="X6460">
        <v>1</v>
      </c>
      <c r="Y6460" t="s">
        <v>26529</v>
      </c>
      <c r="Z6460" t="s">
        <v>33315</v>
      </c>
      <c r="AA6460">
        <v>0.53201089074611763</v>
      </c>
      <c r="AB6460" t="str">
        <f>HYPERLINK("Melting_Curves/meltCurve_Q9ULD2_4_MTUS1.pdf", "Melting_Curves/meltCurve_Q9ULD2_4_MTUS1.pdf")</f>
        <v>Melting_Curves/meltCurve_Q9ULD2_4_MTUS1.pdf</v>
      </c>
    </row>
    <row r="6461" spans="1:28" x14ac:dyDescent="0.25">
      <c r="A6461" t="s">
        <v>6465</v>
      </c>
      <c r="B6461">
        <v>0.995954080203443</v>
      </c>
      <c r="C6461">
        <v>1.0751125223079001</v>
      </c>
      <c r="D6461">
        <v>0.95227149316794601</v>
      </c>
      <c r="E6461">
        <v>0.90052296868955195</v>
      </c>
      <c r="F6461">
        <v>0.75956821658490503</v>
      </c>
      <c r="G6461">
        <v>0.479915549499278</v>
      </c>
      <c r="H6461">
        <v>0.40128914675959698</v>
      </c>
      <c r="I6461">
        <v>0.47756102029434599</v>
      </c>
      <c r="J6461">
        <v>0.51125463535405802</v>
      </c>
      <c r="K6461">
        <v>0.59228100841786002</v>
      </c>
      <c r="L6461">
        <v>1901.0431157840701</v>
      </c>
      <c r="M6461">
        <v>35.9848532052265</v>
      </c>
      <c r="N6461">
        <v>58.862226504702399</v>
      </c>
      <c r="O6461">
        <v>52.666626239392002</v>
      </c>
      <c r="P6461">
        <v>-8.75437061839721E-2</v>
      </c>
      <c r="Q6461">
        <v>0.48749357761402201</v>
      </c>
      <c r="R6461">
        <v>0.94393474324444304</v>
      </c>
      <c r="S6461" t="s">
        <v>13267</v>
      </c>
      <c r="T6461" t="s">
        <v>13610</v>
      </c>
      <c r="U6461" t="s">
        <v>13610</v>
      </c>
      <c r="V6461" t="s">
        <v>13610</v>
      </c>
      <c r="W6461" t="s">
        <v>19993</v>
      </c>
      <c r="X6461">
        <v>5</v>
      </c>
      <c r="Y6461" t="s">
        <v>26530</v>
      </c>
      <c r="Z6461" t="s">
        <v>33316</v>
      </c>
      <c r="AA6461">
        <v>0.70896922144694707</v>
      </c>
      <c r="AB6461" t="str">
        <f>HYPERLINK("Melting_Curves/meltCurve_Q9ULD5_ZNF777.pdf", "Melting_Curves/meltCurve_Q9ULD5_ZNF777.pdf")</f>
        <v>Melting_Curves/meltCurve_Q9ULD5_ZNF777.pdf</v>
      </c>
    </row>
    <row r="6462" spans="1:28" x14ac:dyDescent="0.25">
      <c r="A6462" t="s">
        <v>6466</v>
      </c>
      <c r="B6462">
        <v>0.995954080203443</v>
      </c>
      <c r="C6462">
        <v>0.95458228877268403</v>
      </c>
      <c r="D6462">
        <v>0.89934060328634102</v>
      </c>
      <c r="E6462">
        <v>0.86995081466054802</v>
      </c>
      <c r="F6462">
        <v>0.83358416874486896</v>
      </c>
      <c r="G6462">
        <v>0.50641474949816001</v>
      </c>
      <c r="H6462">
        <v>0.45767983571656201</v>
      </c>
      <c r="I6462">
        <v>0.54508374861158104</v>
      </c>
      <c r="J6462">
        <v>0.676384814651249</v>
      </c>
      <c r="K6462">
        <v>0.60656758165788405</v>
      </c>
      <c r="L6462">
        <v>1730.7576094287499</v>
      </c>
      <c r="M6462">
        <v>32.761786916864303</v>
      </c>
      <c r="O6462">
        <v>52.632885043738398</v>
      </c>
      <c r="P6462">
        <v>-6.9054912469141E-2</v>
      </c>
      <c r="Q6462">
        <v>0.55624610989402201</v>
      </c>
      <c r="R6462">
        <v>0.84207186300277104</v>
      </c>
      <c r="S6462" t="s">
        <v>13268</v>
      </c>
      <c r="T6462" t="s">
        <v>13610</v>
      </c>
      <c r="U6462" t="s">
        <v>13610</v>
      </c>
      <c r="V6462" t="s">
        <v>13610</v>
      </c>
      <c r="W6462" t="s">
        <v>19994</v>
      </c>
      <c r="X6462">
        <v>4</v>
      </c>
      <c r="Y6462" t="s">
        <v>26531</v>
      </c>
      <c r="Z6462" t="s">
        <v>33317</v>
      </c>
      <c r="AA6462">
        <v>0.74841586405713612</v>
      </c>
      <c r="AB6462" t="str">
        <f>HYPERLINK("Melting_Curves/meltCurve_Q9ULD9_ZNF608.pdf", "Melting_Curves/meltCurve_Q9ULD9_ZNF608.pdf")</f>
        <v>Melting_Curves/meltCurve_Q9ULD9_ZNF608.pdf</v>
      </c>
    </row>
    <row r="6463" spans="1:28" x14ac:dyDescent="0.25">
      <c r="A6463" t="s">
        <v>6467</v>
      </c>
      <c r="B6463">
        <v>0.995954080203443</v>
      </c>
      <c r="C6463">
        <v>1.02874665388565</v>
      </c>
      <c r="D6463">
        <v>1.6680479432836099</v>
      </c>
      <c r="E6463">
        <v>1.0330661463164701</v>
      </c>
      <c r="F6463">
        <v>1.95861821593207</v>
      </c>
      <c r="G6463">
        <v>1.6659755798954301</v>
      </c>
      <c r="H6463">
        <v>1.06986672156355</v>
      </c>
      <c r="I6463">
        <v>0.67617327922370296</v>
      </c>
      <c r="J6463">
        <v>0.49954772265556302</v>
      </c>
      <c r="K6463">
        <v>0.36330193880514</v>
      </c>
      <c r="L6463">
        <v>9896.78757222073</v>
      </c>
      <c r="M6463">
        <v>154.913133888549</v>
      </c>
      <c r="N6463">
        <v>64.713990974259104</v>
      </c>
      <c r="O6463">
        <v>63.8754002763717</v>
      </c>
      <c r="P6463">
        <v>-0.34493074935981799</v>
      </c>
      <c r="Q6463">
        <v>0.431098218139356</v>
      </c>
      <c r="R6463">
        <v>0.26543150500294799</v>
      </c>
      <c r="S6463" t="s">
        <v>13269</v>
      </c>
      <c r="T6463" t="s">
        <v>13610</v>
      </c>
      <c r="U6463" t="s">
        <v>13610</v>
      </c>
      <c r="V6463" t="s">
        <v>13610</v>
      </c>
      <c r="W6463" t="s">
        <v>19995</v>
      </c>
      <c r="X6463">
        <v>3</v>
      </c>
      <c r="Y6463" t="s">
        <v>26532</v>
      </c>
      <c r="Z6463" t="s">
        <v>33318</v>
      </c>
      <c r="AA6463">
        <v>0.88422485172038834</v>
      </c>
      <c r="AB6463" t="str">
        <f>HYPERLINK("Melting_Curves/meltCurve_Q9ULE0_WWC3.pdf", "Melting_Curves/meltCurve_Q9ULE0_WWC3.pdf")</f>
        <v>Melting_Curves/meltCurve_Q9ULE0_WWC3.pdf</v>
      </c>
    </row>
    <row r="6464" spans="1:28" x14ac:dyDescent="0.25">
      <c r="A6464" t="s">
        <v>6468</v>
      </c>
      <c r="B6464">
        <v>0.995954080203443</v>
      </c>
      <c r="C6464">
        <v>0.81518513858364505</v>
      </c>
      <c r="D6464">
        <v>0.697400985156162</v>
      </c>
      <c r="E6464">
        <v>0.69588645150012596</v>
      </c>
      <c r="F6464">
        <v>0.480123876425603</v>
      </c>
      <c r="G6464">
        <v>0.20593832507450399</v>
      </c>
      <c r="H6464">
        <v>9.7391320442097598E-2</v>
      </c>
      <c r="I6464">
        <v>8.3382061533374699E-2</v>
      </c>
      <c r="J6464">
        <v>8.2286151328640603E-2</v>
      </c>
      <c r="K6464">
        <v>8.1483130901843503E-2</v>
      </c>
      <c r="L6464">
        <v>555.08351860812604</v>
      </c>
      <c r="M6464">
        <v>10.769626488775501</v>
      </c>
      <c r="N6464">
        <v>51.541559939003498</v>
      </c>
      <c r="O6464">
        <v>49.859899241036899</v>
      </c>
      <c r="P6464">
        <v>-5.4019204833465402E-2</v>
      </c>
      <c r="Q6464">
        <v>0</v>
      </c>
      <c r="R6464">
        <v>0.96464886158027896</v>
      </c>
      <c r="S6464" t="s">
        <v>13270</v>
      </c>
      <c r="T6464" t="s">
        <v>13610</v>
      </c>
      <c r="U6464" t="s">
        <v>13610</v>
      </c>
      <c r="V6464" t="s">
        <v>13610</v>
      </c>
      <c r="W6464" t="s">
        <v>19996</v>
      </c>
      <c r="X6464">
        <v>8</v>
      </c>
      <c r="Y6464" t="s">
        <v>26533</v>
      </c>
      <c r="Z6464" t="s">
        <v>33319</v>
      </c>
      <c r="AA6464">
        <v>0.42099355918642989</v>
      </c>
      <c r="AB6464" t="str">
        <f>HYPERLINK("Melting_Curves/meltCurve_Q9ULE6_PALD1.pdf", "Melting_Curves/meltCurve_Q9ULE6_PALD1.pdf")</f>
        <v>Melting_Curves/meltCurve_Q9ULE6_PALD1.pdf</v>
      </c>
    </row>
    <row r="6465" spans="1:28" x14ac:dyDescent="0.25">
      <c r="A6465" t="s">
        <v>6469</v>
      </c>
      <c r="B6465">
        <v>0.995954080203443</v>
      </c>
      <c r="C6465">
        <v>0.89172337932781298</v>
      </c>
      <c r="D6465">
        <v>0.83950009106460399</v>
      </c>
      <c r="E6465">
        <v>0.89871871978542595</v>
      </c>
      <c r="F6465">
        <v>0.86354337875982901</v>
      </c>
      <c r="G6465">
        <v>0.64382267210863597</v>
      </c>
      <c r="H6465">
        <v>0.55739679722390401</v>
      </c>
      <c r="I6465">
        <v>0.62318019090539001</v>
      </c>
      <c r="J6465">
        <v>0.74737916478073396</v>
      </c>
      <c r="K6465">
        <v>0.71804628393722303</v>
      </c>
      <c r="L6465">
        <v>518.33391200128904</v>
      </c>
      <c r="M6465">
        <v>10.329328379356401</v>
      </c>
      <c r="O6465">
        <v>48.409207039250099</v>
      </c>
      <c r="P6465">
        <v>-1.93825733284755E-2</v>
      </c>
      <c r="Q6465">
        <v>0.63680425613470004</v>
      </c>
      <c r="R6465">
        <v>0.68282712517240696</v>
      </c>
      <c r="S6465" t="s">
        <v>13271</v>
      </c>
      <c r="T6465" t="s">
        <v>13610</v>
      </c>
      <c r="U6465" t="s">
        <v>13610</v>
      </c>
      <c r="V6465" t="s">
        <v>13610</v>
      </c>
      <c r="W6465" t="s">
        <v>19997</v>
      </c>
      <c r="X6465">
        <v>3</v>
      </c>
      <c r="Y6465" t="s">
        <v>26534</v>
      </c>
      <c r="Z6465" t="s">
        <v>33320</v>
      </c>
      <c r="AA6465">
        <v>0.7755398021779687</v>
      </c>
      <c r="AB6465" t="str">
        <f>HYPERLINK("Melting_Curves/meltCurve_Q9ULF5_SLC39A10.pdf", "Melting_Curves/meltCurve_Q9ULF5_SLC39A10.pdf")</f>
        <v>Melting_Curves/meltCurve_Q9ULF5_SLC39A10.pdf</v>
      </c>
    </row>
    <row r="6466" spans="1:28" x14ac:dyDescent="0.25">
      <c r="A6466" t="s">
        <v>6470</v>
      </c>
      <c r="B6466">
        <v>0.995954080203443</v>
      </c>
      <c r="C6466">
        <v>0.91133493151658496</v>
      </c>
      <c r="D6466">
        <v>0.81940410635434102</v>
      </c>
      <c r="E6466">
        <v>0.7957445419418</v>
      </c>
      <c r="F6466">
        <v>0.71362743972226195</v>
      </c>
      <c r="G6466">
        <v>0.48838076716661999</v>
      </c>
      <c r="H6466">
        <v>0.48541462302595201</v>
      </c>
      <c r="I6466">
        <v>0.57574206803782402</v>
      </c>
      <c r="J6466">
        <v>0.76699606581299695</v>
      </c>
      <c r="K6466">
        <v>0.73307585315457102</v>
      </c>
      <c r="L6466">
        <v>774.919477305383</v>
      </c>
      <c r="M6466">
        <v>16.452107823534298</v>
      </c>
      <c r="O6466">
        <v>46.422112944244503</v>
      </c>
      <c r="P6466">
        <v>-3.3771686124681101E-2</v>
      </c>
      <c r="Q6466">
        <v>0.61885890934952004</v>
      </c>
      <c r="R6466">
        <v>0.66269395570790002</v>
      </c>
      <c r="S6466" t="s">
        <v>13272</v>
      </c>
      <c r="T6466" t="s">
        <v>13610</v>
      </c>
      <c r="U6466" t="s">
        <v>13610</v>
      </c>
      <c r="V6466" t="s">
        <v>13610</v>
      </c>
      <c r="W6466" t="s">
        <v>19998</v>
      </c>
      <c r="X6466">
        <v>6</v>
      </c>
      <c r="Y6466" t="s">
        <v>26535</v>
      </c>
      <c r="Z6466" t="s">
        <v>33321</v>
      </c>
      <c r="AA6466">
        <v>0.71756814495173316</v>
      </c>
      <c r="AB6466" t="str">
        <f>HYPERLINK("Melting_Curves/meltCurve_Q9ULH0_5_KIDINS220.pdf", "Melting_Curves/meltCurve_Q9ULH0_5_KIDINS220.pdf")</f>
        <v>Melting_Curves/meltCurve_Q9ULH0_5_KIDINS220.pdf</v>
      </c>
    </row>
    <row r="6467" spans="1:28" x14ac:dyDescent="0.25">
      <c r="A6467" t="s">
        <v>6471</v>
      </c>
      <c r="B6467">
        <v>0.995954080203443</v>
      </c>
      <c r="C6467">
        <v>1.03845065443735</v>
      </c>
      <c r="D6467">
        <v>0.98879401025168401</v>
      </c>
      <c r="E6467">
        <v>0.81813935114317105</v>
      </c>
      <c r="F6467">
        <v>0.43399550796021202</v>
      </c>
      <c r="G6467">
        <v>0.26234427544174499</v>
      </c>
      <c r="H6467">
        <v>0.231987284876392</v>
      </c>
      <c r="I6467">
        <v>0.25919512082743501</v>
      </c>
      <c r="J6467">
        <v>0.31763080287378598</v>
      </c>
      <c r="K6467">
        <v>0.30564888669740797</v>
      </c>
      <c r="L6467">
        <v>2138.2421941306102</v>
      </c>
      <c r="M6467">
        <v>41.649531679770099</v>
      </c>
      <c r="N6467">
        <v>52.334682183356499</v>
      </c>
      <c r="O6467">
        <v>51.2209993223615</v>
      </c>
      <c r="P6467">
        <v>-0.14765764284416399</v>
      </c>
      <c r="Q6467">
        <v>0.27363810388107901</v>
      </c>
      <c r="R6467">
        <v>0.99353497011061698</v>
      </c>
      <c r="S6467" t="s">
        <v>13273</v>
      </c>
      <c r="T6467" t="s">
        <v>13610</v>
      </c>
      <c r="U6467" t="s">
        <v>13610</v>
      </c>
      <c r="V6467" t="s">
        <v>13610</v>
      </c>
      <c r="W6467" t="s">
        <v>19999</v>
      </c>
      <c r="X6467">
        <v>24</v>
      </c>
      <c r="Y6467" t="s">
        <v>26536</v>
      </c>
      <c r="Z6467" t="s">
        <v>33322</v>
      </c>
      <c r="AA6467">
        <v>0.55055265914331342</v>
      </c>
      <c r="AB6467" t="str">
        <f>HYPERLINK("Melting_Curves/meltCurve_Q9ULH1_ASAP1.pdf", "Melting_Curves/meltCurve_Q9ULH1_ASAP1.pdf")</f>
        <v>Melting_Curves/meltCurve_Q9ULH1_ASAP1.pdf</v>
      </c>
    </row>
    <row r="6468" spans="1:28" x14ac:dyDescent="0.25">
      <c r="A6468" t="s">
        <v>6472</v>
      </c>
      <c r="B6468">
        <v>0.995954080203443</v>
      </c>
      <c r="C6468">
        <v>0.96746355587789901</v>
      </c>
      <c r="D6468">
        <v>1.0176542783562601</v>
      </c>
      <c r="E6468">
        <v>0.81906674270108504</v>
      </c>
      <c r="F6468">
        <v>0.81137961005635595</v>
      </c>
      <c r="G6468">
        <v>0.62014936021202205</v>
      </c>
      <c r="H6468">
        <v>0.58903162465469205</v>
      </c>
      <c r="I6468">
        <v>0.70378888043513399</v>
      </c>
      <c r="J6468">
        <v>0.80140039354400705</v>
      </c>
      <c r="K6468">
        <v>0.84307741007235204</v>
      </c>
      <c r="L6468">
        <v>1715.4171682169299</v>
      </c>
      <c r="M6468">
        <v>34.534946706721797</v>
      </c>
      <c r="O6468">
        <v>49.506257304720499</v>
      </c>
      <c r="P6468">
        <v>-4.8856724686234101E-2</v>
      </c>
      <c r="Q6468">
        <v>0.71985426748329095</v>
      </c>
      <c r="R6468">
        <v>0.71580888291251499</v>
      </c>
      <c r="S6468" t="s">
        <v>13274</v>
      </c>
      <c r="T6468" t="s">
        <v>13610</v>
      </c>
      <c r="U6468" t="s">
        <v>13610</v>
      </c>
      <c r="V6468" t="s">
        <v>13610</v>
      </c>
      <c r="W6468" t="s">
        <v>20000</v>
      </c>
      <c r="X6468">
        <v>24</v>
      </c>
      <c r="Y6468" t="s">
        <v>26537</v>
      </c>
      <c r="Z6468" t="s">
        <v>33323</v>
      </c>
      <c r="AA6468">
        <v>0.81146791631843562</v>
      </c>
      <c r="AB6468" t="str">
        <f>HYPERLINK("Melting_Curves/meltCurve_Q9ULH7_4_MKL2.pdf", "Melting_Curves/meltCurve_Q9ULH7_4_MKL2.pdf")</f>
        <v>Melting_Curves/meltCurve_Q9ULH7_4_MKL2.pdf</v>
      </c>
    </row>
    <row r="6469" spans="1:28" x14ac:dyDescent="0.25">
      <c r="A6469" t="s">
        <v>6473</v>
      </c>
      <c r="B6469">
        <v>0.995954080203443</v>
      </c>
      <c r="C6469">
        <v>1.0120096355927199</v>
      </c>
      <c r="D6469">
        <v>1.0414971384878899</v>
      </c>
      <c r="E6469">
        <v>0.92571686998083003</v>
      </c>
      <c r="F6469">
        <v>0.98809660582546199</v>
      </c>
      <c r="G6469">
        <v>0.75672485254515598</v>
      </c>
      <c r="H6469">
        <v>0.72906385942381102</v>
      </c>
      <c r="I6469">
        <v>0.87885428991966097</v>
      </c>
      <c r="J6469">
        <v>1.07017736377478</v>
      </c>
      <c r="K6469">
        <v>0.99881356763155105</v>
      </c>
      <c r="L6469">
        <v>1711.04724083729</v>
      </c>
      <c r="M6469">
        <v>33.604543615055</v>
      </c>
      <c r="O6469">
        <v>50.737847122402499</v>
      </c>
      <c r="P6469">
        <v>-1.7277164072848E-2</v>
      </c>
      <c r="Q6469">
        <v>0.89565668251139396</v>
      </c>
      <c r="R6469">
        <v>0.206707889074846</v>
      </c>
      <c r="S6469" t="s">
        <v>13275</v>
      </c>
      <c r="T6469" t="s">
        <v>13610</v>
      </c>
      <c r="U6469" t="s">
        <v>13610</v>
      </c>
      <c r="V6469" t="s">
        <v>13610</v>
      </c>
      <c r="W6469" t="s">
        <v>20001</v>
      </c>
      <c r="X6469">
        <v>10</v>
      </c>
      <c r="Y6469" t="s">
        <v>26538</v>
      </c>
      <c r="Z6469" t="s">
        <v>33324</v>
      </c>
      <c r="AA6469">
        <v>0.93414930591672884</v>
      </c>
      <c r="AB6469" t="str">
        <f>HYPERLINK("Melting_Curves/meltCurve_Q9ULJ3_2_ZBTB21.pdf", "Melting_Curves/meltCurve_Q9ULJ3_2_ZBTB21.pdf")</f>
        <v>Melting_Curves/meltCurve_Q9ULJ3_2_ZBTB21.pdf</v>
      </c>
    </row>
    <row r="6470" spans="1:28" x14ac:dyDescent="0.25">
      <c r="A6470" t="s">
        <v>6474</v>
      </c>
      <c r="B6470">
        <v>0.995954080203443</v>
      </c>
      <c r="C6470">
        <v>0.99389507759901596</v>
      </c>
      <c r="D6470">
        <v>0.93638183599533797</v>
      </c>
      <c r="E6470">
        <v>0.82295912103751701</v>
      </c>
      <c r="F6470">
        <v>0.65923191432155104</v>
      </c>
      <c r="G6470">
        <v>0.341703916612564</v>
      </c>
      <c r="H6470">
        <v>0.133062633520867</v>
      </c>
      <c r="I6470">
        <v>8.8157999316794605E-2</v>
      </c>
      <c r="J6470">
        <v>7.6368153743028994E-2</v>
      </c>
      <c r="K6470">
        <v>7.2477721621239097E-2</v>
      </c>
      <c r="L6470">
        <v>979.55109992472603</v>
      </c>
      <c r="M6470">
        <v>17.979571662443298</v>
      </c>
      <c r="N6470">
        <v>54.713120546681097</v>
      </c>
      <c r="O6470">
        <v>53.820783672560502</v>
      </c>
      <c r="P6470">
        <v>-8.0457438313549207E-2</v>
      </c>
      <c r="Q6470">
        <v>3.6669508847044702E-2</v>
      </c>
      <c r="R6470">
        <v>0.99805540669514103</v>
      </c>
      <c r="S6470" t="s">
        <v>13276</v>
      </c>
      <c r="T6470" t="s">
        <v>13610</v>
      </c>
      <c r="U6470" t="s">
        <v>13610</v>
      </c>
      <c r="V6470" t="s">
        <v>13610</v>
      </c>
      <c r="W6470" t="s">
        <v>20002</v>
      </c>
      <c r="X6470">
        <v>11</v>
      </c>
      <c r="Y6470" t="s">
        <v>26539</v>
      </c>
      <c r="Z6470" t="s">
        <v>33325</v>
      </c>
      <c r="AA6470">
        <v>0.5168937518587664</v>
      </c>
      <c r="AB6470" t="str">
        <f>HYPERLINK("Melting_Curves/meltCurve_Q9ULJ6_ZMIZ1.pdf", "Melting_Curves/meltCurve_Q9ULJ6_ZMIZ1.pdf")</f>
        <v>Melting_Curves/meltCurve_Q9ULJ6_ZMIZ1.pdf</v>
      </c>
    </row>
    <row r="6471" spans="1:28" x14ac:dyDescent="0.25">
      <c r="A6471" t="s">
        <v>6475</v>
      </c>
      <c r="B6471">
        <v>0.995954080203443</v>
      </c>
      <c r="C6471">
        <v>0.82488541083196298</v>
      </c>
      <c r="D6471">
        <v>0.77736523492629295</v>
      </c>
      <c r="E6471">
        <v>0.74580902581063802</v>
      </c>
      <c r="F6471">
        <v>0.61572626055728696</v>
      </c>
      <c r="G6471">
        <v>0.34434449703782</v>
      </c>
      <c r="H6471">
        <v>0.252486100686177</v>
      </c>
      <c r="I6471">
        <v>0.33176049486880199</v>
      </c>
      <c r="J6471">
        <v>0.32911143441455498</v>
      </c>
      <c r="K6471">
        <v>0.31479183751837098</v>
      </c>
      <c r="L6471">
        <v>538.57429215341699</v>
      </c>
      <c r="M6471">
        <v>10.5282111237607</v>
      </c>
      <c r="N6471">
        <v>54.391445428890201</v>
      </c>
      <c r="O6471">
        <v>49.413175380321299</v>
      </c>
      <c r="P6471">
        <v>-4.0885286343594798E-2</v>
      </c>
      <c r="Q6471">
        <v>0.23274138360868701</v>
      </c>
      <c r="R6471">
        <v>0.93572036205249298</v>
      </c>
      <c r="S6471" t="s">
        <v>13277</v>
      </c>
      <c r="T6471" t="s">
        <v>13610</v>
      </c>
      <c r="U6471" t="s">
        <v>13610</v>
      </c>
      <c r="V6471" t="s">
        <v>13610</v>
      </c>
      <c r="W6471" t="s">
        <v>20003</v>
      </c>
      <c r="X6471">
        <v>2</v>
      </c>
      <c r="Y6471" t="s">
        <v>26540</v>
      </c>
      <c r="Z6471" t="s">
        <v>33326</v>
      </c>
      <c r="AA6471">
        <v>0.54757642511961913</v>
      </c>
      <c r="AB6471" t="str">
        <f>HYPERLINK("Melting_Curves/meltCurve_Q9ULK2_ATXN7L1.pdf", "Melting_Curves/meltCurve_Q9ULK2_ATXN7L1.pdf")</f>
        <v>Melting_Curves/meltCurve_Q9ULK2_ATXN7L1.pdf</v>
      </c>
    </row>
    <row r="6472" spans="1:28" x14ac:dyDescent="0.25">
      <c r="A6472" t="s">
        <v>6476</v>
      </c>
      <c r="B6472">
        <v>0.995954080203443</v>
      </c>
      <c r="C6472">
        <v>0.70900940970399395</v>
      </c>
      <c r="D6472">
        <v>0.48133879848966399</v>
      </c>
      <c r="E6472">
        <v>0.51031078873485003</v>
      </c>
      <c r="F6472">
        <v>0.18891356716073501</v>
      </c>
      <c r="G6472">
        <v>0.10248363954114</v>
      </c>
      <c r="H6472">
        <v>6.6079741000666201E-2</v>
      </c>
      <c r="I6472">
        <v>5.9119413756575603E-2</v>
      </c>
      <c r="J6472">
        <v>6.5575133789018594E-2</v>
      </c>
      <c r="K6472">
        <v>5.1368160930617003E-2</v>
      </c>
      <c r="L6472">
        <v>538.34153848569895</v>
      </c>
      <c r="M6472">
        <v>11.409413190202599</v>
      </c>
      <c r="N6472">
        <v>47.319601562341802</v>
      </c>
      <c r="O6472">
        <v>45.804261209165197</v>
      </c>
      <c r="P6472">
        <v>-6.1288986370659999E-2</v>
      </c>
      <c r="Q6472">
        <v>1.6084922973918E-2</v>
      </c>
      <c r="R6472">
        <v>0.94789697879717005</v>
      </c>
      <c r="S6472" t="s">
        <v>13278</v>
      </c>
      <c r="T6472" t="s">
        <v>13610</v>
      </c>
      <c r="U6472" t="s">
        <v>13610</v>
      </c>
      <c r="V6472" t="s">
        <v>13610</v>
      </c>
      <c r="W6472" t="s">
        <v>20004</v>
      </c>
      <c r="X6472">
        <v>12</v>
      </c>
      <c r="Y6472" t="s">
        <v>26541</v>
      </c>
      <c r="Z6472" t="s">
        <v>33327</v>
      </c>
      <c r="AA6472">
        <v>0.29630270470906989</v>
      </c>
      <c r="AB6472" t="str">
        <f>HYPERLINK("Melting_Curves/meltCurve_Q9ULK4_4_MED23.pdf", "Melting_Curves/meltCurve_Q9ULK4_4_MED23.pdf")</f>
        <v>Melting_Curves/meltCurve_Q9ULK4_4_MED23.pdf</v>
      </c>
    </row>
    <row r="6473" spans="1:28" x14ac:dyDescent="0.25">
      <c r="A6473" t="s">
        <v>6477</v>
      </c>
      <c r="B6473">
        <v>0.995954080203443</v>
      </c>
      <c r="C6473">
        <v>0.94715955584464195</v>
      </c>
      <c r="D6473">
        <v>1.0624195590175201</v>
      </c>
      <c r="E6473">
        <v>0.87122783513781299</v>
      </c>
      <c r="F6473">
        <v>0.85246213594382103</v>
      </c>
      <c r="G6473">
        <v>0.68024447196083304</v>
      </c>
      <c r="H6473">
        <v>0.59629996930462703</v>
      </c>
      <c r="I6473">
        <v>0.68425162433590203</v>
      </c>
      <c r="J6473">
        <v>0.76703915913079601</v>
      </c>
      <c r="K6473">
        <v>0.81320990497830703</v>
      </c>
      <c r="L6473">
        <v>1526.4571309801699</v>
      </c>
      <c r="M6473">
        <v>29.603919320858299</v>
      </c>
      <c r="O6473">
        <v>51.329085191463399</v>
      </c>
      <c r="P6473">
        <v>-4.1834592550033599E-2</v>
      </c>
      <c r="Q6473">
        <v>0.70986038811996099</v>
      </c>
      <c r="R6473">
        <v>0.78549204876557099</v>
      </c>
      <c r="S6473" t="s">
        <v>13279</v>
      </c>
      <c r="T6473" t="s">
        <v>13610</v>
      </c>
      <c r="U6473" t="s">
        <v>13610</v>
      </c>
      <c r="V6473" t="s">
        <v>13610</v>
      </c>
      <c r="W6473" t="s">
        <v>20005</v>
      </c>
      <c r="X6473">
        <v>22</v>
      </c>
      <c r="Y6473" t="s">
        <v>26542</v>
      </c>
      <c r="Z6473" t="s">
        <v>33328</v>
      </c>
      <c r="AA6473">
        <v>0.82357703074066713</v>
      </c>
      <c r="AB6473" t="str">
        <f>HYPERLINK("Melting_Curves/meltCurve_Q9ULL5_3_PRR12.pdf", "Melting_Curves/meltCurve_Q9ULL5_3_PRR12.pdf")</f>
        <v>Melting_Curves/meltCurve_Q9ULL5_3_PRR12.pdf</v>
      </c>
    </row>
    <row r="6474" spans="1:28" x14ac:dyDescent="0.25">
      <c r="A6474" t="s">
        <v>6478</v>
      </c>
      <c r="B6474">
        <v>0.995954080203443</v>
      </c>
      <c r="C6474">
        <v>0.96235898743725901</v>
      </c>
      <c r="D6474">
        <v>1.0061144154199499</v>
      </c>
      <c r="E6474">
        <v>0.80734751419665995</v>
      </c>
      <c r="F6474">
        <v>0.75672115416586205</v>
      </c>
      <c r="G6474">
        <v>0.53057440343075102</v>
      </c>
      <c r="H6474">
        <v>0.49682705129089999</v>
      </c>
      <c r="I6474">
        <v>0.59363497263445497</v>
      </c>
      <c r="J6474">
        <v>0.68336967145902405</v>
      </c>
      <c r="K6474">
        <v>0.51348358945153505</v>
      </c>
      <c r="L6474">
        <v>1288.4136536957001</v>
      </c>
      <c r="M6474">
        <v>25.1375802297223</v>
      </c>
      <c r="O6474">
        <v>50.933416237998799</v>
      </c>
      <c r="P6474">
        <v>-5.4068353981335103E-2</v>
      </c>
      <c r="Q6474">
        <v>0.56179557243036904</v>
      </c>
      <c r="R6474">
        <v>0.90645890861950995</v>
      </c>
      <c r="S6474" t="s">
        <v>13280</v>
      </c>
      <c r="T6474" t="s">
        <v>13610</v>
      </c>
      <c r="U6474" t="s">
        <v>13610</v>
      </c>
      <c r="V6474" t="s">
        <v>13610</v>
      </c>
      <c r="W6474" t="s">
        <v>20006</v>
      </c>
      <c r="X6474">
        <v>13</v>
      </c>
      <c r="Y6474" t="s">
        <v>26543</v>
      </c>
      <c r="Z6474" t="s">
        <v>33329</v>
      </c>
      <c r="AA6474">
        <v>0.73011494247355868</v>
      </c>
      <c r="AB6474" t="str">
        <f>HYPERLINK("Melting_Curves/meltCurve_Q9ULM3_YEATS2.pdf", "Melting_Curves/meltCurve_Q9ULM3_YEATS2.pdf")</f>
        <v>Melting_Curves/meltCurve_Q9ULM3_YEATS2.pdf</v>
      </c>
    </row>
    <row r="6475" spans="1:28" x14ac:dyDescent="0.25">
      <c r="A6475" t="s">
        <v>6479</v>
      </c>
      <c r="B6475">
        <v>0.995954080203443</v>
      </c>
      <c r="C6475">
        <v>0.70869940400850595</v>
      </c>
      <c r="D6475">
        <v>0.52782308342802398</v>
      </c>
      <c r="E6475">
        <v>0.38164626369881699</v>
      </c>
      <c r="F6475">
        <v>0.22983070064234501</v>
      </c>
      <c r="G6475">
        <v>0.160986666931455</v>
      </c>
      <c r="H6475">
        <v>0.112131393886216</v>
      </c>
      <c r="I6475">
        <v>9.6727851724785194E-2</v>
      </c>
      <c r="J6475">
        <v>0.10086388096809901</v>
      </c>
      <c r="K6475">
        <v>9.1768840745469898E-2</v>
      </c>
      <c r="L6475">
        <v>613.33858695875199</v>
      </c>
      <c r="M6475">
        <v>13.248072846117999</v>
      </c>
      <c r="N6475">
        <v>46.954836995468199</v>
      </c>
      <c r="O6475">
        <v>45.279717600502003</v>
      </c>
      <c r="P6475">
        <v>-6.6956506977323096E-2</v>
      </c>
      <c r="Q6475">
        <v>8.4765188068378503E-2</v>
      </c>
      <c r="R6475">
        <v>0.98178886724626901</v>
      </c>
      <c r="S6475" t="s">
        <v>13281</v>
      </c>
      <c r="T6475" t="s">
        <v>13610</v>
      </c>
      <c r="U6475" t="s">
        <v>13610</v>
      </c>
      <c r="V6475" t="s">
        <v>13610</v>
      </c>
      <c r="W6475" t="s">
        <v>20007</v>
      </c>
      <c r="X6475">
        <v>6</v>
      </c>
      <c r="Y6475" t="s">
        <v>26544</v>
      </c>
      <c r="Z6475" t="s">
        <v>33330</v>
      </c>
      <c r="AA6475">
        <v>0.31046397982175822</v>
      </c>
      <c r="AB6475" t="str">
        <f>HYPERLINK("Melting_Curves/meltCurve_Q9ULM6_CNOT6.pdf", "Melting_Curves/meltCurve_Q9ULM6_CNOT6.pdf")</f>
        <v>Melting_Curves/meltCurve_Q9ULM6_CNOT6.pdf</v>
      </c>
    </row>
    <row r="6476" spans="1:28" x14ac:dyDescent="0.25">
      <c r="A6476" t="s">
        <v>6480</v>
      </c>
      <c r="B6476">
        <v>0.995954080203443</v>
      </c>
      <c r="C6476">
        <v>1.0014733449120199</v>
      </c>
      <c r="D6476">
        <v>0.99766024422351995</v>
      </c>
      <c r="E6476">
        <v>0.612366421034932</v>
      </c>
      <c r="F6476">
        <v>0.188015091313703</v>
      </c>
      <c r="G6476">
        <v>0.10683156181499701</v>
      </c>
      <c r="H6476">
        <v>7.3062829891384601E-2</v>
      </c>
      <c r="I6476">
        <v>6.5455805896155406E-2</v>
      </c>
      <c r="J6476">
        <v>8.0716398540340295E-2</v>
      </c>
      <c r="K6476">
        <v>7.16862036428631E-2</v>
      </c>
      <c r="L6476">
        <v>2064.3714599865398</v>
      </c>
      <c r="M6476">
        <v>40.955649349730201</v>
      </c>
      <c r="N6476">
        <v>50.613891518329702</v>
      </c>
      <c r="O6476">
        <v>50.285322963016398</v>
      </c>
      <c r="P6476">
        <v>-0.187787136922797</v>
      </c>
      <c r="Q6476">
        <v>7.77419828193298E-2</v>
      </c>
      <c r="R6476">
        <v>0.99943653262746601</v>
      </c>
      <c r="S6476" t="s">
        <v>13282</v>
      </c>
      <c r="T6476" t="s">
        <v>13610</v>
      </c>
      <c r="U6476" t="s">
        <v>13610</v>
      </c>
      <c r="V6476" t="s">
        <v>13610</v>
      </c>
      <c r="W6476" t="s">
        <v>20008</v>
      </c>
      <c r="X6476">
        <v>12</v>
      </c>
      <c r="Y6476" t="s">
        <v>26545</v>
      </c>
      <c r="Z6476" t="s">
        <v>33331</v>
      </c>
      <c r="AA6476">
        <v>0.40067768602143872</v>
      </c>
      <c r="AB6476" t="str">
        <f>HYPERLINK("Melting_Curves/meltCurve_Q9ULP9_2_TBC1D24.pdf", "Melting_Curves/meltCurve_Q9ULP9_2_TBC1D24.pdf")</f>
        <v>Melting_Curves/meltCurve_Q9ULP9_2_TBC1D24.pdf</v>
      </c>
    </row>
    <row r="6477" spans="1:28" x14ac:dyDescent="0.25">
      <c r="A6477" t="s">
        <v>6481</v>
      </c>
      <c r="B6477">
        <v>0.995954080203443</v>
      </c>
      <c r="C6477">
        <v>0.63340677290122605</v>
      </c>
      <c r="D6477">
        <v>0.61463260916146101</v>
      </c>
      <c r="E6477">
        <v>0.60844919314978796</v>
      </c>
      <c r="F6477">
        <v>0.73406897768457302</v>
      </c>
      <c r="G6477">
        <v>0.67007390888262597</v>
      </c>
      <c r="H6477">
        <v>0.68072634455981795</v>
      </c>
      <c r="I6477">
        <v>0.88010734570232096</v>
      </c>
      <c r="J6477">
        <v>0.95682995599925602</v>
      </c>
      <c r="K6477">
        <v>1.0429999638246501</v>
      </c>
      <c r="L6477">
        <v>10162.8439489134</v>
      </c>
      <c r="M6477">
        <v>250</v>
      </c>
      <c r="O6477">
        <v>40.648774389194699</v>
      </c>
      <c r="P6477">
        <v>-0.37221036989572798</v>
      </c>
      <c r="Q6477">
        <v>0.75792167473559602</v>
      </c>
      <c r="R6477">
        <v>0.196597120311646</v>
      </c>
      <c r="S6477" t="s">
        <v>13283</v>
      </c>
      <c r="T6477" t="s">
        <v>13610</v>
      </c>
      <c r="U6477" t="s">
        <v>13610</v>
      </c>
      <c r="V6477" t="s">
        <v>13610</v>
      </c>
      <c r="W6477" t="s">
        <v>20009</v>
      </c>
      <c r="X6477">
        <v>10</v>
      </c>
      <c r="Y6477" t="s">
        <v>26546</v>
      </c>
      <c r="Z6477" t="s">
        <v>33332</v>
      </c>
      <c r="AA6477">
        <v>0.76321639785294271</v>
      </c>
      <c r="AB6477" t="str">
        <f>HYPERLINK("Melting_Curves/meltCurve_Q9ULR0_ISY1.pdf", "Melting_Curves/meltCurve_Q9ULR0_ISY1.pdf")</f>
        <v>Melting_Curves/meltCurve_Q9ULR0_ISY1.pdf</v>
      </c>
    </row>
    <row r="6478" spans="1:28" x14ac:dyDescent="0.25">
      <c r="A6478" t="s">
        <v>6482</v>
      </c>
      <c r="B6478">
        <v>0.995954080203443</v>
      </c>
      <c r="C6478">
        <v>0.96978837881639701</v>
      </c>
      <c r="D6478">
        <v>0.91518760270826205</v>
      </c>
      <c r="E6478">
        <v>0.79232776099065105</v>
      </c>
      <c r="F6478">
        <v>0.62509319769741101</v>
      </c>
      <c r="G6478">
        <v>0.32772528174336901</v>
      </c>
      <c r="H6478">
        <v>0.109831705801111</v>
      </c>
      <c r="I6478">
        <v>0.107492836290972</v>
      </c>
      <c r="J6478">
        <v>0.12625461860137399</v>
      </c>
      <c r="K6478">
        <v>0.10808459965867</v>
      </c>
      <c r="L6478">
        <v>960.506623205452</v>
      </c>
      <c r="M6478">
        <v>17.870990167387301</v>
      </c>
      <c r="N6478">
        <v>54.211058036491401</v>
      </c>
      <c r="O6478">
        <v>53.087251714860002</v>
      </c>
      <c r="P6478">
        <v>-7.81896354686821E-2</v>
      </c>
      <c r="Q6478">
        <v>7.0971923051869001E-2</v>
      </c>
      <c r="R6478">
        <v>0.99372167026726499</v>
      </c>
      <c r="S6478" t="s">
        <v>13284</v>
      </c>
      <c r="T6478" t="s">
        <v>13610</v>
      </c>
      <c r="U6478" t="s">
        <v>13610</v>
      </c>
      <c r="V6478" t="s">
        <v>13610</v>
      </c>
      <c r="W6478" t="s">
        <v>20010</v>
      </c>
      <c r="X6478">
        <v>14</v>
      </c>
      <c r="Y6478" t="s">
        <v>26547</v>
      </c>
      <c r="Z6478" t="s">
        <v>33333</v>
      </c>
      <c r="AA6478">
        <v>0.51180180414501975</v>
      </c>
      <c r="AB6478" t="str">
        <f>HYPERLINK("Melting_Curves/meltCurve_Q9ULR3_PPM1H.pdf", "Melting_Curves/meltCurve_Q9ULR3_PPM1H.pdf")</f>
        <v>Melting_Curves/meltCurve_Q9ULR3_PPM1H.pdf</v>
      </c>
    </row>
    <row r="6479" spans="1:28" x14ac:dyDescent="0.25">
      <c r="A6479" t="s">
        <v>6483</v>
      </c>
      <c r="B6479">
        <v>0.995954080203443</v>
      </c>
      <c r="C6479">
        <v>0.81935088774529996</v>
      </c>
      <c r="D6479">
        <v>0.75755962909735797</v>
      </c>
      <c r="E6479">
        <v>0.57393605506839496</v>
      </c>
      <c r="F6479">
        <v>0.33167462889775701</v>
      </c>
      <c r="G6479">
        <v>0.203064665882875</v>
      </c>
      <c r="H6479">
        <v>0.161523688353269</v>
      </c>
      <c r="I6479">
        <v>0.15383616381902401</v>
      </c>
      <c r="J6479">
        <v>0.15018116290331501</v>
      </c>
      <c r="K6479">
        <v>0.13904588504858001</v>
      </c>
      <c r="L6479">
        <v>649.50754608769796</v>
      </c>
      <c r="M6479">
        <v>13.171687176107801</v>
      </c>
      <c r="N6479">
        <v>50.233060609823099</v>
      </c>
      <c r="O6479">
        <v>48.215824843456197</v>
      </c>
      <c r="P6479">
        <v>-6.0971065994224201E-2</v>
      </c>
      <c r="Q6479">
        <v>0.107395394333239</v>
      </c>
      <c r="R6479">
        <v>0.98688191209332798</v>
      </c>
      <c r="S6479" t="s">
        <v>13285</v>
      </c>
      <c r="T6479" t="s">
        <v>13610</v>
      </c>
      <c r="U6479" t="s">
        <v>13610</v>
      </c>
      <c r="V6479" t="s">
        <v>13610</v>
      </c>
      <c r="W6479" t="s">
        <v>20011</v>
      </c>
      <c r="X6479">
        <v>7</v>
      </c>
      <c r="Y6479" t="s">
        <v>26548</v>
      </c>
      <c r="Z6479" t="s">
        <v>33334</v>
      </c>
      <c r="AA6479">
        <v>0.41192685006508067</v>
      </c>
      <c r="AB6479" t="str">
        <f>HYPERLINK("Melting_Curves/meltCurve_Q9ULT8_HECTD1.pdf", "Melting_Curves/meltCurve_Q9ULT8_HECTD1.pdf")</f>
        <v>Melting_Curves/meltCurve_Q9ULT8_HECTD1.pdf</v>
      </c>
    </row>
    <row r="6480" spans="1:28" x14ac:dyDescent="0.25">
      <c r="A6480" t="s">
        <v>6484</v>
      </c>
      <c r="B6480">
        <v>0.995954080203443</v>
      </c>
      <c r="C6480">
        <v>0.93931714618121098</v>
      </c>
      <c r="D6480">
        <v>0.89222232096020304</v>
      </c>
      <c r="E6480">
        <v>0.65708401732337796</v>
      </c>
      <c r="F6480">
        <v>0.59669339469536697</v>
      </c>
      <c r="G6480">
        <v>0.456638668651354</v>
      </c>
      <c r="H6480">
        <v>0.46392351766201101</v>
      </c>
      <c r="I6480">
        <v>0.56740733909822605</v>
      </c>
      <c r="J6480">
        <v>0.778798370360134</v>
      </c>
      <c r="K6480">
        <v>0.68368779292848403</v>
      </c>
      <c r="L6480">
        <v>1505.64926849067</v>
      </c>
      <c r="M6480">
        <v>31.814677030846799</v>
      </c>
      <c r="O6480">
        <v>47.1398158656704</v>
      </c>
      <c r="P6480">
        <v>-6.9257662736294301E-2</v>
      </c>
      <c r="Q6480">
        <v>0.58952572768762501</v>
      </c>
      <c r="R6480">
        <v>0.75563569321294299</v>
      </c>
      <c r="S6480" t="s">
        <v>13286</v>
      </c>
      <c r="T6480" t="s">
        <v>13610</v>
      </c>
      <c r="U6480" t="s">
        <v>13610</v>
      </c>
      <c r="V6480" t="s">
        <v>13610</v>
      </c>
      <c r="W6480" t="s">
        <v>20012</v>
      </c>
      <c r="X6480">
        <v>29</v>
      </c>
      <c r="Y6480" t="s">
        <v>26549</v>
      </c>
      <c r="Z6480" t="s">
        <v>33335</v>
      </c>
      <c r="AA6480">
        <v>0.6919317097384805</v>
      </c>
      <c r="AB6480" t="str">
        <f>HYPERLINK("Melting_Curves/meltCurve_Q9ULU4_12_ZMYND8.pdf", "Melting_Curves/meltCurve_Q9ULU4_12_ZMYND8.pdf")</f>
        <v>Melting_Curves/meltCurve_Q9ULU4_12_ZMYND8.pdf</v>
      </c>
    </row>
    <row r="6481" spans="1:28" x14ac:dyDescent="0.25">
      <c r="A6481" t="s">
        <v>6485</v>
      </c>
      <c r="B6481">
        <v>0.995954080203443</v>
      </c>
      <c r="C6481">
        <v>0.96859793288145302</v>
      </c>
      <c r="D6481">
        <v>0.980903475410278</v>
      </c>
      <c r="E6481">
        <v>0.86766660995505895</v>
      </c>
      <c r="F6481">
        <v>0.83861329057321798</v>
      </c>
      <c r="G6481">
        <v>0.64041311982147398</v>
      </c>
      <c r="H6481">
        <v>0.58693026779415403</v>
      </c>
      <c r="I6481">
        <v>0.69568797836727603</v>
      </c>
      <c r="J6481">
        <v>0.87908017947571804</v>
      </c>
      <c r="K6481">
        <v>0.82683448970351603</v>
      </c>
      <c r="L6481">
        <v>1491.18374018329</v>
      </c>
      <c r="M6481">
        <v>29.540732539466099</v>
      </c>
      <c r="O6481">
        <v>50.249274578717703</v>
      </c>
      <c r="P6481">
        <v>-3.9458041657800903E-2</v>
      </c>
      <c r="Q6481">
        <v>0.731526740970042</v>
      </c>
      <c r="R6481">
        <v>0.63721524117235195</v>
      </c>
      <c r="S6481" t="s">
        <v>13287</v>
      </c>
      <c r="T6481" t="s">
        <v>13610</v>
      </c>
      <c r="U6481" t="s">
        <v>13610</v>
      </c>
      <c r="V6481" t="s">
        <v>13610</v>
      </c>
      <c r="W6481" t="s">
        <v>20013</v>
      </c>
      <c r="X6481">
        <v>24</v>
      </c>
      <c r="Y6481" t="s">
        <v>21085</v>
      </c>
      <c r="Z6481" t="s">
        <v>33336</v>
      </c>
      <c r="AA6481">
        <v>0.82702995773253429</v>
      </c>
      <c r="AB6481" t="str">
        <f>HYPERLINK("Melting_Curves/meltCurve_Q9ULV3_5_CIZ1.pdf", "Melting_Curves/meltCurve_Q9ULV3_5_CIZ1.pdf")</f>
        <v>Melting_Curves/meltCurve_Q9ULV3_5_CIZ1.pdf</v>
      </c>
    </row>
    <row r="6482" spans="1:28" x14ac:dyDescent="0.25">
      <c r="A6482" t="s">
        <v>6486</v>
      </c>
      <c r="B6482">
        <v>0.995954080203443</v>
      </c>
      <c r="C6482">
        <v>1.0164490877185699</v>
      </c>
      <c r="D6482">
        <v>1.1197836510568899</v>
      </c>
      <c r="E6482">
        <v>0.95446149886585296</v>
      </c>
      <c r="F6482">
        <v>0.93533302468493695</v>
      </c>
      <c r="G6482">
        <v>0.48739135209825202</v>
      </c>
      <c r="H6482">
        <v>0.27874903685660601</v>
      </c>
      <c r="I6482">
        <v>0.32016658947171001</v>
      </c>
      <c r="J6482">
        <v>0.42202362344164002</v>
      </c>
      <c r="K6482">
        <v>0.36628094246392401</v>
      </c>
      <c r="L6482">
        <v>2759.3503107092502</v>
      </c>
      <c r="M6482">
        <v>49.778413080406501</v>
      </c>
      <c r="N6482">
        <v>56.780081504029802</v>
      </c>
      <c r="O6482">
        <v>55.343429046891998</v>
      </c>
      <c r="P6482">
        <v>-0.14693520472498001</v>
      </c>
      <c r="Q6482">
        <v>0.34655284969864097</v>
      </c>
      <c r="R6482">
        <v>0.972144932584178</v>
      </c>
      <c r="S6482" t="s">
        <v>13288</v>
      </c>
      <c r="T6482" t="s">
        <v>13610</v>
      </c>
      <c r="U6482" t="s">
        <v>13610</v>
      </c>
      <c r="V6482" t="s">
        <v>13610</v>
      </c>
      <c r="W6482" t="s">
        <v>20014</v>
      </c>
      <c r="X6482">
        <v>29</v>
      </c>
      <c r="Y6482" t="s">
        <v>26550</v>
      </c>
      <c r="Z6482" t="s">
        <v>33337</v>
      </c>
      <c r="AA6482">
        <v>0.68431146910034668</v>
      </c>
      <c r="AB6482" t="str">
        <f>HYPERLINK("Melting_Curves/meltCurve_Q9ULV4_CORO1C.pdf", "Melting_Curves/meltCurve_Q9ULV4_CORO1C.pdf")</f>
        <v>Melting_Curves/meltCurve_Q9ULV4_CORO1C.pdf</v>
      </c>
    </row>
    <row r="6483" spans="1:28" x14ac:dyDescent="0.25">
      <c r="A6483" t="s">
        <v>6487</v>
      </c>
      <c r="B6483">
        <v>0.995954080203443</v>
      </c>
      <c r="C6483">
        <v>0.94782361590277697</v>
      </c>
      <c r="D6483">
        <v>1.0123365671409901</v>
      </c>
      <c r="E6483">
        <v>0.89611984072141204</v>
      </c>
      <c r="F6483">
        <v>0.94111314507708899</v>
      </c>
      <c r="G6483">
        <v>0.72911797653700605</v>
      </c>
      <c r="H6483">
        <v>0.75019370986703404</v>
      </c>
      <c r="I6483">
        <v>0.89772166972645395</v>
      </c>
      <c r="J6483">
        <v>1.21027486858885</v>
      </c>
      <c r="K6483">
        <v>1.0470451280916999</v>
      </c>
      <c r="L6483">
        <v>11961.183285187801</v>
      </c>
      <c r="M6483">
        <v>250</v>
      </c>
      <c r="O6483">
        <v>47.8416714603635</v>
      </c>
      <c r="P6483">
        <v>-9.8616601283218294E-2</v>
      </c>
      <c r="Q6483">
        <v>0.92451227156526505</v>
      </c>
      <c r="R6483">
        <v>4.0300484775321797E-2</v>
      </c>
      <c r="S6483" t="s">
        <v>13289</v>
      </c>
      <c r="T6483" t="s">
        <v>13610</v>
      </c>
      <c r="U6483" t="s">
        <v>13610</v>
      </c>
      <c r="V6483" t="s">
        <v>13610</v>
      </c>
      <c r="W6483" t="s">
        <v>20015</v>
      </c>
      <c r="X6483">
        <v>40</v>
      </c>
      <c r="Y6483" t="s">
        <v>26551</v>
      </c>
      <c r="Z6483" t="s">
        <v>33338</v>
      </c>
      <c r="AA6483">
        <v>0.94425797952446133</v>
      </c>
      <c r="AB6483" t="str">
        <f>HYPERLINK("Melting_Curves/meltCurve_Q9ULW0_TPX2.pdf", "Melting_Curves/meltCurve_Q9ULW0_TPX2.pdf")</f>
        <v>Melting_Curves/meltCurve_Q9ULW0_TPX2.pdf</v>
      </c>
    </row>
    <row r="6484" spans="1:28" x14ac:dyDescent="0.25">
      <c r="A6484" t="s">
        <v>6488</v>
      </c>
      <c r="B6484">
        <v>0.995954080203443</v>
      </c>
      <c r="C6484">
        <v>0.84087832732293599</v>
      </c>
      <c r="D6484">
        <v>0.53884335754047397</v>
      </c>
      <c r="E6484">
        <v>0.42183132249503003</v>
      </c>
      <c r="F6484">
        <v>0.312269245152347</v>
      </c>
      <c r="G6484">
        <v>0.20755997918889499</v>
      </c>
      <c r="H6484">
        <v>0.150216536786271</v>
      </c>
      <c r="I6484">
        <v>0.15350676690930401</v>
      </c>
      <c r="J6484">
        <v>0.165377946567553</v>
      </c>
      <c r="K6484">
        <v>0.16391342821359101</v>
      </c>
      <c r="L6484">
        <v>689.93670804049805</v>
      </c>
      <c r="M6484">
        <v>14.793784417951899</v>
      </c>
      <c r="N6484">
        <v>47.820037559773098</v>
      </c>
      <c r="O6484">
        <v>45.809619769446698</v>
      </c>
      <c r="P6484">
        <v>-6.8369568923749402E-2</v>
      </c>
      <c r="Q6484">
        <v>0.15325211480909401</v>
      </c>
      <c r="R6484">
        <v>0.98222957857885995</v>
      </c>
      <c r="S6484" t="s">
        <v>13290</v>
      </c>
      <c r="T6484" t="s">
        <v>13610</v>
      </c>
      <c r="U6484" t="s">
        <v>13610</v>
      </c>
      <c r="V6484" t="s">
        <v>13610</v>
      </c>
      <c r="W6484" t="s">
        <v>20016</v>
      </c>
      <c r="X6484">
        <v>5</v>
      </c>
      <c r="Y6484" t="s">
        <v>26552</v>
      </c>
      <c r="Z6484" t="s">
        <v>33339</v>
      </c>
      <c r="AA6484">
        <v>0.36482657740474539</v>
      </c>
      <c r="AB6484" t="str">
        <f>HYPERLINK("Melting_Curves/meltCurve_Q9ULW3_ABT1.pdf", "Melting_Curves/meltCurve_Q9ULW3_ABT1.pdf")</f>
        <v>Melting_Curves/meltCurve_Q9ULW3_ABT1.pdf</v>
      </c>
    </row>
    <row r="6485" spans="1:28" x14ac:dyDescent="0.25">
      <c r="A6485" t="s">
        <v>6489</v>
      </c>
      <c r="B6485">
        <v>0.995954080203443</v>
      </c>
      <c r="C6485">
        <v>0.82560174895789595</v>
      </c>
      <c r="D6485">
        <v>0.74472469342279501</v>
      </c>
      <c r="E6485">
        <v>0.38247926537852101</v>
      </c>
      <c r="F6485">
        <v>0.19553652667008301</v>
      </c>
      <c r="G6485">
        <v>0.12659945746640799</v>
      </c>
      <c r="H6485">
        <v>0.12166471937899399</v>
      </c>
      <c r="I6485">
        <v>0.163564487195132</v>
      </c>
      <c r="J6485">
        <v>0.162239010903</v>
      </c>
      <c r="K6485">
        <v>0.18504042851145999</v>
      </c>
      <c r="L6485">
        <v>952.46313610598202</v>
      </c>
      <c r="M6485">
        <v>20.0703784874534</v>
      </c>
      <c r="N6485">
        <v>48.241861152271298</v>
      </c>
      <c r="O6485">
        <v>46.992561929510998</v>
      </c>
      <c r="P6485">
        <v>-9.1891077803550297E-2</v>
      </c>
      <c r="Q6485">
        <v>0.13941635806475899</v>
      </c>
      <c r="R6485">
        <v>0.98421177752461098</v>
      </c>
      <c r="S6485" t="s">
        <v>13291</v>
      </c>
      <c r="T6485" t="s">
        <v>13610</v>
      </c>
      <c r="U6485" t="s">
        <v>13610</v>
      </c>
      <c r="V6485" t="s">
        <v>13610</v>
      </c>
      <c r="W6485" t="s">
        <v>20017</v>
      </c>
      <c r="X6485">
        <v>11</v>
      </c>
      <c r="Y6485" t="s">
        <v>26553</v>
      </c>
      <c r="Z6485" t="s">
        <v>33340</v>
      </c>
      <c r="AA6485">
        <v>0.3656093382879152</v>
      </c>
      <c r="AB6485" t="str">
        <f>HYPERLINK("Melting_Curves/meltCurve_Q9ULX3_NOB1.pdf", "Melting_Curves/meltCurve_Q9ULX3_NOB1.pdf")</f>
        <v>Melting_Curves/meltCurve_Q9ULX3_NOB1.pdf</v>
      </c>
    </row>
    <row r="6486" spans="1:28" x14ac:dyDescent="0.25">
      <c r="A6486" t="s">
        <v>6490</v>
      </c>
      <c r="B6486">
        <v>0.995954080203443</v>
      </c>
      <c r="C6486">
        <v>0.90589612280885901</v>
      </c>
      <c r="D6486">
        <v>0.800559058835003</v>
      </c>
      <c r="E6486">
        <v>0.64538696673350604</v>
      </c>
      <c r="F6486">
        <v>0.35779694899395798</v>
      </c>
      <c r="G6486">
        <v>0.23007794169403301</v>
      </c>
      <c r="H6486">
        <v>0.12347147176561001</v>
      </c>
      <c r="I6486">
        <v>8.7573024509102496E-2</v>
      </c>
      <c r="J6486">
        <v>8.5544211428756206E-2</v>
      </c>
      <c r="K6486">
        <v>9.6818637211885897E-2</v>
      </c>
      <c r="L6486">
        <v>718.71019427232397</v>
      </c>
      <c r="M6486">
        <v>14.1241744092427</v>
      </c>
      <c r="N6486">
        <v>51.292171714516499</v>
      </c>
      <c r="O6486">
        <v>49.897655085305502</v>
      </c>
      <c r="P6486">
        <v>-6.7022397778497403E-2</v>
      </c>
      <c r="Q6486">
        <v>5.3018491218739298E-2</v>
      </c>
      <c r="R6486">
        <v>0.99342443907377798</v>
      </c>
      <c r="S6486" t="s">
        <v>13292</v>
      </c>
      <c r="T6486" t="s">
        <v>13610</v>
      </c>
      <c r="U6486" t="s">
        <v>13610</v>
      </c>
      <c r="V6486" t="s">
        <v>13610</v>
      </c>
      <c r="W6486" t="s">
        <v>20018</v>
      </c>
      <c r="X6486">
        <v>10</v>
      </c>
      <c r="Y6486" t="s">
        <v>26554</v>
      </c>
      <c r="Z6486" t="s">
        <v>33341</v>
      </c>
      <c r="AA6486">
        <v>0.4208544681764772</v>
      </c>
      <c r="AB6486" t="str">
        <f>HYPERLINK("Melting_Curves/meltCurve_Q9ULX6_AKAP8L.pdf", "Melting_Curves/meltCurve_Q9ULX6_AKAP8L.pdf")</f>
        <v>Melting_Curves/meltCurve_Q9ULX6_AKAP8L.pdf</v>
      </c>
    </row>
    <row r="6487" spans="1:28" x14ac:dyDescent="0.25">
      <c r="A6487" t="s">
        <v>6491</v>
      </c>
      <c r="B6487">
        <v>0.995954080203443</v>
      </c>
      <c r="C6487">
        <v>0.95819041683255801</v>
      </c>
      <c r="D6487">
        <v>0.71818655804090803</v>
      </c>
      <c r="E6487">
        <v>0.34552715895674402</v>
      </c>
      <c r="F6487">
        <v>0.23661043826065101</v>
      </c>
      <c r="G6487">
        <v>0.13995187294064099</v>
      </c>
      <c r="H6487">
        <v>0.11389328504556701</v>
      </c>
      <c r="I6487">
        <v>0.10671451950491</v>
      </c>
      <c r="J6487">
        <v>0.15008340912728699</v>
      </c>
      <c r="K6487">
        <v>0.12866263818106299</v>
      </c>
      <c r="L6487">
        <v>1067.7651311208799</v>
      </c>
      <c r="M6487">
        <v>22.401562162450801</v>
      </c>
      <c r="N6487">
        <v>48.285184561164101</v>
      </c>
      <c r="O6487">
        <v>47.289788591076601</v>
      </c>
      <c r="P6487">
        <v>-0.103618706836877</v>
      </c>
      <c r="Q6487">
        <v>0.12505982198003501</v>
      </c>
      <c r="R6487">
        <v>0.99734938229338699</v>
      </c>
      <c r="S6487" t="s">
        <v>13293</v>
      </c>
      <c r="T6487" t="s">
        <v>13610</v>
      </c>
      <c r="U6487" t="s">
        <v>13610</v>
      </c>
      <c r="V6487" t="s">
        <v>13610</v>
      </c>
      <c r="W6487" t="s">
        <v>20019</v>
      </c>
      <c r="X6487">
        <v>13</v>
      </c>
      <c r="Y6487" t="s">
        <v>26555</v>
      </c>
      <c r="Z6487" t="s">
        <v>33342</v>
      </c>
      <c r="AA6487">
        <v>0.3584124112729562</v>
      </c>
      <c r="AB6487" t="str">
        <f>HYPERLINK("Melting_Curves/meltCurve_Q9ULZ2_STAP1.pdf", "Melting_Curves/meltCurve_Q9ULZ2_STAP1.pdf")</f>
        <v>Melting_Curves/meltCurve_Q9ULZ2_STAP1.pdf</v>
      </c>
    </row>
    <row r="6488" spans="1:28" x14ac:dyDescent="0.25">
      <c r="A6488" t="s">
        <v>6492</v>
      </c>
      <c r="B6488">
        <v>0.995954080203443</v>
      </c>
      <c r="C6488">
        <v>1.0399882915696901</v>
      </c>
      <c r="D6488">
        <v>0.96748794297389995</v>
      </c>
      <c r="E6488">
        <v>0.90316603031355003</v>
      </c>
      <c r="F6488">
        <v>0.67895612040201003</v>
      </c>
      <c r="G6488">
        <v>0.42183409372880198</v>
      </c>
      <c r="H6488">
        <v>0.21539089373722101</v>
      </c>
      <c r="I6488">
        <v>0.14920730660145801</v>
      </c>
      <c r="J6488">
        <v>0.14932433752695201</v>
      </c>
      <c r="K6488">
        <v>0.139493052749773</v>
      </c>
      <c r="L6488">
        <v>1081.2520964606499</v>
      </c>
      <c r="M6488">
        <v>19.728192088684999</v>
      </c>
      <c r="N6488">
        <v>55.571443478534498</v>
      </c>
      <c r="O6488">
        <v>54.253640545305302</v>
      </c>
      <c r="P6488">
        <v>-8.0112345407103797E-2</v>
      </c>
      <c r="Q6488">
        <v>0.11877640577655101</v>
      </c>
      <c r="R6488">
        <v>0.99710075925953701</v>
      </c>
      <c r="S6488" t="s">
        <v>13294</v>
      </c>
      <c r="T6488" t="s">
        <v>13610</v>
      </c>
      <c r="U6488" t="s">
        <v>13610</v>
      </c>
      <c r="V6488" t="s">
        <v>13610</v>
      </c>
      <c r="W6488" t="s">
        <v>20020</v>
      </c>
      <c r="X6488">
        <v>10</v>
      </c>
      <c r="Y6488" t="s">
        <v>26556</v>
      </c>
      <c r="Z6488" t="s">
        <v>33343</v>
      </c>
      <c r="AA6488">
        <v>0.56576848837963489</v>
      </c>
      <c r="AB6488" t="str">
        <f>HYPERLINK("Melting_Curves/meltCurve_Q9ULZ3_PYCARD.pdf", "Melting_Curves/meltCurve_Q9ULZ3_PYCARD.pdf")</f>
        <v>Melting_Curves/meltCurve_Q9ULZ3_PYCARD.pdf</v>
      </c>
    </row>
    <row r="6489" spans="1:28" x14ac:dyDescent="0.25">
      <c r="A6489" t="s">
        <v>6493</v>
      </c>
      <c r="B6489">
        <v>0.995954080203443</v>
      </c>
      <c r="C6489">
        <v>1.0147351866713199</v>
      </c>
      <c r="D6489">
        <v>0.78420184408591498</v>
      </c>
      <c r="E6489">
        <v>0.72627976227541202</v>
      </c>
      <c r="F6489">
        <v>0.47903972650343302</v>
      </c>
      <c r="G6489">
        <v>0.29551053732028498</v>
      </c>
      <c r="H6489">
        <v>0.15335554475591301</v>
      </c>
      <c r="I6489">
        <v>0.177562157597043</v>
      </c>
      <c r="J6489">
        <v>0.15650843717545099</v>
      </c>
      <c r="K6489">
        <v>0.13033934968463901</v>
      </c>
      <c r="L6489">
        <v>746.73256907636005</v>
      </c>
      <c r="M6489">
        <v>14.394383917733199</v>
      </c>
      <c r="N6489">
        <v>52.747587408415498</v>
      </c>
      <c r="O6489">
        <v>50.906246135911999</v>
      </c>
      <c r="P6489">
        <v>-6.3221368390069393E-2</v>
      </c>
      <c r="Q6489">
        <v>0.105767758064696</v>
      </c>
      <c r="R6489">
        <v>0.98474925959484905</v>
      </c>
      <c r="S6489" t="s">
        <v>13295</v>
      </c>
      <c r="T6489" t="s">
        <v>13610</v>
      </c>
      <c r="U6489" t="s">
        <v>13610</v>
      </c>
      <c r="V6489" t="s">
        <v>13610</v>
      </c>
      <c r="W6489" t="s">
        <v>20021</v>
      </c>
      <c r="X6489">
        <v>9</v>
      </c>
      <c r="Y6489" t="s">
        <v>26556</v>
      </c>
      <c r="Z6489" t="s">
        <v>33344</v>
      </c>
      <c r="AA6489">
        <v>0.48116189136124471</v>
      </c>
      <c r="AB6489" t="str">
        <f>HYPERLINK("Melting_Curves/meltCurve_Q9ULZ3_2_PYCARD.pdf", "Melting_Curves/meltCurve_Q9ULZ3_2_PYCARD.pdf")</f>
        <v>Melting_Curves/meltCurve_Q9ULZ3_2_PYCARD.pdf</v>
      </c>
    </row>
    <row r="6490" spans="1:28" x14ac:dyDescent="0.25">
      <c r="A6490" t="s">
        <v>6494</v>
      </c>
      <c r="B6490">
        <v>0.995954080203443</v>
      </c>
      <c r="C6490">
        <v>0.80322932158501004</v>
      </c>
      <c r="D6490">
        <v>0.74466285101317398</v>
      </c>
      <c r="E6490">
        <v>0.70406645644804799</v>
      </c>
      <c r="F6490">
        <v>0.53069360790636799</v>
      </c>
      <c r="G6490">
        <v>0.203063690924877</v>
      </c>
      <c r="H6490">
        <v>0.111808433517689</v>
      </c>
      <c r="I6490">
        <v>7.9661264090751999E-2</v>
      </c>
      <c r="J6490">
        <v>0.104751206821789</v>
      </c>
      <c r="K6490">
        <v>8.5212465086896005E-2</v>
      </c>
      <c r="L6490">
        <v>572.05672644075105</v>
      </c>
      <c r="M6490">
        <v>10.9833234621037</v>
      </c>
      <c r="N6490">
        <v>52.084110376608997</v>
      </c>
      <c r="O6490">
        <v>50.446870491997799</v>
      </c>
      <c r="P6490">
        <v>-5.4448647000128303E-2</v>
      </c>
      <c r="Q6490">
        <v>0</v>
      </c>
      <c r="R6490">
        <v>0.96208126466467303</v>
      </c>
      <c r="S6490" t="s">
        <v>13296</v>
      </c>
      <c r="T6490" t="s">
        <v>13610</v>
      </c>
      <c r="U6490" t="s">
        <v>13610</v>
      </c>
      <c r="V6490" t="s">
        <v>13610</v>
      </c>
      <c r="W6490" t="s">
        <v>20022</v>
      </c>
      <c r="X6490">
        <v>3</v>
      </c>
      <c r="Y6490" t="s">
        <v>26557</v>
      </c>
      <c r="Z6490" t="s">
        <v>33345</v>
      </c>
      <c r="AA6490">
        <v>0.4367070348732397</v>
      </c>
      <c r="AB6490" t="str">
        <f>HYPERLINK("Melting_Curves/meltCurve_Q9UM13_ANAPC10.pdf", "Melting_Curves/meltCurve_Q9UM13_ANAPC10.pdf")</f>
        <v>Melting_Curves/meltCurve_Q9UM13_ANAPC10.pdf</v>
      </c>
    </row>
    <row r="6491" spans="1:28" x14ac:dyDescent="0.25">
      <c r="A6491" t="s">
        <v>6495</v>
      </c>
      <c r="B6491">
        <v>0.995954080203443</v>
      </c>
      <c r="C6491">
        <v>0.90618057017615095</v>
      </c>
      <c r="D6491">
        <v>0.85035539615204903</v>
      </c>
      <c r="E6491">
        <v>0.778536296047867</v>
      </c>
      <c r="F6491">
        <v>0.180639565747678</v>
      </c>
      <c r="G6491">
        <v>9.7314279140743795E-2</v>
      </c>
      <c r="H6491">
        <v>6.1507292281154202E-2</v>
      </c>
      <c r="I6491">
        <v>5.8726111575291597E-2</v>
      </c>
      <c r="J6491">
        <v>6.0991594053576001E-2</v>
      </c>
      <c r="K6491">
        <v>5.6224686576812899E-2</v>
      </c>
      <c r="L6491">
        <v>2649.5609570890101</v>
      </c>
      <c r="M6491">
        <v>51.863994576559399</v>
      </c>
      <c r="N6491">
        <v>51.223735173441902</v>
      </c>
      <c r="O6491">
        <v>51.010930884239798</v>
      </c>
      <c r="P6491">
        <v>-0.23771856232305799</v>
      </c>
      <c r="Q6491">
        <v>6.4766503813727103E-2</v>
      </c>
      <c r="R6491">
        <v>0.97990167764306602</v>
      </c>
      <c r="S6491" t="s">
        <v>13297</v>
      </c>
      <c r="T6491" t="s">
        <v>13610</v>
      </c>
      <c r="U6491" t="s">
        <v>13610</v>
      </c>
      <c r="V6491" t="s">
        <v>13610</v>
      </c>
      <c r="W6491" t="s">
        <v>20023</v>
      </c>
      <c r="X6491">
        <v>64</v>
      </c>
      <c r="Y6491" t="s">
        <v>26558</v>
      </c>
      <c r="Z6491" t="s">
        <v>33346</v>
      </c>
      <c r="AA6491">
        <v>0.41234657807626612</v>
      </c>
      <c r="AB6491" t="str">
        <f>HYPERLINK("Melting_Curves/meltCurve_Q9UM54_6_MYO6.pdf", "Melting_Curves/meltCurve_Q9UM54_6_MYO6.pdf")</f>
        <v>Melting_Curves/meltCurve_Q9UM54_6_MYO6.pdf</v>
      </c>
    </row>
    <row r="6492" spans="1:28" x14ac:dyDescent="0.25">
      <c r="A6492" t="s">
        <v>6496</v>
      </c>
      <c r="B6492">
        <v>0.995954080203443</v>
      </c>
      <c r="C6492">
        <v>0.97667717091546502</v>
      </c>
      <c r="D6492">
        <v>0.88174868428421604</v>
      </c>
      <c r="E6492">
        <v>0.79357945300231703</v>
      </c>
      <c r="F6492">
        <v>0.67007292976952404</v>
      </c>
      <c r="G6492">
        <v>0.59634373936518204</v>
      </c>
      <c r="H6492">
        <v>0.51865600918564503</v>
      </c>
      <c r="I6492">
        <v>0.64557524575970804</v>
      </c>
      <c r="J6492">
        <v>0.66524219104577498</v>
      </c>
      <c r="K6492">
        <v>0.72955122022441798</v>
      </c>
      <c r="L6492">
        <v>1035.9160015037901</v>
      </c>
      <c r="M6492">
        <v>21.405537617582201</v>
      </c>
      <c r="O6492">
        <v>47.978327101356498</v>
      </c>
      <c r="P6492">
        <v>-4.1312259884289999E-2</v>
      </c>
      <c r="Q6492">
        <v>0.62962032251653399</v>
      </c>
      <c r="R6492">
        <v>0.87456615221447198</v>
      </c>
      <c r="S6492" t="s">
        <v>13298</v>
      </c>
      <c r="T6492" t="s">
        <v>13610</v>
      </c>
      <c r="U6492" t="s">
        <v>13610</v>
      </c>
      <c r="V6492" t="s">
        <v>13610</v>
      </c>
      <c r="W6492" t="s">
        <v>20024</v>
      </c>
      <c r="X6492">
        <v>7</v>
      </c>
      <c r="Y6492" t="s">
        <v>26559</v>
      </c>
      <c r="Z6492" t="s">
        <v>33347</v>
      </c>
      <c r="AA6492">
        <v>0.73779641139417051</v>
      </c>
      <c r="AB6492" t="str">
        <f>HYPERLINK("Melting_Curves/meltCurve_Q9UMF0_ICAM5.pdf", "Melting_Curves/meltCurve_Q9UMF0_ICAM5.pdf")</f>
        <v>Melting_Curves/meltCurve_Q9UMF0_ICAM5.pdf</v>
      </c>
    </row>
    <row r="6493" spans="1:28" x14ac:dyDescent="0.25">
      <c r="A6493" t="s">
        <v>6497</v>
      </c>
      <c r="B6493">
        <v>0.995954080203443</v>
      </c>
      <c r="C6493">
        <v>0.92180389410101904</v>
      </c>
      <c r="D6493">
        <v>0.94517505100813204</v>
      </c>
      <c r="E6493">
        <v>0.81907574489250901</v>
      </c>
      <c r="F6493">
        <v>0.80184116192883303</v>
      </c>
      <c r="G6493">
        <v>0.62623996971984097</v>
      </c>
      <c r="H6493">
        <v>0.57937430648675703</v>
      </c>
      <c r="I6493">
        <v>0.61718274078541602</v>
      </c>
      <c r="J6493">
        <v>0.75007539916353405</v>
      </c>
      <c r="K6493">
        <v>0.765288681622881</v>
      </c>
      <c r="L6493">
        <v>955.76781675208701</v>
      </c>
      <c r="M6493">
        <v>19.261149477820499</v>
      </c>
      <c r="O6493">
        <v>49.095938862061999</v>
      </c>
      <c r="P6493">
        <v>-3.2468627421495498E-2</v>
      </c>
      <c r="Q6493">
        <v>0.66896729834978996</v>
      </c>
      <c r="R6493">
        <v>0.78636419958190495</v>
      </c>
      <c r="S6493" t="s">
        <v>13299</v>
      </c>
      <c r="T6493" t="s">
        <v>13610</v>
      </c>
      <c r="U6493" t="s">
        <v>13610</v>
      </c>
      <c r="V6493" t="s">
        <v>13610</v>
      </c>
      <c r="W6493" t="s">
        <v>20025</v>
      </c>
      <c r="X6493">
        <v>25</v>
      </c>
      <c r="Y6493" t="s">
        <v>26560</v>
      </c>
      <c r="Z6493" t="s">
        <v>33348</v>
      </c>
      <c r="AA6493">
        <v>0.78010785399460691</v>
      </c>
      <c r="AB6493" t="str">
        <f>HYPERLINK("Melting_Curves/meltCurve_Q9UMN6_WBP7.pdf", "Melting_Curves/meltCurve_Q9UMN6_WBP7.pdf")</f>
        <v>Melting_Curves/meltCurve_Q9UMN6_WBP7.pdf</v>
      </c>
    </row>
    <row r="6494" spans="1:28" x14ac:dyDescent="0.25">
      <c r="A6494" t="s">
        <v>6498</v>
      </c>
      <c r="B6494">
        <v>0.995954080203443</v>
      </c>
      <c r="C6494">
        <v>0.763776982245994</v>
      </c>
      <c r="D6494">
        <v>0.53139000292384198</v>
      </c>
      <c r="E6494">
        <v>0.30312214751237798</v>
      </c>
      <c r="F6494">
        <v>0.177450587489968</v>
      </c>
      <c r="G6494">
        <v>0.12661148379553699</v>
      </c>
      <c r="H6494">
        <v>9.63907838944245E-2</v>
      </c>
      <c r="I6494">
        <v>4.5392002352960703E-2</v>
      </c>
      <c r="J6494">
        <v>4.9512346848875101E-2</v>
      </c>
      <c r="K6494">
        <v>3.3124058816391203E-2</v>
      </c>
      <c r="L6494">
        <v>705.46941920250094</v>
      </c>
      <c r="M6494">
        <v>15.2051356903801</v>
      </c>
      <c r="N6494">
        <v>46.717295472509299</v>
      </c>
      <c r="O6494">
        <v>45.616464127776602</v>
      </c>
      <c r="P6494">
        <v>-7.9211578774570204E-2</v>
      </c>
      <c r="Q6494">
        <v>4.9530076194129198E-2</v>
      </c>
      <c r="R6494">
        <v>0.99165489791936701</v>
      </c>
      <c r="S6494" t="s">
        <v>13300</v>
      </c>
      <c r="T6494" t="s">
        <v>13610</v>
      </c>
      <c r="U6494" t="s">
        <v>13610</v>
      </c>
      <c r="V6494" t="s">
        <v>13610</v>
      </c>
      <c r="W6494" t="s">
        <v>20026</v>
      </c>
      <c r="X6494">
        <v>20</v>
      </c>
      <c r="Y6494" t="s">
        <v>26561</v>
      </c>
      <c r="Z6494" t="s">
        <v>33349</v>
      </c>
      <c r="AA6494">
        <v>0.27834700606757529</v>
      </c>
      <c r="AB6494" t="str">
        <f>HYPERLINK("Melting_Curves/meltCurve_Q9UMR2_DDX19B.pdf", "Melting_Curves/meltCurve_Q9UMR2_DDX19B.pdf")</f>
        <v>Melting_Curves/meltCurve_Q9UMR2_DDX19B.pdf</v>
      </c>
    </row>
    <row r="6495" spans="1:28" x14ac:dyDescent="0.25">
      <c r="A6495" t="s">
        <v>6499</v>
      </c>
      <c r="B6495">
        <v>0.995954080203443</v>
      </c>
      <c r="C6495">
        <v>1.06951062787991</v>
      </c>
      <c r="D6495">
        <v>1.0990756421908701</v>
      </c>
      <c r="E6495">
        <v>1.0000101422327701</v>
      </c>
      <c r="F6495">
        <v>1.0178693815056401</v>
      </c>
      <c r="G6495">
        <v>0.75511957281134001</v>
      </c>
      <c r="H6495">
        <v>0.66378741470358205</v>
      </c>
      <c r="I6495">
        <v>0.70187579203792805</v>
      </c>
      <c r="J6495">
        <v>0.77102792703738299</v>
      </c>
      <c r="K6495">
        <v>0.67343756818881595</v>
      </c>
      <c r="L6495">
        <v>14162.31726901</v>
      </c>
      <c r="M6495">
        <v>250</v>
      </c>
      <c r="O6495">
        <v>56.645643915209199</v>
      </c>
      <c r="P6495">
        <v>-0.32821127685186702</v>
      </c>
      <c r="Q6495">
        <v>0.70253217455596395</v>
      </c>
      <c r="R6495">
        <v>0.92109354131164201</v>
      </c>
      <c r="S6495" t="s">
        <v>13301</v>
      </c>
      <c r="T6495" t="s">
        <v>13610</v>
      </c>
      <c r="U6495" t="s">
        <v>13610</v>
      </c>
      <c r="V6495" t="s">
        <v>13610</v>
      </c>
      <c r="W6495" t="s">
        <v>20027</v>
      </c>
      <c r="X6495">
        <v>6</v>
      </c>
      <c r="Y6495" t="s">
        <v>26562</v>
      </c>
      <c r="Z6495" t="s">
        <v>33350</v>
      </c>
      <c r="AA6495">
        <v>0.8676491439624977</v>
      </c>
      <c r="AB6495" t="str">
        <f>HYPERLINK("Melting_Curves/meltCurve_Q9UMS0_3_NFU1.pdf", "Melting_Curves/meltCurve_Q9UMS0_3_NFU1.pdf")</f>
        <v>Melting_Curves/meltCurve_Q9UMS0_3_NFU1.pdf</v>
      </c>
    </row>
    <row r="6496" spans="1:28" x14ac:dyDescent="0.25">
      <c r="A6496" t="s">
        <v>6500</v>
      </c>
      <c r="B6496">
        <v>0.995954080203443</v>
      </c>
      <c r="C6496">
        <v>0.88747505988142406</v>
      </c>
      <c r="D6496">
        <v>0.76552048456227395</v>
      </c>
      <c r="E6496">
        <v>0.76300756945786596</v>
      </c>
      <c r="F6496">
        <v>0.52804875564860998</v>
      </c>
      <c r="G6496">
        <v>0.31086759115995899</v>
      </c>
      <c r="H6496">
        <v>0.13565733974409</v>
      </c>
      <c r="I6496">
        <v>0.10147677925599501</v>
      </c>
      <c r="J6496">
        <v>8.8622669915133095E-2</v>
      </c>
      <c r="K6496">
        <v>8.5918623246720796E-2</v>
      </c>
      <c r="L6496">
        <v>611.74415751709603</v>
      </c>
      <c r="M6496">
        <v>11.501752875909901</v>
      </c>
      <c r="N6496">
        <v>53.187035475255101</v>
      </c>
      <c r="O6496">
        <v>51.655458845337698</v>
      </c>
      <c r="P6496">
        <v>-5.5681530225185703E-2</v>
      </c>
      <c r="Q6496">
        <v>0</v>
      </c>
      <c r="R6496">
        <v>0.98029664417456697</v>
      </c>
      <c r="S6496" t="s">
        <v>13302</v>
      </c>
      <c r="T6496" t="s">
        <v>13610</v>
      </c>
      <c r="U6496" t="s">
        <v>13610</v>
      </c>
      <c r="V6496" t="s">
        <v>13610</v>
      </c>
      <c r="W6496" t="s">
        <v>20028</v>
      </c>
      <c r="X6496">
        <v>21</v>
      </c>
      <c r="Y6496" t="s">
        <v>26563</v>
      </c>
      <c r="Z6496" t="s">
        <v>33351</v>
      </c>
      <c r="AA6496">
        <v>0.46890352187029238</v>
      </c>
      <c r="AB6496" t="str">
        <f>HYPERLINK("Melting_Curves/meltCurve_Q9UMS4_PRPF19.pdf", "Melting_Curves/meltCurve_Q9UMS4_PRPF19.pdf")</f>
        <v>Melting_Curves/meltCurve_Q9UMS4_PRPF19.pdf</v>
      </c>
    </row>
    <row r="6497" spans="1:28" x14ac:dyDescent="0.25">
      <c r="A6497" t="s">
        <v>6501</v>
      </c>
      <c r="B6497">
        <v>0.995954080203443</v>
      </c>
      <c r="C6497">
        <v>1.0520819549875</v>
      </c>
      <c r="D6497">
        <v>0.96925320684572902</v>
      </c>
      <c r="E6497">
        <v>0.94584763788239501</v>
      </c>
      <c r="F6497">
        <v>0.804219087826753</v>
      </c>
      <c r="G6497">
        <v>0.65381719812552397</v>
      </c>
      <c r="H6497">
        <v>0.54540834657169202</v>
      </c>
      <c r="I6497">
        <v>0.70093815401715798</v>
      </c>
      <c r="J6497">
        <v>0.62967341442758795</v>
      </c>
      <c r="K6497">
        <v>0.79476889034520004</v>
      </c>
      <c r="L6497">
        <v>2144.7858625109998</v>
      </c>
      <c r="M6497">
        <v>40.931132439135197</v>
      </c>
      <c r="O6497">
        <v>52.2752571913081</v>
      </c>
      <c r="P6497">
        <v>-6.5871744852198794E-2</v>
      </c>
      <c r="Q6497">
        <v>0.66348786246510105</v>
      </c>
      <c r="R6497">
        <v>0.86122179033146595</v>
      </c>
      <c r="S6497" t="s">
        <v>13303</v>
      </c>
      <c r="T6497" t="s">
        <v>13610</v>
      </c>
      <c r="U6497" t="s">
        <v>13610</v>
      </c>
      <c r="V6497" t="s">
        <v>13610</v>
      </c>
      <c r="W6497" t="s">
        <v>20029</v>
      </c>
      <c r="X6497">
        <v>12</v>
      </c>
      <c r="Y6497" t="s">
        <v>26564</v>
      </c>
      <c r="Z6497" t="s">
        <v>33352</v>
      </c>
      <c r="AA6497">
        <v>0.80374103904836502</v>
      </c>
      <c r="AB6497" t="str">
        <f>HYPERLINK("Melting_Curves/meltCurve_Q9UMX0_UBQLN1.pdf", "Melting_Curves/meltCurve_Q9UMX0_UBQLN1.pdf")</f>
        <v>Melting_Curves/meltCurve_Q9UMX0_UBQLN1.pdf</v>
      </c>
    </row>
    <row r="6498" spans="1:28" x14ac:dyDescent="0.25">
      <c r="A6498" t="s">
        <v>6502</v>
      </c>
      <c r="B6498">
        <v>0.995954080203443</v>
      </c>
      <c r="C6498">
        <v>0.93290716893719905</v>
      </c>
      <c r="D6498">
        <v>0.88651450397503995</v>
      </c>
      <c r="E6498">
        <v>0.805448584374026</v>
      </c>
      <c r="F6498">
        <v>0.74354327935921005</v>
      </c>
      <c r="G6498">
        <v>0.51852939728534198</v>
      </c>
      <c r="H6498">
        <v>0.47593185025068502</v>
      </c>
      <c r="I6498">
        <v>0.53909275945531698</v>
      </c>
      <c r="J6498">
        <v>0.68972928437764702</v>
      </c>
      <c r="K6498">
        <v>0.61312746399262796</v>
      </c>
      <c r="L6498">
        <v>867.52944684662998</v>
      </c>
      <c r="M6498">
        <v>17.374236582077099</v>
      </c>
      <c r="O6498">
        <v>49.284548685179303</v>
      </c>
      <c r="P6498">
        <v>-3.8442234358016802E-2</v>
      </c>
      <c r="Q6498">
        <v>0.56383678695353601</v>
      </c>
      <c r="R6498">
        <v>0.85152297857996495</v>
      </c>
      <c r="S6498" t="s">
        <v>13304</v>
      </c>
      <c r="T6498" t="s">
        <v>13610</v>
      </c>
      <c r="U6498" t="s">
        <v>13610</v>
      </c>
      <c r="V6498" t="s">
        <v>13610</v>
      </c>
      <c r="W6498" t="s">
        <v>20030</v>
      </c>
      <c r="X6498">
        <v>11</v>
      </c>
      <c r="Y6498" t="s">
        <v>26565</v>
      </c>
      <c r="Z6498" t="s">
        <v>33353</v>
      </c>
      <c r="AA6498">
        <v>0.71619623319919945</v>
      </c>
      <c r="AB6498" t="str">
        <f>HYPERLINK("Melting_Curves/meltCurve_Q9UMX5_NENF.pdf", "Melting_Curves/meltCurve_Q9UMX5_NENF.pdf")</f>
        <v>Melting_Curves/meltCurve_Q9UMX5_NENF.pdf</v>
      </c>
    </row>
    <row r="6499" spans="1:28" x14ac:dyDescent="0.25">
      <c r="A6499" t="s">
        <v>6503</v>
      </c>
      <c r="B6499">
        <v>0.995954080203443</v>
      </c>
      <c r="C6499">
        <v>0.908030898038935</v>
      </c>
      <c r="D6499">
        <v>0.999019559120643</v>
      </c>
      <c r="E6499">
        <v>0.84141127540618699</v>
      </c>
      <c r="F6499">
        <v>0.93138826295850197</v>
      </c>
      <c r="G6499">
        <v>0.775875800984555</v>
      </c>
      <c r="H6499">
        <v>0.76936410629987295</v>
      </c>
      <c r="I6499">
        <v>1.0067581088791799</v>
      </c>
      <c r="J6499">
        <v>1.0965781899095199</v>
      </c>
      <c r="K6499">
        <v>1.1871197303858501</v>
      </c>
      <c r="L6499">
        <v>6211.0938804551997</v>
      </c>
      <c r="M6499">
        <v>92.733238679503003</v>
      </c>
      <c r="O6499">
        <v>66.946945327432203</v>
      </c>
      <c r="P6499">
        <v>6.5970352667860999E-2</v>
      </c>
      <c r="Q6499">
        <v>1.19050400195743</v>
      </c>
      <c r="R6499">
        <v>0.12629644989801</v>
      </c>
      <c r="S6499" t="s">
        <v>13305</v>
      </c>
      <c r="T6499" t="s">
        <v>13610</v>
      </c>
      <c r="U6499" t="s">
        <v>13610</v>
      </c>
      <c r="V6499" t="s">
        <v>13610</v>
      </c>
      <c r="W6499" t="s">
        <v>20031</v>
      </c>
      <c r="X6499">
        <v>8</v>
      </c>
      <c r="Y6499" t="s">
        <v>26566</v>
      </c>
      <c r="Z6499" t="s">
        <v>33354</v>
      </c>
      <c r="AA6499">
        <v>1.0191193978350941</v>
      </c>
      <c r="AB6499" t="str">
        <f>HYPERLINK("Melting_Curves/meltCurve_Q9UMY1_NOL7.pdf", "Melting_Curves/meltCurve_Q9UMY1_NOL7.pdf")</f>
        <v>Melting_Curves/meltCurve_Q9UMY1_NOL7.pdf</v>
      </c>
    </row>
    <row r="6500" spans="1:28" x14ac:dyDescent="0.25">
      <c r="A6500" t="s">
        <v>6504</v>
      </c>
      <c r="B6500">
        <v>0.995954080203443</v>
      </c>
      <c r="C6500">
        <v>1.0073594211780601</v>
      </c>
      <c r="D6500">
        <v>1.02970378457659</v>
      </c>
      <c r="E6500">
        <v>0.73391310163174195</v>
      </c>
      <c r="F6500">
        <v>0.40837514277111803</v>
      </c>
      <c r="G6500">
        <v>0.17143901253427801</v>
      </c>
      <c r="H6500">
        <v>0.11269264838196601</v>
      </c>
      <c r="I6500">
        <v>0.101616248191313</v>
      </c>
      <c r="J6500">
        <v>0.117440594897184</v>
      </c>
      <c r="K6500">
        <v>0.11316947279183399</v>
      </c>
      <c r="L6500">
        <v>1487.8174011957201</v>
      </c>
      <c r="M6500">
        <v>28.800558711884999</v>
      </c>
      <c r="N6500">
        <v>52.105714880862898</v>
      </c>
      <c r="O6500">
        <v>51.412189624975902</v>
      </c>
      <c r="P6500">
        <v>-0.124737450623608</v>
      </c>
      <c r="Q6500">
        <v>0.10932613187479601</v>
      </c>
      <c r="R6500">
        <v>0.99754801465063703</v>
      </c>
      <c r="S6500" t="s">
        <v>13306</v>
      </c>
      <c r="T6500" t="s">
        <v>13610</v>
      </c>
      <c r="U6500" t="s">
        <v>13610</v>
      </c>
      <c r="V6500" t="s">
        <v>13610</v>
      </c>
      <c r="W6500" t="s">
        <v>20032</v>
      </c>
      <c r="X6500">
        <v>10</v>
      </c>
      <c r="Y6500" t="s">
        <v>26567</v>
      </c>
      <c r="Z6500" t="s">
        <v>33355</v>
      </c>
      <c r="AA6500">
        <v>0.46161932875117451</v>
      </c>
      <c r="AB6500" t="str">
        <f>HYPERLINK("Melting_Curves/meltCurve_Q9UMY4_2_SNX12.pdf", "Melting_Curves/meltCurve_Q9UMY4_2_SNX12.pdf")</f>
        <v>Melting_Curves/meltCurve_Q9UMY4_2_SNX12.pdf</v>
      </c>
    </row>
    <row r="6501" spans="1:28" x14ac:dyDescent="0.25">
      <c r="A6501" t="s">
        <v>6505</v>
      </c>
      <c r="B6501">
        <v>0.995954080203443</v>
      </c>
      <c r="C6501">
        <v>0.98496464702299802</v>
      </c>
      <c r="D6501">
        <v>0.96730663028471697</v>
      </c>
      <c r="E6501">
        <v>0.84041492878316904</v>
      </c>
      <c r="F6501">
        <v>0.75303530228530602</v>
      </c>
      <c r="G6501">
        <v>0.561232858633396</v>
      </c>
      <c r="H6501">
        <v>0.50026599558608797</v>
      </c>
      <c r="I6501">
        <v>0.56507288409635703</v>
      </c>
      <c r="J6501">
        <v>0.64351191359933702</v>
      </c>
      <c r="K6501">
        <v>0.62202258937009702</v>
      </c>
      <c r="L6501">
        <v>1317.4497293034501</v>
      </c>
      <c r="M6501">
        <v>25.634062856804501</v>
      </c>
      <c r="O6501">
        <v>51.084783576508499</v>
      </c>
      <c r="P6501">
        <v>-5.3281325813239098E-2</v>
      </c>
      <c r="Q6501">
        <v>0.57527893526275098</v>
      </c>
      <c r="R6501">
        <v>0.94449319414857302</v>
      </c>
      <c r="S6501" t="s">
        <v>13307</v>
      </c>
      <c r="T6501" t="s">
        <v>13610</v>
      </c>
      <c r="U6501" t="s">
        <v>13610</v>
      </c>
      <c r="V6501" t="s">
        <v>13610</v>
      </c>
      <c r="W6501" t="s">
        <v>20033</v>
      </c>
      <c r="X6501">
        <v>36</v>
      </c>
      <c r="Y6501" t="s">
        <v>26568</v>
      </c>
      <c r="Z6501" t="s">
        <v>33356</v>
      </c>
      <c r="AA6501">
        <v>0.74026416441426857</v>
      </c>
      <c r="AB6501" t="str">
        <f>HYPERLINK("Melting_Curves/meltCurve_Q9UMZ2_5_SYNRG.pdf", "Melting_Curves/meltCurve_Q9UMZ2_5_SYNRG.pdf")</f>
        <v>Melting_Curves/meltCurve_Q9UMZ2_5_SYNRG.pdf</v>
      </c>
    </row>
    <row r="6502" spans="1:28" x14ac:dyDescent="0.25">
      <c r="A6502" t="s">
        <v>6506</v>
      </c>
      <c r="B6502">
        <v>0.995954080203443</v>
      </c>
      <c r="C6502">
        <v>1.0622356883233901</v>
      </c>
      <c r="D6502">
        <v>1.02540833588324</v>
      </c>
      <c r="E6502">
        <v>0.92389789057671001</v>
      </c>
      <c r="F6502">
        <v>0.77867638899597402</v>
      </c>
      <c r="G6502">
        <v>0.21144360679819699</v>
      </c>
      <c r="H6502">
        <v>7.9096176116187994E-2</v>
      </c>
      <c r="I6502">
        <v>7.0358944661229494E-2</v>
      </c>
      <c r="J6502">
        <v>7.1864490161187497E-2</v>
      </c>
      <c r="K6502">
        <v>7.2653735554225898E-2</v>
      </c>
      <c r="L6502">
        <v>2060.97815966094</v>
      </c>
      <c r="M6502">
        <v>37.795639528566497</v>
      </c>
      <c r="N6502">
        <v>54.7383380582516</v>
      </c>
      <c r="O6502">
        <v>54.377545694652902</v>
      </c>
      <c r="P6502">
        <v>-0.16209951191220201</v>
      </c>
      <c r="Q6502">
        <v>6.7135766275600695E-2</v>
      </c>
      <c r="R6502">
        <v>0.99628125727834804</v>
      </c>
      <c r="S6502" t="s">
        <v>13308</v>
      </c>
      <c r="T6502" t="s">
        <v>13610</v>
      </c>
      <c r="U6502" t="s">
        <v>13610</v>
      </c>
      <c r="V6502" t="s">
        <v>13610</v>
      </c>
      <c r="W6502" t="s">
        <v>20034</v>
      </c>
      <c r="X6502">
        <v>7</v>
      </c>
      <c r="Y6502" t="s">
        <v>26569</v>
      </c>
      <c r="Z6502" t="s">
        <v>33357</v>
      </c>
      <c r="AA6502">
        <v>0.52286308800116543</v>
      </c>
      <c r="AB6502" t="str">
        <f>HYPERLINK("Melting_Curves/meltCurve_Q9UN36_2_NDRG2.pdf", "Melting_Curves/meltCurve_Q9UN36_2_NDRG2.pdf")</f>
        <v>Melting_Curves/meltCurve_Q9UN36_2_NDRG2.pdf</v>
      </c>
    </row>
    <row r="6503" spans="1:28" x14ac:dyDescent="0.25">
      <c r="A6503" t="s">
        <v>6507</v>
      </c>
      <c r="B6503">
        <v>0.995954080203443</v>
      </c>
      <c r="C6503">
        <v>0.64636599557444097</v>
      </c>
      <c r="D6503">
        <v>0.413422874631098</v>
      </c>
      <c r="E6503">
        <v>0.35423377480017898</v>
      </c>
      <c r="F6503">
        <v>0.30434945939976199</v>
      </c>
      <c r="G6503">
        <v>0.21903285941766701</v>
      </c>
      <c r="H6503">
        <v>0.17146954846287699</v>
      </c>
      <c r="I6503">
        <v>0.17547116832501999</v>
      </c>
      <c r="J6503">
        <v>0.171562519320341</v>
      </c>
      <c r="K6503">
        <v>0.179905684970323</v>
      </c>
      <c r="L6503">
        <v>812.52637284238597</v>
      </c>
      <c r="M6503">
        <v>18.430427013119701</v>
      </c>
      <c r="N6503">
        <v>45.3361256673643</v>
      </c>
      <c r="O6503">
        <v>43.576951892583999</v>
      </c>
      <c r="P6503">
        <v>-8.4676584733513693E-2</v>
      </c>
      <c r="Q6503">
        <v>0.19919774370218701</v>
      </c>
      <c r="R6503">
        <v>0.95655155829782201</v>
      </c>
      <c r="S6503" t="s">
        <v>13309</v>
      </c>
      <c r="T6503" t="s">
        <v>13610</v>
      </c>
      <c r="U6503" t="s">
        <v>13610</v>
      </c>
      <c r="V6503" t="s">
        <v>13610</v>
      </c>
      <c r="W6503" t="s">
        <v>20035</v>
      </c>
      <c r="X6503">
        <v>11</v>
      </c>
      <c r="Y6503" t="s">
        <v>26570</v>
      </c>
      <c r="Z6503" t="s">
        <v>33358</v>
      </c>
      <c r="AA6503">
        <v>0.32674855381278561</v>
      </c>
      <c r="AB6503" t="str">
        <f>HYPERLINK("Melting_Curves/meltCurve_Q9UN37_VPS4A.pdf", "Melting_Curves/meltCurve_Q9UN37_VPS4A.pdf")</f>
        <v>Melting_Curves/meltCurve_Q9UN37_VPS4A.pdf</v>
      </c>
    </row>
    <row r="6504" spans="1:28" x14ac:dyDescent="0.25">
      <c r="A6504" t="s">
        <v>6508</v>
      </c>
      <c r="B6504">
        <v>0.995954080203443</v>
      </c>
      <c r="C6504">
        <v>1.0580693647503201</v>
      </c>
      <c r="D6504">
        <v>1.0500594844991999</v>
      </c>
      <c r="E6504">
        <v>0.87862223904703896</v>
      </c>
      <c r="F6504">
        <v>0.627263843430789</v>
      </c>
      <c r="G6504">
        <v>0.30768790021461501</v>
      </c>
      <c r="H6504">
        <v>0.15009368246789601</v>
      </c>
      <c r="I6504">
        <v>0.12587476689490301</v>
      </c>
      <c r="J6504">
        <v>0.14509192711903399</v>
      </c>
      <c r="K6504">
        <v>0.15498812816313401</v>
      </c>
      <c r="L6504">
        <v>1400.9368013594001</v>
      </c>
      <c r="M6504">
        <v>26.1161860514013</v>
      </c>
      <c r="N6504">
        <v>54.290757425584097</v>
      </c>
      <c r="O6504">
        <v>53.330940293307499</v>
      </c>
      <c r="P6504">
        <v>-0.106026861705594</v>
      </c>
      <c r="Q6504">
        <v>0.13395528898285999</v>
      </c>
      <c r="R6504">
        <v>0.99411966959353504</v>
      </c>
      <c r="S6504" t="s">
        <v>13310</v>
      </c>
      <c r="T6504" t="s">
        <v>13610</v>
      </c>
      <c r="U6504" t="s">
        <v>13610</v>
      </c>
      <c r="V6504" t="s">
        <v>13610</v>
      </c>
      <c r="W6504" t="s">
        <v>20036</v>
      </c>
      <c r="X6504">
        <v>18</v>
      </c>
      <c r="Y6504" t="s">
        <v>26571</v>
      </c>
      <c r="Z6504" t="s">
        <v>33359</v>
      </c>
      <c r="AA6504">
        <v>0.53516846051101941</v>
      </c>
      <c r="AB6504" t="str">
        <f>HYPERLINK("Melting_Curves/meltCurve_Q9UN86_2_G3BP2.pdf", "Melting_Curves/meltCurve_Q9UN86_2_G3BP2.pdf")</f>
        <v>Melting_Curves/meltCurve_Q9UN86_2_G3BP2.pdf</v>
      </c>
    </row>
    <row r="6505" spans="1:28" x14ac:dyDescent="0.25">
      <c r="A6505" t="s">
        <v>6509</v>
      </c>
      <c r="B6505">
        <v>0.995954080203443</v>
      </c>
      <c r="C6505">
        <v>0.77914330162606205</v>
      </c>
      <c r="D6505">
        <v>0.322855882021233</v>
      </c>
      <c r="E6505">
        <v>0.229332634160093</v>
      </c>
      <c r="F6505">
        <v>0.12625482419629799</v>
      </c>
      <c r="G6505">
        <v>7.8281231078404095E-2</v>
      </c>
      <c r="H6505">
        <v>5.77719980715512E-2</v>
      </c>
      <c r="I6505">
        <v>5.6645148630483297E-2</v>
      </c>
      <c r="J6505">
        <v>6.4757566349329707E-2</v>
      </c>
      <c r="K6505">
        <v>5.9984473000144298E-2</v>
      </c>
      <c r="L6505">
        <v>1174.27071588271</v>
      </c>
      <c r="M6505">
        <v>26.311147272859198</v>
      </c>
      <c r="N6505">
        <v>44.934258861658599</v>
      </c>
      <c r="O6505">
        <v>44.374741409932</v>
      </c>
      <c r="P6505">
        <v>-0.136144956029081</v>
      </c>
      <c r="Q6505">
        <v>8.1555683940785106E-2</v>
      </c>
      <c r="R6505">
        <v>0.98429444097317897</v>
      </c>
      <c r="S6505" t="s">
        <v>13311</v>
      </c>
      <c r="T6505" t="s">
        <v>13610</v>
      </c>
      <c r="U6505" t="s">
        <v>13610</v>
      </c>
      <c r="V6505" t="s">
        <v>13610</v>
      </c>
      <c r="W6505" t="s">
        <v>20037</v>
      </c>
      <c r="X6505">
        <v>14</v>
      </c>
      <c r="Y6505" t="s">
        <v>26572</v>
      </c>
      <c r="Z6505" t="s">
        <v>33360</v>
      </c>
      <c r="AA6505">
        <v>0.23174275212036699</v>
      </c>
      <c r="AB6505" t="str">
        <f>HYPERLINK("Melting_Curves/meltCurve_Q9UNE7_STUB1.pdf", "Melting_Curves/meltCurve_Q9UNE7_STUB1.pdf")</f>
        <v>Melting_Curves/meltCurve_Q9UNE7_STUB1.pdf</v>
      </c>
    </row>
    <row r="6506" spans="1:28" x14ac:dyDescent="0.25">
      <c r="A6506" t="s">
        <v>6510</v>
      </c>
      <c r="B6506">
        <v>0.995954080203443</v>
      </c>
      <c r="C6506">
        <v>0.98117893964107605</v>
      </c>
      <c r="D6506">
        <v>0.86226345430192197</v>
      </c>
      <c r="E6506">
        <v>0.44530344787127102</v>
      </c>
      <c r="F6506">
        <v>0.30561799581237598</v>
      </c>
      <c r="G6506">
        <v>0.21197750736840801</v>
      </c>
      <c r="H6506">
        <v>0.18726215954481101</v>
      </c>
      <c r="I6506">
        <v>0.20516744368609499</v>
      </c>
      <c r="J6506">
        <v>0.27463331798891499</v>
      </c>
      <c r="K6506">
        <v>0.23939651230482201</v>
      </c>
      <c r="L6506">
        <v>1376.8418109427</v>
      </c>
      <c r="M6506">
        <v>28.414609989561502</v>
      </c>
      <c r="N6506">
        <v>49.488295683115801</v>
      </c>
      <c r="O6506">
        <v>48.217322273761397</v>
      </c>
      <c r="P6506">
        <v>-0.114372739304073</v>
      </c>
      <c r="Q6506">
        <v>0.223680685481007</v>
      </c>
      <c r="R6506">
        <v>0.99453797080914597</v>
      </c>
      <c r="S6506" t="s">
        <v>13312</v>
      </c>
      <c r="T6506" t="s">
        <v>13610</v>
      </c>
      <c r="U6506" t="s">
        <v>13610</v>
      </c>
      <c r="V6506" t="s">
        <v>13610</v>
      </c>
      <c r="W6506" t="s">
        <v>20038</v>
      </c>
      <c r="X6506">
        <v>20</v>
      </c>
      <c r="Y6506" t="s">
        <v>26573</v>
      </c>
      <c r="Z6506" t="s">
        <v>33361</v>
      </c>
      <c r="AA6506">
        <v>0.44773806613401468</v>
      </c>
      <c r="AB6506" t="str">
        <f>HYPERLINK("Melting_Curves/meltCurve_Q9UNF0_2_PACSIN2.pdf", "Melting_Curves/meltCurve_Q9UNF0_2_PACSIN2.pdf")</f>
        <v>Melting_Curves/meltCurve_Q9UNF0_2_PACSIN2.pdf</v>
      </c>
    </row>
    <row r="6507" spans="1:28" x14ac:dyDescent="0.25">
      <c r="A6507" t="s">
        <v>6511</v>
      </c>
      <c r="B6507">
        <v>0.995954080203443</v>
      </c>
      <c r="C6507">
        <v>0.853645587913473</v>
      </c>
      <c r="D6507">
        <v>0.54695782719052399</v>
      </c>
      <c r="E6507">
        <v>0.467827423237966</v>
      </c>
      <c r="F6507">
        <v>0.3573790405517</v>
      </c>
      <c r="G6507">
        <v>0.25559618528172001</v>
      </c>
      <c r="H6507">
        <v>0.207854951585979</v>
      </c>
      <c r="I6507">
        <v>0.23631187521470001</v>
      </c>
      <c r="J6507">
        <v>0.31552062156108401</v>
      </c>
      <c r="K6507">
        <v>0.28076538686271502</v>
      </c>
      <c r="L6507">
        <v>802.74794078693401</v>
      </c>
      <c r="M6507">
        <v>17.505955476893199</v>
      </c>
      <c r="N6507">
        <v>47.8834244803896</v>
      </c>
      <c r="O6507">
        <v>45.269883878894603</v>
      </c>
      <c r="P6507">
        <v>-7.13737960413518E-2</v>
      </c>
      <c r="Q6507">
        <v>0.261758533254557</v>
      </c>
      <c r="R6507">
        <v>0.96639562733153195</v>
      </c>
      <c r="S6507" t="s">
        <v>13313</v>
      </c>
      <c r="T6507" t="s">
        <v>13610</v>
      </c>
      <c r="U6507" t="s">
        <v>13610</v>
      </c>
      <c r="V6507" t="s">
        <v>13610</v>
      </c>
      <c r="W6507" t="s">
        <v>20039</v>
      </c>
      <c r="X6507">
        <v>19</v>
      </c>
      <c r="Y6507" t="s">
        <v>26574</v>
      </c>
      <c r="Z6507" t="s">
        <v>33362</v>
      </c>
      <c r="AA6507">
        <v>0.42145850850657229</v>
      </c>
      <c r="AB6507" t="str">
        <f>HYPERLINK("Melting_Curves/meltCurve_Q9UNF1_MAGED2.pdf", "Melting_Curves/meltCurve_Q9UNF1_MAGED2.pdf")</f>
        <v>Melting_Curves/meltCurve_Q9UNF1_MAGED2.pdf</v>
      </c>
    </row>
    <row r="6508" spans="1:28" x14ac:dyDescent="0.25">
      <c r="A6508" t="s">
        <v>6512</v>
      </c>
      <c r="B6508">
        <v>0.995954080203443</v>
      </c>
      <c r="C6508">
        <v>0.93347792088495896</v>
      </c>
      <c r="D6508">
        <v>0.71998109137725796</v>
      </c>
      <c r="E6508">
        <v>0.46285607900999098</v>
      </c>
      <c r="F6508">
        <v>0.29281021692039799</v>
      </c>
      <c r="G6508">
        <v>0.208064943555269</v>
      </c>
      <c r="H6508">
        <v>0.12621183725798399</v>
      </c>
      <c r="I6508">
        <v>8.4542208681851694E-2</v>
      </c>
      <c r="J6508">
        <v>4.1074771426909899E-2</v>
      </c>
      <c r="K6508">
        <v>4.39535801025044E-2</v>
      </c>
      <c r="L6508">
        <v>697.01632742571906</v>
      </c>
      <c r="M6508">
        <v>14.1466708660001</v>
      </c>
      <c r="N6508">
        <v>49.609273068929703</v>
      </c>
      <c r="O6508">
        <v>48.317510037449502</v>
      </c>
      <c r="P6508">
        <v>-6.9836967048140894E-2</v>
      </c>
      <c r="Q6508">
        <v>4.60173349110196E-2</v>
      </c>
      <c r="R6508">
        <v>0.99491093337495096</v>
      </c>
      <c r="S6508" t="s">
        <v>13314</v>
      </c>
      <c r="T6508" t="s">
        <v>13610</v>
      </c>
      <c r="U6508" t="s">
        <v>13610</v>
      </c>
      <c r="V6508" t="s">
        <v>13610</v>
      </c>
      <c r="W6508" t="s">
        <v>20040</v>
      </c>
      <c r="X6508">
        <v>2</v>
      </c>
      <c r="Y6508" t="s">
        <v>26575</v>
      </c>
      <c r="Z6508" t="s">
        <v>33363</v>
      </c>
      <c r="AA6508">
        <v>0.36676979425453887</v>
      </c>
      <c r="AB6508" t="str">
        <f>HYPERLINK("Melting_Curves/meltCurve_Q9UNH5_3_CDC14A.pdf", "Melting_Curves/meltCurve_Q9UNH5_3_CDC14A.pdf")</f>
        <v>Melting_Curves/meltCurve_Q9UNH5_3_CDC14A.pdf</v>
      </c>
    </row>
    <row r="6509" spans="1:28" x14ac:dyDescent="0.25">
      <c r="A6509" t="s">
        <v>6513</v>
      </c>
      <c r="B6509">
        <v>0.995954080203443</v>
      </c>
      <c r="C6509">
        <v>0.79492689296318397</v>
      </c>
      <c r="D6509">
        <v>0.39201431639423601</v>
      </c>
      <c r="E6509">
        <v>0.24914616988416299</v>
      </c>
      <c r="F6509">
        <v>0.12793715210012799</v>
      </c>
      <c r="G6509">
        <v>7.9021162596202704E-2</v>
      </c>
      <c r="H6509">
        <v>5.1155557853844701E-2</v>
      </c>
      <c r="I6509">
        <v>3.6723106629785403E-2</v>
      </c>
      <c r="J6509">
        <v>4.0554184241445697E-2</v>
      </c>
      <c r="K6509">
        <v>3.6154575546638701E-2</v>
      </c>
      <c r="L6509">
        <v>915.75010481004097</v>
      </c>
      <c r="M6509">
        <v>20.195927972540002</v>
      </c>
      <c r="N6509">
        <v>45.604184465920298</v>
      </c>
      <c r="O6509">
        <v>44.905760797721499</v>
      </c>
      <c r="P6509">
        <v>-0.106304497864076</v>
      </c>
      <c r="Q6509">
        <v>5.4554997575702799E-2</v>
      </c>
      <c r="R6509">
        <v>0.98633845984952295</v>
      </c>
      <c r="S6509" t="s">
        <v>13315</v>
      </c>
      <c r="T6509" t="s">
        <v>13610</v>
      </c>
      <c r="U6509" t="s">
        <v>13610</v>
      </c>
      <c r="V6509" t="s">
        <v>13610</v>
      </c>
      <c r="W6509" t="s">
        <v>20041</v>
      </c>
      <c r="X6509">
        <v>21</v>
      </c>
      <c r="Y6509" t="s">
        <v>26576</v>
      </c>
      <c r="Z6509" t="s">
        <v>33364</v>
      </c>
      <c r="AA6509">
        <v>0.23804105077268831</v>
      </c>
      <c r="AB6509" t="str">
        <f>HYPERLINK("Melting_Curves/meltCurve_Q9UNH7_SNX6.pdf", "Melting_Curves/meltCurve_Q9UNH7_SNX6.pdf")</f>
        <v>Melting_Curves/meltCurve_Q9UNH7_SNX6.pdf</v>
      </c>
    </row>
    <row r="6510" spans="1:28" x14ac:dyDescent="0.25">
      <c r="A6510" t="s">
        <v>6514</v>
      </c>
      <c r="B6510">
        <v>0.995954080203443</v>
      </c>
      <c r="C6510">
        <v>0.71766435081418301</v>
      </c>
      <c r="D6510">
        <v>1.21251372710239</v>
      </c>
      <c r="E6510">
        <v>0.884042877285377</v>
      </c>
      <c r="F6510">
        <v>1.0824730479758899</v>
      </c>
      <c r="G6510">
        <v>0.92817593941939003</v>
      </c>
      <c r="H6510">
        <v>0.80812251273517799</v>
      </c>
      <c r="I6510">
        <v>1.09898800349599</v>
      </c>
      <c r="J6510">
        <v>1.03913103432722</v>
      </c>
      <c r="K6510">
        <v>1.09768479385455</v>
      </c>
      <c r="L6510">
        <v>8720.4647950539893</v>
      </c>
      <c r="M6510">
        <v>138.52704684393001</v>
      </c>
      <c r="O6510">
        <v>62.938245737186001</v>
      </c>
      <c r="P6510">
        <v>4.37614330086364E-2</v>
      </c>
      <c r="Q6510">
        <v>1.0795300942271799</v>
      </c>
      <c r="R6510">
        <v>7.7605650048767502E-2</v>
      </c>
      <c r="S6510" t="s">
        <v>13316</v>
      </c>
      <c r="T6510" t="s">
        <v>13610</v>
      </c>
      <c r="U6510" t="s">
        <v>13610</v>
      </c>
      <c r="V6510" t="s">
        <v>13610</v>
      </c>
      <c r="W6510" t="s">
        <v>20042</v>
      </c>
      <c r="X6510">
        <v>3</v>
      </c>
      <c r="Y6510" t="s">
        <v>26577</v>
      </c>
      <c r="Z6510" t="s">
        <v>33365</v>
      </c>
      <c r="AA6510">
        <v>1.0186573599980899</v>
      </c>
      <c r="AB6510" t="str">
        <f>HYPERLINK("Melting_Curves/meltCurve_Q9UNL4_8_ING4.pdf", "Melting_Curves/meltCurve_Q9UNL4_8_ING4.pdf")</f>
        <v>Melting_Curves/meltCurve_Q9UNL4_8_ING4.pdf</v>
      </c>
    </row>
    <row r="6511" spans="1:28" x14ac:dyDescent="0.25">
      <c r="A6511" t="s">
        <v>6515</v>
      </c>
      <c r="B6511">
        <v>0.995954080203443</v>
      </c>
      <c r="C6511">
        <v>0.72610404813532203</v>
      </c>
      <c r="D6511">
        <v>0.54236616600101795</v>
      </c>
      <c r="E6511">
        <v>0.60615511776477005</v>
      </c>
      <c r="F6511">
        <v>0.18090071996830401</v>
      </c>
      <c r="G6511">
        <v>9.2675628193542706E-2</v>
      </c>
      <c r="H6511">
        <v>5.4198060366233397E-2</v>
      </c>
      <c r="I6511">
        <v>4.2401569756440702E-2</v>
      </c>
      <c r="J6511">
        <v>4.4100261519938601E-2</v>
      </c>
      <c r="K6511">
        <v>4.0625062941695197E-2</v>
      </c>
      <c r="L6511">
        <v>549.78958185685406</v>
      </c>
      <c r="M6511">
        <v>11.4156717580807</v>
      </c>
      <c r="N6511">
        <v>48.160948954759199</v>
      </c>
      <c r="O6511">
        <v>46.754092528779999</v>
      </c>
      <c r="P6511">
        <v>-6.1058849392611601E-2</v>
      </c>
      <c r="Q6511">
        <v>0</v>
      </c>
      <c r="R6511">
        <v>0.93320276569634197</v>
      </c>
      <c r="S6511" t="s">
        <v>13317</v>
      </c>
      <c r="T6511" t="s">
        <v>13610</v>
      </c>
      <c r="U6511" t="s">
        <v>13610</v>
      </c>
      <c r="V6511" t="s">
        <v>13610</v>
      </c>
      <c r="W6511" t="s">
        <v>20043</v>
      </c>
      <c r="X6511">
        <v>26</v>
      </c>
      <c r="Y6511" t="s">
        <v>26578</v>
      </c>
      <c r="Z6511" t="s">
        <v>33366</v>
      </c>
      <c r="AA6511">
        <v>0.31423485052771488</v>
      </c>
      <c r="AB6511" t="str">
        <f>HYPERLINK("Melting_Curves/meltCurve_Q9UNM6_PSMD13.pdf", "Melting_Curves/meltCurve_Q9UNM6_PSMD13.pdf")</f>
        <v>Melting_Curves/meltCurve_Q9UNM6_PSMD13.pdf</v>
      </c>
    </row>
    <row r="6512" spans="1:28" x14ac:dyDescent="0.25">
      <c r="A6512" t="s">
        <v>6516</v>
      </c>
      <c r="B6512">
        <v>0.995954080203443</v>
      </c>
      <c r="C6512">
        <v>1.02401303910222</v>
      </c>
      <c r="D6512">
        <v>1.00862508161491</v>
      </c>
      <c r="E6512">
        <v>0.95326988339386598</v>
      </c>
      <c r="F6512">
        <v>0.89384071184436498</v>
      </c>
      <c r="G6512">
        <v>0.62427108414356502</v>
      </c>
      <c r="H6512">
        <v>0.23095892518569</v>
      </c>
      <c r="I6512">
        <v>0.124142123836</v>
      </c>
      <c r="J6512">
        <v>0.109721277438745</v>
      </c>
      <c r="K6512">
        <v>0.108155025528317</v>
      </c>
      <c r="L6512">
        <v>1557.3152223305201</v>
      </c>
      <c r="M6512">
        <v>27.060454886624299</v>
      </c>
      <c r="N6512">
        <v>57.945463602402299</v>
      </c>
      <c r="O6512">
        <v>57.2379532737204</v>
      </c>
      <c r="P6512">
        <v>-0.108216238672035</v>
      </c>
      <c r="Q6512">
        <v>8.4418162889534604E-2</v>
      </c>
      <c r="R6512">
        <v>0.99766749803413501</v>
      </c>
      <c r="S6512" t="s">
        <v>13318</v>
      </c>
      <c r="T6512" t="s">
        <v>13610</v>
      </c>
      <c r="U6512" t="s">
        <v>13610</v>
      </c>
      <c r="V6512" t="s">
        <v>13610</v>
      </c>
      <c r="W6512" t="s">
        <v>20044</v>
      </c>
      <c r="X6512">
        <v>33</v>
      </c>
      <c r="Y6512" t="s">
        <v>26579</v>
      </c>
      <c r="Z6512" t="s">
        <v>33367</v>
      </c>
      <c r="AA6512">
        <v>0.62720618765717973</v>
      </c>
      <c r="AB6512" t="str">
        <f>HYPERLINK("Melting_Curves/meltCurve_Q9UNN5_FAF1.pdf", "Melting_Curves/meltCurve_Q9UNN5_FAF1.pdf")</f>
        <v>Melting_Curves/meltCurve_Q9UNN5_FAF1.pdf</v>
      </c>
    </row>
    <row r="6513" spans="1:28" x14ac:dyDescent="0.25">
      <c r="A6513" t="s">
        <v>6517</v>
      </c>
      <c r="B6513">
        <v>0.995954080203443</v>
      </c>
      <c r="C6513">
        <v>1.02948799177524</v>
      </c>
      <c r="D6513">
        <v>0.91375409202978697</v>
      </c>
      <c r="E6513">
        <v>0.85251448080120795</v>
      </c>
      <c r="F6513">
        <v>0.73733364792255196</v>
      </c>
      <c r="G6513">
        <v>0.54535816448594199</v>
      </c>
      <c r="H6513">
        <v>0.451186589792481</v>
      </c>
      <c r="I6513">
        <v>0.45505282849392598</v>
      </c>
      <c r="J6513">
        <v>0.44580507742082098</v>
      </c>
      <c r="K6513">
        <v>0.28924031762235097</v>
      </c>
      <c r="L6513">
        <v>695.65615104341896</v>
      </c>
      <c r="M6513">
        <v>12.728233943365501</v>
      </c>
      <c r="N6513">
        <v>59.512597196117497</v>
      </c>
      <c r="O6513">
        <v>53.358171990574903</v>
      </c>
      <c r="P6513">
        <v>-4.0375392534136002E-2</v>
      </c>
      <c r="Q6513">
        <v>0.32309738758367501</v>
      </c>
      <c r="R6513">
        <v>0.97546055360679795</v>
      </c>
      <c r="S6513" t="s">
        <v>13319</v>
      </c>
      <c r="T6513" t="s">
        <v>13610</v>
      </c>
      <c r="U6513" t="s">
        <v>13610</v>
      </c>
      <c r="V6513" t="s">
        <v>13610</v>
      </c>
      <c r="W6513" t="s">
        <v>20045</v>
      </c>
      <c r="X6513">
        <v>4</v>
      </c>
      <c r="Y6513" t="s">
        <v>26580</v>
      </c>
      <c r="Z6513" t="s">
        <v>33368</v>
      </c>
      <c r="AA6513">
        <v>0.66949810629582196</v>
      </c>
      <c r="AB6513" t="str">
        <f>HYPERLINK("Melting_Curves/meltCurve_Q9UNN8_PROCR.pdf", "Melting_Curves/meltCurve_Q9UNN8_PROCR.pdf")</f>
        <v>Melting_Curves/meltCurve_Q9UNN8_PROCR.pdf</v>
      </c>
    </row>
    <row r="6514" spans="1:28" x14ac:dyDescent="0.25">
      <c r="A6514" t="s">
        <v>6518</v>
      </c>
      <c r="B6514">
        <v>0.995954080203443</v>
      </c>
      <c r="C6514">
        <v>0.99104407422647001</v>
      </c>
      <c r="D6514">
        <v>0.99628202361036999</v>
      </c>
      <c r="E6514">
        <v>0.86793755785534799</v>
      </c>
      <c r="F6514">
        <v>0.765374132179101</v>
      </c>
      <c r="G6514">
        <v>0.49125777931972497</v>
      </c>
      <c r="H6514">
        <v>0.26636823846735203</v>
      </c>
      <c r="I6514">
        <v>0.22018055712277801</v>
      </c>
      <c r="J6514">
        <v>0.26041300579246901</v>
      </c>
      <c r="K6514">
        <v>0.23870843078852499</v>
      </c>
      <c r="L6514">
        <v>1123.0099232493101</v>
      </c>
      <c r="M6514">
        <v>20.425038622544299</v>
      </c>
      <c r="N6514">
        <v>56.494317786248999</v>
      </c>
      <c r="O6514">
        <v>54.463110495767303</v>
      </c>
      <c r="P6514">
        <v>-7.4014588400917694E-2</v>
      </c>
      <c r="Q6514">
        <v>0.21058761664327</v>
      </c>
      <c r="R6514">
        <v>0.99416685481052203</v>
      </c>
      <c r="S6514" t="s">
        <v>13320</v>
      </c>
      <c r="T6514" t="s">
        <v>13610</v>
      </c>
      <c r="U6514" t="s">
        <v>13610</v>
      </c>
      <c r="V6514" t="s">
        <v>13610</v>
      </c>
      <c r="W6514" t="s">
        <v>20046</v>
      </c>
      <c r="X6514">
        <v>13</v>
      </c>
      <c r="Y6514" t="s">
        <v>26581</v>
      </c>
      <c r="Z6514" t="s">
        <v>33369</v>
      </c>
      <c r="AA6514">
        <v>0.61500706432194674</v>
      </c>
      <c r="AB6514" t="str">
        <f>HYPERLINK("Melting_Curves/meltCurve_Q9UNP9_PPIE.pdf", "Melting_Curves/meltCurve_Q9UNP9_PPIE.pdf")</f>
        <v>Melting_Curves/meltCurve_Q9UNP9_PPIE.pdf</v>
      </c>
    </row>
    <row r="6515" spans="1:28" x14ac:dyDescent="0.25">
      <c r="A6515" t="s">
        <v>6519</v>
      </c>
      <c r="B6515">
        <v>0.995954080203443</v>
      </c>
      <c r="C6515">
        <v>0.92948347075622495</v>
      </c>
      <c r="D6515">
        <v>1.00786865021315</v>
      </c>
      <c r="E6515">
        <v>0.68289697309507402</v>
      </c>
      <c r="F6515">
        <v>0.433272639969006</v>
      </c>
      <c r="G6515">
        <v>0.19936241505635599</v>
      </c>
      <c r="H6515">
        <v>8.2114254315877905E-2</v>
      </c>
      <c r="I6515">
        <v>5.8464278446330897E-2</v>
      </c>
      <c r="J6515">
        <v>6.7157559313663295E-2</v>
      </c>
      <c r="K6515">
        <v>6.1288516183105698E-2</v>
      </c>
      <c r="L6515">
        <v>1094.3884987547699</v>
      </c>
      <c r="M6515">
        <v>21.0691844358936</v>
      </c>
      <c r="N6515">
        <v>52.223792779264699</v>
      </c>
      <c r="O6515">
        <v>51.481501110315499</v>
      </c>
      <c r="P6515">
        <v>-9.6830797165606206E-2</v>
      </c>
      <c r="Q6515">
        <v>5.3620620951494502E-2</v>
      </c>
      <c r="R6515">
        <v>0.99390196446628898</v>
      </c>
      <c r="S6515" t="s">
        <v>13321</v>
      </c>
      <c r="T6515" t="s">
        <v>13610</v>
      </c>
      <c r="U6515" t="s">
        <v>13610</v>
      </c>
      <c r="V6515" t="s">
        <v>13610</v>
      </c>
      <c r="W6515" t="s">
        <v>20047</v>
      </c>
      <c r="X6515">
        <v>10</v>
      </c>
      <c r="Y6515" t="s">
        <v>26582</v>
      </c>
      <c r="Z6515" t="s">
        <v>33370</v>
      </c>
      <c r="AA6515">
        <v>0.44228002327519939</v>
      </c>
      <c r="AB6515" t="str">
        <f>HYPERLINK("Melting_Curves/meltCurve_Q9UNQ2_DIMT1.pdf", "Melting_Curves/meltCurve_Q9UNQ2_DIMT1.pdf")</f>
        <v>Melting_Curves/meltCurve_Q9UNQ2_DIMT1.pdf</v>
      </c>
    </row>
    <row r="6516" spans="1:28" x14ac:dyDescent="0.25">
      <c r="A6516" t="s">
        <v>6520</v>
      </c>
      <c r="B6516">
        <v>0.995954080203443</v>
      </c>
      <c r="C6516">
        <v>0.77871843383973405</v>
      </c>
      <c r="D6516">
        <v>0.554084380236604</v>
      </c>
      <c r="E6516">
        <v>0.443728859599054</v>
      </c>
      <c r="F6516">
        <v>0.37908188375912799</v>
      </c>
      <c r="G6516">
        <v>0.28176272708830502</v>
      </c>
      <c r="H6516">
        <v>0.241994217800338</v>
      </c>
      <c r="I6516">
        <v>0.29061949165173101</v>
      </c>
      <c r="J6516">
        <v>0.28200797809401601</v>
      </c>
      <c r="K6516">
        <v>0.34213104093786001</v>
      </c>
      <c r="L6516">
        <v>796.183931337324</v>
      </c>
      <c r="M6516">
        <v>17.6402836687373</v>
      </c>
      <c r="N6516">
        <v>47.499561273862199</v>
      </c>
      <c r="O6516">
        <v>44.566376438888497</v>
      </c>
      <c r="P6516">
        <v>-7.0037231471046901E-2</v>
      </c>
      <c r="Q6516">
        <v>0.292270141038177</v>
      </c>
      <c r="R6516">
        <v>0.97228733598665595</v>
      </c>
      <c r="S6516" t="s">
        <v>13322</v>
      </c>
      <c r="T6516" t="s">
        <v>13610</v>
      </c>
      <c r="U6516" t="s">
        <v>13610</v>
      </c>
      <c r="V6516" t="s">
        <v>13610</v>
      </c>
      <c r="W6516" t="s">
        <v>20048</v>
      </c>
      <c r="X6516">
        <v>14</v>
      </c>
      <c r="Y6516" t="s">
        <v>26583</v>
      </c>
      <c r="Z6516" t="s">
        <v>33371</v>
      </c>
      <c r="AA6516">
        <v>0.42913642852327299</v>
      </c>
      <c r="AB6516" t="str">
        <f>HYPERLINK("Melting_Curves/meltCurve_Q9UNS1_2_TIMELESS.pdf", "Melting_Curves/meltCurve_Q9UNS1_2_TIMELESS.pdf")</f>
        <v>Melting_Curves/meltCurve_Q9UNS1_2_TIMELESS.pdf</v>
      </c>
    </row>
    <row r="6517" spans="1:28" x14ac:dyDescent="0.25">
      <c r="A6517" t="s">
        <v>6521</v>
      </c>
      <c r="B6517">
        <v>0.995954080203443</v>
      </c>
      <c r="C6517">
        <v>0.83063708458983299</v>
      </c>
      <c r="D6517">
        <v>0.73477063467524895</v>
      </c>
      <c r="E6517">
        <v>0.86821795607443197</v>
      </c>
      <c r="F6517">
        <v>0.66637875875272601</v>
      </c>
      <c r="G6517">
        <v>0.36379019379837801</v>
      </c>
      <c r="H6517">
        <v>0.343737637586087</v>
      </c>
      <c r="I6517">
        <v>0.286002796835434</v>
      </c>
      <c r="J6517">
        <v>0.12594429432461801</v>
      </c>
      <c r="K6517">
        <v>9.7605147251692601E-2</v>
      </c>
      <c r="L6517">
        <v>497.34411280608799</v>
      </c>
      <c r="M6517">
        <v>8.9342211567544094</v>
      </c>
      <c r="N6517">
        <v>55.667316047590298</v>
      </c>
      <c r="O6517">
        <v>53.090342875296798</v>
      </c>
      <c r="P6517">
        <v>-4.21022521500755E-2</v>
      </c>
      <c r="Q6517">
        <v>0</v>
      </c>
      <c r="R6517">
        <v>0.93170042664637898</v>
      </c>
      <c r="S6517" t="s">
        <v>13323</v>
      </c>
      <c r="T6517" t="s">
        <v>13610</v>
      </c>
      <c r="U6517" t="s">
        <v>13610</v>
      </c>
      <c r="V6517" t="s">
        <v>13610</v>
      </c>
      <c r="W6517" t="s">
        <v>20049</v>
      </c>
      <c r="X6517">
        <v>20</v>
      </c>
      <c r="Y6517" t="s">
        <v>26584</v>
      </c>
      <c r="Z6517" t="s">
        <v>33372</v>
      </c>
      <c r="AA6517">
        <v>0.545048886958579</v>
      </c>
      <c r="AB6517" t="str">
        <f>HYPERLINK("Melting_Curves/meltCurve_Q9UNS2_COPS3.pdf", "Melting_Curves/meltCurve_Q9UNS2_COPS3.pdf")</f>
        <v>Melting_Curves/meltCurve_Q9UNS2_COPS3.pdf</v>
      </c>
    </row>
    <row r="6518" spans="1:28" x14ac:dyDescent="0.25">
      <c r="A6518" t="s">
        <v>6522</v>
      </c>
      <c r="B6518">
        <v>0.995954080203443</v>
      </c>
      <c r="C6518">
        <v>1.0154811151362</v>
      </c>
      <c r="D6518">
        <v>0.99892188553787198</v>
      </c>
      <c r="E6518">
        <v>0.90091003168478601</v>
      </c>
      <c r="F6518">
        <v>0.85861571529594105</v>
      </c>
      <c r="G6518">
        <v>0.64745213202565999</v>
      </c>
      <c r="H6518">
        <v>0.48815199384247099</v>
      </c>
      <c r="I6518">
        <v>0.43225533469449001</v>
      </c>
      <c r="J6518">
        <v>0.335718462658744</v>
      </c>
      <c r="K6518">
        <v>0.112251598271966</v>
      </c>
      <c r="L6518">
        <v>664.94263204837102</v>
      </c>
      <c r="M6518">
        <v>10.8840024643268</v>
      </c>
      <c r="N6518">
        <v>61.093576048421802</v>
      </c>
      <c r="O6518">
        <v>59.139729790577597</v>
      </c>
      <c r="P6518">
        <v>-4.6025859399025801E-2</v>
      </c>
      <c r="Q6518">
        <v>0</v>
      </c>
      <c r="R6518">
        <v>0.98103193149642998</v>
      </c>
      <c r="S6518" t="s">
        <v>13324</v>
      </c>
      <c r="T6518" t="s">
        <v>13610</v>
      </c>
      <c r="U6518" t="s">
        <v>13610</v>
      </c>
      <c r="V6518" t="s">
        <v>13610</v>
      </c>
      <c r="W6518" t="s">
        <v>20050</v>
      </c>
      <c r="X6518">
        <v>11</v>
      </c>
      <c r="Y6518" t="s">
        <v>26585</v>
      </c>
      <c r="Z6518" t="s">
        <v>33373</v>
      </c>
      <c r="AA6518">
        <v>0.69433886314121507</v>
      </c>
      <c r="AB6518" t="str">
        <f>HYPERLINK("Melting_Curves/meltCurve_Q9UNW1_MINPP1.pdf", "Melting_Curves/meltCurve_Q9UNW1_MINPP1.pdf")</f>
        <v>Melting_Curves/meltCurve_Q9UNW1_MINPP1.pdf</v>
      </c>
    </row>
    <row r="6519" spans="1:28" x14ac:dyDescent="0.25">
      <c r="A6519" t="s">
        <v>6523</v>
      </c>
      <c r="B6519">
        <v>0.995954080203443</v>
      </c>
      <c r="C6519">
        <v>0.88546925645722496</v>
      </c>
      <c r="D6519">
        <v>0.34903999637077798</v>
      </c>
      <c r="E6519">
        <v>0.41618980439361503</v>
      </c>
      <c r="F6519">
        <v>0.13983878825398299</v>
      </c>
      <c r="G6519">
        <v>9.5849459214705501E-2</v>
      </c>
      <c r="H6519">
        <v>5.4901596125367699E-2</v>
      </c>
      <c r="I6519">
        <v>6.7901029965429502E-2</v>
      </c>
      <c r="J6519">
        <v>6.9685544905344399E-2</v>
      </c>
      <c r="K6519">
        <v>5.4880489878450803E-2</v>
      </c>
      <c r="L6519">
        <v>799.25275897996096</v>
      </c>
      <c r="M6519">
        <v>17.396510302028901</v>
      </c>
      <c r="N6519">
        <v>46.336774545775</v>
      </c>
      <c r="O6519">
        <v>45.349090623240798</v>
      </c>
      <c r="P6519">
        <v>-8.9322774596026194E-2</v>
      </c>
      <c r="Q6519">
        <v>6.8668847143946901E-2</v>
      </c>
      <c r="R6519">
        <v>0.93504156564288299</v>
      </c>
      <c r="S6519" t="s">
        <v>13325</v>
      </c>
      <c r="T6519" t="s">
        <v>13610</v>
      </c>
      <c r="U6519" t="s">
        <v>13610</v>
      </c>
      <c r="V6519" t="s">
        <v>13610</v>
      </c>
      <c r="W6519" t="s">
        <v>20051</v>
      </c>
      <c r="X6519">
        <v>2</v>
      </c>
      <c r="Y6519" t="s">
        <v>26586</v>
      </c>
      <c r="Z6519" t="s">
        <v>33374</v>
      </c>
      <c r="AA6519">
        <v>0.27299323810103321</v>
      </c>
      <c r="AB6519" t="str">
        <f>HYPERLINK("Melting_Curves/meltCurve_Q9UNX4_WDR3.pdf", "Melting_Curves/meltCurve_Q9UNX4_WDR3.pdf")</f>
        <v>Melting_Curves/meltCurve_Q9UNX4_WDR3.pdf</v>
      </c>
    </row>
    <row r="6520" spans="1:28" x14ac:dyDescent="0.25">
      <c r="A6520" t="s">
        <v>6524</v>
      </c>
      <c r="B6520">
        <v>0.995954080203443</v>
      </c>
      <c r="C6520">
        <v>0.87517261093748999</v>
      </c>
      <c r="D6520">
        <v>0.91613979012528601</v>
      </c>
      <c r="E6520">
        <v>0.78136906054220601</v>
      </c>
      <c r="F6520">
        <v>0.806255532428376</v>
      </c>
      <c r="G6520">
        <v>0.59054399399780499</v>
      </c>
      <c r="H6520">
        <v>0.629468022375959</v>
      </c>
      <c r="I6520">
        <v>0.75889196281294902</v>
      </c>
      <c r="J6520">
        <v>0.98031494175922795</v>
      </c>
      <c r="K6520">
        <v>0.91838713080706502</v>
      </c>
      <c r="L6520">
        <v>879.63514374177396</v>
      </c>
      <c r="M6520">
        <v>19.797527377250798</v>
      </c>
      <c r="O6520">
        <v>43.985703277533098</v>
      </c>
      <c r="P6520">
        <v>-2.47588847332617E-2</v>
      </c>
      <c r="Q6520">
        <v>0.77997262586680105</v>
      </c>
      <c r="R6520">
        <v>0.26405599348464598</v>
      </c>
      <c r="S6520" t="s">
        <v>13326</v>
      </c>
      <c r="T6520" t="s">
        <v>13610</v>
      </c>
      <c r="U6520" t="s">
        <v>13610</v>
      </c>
      <c r="V6520" t="s">
        <v>13610</v>
      </c>
      <c r="W6520" t="s">
        <v>20052</v>
      </c>
      <c r="X6520">
        <v>14</v>
      </c>
      <c r="Y6520" t="s">
        <v>26587</v>
      </c>
      <c r="Z6520" t="s">
        <v>33375</v>
      </c>
      <c r="AA6520">
        <v>0.81657418884230304</v>
      </c>
      <c r="AB6520" t="str">
        <f>HYPERLINK("Melting_Curves/meltCurve_Q9UNY4_2_TTF2.pdf", "Melting_Curves/meltCurve_Q9UNY4_2_TTF2.pdf")</f>
        <v>Melting_Curves/meltCurve_Q9UNY4_2_TTF2.pdf</v>
      </c>
    </row>
    <row r="6521" spans="1:28" x14ac:dyDescent="0.25">
      <c r="A6521" t="s">
        <v>6525</v>
      </c>
      <c r="B6521">
        <v>0.995954080203443</v>
      </c>
      <c r="C6521">
        <v>1.02977036983665</v>
      </c>
      <c r="D6521">
        <v>1.0891330236993599</v>
      </c>
      <c r="E6521">
        <v>1.0025343481599001</v>
      </c>
      <c r="F6521">
        <v>0.97469138930702603</v>
      </c>
      <c r="G6521">
        <v>0.74092995959175301</v>
      </c>
      <c r="H6521">
        <v>0.65944239628527201</v>
      </c>
      <c r="I6521">
        <v>0.74355572908813805</v>
      </c>
      <c r="J6521">
        <v>0.92420828731852001</v>
      </c>
      <c r="K6521">
        <v>0.85361298699742005</v>
      </c>
      <c r="L6521">
        <v>13356.9366458606</v>
      </c>
      <c r="M6521">
        <v>250</v>
      </c>
      <c r="O6521">
        <v>53.424327753324199</v>
      </c>
      <c r="P6521">
        <v>-0.25228456567858099</v>
      </c>
      <c r="Q6521">
        <v>0.78434986784218297</v>
      </c>
      <c r="R6521">
        <v>0.72188197301657098</v>
      </c>
      <c r="S6521" t="s">
        <v>13327</v>
      </c>
      <c r="T6521" t="s">
        <v>13610</v>
      </c>
      <c r="U6521" t="s">
        <v>13610</v>
      </c>
      <c r="V6521" t="s">
        <v>13610</v>
      </c>
      <c r="W6521" t="s">
        <v>20053</v>
      </c>
      <c r="X6521">
        <v>29</v>
      </c>
      <c r="Y6521" t="s">
        <v>26588</v>
      </c>
      <c r="Z6521" t="s">
        <v>33376</v>
      </c>
      <c r="AA6521">
        <v>0.8808932657574744</v>
      </c>
      <c r="AB6521" t="str">
        <f>HYPERLINK("Melting_Curves/meltCurve_Q9UNZ2_NSFL1C.pdf", "Melting_Curves/meltCurve_Q9UNZ2_NSFL1C.pdf")</f>
        <v>Melting_Curves/meltCurve_Q9UNZ2_NSFL1C.pdf</v>
      </c>
    </row>
    <row r="6522" spans="1:28" x14ac:dyDescent="0.25">
      <c r="A6522" t="s">
        <v>6526</v>
      </c>
      <c r="B6522">
        <v>0.995954080203443</v>
      </c>
      <c r="C6522">
        <v>0.94150705304753901</v>
      </c>
      <c r="D6522">
        <v>1.0205504092286</v>
      </c>
      <c r="E6522">
        <v>0.85786417709274798</v>
      </c>
      <c r="F6522">
        <v>0.86501735616863196</v>
      </c>
      <c r="G6522">
        <v>0.90319373739987596</v>
      </c>
      <c r="H6522">
        <v>0.95597052208559197</v>
      </c>
      <c r="I6522">
        <v>1.5014106923164601</v>
      </c>
      <c r="J6522">
        <v>1.5780619030004199</v>
      </c>
      <c r="K6522">
        <v>1.88810828893919</v>
      </c>
      <c r="L6522">
        <v>15000</v>
      </c>
      <c r="M6522">
        <v>239.10810319212899</v>
      </c>
      <c r="O6522">
        <v>62.7287428748281</v>
      </c>
      <c r="P6522">
        <v>0.476472374323752</v>
      </c>
      <c r="Q6522">
        <v>1.5</v>
      </c>
      <c r="R6522">
        <v>0.82475623850277502</v>
      </c>
      <c r="S6522" t="s">
        <v>13328</v>
      </c>
      <c r="T6522" t="s">
        <v>13610</v>
      </c>
      <c r="U6522" t="s">
        <v>13610</v>
      </c>
      <c r="V6522" t="s">
        <v>13610</v>
      </c>
      <c r="W6522" t="s">
        <v>20054</v>
      </c>
      <c r="X6522">
        <v>3</v>
      </c>
      <c r="Y6522" t="s">
        <v>26589</v>
      </c>
      <c r="Z6522" t="s">
        <v>33377</v>
      </c>
      <c r="AA6522">
        <v>1.121054302197164</v>
      </c>
      <c r="AB6522" t="str">
        <f>HYPERLINK("Melting_Curves/meltCurve_Q9UNZ5_C19orf53.pdf", "Melting_Curves/meltCurve_Q9UNZ5_C19orf53.pdf")</f>
        <v>Melting_Curves/meltCurve_Q9UNZ5_C19orf53.pdf</v>
      </c>
    </row>
    <row r="6523" spans="1:28" x14ac:dyDescent="0.25">
      <c r="A6523" t="s">
        <v>6527</v>
      </c>
      <c r="B6523">
        <v>0.995954080203443</v>
      </c>
      <c r="C6523">
        <v>0.77174291023126596</v>
      </c>
      <c r="D6523">
        <v>0.478090568952381</v>
      </c>
      <c r="E6523">
        <v>0.28564074891305102</v>
      </c>
      <c r="F6523">
        <v>0.22238242744790901</v>
      </c>
      <c r="G6523">
        <v>0.15046886455835701</v>
      </c>
      <c r="H6523">
        <v>0.13487639592841499</v>
      </c>
      <c r="I6523">
        <v>0.15323981391662</v>
      </c>
      <c r="J6523">
        <v>0.22447699039084701</v>
      </c>
      <c r="K6523">
        <v>0.18096369787979499</v>
      </c>
      <c r="L6523">
        <v>978.76624543266996</v>
      </c>
      <c r="M6523">
        <v>21.7574130235339</v>
      </c>
      <c r="N6523">
        <v>45.883843509341702</v>
      </c>
      <c r="O6523">
        <v>44.610565852267797</v>
      </c>
      <c r="P6523">
        <v>-0.100783515934376</v>
      </c>
      <c r="Q6523">
        <v>0.1734486520962</v>
      </c>
      <c r="R6523">
        <v>0.98809596342740202</v>
      </c>
      <c r="S6523" t="s">
        <v>13329</v>
      </c>
      <c r="T6523" t="s">
        <v>13610</v>
      </c>
      <c r="U6523" t="s">
        <v>13610</v>
      </c>
      <c r="V6523" t="s">
        <v>13610</v>
      </c>
      <c r="W6523" t="s">
        <v>20055</v>
      </c>
      <c r="X6523">
        <v>22</v>
      </c>
      <c r="Y6523" t="s">
        <v>26590</v>
      </c>
      <c r="Z6523" t="s">
        <v>33378</v>
      </c>
      <c r="AA6523">
        <v>0.32230209801956639</v>
      </c>
      <c r="AB6523" t="str">
        <f>HYPERLINK("Melting_Curves/meltCurve_Q9UP83_COG5.pdf", "Melting_Curves/meltCurve_Q9UP83_COG5.pdf")</f>
        <v>Melting_Curves/meltCurve_Q9UP83_COG5.pdf</v>
      </c>
    </row>
    <row r="6524" spans="1:28" x14ac:dyDescent="0.25">
      <c r="A6524" t="s">
        <v>6528</v>
      </c>
      <c r="B6524">
        <v>0.995954080203443</v>
      </c>
      <c r="C6524">
        <v>0.98904778980580799</v>
      </c>
      <c r="D6524">
        <v>1.0621479341329001</v>
      </c>
      <c r="E6524">
        <v>0.90654645976459303</v>
      </c>
      <c r="F6524">
        <v>0.77420991955026996</v>
      </c>
      <c r="G6524">
        <v>0.68786249340390004</v>
      </c>
      <c r="H6524">
        <v>0.66470675266673196</v>
      </c>
      <c r="I6524">
        <v>0.76540189224743604</v>
      </c>
      <c r="J6524">
        <v>0.98023705102565295</v>
      </c>
      <c r="K6524">
        <v>0.99527149784195401</v>
      </c>
      <c r="L6524">
        <v>12500.9597264316</v>
      </c>
      <c r="M6524">
        <v>250</v>
      </c>
      <c r="O6524">
        <v>50.000639008408299</v>
      </c>
      <c r="P6524">
        <v>-0.235894996695626</v>
      </c>
      <c r="Q6524">
        <v>0.81128159110556697</v>
      </c>
      <c r="R6524">
        <v>0.43928378725950101</v>
      </c>
      <c r="S6524" t="s">
        <v>13330</v>
      </c>
      <c r="T6524" t="s">
        <v>13610</v>
      </c>
      <c r="U6524" t="s">
        <v>13610</v>
      </c>
      <c r="V6524" t="s">
        <v>13610</v>
      </c>
      <c r="W6524" t="s">
        <v>20056</v>
      </c>
      <c r="X6524">
        <v>3</v>
      </c>
      <c r="Y6524" t="s">
        <v>26591</v>
      </c>
      <c r="Z6524" t="s">
        <v>33379</v>
      </c>
      <c r="AA6524">
        <v>0.87422843764136005</v>
      </c>
      <c r="AB6524" t="str">
        <f>HYPERLINK("Melting_Curves/meltCurve_Q9UPA5_BSN.pdf", "Melting_Curves/meltCurve_Q9UPA5_BSN.pdf")</f>
        <v>Melting_Curves/meltCurve_Q9UPA5_BSN.pdf</v>
      </c>
    </row>
    <row r="6525" spans="1:28" x14ac:dyDescent="0.25">
      <c r="A6525" t="s">
        <v>6529</v>
      </c>
      <c r="B6525">
        <v>0.995954080203443</v>
      </c>
      <c r="C6525">
        <v>0.83623680689447899</v>
      </c>
      <c r="D6525">
        <v>0.69983280804808401</v>
      </c>
      <c r="E6525">
        <v>0.534194484459381</v>
      </c>
      <c r="F6525">
        <v>0.37863347359744498</v>
      </c>
      <c r="G6525">
        <v>0.236169190347851</v>
      </c>
      <c r="H6525">
        <v>0.174319546396697</v>
      </c>
      <c r="I6525">
        <v>0.18941645327123799</v>
      </c>
      <c r="J6525">
        <v>0.18914387826680901</v>
      </c>
      <c r="K6525">
        <v>0.19151622176747901</v>
      </c>
      <c r="L6525">
        <v>622.67720230510997</v>
      </c>
      <c r="M6525">
        <v>12.822555380447399</v>
      </c>
      <c r="N6525">
        <v>49.972961698020299</v>
      </c>
      <c r="O6525">
        <v>47.425450192807801</v>
      </c>
      <c r="P6525">
        <v>-5.73328485964077E-2</v>
      </c>
      <c r="Q6525">
        <v>0.15195390487447399</v>
      </c>
      <c r="R6525">
        <v>0.99085294324165396</v>
      </c>
      <c r="S6525" t="s">
        <v>13331</v>
      </c>
      <c r="T6525" t="s">
        <v>13610</v>
      </c>
      <c r="U6525" t="s">
        <v>13610</v>
      </c>
      <c r="V6525" t="s">
        <v>13610</v>
      </c>
      <c r="W6525" t="s">
        <v>20057</v>
      </c>
      <c r="X6525">
        <v>13</v>
      </c>
      <c r="Y6525" t="s">
        <v>26592</v>
      </c>
      <c r="Z6525" t="s">
        <v>33380</v>
      </c>
      <c r="AA6525">
        <v>0.42245998871364049</v>
      </c>
      <c r="AB6525" t="str">
        <f>HYPERLINK("Melting_Curves/meltCurve_Q9UPM8_AP4E1.pdf", "Melting_Curves/meltCurve_Q9UPM8_AP4E1.pdf")</f>
        <v>Melting_Curves/meltCurve_Q9UPM8_AP4E1.pdf</v>
      </c>
    </row>
    <row r="6526" spans="1:28" x14ac:dyDescent="0.25">
      <c r="A6526" t="s">
        <v>6530</v>
      </c>
      <c r="B6526">
        <v>0.995954080203443</v>
      </c>
      <c r="C6526">
        <v>0.922680431602243</v>
      </c>
      <c r="D6526">
        <v>1.35020285995172</v>
      </c>
      <c r="E6526">
        <v>0.83574757572712</v>
      </c>
      <c r="F6526">
        <v>0.28640163470369701</v>
      </c>
      <c r="G6526">
        <v>0.12559580449319999</v>
      </c>
      <c r="H6526">
        <v>9.7274895650333398E-2</v>
      </c>
      <c r="I6526">
        <v>9.6037821267003706E-2</v>
      </c>
      <c r="J6526">
        <v>0.14483598363014799</v>
      </c>
      <c r="K6526">
        <v>0.119404286999007</v>
      </c>
      <c r="L6526">
        <v>2694.6644296261702</v>
      </c>
      <c r="M6526">
        <v>52.325206586226301</v>
      </c>
      <c r="N6526">
        <v>51.760173199016002</v>
      </c>
      <c r="O6526">
        <v>51.423351418781102</v>
      </c>
      <c r="P6526">
        <v>-0.224813123414562</v>
      </c>
      <c r="Q6526">
        <v>0.11624736525415599</v>
      </c>
      <c r="R6526">
        <v>0.93554989927631604</v>
      </c>
      <c r="S6526" t="s">
        <v>13332</v>
      </c>
      <c r="T6526" t="s">
        <v>13610</v>
      </c>
      <c r="U6526" t="s">
        <v>13610</v>
      </c>
      <c r="V6526" t="s">
        <v>13610</v>
      </c>
      <c r="W6526" t="s">
        <v>14430</v>
      </c>
      <c r="X6526">
        <v>346</v>
      </c>
      <c r="Y6526" t="s">
        <v>20842</v>
      </c>
      <c r="Z6526" t="s">
        <v>33381</v>
      </c>
      <c r="AA6526">
        <v>0.45680422423084233</v>
      </c>
      <c r="AB6526" t="str">
        <f>HYPERLINK("Melting_Curves/meltCurve_Q9UPN3_MACF1.pdf", "Melting_Curves/meltCurve_Q9UPN3_MACF1.pdf")</f>
        <v>Melting_Curves/meltCurve_Q9UPN3_MACF1.pdf</v>
      </c>
    </row>
    <row r="6527" spans="1:28" x14ac:dyDescent="0.25">
      <c r="A6527" t="s">
        <v>6531</v>
      </c>
      <c r="B6527">
        <v>0.995954080203443</v>
      </c>
      <c r="C6527">
        <v>0.95964315978297299</v>
      </c>
      <c r="D6527">
        <v>0.97260875281549497</v>
      </c>
      <c r="E6527">
        <v>0.77661336597126795</v>
      </c>
      <c r="F6527">
        <v>0.77880258338351105</v>
      </c>
      <c r="G6527">
        <v>0.55150908588194603</v>
      </c>
      <c r="H6527">
        <v>0.46565782567969499</v>
      </c>
      <c r="I6527">
        <v>0.53643111345135996</v>
      </c>
      <c r="J6527">
        <v>0.66607668875176995</v>
      </c>
      <c r="K6527">
        <v>0.655509374740331</v>
      </c>
      <c r="L6527">
        <v>1114.7525727961399</v>
      </c>
      <c r="M6527">
        <v>21.979696648680498</v>
      </c>
      <c r="O6527">
        <v>50.30317930452</v>
      </c>
      <c r="P6527">
        <v>-4.6453547329652997E-2</v>
      </c>
      <c r="Q6527">
        <v>0.57475161187916601</v>
      </c>
      <c r="R6527">
        <v>0.86825134656244496</v>
      </c>
      <c r="S6527" t="s">
        <v>13333</v>
      </c>
      <c r="T6527" t="s">
        <v>13610</v>
      </c>
      <c r="U6527" t="s">
        <v>13610</v>
      </c>
      <c r="V6527" t="s">
        <v>13610</v>
      </c>
      <c r="W6527" t="s">
        <v>20058</v>
      </c>
      <c r="X6527">
        <v>30</v>
      </c>
      <c r="Y6527" t="s">
        <v>26593</v>
      </c>
      <c r="Z6527" t="s">
        <v>33382</v>
      </c>
      <c r="AA6527">
        <v>0.73159935835220535</v>
      </c>
      <c r="AB6527" t="str">
        <f>HYPERLINK("Melting_Curves/meltCurve_Q9UPN4_3_AZI1.pdf", "Melting_Curves/meltCurve_Q9UPN4_3_AZI1.pdf")</f>
        <v>Melting_Curves/meltCurve_Q9UPN4_3_AZI1.pdf</v>
      </c>
    </row>
    <row r="6528" spans="1:28" x14ac:dyDescent="0.25">
      <c r="A6528" t="s">
        <v>6532</v>
      </c>
      <c r="B6528">
        <v>0.995954080203443</v>
      </c>
      <c r="C6528">
        <v>0.937864906142299</v>
      </c>
      <c r="D6528">
        <v>0.90712804838408301</v>
      </c>
      <c r="E6528">
        <v>0.76529614749735997</v>
      </c>
      <c r="F6528">
        <v>0.70573762551546104</v>
      </c>
      <c r="G6528">
        <v>0.48509710160970998</v>
      </c>
      <c r="H6528">
        <v>0.44453095745848697</v>
      </c>
      <c r="I6528">
        <v>0.51141165502489905</v>
      </c>
      <c r="J6528">
        <v>0.61971795316244804</v>
      </c>
      <c r="K6528">
        <v>0.58352910570265204</v>
      </c>
      <c r="L6528">
        <v>957.26754106154306</v>
      </c>
      <c r="M6528">
        <v>19.160160823375701</v>
      </c>
      <c r="O6528">
        <v>49.426673806541103</v>
      </c>
      <c r="P6528">
        <v>-4.5945312620483097E-2</v>
      </c>
      <c r="Q6528">
        <v>0.52592549722444604</v>
      </c>
      <c r="R6528">
        <v>0.90683357404873799</v>
      </c>
      <c r="S6528" t="s">
        <v>13334</v>
      </c>
      <c r="T6528" t="s">
        <v>13610</v>
      </c>
      <c r="U6528" t="s">
        <v>13610</v>
      </c>
      <c r="V6528" t="s">
        <v>13610</v>
      </c>
      <c r="W6528" t="s">
        <v>20059</v>
      </c>
      <c r="X6528">
        <v>32</v>
      </c>
      <c r="Y6528" t="s">
        <v>26594</v>
      </c>
      <c r="Z6528" t="s">
        <v>33383</v>
      </c>
      <c r="AA6528">
        <v>0.69051458676948374</v>
      </c>
      <c r="AB6528" t="str">
        <f>HYPERLINK("Melting_Curves/meltCurve_Q9UPN6_SCAF8.pdf", "Melting_Curves/meltCurve_Q9UPN6_SCAF8.pdf")</f>
        <v>Melting_Curves/meltCurve_Q9UPN6_SCAF8.pdf</v>
      </c>
    </row>
    <row r="6529" spans="1:28" x14ac:dyDescent="0.25">
      <c r="A6529" t="s">
        <v>6533</v>
      </c>
      <c r="B6529">
        <v>0.995954080203443</v>
      </c>
      <c r="C6529">
        <v>0.86283540511833601</v>
      </c>
      <c r="D6529">
        <v>0.784363706933074</v>
      </c>
      <c r="E6529">
        <v>0.82997449840417803</v>
      </c>
      <c r="F6529">
        <v>0.65099482182870605</v>
      </c>
      <c r="G6529">
        <v>0.36427731508202599</v>
      </c>
      <c r="H6529">
        <v>0.22275864101156301</v>
      </c>
      <c r="I6529">
        <v>0.21618075727814401</v>
      </c>
      <c r="J6529">
        <v>0.25623272654753099</v>
      </c>
      <c r="K6529">
        <v>0.240151154790952</v>
      </c>
      <c r="L6529">
        <v>643.64109578453804</v>
      </c>
      <c r="M6529">
        <v>12.0783427649536</v>
      </c>
      <c r="N6529">
        <v>54.8807549226578</v>
      </c>
      <c r="O6529">
        <v>51.8911934781692</v>
      </c>
      <c r="P6529">
        <v>-4.9602998590032199E-2</v>
      </c>
      <c r="Q6529">
        <v>0.147779150002608</v>
      </c>
      <c r="R6529">
        <v>0.94667997562890105</v>
      </c>
      <c r="S6529" t="s">
        <v>13335</v>
      </c>
      <c r="T6529" t="s">
        <v>13610</v>
      </c>
      <c r="U6529" t="s">
        <v>13610</v>
      </c>
      <c r="V6529" t="s">
        <v>13610</v>
      </c>
      <c r="W6529" t="s">
        <v>20060</v>
      </c>
      <c r="X6529">
        <v>15</v>
      </c>
      <c r="Y6529" t="s">
        <v>26595</v>
      </c>
      <c r="Z6529" t="s">
        <v>33384</v>
      </c>
      <c r="AA6529">
        <v>0.54882341049093031</v>
      </c>
      <c r="AB6529" t="str">
        <f>HYPERLINK("Melting_Curves/meltCurve_Q9UPN7_PPP6R1.pdf", "Melting_Curves/meltCurve_Q9UPN7_PPP6R1.pdf")</f>
        <v>Melting_Curves/meltCurve_Q9UPN7_PPP6R1.pdf</v>
      </c>
    </row>
    <row r="6530" spans="1:28" x14ac:dyDescent="0.25">
      <c r="A6530" t="s">
        <v>6534</v>
      </c>
      <c r="B6530">
        <v>0.995954080203443</v>
      </c>
      <c r="C6530">
        <v>0.88368389182669205</v>
      </c>
      <c r="D6530">
        <v>0.71712445688456605</v>
      </c>
      <c r="E6530">
        <v>0.542263127582997</v>
      </c>
      <c r="F6530">
        <v>0.33954545864316299</v>
      </c>
      <c r="G6530">
        <v>0.193921439412341</v>
      </c>
      <c r="H6530">
        <v>0.12885446475019699</v>
      </c>
      <c r="I6530">
        <v>0.127861855201473</v>
      </c>
      <c r="J6530">
        <v>0.16644347835283699</v>
      </c>
      <c r="K6530">
        <v>0.14285764773163101</v>
      </c>
      <c r="L6530">
        <v>695.44291214195403</v>
      </c>
      <c r="M6530">
        <v>14.1775742833845</v>
      </c>
      <c r="N6530">
        <v>49.939243543035303</v>
      </c>
      <c r="O6530">
        <v>48.107369230331102</v>
      </c>
      <c r="P6530">
        <v>-6.5484940180159407E-2</v>
      </c>
      <c r="Q6530">
        <v>0.11129769192872099</v>
      </c>
      <c r="R6530">
        <v>0.99212118575083397</v>
      </c>
      <c r="S6530" t="s">
        <v>13336</v>
      </c>
      <c r="T6530" t="s">
        <v>13610</v>
      </c>
      <c r="U6530" t="s">
        <v>13610</v>
      </c>
      <c r="V6530" t="s">
        <v>13610</v>
      </c>
      <c r="W6530" t="s">
        <v>20061</v>
      </c>
      <c r="X6530">
        <v>24</v>
      </c>
      <c r="Y6530" t="s">
        <v>26596</v>
      </c>
      <c r="Z6530" t="s">
        <v>33385</v>
      </c>
      <c r="AA6530">
        <v>0.40376018017822529</v>
      </c>
      <c r="AB6530" t="str">
        <f>HYPERLINK("Melting_Curves/meltCurve_Q9UPN9_TRIM33.pdf", "Melting_Curves/meltCurve_Q9UPN9_TRIM33.pdf")</f>
        <v>Melting_Curves/meltCurve_Q9UPN9_TRIM33.pdf</v>
      </c>
    </row>
    <row r="6531" spans="1:28" x14ac:dyDescent="0.25">
      <c r="A6531" t="s">
        <v>6535</v>
      </c>
      <c r="B6531">
        <v>0.995954080203443</v>
      </c>
      <c r="C6531">
        <v>0.75161783791597203</v>
      </c>
      <c r="D6531">
        <v>0.85484546429458297</v>
      </c>
      <c r="E6531">
        <v>0.61848146835493301</v>
      </c>
      <c r="F6531">
        <v>0.625145042566567</v>
      </c>
      <c r="G6531">
        <v>0.49467604361144901</v>
      </c>
      <c r="H6531">
        <v>0.46702686382234998</v>
      </c>
      <c r="I6531">
        <v>0.58977821805810704</v>
      </c>
      <c r="J6531">
        <v>0.65406760776042805</v>
      </c>
      <c r="K6531">
        <v>0.70689112034761004</v>
      </c>
      <c r="L6531">
        <v>721.93392521487704</v>
      </c>
      <c r="M6531">
        <v>16.127411438407702</v>
      </c>
      <c r="O6531">
        <v>44.093090807466297</v>
      </c>
      <c r="P6531">
        <v>-3.8175385320602398E-2</v>
      </c>
      <c r="Q6531">
        <v>0.58253849191514295</v>
      </c>
      <c r="R6531">
        <v>0.68894729854491898</v>
      </c>
      <c r="S6531" t="s">
        <v>13337</v>
      </c>
      <c r="T6531" t="s">
        <v>13610</v>
      </c>
      <c r="U6531" t="s">
        <v>13610</v>
      </c>
      <c r="V6531" t="s">
        <v>13610</v>
      </c>
      <c r="W6531" t="s">
        <v>20062</v>
      </c>
      <c r="X6531">
        <v>4</v>
      </c>
      <c r="Y6531" t="s">
        <v>26597</v>
      </c>
      <c r="Z6531" t="s">
        <v>33386</v>
      </c>
      <c r="AA6531">
        <v>0.6606366952417777</v>
      </c>
      <c r="AB6531" t="str">
        <f>HYPERLINK("Melting_Curves/meltCurve_Q9UPP5_2_KIAA1107.pdf", "Melting_Curves/meltCurve_Q9UPP5_2_KIAA1107.pdf")</f>
        <v>Melting_Curves/meltCurve_Q9UPP5_2_KIAA1107.pdf</v>
      </c>
    </row>
    <row r="6532" spans="1:28" x14ac:dyDescent="0.25">
      <c r="A6532" t="s">
        <v>6536</v>
      </c>
      <c r="B6532">
        <v>0.995954080203443</v>
      </c>
      <c r="C6532">
        <v>1.01360304131715</v>
      </c>
      <c r="D6532">
        <v>1.03517180865301</v>
      </c>
      <c r="E6532">
        <v>0.94726961155079503</v>
      </c>
      <c r="F6532">
        <v>0.73303172917093196</v>
      </c>
      <c r="G6532">
        <v>0.27730676443902003</v>
      </c>
      <c r="H6532">
        <v>9.5711237056451196E-2</v>
      </c>
      <c r="I6532">
        <v>8.4615411360667706E-2</v>
      </c>
      <c r="J6532">
        <v>9.0052989352850693E-2</v>
      </c>
      <c r="K6532">
        <v>7.2117894479729105E-2</v>
      </c>
      <c r="L6532">
        <v>1684.1731924565599</v>
      </c>
      <c r="M6532">
        <v>30.8573922930109</v>
      </c>
      <c r="N6532">
        <v>54.866684117494202</v>
      </c>
      <c r="O6532">
        <v>54.351557268965202</v>
      </c>
      <c r="P6532">
        <v>-0.13134195009845701</v>
      </c>
      <c r="Q6532">
        <v>7.4633684461101898E-2</v>
      </c>
      <c r="R6532">
        <v>0.99884195117833496</v>
      </c>
      <c r="S6532" t="s">
        <v>13338</v>
      </c>
      <c r="T6532" t="s">
        <v>13610</v>
      </c>
      <c r="U6532" t="s">
        <v>13610</v>
      </c>
      <c r="V6532" t="s">
        <v>13610</v>
      </c>
      <c r="W6532" t="s">
        <v>20063</v>
      </c>
      <c r="X6532">
        <v>16</v>
      </c>
      <c r="Y6532" t="s">
        <v>26598</v>
      </c>
      <c r="Z6532" t="s">
        <v>33387</v>
      </c>
      <c r="AA6532">
        <v>0.53013320831405719</v>
      </c>
      <c r="AB6532" t="str">
        <f>HYPERLINK("Melting_Curves/meltCurve_Q9UPQ3_2_AGAP1.pdf", "Melting_Curves/meltCurve_Q9UPQ3_2_AGAP1.pdf")</f>
        <v>Melting_Curves/meltCurve_Q9UPQ3_2_AGAP1.pdf</v>
      </c>
    </row>
    <row r="6533" spans="1:28" x14ac:dyDescent="0.25">
      <c r="A6533" t="s">
        <v>6537</v>
      </c>
      <c r="B6533">
        <v>0.995954080203443</v>
      </c>
      <c r="C6533">
        <v>0.92307963069212395</v>
      </c>
      <c r="D6533">
        <v>0.85499626302196996</v>
      </c>
      <c r="E6533">
        <v>0.87532450595315903</v>
      </c>
      <c r="F6533">
        <v>0.767822007349512</v>
      </c>
      <c r="G6533">
        <v>0.62111360117686099</v>
      </c>
      <c r="H6533">
        <v>0.53028124924424203</v>
      </c>
      <c r="I6533">
        <v>0.60314759291799303</v>
      </c>
      <c r="J6533">
        <v>0.72532912266453697</v>
      </c>
      <c r="K6533">
        <v>0.93187850536886396</v>
      </c>
      <c r="L6533">
        <v>755.39528222585898</v>
      </c>
      <c r="M6533">
        <v>15.8136448103897</v>
      </c>
      <c r="O6533">
        <v>47.024242047966403</v>
      </c>
      <c r="P6533">
        <v>-2.6217434622624599E-2</v>
      </c>
      <c r="Q6533">
        <v>0.68817960969245096</v>
      </c>
      <c r="R6533">
        <v>0.49755982705817697</v>
      </c>
      <c r="S6533" t="s">
        <v>13339</v>
      </c>
      <c r="T6533" t="s">
        <v>13610</v>
      </c>
      <c r="U6533" t="s">
        <v>13610</v>
      </c>
      <c r="V6533" t="s">
        <v>13610</v>
      </c>
      <c r="W6533" t="s">
        <v>20064</v>
      </c>
      <c r="X6533">
        <v>23</v>
      </c>
      <c r="Y6533" t="s">
        <v>26599</v>
      </c>
      <c r="Z6533" t="s">
        <v>33388</v>
      </c>
      <c r="AA6533">
        <v>0.77622025382596838</v>
      </c>
      <c r="AB6533" t="str">
        <f>HYPERLINK("Melting_Curves/meltCurve_Q9UPQ9_1_TNRC6B.pdf", "Melting_Curves/meltCurve_Q9UPQ9_1_TNRC6B.pdf")</f>
        <v>Melting_Curves/meltCurve_Q9UPQ9_1_TNRC6B.pdf</v>
      </c>
    </row>
    <row r="6534" spans="1:28" x14ac:dyDescent="0.25">
      <c r="A6534" t="s">
        <v>6538</v>
      </c>
      <c r="B6534">
        <v>0.995954080203443</v>
      </c>
      <c r="C6534">
        <v>0.94818644670831098</v>
      </c>
      <c r="D6534">
        <v>0.82077273546940799</v>
      </c>
      <c r="E6534">
        <v>0.43842203732947299</v>
      </c>
      <c r="F6534">
        <v>0.205762310821161</v>
      </c>
      <c r="G6534">
        <v>0.13257048015529299</v>
      </c>
      <c r="H6534">
        <v>9.8121011266765798E-2</v>
      </c>
      <c r="I6534">
        <v>9.6169664271191502E-2</v>
      </c>
      <c r="J6534">
        <v>0.118958640484965</v>
      </c>
      <c r="K6534">
        <v>0.104634817304079</v>
      </c>
      <c r="L6534">
        <v>1129.9526834210001</v>
      </c>
      <c r="M6534">
        <v>23.1619843922801</v>
      </c>
      <c r="N6534">
        <v>49.2563295667345</v>
      </c>
      <c r="O6534">
        <v>48.425534334109699</v>
      </c>
      <c r="P6534">
        <v>-0.107687384899469</v>
      </c>
      <c r="Q6534">
        <v>9.9434383620190095E-2</v>
      </c>
      <c r="R6534">
        <v>0.99909018611681499</v>
      </c>
      <c r="S6534" t="s">
        <v>13340</v>
      </c>
      <c r="T6534" t="s">
        <v>13610</v>
      </c>
      <c r="U6534" t="s">
        <v>13610</v>
      </c>
      <c r="V6534" t="s">
        <v>13610</v>
      </c>
      <c r="W6534" t="s">
        <v>20065</v>
      </c>
      <c r="X6534">
        <v>15</v>
      </c>
      <c r="Y6534" t="s">
        <v>26600</v>
      </c>
      <c r="Z6534" t="s">
        <v>33389</v>
      </c>
      <c r="AA6534">
        <v>0.37248152300042409</v>
      </c>
      <c r="AB6534" t="str">
        <f>HYPERLINK("Melting_Curves/meltCurve_Q9UPR0_PLCL2.pdf", "Melting_Curves/meltCurve_Q9UPR0_PLCL2.pdf")</f>
        <v>Melting_Curves/meltCurve_Q9UPR0_PLCL2.pdf</v>
      </c>
    </row>
    <row r="6535" spans="1:28" x14ac:dyDescent="0.25">
      <c r="A6535" t="s">
        <v>6539</v>
      </c>
      <c r="B6535">
        <v>0.995954080203443</v>
      </c>
      <c r="C6535">
        <v>0.92333251261151505</v>
      </c>
      <c r="D6535">
        <v>0.76594505665499701</v>
      </c>
      <c r="E6535">
        <v>0.57819773242652495</v>
      </c>
      <c r="F6535">
        <v>0.28266137959725501</v>
      </c>
      <c r="G6535">
        <v>0.12159604001055099</v>
      </c>
      <c r="H6535">
        <v>7.2045828660102507E-2</v>
      </c>
      <c r="I6535">
        <v>5.7616777428614603E-2</v>
      </c>
      <c r="J6535">
        <v>8.7279519005187198E-2</v>
      </c>
      <c r="K6535">
        <v>5.8209348333621701E-2</v>
      </c>
      <c r="L6535">
        <v>813.41290569710304</v>
      </c>
      <c r="M6535">
        <v>16.291015018571098</v>
      </c>
      <c r="N6535">
        <v>50.180937435772002</v>
      </c>
      <c r="O6535">
        <v>49.196010923725503</v>
      </c>
      <c r="P6535">
        <v>-7.9555603395031205E-2</v>
      </c>
      <c r="Q6535">
        <v>3.9094633770733397E-2</v>
      </c>
      <c r="R6535">
        <v>0.99295331888831395</v>
      </c>
      <c r="S6535" t="s">
        <v>13341</v>
      </c>
      <c r="T6535" t="s">
        <v>13610</v>
      </c>
      <c r="U6535" t="s">
        <v>13610</v>
      </c>
      <c r="V6535" t="s">
        <v>13610</v>
      </c>
      <c r="W6535" t="s">
        <v>20066</v>
      </c>
      <c r="X6535">
        <v>16</v>
      </c>
      <c r="Y6535" t="s">
        <v>26601</v>
      </c>
      <c r="Z6535" t="s">
        <v>33390</v>
      </c>
      <c r="AA6535">
        <v>0.3769349064950604</v>
      </c>
      <c r="AB6535" t="str">
        <f>HYPERLINK("Melting_Curves/meltCurve_Q9UPR3_SMG5.pdf", "Melting_Curves/meltCurve_Q9UPR3_SMG5.pdf")</f>
        <v>Melting_Curves/meltCurve_Q9UPR3_SMG5.pdf</v>
      </c>
    </row>
    <row r="6536" spans="1:28" x14ac:dyDescent="0.25">
      <c r="A6536" t="s">
        <v>6540</v>
      </c>
      <c r="B6536">
        <v>0.995954080203443</v>
      </c>
      <c r="C6536">
        <v>0.83233945849059299</v>
      </c>
      <c r="D6536">
        <v>0.75716089457236702</v>
      </c>
      <c r="E6536">
        <v>0.66357530889878003</v>
      </c>
      <c r="F6536">
        <v>0.582051961886354</v>
      </c>
      <c r="G6536">
        <v>0.418589227264348</v>
      </c>
      <c r="H6536">
        <v>0.37723428517981999</v>
      </c>
      <c r="I6536">
        <v>0.41921817528277799</v>
      </c>
      <c r="J6536">
        <v>0.48856305169792802</v>
      </c>
      <c r="K6536">
        <v>0.49581776307789299</v>
      </c>
      <c r="L6536">
        <v>613.01648837214304</v>
      </c>
      <c r="M6536">
        <v>12.9348813783495</v>
      </c>
      <c r="N6536">
        <v>55.597328588772001</v>
      </c>
      <c r="O6536">
        <v>46.302642634190697</v>
      </c>
      <c r="P6536">
        <v>-4.01033278157472E-2</v>
      </c>
      <c r="Q6536">
        <v>0.42587627543934797</v>
      </c>
      <c r="R6536">
        <v>0.93247960873179703</v>
      </c>
      <c r="S6536" t="s">
        <v>13342</v>
      </c>
      <c r="T6536" t="s">
        <v>13610</v>
      </c>
      <c r="U6536" t="s">
        <v>13610</v>
      </c>
      <c r="V6536" t="s">
        <v>13610</v>
      </c>
      <c r="W6536" t="s">
        <v>20067</v>
      </c>
      <c r="X6536">
        <v>7</v>
      </c>
      <c r="Y6536" t="s">
        <v>26602</v>
      </c>
      <c r="Z6536" t="s">
        <v>33391</v>
      </c>
      <c r="AA6536">
        <v>0.58773641233239748</v>
      </c>
      <c r="AB6536" t="str">
        <f>HYPERLINK("Melting_Curves/meltCurve_Q9UPS6_SETD1B.pdf", "Melting_Curves/meltCurve_Q9UPS6_SETD1B.pdf")</f>
        <v>Melting_Curves/meltCurve_Q9UPS6_SETD1B.pdf</v>
      </c>
    </row>
    <row r="6537" spans="1:28" x14ac:dyDescent="0.25">
      <c r="A6537" t="s">
        <v>6541</v>
      </c>
      <c r="B6537">
        <v>0.995954080203443</v>
      </c>
      <c r="C6537">
        <v>0.72500087327013196</v>
      </c>
      <c r="D6537">
        <v>0.40589192237892902</v>
      </c>
      <c r="E6537">
        <v>0.25895740302039899</v>
      </c>
      <c r="F6537">
        <v>0.12667017633643499</v>
      </c>
      <c r="G6537">
        <v>7.6187351773061004E-2</v>
      </c>
      <c r="H6537">
        <v>5.4954770652355697E-2</v>
      </c>
      <c r="I6537">
        <v>4.2940633577784201E-2</v>
      </c>
      <c r="J6537">
        <v>4.8860535943319301E-2</v>
      </c>
      <c r="K6537">
        <v>4.5245797099136599E-2</v>
      </c>
      <c r="L6537">
        <v>819.45962269727602</v>
      </c>
      <c r="M6537">
        <v>18.127161843172502</v>
      </c>
      <c r="N6537">
        <v>45.491802119263099</v>
      </c>
      <c r="O6537">
        <v>44.666785375893603</v>
      </c>
      <c r="P6537">
        <v>-9.6005007824674096E-2</v>
      </c>
      <c r="Q6537">
        <v>5.3789152231685101E-2</v>
      </c>
      <c r="R6537">
        <v>0.98692272535829095</v>
      </c>
      <c r="S6537" t="s">
        <v>13343</v>
      </c>
      <c r="T6537" t="s">
        <v>13610</v>
      </c>
      <c r="U6537" t="s">
        <v>13610</v>
      </c>
      <c r="V6537" t="s">
        <v>13610</v>
      </c>
      <c r="W6537" t="s">
        <v>20068</v>
      </c>
      <c r="X6537">
        <v>20</v>
      </c>
      <c r="Y6537" t="s">
        <v>26603</v>
      </c>
      <c r="Z6537" t="s">
        <v>33392</v>
      </c>
      <c r="AA6537">
        <v>0.23763301861448671</v>
      </c>
      <c r="AB6537" t="str">
        <f>HYPERLINK("Melting_Curves/meltCurve_Q9UPT5_2_EXOC7.pdf", "Melting_Curves/meltCurve_Q9UPT5_2_EXOC7.pdf")</f>
        <v>Melting_Curves/meltCurve_Q9UPT5_2_EXOC7.pdf</v>
      </c>
    </row>
    <row r="6538" spans="1:28" x14ac:dyDescent="0.25">
      <c r="A6538" t="s">
        <v>6542</v>
      </c>
      <c r="B6538">
        <v>0.995954080203443</v>
      </c>
      <c r="C6538">
        <v>0.95079772314006705</v>
      </c>
      <c r="D6538">
        <v>1.1117750882030899</v>
      </c>
      <c r="E6538">
        <v>0.91896121600667702</v>
      </c>
      <c r="F6538">
        <v>1.1510942319333699</v>
      </c>
      <c r="G6538">
        <v>1.0680705333034599</v>
      </c>
      <c r="H6538">
        <v>1.0985849519684201</v>
      </c>
      <c r="I6538">
        <v>1.5050411014526901</v>
      </c>
      <c r="J6538">
        <v>1.56867585405064</v>
      </c>
      <c r="K6538">
        <v>1.8090681911786799</v>
      </c>
      <c r="L6538">
        <v>15000</v>
      </c>
      <c r="M6538">
        <v>244.497578324285</v>
      </c>
      <c r="O6538">
        <v>61.3461962514207</v>
      </c>
      <c r="P6538">
        <v>0.49819221431024702</v>
      </c>
      <c r="Q6538">
        <v>1.5</v>
      </c>
      <c r="R6538">
        <v>0.81742700506760801</v>
      </c>
      <c r="S6538" t="s">
        <v>13344</v>
      </c>
      <c r="T6538" t="s">
        <v>13610</v>
      </c>
      <c r="U6538" t="s">
        <v>13610</v>
      </c>
      <c r="V6538" t="s">
        <v>13610</v>
      </c>
      <c r="W6538" t="s">
        <v>20069</v>
      </c>
      <c r="X6538">
        <v>27</v>
      </c>
      <c r="Y6538" t="s">
        <v>26604</v>
      </c>
      <c r="Z6538" t="s">
        <v>33393</v>
      </c>
      <c r="AA6538">
        <v>1.144105366300916</v>
      </c>
      <c r="AB6538" t="str">
        <f>HYPERLINK("Melting_Curves/meltCurve_Q9UPT8_ZC3H4.pdf", "Melting_Curves/meltCurve_Q9UPT8_ZC3H4.pdf")</f>
        <v>Melting_Curves/meltCurve_Q9UPT8_ZC3H4.pdf</v>
      </c>
    </row>
    <row r="6539" spans="1:28" x14ac:dyDescent="0.25">
      <c r="A6539" t="s">
        <v>6543</v>
      </c>
      <c r="B6539">
        <v>0.995954080203443</v>
      </c>
      <c r="C6539">
        <v>0.83020863925933497</v>
      </c>
      <c r="D6539">
        <v>0.74427852868378397</v>
      </c>
      <c r="E6539">
        <v>0.53715781551474895</v>
      </c>
      <c r="F6539">
        <v>0.37980009839567902</v>
      </c>
      <c r="G6539">
        <v>0.237360631083428</v>
      </c>
      <c r="H6539">
        <v>0.16908412436630499</v>
      </c>
      <c r="I6539">
        <v>0.171049175108379</v>
      </c>
      <c r="J6539">
        <v>0.16287199183819301</v>
      </c>
      <c r="K6539">
        <v>0.154372340662107</v>
      </c>
      <c r="L6539">
        <v>615.78043262172503</v>
      </c>
      <c r="M6539">
        <v>12.518862829762799</v>
      </c>
      <c r="N6539">
        <v>50.306997999107701</v>
      </c>
      <c r="O6539">
        <v>47.983701059432597</v>
      </c>
      <c r="P6539">
        <v>-5.7311055830030502E-2</v>
      </c>
      <c r="Q6539">
        <v>0.121506792477964</v>
      </c>
      <c r="R6539">
        <v>0.99356139030393298</v>
      </c>
      <c r="S6539" t="s">
        <v>13345</v>
      </c>
      <c r="T6539" t="s">
        <v>13610</v>
      </c>
      <c r="U6539" t="s">
        <v>13610</v>
      </c>
      <c r="V6539" t="s">
        <v>13610</v>
      </c>
      <c r="W6539" t="s">
        <v>20070</v>
      </c>
      <c r="X6539">
        <v>8</v>
      </c>
      <c r="Y6539" t="s">
        <v>26605</v>
      </c>
      <c r="Z6539" t="s">
        <v>33394</v>
      </c>
      <c r="AA6539">
        <v>0.42028986175615202</v>
      </c>
      <c r="AB6539" t="str">
        <f>HYPERLINK("Melting_Curves/meltCurve_Q9UPT9_USP22.pdf", "Melting_Curves/meltCurve_Q9UPT9_USP22.pdf")</f>
        <v>Melting_Curves/meltCurve_Q9UPT9_USP22.pdf</v>
      </c>
    </row>
    <row r="6540" spans="1:28" x14ac:dyDescent="0.25">
      <c r="A6540" t="s">
        <v>6544</v>
      </c>
      <c r="B6540">
        <v>0.995954080203443</v>
      </c>
      <c r="C6540">
        <v>0.77481603382553399</v>
      </c>
      <c r="D6540">
        <v>0.51178328926184202</v>
      </c>
      <c r="E6540">
        <v>0.34436428638591499</v>
      </c>
      <c r="F6540">
        <v>0.15419595004735701</v>
      </c>
      <c r="G6540">
        <v>8.9854068223763003E-2</v>
      </c>
      <c r="H6540">
        <v>6.3215424282935098E-2</v>
      </c>
      <c r="I6540">
        <v>5.9646833678377399E-2</v>
      </c>
      <c r="J6540">
        <v>6.9334291449284297E-2</v>
      </c>
      <c r="K6540">
        <v>6.0189902792656701E-2</v>
      </c>
      <c r="L6540">
        <v>724.568115200438</v>
      </c>
      <c r="M6540">
        <v>15.6265052099083</v>
      </c>
      <c r="N6540">
        <v>46.697990375750798</v>
      </c>
      <c r="O6540">
        <v>45.6284531162284</v>
      </c>
      <c r="P6540">
        <v>-8.1148291627273397E-2</v>
      </c>
      <c r="Q6540">
        <v>5.2289078252637199E-2</v>
      </c>
      <c r="R6540">
        <v>0.98917391689259504</v>
      </c>
      <c r="S6540" t="s">
        <v>13346</v>
      </c>
      <c r="T6540" t="s">
        <v>13610</v>
      </c>
      <c r="U6540" t="s">
        <v>13610</v>
      </c>
      <c r="V6540" t="s">
        <v>13610</v>
      </c>
      <c r="W6540" t="s">
        <v>20071</v>
      </c>
      <c r="X6540">
        <v>66</v>
      </c>
      <c r="Y6540" t="s">
        <v>26606</v>
      </c>
      <c r="Z6540" t="s">
        <v>33395</v>
      </c>
      <c r="AA6540">
        <v>0.2781167629455702</v>
      </c>
      <c r="AB6540" t="str">
        <f>HYPERLINK("Melting_Curves/meltCurve_Q9UPU5_USP24.pdf", "Melting_Curves/meltCurve_Q9UPU5_USP24.pdf")</f>
        <v>Melting_Curves/meltCurve_Q9UPU5_USP24.pdf</v>
      </c>
    </row>
    <row r="6541" spans="1:28" x14ac:dyDescent="0.25">
      <c r="A6541" t="s">
        <v>6545</v>
      </c>
      <c r="B6541">
        <v>0.995954080203443</v>
      </c>
      <c r="C6541">
        <v>0.90461715421515199</v>
      </c>
      <c r="D6541">
        <v>0.73281707473788504</v>
      </c>
      <c r="E6541">
        <v>0.56812141585284304</v>
      </c>
      <c r="F6541">
        <v>0.35076327512798999</v>
      </c>
      <c r="G6541">
        <v>0.20668777466418001</v>
      </c>
      <c r="H6541">
        <v>0.145412028456507</v>
      </c>
      <c r="I6541">
        <v>0.15141011166191801</v>
      </c>
      <c r="J6541">
        <v>0.16711190776478299</v>
      </c>
      <c r="K6541">
        <v>0.16869088506792501</v>
      </c>
      <c r="L6541">
        <v>723.47520087232704</v>
      </c>
      <c r="M6541">
        <v>14.6906163134817</v>
      </c>
      <c r="N6541">
        <v>50.274527202201597</v>
      </c>
      <c r="O6541">
        <v>48.361891448970901</v>
      </c>
      <c r="P6541">
        <v>-6.6103571284808302E-2</v>
      </c>
      <c r="Q6541">
        <v>0.129636689040599</v>
      </c>
      <c r="R6541">
        <v>0.992194559106369</v>
      </c>
      <c r="S6541" t="s">
        <v>13347</v>
      </c>
      <c r="T6541" t="s">
        <v>13610</v>
      </c>
      <c r="U6541" t="s">
        <v>13610</v>
      </c>
      <c r="V6541" t="s">
        <v>13610</v>
      </c>
      <c r="W6541" t="s">
        <v>20072</v>
      </c>
      <c r="X6541">
        <v>15</v>
      </c>
      <c r="Y6541" t="s">
        <v>26607</v>
      </c>
      <c r="Z6541" t="s">
        <v>33396</v>
      </c>
      <c r="AA6541">
        <v>0.42004784684943591</v>
      </c>
      <c r="AB6541" t="str">
        <f>HYPERLINK("Melting_Curves/meltCurve_Q9UPU7_TBC1D2B.pdf", "Melting_Curves/meltCurve_Q9UPU7_TBC1D2B.pdf")</f>
        <v>Melting_Curves/meltCurve_Q9UPU7_TBC1D2B.pdf</v>
      </c>
    </row>
    <row r="6542" spans="1:28" x14ac:dyDescent="0.25">
      <c r="A6542" t="s">
        <v>6546</v>
      </c>
      <c r="B6542">
        <v>0.995954080203443</v>
      </c>
      <c r="C6542">
        <v>0.85013303963674303</v>
      </c>
      <c r="D6542">
        <v>0.89306700744145295</v>
      </c>
      <c r="E6542">
        <v>0.77700849929793103</v>
      </c>
      <c r="F6542">
        <v>0.71561970802889996</v>
      </c>
      <c r="G6542">
        <v>0.54073700185372198</v>
      </c>
      <c r="H6542">
        <v>0.57149977073670399</v>
      </c>
      <c r="I6542">
        <v>0.64255320328457499</v>
      </c>
      <c r="J6542">
        <v>0.76286616161532705</v>
      </c>
      <c r="K6542">
        <v>0.76684309285265195</v>
      </c>
      <c r="L6542">
        <v>744.85278528063304</v>
      </c>
      <c r="M6542">
        <v>16.0168455903063</v>
      </c>
      <c r="O6542">
        <v>45.7975147122431</v>
      </c>
      <c r="P6542">
        <v>-2.9676777681593301E-2</v>
      </c>
      <c r="Q6542">
        <v>0.66060308565420001</v>
      </c>
      <c r="R6542">
        <v>0.66928000987200598</v>
      </c>
      <c r="S6542" t="s">
        <v>13348</v>
      </c>
      <c r="T6542" t="s">
        <v>13610</v>
      </c>
      <c r="U6542" t="s">
        <v>13610</v>
      </c>
      <c r="V6542" t="s">
        <v>13610</v>
      </c>
      <c r="W6542" t="s">
        <v>20073</v>
      </c>
      <c r="X6542">
        <v>6</v>
      </c>
      <c r="Y6542" t="s">
        <v>26608</v>
      </c>
      <c r="Z6542" t="s">
        <v>33397</v>
      </c>
      <c r="AA6542">
        <v>0.74248724617424955</v>
      </c>
      <c r="AB6542" t="str">
        <f>HYPERLINK("Melting_Curves/meltCurve_Q9UPV0_2_CEP164.pdf", "Melting_Curves/meltCurve_Q9UPV0_2_CEP164.pdf")</f>
        <v>Melting_Curves/meltCurve_Q9UPV0_2_CEP164.pdf</v>
      </c>
    </row>
    <row r="6543" spans="1:28" x14ac:dyDescent="0.25">
      <c r="A6543" t="s">
        <v>6547</v>
      </c>
      <c r="B6543">
        <v>0.995954080203443</v>
      </c>
      <c r="C6543">
        <v>0.88928378574146105</v>
      </c>
      <c r="D6543">
        <v>0.76204558221931495</v>
      </c>
      <c r="E6543">
        <v>0.58470081619426995</v>
      </c>
      <c r="F6543">
        <v>0.369907704717583</v>
      </c>
      <c r="G6543">
        <v>0.28051953017512898</v>
      </c>
      <c r="H6543">
        <v>0.261488997501927</v>
      </c>
      <c r="I6543">
        <v>0.33072587618543903</v>
      </c>
      <c r="J6543">
        <v>0.28472484557923</v>
      </c>
      <c r="K6543">
        <v>0.39703957389774203</v>
      </c>
      <c r="L6543">
        <v>862.22674119028204</v>
      </c>
      <c r="M6543">
        <v>18.0023233544885</v>
      </c>
      <c r="N6543">
        <v>50.457023837231503</v>
      </c>
      <c r="O6543">
        <v>47.316035047802998</v>
      </c>
      <c r="P6543">
        <v>-6.66294209182971E-2</v>
      </c>
      <c r="Q6543">
        <v>0.29953828484387002</v>
      </c>
      <c r="R6543">
        <v>0.96692042408215695</v>
      </c>
      <c r="S6543" t="s">
        <v>13349</v>
      </c>
      <c r="T6543" t="s">
        <v>13610</v>
      </c>
      <c r="U6543" t="s">
        <v>13610</v>
      </c>
      <c r="V6543" t="s">
        <v>13610</v>
      </c>
      <c r="W6543" t="s">
        <v>20074</v>
      </c>
      <c r="X6543">
        <v>5</v>
      </c>
      <c r="Y6543" t="s">
        <v>26609</v>
      </c>
      <c r="Z6543" t="s">
        <v>33398</v>
      </c>
      <c r="AA6543">
        <v>0.49634872387694512</v>
      </c>
      <c r="AB6543" t="str">
        <f>HYPERLINK("Melting_Curves/meltCurve_Q9UPW5_AGTPBP1.pdf", "Melting_Curves/meltCurve_Q9UPW5_AGTPBP1.pdf")</f>
        <v>Melting_Curves/meltCurve_Q9UPW5_AGTPBP1.pdf</v>
      </c>
    </row>
    <row r="6544" spans="1:28" x14ac:dyDescent="0.25">
      <c r="A6544" t="s">
        <v>6548</v>
      </c>
      <c r="B6544">
        <v>0.995954080203443</v>
      </c>
      <c r="C6544">
        <v>0.87263475158901205</v>
      </c>
      <c r="D6544">
        <v>0.73394120121777295</v>
      </c>
      <c r="E6544">
        <v>0.62308311463099297</v>
      </c>
      <c r="F6544">
        <v>0.28031077830795298</v>
      </c>
      <c r="G6544">
        <v>0.195612607263907</v>
      </c>
      <c r="H6544">
        <v>0.13817525690003299</v>
      </c>
      <c r="I6544">
        <v>0.146587320805286</v>
      </c>
      <c r="J6544">
        <v>0.14932431493885301</v>
      </c>
      <c r="K6544">
        <v>0.16182890684448301</v>
      </c>
      <c r="L6544">
        <v>734.51525253034401</v>
      </c>
      <c r="M6544">
        <v>14.894576630538101</v>
      </c>
      <c r="N6544">
        <v>50.210191993686998</v>
      </c>
      <c r="O6544">
        <v>48.450948941884398</v>
      </c>
      <c r="P6544">
        <v>-6.7892730958740696E-2</v>
      </c>
      <c r="Q6544">
        <v>0.116691718847968</v>
      </c>
      <c r="R6544">
        <v>0.97755402506289002</v>
      </c>
      <c r="S6544" t="s">
        <v>13350</v>
      </c>
      <c r="T6544" t="s">
        <v>13610</v>
      </c>
      <c r="U6544" t="s">
        <v>13610</v>
      </c>
      <c r="V6544" t="s">
        <v>13610</v>
      </c>
      <c r="W6544" t="s">
        <v>20075</v>
      </c>
      <c r="X6544">
        <v>19</v>
      </c>
      <c r="Y6544" t="s">
        <v>26610</v>
      </c>
      <c r="Z6544" t="s">
        <v>33399</v>
      </c>
      <c r="AA6544">
        <v>0.41277376090641149</v>
      </c>
      <c r="AB6544" t="str">
        <f>HYPERLINK("Melting_Curves/meltCurve_Q9UPY3_DICER1.pdf", "Melting_Curves/meltCurve_Q9UPY3_DICER1.pdf")</f>
        <v>Melting_Curves/meltCurve_Q9UPY3_DICER1.pdf</v>
      </c>
    </row>
    <row r="6545" spans="1:28" x14ac:dyDescent="0.25">
      <c r="A6545" t="s">
        <v>6549</v>
      </c>
      <c r="B6545">
        <v>0.995954080203443</v>
      </c>
      <c r="C6545">
        <v>1.0049209713524501</v>
      </c>
      <c r="D6545">
        <v>1.0489937079238101</v>
      </c>
      <c r="E6545">
        <v>0.85494947438485303</v>
      </c>
      <c r="F6545">
        <v>0.72151566194407502</v>
      </c>
      <c r="G6545">
        <v>0.32518847162092501</v>
      </c>
      <c r="H6545">
        <v>0.27763151534793601</v>
      </c>
      <c r="I6545">
        <v>0.30276747374621998</v>
      </c>
      <c r="J6545">
        <v>0.441705817119946</v>
      </c>
      <c r="K6545">
        <v>0.35968819774289501</v>
      </c>
      <c r="L6545">
        <v>1883.68888437541</v>
      </c>
      <c r="M6545">
        <v>35.4979292440999</v>
      </c>
      <c r="N6545">
        <v>54.7593117093746</v>
      </c>
      <c r="O6545">
        <v>52.8971965780189</v>
      </c>
      <c r="P6545">
        <v>-0.111849073951268</v>
      </c>
      <c r="Q6545">
        <v>0.33331520195856601</v>
      </c>
      <c r="R6545">
        <v>0.96610525266846004</v>
      </c>
      <c r="S6545" t="s">
        <v>13351</v>
      </c>
      <c r="T6545" t="s">
        <v>13610</v>
      </c>
      <c r="U6545" t="s">
        <v>13610</v>
      </c>
      <c r="V6545" t="s">
        <v>13610</v>
      </c>
      <c r="W6545" t="s">
        <v>20076</v>
      </c>
      <c r="X6545">
        <v>13</v>
      </c>
      <c r="Y6545" t="s">
        <v>26611</v>
      </c>
      <c r="Z6545" t="s">
        <v>33400</v>
      </c>
      <c r="AA6545">
        <v>0.6267528687468692</v>
      </c>
      <c r="AB6545" t="str">
        <f>HYPERLINK("Melting_Curves/meltCurve_Q9UPY8_2_MAPRE3.pdf", "Melting_Curves/meltCurve_Q9UPY8_2_MAPRE3.pdf")</f>
        <v>Melting_Curves/meltCurve_Q9UPY8_2_MAPRE3.pdf</v>
      </c>
    </row>
    <row r="6546" spans="1:28" x14ac:dyDescent="0.25">
      <c r="A6546" t="s">
        <v>6550</v>
      </c>
      <c r="B6546">
        <v>0.995954080203443</v>
      </c>
      <c r="C6546">
        <v>0.74732392477831999</v>
      </c>
      <c r="D6546">
        <v>0.52670368747692597</v>
      </c>
      <c r="E6546">
        <v>0.33554032725428701</v>
      </c>
      <c r="F6546">
        <v>0.23210583665002299</v>
      </c>
      <c r="G6546">
        <v>0.146562682732261</v>
      </c>
      <c r="H6546">
        <v>0.124032967880293</v>
      </c>
      <c r="I6546">
        <v>0.144937439805637</v>
      </c>
      <c r="J6546">
        <v>0.208429945270277</v>
      </c>
      <c r="K6546">
        <v>0.168503259378495</v>
      </c>
      <c r="L6546">
        <v>798.41166844141799</v>
      </c>
      <c r="M6546">
        <v>17.549817971319399</v>
      </c>
      <c r="N6546">
        <v>46.485195953652998</v>
      </c>
      <c r="O6546">
        <v>44.915656166237603</v>
      </c>
      <c r="P6546">
        <v>-8.2440107918338904E-2</v>
      </c>
      <c r="Q6546">
        <v>0.15608253630553501</v>
      </c>
      <c r="R6546">
        <v>0.98422063944835803</v>
      </c>
      <c r="S6546" t="s">
        <v>13352</v>
      </c>
      <c r="T6546" t="s">
        <v>13610</v>
      </c>
      <c r="U6546" t="s">
        <v>13610</v>
      </c>
      <c r="V6546" t="s">
        <v>13610</v>
      </c>
      <c r="W6546" t="s">
        <v>20077</v>
      </c>
      <c r="X6546">
        <v>5</v>
      </c>
      <c r="Y6546" t="s">
        <v>26612</v>
      </c>
      <c r="Z6546" t="s">
        <v>33401</v>
      </c>
      <c r="AA6546">
        <v>0.32894414577810199</v>
      </c>
      <c r="AB6546" t="str">
        <f>HYPERLINK("Melting_Curves/meltCurve_Q9UPZ3_2_HPS5.pdf", "Melting_Curves/meltCurve_Q9UPZ3_2_HPS5.pdf")</f>
        <v>Melting_Curves/meltCurve_Q9UPZ3_2_HPS5.pdf</v>
      </c>
    </row>
    <row r="6547" spans="1:28" x14ac:dyDescent="0.25">
      <c r="A6547" t="s">
        <v>6551</v>
      </c>
      <c r="B6547">
        <v>0.995954080203443</v>
      </c>
      <c r="C6547">
        <v>0.98459622192719298</v>
      </c>
      <c r="D6547">
        <v>0.902109953114132</v>
      </c>
      <c r="E6547">
        <v>0.75090399051066703</v>
      </c>
      <c r="F6547">
        <v>0.35960818708521902</v>
      </c>
      <c r="G6547">
        <v>0.148846010869047</v>
      </c>
      <c r="H6547">
        <v>0.10958773017848</v>
      </c>
      <c r="I6547">
        <v>0.109807134143848</v>
      </c>
      <c r="J6547">
        <v>0.13027874709614101</v>
      </c>
      <c r="K6547">
        <v>0.123329848223473</v>
      </c>
      <c r="L6547">
        <v>1517.3149074758701</v>
      </c>
      <c r="M6547">
        <v>29.525852287212299</v>
      </c>
      <c r="N6547">
        <v>51.836196037539899</v>
      </c>
      <c r="O6547">
        <v>51.155360920110702</v>
      </c>
      <c r="P6547">
        <v>-0.128083914523591</v>
      </c>
      <c r="Q6547">
        <v>0.11235296027910301</v>
      </c>
      <c r="R6547">
        <v>0.99546160565851705</v>
      </c>
      <c r="S6547" t="s">
        <v>13353</v>
      </c>
      <c r="T6547" t="s">
        <v>13610</v>
      </c>
      <c r="U6547" t="s">
        <v>13610</v>
      </c>
      <c r="V6547" t="s">
        <v>13610</v>
      </c>
      <c r="W6547" t="s">
        <v>20078</v>
      </c>
      <c r="X6547">
        <v>7</v>
      </c>
      <c r="Y6547" t="s">
        <v>26613</v>
      </c>
      <c r="Z6547" t="s">
        <v>33402</v>
      </c>
      <c r="AA6547">
        <v>0.4551421449041953</v>
      </c>
      <c r="AB6547" t="str">
        <f>HYPERLINK("Melting_Curves/meltCurve_Q9UQ13_2_SHOC2.pdf", "Melting_Curves/meltCurve_Q9UQ13_2_SHOC2.pdf")</f>
        <v>Melting_Curves/meltCurve_Q9UQ13_2_SHOC2.pdf</v>
      </c>
    </row>
    <row r="6548" spans="1:28" x14ac:dyDescent="0.25">
      <c r="A6548" t="s">
        <v>6552</v>
      </c>
      <c r="B6548">
        <v>0.995954080203443</v>
      </c>
      <c r="C6548">
        <v>0.96908067740582904</v>
      </c>
      <c r="D6548">
        <v>0.98938410202897398</v>
      </c>
      <c r="E6548">
        <v>0.88356633389176198</v>
      </c>
      <c r="F6548">
        <v>0.91752374485126797</v>
      </c>
      <c r="G6548">
        <v>0.743007911068433</v>
      </c>
      <c r="H6548">
        <v>0.739312443962856</v>
      </c>
      <c r="I6548">
        <v>0.94349162024334599</v>
      </c>
      <c r="J6548">
        <v>1.0881447720633901</v>
      </c>
      <c r="K6548">
        <v>1.11085459668005</v>
      </c>
      <c r="L6548">
        <v>15000</v>
      </c>
      <c r="M6548">
        <v>225.23361148750701</v>
      </c>
      <c r="O6548">
        <v>66.592269817168997</v>
      </c>
      <c r="P6548">
        <v>9.3756742784135205E-2</v>
      </c>
      <c r="Q6548">
        <v>1.1108799749423699</v>
      </c>
      <c r="R6548">
        <v>-0.13074570159520099</v>
      </c>
      <c r="S6548" t="s">
        <v>13354</v>
      </c>
      <c r="T6548" t="s">
        <v>13610</v>
      </c>
      <c r="U6548" t="s">
        <v>13610</v>
      </c>
      <c r="V6548" t="s">
        <v>13610</v>
      </c>
      <c r="W6548" t="s">
        <v>20079</v>
      </c>
      <c r="X6548">
        <v>80</v>
      </c>
      <c r="Y6548" t="s">
        <v>26614</v>
      </c>
      <c r="Z6548" t="s">
        <v>33403</v>
      </c>
      <c r="AA6548">
        <v>1.0125596169005999</v>
      </c>
      <c r="AB6548" t="str">
        <f>HYPERLINK("Melting_Curves/meltCurve_Q9UQ35_SRRM2.pdf", "Melting_Curves/meltCurve_Q9UQ35_SRRM2.pdf")</f>
        <v>Melting_Curves/meltCurve_Q9UQ35_SRRM2.pdf</v>
      </c>
    </row>
    <row r="6549" spans="1:28" x14ac:dyDescent="0.25">
      <c r="A6549" t="s">
        <v>6553</v>
      </c>
      <c r="B6549">
        <v>0.995954080203443</v>
      </c>
      <c r="C6549">
        <v>0.94655371160322299</v>
      </c>
      <c r="D6549">
        <v>0.69096665141611302</v>
      </c>
      <c r="E6549">
        <v>0.35335961599639298</v>
      </c>
      <c r="F6549">
        <v>0.18356678531381099</v>
      </c>
      <c r="G6549">
        <v>9.6641072012221593E-2</v>
      </c>
      <c r="H6549">
        <v>5.9176401272506202E-2</v>
      </c>
      <c r="I6549">
        <v>4.7776110304507999E-2</v>
      </c>
      <c r="J6549">
        <v>5.2621817287159901E-2</v>
      </c>
      <c r="K6549">
        <v>4.8820259778038201E-2</v>
      </c>
      <c r="L6549">
        <v>939.04719861649403</v>
      </c>
      <c r="M6549">
        <v>19.563727960828601</v>
      </c>
      <c r="N6549">
        <v>48.249615408234497</v>
      </c>
      <c r="O6549">
        <v>47.506325415701703</v>
      </c>
      <c r="P6549">
        <v>-9.7990156542225607E-2</v>
      </c>
      <c r="Q6549">
        <v>4.8241328920540498E-2</v>
      </c>
      <c r="R6549">
        <v>0.99852714052383895</v>
      </c>
      <c r="S6549" t="s">
        <v>13355</v>
      </c>
      <c r="T6549" t="s">
        <v>13610</v>
      </c>
      <c r="U6549" t="s">
        <v>13610</v>
      </c>
      <c r="V6549" t="s">
        <v>13610</v>
      </c>
      <c r="W6549" t="s">
        <v>20080</v>
      </c>
      <c r="X6549">
        <v>28</v>
      </c>
      <c r="Y6549" t="s">
        <v>26615</v>
      </c>
      <c r="Z6549" t="s">
        <v>33404</v>
      </c>
      <c r="AA6549">
        <v>0.31619742491481773</v>
      </c>
      <c r="AB6549" t="str">
        <f>HYPERLINK("Melting_Curves/meltCurve_Q9UQ80_PA2G4.pdf", "Melting_Curves/meltCurve_Q9UQ80_PA2G4.pdf")</f>
        <v>Melting_Curves/meltCurve_Q9UQ80_PA2G4.pdf</v>
      </c>
    </row>
    <row r="6550" spans="1:28" x14ac:dyDescent="0.25">
      <c r="A6550" t="s">
        <v>6554</v>
      </c>
      <c r="B6550">
        <v>0.995954080203443</v>
      </c>
      <c r="C6550">
        <v>0.95251039527172199</v>
      </c>
      <c r="D6550">
        <v>0.86800357019929697</v>
      </c>
      <c r="E6550">
        <v>0.67443184041669402</v>
      </c>
      <c r="F6550">
        <v>0.59664357408742996</v>
      </c>
      <c r="G6550">
        <v>0.44718947941659998</v>
      </c>
      <c r="H6550">
        <v>0.441261144055133</v>
      </c>
      <c r="I6550">
        <v>0.423290624182867</v>
      </c>
      <c r="J6550">
        <v>0.47309048823115801</v>
      </c>
      <c r="K6550">
        <v>0.50894790068687501</v>
      </c>
      <c r="L6550">
        <v>894.71700720726699</v>
      </c>
      <c r="M6550">
        <v>18.251899918263302</v>
      </c>
      <c r="N6550">
        <v>56.152108433645303</v>
      </c>
      <c r="O6550">
        <v>48.443404552480203</v>
      </c>
      <c r="P6550">
        <v>-5.1735480827149197E-2</v>
      </c>
      <c r="Q6550">
        <v>0.45076940520002701</v>
      </c>
      <c r="R6550">
        <v>0.98106910671402403</v>
      </c>
      <c r="S6550" t="s">
        <v>13356</v>
      </c>
      <c r="T6550" t="s">
        <v>13610</v>
      </c>
      <c r="U6550" t="s">
        <v>13610</v>
      </c>
      <c r="V6550" t="s">
        <v>13610</v>
      </c>
      <c r="W6550" t="s">
        <v>20081</v>
      </c>
      <c r="X6550">
        <v>2</v>
      </c>
      <c r="Y6550" t="s">
        <v>26616</v>
      </c>
      <c r="Z6550" t="s">
        <v>33405</v>
      </c>
      <c r="AA6550">
        <v>0.62516304524809108</v>
      </c>
      <c r="AB6550" t="str">
        <f>HYPERLINK("Melting_Curves/meltCurve_Q9UQ84_4_EXO1.pdf", "Melting_Curves/meltCurve_Q9UQ84_4_EXO1.pdf")</f>
        <v>Melting_Curves/meltCurve_Q9UQ84_4_EXO1.pdf</v>
      </c>
    </row>
    <row r="6551" spans="1:28" x14ac:dyDescent="0.25">
      <c r="A6551" t="s">
        <v>6555</v>
      </c>
      <c r="B6551">
        <v>0.995954080203443</v>
      </c>
      <c r="C6551">
        <v>0.97262862387576599</v>
      </c>
      <c r="D6551">
        <v>0.94973531909255704</v>
      </c>
      <c r="E6551">
        <v>0.83861395588791998</v>
      </c>
      <c r="F6551">
        <v>0.67699850752189905</v>
      </c>
      <c r="G6551">
        <v>0.36491736946623599</v>
      </c>
      <c r="H6551">
        <v>0.18693591998988801</v>
      </c>
      <c r="I6551">
        <v>0.17189359705165699</v>
      </c>
      <c r="J6551">
        <v>0.18781217522259899</v>
      </c>
      <c r="K6551">
        <v>0.17754838893306199</v>
      </c>
      <c r="L6551">
        <v>1108.3928605236499</v>
      </c>
      <c r="M6551">
        <v>20.5521192174917</v>
      </c>
      <c r="N6551">
        <v>54.899687595802902</v>
      </c>
      <c r="O6551">
        <v>53.4280421076623</v>
      </c>
      <c r="P6551">
        <v>-8.1542462221280199E-2</v>
      </c>
      <c r="Q6551">
        <v>0.15210194092759599</v>
      </c>
      <c r="R6551">
        <v>0.99623413849110398</v>
      </c>
      <c r="S6551" t="s">
        <v>13357</v>
      </c>
      <c r="T6551" t="s">
        <v>13610</v>
      </c>
      <c r="U6551" t="s">
        <v>13610</v>
      </c>
      <c r="V6551" t="s">
        <v>13610</v>
      </c>
      <c r="W6551" t="s">
        <v>20082</v>
      </c>
      <c r="X6551">
        <v>18</v>
      </c>
      <c r="Y6551" t="s">
        <v>26617</v>
      </c>
      <c r="Z6551" t="s">
        <v>33406</v>
      </c>
      <c r="AA6551">
        <v>0.55686753562944669</v>
      </c>
      <c r="AB6551" t="str">
        <f>HYPERLINK("Melting_Curves/meltCurve_Q9UQB8_3_BAIAP2.pdf", "Melting_Curves/meltCurve_Q9UQB8_3_BAIAP2.pdf")</f>
        <v>Melting_Curves/meltCurve_Q9UQB8_3_BAIAP2.pdf</v>
      </c>
    </row>
    <row r="6552" spans="1:28" x14ac:dyDescent="0.25">
      <c r="A6552" t="s">
        <v>6556</v>
      </c>
      <c r="B6552">
        <v>0.995954080203443</v>
      </c>
      <c r="C6552">
        <v>1.0401785181400001</v>
      </c>
      <c r="D6552">
        <v>1.07161339736914</v>
      </c>
      <c r="E6552">
        <v>1.00361932491119</v>
      </c>
      <c r="F6552">
        <v>1.0203669901735299</v>
      </c>
      <c r="G6552">
        <v>0.78955953086548702</v>
      </c>
      <c r="H6552">
        <v>0.77326485528796096</v>
      </c>
      <c r="I6552">
        <v>0.95777114761839899</v>
      </c>
      <c r="J6552">
        <v>1.15329886954459</v>
      </c>
      <c r="K6552">
        <v>1.13469851026026</v>
      </c>
      <c r="L6552">
        <v>15000</v>
      </c>
      <c r="M6552">
        <v>228.40407460110501</v>
      </c>
      <c r="O6552">
        <v>65.668047533187007</v>
      </c>
      <c r="P6552">
        <v>0.12579344243972701</v>
      </c>
      <c r="Q6552">
        <v>1.14466659537715</v>
      </c>
      <c r="R6552">
        <v>0.28128185219059698</v>
      </c>
      <c r="S6552" t="s">
        <v>13358</v>
      </c>
      <c r="T6552" t="s">
        <v>13610</v>
      </c>
      <c r="U6552" t="s">
        <v>13610</v>
      </c>
      <c r="V6552" t="s">
        <v>13610</v>
      </c>
      <c r="W6552" t="s">
        <v>20083</v>
      </c>
      <c r="X6552">
        <v>16</v>
      </c>
      <c r="Y6552" t="s">
        <v>26618</v>
      </c>
      <c r="Z6552" t="s">
        <v>33407</v>
      </c>
      <c r="AA6552">
        <v>1.0208453643592721</v>
      </c>
      <c r="AB6552" t="str">
        <f>HYPERLINK("Melting_Curves/meltCurve_Q9UQC2_2_GAB2.pdf", "Melting_Curves/meltCurve_Q9UQC2_2_GAB2.pdf")</f>
        <v>Melting_Curves/meltCurve_Q9UQC2_2_GAB2.pdf</v>
      </c>
    </row>
    <row r="6553" spans="1:28" x14ac:dyDescent="0.25">
      <c r="A6553" t="s">
        <v>6557</v>
      </c>
      <c r="B6553">
        <v>0.995954080203443</v>
      </c>
      <c r="C6553">
        <v>0.72653162835040397</v>
      </c>
      <c r="D6553">
        <v>0.59449315298892302</v>
      </c>
      <c r="E6553">
        <v>0.664842811624344</v>
      </c>
      <c r="F6553">
        <v>0.22604789653530499</v>
      </c>
      <c r="G6553">
        <v>0.118343536184148</v>
      </c>
      <c r="H6553">
        <v>7.4417068006204304E-2</v>
      </c>
      <c r="I6553">
        <v>6.8624149347786406E-2</v>
      </c>
      <c r="J6553">
        <v>7.5669869335870804E-2</v>
      </c>
      <c r="K6553">
        <v>6.8404725120031803E-2</v>
      </c>
      <c r="L6553">
        <v>525.24085130660205</v>
      </c>
      <c r="M6553">
        <v>10.713544051248499</v>
      </c>
      <c r="N6553">
        <v>49.025891841866603</v>
      </c>
      <c r="O6553">
        <v>47.410393771371197</v>
      </c>
      <c r="P6553">
        <v>-5.6514743123866902E-2</v>
      </c>
      <c r="Q6553">
        <v>0</v>
      </c>
      <c r="R6553">
        <v>0.92565834168024697</v>
      </c>
      <c r="S6553" t="s">
        <v>13359</v>
      </c>
      <c r="T6553" t="s">
        <v>13610</v>
      </c>
      <c r="U6553" t="s">
        <v>13610</v>
      </c>
      <c r="V6553" t="s">
        <v>13610</v>
      </c>
      <c r="W6553" t="s">
        <v>20084</v>
      </c>
      <c r="X6553">
        <v>67</v>
      </c>
      <c r="Y6553" t="s">
        <v>26619</v>
      </c>
      <c r="Z6553" t="s">
        <v>33408</v>
      </c>
      <c r="AA6553">
        <v>0.34488884688148458</v>
      </c>
      <c r="AB6553" t="str">
        <f>HYPERLINK("Melting_Curves/meltCurve_Q9UQE7_SMC3.pdf", "Melting_Curves/meltCurve_Q9UQE7_SMC3.pdf")</f>
        <v>Melting_Curves/meltCurve_Q9UQE7_SMC3.pdf</v>
      </c>
    </row>
    <row r="6554" spans="1:28" x14ac:dyDescent="0.25">
      <c r="A6554" t="s">
        <v>6558</v>
      </c>
      <c r="B6554">
        <v>0.995954080203443</v>
      </c>
      <c r="C6554">
        <v>0.94136761323648199</v>
      </c>
      <c r="D6554">
        <v>0.84565027133404702</v>
      </c>
      <c r="E6554">
        <v>0.74231916500850104</v>
      </c>
      <c r="F6554">
        <v>0.61110060101155494</v>
      </c>
      <c r="G6554">
        <v>0.446573622365662</v>
      </c>
      <c r="H6554">
        <v>0.399702655197471</v>
      </c>
      <c r="I6554">
        <v>0.47702287587083197</v>
      </c>
      <c r="J6554">
        <v>0.55415044370736</v>
      </c>
      <c r="K6554">
        <v>0.54203617802287196</v>
      </c>
      <c r="L6554">
        <v>870.64198551479001</v>
      </c>
      <c r="M6554">
        <v>17.729463816357701</v>
      </c>
      <c r="N6554">
        <v>59.545400203402501</v>
      </c>
      <c r="O6554">
        <v>48.495106663283103</v>
      </c>
      <c r="P6554">
        <v>-4.7743950546877502E-2</v>
      </c>
      <c r="Q6554">
        <v>0.47765447483848</v>
      </c>
      <c r="R6554">
        <v>0.93330759388661699</v>
      </c>
      <c r="S6554" t="s">
        <v>13360</v>
      </c>
      <c r="T6554" t="s">
        <v>13610</v>
      </c>
      <c r="U6554" t="s">
        <v>13610</v>
      </c>
      <c r="V6554" t="s">
        <v>13610</v>
      </c>
      <c r="W6554" t="s">
        <v>20085</v>
      </c>
      <c r="X6554">
        <v>14</v>
      </c>
      <c r="Y6554" t="s">
        <v>26620</v>
      </c>
      <c r="Z6554" t="s">
        <v>33409</v>
      </c>
      <c r="AA6554">
        <v>0.64552683684078993</v>
      </c>
      <c r="AB6554" t="str">
        <f>HYPERLINK("Melting_Curves/meltCurve_Q9UQL6_HDAC5.pdf", "Melting_Curves/meltCurve_Q9UQL6_HDAC5.pdf")</f>
        <v>Melting_Curves/meltCurve_Q9UQL6_HDAC5.pdf</v>
      </c>
    </row>
    <row r="6555" spans="1:28" x14ac:dyDescent="0.25">
      <c r="A6555" t="s">
        <v>6559</v>
      </c>
      <c r="B6555">
        <v>0.995954080203443</v>
      </c>
      <c r="C6555">
        <v>0.810582617391441</v>
      </c>
      <c r="D6555">
        <v>0.639658122046317</v>
      </c>
      <c r="E6555">
        <v>0.56787515467093497</v>
      </c>
      <c r="F6555">
        <v>0.34787422935642298</v>
      </c>
      <c r="G6555">
        <v>0.193412913267486</v>
      </c>
      <c r="H6555">
        <v>0.136775018584469</v>
      </c>
      <c r="I6555">
        <v>0.120322362967466</v>
      </c>
      <c r="J6555">
        <v>0.138426693740339</v>
      </c>
      <c r="K6555">
        <v>0.110614142970743</v>
      </c>
      <c r="L6555">
        <v>546.47118398820396</v>
      </c>
      <c r="M6555">
        <v>11.1329130830298</v>
      </c>
      <c r="N6555">
        <v>49.714990822077901</v>
      </c>
      <c r="O6555">
        <v>47.582181902138203</v>
      </c>
      <c r="P6555">
        <v>-5.4668704200149201E-2</v>
      </c>
      <c r="Q6555">
        <v>6.5682609652588195E-2</v>
      </c>
      <c r="R6555">
        <v>0.980454252385216</v>
      </c>
      <c r="S6555" t="s">
        <v>13361</v>
      </c>
      <c r="T6555" t="s">
        <v>13610</v>
      </c>
      <c r="U6555" t="s">
        <v>13610</v>
      </c>
      <c r="V6555" t="s">
        <v>13610</v>
      </c>
      <c r="W6555" t="s">
        <v>20086</v>
      </c>
      <c r="X6555">
        <v>9</v>
      </c>
      <c r="Y6555" t="s">
        <v>26621</v>
      </c>
      <c r="Z6555" t="s">
        <v>33410</v>
      </c>
      <c r="AA6555">
        <v>0.38723069518593151</v>
      </c>
      <c r="AB6555" t="str">
        <f>HYPERLINK("Melting_Curves/meltCurve_Q9UQQ2_SH2B3.pdf", "Melting_Curves/meltCurve_Q9UQQ2_SH2B3.pdf")</f>
        <v>Melting_Curves/meltCurve_Q9UQQ2_SH2B3.pdf</v>
      </c>
    </row>
    <row r="6556" spans="1:28" x14ac:dyDescent="0.25">
      <c r="A6556" t="s">
        <v>6560</v>
      </c>
      <c r="B6556">
        <v>0.995954080203443</v>
      </c>
      <c r="C6556">
        <v>0.97838866372501399</v>
      </c>
      <c r="D6556">
        <v>0.91743636212832802</v>
      </c>
      <c r="E6556">
        <v>0.68138935800433498</v>
      </c>
      <c r="F6556">
        <v>0.36965240618224998</v>
      </c>
      <c r="G6556">
        <v>0.16782342664893399</v>
      </c>
      <c r="H6556">
        <v>0.13204712570580601</v>
      </c>
      <c r="I6556">
        <v>0.145763688577218</v>
      </c>
      <c r="J6556">
        <v>0.170065314211791</v>
      </c>
      <c r="K6556">
        <v>0.15429115819883599</v>
      </c>
      <c r="L6556">
        <v>1319.5981422760599</v>
      </c>
      <c r="M6556">
        <v>25.9273478795727</v>
      </c>
      <c r="N6556">
        <v>51.557653611325399</v>
      </c>
      <c r="O6556">
        <v>50.596113751491899</v>
      </c>
      <c r="P6556">
        <v>-0.109980596939981</v>
      </c>
      <c r="Q6556">
        <v>0.14152021069870399</v>
      </c>
      <c r="R6556">
        <v>0.99746587896267702</v>
      </c>
      <c r="S6556" t="s">
        <v>13362</v>
      </c>
      <c r="T6556" t="s">
        <v>13610</v>
      </c>
      <c r="U6556" t="s">
        <v>13610</v>
      </c>
      <c r="V6556" t="s">
        <v>13610</v>
      </c>
      <c r="W6556" t="s">
        <v>20087</v>
      </c>
      <c r="X6556">
        <v>13</v>
      </c>
      <c r="Y6556" t="s">
        <v>26622</v>
      </c>
      <c r="Z6556" t="s">
        <v>33411</v>
      </c>
      <c r="AA6556">
        <v>0.46052845674337661</v>
      </c>
      <c r="AB6556" t="str">
        <f>HYPERLINK("Melting_Curves/meltCurve_Q9UQR0_SCML2.pdf", "Melting_Curves/meltCurve_Q9UQR0_SCML2.pdf")</f>
        <v>Melting_Curves/meltCurve_Q9UQR0_SCML2.pdf</v>
      </c>
    </row>
    <row r="6557" spans="1:28" x14ac:dyDescent="0.25">
      <c r="A6557" t="s">
        <v>6561</v>
      </c>
      <c r="B6557">
        <v>0.995954080203443</v>
      </c>
      <c r="C6557">
        <v>1.0415400339076499</v>
      </c>
      <c r="D6557">
        <v>0.99563701723688502</v>
      </c>
      <c r="E6557">
        <v>0.90572089868894201</v>
      </c>
      <c r="F6557">
        <v>0.85537659989833503</v>
      </c>
      <c r="G6557">
        <v>0.62553469061934597</v>
      </c>
      <c r="H6557">
        <v>0.57565595989426699</v>
      </c>
      <c r="I6557">
        <v>0.73498586571784696</v>
      </c>
      <c r="J6557">
        <v>0.70371080281870901</v>
      </c>
      <c r="K6557">
        <v>0.87015960312362495</v>
      </c>
      <c r="L6557">
        <v>1856.56127452991</v>
      </c>
      <c r="M6557">
        <v>35.631963621081503</v>
      </c>
      <c r="O6557">
        <v>51.940544011360103</v>
      </c>
      <c r="P6557">
        <v>-5.0694439710530503E-2</v>
      </c>
      <c r="Q6557">
        <v>0.70441293615746903</v>
      </c>
      <c r="R6557">
        <v>0.75169400225544802</v>
      </c>
      <c r="S6557" t="s">
        <v>13363</v>
      </c>
      <c r="T6557" t="s">
        <v>13610</v>
      </c>
      <c r="U6557" t="s">
        <v>13610</v>
      </c>
      <c r="V6557" t="s">
        <v>13610</v>
      </c>
      <c r="W6557" t="s">
        <v>20088</v>
      </c>
      <c r="X6557">
        <v>5</v>
      </c>
      <c r="Y6557" t="s">
        <v>26623</v>
      </c>
      <c r="Z6557" t="s">
        <v>33412</v>
      </c>
      <c r="AA6557">
        <v>0.82501279595324895</v>
      </c>
      <c r="AB6557" t="str">
        <f>HYPERLINK("Melting_Curves/meltCurve_Q9UQR1_ZNF148.pdf", "Melting_Curves/meltCurve_Q9UQR1_ZNF148.pdf")</f>
        <v>Melting_Curves/meltCurve_Q9UQR1_ZNF148.pdf</v>
      </c>
    </row>
    <row r="6558" spans="1:28" x14ac:dyDescent="0.25">
      <c r="A6558" t="s">
        <v>6562</v>
      </c>
      <c r="B6558">
        <v>0.995954080203443</v>
      </c>
      <c r="C6558">
        <v>0.92919855321674205</v>
      </c>
      <c r="D6558">
        <v>0.88753883984114901</v>
      </c>
      <c r="E6558">
        <v>0.451475593130233</v>
      </c>
      <c r="F6558">
        <v>0.176605222247322</v>
      </c>
      <c r="G6558">
        <v>0.12399172674712999</v>
      </c>
      <c r="H6558">
        <v>8.3822758268318698E-2</v>
      </c>
      <c r="I6558">
        <v>8.8264523074995202E-2</v>
      </c>
      <c r="J6558">
        <v>9.2517598567227993E-2</v>
      </c>
      <c r="K6558">
        <v>8.9024240574225699E-2</v>
      </c>
      <c r="L6558">
        <v>1349.70986060256</v>
      </c>
      <c r="M6558">
        <v>27.445483771714201</v>
      </c>
      <c r="N6558">
        <v>49.523977079357699</v>
      </c>
      <c r="O6558">
        <v>48.918998557072896</v>
      </c>
      <c r="P6558">
        <v>-0.12802054037771801</v>
      </c>
      <c r="Q6558">
        <v>8.72702744830917E-2</v>
      </c>
      <c r="R6558">
        <v>0.99717468796823905</v>
      </c>
      <c r="S6558" t="s">
        <v>13364</v>
      </c>
      <c r="T6558" t="s">
        <v>13610</v>
      </c>
      <c r="U6558" t="s">
        <v>13610</v>
      </c>
      <c r="V6558" t="s">
        <v>13610</v>
      </c>
      <c r="W6558" t="s">
        <v>20089</v>
      </c>
      <c r="X6558">
        <v>15</v>
      </c>
      <c r="Y6558" t="s">
        <v>26624</v>
      </c>
      <c r="Z6558" t="s">
        <v>33413</v>
      </c>
      <c r="AA6558">
        <v>0.37318748834148407</v>
      </c>
      <c r="AB6558" t="str">
        <f>HYPERLINK("Melting_Curves/meltCurve_Q9Y217_MTMR6.pdf", "Melting_Curves/meltCurve_Q9Y217_MTMR6.pdf")</f>
        <v>Melting_Curves/meltCurve_Q9Y217_MTMR6.pdf</v>
      </c>
    </row>
    <row r="6559" spans="1:28" x14ac:dyDescent="0.25">
      <c r="A6559" t="s">
        <v>6563</v>
      </c>
      <c r="B6559">
        <v>0.995954080203443</v>
      </c>
      <c r="C6559">
        <v>0.61291979523472395</v>
      </c>
      <c r="D6559">
        <v>0.78005669149173795</v>
      </c>
      <c r="E6559">
        <v>0.56905052196239803</v>
      </c>
      <c r="F6559">
        <v>0.49205380824170403</v>
      </c>
      <c r="G6559">
        <v>0.40106453908162398</v>
      </c>
      <c r="H6559">
        <v>0.36945419402302598</v>
      </c>
      <c r="I6559">
        <v>0.42062475606161198</v>
      </c>
      <c r="J6559">
        <v>0.54473198106221199</v>
      </c>
      <c r="K6559">
        <v>0.36491876105832799</v>
      </c>
      <c r="L6559">
        <v>522.06345657670204</v>
      </c>
      <c r="M6559">
        <v>11.544665357020101</v>
      </c>
      <c r="N6559">
        <v>52.661900919175999</v>
      </c>
      <c r="O6559">
        <v>43.928200189765199</v>
      </c>
      <c r="P6559">
        <v>-3.9290888247553099E-2</v>
      </c>
      <c r="Q6559">
        <v>0.402149865235509</v>
      </c>
      <c r="R6559">
        <v>0.78065545992031504</v>
      </c>
      <c r="S6559" t="s">
        <v>13365</v>
      </c>
      <c r="T6559" t="s">
        <v>13610</v>
      </c>
      <c r="U6559" t="s">
        <v>13610</v>
      </c>
      <c r="V6559" t="s">
        <v>13610</v>
      </c>
      <c r="W6559" t="s">
        <v>20090</v>
      </c>
      <c r="X6559">
        <v>2</v>
      </c>
      <c r="Y6559" t="s">
        <v>26625</v>
      </c>
      <c r="Z6559" t="s">
        <v>33414</v>
      </c>
      <c r="AA6559">
        <v>0.53756288142020514</v>
      </c>
      <c r="AB6559" t="str">
        <f>HYPERLINK("Melting_Curves/meltCurve_Q9Y219_JAG2.pdf", "Melting_Curves/meltCurve_Q9Y219_JAG2.pdf")</f>
        <v>Melting_Curves/meltCurve_Q9Y219_JAG2.pdf</v>
      </c>
    </row>
    <row r="6560" spans="1:28" x14ac:dyDescent="0.25">
      <c r="A6560" t="s">
        <v>6564</v>
      </c>
      <c r="B6560">
        <v>0.995954080203443</v>
      </c>
      <c r="C6560">
        <v>0.81232615231993499</v>
      </c>
      <c r="D6560">
        <v>0.82523098028071995</v>
      </c>
      <c r="E6560">
        <v>0.77020133033355997</v>
      </c>
      <c r="F6560">
        <v>0.46799053419307302</v>
      </c>
      <c r="G6560">
        <v>0.14913966617160601</v>
      </c>
      <c r="H6560">
        <v>8.5750839611953705E-2</v>
      </c>
      <c r="I6560">
        <v>7.0492898294543999E-2</v>
      </c>
      <c r="J6560">
        <v>8.3624379387803094E-2</v>
      </c>
      <c r="K6560">
        <v>6.1669584237374099E-2</v>
      </c>
      <c r="L6560">
        <v>827.12557146881102</v>
      </c>
      <c r="M6560">
        <v>15.842680379374899</v>
      </c>
      <c r="N6560">
        <v>52.349116978468103</v>
      </c>
      <c r="O6560">
        <v>51.398091940817302</v>
      </c>
      <c r="P6560">
        <v>-7.5461571803224797E-2</v>
      </c>
      <c r="Q6560">
        <v>2.0805951279984601E-2</v>
      </c>
      <c r="R6560">
        <v>0.96421826590141402</v>
      </c>
      <c r="S6560" t="s">
        <v>13366</v>
      </c>
      <c r="T6560" t="s">
        <v>13610</v>
      </c>
      <c r="U6560" t="s">
        <v>13610</v>
      </c>
      <c r="V6560" t="s">
        <v>13610</v>
      </c>
      <c r="W6560" t="s">
        <v>20091</v>
      </c>
      <c r="X6560">
        <v>4</v>
      </c>
      <c r="Y6560" t="s">
        <v>26626</v>
      </c>
      <c r="Z6560" t="s">
        <v>33415</v>
      </c>
      <c r="AA6560">
        <v>0.43928192627024543</v>
      </c>
      <c r="AB6560" t="str">
        <f>HYPERLINK("Melting_Curves/meltCurve_Q9Y221_2_NIP7.pdf", "Melting_Curves/meltCurve_Q9Y221_2_NIP7.pdf")</f>
        <v>Melting_Curves/meltCurve_Q9Y221_2_NIP7.pdf</v>
      </c>
    </row>
    <row r="6561" spans="1:28" x14ac:dyDescent="0.25">
      <c r="A6561" t="s">
        <v>6565</v>
      </c>
      <c r="B6561">
        <v>0.995954080203443</v>
      </c>
      <c r="C6561">
        <v>0.93313641662424596</v>
      </c>
      <c r="D6561">
        <v>0.87383904914603505</v>
      </c>
      <c r="E6561">
        <v>0.841729175404624</v>
      </c>
      <c r="F6561">
        <v>0.720282494778265</v>
      </c>
      <c r="G6561">
        <v>0.50391662336249998</v>
      </c>
      <c r="H6561">
        <v>0.47492049309866902</v>
      </c>
      <c r="I6561">
        <v>0.44900083704654697</v>
      </c>
      <c r="J6561">
        <v>0.49234756747716502</v>
      </c>
      <c r="K6561">
        <v>0.53536860602778502</v>
      </c>
      <c r="L6561">
        <v>834.34739026907096</v>
      </c>
      <c r="M6561">
        <v>16.1407511699494</v>
      </c>
      <c r="N6561">
        <v>61.626069416459799</v>
      </c>
      <c r="O6561">
        <v>50.918069284419502</v>
      </c>
      <c r="P6561">
        <v>-4.2565067525130701E-2</v>
      </c>
      <c r="Q6561">
        <v>0.46293307945228601</v>
      </c>
      <c r="R6561">
        <v>0.95309936561132802</v>
      </c>
      <c r="S6561" t="s">
        <v>13367</v>
      </c>
      <c r="T6561" t="s">
        <v>13610</v>
      </c>
      <c r="U6561" t="s">
        <v>13610</v>
      </c>
      <c r="V6561" t="s">
        <v>13610</v>
      </c>
      <c r="W6561" t="s">
        <v>20092</v>
      </c>
      <c r="X6561">
        <v>2</v>
      </c>
      <c r="Y6561" t="s">
        <v>26627</v>
      </c>
      <c r="Z6561" t="s">
        <v>33416</v>
      </c>
      <c r="AA6561">
        <v>0.68303373490024721</v>
      </c>
      <c r="AB6561" t="str">
        <f>HYPERLINK("Melting_Curves/meltCurve_Q9Y222_5_DMTF1.pdf", "Melting_Curves/meltCurve_Q9Y222_5_DMTF1.pdf")</f>
        <v>Melting_Curves/meltCurve_Q9Y222_5_DMTF1.pdf</v>
      </c>
    </row>
    <row r="6562" spans="1:28" x14ac:dyDescent="0.25">
      <c r="A6562" t="s">
        <v>6566</v>
      </c>
      <c r="B6562">
        <v>0.995954080203443</v>
      </c>
      <c r="C6562">
        <v>0.89273349921918199</v>
      </c>
      <c r="D6562">
        <v>0.73917692482113295</v>
      </c>
      <c r="E6562">
        <v>0.766067325236648</v>
      </c>
      <c r="F6562">
        <v>0.23598102618445299</v>
      </c>
      <c r="G6562">
        <v>0.116318237195255</v>
      </c>
      <c r="H6562">
        <v>8.5029919214866301E-2</v>
      </c>
      <c r="I6562">
        <v>8.5268193628803099E-2</v>
      </c>
      <c r="J6562">
        <v>9.0633484352623903E-2</v>
      </c>
      <c r="K6562">
        <v>8.7058639168175897E-2</v>
      </c>
      <c r="L6562">
        <v>930.31740615168405</v>
      </c>
      <c r="M6562">
        <v>18.370578370719599</v>
      </c>
      <c r="N6562">
        <v>50.959314776026403</v>
      </c>
      <c r="O6562">
        <v>50.053061757828303</v>
      </c>
      <c r="P6562">
        <v>-8.6796173698432705E-2</v>
      </c>
      <c r="Q6562">
        <v>5.4092612448120803E-2</v>
      </c>
      <c r="R6562">
        <v>0.94638205347474302</v>
      </c>
      <c r="S6562" t="s">
        <v>13368</v>
      </c>
      <c r="T6562" t="s">
        <v>13610</v>
      </c>
      <c r="U6562" t="s">
        <v>13610</v>
      </c>
      <c r="V6562" t="s">
        <v>13610</v>
      </c>
      <c r="W6562" t="s">
        <v>20093</v>
      </c>
      <c r="X6562">
        <v>25</v>
      </c>
      <c r="Y6562" t="s">
        <v>26628</v>
      </c>
      <c r="Z6562" t="s">
        <v>33417</v>
      </c>
      <c r="AA6562">
        <v>0.40504240597737401</v>
      </c>
      <c r="AB6562" t="str">
        <f>HYPERLINK("Melting_Curves/meltCurve_Q9Y223_GNE.pdf", "Melting_Curves/meltCurve_Q9Y223_GNE.pdf")</f>
        <v>Melting_Curves/meltCurve_Q9Y223_GNE.pdf</v>
      </c>
    </row>
    <row r="6563" spans="1:28" x14ac:dyDescent="0.25">
      <c r="A6563" t="s">
        <v>6567</v>
      </c>
      <c r="B6563">
        <v>0.995954080203443</v>
      </c>
      <c r="C6563">
        <v>0.89674044355511995</v>
      </c>
      <c r="D6563">
        <v>0.82316465359231805</v>
      </c>
      <c r="E6563">
        <v>0.62096150997149402</v>
      </c>
      <c r="F6563">
        <v>0.34268505341175098</v>
      </c>
      <c r="G6563">
        <v>0.25242136135930299</v>
      </c>
      <c r="H6563">
        <v>0.127532815152891</v>
      </c>
      <c r="I6563">
        <v>8.09657665814809E-2</v>
      </c>
      <c r="J6563">
        <v>7.67799926691424E-2</v>
      </c>
      <c r="K6563">
        <v>6.8986225691591102E-2</v>
      </c>
      <c r="L6563">
        <v>699.48454835306995</v>
      </c>
      <c r="M6563">
        <v>13.7334606305736</v>
      </c>
      <c r="N6563">
        <v>51.247796232167502</v>
      </c>
      <c r="O6563">
        <v>49.889378819343001</v>
      </c>
      <c r="P6563">
        <v>-6.6044147806474995E-2</v>
      </c>
      <c r="Q6563">
        <v>4.04657947978804E-2</v>
      </c>
      <c r="R6563">
        <v>0.99427627774121496</v>
      </c>
      <c r="S6563" t="s">
        <v>13369</v>
      </c>
      <c r="T6563" t="s">
        <v>13610</v>
      </c>
      <c r="U6563" t="s">
        <v>13610</v>
      </c>
      <c r="V6563" t="s">
        <v>13610</v>
      </c>
      <c r="W6563" t="s">
        <v>20094</v>
      </c>
      <c r="X6563">
        <v>16</v>
      </c>
      <c r="Y6563" t="s">
        <v>26629</v>
      </c>
      <c r="Z6563" t="s">
        <v>33418</v>
      </c>
      <c r="AA6563">
        <v>0.4157788236656676</v>
      </c>
      <c r="AB6563" t="str">
        <f>HYPERLINK("Melting_Curves/meltCurve_Q9Y224_C14orf166.pdf", "Melting_Curves/meltCurve_Q9Y224_C14orf166.pdf")</f>
        <v>Melting_Curves/meltCurve_Q9Y224_C14orf166.pdf</v>
      </c>
    </row>
    <row r="6564" spans="1:28" x14ac:dyDescent="0.25">
      <c r="A6564" t="s">
        <v>6568</v>
      </c>
      <c r="B6564">
        <v>0.995954080203443</v>
      </c>
      <c r="C6564">
        <v>0.71346855055421199</v>
      </c>
      <c r="D6564">
        <v>0.55723730077296496</v>
      </c>
      <c r="E6564">
        <v>0.74626274809511395</v>
      </c>
      <c r="F6564">
        <v>0.50287177609054201</v>
      </c>
      <c r="G6564">
        <v>0.35573070515997302</v>
      </c>
      <c r="H6564">
        <v>9.6088831551100595E-2</v>
      </c>
      <c r="I6564">
        <v>5.9874100247196797E-2</v>
      </c>
      <c r="J6564">
        <v>5.6243542069447497E-2</v>
      </c>
      <c r="K6564">
        <v>5.4227394442229397E-2</v>
      </c>
      <c r="L6564">
        <v>451.68680546498001</v>
      </c>
      <c r="M6564">
        <v>8.8217308648133006</v>
      </c>
      <c r="N6564">
        <v>51.201598038717698</v>
      </c>
      <c r="O6564">
        <v>48.775221571070603</v>
      </c>
      <c r="P6564">
        <v>-4.5251670096980598E-2</v>
      </c>
      <c r="Q6564">
        <v>0</v>
      </c>
      <c r="R6564">
        <v>0.884103134863652</v>
      </c>
      <c r="S6564" t="s">
        <v>13370</v>
      </c>
      <c r="T6564" t="s">
        <v>13610</v>
      </c>
      <c r="U6564" t="s">
        <v>13610</v>
      </c>
      <c r="V6564" t="s">
        <v>13610</v>
      </c>
      <c r="W6564" t="s">
        <v>20095</v>
      </c>
      <c r="X6564">
        <v>33</v>
      </c>
      <c r="Y6564" t="s">
        <v>26630</v>
      </c>
      <c r="Z6564" t="s">
        <v>33419</v>
      </c>
      <c r="AA6564">
        <v>0.4205351900324254</v>
      </c>
      <c r="AB6564" t="str">
        <f>HYPERLINK("Melting_Curves/meltCurve_Q9Y230_RUVBL2.pdf", "Melting_Curves/meltCurve_Q9Y230_RUVBL2.pdf")</f>
        <v>Melting_Curves/meltCurve_Q9Y230_RUVBL2.pdf</v>
      </c>
    </row>
    <row r="6565" spans="1:28" x14ac:dyDescent="0.25">
      <c r="A6565" t="s">
        <v>6569</v>
      </c>
      <c r="B6565">
        <v>0.995954080203443</v>
      </c>
      <c r="C6565">
        <v>0.92487469136675304</v>
      </c>
      <c r="D6565">
        <v>0.87237874056245202</v>
      </c>
      <c r="E6565">
        <v>0.86883201061844495</v>
      </c>
      <c r="F6565">
        <v>0.70640373321511696</v>
      </c>
      <c r="G6565">
        <v>0.53421988454644997</v>
      </c>
      <c r="H6565">
        <v>0.44391539684293502</v>
      </c>
      <c r="I6565">
        <v>0.53812108190102803</v>
      </c>
      <c r="J6565">
        <v>0.56749259313670297</v>
      </c>
      <c r="K6565">
        <v>0.57536886678788801</v>
      </c>
      <c r="L6565">
        <v>969.78350939999802</v>
      </c>
      <c r="M6565">
        <v>18.915557569344099</v>
      </c>
      <c r="O6565">
        <v>50.706387667326901</v>
      </c>
      <c r="P6565">
        <v>-4.5001632658460598E-2</v>
      </c>
      <c r="Q6565">
        <v>0.51748127685760403</v>
      </c>
      <c r="R6565">
        <v>0.91467271648066295</v>
      </c>
      <c r="S6565" t="s">
        <v>13371</v>
      </c>
      <c r="T6565" t="s">
        <v>13610</v>
      </c>
      <c r="U6565" t="s">
        <v>13610</v>
      </c>
      <c r="V6565" t="s">
        <v>13610</v>
      </c>
      <c r="W6565" t="s">
        <v>20096</v>
      </c>
      <c r="X6565">
        <v>14</v>
      </c>
      <c r="Y6565" t="s">
        <v>26631</v>
      </c>
      <c r="Z6565" t="s">
        <v>33420</v>
      </c>
      <c r="AA6565">
        <v>0.70614643178558767</v>
      </c>
      <c r="AB6565" t="str">
        <f>HYPERLINK("Melting_Curves/meltCurve_Q9Y232_2_CDYL.pdf", "Melting_Curves/meltCurve_Q9Y232_2_CDYL.pdf")</f>
        <v>Melting_Curves/meltCurve_Q9Y232_2_CDYL.pdf</v>
      </c>
    </row>
    <row r="6566" spans="1:28" x14ac:dyDescent="0.25">
      <c r="A6566" t="s">
        <v>6570</v>
      </c>
      <c r="B6566">
        <v>0.995954080203443</v>
      </c>
      <c r="C6566">
        <v>0.83220697151870404</v>
      </c>
      <c r="D6566">
        <v>1.0766612727645899</v>
      </c>
      <c r="E6566">
        <v>0.83789162074516499</v>
      </c>
      <c r="F6566">
        <v>1.4861149875835999</v>
      </c>
      <c r="G6566">
        <v>1.44003982139787</v>
      </c>
      <c r="H6566">
        <v>1.9135833241301701</v>
      </c>
      <c r="I6566">
        <v>2.9149348901137202</v>
      </c>
      <c r="J6566">
        <v>2.8652619277554798</v>
      </c>
      <c r="K6566">
        <v>3.5655048483718801</v>
      </c>
      <c r="L6566">
        <v>13061.8776283592</v>
      </c>
      <c r="M6566">
        <v>250</v>
      </c>
      <c r="O6566">
        <v>52.244167509751598</v>
      </c>
      <c r="P6566">
        <v>0.59815290049576797</v>
      </c>
      <c r="Q6566">
        <v>1.5</v>
      </c>
      <c r="R6566">
        <v>4.5631685760133801E-2</v>
      </c>
      <c r="S6566" t="s">
        <v>13372</v>
      </c>
      <c r="T6566" t="s">
        <v>13610</v>
      </c>
      <c r="U6566" t="s">
        <v>13610</v>
      </c>
      <c r="V6566" t="s">
        <v>13610</v>
      </c>
      <c r="W6566" t="s">
        <v>20097</v>
      </c>
      <c r="X6566">
        <v>2</v>
      </c>
      <c r="Y6566" t="s">
        <v>26631</v>
      </c>
      <c r="Z6566" t="s">
        <v>33421</v>
      </c>
      <c r="AA6566">
        <v>1.295828977992153</v>
      </c>
      <c r="AB6566" t="str">
        <f>HYPERLINK("Melting_Curves/meltCurve_Q9Y232_3_CDYL.pdf", "Melting_Curves/meltCurve_Q9Y232_3_CDYL.pdf")</f>
        <v>Melting_Curves/meltCurve_Q9Y232_3_CDYL.pdf</v>
      </c>
    </row>
    <row r="6567" spans="1:28" x14ac:dyDescent="0.25">
      <c r="A6567" t="s">
        <v>6571</v>
      </c>
      <c r="B6567">
        <v>0.995954080203443</v>
      </c>
      <c r="C6567">
        <v>0.99718159396644501</v>
      </c>
      <c r="D6567">
        <v>1.26315241269664</v>
      </c>
      <c r="E6567">
        <v>0.97599627045947601</v>
      </c>
      <c r="F6567">
        <v>1.10668722232325</v>
      </c>
      <c r="G6567">
        <v>0.81272249564188603</v>
      </c>
      <c r="H6567">
        <v>0.55225417853787295</v>
      </c>
      <c r="I6567">
        <v>0.47961186244463999</v>
      </c>
      <c r="J6567">
        <v>0.61885297931694505</v>
      </c>
      <c r="K6567">
        <v>0.57690335734420695</v>
      </c>
      <c r="L6567">
        <v>14267.776618997401</v>
      </c>
      <c r="M6567">
        <v>250</v>
      </c>
      <c r="O6567">
        <v>57.067441151099203</v>
      </c>
      <c r="P6567">
        <v>-0.48527486280566301</v>
      </c>
      <c r="Q6567">
        <v>0.55690558322444905</v>
      </c>
      <c r="R6567">
        <v>0.85911246639514705</v>
      </c>
      <c r="S6567" t="s">
        <v>13373</v>
      </c>
      <c r="T6567" t="s">
        <v>13610</v>
      </c>
      <c r="U6567" t="s">
        <v>13610</v>
      </c>
      <c r="V6567" t="s">
        <v>13610</v>
      </c>
      <c r="W6567" t="s">
        <v>20098</v>
      </c>
      <c r="X6567">
        <v>6</v>
      </c>
      <c r="Y6567" t="s">
        <v>26632</v>
      </c>
      <c r="Z6567" t="s">
        <v>33422</v>
      </c>
      <c r="AA6567">
        <v>0.80908702866517501</v>
      </c>
      <c r="AB6567" t="str">
        <f>HYPERLINK("Melting_Curves/meltCurve_Q9Y237_PIN4.pdf", "Melting_Curves/meltCurve_Q9Y237_PIN4.pdf")</f>
        <v>Melting_Curves/meltCurve_Q9Y237_PIN4.pdf</v>
      </c>
    </row>
    <row r="6568" spans="1:28" x14ac:dyDescent="0.25">
      <c r="A6568" t="s">
        <v>6572</v>
      </c>
      <c r="B6568">
        <v>0.995954080203443</v>
      </c>
      <c r="C6568">
        <v>0.92276528913461098</v>
      </c>
      <c r="D6568">
        <v>0.77326571282284196</v>
      </c>
      <c r="E6568">
        <v>0.80871530090768895</v>
      </c>
      <c r="F6568">
        <v>0.47084232582558699</v>
      </c>
      <c r="G6568">
        <v>0.25260614177021701</v>
      </c>
      <c r="H6568">
        <v>0.14857779669104501</v>
      </c>
      <c r="I6568">
        <v>0.15022014964920199</v>
      </c>
      <c r="J6568">
        <v>0.13498738575803099</v>
      </c>
      <c r="K6568">
        <v>0.16258127971712899</v>
      </c>
      <c r="L6568">
        <v>797.46487688889295</v>
      </c>
      <c r="M6568">
        <v>15.315880428706899</v>
      </c>
      <c r="N6568">
        <v>52.845185980195197</v>
      </c>
      <c r="O6568">
        <v>51.204416731397401</v>
      </c>
      <c r="P6568">
        <v>-6.72423564858598E-2</v>
      </c>
      <c r="Q6568">
        <v>0.10085871424276199</v>
      </c>
      <c r="R6568">
        <v>0.96817208418702305</v>
      </c>
      <c r="S6568" t="s">
        <v>13374</v>
      </c>
      <c r="T6568" t="s">
        <v>13610</v>
      </c>
      <c r="U6568" t="s">
        <v>13610</v>
      </c>
      <c r="V6568" t="s">
        <v>13610</v>
      </c>
      <c r="W6568" t="s">
        <v>20099</v>
      </c>
      <c r="X6568">
        <v>8</v>
      </c>
      <c r="Y6568" t="s">
        <v>26633</v>
      </c>
      <c r="Z6568" t="s">
        <v>33423</v>
      </c>
      <c r="AA6568">
        <v>0.48197312201325371</v>
      </c>
      <c r="AB6568" t="str">
        <f>HYPERLINK("Melting_Curves/meltCurve_Q9Y244_POMP.pdf", "Melting_Curves/meltCurve_Q9Y244_POMP.pdf")</f>
        <v>Melting_Curves/meltCurve_Q9Y244_POMP.pdf</v>
      </c>
    </row>
    <row r="6569" spans="1:28" x14ac:dyDescent="0.25">
      <c r="A6569" t="s">
        <v>6573</v>
      </c>
      <c r="B6569">
        <v>0.995954080203443</v>
      </c>
      <c r="C6569">
        <v>0.99041875025529502</v>
      </c>
      <c r="D6569">
        <v>0.84937237910589403</v>
      </c>
      <c r="E6569">
        <v>0.64498039958333797</v>
      </c>
      <c r="F6569">
        <v>0.17799919792723201</v>
      </c>
      <c r="G6569">
        <v>8.9515566169258903E-2</v>
      </c>
      <c r="H6569">
        <v>7.0265759045669604E-2</v>
      </c>
      <c r="I6569">
        <v>5.5832100110484201E-2</v>
      </c>
      <c r="J6569">
        <v>6.5209592182492504E-2</v>
      </c>
      <c r="K6569">
        <v>6.4316323240174403E-2</v>
      </c>
      <c r="L6569">
        <v>1559.8792027530401</v>
      </c>
      <c r="M6569">
        <v>30.9196906663419</v>
      </c>
      <c r="N6569">
        <v>50.6484840284717</v>
      </c>
      <c r="O6569">
        <v>50.239760409404703</v>
      </c>
      <c r="P6569">
        <v>-0.14505680227857801</v>
      </c>
      <c r="Q6569">
        <v>5.7225125823432199E-2</v>
      </c>
      <c r="R6569">
        <v>0.98923421460838201</v>
      </c>
      <c r="S6569" t="s">
        <v>13375</v>
      </c>
      <c r="T6569" t="s">
        <v>13610</v>
      </c>
      <c r="U6569" t="s">
        <v>13610</v>
      </c>
      <c r="V6569" t="s">
        <v>13610</v>
      </c>
      <c r="W6569" t="s">
        <v>20100</v>
      </c>
      <c r="X6569">
        <v>5</v>
      </c>
      <c r="Y6569" t="s">
        <v>26634</v>
      </c>
      <c r="Z6569" t="s">
        <v>33424</v>
      </c>
      <c r="AA6569">
        <v>0.39113299303809468</v>
      </c>
      <c r="AB6569" t="str">
        <f>HYPERLINK("Melting_Curves/meltCurve_Q9Y248_GINS2.pdf", "Melting_Curves/meltCurve_Q9Y248_GINS2.pdf")</f>
        <v>Melting_Curves/meltCurve_Q9Y248_GINS2.pdf</v>
      </c>
    </row>
    <row r="6570" spans="1:28" x14ac:dyDescent="0.25">
      <c r="A6570" t="s">
        <v>6574</v>
      </c>
      <c r="B6570">
        <v>0.995954080203443</v>
      </c>
      <c r="C6570">
        <v>0.88803573399626101</v>
      </c>
      <c r="D6570">
        <v>0.885901016703176</v>
      </c>
      <c r="E6570">
        <v>0.75544630838917604</v>
      </c>
      <c r="F6570">
        <v>0.77013183991395295</v>
      </c>
      <c r="G6570">
        <v>0.61078270525005096</v>
      </c>
      <c r="H6570">
        <v>0.363923472493898</v>
      </c>
      <c r="I6570">
        <v>0.209892974676956</v>
      </c>
      <c r="J6570">
        <v>0.225210366281171</v>
      </c>
      <c r="K6570">
        <v>0.19904728871778299</v>
      </c>
      <c r="L6570">
        <v>533.106348004555</v>
      </c>
      <c r="M6570">
        <v>9.2004000134096593</v>
      </c>
      <c r="N6570">
        <v>57.943822792454597</v>
      </c>
      <c r="O6570">
        <v>55.403503492901898</v>
      </c>
      <c r="P6570">
        <v>-4.1543160792666699E-2</v>
      </c>
      <c r="Q6570">
        <v>0</v>
      </c>
      <c r="R6570">
        <v>0.968078481248272</v>
      </c>
      <c r="S6570" t="s">
        <v>13376</v>
      </c>
      <c r="T6570" t="s">
        <v>13610</v>
      </c>
      <c r="U6570" t="s">
        <v>13610</v>
      </c>
      <c r="V6570" t="s">
        <v>13610</v>
      </c>
      <c r="W6570" t="s">
        <v>20101</v>
      </c>
      <c r="X6570">
        <v>7</v>
      </c>
      <c r="Y6570" t="s">
        <v>26635</v>
      </c>
      <c r="Z6570" t="s">
        <v>33425</v>
      </c>
      <c r="AA6570">
        <v>0.60644519521286688</v>
      </c>
      <c r="AB6570" t="str">
        <f>HYPERLINK("Melting_Curves/meltCurve_Q9Y259_CHKB.pdf", "Melting_Curves/meltCurve_Q9Y259_CHKB.pdf")</f>
        <v>Melting_Curves/meltCurve_Q9Y259_CHKB.pdf</v>
      </c>
    </row>
    <row r="6571" spans="1:28" x14ac:dyDescent="0.25">
      <c r="A6571" t="s">
        <v>6575</v>
      </c>
      <c r="B6571">
        <v>0.995954080203443</v>
      </c>
      <c r="C6571">
        <v>0.72887725699633998</v>
      </c>
      <c r="D6571">
        <v>0.676307301233667</v>
      </c>
      <c r="E6571">
        <v>0.769578981868691</v>
      </c>
      <c r="F6571">
        <v>0.31280487166992299</v>
      </c>
      <c r="G6571">
        <v>9.8886969194030797E-2</v>
      </c>
      <c r="H6571">
        <v>6.1551444033009002E-2</v>
      </c>
      <c r="I6571">
        <v>5.1599467074232297E-2</v>
      </c>
      <c r="J6571">
        <v>5.3565629381896102E-2</v>
      </c>
      <c r="K6571">
        <v>5.3663215483493003E-2</v>
      </c>
      <c r="L6571">
        <v>603.36008571264995</v>
      </c>
      <c r="M6571">
        <v>11.9706537892315</v>
      </c>
      <c r="N6571">
        <v>50.403269122245902</v>
      </c>
      <c r="O6571">
        <v>49.0584438577688</v>
      </c>
      <c r="P6571">
        <v>-6.10168510393993E-2</v>
      </c>
      <c r="Q6571">
        <v>0</v>
      </c>
      <c r="R6571">
        <v>0.91163308803020304</v>
      </c>
      <c r="S6571" t="s">
        <v>13377</v>
      </c>
      <c r="T6571" t="s">
        <v>13610</v>
      </c>
      <c r="U6571" t="s">
        <v>13610</v>
      </c>
      <c r="V6571" t="s">
        <v>13610</v>
      </c>
      <c r="W6571" t="s">
        <v>20102</v>
      </c>
      <c r="X6571">
        <v>17</v>
      </c>
      <c r="Y6571" t="s">
        <v>26636</v>
      </c>
      <c r="Z6571" t="s">
        <v>33426</v>
      </c>
      <c r="AA6571">
        <v>0.38070317549932781</v>
      </c>
      <c r="AB6571" t="str">
        <f>HYPERLINK("Melting_Curves/meltCurve_Q9Y262_EIF3L.pdf", "Melting_Curves/meltCurve_Q9Y262_EIF3L.pdf")</f>
        <v>Melting_Curves/meltCurve_Q9Y262_EIF3L.pdf</v>
      </c>
    </row>
    <row r="6572" spans="1:28" x14ac:dyDescent="0.25">
      <c r="A6572" t="s">
        <v>6576</v>
      </c>
      <c r="B6572">
        <v>0.995954080203443</v>
      </c>
      <c r="C6572">
        <v>0.95458956719895804</v>
      </c>
      <c r="D6572">
        <v>0.94605555303487798</v>
      </c>
      <c r="E6572">
        <v>0.71358942274957105</v>
      </c>
      <c r="F6572">
        <v>0.344422104151407</v>
      </c>
      <c r="G6572">
        <v>0.15982743626908599</v>
      </c>
      <c r="H6572">
        <v>7.3191994025259499E-2</v>
      </c>
      <c r="I6572">
        <v>6.2213698789949402E-2</v>
      </c>
      <c r="J6572">
        <v>6.9896783880634403E-2</v>
      </c>
      <c r="K6572">
        <v>6.0494557270267403E-2</v>
      </c>
      <c r="L6572">
        <v>1304.7800110278799</v>
      </c>
      <c r="M6572">
        <v>25.358898866022699</v>
      </c>
      <c r="N6572">
        <v>51.7260871713112</v>
      </c>
      <c r="O6572">
        <v>51.135789764481501</v>
      </c>
      <c r="P6572">
        <v>-0.11620057772065499</v>
      </c>
      <c r="Q6572">
        <v>6.2745972363204394E-2</v>
      </c>
      <c r="R6572">
        <v>0.99800624610557598</v>
      </c>
      <c r="S6572" t="s">
        <v>13378</v>
      </c>
      <c r="T6572" t="s">
        <v>13610</v>
      </c>
      <c r="U6572" t="s">
        <v>13610</v>
      </c>
      <c r="V6572" t="s">
        <v>13610</v>
      </c>
      <c r="W6572" t="s">
        <v>20103</v>
      </c>
      <c r="X6572">
        <v>39</v>
      </c>
      <c r="Y6572" t="s">
        <v>26637</v>
      </c>
      <c r="Z6572" t="s">
        <v>33427</v>
      </c>
      <c r="AA6572">
        <v>0.4288194224714123</v>
      </c>
      <c r="AB6572" t="str">
        <f>HYPERLINK("Melting_Curves/meltCurve_Q9Y263_PLAA.pdf", "Melting_Curves/meltCurve_Q9Y263_PLAA.pdf")</f>
        <v>Melting_Curves/meltCurve_Q9Y263_PLAA.pdf</v>
      </c>
    </row>
    <row r="6573" spans="1:28" x14ac:dyDescent="0.25">
      <c r="A6573" t="s">
        <v>6577</v>
      </c>
      <c r="B6573">
        <v>0.995954080203443</v>
      </c>
      <c r="C6573">
        <v>0.745575175995429</v>
      </c>
      <c r="D6573">
        <v>0.55252376784986201</v>
      </c>
      <c r="E6573">
        <v>0.74796165856095898</v>
      </c>
      <c r="F6573">
        <v>0.46667159989680901</v>
      </c>
      <c r="G6573">
        <v>0.327999809552732</v>
      </c>
      <c r="H6573">
        <v>9.1171278811253406E-2</v>
      </c>
      <c r="I6573">
        <v>5.5420680337776702E-2</v>
      </c>
      <c r="J6573">
        <v>4.7984227553886698E-2</v>
      </c>
      <c r="K6573">
        <v>4.54076851699656E-2</v>
      </c>
      <c r="L6573">
        <v>471.09902958159199</v>
      </c>
      <c r="M6573">
        <v>9.2337680357542595</v>
      </c>
      <c r="N6573">
        <v>51.019137829650703</v>
      </c>
      <c r="O6573">
        <v>48.797410402862397</v>
      </c>
      <c r="P6573">
        <v>-4.7337823471375197E-2</v>
      </c>
      <c r="Q6573">
        <v>0</v>
      </c>
      <c r="R6573">
        <v>0.89743152983764796</v>
      </c>
      <c r="S6573" t="s">
        <v>13379</v>
      </c>
      <c r="T6573" t="s">
        <v>13610</v>
      </c>
      <c r="U6573" t="s">
        <v>13610</v>
      </c>
      <c r="V6573" t="s">
        <v>13610</v>
      </c>
      <c r="W6573" t="s">
        <v>20104</v>
      </c>
      <c r="X6573">
        <v>27</v>
      </c>
      <c r="Y6573" t="s">
        <v>26638</v>
      </c>
      <c r="Z6573" t="s">
        <v>33428</v>
      </c>
      <c r="AA6573">
        <v>0.4129618280654952</v>
      </c>
      <c r="AB6573" t="str">
        <f>HYPERLINK("Melting_Curves/meltCurve_Q9Y265_RUVBL1.pdf", "Melting_Curves/meltCurve_Q9Y265_RUVBL1.pdf")</f>
        <v>Melting_Curves/meltCurve_Q9Y265_RUVBL1.pdf</v>
      </c>
    </row>
    <row r="6574" spans="1:28" x14ac:dyDescent="0.25">
      <c r="A6574" t="s">
        <v>6578</v>
      </c>
      <c r="B6574">
        <v>0.995954080203443</v>
      </c>
      <c r="C6574">
        <v>1.0880746389799101</v>
      </c>
      <c r="D6574">
        <v>1.14664646534523</v>
      </c>
      <c r="E6574">
        <v>0.97535987900130505</v>
      </c>
      <c r="F6574">
        <v>0.64009126742904199</v>
      </c>
      <c r="G6574">
        <v>0.18235492795572</v>
      </c>
      <c r="H6574">
        <v>0.118796468036974</v>
      </c>
      <c r="I6574">
        <v>9.6452133080209806E-2</v>
      </c>
      <c r="J6574">
        <v>0.114545303481735</v>
      </c>
      <c r="K6574">
        <v>0.104023444886679</v>
      </c>
      <c r="L6574">
        <v>2318.64902061573</v>
      </c>
      <c r="M6574">
        <v>43.327986761708402</v>
      </c>
      <c r="N6574">
        <v>53.822087774512099</v>
      </c>
      <c r="O6574">
        <v>53.400280691560603</v>
      </c>
      <c r="P6574">
        <v>-0.18055980807505101</v>
      </c>
      <c r="Q6574">
        <v>0.109866071160183</v>
      </c>
      <c r="R6574">
        <v>0.98446765723865004</v>
      </c>
      <c r="S6574" t="s">
        <v>13380</v>
      </c>
      <c r="T6574" t="s">
        <v>13610</v>
      </c>
      <c r="U6574" t="s">
        <v>13610</v>
      </c>
      <c r="V6574" t="s">
        <v>13610</v>
      </c>
      <c r="W6574" t="s">
        <v>20105</v>
      </c>
      <c r="X6574">
        <v>31</v>
      </c>
      <c r="Y6574" t="s">
        <v>26639</v>
      </c>
      <c r="Z6574" t="s">
        <v>33429</v>
      </c>
      <c r="AA6574">
        <v>0.51363931425664255</v>
      </c>
      <c r="AB6574" t="str">
        <f>HYPERLINK("Melting_Curves/meltCurve_Q9Y266_NUDC.pdf", "Melting_Curves/meltCurve_Q9Y266_NUDC.pdf")</f>
        <v>Melting_Curves/meltCurve_Q9Y266_NUDC.pdf</v>
      </c>
    </row>
    <row r="6575" spans="1:28" x14ac:dyDescent="0.25">
      <c r="A6575" t="s">
        <v>6579</v>
      </c>
      <c r="B6575">
        <v>0.995954080203443</v>
      </c>
      <c r="C6575">
        <v>0.895195941616169</v>
      </c>
      <c r="D6575">
        <v>0.72865101466572002</v>
      </c>
      <c r="E6575">
        <v>0.82549626264650799</v>
      </c>
      <c r="F6575">
        <v>0.30096135562284398</v>
      </c>
      <c r="G6575">
        <v>0.156526026554002</v>
      </c>
      <c r="H6575">
        <v>0.109811594433788</v>
      </c>
      <c r="I6575">
        <v>0.111289832777321</v>
      </c>
      <c r="J6575">
        <v>0.12974796950760201</v>
      </c>
      <c r="K6575">
        <v>0.11671640789351</v>
      </c>
      <c r="L6575">
        <v>937.49224136529801</v>
      </c>
      <c r="M6575">
        <v>18.343993303401099</v>
      </c>
      <c r="N6575">
        <v>51.621432729459301</v>
      </c>
      <c r="O6575">
        <v>50.510492428121701</v>
      </c>
      <c r="P6575">
        <v>-8.3201941885785599E-2</v>
      </c>
      <c r="Q6575">
        <v>8.3650207105043506E-2</v>
      </c>
      <c r="R6575">
        <v>0.93363243130182405</v>
      </c>
      <c r="S6575" t="s">
        <v>13381</v>
      </c>
      <c r="T6575" t="s">
        <v>13610</v>
      </c>
      <c r="U6575" t="s">
        <v>13610</v>
      </c>
      <c r="V6575" t="s">
        <v>13610</v>
      </c>
      <c r="W6575" t="s">
        <v>20106</v>
      </c>
      <c r="X6575">
        <v>5</v>
      </c>
      <c r="Y6575" t="s">
        <v>26640</v>
      </c>
      <c r="Z6575" t="s">
        <v>33430</v>
      </c>
      <c r="AA6575">
        <v>0.43779382076132323</v>
      </c>
      <c r="AB6575" t="str">
        <f>HYPERLINK("Melting_Curves/meltCurve_Q9Y277_VDAC3.pdf", "Melting_Curves/meltCurve_Q9Y277_VDAC3.pdf")</f>
        <v>Melting_Curves/meltCurve_Q9Y277_VDAC3.pdf</v>
      </c>
    </row>
    <row r="6576" spans="1:28" x14ac:dyDescent="0.25">
      <c r="A6576" t="s">
        <v>6580</v>
      </c>
      <c r="B6576">
        <v>0.995954080203443</v>
      </c>
      <c r="C6576">
        <v>0.81297871952699496</v>
      </c>
      <c r="D6576">
        <v>0.83333140171915798</v>
      </c>
      <c r="E6576">
        <v>0.68742479594499295</v>
      </c>
      <c r="F6576">
        <v>0.70302235275714198</v>
      </c>
      <c r="G6576">
        <v>0.24431137540234901</v>
      </c>
      <c r="H6576">
        <v>7.0942080080739003E-2</v>
      </c>
      <c r="I6576">
        <v>5.46908280127213E-2</v>
      </c>
      <c r="J6576">
        <v>6.0420472061444103E-2</v>
      </c>
      <c r="K6576">
        <v>5.0553894054064602E-2</v>
      </c>
      <c r="L6576">
        <v>748.46919890592198</v>
      </c>
      <c r="M6576">
        <v>13.991215650434199</v>
      </c>
      <c r="N6576">
        <v>53.495653862237802</v>
      </c>
      <c r="O6576">
        <v>52.438358124025498</v>
      </c>
      <c r="P6576">
        <v>-6.6712003236660405E-2</v>
      </c>
      <c r="Q6576">
        <v>0</v>
      </c>
      <c r="R6576">
        <v>0.94711330442739905</v>
      </c>
      <c r="S6576" t="s">
        <v>13382</v>
      </c>
      <c r="T6576" t="s">
        <v>13610</v>
      </c>
      <c r="U6576" t="s">
        <v>13610</v>
      </c>
      <c r="V6576" t="s">
        <v>13610</v>
      </c>
      <c r="W6576" t="s">
        <v>20107</v>
      </c>
      <c r="X6576">
        <v>7</v>
      </c>
      <c r="Y6576" t="s">
        <v>26641</v>
      </c>
      <c r="Z6576" t="s">
        <v>33431</v>
      </c>
      <c r="AA6576">
        <v>0.47285328019369388</v>
      </c>
      <c r="AB6576" t="str">
        <f>HYPERLINK("Melting_Curves/meltCurve_Q9Y281_3_CFL2.pdf", "Melting_Curves/meltCurve_Q9Y281_3_CFL2.pdf")</f>
        <v>Melting_Curves/meltCurve_Q9Y281_3_CFL2.pdf</v>
      </c>
    </row>
    <row r="6577" spans="1:28" x14ac:dyDescent="0.25">
      <c r="A6577" t="s">
        <v>6581</v>
      </c>
      <c r="B6577">
        <v>0.995954080203443</v>
      </c>
      <c r="C6577">
        <v>0.77026685899065805</v>
      </c>
      <c r="D6577">
        <v>0.47474238321499501</v>
      </c>
      <c r="E6577">
        <v>0.29065213409002599</v>
      </c>
      <c r="F6577">
        <v>0.13869691130013301</v>
      </c>
      <c r="G6577">
        <v>8.4182032376122706E-2</v>
      </c>
      <c r="H6577">
        <v>5.8463260170267102E-2</v>
      </c>
      <c r="I6577">
        <v>5.0841557218286898E-2</v>
      </c>
      <c r="J6577">
        <v>5.6976372619687202E-2</v>
      </c>
      <c r="K6577">
        <v>4.9594880427797298E-2</v>
      </c>
      <c r="L6577">
        <v>781.85532276767196</v>
      </c>
      <c r="M6577">
        <v>17.0315516144653</v>
      </c>
      <c r="N6577">
        <v>46.202895227962301</v>
      </c>
      <c r="O6577">
        <v>45.287433472468798</v>
      </c>
      <c r="P6577">
        <v>-8.9155799108451797E-2</v>
      </c>
      <c r="Q6577">
        <v>5.1785834882846798E-2</v>
      </c>
      <c r="R6577">
        <v>0.99134083954781305</v>
      </c>
      <c r="S6577" t="s">
        <v>13383</v>
      </c>
      <c r="T6577" t="s">
        <v>13610</v>
      </c>
      <c r="U6577" t="s">
        <v>13610</v>
      </c>
      <c r="V6577" t="s">
        <v>13610</v>
      </c>
      <c r="W6577" t="s">
        <v>20108</v>
      </c>
      <c r="X6577">
        <v>15</v>
      </c>
      <c r="Y6577" t="s">
        <v>26642</v>
      </c>
      <c r="Z6577" t="s">
        <v>33432</v>
      </c>
      <c r="AA6577">
        <v>0.25967965851073688</v>
      </c>
      <c r="AB6577" t="str">
        <f>HYPERLINK("Melting_Curves/meltCurve_Q9Y285_FARSA.pdf", "Melting_Curves/meltCurve_Q9Y285_FARSA.pdf")</f>
        <v>Melting_Curves/meltCurve_Q9Y285_FARSA.pdf</v>
      </c>
    </row>
    <row r="6578" spans="1:28" x14ac:dyDescent="0.25">
      <c r="A6578" t="s">
        <v>6582</v>
      </c>
      <c r="B6578">
        <v>0.995954080203443</v>
      </c>
      <c r="C6578">
        <v>0.75581090205534496</v>
      </c>
      <c r="D6578">
        <v>0.69559944046642697</v>
      </c>
      <c r="E6578">
        <v>0.77839018312502595</v>
      </c>
      <c r="F6578">
        <v>0.38774650679883998</v>
      </c>
      <c r="G6578">
        <v>0.23462023885546501</v>
      </c>
      <c r="H6578">
        <v>0.160818313922647</v>
      </c>
      <c r="I6578">
        <v>0.16363921183961799</v>
      </c>
      <c r="J6578">
        <v>0.16049439862472001</v>
      </c>
      <c r="K6578">
        <v>0.147165883696947</v>
      </c>
      <c r="L6578">
        <v>495.88410150579398</v>
      </c>
      <c r="M6578">
        <v>9.7045268945479606</v>
      </c>
      <c r="N6578">
        <v>51.617117863566499</v>
      </c>
      <c r="O6578">
        <v>49.070050220941702</v>
      </c>
      <c r="P6578">
        <v>-4.7170120766534297E-2</v>
      </c>
      <c r="Q6578">
        <v>4.6474636623629099E-2</v>
      </c>
      <c r="R6578">
        <v>0.92224952231957902</v>
      </c>
      <c r="S6578" t="s">
        <v>13384</v>
      </c>
      <c r="T6578" t="s">
        <v>13610</v>
      </c>
      <c r="U6578" t="s">
        <v>13610</v>
      </c>
      <c r="V6578" t="s">
        <v>13610</v>
      </c>
      <c r="W6578" t="s">
        <v>20109</v>
      </c>
      <c r="X6578">
        <v>1</v>
      </c>
      <c r="Y6578" t="s">
        <v>26643</v>
      </c>
      <c r="Z6578" t="s">
        <v>33433</v>
      </c>
      <c r="AA6578">
        <v>0.4399922011997528</v>
      </c>
      <c r="AB6578" t="str">
        <f>HYPERLINK("Melting_Curves/meltCurve_Q9Y289_SLC5A6.pdf", "Melting_Curves/meltCurve_Q9Y289_SLC5A6.pdf")</f>
        <v>Melting_Curves/meltCurve_Q9Y289_SLC5A6.pdf</v>
      </c>
    </row>
    <row r="6579" spans="1:28" x14ac:dyDescent="0.25">
      <c r="A6579" t="s">
        <v>6583</v>
      </c>
      <c r="B6579">
        <v>0.995954080203443</v>
      </c>
      <c r="C6579">
        <v>1.00369353863685</v>
      </c>
      <c r="D6579">
        <v>0.952388082926518</v>
      </c>
      <c r="E6579">
        <v>0.86238975660583606</v>
      </c>
      <c r="F6579">
        <v>0.72748281723619501</v>
      </c>
      <c r="G6579">
        <v>0.33168035446622501</v>
      </c>
      <c r="H6579">
        <v>0.103420628927113</v>
      </c>
      <c r="I6579">
        <v>6.5780054554069795E-2</v>
      </c>
      <c r="J6579">
        <v>8.3120237117342996E-2</v>
      </c>
      <c r="K6579">
        <v>6.6888191549050305E-2</v>
      </c>
      <c r="L6579">
        <v>1236.63540902145</v>
      </c>
      <c r="M6579">
        <v>22.557696111119899</v>
      </c>
      <c r="N6579">
        <v>55.053348000926803</v>
      </c>
      <c r="O6579">
        <v>54.3956209185177</v>
      </c>
      <c r="P6579">
        <v>-9.8968786679369397E-2</v>
      </c>
      <c r="Q6579">
        <v>4.5406129675582399E-2</v>
      </c>
      <c r="R6579">
        <v>0.99655503967043502</v>
      </c>
      <c r="S6579" t="s">
        <v>13385</v>
      </c>
      <c r="T6579" t="s">
        <v>13610</v>
      </c>
      <c r="U6579" t="s">
        <v>13610</v>
      </c>
      <c r="V6579" t="s">
        <v>13610</v>
      </c>
      <c r="W6579" t="s">
        <v>20110</v>
      </c>
      <c r="X6579">
        <v>4</v>
      </c>
      <c r="Y6579" t="s">
        <v>26644</v>
      </c>
      <c r="Z6579" t="s">
        <v>33434</v>
      </c>
      <c r="AA6579">
        <v>0.52754745571970096</v>
      </c>
      <c r="AB6579" t="str">
        <f>HYPERLINK("Melting_Curves/meltCurve_Q9Y294_ASF1A.pdf", "Melting_Curves/meltCurve_Q9Y294_ASF1A.pdf")</f>
        <v>Melting_Curves/meltCurve_Q9Y294_ASF1A.pdf</v>
      </c>
    </row>
    <row r="6580" spans="1:28" x14ac:dyDescent="0.25">
      <c r="A6580" t="s">
        <v>6584</v>
      </c>
      <c r="B6580">
        <v>0.995954080203443</v>
      </c>
      <c r="C6580">
        <v>1.01999649326346</v>
      </c>
      <c r="D6580">
        <v>0.962798910280252</v>
      </c>
      <c r="E6580">
        <v>0.82090860046270397</v>
      </c>
      <c r="F6580">
        <v>0.52552090260821205</v>
      </c>
      <c r="G6580">
        <v>0.17733449766302301</v>
      </c>
      <c r="H6580">
        <v>6.6237946922953997E-2</v>
      </c>
      <c r="I6580">
        <v>5.3100932122956801E-2</v>
      </c>
      <c r="J6580">
        <v>5.2734354344703999E-2</v>
      </c>
      <c r="K6580">
        <v>4.8746735243854401E-2</v>
      </c>
      <c r="L6580">
        <v>1328.1455253250199</v>
      </c>
      <c r="M6580">
        <v>25.066803033784801</v>
      </c>
      <c r="N6580">
        <v>53.1678141405486</v>
      </c>
      <c r="O6580">
        <v>52.650482122912798</v>
      </c>
      <c r="P6580">
        <v>-0.114091977536371</v>
      </c>
      <c r="Q6580">
        <v>4.1454519405528301E-2</v>
      </c>
      <c r="R6580">
        <v>0.99940524129047903</v>
      </c>
      <c r="S6580" t="s">
        <v>13386</v>
      </c>
      <c r="T6580" t="s">
        <v>13610</v>
      </c>
      <c r="U6580" t="s">
        <v>13610</v>
      </c>
      <c r="V6580" t="s">
        <v>13610</v>
      </c>
      <c r="W6580" t="s">
        <v>20111</v>
      </c>
      <c r="X6580">
        <v>19</v>
      </c>
      <c r="Y6580" t="s">
        <v>26645</v>
      </c>
      <c r="Z6580" t="s">
        <v>33435</v>
      </c>
      <c r="AA6580">
        <v>0.46510108570658609</v>
      </c>
      <c r="AB6580" t="str">
        <f>HYPERLINK("Melting_Curves/meltCurve_Q9Y295_DRG1.pdf", "Melting_Curves/meltCurve_Q9Y295_DRG1.pdf")</f>
        <v>Melting_Curves/meltCurve_Q9Y295_DRG1.pdf</v>
      </c>
    </row>
    <row r="6581" spans="1:28" x14ac:dyDescent="0.25">
      <c r="A6581" t="s">
        <v>6585</v>
      </c>
      <c r="B6581">
        <v>0.995954080203443</v>
      </c>
      <c r="C6581">
        <v>0.84933374826881303</v>
      </c>
      <c r="D6581">
        <v>0.64133028199350295</v>
      </c>
      <c r="E6581">
        <v>0.51961151943892303</v>
      </c>
      <c r="F6581">
        <v>0.345718536916368</v>
      </c>
      <c r="G6581">
        <v>0.15506610970287499</v>
      </c>
      <c r="H6581">
        <v>6.6592079585333794E-2</v>
      </c>
      <c r="I6581">
        <v>5.27115272049236E-2</v>
      </c>
      <c r="J6581">
        <v>5.7317577178319402E-2</v>
      </c>
      <c r="K6581">
        <v>4.5840349655098901E-2</v>
      </c>
      <c r="L6581">
        <v>575.28862552224996</v>
      </c>
      <c r="M6581">
        <v>11.6200937158362</v>
      </c>
      <c r="N6581">
        <v>49.508088278680397</v>
      </c>
      <c r="O6581">
        <v>48.110001034625299</v>
      </c>
      <c r="P6581">
        <v>-6.0399431597691497E-2</v>
      </c>
      <c r="Q6581">
        <v>0</v>
      </c>
      <c r="R6581">
        <v>0.98884978981113503</v>
      </c>
      <c r="S6581" t="s">
        <v>13387</v>
      </c>
      <c r="T6581" t="s">
        <v>13610</v>
      </c>
      <c r="U6581" t="s">
        <v>13610</v>
      </c>
      <c r="V6581" t="s">
        <v>13610</v>
      </c>
      <c r="W6581" t="s">
        <v>20112</v>
      </c>
      <c r="X6581">
        <v>10</v>
      </c>
      <c r="Y6581" t="s">
        <v>26646</v>
      </c>
      <c r="Z6581" t="s">
        <v>33436</v>
      </c>
      <c r="AA6581">
        <v>0.35445728144644251</v>
      </c>
      <c r="AB6581" t="str">
        <f>HYPERLINK("Melting_Curves/meltCurve_Q9Y296_TRAPPC4.pdf", "Melting_Curves/meltCurve_Q9Y296_TRAPPC4.pdf")</f>
        <v>Melting_Curves/meltCurve_Q9Y296_TRAPPC4.pdf</v>
      </c>
    </row>
    <row r="6582" spans="1:28" x14ac:dyDescent="0.25">
      <c r="A6582" t="s">
        <v>6586</v>
      </c>
      <c r="B6582">
        <v>0.995954080203443</v>
      </c>
      <c r="C6582">
        <v>0.83909407436278205</v>
      </c>
      <c r="D6582">
        <v>0.708411560675967</v>
      </c>
      <c r="E6582">
        <v>0.79100734090631597</v>
      </c>
      <c r="F6582">
        <v>0.28232489039265901</v>
      </c>
      <c r="G6582">
        <v>0.10404108646133101</v>
      </c>
      <c r="H6582">
        <v>6.8191964105296099E-2</v>
      </c>
      <c r="I6582">
        <v>6.15518861846958E-2</v>
      </c>
      <c r="J6582">
        <v>6.5485527894607903E-2</v>
      </c>
      <c r="K6582">
        <v>5.6737820234086099E-2</v>
      </c>
      <c r="L6582">
        <v>730.95819528754896</v>
      </c>
      <c r="M6582">
        <v>14.3372663487264</v>
      </c>
      <c r="N6582">
        <v>51.003908868892502</v>
      </c>
      <c r="O6582">
        <v>50.022018116017101</v>
      </c>
      <c r="P6582">
        <v>-7.1454502223354699E-2</v>
      </c>
      <c r="Q6582">
        <v>2.9152289201856102E-3</v>
      </c>
      <c r="R6582">
        <v>0.93470798758514195</v>
      </c>
      <c r="S6582" t="s">
        <v>13388</v>
      </c>
      <c r="T6582" t="s">
        <v>13610</v>
      </c>
      <c r="U6582" t="s">
        <v>13610</v>
      </c>
      <c r="V6582" t="s">
        <v>13610</v>
      </c>
      <c r="W6582" t="s">
        <v>20113</v>
      </c>
      <c r="X6582">
        <v>32</v>
      </c>
      <c r="Y6582" t="s">
        <v>26647</v>
      </c>
      <c r="Z6582" t="s">
        <v>33437</v>
      </c>
      <c r="AA6582">
        <v>0.39276796841178779</v>
      </c>
      <c r="AB6582" t="str">
        <f>HYPERLINK("Melting_Curves/meltCurve_Q9Y2A7_NCKAP1.pdf", "Melting_Curves/meltCurve_Q9Y2A7_NCKAP1.pdf")</f>
        <v>Melting_Curves/meltCurve_Q9Y2A7_NCKAP1.pdf</v>
      </c>
    </row>
    <row r="6583" spans="1:28" x14ac:dyDescent="0.25">
      <c r="A6583" t="s">
        <v>6587</v>
      </c>
      <c r="B6583">
        <v>0.995954080203443</v>
      </c>
      <c r="C6583">
        <v>0.94540333071841198</v>
      </c>
      <c r="D6583">
        <v>0.98146505826484798</v>
      </c>
      <c r="E6583">
        <v>0.85242337312397798</v>
      </c>
      <c r="F6583">
        <v>0.89086238114862704</v>
      </c>
      <c r="G6583">
        <v>0.66271026508322195</v>
      </c>
      <c r="H6583">
        <v>0.63201124767564998</v>
      </c>
      <c r="I6583">
        <v>0.62179591460227401</v>
      </c>
      <c r="J6583">
        <v>1.0196283381865301</v>
      </c>
      <c r="K6583">
        <v>0.60998917183538004</v>
      </c>
      <c r="L6583">
        <v>1122.2644675389099</v>
      </c>
      <c r="M6583">
        <v>21.911669600095198</v>
      </c>
      <c r="O6583">
        <v>50.796780710719403</v>
      </c>
      <c r="P6583">
        <v>-3.1144812227180501E-2</v>
      </c>
      <c r="Q6583">
        <v>0.71120037261890001</v>
      </c>
      <c r="R6583">
        <v>0.47207043442057101</v>
      </c>
      <c r="S6583" t="s">
        <v>13389</v>
      </c>
      <c r="T6583" t="s">
        <v>13610</v>
      </c>
      <c r="U6583" t="s">
        <v>13610</v>
      </c>
      <c r="V6583" t="s">
        <v>13610</v>
      </c>
      <c r="W6583" t="s">
        <v>20114</v>
      </c>
      <c r="X6583">
        <v>15</v>
      </c>
      <c r="Y6583" t="s">
        <v>26648</v>
      </c>
      <c r="Z6583" t="s">
        <v>33438</v>
      </c>
      <c r="AA6583">
        <v>0.82256357125761737</v>
      </c>
      <c r="AB6583" t="str">
        <f>HYPERLINK("Melting_Curves/meltCurve_Q9Y2B0_CNPY2.pdf", "Melting_Curves/meltCurve_Q9Y2B0_CNPY2.pdf")</f>
        <v>Melting_Curves/meltCurve_Q9Y2B0_CNPY2.pdf</v>
      </c>
    </row>
    <row r="6584" spans="1:28" x14ac:dyDescent="0.25">
      <c r="A6584" t="s">
        <v>6588</v>
      </c>
      <c r="B6584">
        <v>0.995954080203443</v>
      </c>
      <c r="C6584">
        <v>0.76821755935095604</v>
      </c>
      <c r="D6584">
        <v>0.49907025042022002</v>
      </c>
      <c r="E6584">
        <v>0.37765974178637901</v>
      </c>
      <c r="F6584">
        <v>0.227472048954244</v>
      </c>
      <c r="G6584">
        <v>0.15096471388254901</v>
      </c>
      <c r="H6584">
        <v>0.112702420212152</v>
      </c>
      <c r="I6584">
        <v>0.10058407125428501</v>
      </c>
      <c r="J6584">
        <v>0.14674069846301199</v>
      </c>
      <c r="K6584">
        <v>0.12062022447894299</v>
      </c>
      <c r="L6584">
        <v>706.80388143444395</v>
      </c>
      <c r="M6584">
        <v>15.3641520944436</v>
      </c>
      <c r="N6584">
        <v>46.802178594982898</v>
      </c>
      <c r="O6584">
        <v>45.245219430111099</v>
      </c>
      <c r="P6584">
        <v>-7.5110330212977305E-2</v>
      </c>
      <c r="Q6584">
        <v>0.115324555483098</v>
      </c>
      <c r="R6584">
        <v>0.98277932570072701</v>
      </c>
      <c r="S6584" t="s">
        <v>13390</v>
      </c>
      <c r="T6584" t="s">
        <v>13610</v>
      </c>
      <c r="U6584" t="s">
        <v>13610</v>
      </c>
      <c r="V6584" t="s">
        <v>13610</v>
      </c>
      <c r="W6584" t="s">
        <v>20115</v>
      </c>
      <c r="X6584">
        <v>2</v>
      </c>
      <c r="Y6584" t="s">
        <v>26649</v>
      </c>
      <c r="Z6584" t="s">
        <v>33439</v>
      </c>
      <c r="AA6584">
        <v>0.31691361843043903</v>
      </c>
      <c r="AB6584" t="str">
        <f>HYPERLINK("Melting_Curves/meltCurve_Q9Y2D4_2_EXOC6B.pdf", "Melting_Curves/meltCurve_Q9Y2D4_2_EXOC6B.pdf")</f>
        <v>Melting_Curves/meltCurve_Q9Y2D4_2_EXOC6B.pdf</v>
      </c>
    </row>
    <row r="6585" spans="1:28" x14ac:dyDescent="0.25">
      <c r="A6585" t="s">
        <v>6589</v>
      </c>
      <c r="B6585">
        <v>0.995954080203443</v>
      </c>
      <c r="C6585">
        <v>0.94089635961061402</v>
      </c>
      <c r="D6585">
        <v>0.93319525248817203</v>
      </c>
      <c r="E6585">
        <v>0.80957565894892503</v>
      </c>
      <c r="F6585">
        <v>0.73441150187884796</v>
      </c>
      <c r="G6585">
        <v>0.52707623150096505</v>
      </c>
      <c r="H6585">
        <v>0.432533565327681</v>
      </c>
      <c r="I6585">
        <v>0.44246812221333098</v>
      </c>
      <c r="J6585">
        <v>0.589381049618796</v>
      </c>
      <c r="K6585">
        <v>0.48919567205053999</v>
      </c>
      <c r="L6585">
        <v>969.81691097167698</v>
      </c>
      <c r="M6585">
        <v>18.734238678240999</v>
      </c>
      <c r="N6585">
        <v>61.7695629730243</v>
      </c>
      <c r="O6585">
        <v>51.188065375995897</v>
      </c>
      <c r="P6585">
        <v>-4.7952825267437403E-2</v>
      </c>
      <c r="Q6585">
        <v>0.47593089612073097</v>
      </c>
      <c r="R6585">
        <v>0.94181841109333997</v>
      </c>
      <c r="S6585" t="s">
        <v>13391</v>
      </c>
      <c r="T6585" t="s">
        <v>13610</v>
      </c>
      <c r="U6585" t="s">
        <v>13610</v>
      </c>
      <c r="V6585" t="s">
        <v>13610</v>
      </c>
      <c r="W6585" t="s">
        <v>20116</v>
      </c>
      <c r="X6585">
        <v>10</v>
      </c>
      <c r="Y6585" t="s">
        <v>26650</v>
      </c>
      <c r="Z6585" t="s">
        <v>33440</v>
      </c>
      <c r="AA6585">
        <v>0.68964822240358925</v>
      </c>
      <c r="AB6585" t="str">
        <f>HYPERLINK("Melting_Curves/meltCurve_Q9Y2F5_KIAA0947.pdf", "Melting_Curves/meltCurve_Q9Y2F5_KIAA0947.pdf")</f>
        <v>Melting_Curves/meltCurve_Q9Y2F5_KIAA0947.pdf</v>
      </c>
    </row>
    <row r="6586" spans="1:28" x14ac:dyDescent="0.25">
      <c r="A6586" t="s">
        <v>6590</v>
      </c>
      <c r="B6586">
        <v>0.995954080203443</v>
      </c>
      <c r="C6586">
        <v>0.897204092133701</v>
      </c>
      <c r="D6586">
        <v>0.97161470044084897</v>
      </c>
      <c r="E6586">
        <v>0.84237526775478999</v>
      </c>
      <c r="F6586">
        <v>0.87113138399067702</v>
      </c>
      <c r="G6586">
        <v>0.66981614704930903</v>
      </c>
      <c r="H6586">
        <v>0.50281136104507496</v>
      </c>
      <c r="I6586">
        <v>0.50395817753220096</v>
      </c>
      <c r="J6586">
        <v>0.44216669242187001</v>
      </c>
      <c r="K6586">
        <v>0.49181783682985802</v>
      </c>
      <c r="L6586">
        <v>744.71365701529999</v>
      </c>
      <c r="M6586">
        <v>13.370596101497901</v>
      </c>
      <c r="N6586">
        <v>64.0296783714425</v>
      </c>
      <c r="O6586">
        <v>54.496203063064499</v>
      </c>
      <c r="P6586">
        <v>-3.60581941771679E-2</v>
      </c>
      <c r="Q6586">
        <v>0.41222559041836698</v>
      </c>
      <c r="R6586">
        <v>0.95146260712290298</v>
      </c>
      <c r="S6586" t="s">
        <v>13392</v>
      </c>
      <c r="T6586" t="s">
        <v>13610</v>
      </c>
      <c r="U6586" t="s">
        <v>13610</v>
      </c>
      <c r="V6586" t="s">
        <v>13610</v>
      </c>
      <c r="W6586" t="s">
        <v>20117</v>
      </c>
      <c r="X6586">
        <v>5</v>
      </c>
      <c r="Y6586" t="s">
        <v>26651</v>
      </c>
      <c r="Z6586" t="s">
        <v>33441</v>
      </c>
      <c r="AA6586">
        <v>0.73155639868023026</v>
      </c>
      <c r="AB6586" t="str">
        <f>HYPERLINK("Melting_Curves/meltCurve_Q9Y2G2_4_CARD8.pdf", "Melting_Curves/meltCurve_Q9Y2G2_4_CARD8.pdf")</f>
        <v>Melting_Curves/meltCurve_Q9Y2G2_4_CARD8.pdf</v>
      </c>
    </row>
    <row r="6587" spans="1:28" x14ac:dyDescent="0.25">
      <c r="A6587" t="s">
        <v>6591</v>
      </c>
      <c r="B6587">
        <v>0.995954080203443</v>
      </c>
      <c r="C6587">
        <v>1.10669417463533</v>
      </c>
      <c r="D6587">
        <v>1.0599503090473701</v>
      </c>
      <c r="E6587">
        <v>0.98494842675522398</v>
      </c>
      <c r="F6587">
        <v>0.76272634270643003</v>
      </c>
      <c r="G6587">
        <v>0.52952136514945003</v>
      </c>
      <c r="H6587">
        <v>0.28395614514151801</v>
      </c>
      <c r="I6587">
        <v>0.20162769414718501</v>
      </c>
      <c r="J6587">
        <v>0.17105562104163</v>
      </c>
      <c r="K6587">
        <v>0.177013727306431</v>
      </c>
      <c r="L6587">
        <v>1200.6745349339201</v>
      </c>
      <c r="M6587">
        <v>21.403074520146198</v>
      </c>
      <c r="N6587">
        <v>57.085631803478698</v>
      </c>
      <c r="O6587">
        <v>55.615396097177999</v>
      </c>
      <c r="P6587">
        <v>-8.1328148154807794E-2</v>
      </c>
      <c r="Q6587">
        <v>0.15470377225863</v>
      </c>
      <c r="R6587">
        <v>0.985004089260342</v>
      </c>
      <c r="S6587" t="s">
        <v>13393</v>
      </c>
      <c r="T6587" t="s">
        <v>13610</v>
      </c>
      <c r="U6587" t="s">
        <v>13610</v>
      </c>
      <c r="V6587" t="s">
        <v>13610</v>
      </c>
      <c r="W6587" t="s">
        <v>20118</v>
      </c>
      <c r="X6587">
        <v>11</v>
      </c>
      <c r="Y6587" t="s">
        <v>26652</v>
      </c>
      <c r="Z6587" t="s">
        <v>33442</v>
      </c>
      <c r="AA6587">
        <v>0.61816067260783625</v>
      </c>
      <c r="AB6587" t="str">
        <f>HYPERLINK("Melting_Curves/meltCurve_Q9Y2H0_3_DLGAP4.pdf", "Melting_Curves/meltCurve_Q9Y2H0_3_DLGAP4.pdf")</f>
        <v>Melting_Curves/meltCurve_Q9Y2H0_3_DLGAP4.pdf</v>
      </c>
    </row>
    <row r="6588" spans="1:28" x14ac:dyDescent="0.25">
      <c r="A6588" t="s">
        <v>6592</v>
      </c>
      <c r="B6588">
        <v>0.995954080203443</v>
      </c>
      <c r="C6588">
        <v>0.88182713302337101</v>
      </c>
      <c r="D6588">
        <v>0.66953654509285498</v>
      </c>
      <c r="E6588">
        <v>0.34314531213694799</v>
      </c>
      <c r="F6588">
        <v>0.19643035401846601</v>
      </c>
      <c r="G6588">
        <v>0.136041940692089</v>
      </c>
      <c r="H6588">
        <v>0.101536774227956</v>
      </c>
      <c r="I6588">
        <v>0.10060528456871699</v>
      </c>
      <c r="J6588">
        <v>0.111286939943188</v>
      </c>
      <c r="K6588">
        <v>0.11209723357147</v>
      </c>
      <c r="L6588">
        <v>912.74585456574505</v>
      </c>
      <c r="M6588">
        <v>19.293145730267899</v>
      </c>
      <c r="N6588">
        <v>47.870467911655297</v>
      </c>
      <c r="O6588">
        <v>46.809860229650504</v>
      </c>
      <c r="P6588">
        <v>-9.2615268779506599E-2</v>
      </c>
      <c r="Q6588">
        <v>0.101205127450123</v>
      </c>
      <c r="R6588">
        <v>0.99914697615574799</v>
      </c>
      <c r="S6588" t="s">
        <v>13394</v>
      </c>
      <c r="T6588" t="s">
        <v>13610</v>
      </c>
      <c r="U6588" t="s">
        <v>13610</v>
      </c>
      <c r="V6588" t="s">
        <v>13610</v>
      </c>
      <c r="W6588" t="s">
        <v>20119</v>
      </c>
      <c r="X6588">
        <v>15</v>
      </c>
      <c r="Y6588" t="s">
        <v>26653</v>
      </c>
      <c r="Z6588" t="s">
        <v>33443</v>
      </c>
      <c r="AA6588">
        <v>0.33426215052088359</v>
      </c>
      <c r="AB6588" t="str">
        <f>HYPERLINK("Melting_Curves/meltCurve_Q9Y2H1_STK38L.pdf", "Melting_Curves/meltCurve_Q9Y2H1_STK38L.pdf")</f>
        <v>Melting_Curves/meltCurve_Q9Y2H1_STK38L.pdf</v>
      </c>
    </row>
    <row r="6589" spans="1:28" x14ac:dyDescent="0.25">
      <c r="A6589" t="s">
        <v>6593</v>
      </c>
      <c r="B6589">
        <v>0.995954080203443</v>
      </c>
      <c r="C6589">
        <v>0.78830990756257502</v>
      </c>
      <c r="D6589">
        <v>0.43943003177857498</v>
      </c>
      <c r="E6589">
        <v>0.41155504110924102</v>
      </c>
      <c r="F6589">
        <v>0.24921413571124301</v>
      </c>
      <c r="G6589">
        <v>0.14777571042100601</v>
      </c>
      <c r="H6589">
        <v>0.11776980248089999</v>
      </c>
      <c r="I6589">
        <v>7.54613098463527E-2</v>
      </c>
      <c r="J6589">
        <v>0.11062453047405101</v>
      </c>
      <c r="K6589">
        <v>0.118014909365574</v>
      </c>
      <c r="L6589">
        <v>660.30897192279804</v>
      </c>
      <c r="M6589">
        <v>14.3200523158321</v>
      </c>
      <c r="N6589">
        <v>46.8447793747888</v>
      </c>
      <c r="O6589">
        <v>45.239548832936997</v>
      </c>
      <c r="P6589">
        <v>-7.1190864984688906E-2</v>
      </c>
      <c r="Q6589">
        <v>0.100491612762413</v>
      </c>
      <c r="R6589">
        <v>0.96439836136008195</v>
      </c>
      <c r="S6589" t="s">
        <v>13395</v>
      </c>
      <c r="T6589" t="s">
        <v>13610</v>
      </c>
      <c r="U6589" t="s">
        <v>13610</v>
      </c>
      <c r="V6589" t="s">
        <v>13610</v>
      </c>
      <c r="W6589" t="s">
        <v>20120</v>
      </c>
      <c r="X6589">
        <v>3</v>
      </c>
      <c r="Y6589" t="s">
        <v>26654</v>
      </c>
      <c r="Z6589" t="s">
        <v>33444</v>
      </c>
      <c r="AA6589">
        <v>0.31238408644001547</v>
      </c>
      <c r="AB6589" t="str">
        <f>HYPERLINK("Melting_Curves/meltCurve_Q9Y2H2_INPP5F.pdf", "Melting_Curves/meltCurve_Q9Y2H2_INPP5F.pdf")</f>
        <v>Melting_Curves/meltCurve_Q9Y2H2_INPP5F.pdf</v>
      </c>
    </row>
    <row r="6590" spans="1:28" x14ac:dyDescent="0.25">
      <c r="A6590" t="s">
        <v>6594</v>
      </c>
      <c r="B6590">
        <v>0.995954080203443</v>
      </c>
      <c r="C6590">
        <v>0.83529783371105504</v>
      </c>
      <c r="D6590">
        <v>0.97190599545419698</v>
      </c>
      <c r="E6590">
        <v>0.76049817661785302</v>
      </c>
      <c r="F6590">
        <v>0.84858441132516405</v>
      </c>
      <c r="G6590">
        <v>0.69081600297546897</v>
      </c>
      <c r="H6590">
        <v>0.48972084732675603</v>
      </c>
      <c r="I6590">
        <v>0.56921377683946095</v>
      </c>
      <c r="J6590">
        <v>0.58037169016609802</v>
      </c>
      <c r="K6590">
        <v>0.61820023495724796</v>
      </c>
      <c r="L6590">
        <v>517.08041300009404</v>
      </c>
      <c r="M6590">
        <v>9.8384305388357198</v>
      </c>
      <c r="O6590">
        <v>50.523953901493798</v>
      </c>
      <c r="P6590">
        <v>-2.3536336884559299E-2</v>
      </c>
      <c r="Q6590">
        <v>0.51677926036602395</v>
      </c>
      <c r="R6590">
        <v>0.80893130246598799</v>
      </c>
      <c r="S6590" t="s">
        <v>13396</v>
      </c>
      <c r="T6590" t="s">
        <v>13610</v>
      </c>
      <c r="U6590" t="s">
        <v>13610</v>
      </c>
      <c r="V6590" t="s">
        <v>13610</v>
      </c>
      <c r="W6590" t="s">
        <v>20121</v>
      </c>
      <c r="X6590">
        <v>3</v>
      </c>
      <c r="Y6590" t="s">
        <v>26655</v>
      </c>
      <c r="Z6590" t="s">
        <v>33445</v>
      </c>
      <c r="AA6590">
        <v>0.7366667415033149</v>
      </c>
      <c r="AB6590" t="str">
        <f>HYPERLINK("Melting_Curves/meltCurve_Q9Y2H5_PLEKHA6.pdf", "Melting_Curves/meltCurve_Q9Y2H5_PLEKHA6.pdf")</f>
        <v>Melting_Curves/meltCurve_Q9Y2H5_PLEKHA6.pdf</v>
      </c>
    </row>
    <row r="6591" spans="1:28" x14ac:dyDescent="0.25">
      <c r="A6591" t="s">
        <v>6595</v>
      </c>
      <c r="B6591">
        <v>0.995954080203443</v>
      </c>
      <c r="C6591">
        <v>0.91081165957021204</v>
      </c>
      <c r="D6591">
        <v>0.88200556701313304</v>
      </c>
      <c r="E6591">
        <v>0.56150399442173105</v>
      </c>
      <c r="F6591">
        <v>0.20477600371525001</v>
      </c>
      <c r="G6591">
        <v>0.127459484222193</v>
      </c>
      <c r="H6591">
        <v>8.7617711526171704E-2</v>
      </c>
      <c r="I6591">
        <v>8.58834781123788E-2</v>
      </c>
      <c r="J6591">
        <v>9.8643891711524198E-2</v>
      </c>
      <c r="K6591">
        <v>8.0262897430547195E-2</v>
      </c>
      <c r="L6591">
        <v>1245.30035189315</v>
      </c>
      <c r="M6591">
        <v>24.980402676555698</v>
      </c>
      <c r="N6591">
        <v>50.2062087998913</v>
      </c>
      <c r="O6591">
        <v>49.534919116518203</v>
      </c>
      <c r="P6591">
        <v>-0.115866797583834</v>
      </c>
      <c r="Q6591">
        <v>8.0979627962264003E-2</v>
      </c>
      <c r="R6591">
        <v>0.99303112467169197</v>
      </c>
      <c r="S6591" t="s">
        <v>13397</v>
      </c>
      <c r="T6591" t="s">
        <v>13610</v>
      </c>
      <c r="U6591" t="s">
        <v>13610</v>
      </c>
      <c r="V6591" t="s">
        <v>13610</v>
      </c>
      <c r="W6591" t="s">
        <v>20122</v>
      </c>
      <c r="X6591">
        <v>19</v>
      </c>
      <c r="Y6591" t="s">
        <v>26656</v>
      </c>
      <c r="Z6591" t="s">
        <v>33446</v>
      </c>
      <c r="AA6591">
        <v>0.39097287724917268</v>
      </c>
      <c r="AB6591" t="str">
        <f>HYPERLINK("Melting_Curves/meltCurve_Q9Y2I1_NISCH.pdf", "Melting_Curves/meltCurve_Q9Y2I1_NISCH.pdf")</f>
        <v>Melting_Curves/meltCurve_Q9Y2I1_NISCH.pdf</v>
      </c>
    </row>
    <row r="6592" spans="1:28" x14ac:dyDescent="0.25">
      <c r="A6592" t="s">
        <v>6596</v>
      </c>
      <c r="B6592">
        <v>0.995954080203443</v>
      </c>
      <c r="C6592">
        <v>0.85648209233380102</v>
      </c>
      <c r="D6592">
        <v>0.58235564885588997</v>
      </c>
      <c r="E6592">
        <v>0.64256870278538802</v>
      </c>
      <c r="F6592">
        <v>0.39213992109440599</v>
      </c>
      <c r="G6592">
        <v>0.25863089665974298</v>
      </c>
      <c r="H6592">
        <v>0.22400577665801499</v>
      </c>
      <c r="I6592">
        <v>0.25077853722584298</v>
      </c>
      <c r="J6592">
        <v>0.27319221076386202</v>
      </c>
      <c r="K6592">
        <v>0.29364623844814802</v>
      </c>
      <c r="L6592">
        <v>597.47787154603202</v>
      </c>
      <c r="M6592">
        <v>12.535967401323701</v>
      </c>
      <c r="N6592">
        <v>50.135716419477603</v>
      </c>
      <c r="O6592">
        <v>46.497030914777497</v>
      </c>
      <c r="P6592">
        <v>-5.1863350054061098E-2</v>
      </c>
      <c r="Q6592">
        <v>0.23069321640576201</v>
      </c>
      <c r="R6592">
        <v>0.93408710232845404</v>
      </c>
      <c r="S6592" t="s">
        <v>13398</v>
      </c>
      <c r="T6592" t="s">
        <v>13610</v>
      </c>
      <c r="U6592" t="s">
        <v>13610</v>
      </c>
      <c r="V6592" t="s">
        <v>13610</v>
      </c>
      <c r="W6592" t="s">
        <v>20123</v>
      </c>
      <c r="X6592">
        <v>12</v>
      </c>
      <c r="Y6592" t="s">
        <v>26657</v>
      </c>
      <c r="Z6592" t="s">
        <v>33447</v>
      </c>
      <c r="AA6592">
        <v>0.45560309741954669</v>
      </c>
      <c r="AB6592" t="str">
        <f>HYPERLINK("Melting_Curves/meltCurve_Q9Y2I7_PIKFYVE.pdf", "Melting_Curves/meltCurve_Q9Y2I7_PIKFYVE.pdf")</f>
        <v>Melting_Curves/meltCurve_Q9Y2I7_PIKFYVE.pdf</v>
      </c>
    </row>
    <row r="6593" spans="1:28" x14ac:dyDescent="0.25">
      <c r="A6593" t="s">
        <v>6597</v>
      </c>
      <c r="B6593">
        <v>0.995954080203443</v>
      </c>
      <c r="C6593">
        <v>0.96922166185868597</v>
      </c>
      <c r="D6593">
        <v>0.82158012078966403</v>
      </c>
      <c r="E6593">
        <v>0.654940134139532</v>
      </c>
      <c r="F6593">
        <v>0.45856011443424999</v>
      </c>
      <c r="G6593">
        <v>0.31410997980663002</v>
      </c>
      <c r="H6593">
        <v>0.25416630202317703</v>
      </c>
      <c r="I6593">
        <v>0.24135087313433401</v>
      </c>
      <c r="J6593">
        <v>0.23712687728343201</v>
      </c>
      <c r="K6593">
        <v>0.19452715579480301</v>
      </c>
      <c r="L6593">
        <v>761.33303246811795</v>
      </c>
      <c r="M6593">
        <v>15.0648275722239</v>
      </c>
      <c r="N6593">
        <v>52.314343110367197</v>
      </c>
      <c r="O6593">
        <v>49.671710867880797</v>
      </c>
      <c r="P6593">
        <v>-6.0641777199832603E-2</v>
      </c>
      <c r="Q6593">
        <v>0.20028779156242299</v>
      </c>
      <c r="R6593">
        <v>0.99692036388008598</v>
      </c>
      <c r="S6593" t="s">
        <v>13399</v>
      </c>
      <c r="T6593" t="s">
        <v>13610</v>
      </c>
      <c r="U6593" t="s">
        <v>13610</v>
      </c>
      <c r="V6593" t="s">
        <v>13610</v>
      </c>
      <c r="W6593" t="s">
        <v>20124</v>
      </c>
      <c r="X6593">
        <v>10</v>
      </c>
      <c r="Y6593" t="s">
        <v>26658</v>
      </c>
      <c r="Z6593" t="s">
        <v>33448</v>
      </c>
      <c r="AA6593">
        <v>0.49978673735308182</v>
      </c>
      <c r="AB6593" t="str">
        <f>HYPERLINK("Melting_Curves/meltCurve_Q9Y2I8_WDR37.pdf", "Melting_Curves/meltCurve_Q9Y2I8_WDR37.pdf")</f>
        <v>Melting_Curves/meltCurve_Q9Y2I8_WDR37.pdf</v>
      </c>
    </row>
    <row r="6594" spans="1:28" x14ac:dyDescent="0.25">
      <c r="A6594" t="s">
        <v>6598</v>
      </c>
      <c r="B6594">
        <v>0.995954080203443</v>
      </c>
      <c r="C6594">
        <v>1.02567073403304</v>
      </c>
      <c r="D6594">
        <v>1.0442063986950201</v>
      </c>
      <c r="E6594">
        <v>0.96541118447565699</v>
      </c>
      <c r="F6594">
        <v>0.88204049882778401</v>
      </c>
      <c r="G6594">
        <v>0.67155189823989103</v>
      </c>
      <c r="H6594">
        <v>0.62855746513464295</v>
      </c>
      <c r="I6594">
        <v>0.744408071896415</v>
      </c>
      <c r="J6594">
        <v>0.89485246508017702</v>
      </c>
      <c r="K6594">
        <v>0.87767681221856797</v>
      </c>
      <c r="L6594">
        <v>5976.8138510667104</v>
      </c>
      <c r="M6594">
        <v>112.76940718954</v>
      </c>
      <c r="O6594">
        <v>52.983650815496503</v>
      </c>
      <c r="P6594">
        <v>-0.12588312887379199</v>
      </c>
      <c r="Q6594">
        <v>0.76341996723347705</v>
      </c>
      <c r="R6594">
        <v>0.68439548069494205</v>
      </c>
      <c r="S6594" t="s">
        <v>13400</v>
      </c>
      <c r="T6594" t="s">
        <v>13610</v>
      </c>
      <c r="U6594" t="s">
        <v>13610</v>
      </c>
      <c r="V6594" t="s">
        <v>13610</v>
      </c>
      <c r="W6594" t="s">
        <v>20125</v>
      </c>
      <c r="X6594">
        <v>29</v>
      </c>
      <c r="Y6594" t="s">
        <v>26659</v>
      </c>
      <c r="Z6594" t="s">
        <v>33449</v>
      </c>
      <c r="AA6594">
        <v>0.86604869190431433</v>
      </c>
      <c r="AB6594" t="str">
        <f>HYPERLINK("Melting_Curves/meltCurve_Q9Y2J2_2_EPB41L3.pdf", "Melting_Curves/meltCurve_Q9Y2J2_2_EPB41L3.pdf")</f>
        <v>Melting_Curves/meltCurve_Q9Y2J2_2_EPB41L3.pdf</v>
      </c>
    </row>
    <row r="6595" spans="1:28" x14ac:dyDescent="0.25">
      <c r="A6595" t="s">
        <v>6599</v>
      </c>
      <c r="B6595">
        <v>0.995954080203443</v>
      </c>
      <c r="C6595">
        <v>0.92989311041946998</v>
      </c>
      <c r="D6595">
        <v>0.92439101258957901</v>
      </c>
      <c r="E6595">
        <v>0.78581275292276997</v>
      </c>
      <c r="F6595">
        <v>0.66138337704013295</v>
      </c>
      <c r="G6595">
        <v>0.47584854164465301</v>
      </c>
      <c r="H6595">
        <v>0.47428233050358598</v>
      </c>
      <c r="I6595">
        <v>0.55458830672868198</v>
      </c>
      <c r="J6595">
        <v>0.64518562936984503</v>
      </c>
      <c r="K6595">
        <v>0.65070029409576202</v>
      </c>
      <c r="L6595">
        <v>1243.9752732656</v>
      </c>
      <c r="M6595">
        <v>25.0144006534935</v>
      </c>
      <c r="O6595">
        <v>49.415805122431301</v>
      </c>
      <c r="P6595">
        <v>-5.5517010388023598E-2</v>
      </c>
      <c r="Q6595">
        <v>0.56131176059423904</v>
      </c>
      <c r="R6595">
        <v>0.87987198096897601</v>
      </c>
      <c r="S6595" t="s">
        <v>13401</v>
      </c>
      <c r="T6595" t="s">
        <v>13610</v>
      </c>
      <c r="U6595" t="s">
        <v>13610</v>
      </c>
      <c r="V6595" t="s">
        <v>13610</v>
      </c>
      <c r="W6595" t="s">
        <v>20126</v>
      </c>
      <c r="X6595">
        <v>8</v>
      </c>
      <c r="Y6595" t="s">
        <v>26660</v>
      </c>
      <c r="Z6595" t="s">
        <v>33450</v>
      </c>
      <c r="AA6595">
        <v>0.70750427744441402</v>
      </c>
      <c r="AB6595" t="str">
        <f>HYPERLINK("Melting_Curves/meltCurve_Q9Y2K2_SIK3.pdf", "Melting_Curves/meltCurve_Q9Y2K2_SIK3.pdf")</f>
        <v>Melting_Curves/meltCurve_Q9Y2K2_SIK3.pdf</v>
      </c>
    </row>
    <row r="6596" spans="1:28" x14ac:dyDescent="0.25">
      <c r="A6596" t="s">
        <v>6600</v>
      </c>
      <c r="B6596">
        <v>0.995954080203443</v>
      </c>
      <c r="C6596">
        <v>0.98196236302610196</v>
      </c>
      <c r="D6596">
        <v>0.922642631674914</v>
      </c>
      <c r="E6596">
        <v>0.61750989581782401</v>
      </c>
      <c r="F6596">
        <v>0.263747813088684</v>
      </c>
      <c r="G6596">
        <v>0.185344647822169</v>
      </c>
      <c r="H6596">
        <v>0.145453565185624</v>
      </c>
      <c r="I6596">
        <v>0.146564441715647</v>
      </c>
      <c r="J6596">
        <v>0.19313254089641399</v>
      </c>
      <c r="K6596">
        <v>0.16673550121950001</v>
      </c>
      <c r="L6596">
        <v>1615.4083511326601</v>
      </c>
      <c r="M6596">
        <v>32.217263105067197</v>
      </c>
      <c r="N6596">
        <v>50.752231824611997</v>
      </c>
      <c r="O6596">
        <v>49.949067111038502</v>
      </c>
      <c r="P6596">
        <v>-0.135325566668627</v>
      </c>
      <c r="Q6596">
        <v>0.160778558682976</v>
      </c>
      <c r="R6596">
        <v>0.99695465950926898</v>
      </c>
      <c r="S6596" t="s">
        <v>13402</v>
      </c>
      <c r="T6596" t="s">
        <v>13610</v>
      </c>
      <c r="U6596" t="s">
        <v>13610</v>
      </c>
      <c r="V6596" t="s">
        <v>13610</v>
      </c>
      <c r="W6596" t="s">
        <v>20127</v>
      </c>
      <c r="X6596">
        <v>13</v>
      </c>
      <c r="Y6596" t="s">
        <v>26661</v>
      </c>
      <c r="Z6596" t="s">
        <v>33451</v>
      </c>
      <c r="AA6596">
        <v>0.44896995370395298</v>
      </c>
      <c r="AB6596" t="str">
        <f>HYPERLINK("Melting_Curves/meltCurve_Q9Y2K7_KDM2A.pdf", "Melting_Curves/meltCurve_Q9Y2K7_KDM2A.pdf")</f>
        <v>Melting_Curves/meltCurve_Q9Y2K7_KDM2A.pdf</v>
      </c>
    </row>
    <row r="6597" spans="1:28" x14ac:dyDescent="0.25">
      <c r="A6597" t="s">
        <v>6601</v>
      </c>
      <c r="B6597">
        <v>0.995954080203443</v>
      </c>
      <c r="C6597">
        <v>0.95290634574543898</v>
      </c>
      <c r="D6597">
        <v>0.79281446744858897</v>
      </c>
      <c r="E6597">
        <v>0.57632849420106402</v>
      </c>
      <c r="F6597">
        <v>0.203056519773408</v>
      </c>
      <c r="G6597">
        <v>0.110105526421041</v>
      </c>
      <c r="H6597">
        <v>7.3035371631571699E-2</v>
      </c>
      <c r="I6597">
        <v>6.40706094685186E-2</v>
      </c>
      <c r="J6597">
        <v>7.5923087461966604E-2</v>
      </c>
      <c r="K6597">
        <v>6.4653030320825394E-2</v>
      </c>
      <c r="L6597">
        <v>997.78543801190597</v>
      </c>
      <c r="M6597">
        <v>20.063710294742801</v>
      </c>
      <c r="N6597">
        <v>50.006233548176503</v>
      </c>
      <c r="O6597">
        <v>49.244724841182403</v>
      </c>
      <c r="P6597">
        <v>-9.6532924861897906E-2</v>
      </c>
      <c r="Q6597">
        <v>5.2301921918087503E-2</v>
      </c>
      <c r="R6597">
        <v>0.99080496365535897</v>
      </c>
      <c r="S6597" t="s">
        <v>13403</v>
      </c>
      <c r="T6597" t="s">
        <v>13610</v>
      </c>
      <c r="U6597" t="s">
        <v>13610</v>
      </c>
      <c r="V6597" t="s">
        <v>13610</v>
      </c>
      <c r="W6597" t="s">
        <v>20128</v>
      </c>
      <c r="X6597">
        <v>38</v>
      </c>
      <c r="Y6597" t="s">
        <v>26662</v>
      </c>
      <c r="Z6597" t="s">
        <v>33452</v>
      </c>
      <c r="AA6597">
        <v>0.37282490643313049</v>
      </c>
      <c r="AB6597" t="str">
        <f>HYPERLINK("Melting_Curves/meltCurve_Q9Y2L1_DIS3.pdf", "Melting_Curves/meltCurve_Q9Y2L1_DIS3.pdf")</f>
        <v>Melting_Curves/meltCurve_Q9Y2L1_DIS3.pdf</v>
      </c>
    </row>
    <row r="6598" spans="1:28" x14ac:dyDescent="0.25">
      <c r="A6598" t="s">
        <v>6602</v>
      </c>
      <c r="B6598">
        <v>0.995954080203443</v>
      </c>
      <c r="C6598">
        <v>0.90332917925795497</v>
      </c>
      <c r="D6598">
        <v>0.78964059152752397</v>
      </c>
      <c r="E6598">
        <v>0.61772023134101794</v>
      </c>
      <c r="F6598">
        <v>0.42912842959526298</v>
      </c>
      <c r="G6598">
        <v>0.28330864320479199</v>
      </c>
      <c r="H6598">
        <v>0.229340914989585</v>
      </c>
      <c r="I6598">
        <v>0.26095776623682598</v>
      </c>
      <c r="J6598">
        <v>0.32242124698665697</v>
      </c>
      <c r="K6598">
        <v>0.31169139366680698</v>
      </c>
      <c r="L6598">
        <v>801.67129784889801</v>
      </c>
      <c r="M6598">
        <v>16.3616905141314</v>
      </c>
      <c r="N6598">
        <v>51.320585920735603</v>
      </c>
      <c r="O6598">
        <v>48.282470225982998</v>
      </c>
      <c r="P6598">
        <v>-6.2557159179773197E-2</v>
      </c>
      <c r="Q6598">
        <v>0.26164174541091001</v>
      </c>
      <c r="R6598">
        <v>0.98072146812660399</v>
      </c>
      <c r="S6598" t="s">
        <v>13404</v>
      </c>
      <c r="T6598" t="s">
        <v>13610</v>
      </c>
      <c r="U6598" t="s">
        <v>13610</v>
      </c>
      <c r="V6598" t="s">
        <v>13610</v>
      </c>
      <c r="W6598" t="s">
        <v>20129</v>
      </c>
      <c r="X6598">
        <v>9</v>
      </c>
      <c r="Y6598" t="s">
        <v>26663</v>
      </c>
      <c r="Z6598" t="s">
        <v>33453</v>
      </c>
      <c r="AA6598">
        <v>0.49850606007725851</v>
      </c>
      <c r="AB6598" t="str">
        <f>HYPERLINK("Melting_Curves/meltCurve_Q9Y2L9_2_LRCH1.pdf", "Melting_Curves/meltCurve_Q9Y2L9_2_LRCH1.pdf")</f>
        <v>Melting_Curves/meltCurve_Q9Y2L9_2_LRCH1.pdf</v>
      </c>
    </row>
    <row r="6599" spans="1:28" x14ac:dyDescent="0.25">
      <c r="A6599" t="s">
        <v>6603</v>
      </c>
      <c r="B6599">
        <v>0.995954080203443</v>
      </c>
      <c r="C6599">
        <v>0.84627181240072202</v>
      </c>
      <c r="D6599">
        <v>0.58781501003290704</v>
      </c>
      <c r="E6599">
        <v>0.27702899729336</v>
      </c>
      <c r="F6599">
        <v>0.143256643092532</v>
      </c>
      <c r="G6599">
        <v>8.56714121380205E-2</v>
      </c>
      <c r="H6599">
        <v>6.1165949124054798E-2</v>
      </c>
      <c r="I6599">
        <v>4.2783909054627603E-2</v>
      </c>
      <c r="J6599">
        <v>8.8311259582428595E-2</v>
      </c>
      <c r="K6599">
        <v>5.48978553816881E-2</v>
      </c>
      <c r="L6599">
        <v>894.08973819799701</v>
      </c>
      <c r="M6599">
        <v>19.1485589742896</v>
      </c>
      <c r="N6599">
        <v>46.993137896564903</v>
      </c>
      <c r="O6599">
        <v>46.191974890203198</v>
      </c>
      <c r="P6599">
        <v>-9.7660860051796805E-2</v>
      </c>
      <c r="Q6599">
        <v>5.7689170855128799E-2</v>
      </c>
      <c r="R6599">
        <v>0.99776433583716495</v>
      </c>
      <c r="S6599" t="s">
        <v>13405</v>
      </c>
      <c r="T6599" t="s">
        <v>13610</v>
      </c>
      <c r="U6599" t="s">
        <v>13610</v>
      </c>
      <c r="V6599" t="s">
        <v>13610</v>
      </c>
      <c r="W6599" t="s">
        <v>20130</v>
      </c>
      <c r="X6599">
        <v>3</v>
      </c>
      <c r="Y6599" t="s">
        <v>26664</v>
      </c>
      <c r="Z6599" t="s">
        <v>33454</v>
      </c>
      <c r="AA6599">
        <v>0.28330531985472818</v>
      </c>
      <c r="AB6599" t="str">
        <f>HYPERLINK("Melting_Curves/meltCurve_Q9Y2P8_RCL1.pdf", "Melting_Curves/meltCurve_Q9Y2P8_RCL1.pdf")</f>
        <v>Melting_Curves/meltCurve_Q9Y2P8_RCL1.pdf</v>
      </c>
    </row>
    <row r="6600" spans="1:28" x14ac:dyDescent="0.25">
      <c r="A6600" t="s">
        <v>6604</v>
      </c>
      <c r="B6600">
        <v>0.995954080203443</v>
      </c>
      <c r="C6600">
        <v>1.3463370085005999</v>
      </c>
      <c r="D6600">
        <v>0.49122423627265199</v>
      </c>
      <c r="E6600">
        <v>0.53504152947476302</v>
      </c>
      <c r="F6600">
        <v>0.13368251739622899</v>
      </c>
      <c r="G6600">
        <v>6.5312593500098201E-2</v>
      </c>
      <c r="H6600">
        <v>4.2698850022660099E-2</v>
      </c>
      <c r="I6600">
        <v>3.9167871281554099E-2</v>
      </c>
      <c r="J6600">
        <v>4.0972881446781503E-2</v>
      </c>
      <c r="K6600">
        <v>3.7012243668213297E-2</v>
      </c>
      <c r="L6600">
        <v>988.12068438858398</v>
      </c>
      <c r="M6600">
        <v>20.3117292156827</v>
      </c>
      <c r="N6600">
        <v>48.806602965032397</v>
      </c>
      <c r="O6600">
        <v>48.183616068047797</v>
      </c>
      <c r="P6600">
        <v>-0.102020129963083</v>
      </c>
      <c r="Q6600">
        <v>3.1978509655825299E-2</v>
      </c>
      <c r="R6600">
        <v>0.86401458954201704</v>
      </c>
      <c r="S6600" t="s">
        <v>13406</v>
      </c>
      <c r="T6600" t="s">
        <v>13610</v>
      </c>
      <c r="U6600" t="s">
        <v>13610</v>
      </c>
      <c r="V6600" t="s">
        <v>13610</v>
      </c>
      <c r="W6600" t="s">
        <v>20131</v>
      </c>
      <c r="X6600">
        <v>11</v>
      </c>
      <c r="Y6600" t="s">
        <v>26665</v>
      </c>
      <c r="Z6600" t="s">
        <v>33455</v>
      </c>
      <c r="AA6600">
        <v>0.32420398321232019</v>
      </c>
      <c r="AB6600" t="str">
        <f>HYPERLINK("Melting_Curves/meltCurve_Q9Y2Q3_GSTK1.pdf", "Melting_Curves/meltCurve_Q9Y2Q3_GSTK1.pdf")</f>
        <v>Melting_Curves/meltCurve_Q9Y2Q3_GSTK1.pdf</v>
      </c>
    </row>
    <row r="6601" spans="1:28" x14ac:dyDescent="0.25">
      <c r="A6601" t="s">
        <v>6605</v>
      </c>
      <c r="B6601">
        <v>0.995954080203443</v>
      </c>
      <c r="C6601">
        <v>1.0423393419054101</v>
      </c>
      <c r="D6601">
        <v>0.99231340093559595</v>
      </c>
      <c r="E6601">
        <v>0.93728891349930699</v>
      </c>
      <c r="F6601">
        <v>0.822873921782596</v>
      </c>
      <c r="G6601">
        <v>0.60775327953996405</v>
      </c>
      <c r="H6601">
        <v>0.469175410859269</v>
      </c>
      <c r="I6601">
        <v>0.35961961027936001</v>
      </c>
      <c r="J6601">
        <v>0.23201323204524801</v>
      </c>
      <c r="K6601">
        <v>0.11799349014061999</v>
      </c>
      <c r="L6601">
        <v>713.86533132248599</v>
      </c>
      <c r="M6601">
        <v>11.8928946997796</v>
      </c>
      <c r="N6601">
        <v>60.024523037342199</v>
      </c>
      <c r="O6601">
        <v>58.402912253105299</v>
      </c>
      <c r="P6601">
        <v>-5.0921531829577898E-2</v>
      </c>
      <c r="Q6601">
        <v>0</v>
      </c>
      <c r="R6601">
        <v>0.99213841216237197</v>
      </c>
      <c r="S6601" t="s">
        <v>13407</v>
      </c>
      <c r="T6601" t="s">
        <v>13610</v>
      </c>
      <c r="U6601" t="s">
        <v>13610</v>
      </c>
      <c r="V6601" t="s">
        <v>13610</v>
      </c>
      <c r="W6601" t="s">
        <v>20132</v>
      </c>
      <c r="X6601">
        <v>5</v>
      </c>
      <c r="Y6601" t="s">
        <v>26666</v>
      </c>
      <c r="Z6601" t="s">
        <v>33456</v>
      </c>
      <c r="AA6601">
        <v>0.66945202289640326</v>
      </c>
      <c r="AB6601" t="str">
        <f>HYPERLINK("Melting_Curves/meltCurve_Q9Y2Q5_LAMTOR2.pdf", "Melting_Curves/meltCurve_Q9Y2Q5_LAMTOR2.pdf")</f>
        <v>Melting_Curves/meltCurve_Q9Y2Q5_LAMTOR2.pdf</v>
      </c>
    </row>
    <row r="6602" spans="1:28" x14ac:dyDescent="0.25">
      <c r="A6602" t="s">
        <v>6606</v>
      </c>
      <c r="B6602">
        <v>0.995954080203443</v>
      </c>
      <c r="C6602">
        <v>0.72326445398342198</v>
      </c>
      <c r="D6602">
        <v>0.385567196289342</v>
      </c>
      <c r="E6602">
        <v>0.34455897810547498</v>
      </c>
      <c r="F6602">
        <v>0.25932156180820198</v>
      </c>
      <c r="G6602">
        <v>0.221603707811388</v>
      </c>
      <c r="H6602">
        <v>0.18445409543633901</v>
      </c>
      <c r="I6602">
        <v>0.20619735052421201</v>
      </c>
      <c r="J6602">
        <v>0.22322347464655301</v>
      </c>
      <c r="K6602">
        <v>0.212824774059445</v>
      </c>
      <c r="L6602">
        <v>1165.7680887645699</v>
      </c>
      <c r="M6602">
        <v>26.5276373445788</v>
      </c>
      <c r="N6602">
        <v>44.972322919544503</v>
      </c>
      <c r="O6602">
        <v>43.697966912726301</v>
      </c>
      <c r="P6602">
        <v>-0.11729279118784799</v>
      </c>
      <c r="Q6602">
        <v>0.227160410734215</v>
      </c>
      <c r="R6602">
        <v>0.97905069132386302</v>
      </c>
      <c r="S6602" t="s">
        <v>13408</v>
      </c>
      <c r="T6602" t="s">
        <v>13610</v>
      </c>
      <c r="U6602" t="s">
        <v>13610</v>
      </c>
      <c r="V6602" t="s">
        <v>13610</v>
      </c>
      <c r="W6602" t="s">
        <v>20133</v>
      </c>
      <c r="X6602">
        <v>11</v>
      </c>
      <c r="Y6602" t="s">
        <v>26667</v>
      </c>
      <c r="Z6602" t="s">
        <v>33457</v>
      </c>
      <c r="AA6602">
        <v>0.33652942997671947</v>
      </c>
      <c r="AB6602" t="str">
        <f>HYPERLINK("Melting_Curves/meltCurve_Q9Y2R4_DDX52.pdf", "Melting_Curves/meltCurve_Q9Y2R4_DDX52.pdf")</f>
        <v>Melting_Curves/meltCurve_Q9Y2R4_DDX52.pdf</v>
      </c>
    </row>
    <row r="6603" spans="1:28" x14ac:dyDescent="0.25">
      <c r="A6603" t="s">
        <v>6607</v>
      </c>
      <c r="B6603">
        <v>0.995954080203443</v>
      </c>
      <c r="C6603">
        <v>0.85710743337265904</v>
      </c>
      <c r="D6603">
        <v>0.585109661102028</v>
      </c>
      <c r="E6603">
        <v>0.43764903201159899</v>
      </c>
      <c r="F6603">
        <v>0.23111238308936299</v>
      </c>
      <c r="G6603">
        <v>0.13463016919479301</v>
      </c>
      <c r="H6603">
        <v>9.5462835324315404E-2</v>
      </c>
      <c r="I6603">
        <v>9.8208192485568002E-2</v>
      </c>
      <c r="J6603">
        <v>0.132041909120477</v>
      </c>
      <c r="K6603">
        <v>0.141800683368946</v>
      </c>
      <c r="L6603">
        <v>736.17018918798499</v>
      </c>
      <c r="M6603">
        <v>15.5787896731379</v>
      </c>
      <c r="N6603">
        <v>47.956292609459602</v>
      </c>
      <c r="O6603">
        <v>46.496583372999403</v>
      </c>
      <c r="P6603">
        <v>-7.5233284920393301E-2</v>
      </c>
      <c r="Q6603">
        <v>0.10191106735633899</v>
      </c>
      <c r="R6603">
        <v>0.98594467041177902</v>
      </c>
      <c r="S6603" t="s">
        <v>13409</v>
      </c>
      <c r="T6603" t="s">
        <v>13610</v>
      </c>
      <c r="U6603" t="s">
        <v>13610</v>
      </c>
      <c r="V6603" t="s">
        <v>13610</v>
      </c>
      <c r="W6603" t="s">
        <v>20134</v>
      </c>
      <c r="X6603">
        <v>5</v>
      </c>
      <c r="Y6603" t="s">
        <v>26668</v>
      </c>
      <c r="Z6603" t="s">
        <v>33458</v>
      </c>
      <c r="AA6603">
        <v>0.34131915189585632</v>
      </c>
      <c r="AB6603" t="str">
        <f>HYPERLINK("Melting_Curves/meltCurve_Q9Y2S0_POLR1D.pdf", "Melting_Curves/meltCurve_Q9Y2S0_POLR1D.pdf")</f>
        <v>Melting_Curves/meltCurve_Q9Y2S0_POLR1D.pdf</v>
      </c>
    </row>
    <row r="6604" spans="1:28" x14ac:dyDescent="0.25">
      <c r="A6604" t="s">
        <v>6608</v>
      </c>
      <c r="B6604">
        <v>0.995954080203443</v>
      </c>
      <c r="C6604">
        <v>1.0067128083144401</v>
      </c>
      <c r="D6604">
        <v>0.97286279837797596</v>
      </c>
      <c r="E6604">
        <v>0.83683079996156295</v>
      </c>
      <c r="F6604">
        <v>0.40793452800415603</v>
      </c>
      <c r="G6604">
        <v>0.18778923872380199</v>
      </c>
      <c r="H6604">
        <v>0.112873580730072</v>
      </c>
      <c r="I6604">
        <v>0.10333080302598401</v>
      </c>
      <c r="J6604">
        <v>0.101578331878209</v>
      </c>
      <c r="K6604">
        <v>9.42284706784208E-2</v>
      </c>
      <c r="L6604">
        <v>1750.93654959898</v>
      </c>
      <c r="M6604">
        <v>33.629445677971603</v>
      </c>
      <c r="N6604">
        <v>52.441122627109102</v>
      </c>
      <c r="O6604">
        <v>51.882501744772902</v>
      </c>
      <c r="P6604">
        <v>-0.144705889041262</v>
      </c>
      <c r="Q6604">
        <v>0.107011951258556</v>
      </c>
      <c r="R6604">
        <v>0.99853991276787002</v>
      </c>
      <c r="S6604" t="s">
        <v>13410</v>
      </c>
      <c r="T6604" t="s">
        <v>13610</v>
      </c>
      <c r="U6604" t="s">
        <v>13610</v>
      </c>
      <c r="V6604" t="s">
        <v>13610</v>
      </c>
      <c r="W6604" t="s">
        <v>20135</v>
      </c>
      <c r="X6604">
        <v>8</v>
      </c>
      <c r="Y6604" t="s">
        <v>26669</v>
      </c>
      <c r="Z6604" t="s">
        <v>33459</v>
      </c>
      <c r="AA6604">
        <v>0.47070875421268482</v>
      </c>
      <c r="AB6604" t="str">
        <f>HYPERLINK("Melting_Curves/meltCurve_Q9Y2S2_2_CRYL1.pdf", "Melting_Curves/meltCurve_Q9Y2S2_2_CRYL1.pdf")</f>
        <v>Melting_Curves/meltCurve_Q9Y2S2_2_CRYL1.pdf</v>
      </c>
    </row>
    <row r="6605" spans="1:28" x14ac:dyDescent="0.25">
      <c r="A6605" t="s">
        <v>6609</v>
      </c>
      <c r="B6605">
        <v>0.995954080203443</v>
      </c>
      <c r="C6605">
        <v>0.91671526882909105</v>
      </c>
      <c r="D6605">
        <v>1.1416282068011101</v>
      </c>
      <c r="E6605">
        <v>0.93500405446268997</v>
      </c>
      <c r="F6605">
        <v>1.17148626313056</v>
      </c>
      <c r="G6605">
        <v>0.95752545811615497</v>
      </c>
      <c r="H6605">
        <v>0.91562488341171999</v>
      </c>
      <c r="I6605">
        <v>1.0756780012048299</v>
      </c>
      <c r="J6605">
        <v>1.3475082999536101</v>
      </c>
      <c r="K6605">
        <v>1.26060579608705</v>
      </c>
      <c r="L6605">
        <v>15000</v>
      </c>
      <c r="M6605">
        <v>233.27075912176201</v>
      </c>
      <c r="O6605">
        <v>64.298230964019595</v>
      </c>
      <c r="P6605">
        <v>0.27578364814848899</v>
      </c>
      <c r="Q6605">
        <v>1.30406556158731</v>
      </c>
      <c r="R6605">
        <v>0.65477822563481403</v>
      </c>
      <c r="S6605" t="s">
        <v>13411</v>
      </c>
      <c r="T6605" t="s">
        <v>13610</v>
      </c>
      <c r="U6605" t="s">
        <v>13610</v>
      </c>
      <c r="V6605" t="s">
        <v>13610</v>
      </c>
      <c r="W6605" t="s">
        <v>20136</v>
      </c>
      <c r="X6605">
        <v>5</v>
      </c>
      <c r="Y6605" t="s">
        <v>26670</v>
      </c>
      <c r="Z6605" t="s">
        <v>33460</v>
      </c>
      <c r="AA6605">
        <v>1.0577030548015489</v>
      </c>
      <c r="AB6605" t="str">
        <f>HYPERLINK("Melting_Curves/meltCurve_Q9Y2S6_TMA7.pdf", "Melting_Curves/meltCurve_Q9Y2S6_TMA7.pdf")</f>
        <v>Melting_Curves/meltCurve_Q9Y2S6_TMA7.pdf</v>
      </c>
    </row>
    <row r="6606" spans="1:28" x14ac:dyDescent="0.25">
      <c r="A6606" t="s">
        <v>6610</v>
      </c>
      <c r="B6606">
        <v>0.995954080203443</v>
      </c>
      <c r="C6606">
        <v>0.89835077448073597</v>
      </c>
      <c r="D6606">
        <v>0.81304837893586501</v>
      </c>
      <c r="E6606">
        <v>0.60509486715360195</v>
      </c>
      <c r="F6606">
        <v>0.29585145829460402</v>
      </c>
      <c r="G6606">
        <v>0.13071214357198499</v>
      </c>
      <c r="H6606">
        <v>9.4689821957026701E-2</v>
      </c>
      <c r="I6606">
        <v>9.7703393363463301E-2</v>
      </c>
      <c r="J6606">
        <v>9.8247510727091994E-2</v>
      </c>
      <c r="K6606">
        <v>9.44719245180691E-2</v>
      </c>
      <c r="L6606">
        <v>882.82709997442305</v>
      </c>
      <c r="M6606">
        <v>17.626221033363699</v>
      </c>
      <c r="N6606">
        <v>50.517286782868098</v>
      </c>
      <c r="O6606">
        <v>49.454663553487201</v>
      </c>
      <c r="P6606">
        <v>-8.2883363870867394E-2</v>
      </c>
      <c r="Q6606">
        <v>6.9851809224280095E-2</v>
      </c>
      <c r="R6606">
        <v>0.99134415357718597</v>
      </c>
      <c r="S6606" t="s">
        <v>13412</v>
      </c>
      <c r="T6606" t="s">
        <v>13610</v>
      </c>
      <c r="U6606" t="s">
        <v>13610</v>
      </c>
      <c r="V6606" t="s">
        <v>13610</v>
      </c>
      <c r="W6606" t="s">
        <v>20137</v>
      </c>
      <c r="X6606">
        <v>11</v>
      </c>
      <c r="Y6606" t="s">
        <v>26671</v>
      </c>
      <c r="Z6606" t="s">
        <v>33461</v>
      </c>
      <c r="AA6606">
        <v>0.39905178079065229</v>
      </c>
      <c r="AB6606" t="str">
        <f>HYPERLINK("Melting_Curves/meltCurve_Q9Y2S7_POLDIP2.pdf", "Melting_Curves/meltCurve_Q9Y2S7_POLDIP2.pdf")</f>
        <v>Melting_Curves/meltCurve_Q9Y2S7_POLDIP2.pdf</v>
      </c>
    </row>
    <row r="6607" spans="1:28" x14ac:dyDescent="0.25">
      <c r="A6607" t="s">
        <v>6611</v>
      </c>
      <c r="B6607">
        <v>0.995954080203443</v>
      </c>
      <c r="C6607">
        <v>0.95844017010295102</v>
      </c>
      <c r="D6607">
        <v>0.86931938223728999</v>
      </c>
      <c r="E6607">
        <v>0.69800228223648098</v>
      </c>
      <c r="F6607">
        <v>0.43094793459854602</v>
      </c>
      <c r="G6607">
        <v>0.187183538591883</v>
      </c>
      <c r="H6607">
        <v>8.4783286627808596E-2</v>
      </c>
      <c r="I6607">
        <v>5.9993724797713401E-2</v>
      </c>
      <c r="J6607">
        <v>5.5014130630996999E-2</v>
      </c>
      <c r="K6607">
        <v>5.3763437721743898E-2</v>
      </c>
      <c r="L6607">
        <v>895.73244890472199</v>
      </c>
      <c r="M6607">
        <v>17.2469484537082</v>
      </c>
      <c r="N6607">
        <v>52.109905186027802</v>
      </c>
      <c r="O6607">
        <v>51.252569993853903</v>
      </c>
      <c r="P6607">
        <v>-8.1775419589033005E-2</v>
      </c>
      <c r="Q6607">
        <v>2.80122380704492E-2</v>
      </c>
      <c r="R6607">
        <v>0.99797900600369105</v>
      </c>
      <c r="S6607" t="s">
        <v>13413</v>
      </c>
      <c r="T6607" t="s">
        <v>13610</v>
      </c>
      <c r="U6607" t="s">
        <v>13610</v>
      </c>
      <c r="V6607" t="s">
        <v>13610</v>
      </c>
      <c r="W6607" t="s">
        <v>20138</v>
      </c>
      <c r="X6607">
        <v>15</v>
      </c>
      <c r="Y6607" t="s">
        <v>26672</v>
      </c>
      <c r="Z6607" t="s">
        <v>33462</v>
      </c>
      <c r="AA6607">
        <v>0.43212807643341461</v>
      </c>
      <c r="AB6607" t="str">
        <f>HYPERLINK("Melting_Curves/meltCurve_Q9Y2T2_AP3M1.pdf", "Melting_Curves/meltCurve_Q9Y2T2_AP3M1.pdf")</f>
        <v>Melting_Curves/meltCurve_Q9Y2T2_AP3M1.pdf</v>
      </c>
    </row>
    <row r="6608" spans="1:28" x14ac:dyDescent="0.25">
      <c r="A6608" t="s">
        <v>6612</v>
      </c>
      <c r="B6608">
        <v>0.995954080203443</v>
      </c>
      <c r="C6608">
        <v>0.80947886887539899</v>
      </c>
      <c r="D6608">
        <v>0.92831552033312903</v>
      </c>
      <c r="E6608">
        <v>0.75149486777677199</v>
      </c>
      <c r="F6608">
        <v>0.81418101622652395</v>
      </c>
      <c r="G6608">
        <v>0.72468618981781796</v>
      </c>
      <c r="H6608">
        <v>0.69324545954811101</v>
      </c>
      <c r="I6608">
        <v>0.86748476109213901</v>
      </c>
      <c r="J6608">
        <v>1.0731224483589099</v>
      </c>
      <c r="K6608">
        <v>1.0324805054566999</v>
      </c>
      <c r="L6608">
        <v>10142.025175462701</v>
      </c>
      <c r="M6608">
        <v>250</v>
      </c>
      <c r="O6608">
        <v>40.565504613060099</v>
      </c>
      <c r="P6608">
        <v>-0.22349148047345299</v>
      </c>
      <c r="Q6608">
        <v>0.85494328525806396</v>
      </c>
      <c r="R6608">
        <v>0.111776884392085</v>
      </c>
      <c r="S6608" t="s">
        <v>13414</v>
      </c>
      <c r="T6608" t="s">
        <v>13610</v>
      </c>
      <c r="U6608" t="s">
        <v>13610</v>
      </c>
      <c r="V6608" t="s">
        <v>13610</v>
      </c>
      <c r="W6608" t="s">
        <v>20139</v>
      </c>
      <c r="X6608">
        <v>9</v>
      </c>
      <c r="Y6608" t="s">
        <v>26673</v>
      </c>
      <c r="Z6608" t="s">
        <v>33463</v>
      </c>
      <c r="AA6608">
        <v>0.85772192634045519</v>
      </c>
      <c r="AB6608" t="str">
        <f>HYPERLINK("Melting_Curves/meltCurve_Q9Y2T7_YBX2.pdf", "Melting_Curves/meltCurve_Q9Y2T7_YBX2.pdf")</f>
        <v>Melting_Curves/meltCurve_Q9Y2T7_YBX2.pdf</v>
      </c>
    </row>
    <row r="6609" spans="1:28" x14ac:dyDescent="0.25">
      <c r="A6609" t="s">
        <v>6613</v>
      </c>
      <c r="B6609">
        <v>0.995954080203443</v>
      </c>
      <c r="C6609">
        <v>0.91892166296956901</v>
      </c>
      <c r="D6609">
        <v>0.79735350714827002</v>
      </c>
      <c r="E6609">
        <v>0.514428624896489</v>
      </c>
      <c r="F6609">
        <v>0.427059186897643</v>
      </c>
      <c r="G6609">
        <v>0.22322067878740201</v>
      </c>
      <c r="H6609">
        <v>0.19467678545067699</v>
      </c>
      <c r="I6609">
        <v>0.20565279399210901</v>
      </c>
      <c r="J6609">
        <v>0.28124129010378102</v>
      </c>
      <c r="K6609">
        <v>0.246494847233901</v>
      </c>
      <c r="L6609">
        <v>848.54636772770004</v>
      </c>
      <c r="M6609">
        <v>17.395298064683299</v>
      </c>
      <c r="N6609">
        <v>50.430704923453902</v>
      </c>
      <c r="O6609">
        <v>48.149246402723001</v>
      </c>
      <c r="P6609">
        <v>-7.07204795885817E-2</v>
      </c>
      <c r="Q6609">
        <v>0.217042295344134</v>
      </c>
      <c r="R6609">
        <v>0.98552367934991802</v>
      </c>
      <c r="S6609" t="s">
        <v>13415</v>
      </c>
      <c r="T6609" t="s">
        <v>13610</v>
      </c>
      <c r="U6609" t="s">
        <v>13610</v>
      </c>
      <c r="V6609" t="s">
        <v>13610</v>
      </c>
      <c r="W6609" t="s">
        <v>20140</v>
      </c>
      <c r="X6609">
        <v>4</v>
      </c>
      <c r="Y6609" t="s">
        <v>26674</v>
      </c>
      <c r="Z6609" t="s">
        <v>33464</v>
      </c>
      <c r="AA6609">
        <v>0.46078105542259579</v>
      </c>
      <c r="AB6609" t="str">
        <f>HYPERLINK("Melting_Curves/meltCurve_Q9Y2U5_MAP3K2.pdf", "Melting_Curves/meltCurve_Q9Y2U5_MAP3K2.pdf")</f>
        <v>Melting_Curves/meltCurve_Q9Y2U5_MAP3K2.pdf</v>
      </c>
    </row>
    <row r="6610" spans="1:28" x14ac:dyDescent="0.25">
      <c r="A6610" t="s">
        <v>6614</v>
      </c>
      <c r="B6610">
        <v>0.995954080203443</v>
      </c>
      <c r="C6610">
        <v>0.96555381266954898</v>
      </c>
      <c r="D6610">
        <v>0.92269944840011398</v>
      </c>
      <c r="E6610">
        <v>0.84960217469409405</v>
      </c>
      <c r="F6610">
        <v>0.85275944201288201</v>
      </c>
      <c r="G6610">
        <v>0.62032596648264204</v>
      </c>
      <c r="H6610">
        <v>0.61210181740782499</v>
      </c>
      <c r="I6610">
        <v>0.78305228703173602</v>
      </c>
      <c r="J6610">
        <v>0.83325861939170498</v>
      </c>
      <c r="K6610">
        <v>0.86664976181776399</v>
      </c>
      <c r="L6610">
        <v>1011.14220203821</v>
      </c>
      <c r="M6610">
        <v>20.902347897395099</v>
      </c>
      <c r="O6610">
        <v>47.938333180246701</v>
      </c>
      <c r="P6610">
        <v>-2.6889526466432799E-2</v>
      </c>
      <c r="Q6610">
        <v>0.75332839938484897</v>
      </c>
      <c r="R6610">
        <v>0.56040492407349696</v>
      </c>
      <c r="S6610" t="s">
        <v>13416</v>
      </c>
      <c r="T6610" t="s">
        <v>13610</v>
      </c>
      <c r="U6610" t="s">
        <v>13610</v>
      </c>
      <c r="V6610" t="s">
        <v>13610</v>
      </c>
      <c r="W6610" t="s">
        <v>20141</v>
      </c>
      <c r="X6610">
        <v>7</v>
      </c>
      <c r="Y6610" t="s">
        <v>26675</v>
      </c>
      <c r="Z6610" t="s">
        <v>33465</v>
      </c>
      <c r="AA6610">
        <v>0.82536234206232395</v>
      </c>
      <c r="AB6610" t="str">
        <f>HYPERLINK("Melting_Curves/meltCurve_Q9Y2U8_LEMD3.pdf", "Melting_Curves/meltCurve_Q9Y2U8_LEMD3.pdf")</f>
        <v>Melting_Curves/meltCurve_Q9Y2U8_LEMD3.pdf</v>
      </c>
    </row>
    <row r="6611" spans="1:28" x14ac:dyDescent="0.25">
      <c r="A6611" t="s">
        <v>6615</v>
      </c>
      <c r="B6611">
        <v>0.995954080203443</v>
      </c>
      <c r="C6611">
        <v>0.90704699433732705</v>
      </c>
      <c r="D6611">
        <v>0.65028434664538004</v>
      </c>
      <c r="E6611">
        <v>0.49772585221173499</v>
      </c>
      <c r="F6611">
        <v>0.21838398019121399</v>
      </c>
      <c r="G6611">
        <v>0.122745283174219</v>
      </c>
      <c r="H6611">
        <v>8.9196523326680599E-2</v>
      </c>
      <c r="I6611">
        <v>8.6529796429299199E-2</v>
      </c>
      <c r="J6611">
        <v>7.6724886162458206E-2</v>
      </c>
      <c r="K6611">
        <v>8.5530782229079894E-2</v>
      </c>
      <c r="L6611">
        <v>748.89698044016404</v>
      </c>
      <c r="M6611">
        <v>15.4570718592476</v>
      </c>
      <c r="N6611">
        <v>48.854793900646598</v>
      </c>
      <c r="O6611">
        <v>47.660908664320402</v>
      </c>
      <c r="P6611">
        <v>-7.6213347815202795E-2</v>
      </c>
      <c r="Q6611">
        <v>6.0088308373269297E-2</v>
      </c>
      <c r="R6611">
        <v>0.98839486336032301</v>
      </c>
      <c r="S6611" t="s">
        <v>13417</v>
      </c>
      <c r="T6611" t="s">
        <v>13610</v>
      </c>
      <c r="U6611" t="s">
        <v>13610</v>
      </c>
      <c r="V6611" t="s">
        <v>13610</v>
      </c>
      <c r="W6611" t="s">
        <v>20142</v>
      </c>
      <c r="X6611">
        <v>4</v>
      </c>
      <c r="Y6611" t="s">
        <v>26676</v>
      </c>
      <c r="Z6611" t="s">
        <v>33466</v>
      </c>
      <c r="AA6611">
        <v>0.34719469165683281</v>
      </c>
      <c r="AB6611" t="str">
        <f>HYPERLINK("Melting_Curves/meltCurve_Q9Y2V0_2_C15orf41.pdf", "Melting_Curves/meltCurve_Q9Y2V0_2_C15orf41.pdf")</f>
        <v>Melting_Curves/meltCurve_Q9Y2V0_2_C15orf41.pdf</v>
      </c>
    </row>
    <row r="6612" spans="1:28" x14ac:dyDescent="0.25">
      <c r="A6612" t="s">
        <v>6616</v>
      </c>
      <c r="B6612">
        <v>0.995954080203443</v>
      </c>
      <c r="C6612">
        <v>0.88664484262801901</v>
      </c>
      <c r="D6612">
        <v>1.0058060847756001</v>
      </c>
      <c r="E6612">
        <v>0.81351110974508001</v>
      </c>
      <c r="F6612">
        <v>0.80001765179727002</v>
      </c>
      <c r="G6612">
        <v>0.53348799794892199</v>
      </c>
      <c r="H6612">
        <v>0.41260636449933902</v>
      </c>
      <c r="I6612">
        <v>0.47923843366893598</v>
      </c>
      <c r="J6612">
        <v>0.63163976921555298</v>
      </c>
      <c r="K6612">
        <v>0.57172714198741503</v>
      </c>
      <c r="L6612">
        <v>1246.13416611087</v>
      </c>
      <c r="M6612">
        <v>23.846221896151</v>
      </c>
      <c r="O6612">
        <v>51.893773278621303</v>
      </c>
      <c r="P6612">
        <v>-5.5474284073192E-2</v>
      </c>
      <c r="Q6612">
        <v>0.51711898568120696</v>
      </c>
      <c r="R6612">
        <v>0.86342889195577499</v>
      </c>
      <c r="S6612" t="s">
        <v>13418</v>
      </c>
      <c r="T6612" t="s">
        <v>13610</v>
      </c>
      <c r="U6612" t="s">
        <v>13610</v>
      </c>
      <c r="V6612" t="s">
        <v>13610</v>
      </c>
      <c r="W6612" t="s">
        <v>20143</v>
      </c>
      <c r="X6612">
        <v>11</v>
      </c>
      <c r="Y6612" t="s">
        <v>26677</v>
      </c>
      <c r="Z6612" t="s">
        <v>33467</v>
      </c>
      <c r="AA6612">
        <v>0.71924391540733834</v>
      </c>
      <c r="AB6612" t="str">
        <f>HYPERLINK("Melting_Curves/meltCurve_Q9Y2V2_CARHSP1.pdf", "Melting_Curves/meltCurve_Q9Y2V2_CARHSP1.pdf")</f>
        <v>Melting_Curves/meltCurve_Q9Y2V2_CARHSP1.pdf</v>
      </c>
    </row>
    <row r="6613" spans="1:28" x14ac:dyDescent="0.25">
      <c r="A6613" t="s">
        <v>6617</v>
      </c>
      <c r="B6613">
        <v>0.995954080203443</v>
      </c>
      <c r="C6613">
        <v>0.744262250542715</v>
      </c>
      <c r="D6613">
        <v>0.49787581344277798</v>
      </c>
      <c r="E6613">
        <v>0.30600403623407801</v>
      </c>
      <c r="F6613">
        <v>0.15520375644304499</v>
      </c>
      <c r="G6613">
        <v>9.7973842798211599E-2</v>
      </c>
      <c r="H6613">
        <v>7.2284493478882106E-2</v>
      </c>
      <c r="I6613">
        <v>7.7456042996057003E-2</v>
      </c>
      <c r="J6613">
        <v>8.8899624138681105E-2</v>
      </c>
      <c r="K6613">
        <v>8.4901839552880706E-2</v>
      </c>
      <c r="L6613">
        <v>764.43107433822604</v>
      </c>
      <c r="M6613">
        <v>16.685938646308099</v>
      </c>
      <c r="N6613">
        <v>46.264893949758999</v>
      </c>
      <c r="O6613">
        <v>45.170045196682203</v>
      </c>
      <c r="P6613">
        <v>-8.5410393668054502E-2</v>
      </c>
      <c r="Q6613">
        <v>7.5212999494621902E-2</v>
      </c>
      <c r="R6613">
        <v>0.99029632285201596</v>
      </c>
      <c r="S6613" t="s">
        <v>13419</v>
      </c>
      <c r="T6613" t="s">
        <v>13610</v>
      </c>
      <c r="U6613" t="s">
        <v>13610</v>
      </c>
      <c r="V6613" t="s">
        <v>13610</v>
      </c>
      <c r="W6613" t="s">
        <v>20144</v>
      </c>
      <c r="X6613">
        <v>12</v>
      </c>
      <c r="Y6613" t="s">
        <v>26678</v>
      </c>
      <c r="Z6613" t="s">
        <v>33468</v>
      </c>
      <c r="AA6613">
        <v>0.2762175429188688</v>
      </c>
      <c r="AB6613" t="str">
        <f>HYPERLINK("Melting_Curves/meltCurve_Q9Y2V7_COG6.pdf", "Melting_Curves/meltCurve_Q9Y2V7_COG6.pdf")</f>
        <v>Melting_Curves/meltCurve_Q9Y2V7_COG6.pdf</v>
      </c>
    </row>
    <row r="6614" spans="1:28" x14ac:dyDescent="0.25">
      <c r="A6614" t="s">
        <v>6618</v>
      </c>
      <c r="B6614">
        <v>0.995954080203443</v>
      </c>
      <c r="C6614">
        <v>0.945402851189451</v>
      </c>
      <c r="D6614">
        <v>1.00247513935247</v>
      </c>
      <c r="E6614">
        <v>0.89058808681580104</v>
      </c>
      <c r="F6614">
        <v>0.88740939608430403</v>
      </c>
      <c r="G6614">
        <v>0.74964916198023601</v>
      </c>
      <c r="H6614">
        <v>0.81541516333393804</v>
      </c>
      <c r="I6614">
        <v>1.04123635654419</v>
      </c>
      <c r="J6614">
        <v>1.3281558268776801</v>
      </c>
      <c r="K6614">
        <v>1.2270318202658299</v>
      </c>
      <c r="L6614">
        <v>15000</v>
      </c>
      <c r="M6614">
        <v>232.63064838931101</v>
      </c>
      <c r="O6614">
        <v>64.475120197281299</v>
      </c>
      <c r="P6614">
        <v>0.25040634213506602</v>
      </c>
      <c r="Q6614">
        <v>1.2776071285738</v>
      </c>
      <c r="R6614">
        <v>0.54390528281430806</v>
      </c>
      <c r="S6614" t="s">
        <v>13420</v>
      </c>
      <c r="T6614" t="s">
        <v>13610</v>
      </c>
      <c r="U6614" t="s">
        <v>13610</v>
      </c>
      <c r="V6614" t="s">
        <v>13610</v>
      </c>
      <c r="W6614" t="s">
        <v>20145</v>
      </c>
      <c r="X6614">
        <v>62</v>
      </c>
      <c r="Y6614" t="s">
        <v>26679</v>
      </c>
      <c r="Z6614" t="s">
        <v>33469</v>
      </c>
      <c r="AA6614">
        <v>1.051044392805198</v>
      </c>
      <c r="AB6614" t="str">
        <f>HYPERLINK("Melting_Curves/meltCurve_Q9Y2W1_THRAP3.pdf", "Melting_Curves/meltCurve_Q9Y2W1_THRAP3.pdf")</f>
        <v>Melting_Curves/meltCurve_Q9Y2W1_THRAP3.pdf</v>
      </c>
    </row>
    <row r="6615" spans="1:28" x14ac:dyDescent="0.25">
      <c r="A6615" t="s">
        <v>6619</v>
      </c>
      <c r="B6615">
        <v>0.995954080203443</v>
      </c>
      <c r="C6615">
        <v>0.63542233862044195</v>
      </c>
      <c r="D6615">
        <v>0.41866608362596702</v>
      </c>
      <c r="E6615">
        <v>0.55713240550204801</v>
      </c>
      <c r="F6615">
        <v>0.20305521391575199</v>
      </c>
      <c r="G6615">
        <v>0.120372172533423</v>
      </c>
      <c r="H6615">
        <v>6.5377271956729793E-2</v>
      </c>
      <c r="I6615">
        <v>6.32749006517834E-2</v>
      </c>
      <c r="J6615">
        <v>5.2882343233556499E-2</v>
      </c>
      <c r="K6615">
        <v>5.4600585905152502E-2</v>
      </c>
      <c r="L6615">
        <v>466.25751384357699</v>
      </c>
      <c r="M6615">
        <v>9.9162724134777491</v>
      </c>
      <c r="N6615">
        <v>47.019435426877102</v>
      </c>
      <c r="O6615">
        <v>45.227086038165503</v>
      </c>
      <c r="P6615">
        <v>-5.4841323387401497E-2</v>
      </c>
      <c r="Q6615">
        <v>0</v>
      </c>
      <c r="R6615">
        <v>0.90385721287243503</v>
      </c>
      <c r="S6615" t="s">
        <v>13421</v>
      </c>
      <c r="T6615" t="s">
        <v>13610</v>
      </c>
      <c r="U6615" t="s">
        <v>13610</v>
      </c>
      <c r="V6615" t="s">
        <v>13610</v>
      </c>
      <c r="W6615" t="s">
        <v>20146</v>
      </c>
      <c r="X6615">
        <v>5</v>
      </c>
      <c r="Y6615" t="s">
        <v>26680</v>
      </c>
      <c r="Z6615" t="s">
        <v>33470</v>
      </c>
      <c r="AA6615">
        <v>0.29211144352820939</v>
      </c>
      <c r="AB6615" t="str">
        <f>HYPERLINK("Melting_Curves/meltCurve_Q9Y2X0_2_MED16.pdf", "Melting_Curves/meltCurve_Q9Y2X0_2_MED16.pdf")</f>
        <v>Melting_Curves/meltCurve_Q9Y2X0_2_MED16.pdf</v>
      </c>
    </row>
    <row r="6616" spans="1:28" x14ac:dyDescent="0.25">
      <c r="A6616" t="s">
        <v>6620</v>
      </c>
      <c r="B6616">
        <v>0.995954080203443</v>
      </c>
      <c r="C6616">
        <v>0.931018244089865</v>
      </c>
      <c r="D6616">
        <v>0.89127184392876702</v>
      </c>
      <c r="E6616">
        <v>0.83747552120538005</v>
      </c>
      <c r="F6616">
        <v>0.75310480940754299</v>
      </c>
      <c r="G6616">
        <v>0.53974684831377595</v>
      </c>
      <c r="H6616">
        <v>0.47694428313661003</v>
      </c>
      <c r="I6616">
        <v>0.53123750510166301</v>
      </c>
      <c r="J6616">
        <v>0.62245588872676405</v>
      </c>
      <c r="K6616">
        <v>0.61837773500706805</v>
      </c>
      <c r="L6616">
        <v>915.56899900935002</v>
      </c>
      <c r="M6616">
        <v>17.974487189155901</v>
      </c>
      <c r="O6616">
        <v>50.319221024677901</v>
      </c>
      <c r="P6616">
        <v>-4.0376364797422203E-2</v>
      </c>
      <c r="Q6616">
        <v>0.54789117027828604</v>
      </c>
      <c r="R6616">
        <v>0.89640735954051998</v>
      </c>
      <c r="S6616" t="s">
        <v>13422</v>
      </c>
      <c r="T6616" t="s">
        <v>13610</v>
      </c>
      <c r="U6616" t="s">
        <v>13610</v>
      </c>
      <c r="V6616" t="s">
        <v>13610</v>
      </c>
      <c r="W6616" t="s">
        <v>20147</v>
      </c>
      <c r="X6616">
        <v>14</v>
      </c>
      <c r="Y6616" t="s">
        <v>26681</v>
      </c>
      <c r="Z6616" t="s">
        <v>33471</v>
      </c>
      <c r="AA6616">
        <v>0.72036002766070062</v>
      </c>
      <c r="AB6616" t="str">
        <f>HYPERLINK("Melting_Curves/meltCurve_Q9Y2X3_NOP58.pdf", "Melting_Curves/meltCurve_Q9Y2X3_NOP58.pdf")</f>
        <v>Melting_Curves/meltCurve_Q9Y2X3_NOP58.pdf</v>
      </c>
    </row>
    <row r="6617" spans="1:28" x14ac:dyDescent="0.25">
      <c r="A6617" t="s">
        <v>6621</v>
      </c>
      <c r="B6617">
        <v>0.995954080203443</v>
      </c>
      <c r="C6617">
        <v>0.87884026126354098</v>
      </c>
      <c r="D6617">
        <v>0.83069935716508903</v>
      </c>
      <c r="E6617">
        <v>0.59866601909740602</v>
      </c>
      <c r="F6617">
        <v>0.436701453521116</v>
      </c>
      <c r="G6617">
        <v>0.31920360331199299</v>
      </c>
      <c r="H6617">
        <v>0.24357173693446799</v>
      </c>
      <c r="I6617">
        <v>0.24172674700574301</v>
      </c>
      <c r="J6617">
        <v>0.20313750603348099</v>
      </c>
      <c r="K6617">
        <v>0.19914717178760999</v>
      </c>
      <c r="L6617">
        <v>669.50352612387405</v>
      </c>
      <c r="M6617">
        <v>13.3710208283948</v>
      </c>
      <c r="N6617">
        <v>51.834289988280197</v>
      </c>
      <c r="O6617">
        <v>48.991031620328997</v>
      </c>
      <c r="P6617">
        <v>-5.5774182834267397E-2</v>
      </c>
      <c r="Q6617">
        <v>0.182709461008634</v>
      </c>
      <c r="R6617">
        <v>0.99612618040997103</v>
      </c>
      <c r="S6617" t="s">
        <v>13423</v>
      </c>
      <c r="T6617" t="s">
        <v>13610</v>
      </c>
      <c r="U6617" t="s">
        <v>13610</v>
      </c>
      <c r="V6617" t="s">
        <v>13610</v>
      </c>
      <c r="W6617" t="s">
        <v>20148</v>
      </c>
      <c r="X6617">
        <v>20</v>
      </c>
      <c r="Y6617" t="s">
        <v>26682</v>
      </c>
      <c r="Z6617" t="s">
        <v>33472</v>
      </c>
      <c r="AA6617">
        <v>0.48075713323031782</v>
      </c>
      <c r="AB6617" t="str">
        <f>HYPERLINK("Melting_Curves/meltCurve_Q9Y2X7_GIT1.pdf", "Melting_Curves/meltCurve_Q9Y2X7_GIT1.pdf")</f>
        <v>Melting_Curves/meltCurve_Q9Y2X7_GIT1.pdf</v>
      </c>
    </row>
    <row r="6618" spans="1:28" x14ac:dyDescent="0.25">
      <c r="A6618" t="s">
        <v>6622</v>
      </c>
      <c r="B6618">
        <v>0.995954080203443</v>
      </c>
      <c r="C6618">
        <v>1.0577741358008199</v>
      </c>
      <c r="D6618">
        <v>0.98262368154179003</v>
      </c>
      <c r="E6618">
        <v>0.80904639865848704</v>
      </c>
      <c r="F6618">
        <v>0.53206525091399404</v>
      </c>
      <c r="G6618">
        <v>0.27852853393085197</v>
      </c>
      <c r="H6618">
        <v>0.176319084811666</v>
      </c>
      <c r="I6618">
        <v>0.13977414507334501</v>
      </c>
      <c r="J6618">
        <v>0.13509117846729499</v>
      </c>
      <c r="K6618">
        <v>0.13427733296126501</v>
      </c>
      <c r="L6618">
        <v>1213.74743541476</v>
      </c>
      <c r="M6618">
        <v>23.011504474295801</v>
      </c>
      <c r="N6618">
        <v>53.462270519057398</v>
      </c>
      <c r="O6618">
        <v>52.351756433937901</v>
      </c>
      <c r="P6618">
        <v>-9.5300130085486795E-2</v>
      </c>
      <c r="Q6618">
        <v>0.13277531880221299</v>
      </c>
      <c r="R6618">
        <v>0.99690581703095005</v>
      </c>
      <c r="S6618" t="s">
        <v>13424</v>
      </c>
      <c r="T6618" t="s">
        <v>13610</v>
      </c>
      <c r="U6618" t="s">
        <v>13610</v>
      </c>
      <c r="V6618" t="s">
        <v>13610</v>
      </c>
      <c r="W6618" t="s">
        <v>20149</v>
      </c>
      <c r="X6618">
        <v>32</v>
      </c>
      <c r="Y6618" t="s">
        <v>26683</v>
      </c>
      <c r="Z6618" t="s">
        <v>33473</v>
      </c>
      <c r="AA6618">
        <v>0.51051056424528285</v>
      </c>
      <c r="AB6618" t="str">
        <f>HYPERLINK("Melting_Curves/meltCurve_Q9Y2Z0_SUGT1.pdf", "Melting_Curves/meltCurve_Q9Y2Z0_SUGT1.pdf")</f>
        <v>Melting_Curves/meltCurve_Q9Y2Z0_SUGT1.pdf</v>
      </c>
    </row>
    <row r="6619" spans="1:28" x14ac:dyDescent="0.25">
      <c r="A6619" t="s">
        <v>6623</v>
      </c>
      <c r="B6619">
        <v>0.995954080203443</v>
      </c>
      <c r="C6619">
        <v>1.0718228201532001</v>
      </c>
      <c r="D6619">
        <v>1.08188772439729</v>
      </c>
      <c r="E6619">
        <v>0.980526134998848</v>
      </c>
      <c r="F6619">
        <v>0.83709165553405995</v>
      </c>
      <c r="G6619">
        <v>0.54025883265007502</v>
      </c>
      <c r="H6619">
        <v>0.318963323021898</v>
      </c>
      <c r="I6619">
        <v>0.23333601086633801</v>
      </c>
      <c r="J6619">
        <v>0.21922263002362399</v>
      </c>
      <c r="K6619">
        <v>0.20673461305063201</v>
      </c>
      <c r="L6619">
        <v>1357.12602542493</v>
      </c>
      <c r="M6619">
        <v>24.119811597787301</v>
      </c>
      <c r="N6619">
        <v>57.494212977468599</v>
      </c>
      <c r="O6619">
        <v>55.883549368328197</v>
      </c>
      <c r="P6619">
        <v>-8.6180323589524002E-2</v>
      </c>
      <c r="Q6619">
        <v>0.20132262361556899</v>
      </c>
      <c r="R6619">
        <v>0.98979915084301595</v>
      </c>
      <c r="S6619" t="s">
        <v>13425</v>
      </c>
      <c r="T6619" t="s">
        <v>13610</v>
      </c>
      <c r="U6619" t="s">
        <v>13610</v>
      </c>
      <c r="V6619" t="s">
        <v>13610</v>
      </c>
      <c r="W6619" t="s">
        <v>20150</v>
      </c>
      <c r="X6619">
        <v>32</v>
      </c>
      <c r="Y6619" t="s">
        <v>26683</v>
      </c>
      <c r="Z6619" t="s">
        <v>33474</v>
      </c>
      <c r="AA6619">
        <v>0.64210474138363316</v>
      </c>
      <c r="AB6619" t="str">
        <f>HYPERLINK("Melting_Curves/meltCurve_Q9Y2Z0_2_SUGT1.pdf", "Melting_Curves/meltCurve_Q9Y2Z0_2_SUGT1.pdf")</f>
        <v>Melting_Curves/meltCurve_Q9Y2Z0_2_SUGT1.pdf</v>
      </c>
    </row>
    <row r="6620" spans="1:28" x14ac:dyDescent="0.25">
      <c r="A6620" t="s">
        <v>6624</v>
      </c>
      <c r="B6620">
        <v>0.995954080203443</v>
      </c>
      <c r="C6620">
        <v>0.88765415747422605</v>
      </c>
      <c r="D6620">
        <v>0.68617207102625799</v>
      </c>
      <c r="E6620">
        <v>0.64691313245442394</v>
      </c>
      <c r="F6620">
        <v>0.430383311480525</v>
      </c>
      <c r="G6620">
        <v>0.38554803978589902</v>
      </c>
      <c r="H6620">
        <v>0.31673285569371201</v>
      </c>
      <c r="I6620">
        <v>0.39034593101820098</v>
      </c>
      <c r="J6620">
        <v>0.29570166458598002</v>
      </c>
      <c r="K6620">
        <v>0.460245840487221</v>
      </c>
      <c r="L6620">
        <v>697.521526774064</v>
      </c>
      <c r="M6620">
        <v>14.7252066657875</v>
      </c>
      <c r="N6620">
        <v>51.655114915193003</v>
      </c>
      <c r="O6620">
        <v>46.5213366680955</v>
      </c>
      <c r="P6620">
        <v>-5.1231641383975901E-2</v>
      </c>
      <c r="Q6620">
        <v>0.35264609525886298</v>
      </c>
      <c r="R6620">
        <v>0.93779765324639397</v>
      </c>
      <c r="S6620" t="s">
        <v>13426</v>
      </c>
      <c r="T6620" t="s">
        <v>13610</v>
      </c>
      <c r="U6620" t="s">
        <v>13610</v>
      </c>
      <c r="V6620" t="s">
        <v>13610</v>
      </c>
      <c r="W6620" t="s">
        <v>20151</v>
      </c>
      <c r="X6620">
        <v>2</v>
      </c>
      <c r="Y6620" t="s">
        <v>26684</v>
      </c>
      <c r="Z6620" t="s">
        <v>33475</v>
      </c>
      <c r="AA6620">
        <v>0.5295268461022633</v>
      </c>
      <c r="AB6620" t="str">
        <f>HYPERLINK("Melting_Curves/meltCurve_Q9Y2Z2_5_MTO1.pdf", "Melting_Curves/meltCurve_Q9Y2Z2_5_MTO1.pdf")</f>
        <v>Melting_Curves/meltCurve_Q9Y2Z2_5_MTO1.pdf</v>
      </c>
    </row>
    <row r="6621" spans="1:28" x14ac:dyDescent="0.25">
      <c r="A6621" t="s">
        <v>6625</v>
      </c>
      <c r="B6621">
        <v>0.995954080203443</v>
      </c>
      <c r="C6621">
        <v>0.86980370369385995</v>
      </c>
      <c r="D6621">
        <v>0.50888738684478896</v>
      </c>
      <c r="E6621">
        <v>0.26282643893511498</v>
      </c>
      <c r="F6621">
        <v>0.141358120356123</v>
      </c>
      <c r="G6621">
        <v>8.8007660688653705E-2</v>
      </c>
      <c r="H6621">
        <v>6.3981338428477696E-2</v>
      </c>
      <c r="I6621">
        <v>5.57821020069851E-2</v>
      </c>
      <c r="J6621">
        <v>6.5771641805855499E-2</v>
      </c>
      <c r="K6621">
        <v>6.4770947179623797E-2</v>
      </c>
      <c r="L6621">
        <v>951.56420304105598</v>
      </c>
      <c r="M6621">
        <v>20.6004129102276</v>
      </c>
      <c r="N6621">
        <v>46.515598498184097</v>
      </c>
      <c r="O6621">
        <v>45.762844649699304</v>
      </c>
      <c r="P6621">
        <v>-0.105018596197932</v>
      </c>
      <c r="Q6621">
        <v>6.6851552678745402E-2</v>
      </c>
      <c r="R6621">
        <v>0.99511027347312397</v>
      </c>
      <c r="S6621" t="s">
        <v>13427</v>
      </c>
      <c r="T6621" t="s">
        <v>13610</v>
      </c>
      <c r="U6621" t="s">
        <v>13610</v>
      </c>
      <c r="V6621" t="s">
        <v>13610</v>
      </c>
      <c r="W6621" t="s">
        <v>20152</v>
      </c>
      <c r="X6621">
        <v>8</v>
      </c>
      <c r="Y6621" t="s">
        <v>26685</v>
      </c>
      <c r="Z6621" t="s">
        <v>33476</v>
      </c>
      <c r="AA6621">
        <v>0.27275006805584989</v>
      </c>
      <c r="AB6621" t="str">
        <f>HYPERLINK("Melting_Curves/meltCurve_Q9Y2Z4_YARS2.pdf", "Melting_Curves/meltCurve_Q9Y2Z4_YARS2.pdf")</f>
        <v>Melting_Curves/meltCurve_Q9Y2Z4_YARS2.pdf</v>
      </c>
    </row>
    <row r="6622" spans="1:28" x14ac:dyDescent="0.25">
      <c r="A6622" t="s">
        <v>6626</v>
      </c>
      <c r="B6622">
        <v>0.995954080203443</v>
      </c>
      <c r="C6622">
        <v>0.916551936358034</v>
      </c>
      <c r="D6622">
        <v>0.758590271145682</v>
      </c>
      <c r="E6622">
        <v>0.72964344765825195</v>
      </c>
      <c r="F6622">
        <v>0.40535666162022199</v>
      </c>
      <c r="G6622">
        <v>0.17930191519206801</v>
      </c>
      <c r="H6622">
        <v>6.3010646993950398E-2</v>
      </c>
      <c r="I6622">
        <v>5.13499313141954E-2</v>
      </c>
      <c r="J6622">
        <v>5.5021975990931601E-2</v>
      </c>
      <c r="K6622">
        <v>5.5146865069900401E-2</v>
      </c>
      <c r="L6622">
        <v>739.22870902526302</v>
      </c>
      <c r="M6622">
        <v>14.2802362295346</v>
      </c>
      <c r="N6622">
        <v>51.765859126084798</v>
      </c>
      <c r="O6622">
        <v>50.782462150321997</v>
      </c>
      <c r="P6622">
        <v>-7.0309631113349896E-2</v>
      </c>
      <c r="Q6622">
        <v>0</v>
      </c>
      <c r="R6622">
        <v>0.98078687041802504</v>
      </c>
      <c r="S6622" t="s">
        <v>13428</v>
      </c>
      <c r="T6622" t="s">
        <v>13610</v>
      </c>
      <c r="U6622" t="s">
        <v>13610</v>
      </c>
      <c r="V6622" t="s">
        <v>13610</v>
      </c>
      <c r="W6622" t="s">
        <v>20153</v>
      </c>
      <c r="X6622">
        <v>11</v>
      </c>
      <c r="Y6622" t="s">
        <v>26686</v>
      </c>
      <c r="Z6622" t="s">
        <v>33477</v>
      </c>
      <c r="AA6622">
        <v>0.41649696382953932</v>
      </c>
      <c r="AB6622" t="str">
        <f>HYPERLINK("Melting_Curves/meltCurve_Q9Y303_AMDHD2.pdf", "Melting_Curves/meltCurve_Q9Y303_AMDHD2.pdf")</f>
        <v>Melting_Curves/meltCurve_Q9Y303_AMDHD2.pdf</v>
      </c>
    </row>
    <row r="6623" spans="1:28" x14ac:dyDescent="0.25">
      <c r="A6623" t="s">
        <v>6627</v>
      </c>
      <c r="B6623">
        <v>0.995954080203443</v>
      </c>
      <c r="C6623">
        <v>0.78023935298967995</v>
      </c>
      <c r="D6623">
        <v>0.98697958345482095</v>
      </c>
      <c r="E6623">
        <v>0.63968372070721602</v>
      </c>
      <c r="F6623">
        <v>0.77598912686384902</v>
      </c>
      <c r="G6623">
        <v>0.60354289275057205</v>
      </c>
      <c r="H6623">
        <v>0.48035864408311302</v>
      </c>
      <c r="I6623">
        <v>0.58114282889197799</v>
      </c>
      <c r="J6623">
        <v>0.71020855430441898</v>
      </c>
      <c r="K6623">
        <v>0.62875544507440395</v>
      </c>
      <c r="L6623">
        <v>613.41835454437899</v>
      </c>
      <c r="M6623">
        <v>12.863419414307799</v>
      </c>
      <c r="O6623">
        <v>46.578645541473499</v>
      </c>
      <c r="P6623">
        <v>-2.8211780555686999E-2</v>
      </c>
      <c r="Q6623">
        <v>0.59145398668441695</v>
      </c>
      <c r="R6623">
        <v>0.64264774448484296</v>
      </c>
      <c r="S6623" t="s">
        <v>13429</v>
      </c>
      <c r="T6623" t="s">
        <v>13610</v>
      </c>
      <c r="U6623" t="s">
        <v>13610</v>
      </c>
      <c r="V6623" t="s">
        <v>13610</v>
      </c>
      <c r="W6623" t="s">
        <v>20154</v>
      </c>
      <c r="X6623">
        <v>11</v>
      </c>
      <c r="Y6623" t="s">
        <v>26686</v>
      </c>
      <c r="Z6623" t="s">
        <v>33478</v>
      </c>
      <c r="AA6623">
        <v>0.71051873027901091</v>
      </c>
      <c r="AB6623" t="str">
        <f>HYPERLINK("Melting_Curves/meltCurve_Q9Y303_2_AMDHD2.pdf", "Melting_Curves/meltCurve_Q9Y303_2_AMDHD2.pdf")</f>
        <v>Melting_Curves/meltCurve_Q9Y303_2_AMDHD2.pdf</v>
      </c>
    </row>
    <row r="6624" spans="1:28" x14ac:dyDescent="0.25">
      <c r="A6624" t="s">
        <v>6628</v>
      </c>
      <c r="B6624">
        <v>0.995954080203443</v>
      </c>
      <c r="C6624">
        <v>0.61715977481263096</v>
      </c>
      <c r="D6624">
        <v>0.42753269388728998</v>
      </c>
      <c r="E6624">
        <v>0.42694611648533198</v>
      </c>
      <c r="F6624">
        <v>0.34165561591308602</v>
      </c>
      <c r="G6624">
        <v>0.23413791003698001</v>
      </c>
      <c r="H6624">
        <v>0.173856356639219</v>
      </c>
      <c r="I6624">
        <v>0.20672914956121499</v>
      </c>
      <c r="J6624">
        <v>0.211338898150634</v>
      </c>
      <c r="K6624">
        <v>0.187707210226539</v>
      </c>
      <c r="L6624">
        <v>665.21334411157795</v>
      </c>
      <c r="M6624">
        <v>15.0364652512317</v>
      </c>
      <c r="N6624">
        <v>45.9156466116792</v>
      </c>
      <c r="O6624">
        <v>43.479668238380498</v>
      </c>
      <c r="P6624">
        <v>-6.8207415595643098E-2</v>
      </c>
      <c r="Q6624">
        <v>0.21116091828257799</v>
      </c>
      <c r="R6624">
        <v>0.92469748191618095</v>
      </c>
      <c r="S6624" t="s">
        <v>13430</v>
      </c>
      <c r="T6624" t="s">
        <v>13610</v>
      </c>
      <c r="U6624" t="s">
        <v>13610</v>
      </c>
      <c r="V6624" t="s">
        <v>13610</v>
      </c>
      <c r="W6624" t="s">
        <v>20155</v>
      </c>
      <c r="X6624">
        <v>4</v>
      </c>
      <c r="Y6624" t="s">
        <v>26687</v>
      </c>
      <c r="Z6624" t="s">
        <v>33479</v>
      </c>
      <c r="AA6624">
        <v>0.35023457959103382</v>
      </c>
      <c r="AB6624" t="str">
        <f>HYPERLINK("Melting_Curves/meltCurve_Q9Y305_3_ACOT9.pdf", "Melting_Curves/meltCurve_Q9Y305_3_ACOT9.pdf")</f>
        <v>Melting_Curves/meltCurve_Q9Y305_3_ACOT9.pdf</v>
      </c>
    </row>
    <row r="6625" spans="1:28" x14ac:dyDescent="0.25">
      <c r="A6625" t="s">
        <v>6629</v>
      </c>
      <c r="B6625">
        <v>0.995954080203443</v>
      </c>
      <c r="C6625">
        <v>0.69472284338549595</v>
      </c>
      <c r="D6625">
        <v>0.51889017241590496</v>
      </c>
      <c r="E6625">
        <v>0.57673550644904703</v>
      </c>
      <c r="F6625">
        <v>0.45267093944493297</v>
      </c>
      <c r="G6625">
        <v>0.157915572773456</v>
      </c>
      <c r="H6625">
        <v>0.104617334209162</v>
      </c>
      <c r="I6625">
        <v>9.5763887409204898E-2</v>
      </c>
      <c r="J6625">
        <v>0.10241107008378</v>
      </c>
      <c r="K6625">
        <v>9.1637667524164093E-2</v>
      </c>
      <c r="L6625">
        <v>421.97202034614998</v>
      </c>
      <c r="M6625">
        <v>8.5840469043859393</v>
      </c>
      <c r="N6625">
        <v>49.157702201485002</v>
      </c>
      <c r="O6625">
        <v>46.707981227028199</v>
      </c>
      <c r="P6625">
        <v>-4.5985183525987003E-2</v>
      </c>
      <c r="Q6625">
        <v>0</v>
      </c>
      <c r="R6625">
        <v>0.92308161414736101</v>
      </c>
      <c r="S6625" t="s">
        <v>13431</v>
      </c>
      <c r="T6625" t="s">
        <v>13610</v>
      </c>
      <c r="U6625" t="s">
        <v>13610</v>
      </c>
      <c r="V6625" t="s">
        <v>13610</v>
      </c>
      <c r="W6625" t="s">
        <v>20156</v>
      </c>
      <c r="X6625">
        <v>6</v>
      </c>
      <c r="Y6625" t="s">
        <v>26688</v>
      </c>
      <c r="Z6625" t="s">
        <v>33480</v>
      </c>
      <c r="AA6625">
        <v>0.36481921322807698</v>
      </c>
      <c r="AB6625" t="str">
        <f>HYPERLINK("Melting_Curves/meltCurve_Q9Y312_AAR2.pdf", "Melting_Curves/meltCurve_Q9Y312_AAR2.pdf")</f>
        <v>Melting_Curves/meltCurve_Q9Y312_AAR2.pdf</v>
      </c>
    </row>
    <row r="6626" spans="1:28" x14ac:dyDescent="0.25">
      <c r="A6626" t="s">
        <v>6630</v>
      </c>
      <c r="B6626">
        <v>0.995954080203443</v>
      </c>
      <c r="C6626">
        <v>0.95465866731295002</v>
      </c>
      <c r="D6626">
        <v>0.82398153539348495</v>
      </c>
      <c r="E6626">
        <v>0.49222546670898798</v>
      </c>
      <c r="F6626">
        <v>0.302948036749214</v>
      </c>
      <c r="G6626">
        <v>0.17736229599936601</v>
      </c>
      <c r="H6626">
        <v>0.14899464829953499</v>
      </c>
      <c r="I6626">
        <v>0.158068936658946</v>
      </c>
      <c r="J6626">
        <v>0.186565820224913</v>
      </c>
      <c r="K6626">
        <v>0.18470613804299699</v>
      </c>
      <c r="L6626">
        <v>1048.9631082200999</v>
      </c>
      <c r="M6626">
        <v>21.438434544335099</v>
      </c>
      <c r="N6626">
        <v>49.832766648260197</v>
      </c>
      <c r="O6626">
        <v>48.509343322375599</v>
      </c>
      <c r="P6626">
        <v>-9.2694204204469804E-2</v>
      </c>
      <c r="Q6626">
        <v>0.161053916442395</v>
      </c>
      <c r="R6626">
        <v>0.99790768911281702</v>
      </c>
      <c r="S6626" t="s">
        <v>13432</v>
      </c>
      <c r="T6626" t="s">
        <v>13610</v>
      </c>
      <c r="U6626" t="s">
        <v>13610</v>
      </c>
      <c r="V6626" t="s">
        <v>13610</v>
      </c>
      <c r="W6626" t="s">
        <v>20157</v>
      </c>
      <c r="X6626">
        <v>14</v>
      </c>
      <c r="Y6626" t="s">
        <v>26689</v>
      </c>
      <c r="Z6626" t="s">
        <v>33481</v>
      </c>
      <c r="AA6626">
        <v>0.42095596936098689</v>
      </c>
      <c r="AB6626" t="str">
        <f>HYPERLINK("Melting_Curves/meltCurve_Q9Y314_NOSIP.pdf", "Melting_Curves/meltCurve_Q9Y314_NOSIP.pdf")</f>
        <v>Melting_Curves/meltCurve_Q9Y314_NOSIP.pdf</v>
      </c>
    </row>
    <row r="6627" spans="1:28" x14ac:dyDescent="0.25">
      <c r="A6627" t="s">
        <v>6631</v>
      </c>
      <c r="B6627">
        <v>0.995954080203443</v>
      </c>
      <c r="C6627">
        <v>0.76542656897013905</v>
      </c>
      <c r="D6627">
        <v>0.52837650477722198</v>
      </c>
      <c r="E6627">
        <v>0.83167255782539096</v>
      </c>
      <c r="F6627">
        <v>0.51872828847406005</v>
      </c>
      <c r="G6627">
        <v>0.37843142961928899</v>
      </c>
      <c r="H6627">
        <v>0.17134574761392399</v>
      </c>
      <c r="I6627">
        <v>5.4050252601946E-2</v>
      </c>
      <c r="J6627">
        <v>4.1716484197102402E-2</v>
      </c>
      <c r="K6627">
        <v>3.9771538296988498E-2</v>
      </c>
      <c r="L6627">
        <v>473.10373596204698</v>
      </c>
      <c r="M6627">
        <v>9.0730475676925302</v>
      </c>
      <c r="N6627">
        <v>52.1438577286848</v>
      </c>
      <c r="O6627">
        <v>49.797930743682997</v>
      </c>
      <c r="P6627">
        <v>-4.55814020203286E-2</v>
      </c>
      <c r="Q6627">
        <v>0</v>
      </c>
      <c r="R6627">
        <v>0.86048473032593698</v>
      </c>
      <c r="S6627" t="s">
        <v>13433</v>
      </c>
      <c r="T6627" t="s">
        <v>13610</v>
      </c>
      <c r="U6627" t="s">
        <v>13610</v>
      </c>
      <c r="V6627" t="s">
        <v>13610</v>
      </c>
      <c r="W6627" t="s">
        <v>20158</v>
      </c>
      <c r="X6627">
        <v>13</v>
      </c>
      <c r="Y6627" t="s">
        <v>26690</v>
      </c>
      <c r="Z6627" t="s">
        <v>33482</v>
      </c>
      <c r="AA6627">
        <v>0.44608453013819382</v>
      </c>
      <c r="AB6627" t="str">
        <f>HYPERLINK("Melting_Curves/meltCurve_Q9Y315_DERA.pdf", "Melting_Curves/meltCurve_Q9Y315_DERA.pdf")</f>
        <v>Melting_Curves/meltCurve_Q9Y315_DERA.pdf</v>
      </c>
    </row>
    <row r="6628" spans="1:28" x14ac:dyDescent="0.25">
      <c r="A6628" t="s">
        <v>6632</v>
      </c>
      <c r="B6628">
        <v>0.995954080203443</v>
      </c>
      <c r="C6628">
        <v>0.89983126896753696</v>
      </c>
      <c r="D6628">
        <v>0.851720190373775</v>
      </c>
      <c r="E6628">
        <v>0.75440553235719898</v>
      </c>
      <c r="F6628">
        <v>0.50841674536553305</v>
      </c>
      <c r="G6628">
        <v>0.20661614466241801</v>
      </c>
      <c r="H6628">
        <v>0.13301917661662599</v>
      </c>
      <c r="I6628">
        <v>0.118168806639084</v>
      </c>
      <c r="J6628">
        <v>0.124919152273372</v>
      </c>
      <c r="K6628">
        <v>0.110761946306668</v>
      </c>
      <c r="L6628">
        <v>884.74393397753101</v>
      </c>
      <c r="M6628">
        <v>16.935667139645101</v>
      </c>
      <c r="N6628">
        <v>52.7822126484972</v>
      </c>
      <c r="O6628">
        <v>51.529395068312603</v>
      </c>
      <c r="P6628">
        <v>-7.5625887090710303E-2</v>
      </c>
      <c r="Q6628">
        <v>7.9643978337852306E-2</v>
      </c>
      <c r="R6628">
        <v>0.98617144902588905</v>
      </c>
      <c r="S6628" t="s">
        <v>13434</v>
      </c>
      <c r="T6628" t="s">
        <v>13610</v>
      </c>
      <c r="U6628" t="s">
        <v>13610</v>
      </c>
      <c r="V6628" t="s">
        <v>13610</v>
      </c>
      <c r="W6628" t="s">
        <v>20159</v>
      </c>
      <c r="X6628">
        <v>10</v>
      </c>
      <c r="Y6628" t="s">
        <v>26691</v>
      </c>
      <c r="Z6628" t="s">
        <v>33483</v>
      </c>
      <c r="AA6628">
        <v>0.4720740166883543</v>
      </c>
      <c r="AB6628" t="str">
        <f>HYPERLINK("Melting_Curves/meltCurve_Q9Y316_MEMO1.pdf", "Melting_Curves/meltCurve_Q9Y316_MEMO1.pdf")</f>
        <v>Melting_Curves/meltCurve_Q9Y316_MEMO1.pdf</v>
      </c>
    </row>
    <row r="6629" spans="1:28" x14ac:dyDescent="0.25">
      <c r="A6629" t="s">
        <v>6633</v>
      </c>
      <c r="B6629">
        <v>0.995954080203443</v>
      </c>
      <c r="C6629">
        <v>0.89844435859256799</v>
      </c>
      <c r="D6629">
        <v>0.87309533336533396</v>
      </c>
      <c r="E6629">
        <v>0.70261847589608495</v>
      </c>
      <c r="F6629">
        <v>0.63802065857873502</v>
      </c>
      <c r="G6629">
        <v>0.47934290220442499</v>
      </c>
      <c r="H6629">
        <v>0.43718232914077299</v>
      </c>
      <c r="I6629">
        <v>0.38021028489007702</v>
      </c>
      <c r="J6629">
        <v>0.389353789475408</v>
      </c>
      <c r="K6629">
        <v>0.371066743920905</v>
      </c>
      <c r="L6629">
        <v>570.59049943086495</v>
      </c>
      <c r="M6629">
        <v>11.103271555440299</v>
      </c>
      <c r="N6629">
        <v>56.9817967390794</v>
      </c>
      <c r="O6629">
        <v>49.806933489510897</v>
      </c>
      <c r="P6629">
        <v>-3.7249511243772598E-2</v>
      </c>
      <c r="Q6629">
        <v>0.33184367231664202</v>
      </c>
      <c r="R6629">
        <v>0.99233650796138695</v>
      </c>
      <c r="S6629" t="s">
        <v>13435</v>
      </c>
      <c r="T6629" t="s">
        <v>13610</v>
      </c>
      <c r="U6629" t="s">
        <v>13610</v>
      </c>
      <c r="V6629" t="s">
        <v>13610</v>
      </c>
      <c r="W6629" t="s">
        <v>20160</v>
      </c>
      <c r="X6629">
        <v>3</v>
      </c>
      <c r="Y6629" t="s">
        <v>26692</v>
      </c>
      <c r="Z6629" t="s">
        <v>33484</v>
      </c>
      <c r="AA6629">
        <v>0.60910239645779929</v>
      </c>
      <c r="AB6629" t="str">
        <f>HYPERLINK("Melting_Curves/meltCurve_Q9Y330_ZBTB12.pdf", "Melting_Curves/meltCurve_Q9Y330_ZBTB12.pdf")</f>
        <v>Melting_Curves/meltCurve_Q9Y330_ZBTB12.pdf</v>
      </c>
    </row>
    <row r="6630" spans="1:28" x14ac:dyDescent="0.25">
      <c r="A6630" t="s">
        <v>6634</v>
      </c>
      <c r="B6630">
        <v>0.995954080203443</v>
      </c>
      <c r="C6630">
        <v>0.97159723231107598</v>
      </c>
      <c r="D6630">
        <v>0.84525701493689498</v>
      </c>
      <c r="E6630">
        <v>0.82226717997318999</v>
      </c>
      <c r="F6630">
        <v>0.64516528066254997</v>
      </c>
      <c r="G6630">
        <v>0.51257030292861905</v>
      </c>
      <c r="H6630">
        <v>0.364783100998267</v>
      </c>
      <c r="I6630">
        <v>0.31576835239439499</v>
      </c>
      <c r="J6630">
        <v>0.26111603916387099</v>
      </c>
      <c r="K6630">
        <v>0.189165155076434</v>
      </c>
      <c r="L6630">
        <v>517.61207053978796</v>
      </c>
      <c r="M6630">
        <v>9.1911305725516605</v>
      </c>
      <c r="N6630">
        <v>57.283046396295902</v>
      </c>
      <c r="O6630">
        <v>53.8428767760631</v>
      </c>
      <c r="P6630">
        <v>-3.9636877827380797E-2</v>
      </c>
      <c r="Q6630">
        <v>7.1829908305396095E-2</v>
      </c>
      <c r="R6630">
        <v>0.99235015405539195</v>
      </c>
      <c r="S6630" t="s">
        <v>13436</v>
      </c>
      <c r="T6630" t="s">
        <v>13610</v>
      </c>
      <c r="U6630" t="s">
        <v>13610</v>
      </c>
      <c r="V6630" t="s">
        <v>13610</v>
      </c>
      <c r="W6630" t="s">
        <v>20161</v>
      </c>
      <c r="X6630">
        <v>7</v>
      </c>
      <c r="Y6630" t="s">
        <v>26693</v>
      </c>
      <c r="Z6630" t="s">
        <v>33485</v>
      </c>
      <c r="AA6630">
        <v>0.59427421619458487</v>
      </c>
      <c r="AB6630" t="str">
        <f>HYPERLINK("Melting_Curves/meltCurve_Q9Y333_LSM2.pdf", "Melting_Curves/meltCurve_Q9Y333_LSM2.pdf")</f>
        <v>Melting_Curves/meltCurve_Q9Y333_LSM2.pdf</v>
      </c>
    </row>
    <row r="6631" spans="1:28" x14ac:dyDescent="0.25">
      <c r="A6631" t="s">
        <v>6635</v>
      </c>
      <c r="B6631">
        <v>0.995954080203443</v>
      </c>
      <c r="C6631">
        <v>0.85392514853952695</v>
      </c>
      <c r="D6631">
        <v>0.83481662708184001</v>
      </c>
      <c r="E6631">
        <v>0.500596649614236</v>
      </c>
      <c r="F6631">
        <v>0.26555470770831302</v>
      </c>
      <c r="G6631">
        <v>0.174397810371892</v>
      </c>
      <c r="H6631">
        <v>0.18034320586608499</v>
      </c>
      <c r="I6631">
        <v>0.183486997108988</v>
      </c>
      <c r="J6631">
        <v>0.25926285741143601</v>
      </c>
      <c r="K6631">
        <v>0.19978232416640801</v>
      </c>
      <c r="L6631">
        <v>1037.68950332644</v>
      </c>
      <c r="M6631">
        <v>21.381287956951599</v>
      </c>
      <c r="N6631">
        <v>49.622796581659401</v>
      </c>
      <c r="O6631">
        <v>48.1140561885382</v>
      </c>
      <c r="P6631">
        <v>-9.0277660225724296E-2</v>
      </c>
      <c r="Q6631">
        <v>0.1874175340409</v>
      </c>
      <c r="R6631">
        <v>0.97887543413789602</v>
      </c>
      <c r="S6631" t="s">
        <v>13437</v>
      </c>
      <c r="T6631" t="s">
        <v>13610</v>
      </c>
      <c r="U6631" t="s">
        <v>13610</v>
      </c>
      <c r="V6631" t="s">
        <v>13610</v>
      </c>
      <c r="W6631" t="s">
        <v>20162</v>
      </c>
      <c r="X6631">
        <v>4</v>
      </c>
      <c r="Y6631" t="s">
        <v>26694</v>
      </c>
      <c r="Z6631" t="s">
        <v>33486</v>
      </c>
      <c r="AA6631">
        <v>0.42849177906846753</v>
      </c>
      <c r="AB6631" t="str">
        <f>HYPERLINK("Melting_Curves/meltCurve_Q9Y343_2_SNX24.pdf", "Melting_Curves/meltCurve_Q9Y343_2_SNX24.pdf")</f>
        <v>Melting_Curves/meltCurve_Q9Y343_2_SNX24.pdf</v>
      </c>
    </row>
    <row r="6632" spans="1:28" x14ac:dyDescent="0.25">
      <c r="A6632" t="s">
        <v>6636</v>
      </c>
      <c r="B6632">
        <v>0.995954080203443</v>
      </c>
      <c r="C6632">
        <v>0.99168405241607405</v>
      </c>
      <c r="D6632">
        <v>0.76138527758717101</v>
      </c>
      <c r="E6632">
        <v>0.49926568891275303</v>
      </c>
      <c r="F6632">
        <v>0.13021753633198899</v>
      </c>
      <c r="G6632">
        <v>7.2614403799416805E-2</v>
      </c>
      <c r="H6632">
        <v>4.521512161216E-2</v>
      </c>
      <c r="I6632">
        <v>4.12968935520866E-2</v>
      </c>
      <c r="J6632">
        <v>4.4847999502279398E-2</v>
      </c>
      <c r="K6632">
        <v>4.5343454143401601E-2</v>
      </c>
      <c r="L6632">
        <v>1060.7467283982901</v>
      </c>
      <c r="M6632">
        <v>21.5824466055284</v>
      </c>
      <c r="N6632">
        <v>49.293599888549601</v>
      </c>
      <c r="O6632">
        <v>48.7324716924104</v>
      </c>
      <c r="P6632">
        <v>-0.107315969854334</v>
      </c>
      <c r="Q6632">
        <v>3.0759258204807099E-2</v>
      </c>
      <c r="R6632">
        <v>0.99042849433248203</v>
      </c>
      <c r="S6632" t="s">
        <v>13438</v>
      </c>
      <c r="T6632" t="s">
        <v>13610</v>
      </c>
      <c r="U6632" t="s">
        <v>13610</v>
      </c>
      <c r="V6632" t="s">
        <v>13610</v>
      </c>
      <c r="W6632" t="s">
        <v>20163</v>
      </c>
      <c r="X6632">
        <v>15</v>
      </c>
      <c r="Y6632" t="s">
        <v>26695</v>
      </c>
      <c r="Z6632" t="s">
        <v>33487</v>
      </c>
      <c r="AA6632">
        <v>0.33794897717846512</v>
      </c>
      <c r="AB6632" t="str">
        <f>HYPERLINK("Melting_Curves/meltCurve_Q9Y371_SH3GLB1.pdf", "Melting_Curves/meltCurve_Q9Y371_SH3GLB1.pdf")</f>
        <v>Melting_Curves/meltCurve_Q9Y371_SH3GLB1.pdf</v>
      </c>
    </row>
    <row r="6633" spans="1:28" x14ac:dyDescent="0.25">
      <c r="A6633" t="s">
        <v>6637</v>
      </c>
      <c r="B6633">
        <v>0.995954080203443</v>
      </c>
      <c r="C6633">
        <v>0.95364419926286703</v>
      </c>
      <c r="D6633">
        <v>1.09976523540891</v>
      </c>
      <c r="E6633">
        <v>0.901401054509259</v>
      </c>
      <c r="F6633">
        <v>0.98552487250326404</v>
      </c>
      <c r="G6633">
        <v>0.75709905325986704</v>
      </c>
      <c r="H6633">
        <v>0.30808853415128501</v>
      </c>
      <c r="I6633">
        <v>8.8592344804044307E-2</v>
      </c>
      <c r="J6633">
        <v>7.1777674696146807E-2</v>
      </c>
      <c r="K6633">
        <v>7.0657105100302597E-2</v>
      </c>
      <c r="L6633">
        <v>1878.1624567732899</v>
      </c>
      <c r="M6633">
        <v>31.852580236103702</v>
      </c>
      <c r="N6633">
        <v>59.153113149884298</v>
      </c>
      <c r="O6633">
        <v>58.733270788537403</v>
      </c>
      <c r="P6633">
        <v>-0.12902586196254401</v>
      </c>
      <c r="Q6633">
        <v>4.83569646955158E-2</v>
      </c>
      <c r="R6633">
        <v>0.98649871318334303</v>
      </c>
      <c r="S6633" t="s">
        <v>13439</v>
      </c>
      <c r="T6633" t="s">
        <v>13610</v>
      </c>
      <c r="U6633" t="s">
        <v>13610</v>
      </c>
      <c r="V6633" t="s">
        <v>13610</v>
      </c>
      <c r="W6633" t="s">
        <v>20164</v>
      </c>
      <c r="X6633">
        <v>26</v>
      </c>
      <c r="Y6633" t="s">
        <v>26696</v>
      </c>
      <c r="Z6633" t="s">
        <v>33488</v>
      </c>
      <c r="AA6633">
        <v>0.65548957011383291</v>
      </c>
      <c r="AB6633" t="str">
        <f>HYPERLINK("Melting_Curves/meltCurve_Q9Y376_CAB39.pdf", "Melting_Curves/meltCurve_Q9Y376_CAB39.pdf")</f>
        <v>Melting_Curves/meltCurve_Q9Y376_CAB39.pdf</v>
      </c>
    </row>
    <row r="6634" spans="1:28" x14ac:dyDescent="0.25">
      <c r="A6634" t="s">
        <v>6638</v>
      </c>
      <c r="B6634">
        <v>0.995954080203443</v>
      </c>
      <c r="C6634">
        <v>0.80217556106104404</v>
      </c>
      <c r="D6634">
        <v>0.82000724935672198</v>
      </c>
      <c r="E6634">
        <v>0.45296350950817599</v>
      </c>
      <c r="F6634">
        <v>0.17915204993338099</v>
      </c>
      <c r="G6634">
        <v>0.10848572886879899</v>
      </c>
      <c r="H6634">
        <v>7.6082730673628293E-2</v>
      </c>
      <c r="I6634">
        <v>6.4901359439156606E-2</v>
      </c>
      <c r="J6634">
        <v>7.2725785623221101E-2</v>
      </c>
      <c r="K6634">
        <v>7.40544724733425E-2</v>
      </c>
      <c r="L6634">
        <v>888.60979239161395</v>
      </c>
      <c r="M6634">
        <v>18.212531733918201</v>
      </c>
      <c r="N6634">
        <v>49.092072967163801</v>
      </c>
      <c r="O6634">
        <v>48.2142910949445</v>
      </c>
      <c r="P6634">
        <v>-8.9451331143908505E-2</v>
      </c>
      <c r="Q6634">
        <v>5.2821503069599901E-2</v>
      </c>
      <c r="R6634">
        <v>0.98117837420722298</v>
      </c>
      <c r="S6634" t="s">
        <v>13440</v>
      </c>
      <c r="T6634" t="s">
        <v>13610</v>
      </c>
      <c r="U6634" t="s">
        <v>13610</v>
      </c>
      <c r="V6634" t="s">
        <v>13610</v>
      </c>
      <c r="W6634" t="s">
        <v>20165</v>
      </c>
      <c r="X6634">
        <v>25</v>
      </c>
      <c r="Y6634" t="s">
        <v>26697</v>
      </c>
      <c r="Z6634" t="s">
        <v>33489</v>
      </c>
      <c r="AA6634">
        <v>0.34646856605749471</v>
      </c>
      <c r="AB6634" t="str">
        <f>HYPERLINK("Melting_Curves/meltCurve_Q9Y383_LUC7L2.pdf", "Melting_Curves/meltCurve_Q9Y383_LUC7L2.pdf")</f>
        <v>Melting_Curves/meltCurve_Q9Y383_LUC7L2.pdf</v>
      </c>
    </row>
    <row r="6635" spans="1:28" x14ac:dyDescent="0.25">
      <c r="A6635" t="s">
        <v>6639</v>
      </c>
      <c r="B6635">
        <v>0.995954080203443</v>
      </c>
      <c r="C6635">
        <v>1.1294179422081201</v>
      </c>
      <c r="D6635">
        <v>1.0210590038876299</v>
      </c>
      <c r="E6635">
        <v>0.88965745008303099</v>
      </c>
      <c r="F6635">
        <v>0.36925764722030602</v>
      </c>
      <c r="G6635">
        <v>0.12837718824155001</v>
      </c>
      <c r="H6635">
        <v>8.6183805938972902E-2</v>
      </c>
      <c r="I6635">
        <v>6.13438664190048E-2</v>
      </c>
      <c r="J6635">
        <v>7.0150847751485099E-2</v>
      </c>
      <c r="K6635">
        <v>6.6474886563292201E-2</v>
      </c>
      <c r="L6635">
        <v>2371.00552455449</v>
      </c>
      <c r="M6635">
        <v>45.478208972077702</v>
      </c>
      <c r="N6635">
        <v>52.329304822404403</v>
      </c>
      <c r="O6635">
        <v>52.034488544308303</v>
      </c>
      <c r="P6635">
        <v>-0.20152330644375099</v>
      </c>
      <c r="Q6635">
        <v>7.7699248537654003E-2</v>
      </c>
      <c r="R6635">
        <v>0.99031727970452399</v>
      </c>
      <c r="S6635" t="s">
        <v>13441</v>
      </c>
      <c r="T6635" t="s">
        <v>13610</v>
      </c>
      <c r="U6635" t="s">
        <v>13610</v>
      </c>
      <c r="V6635" t="s">
        <v>13610</v>
      </c>
      <c r="W6635" t="s">
        <v>20166</v>
      </c>
      <c r="X6635">
        <v>3</v>
      </c>
      <c r="Y6635" t="s">
        <v>26698</v>
      </c>
      <c r="Z6635" t="s">
        <v>33490</v>
      </c>
      <c r="AA6635">
        <v>0.45333547919350409</v>
      </c>
      <c r="AB6635" t="str">
        <f>HYPERLINK("Melting_Curves/meltCurve_Q9Y385_UBE2J1.pdf", "Melting_Curves/meltCurve_Q9Y385_UBE2J1.pdf")</f>
        <v>Melting_Curves/meltCurve_Q9Y385_UBE2J1.pdf</v>
      </c>
    </row>
    <row r="6636" spans="1:28" x14ac:dyDescent="0.25">
      <c r="A6636" t="s">
        <v>6640</v>
      </c>
      <c r="B6636">
        <v>0.995954080203443</v>
      </c>
      <c r="C6636">
        <v>0.82993123412112002</v>
      </c>
      <c r="D6636">
        <v>1.3103091706788399</v>
      </c>
      <c r="E6636">
        <v>0.85848527019709098</v>
      </c>
      <c r="F6636">
        <v>0.66026991680827096</v>
      </c>
      <c r="G6636">
        <v>0.41958503145015602</v>
      </c>
      <c r="H6636">
        <v>0.47795760285209998</v>
      </c>
      <c r="I6636">
        <v>0.43895981943150297</v>
      </c>
      <c r="J6636">
        <v>0.52153590686921503</v>
      </c>
      <c r="K6636">
        <v>0.59659468315111897</v>
      </c>
      <c r="L6636">
        <v>2143.6467130675301</v>
      </c>
      <c r="M6636">
        <v>41.4684703347246</v>
      </c>
      <c r="N6636">
        <v>57.539601968019099</v>
      </c>
      <c r="O6636">
        <v>51.573633555792398</v>
      </c>
      <c r="P6636">
        <v>-0.101995355243977</v>
      </c>
      <c r="Q6636">
        <v>0.49260133812197199</v>
      </c>
      <c r="R6636">
        <v>0.79536630348522397</v>
      </c>
      <c r="S6636" t="s">
        <v>13442</v>
      </c>
      <c r="T6636" t="s">
        <v>13610</v>
      </c>
      <c r="U6636" t="s">
        <v>13610</v>
      </c>
      <c r="V6636" t="s">
        <v>13610</v>
      </c>
      <c r="W6636" t="s">
        <v>20167</v>
      </c>
      <c r="X6636">
        <v>5</v>
      </c>
      <c r="Y6636" t="s">
        <v>26699</v>
      </c>
      <c r="Z6636" t="s">
        <v>33491</v>
      </c>
      <c r="AA6636">
        <v>0.69206099013731837</v>
      </c>
      <c r="AB6636" t="str">
        <f>HYPERLINK("Melting_Curves/meltCurve_Q9Y388_RBMX2.pdf", "Melting_Curves/meltCurve_Q9Y388_RBMX2.pdf")</f>
        <v>Melting_Curves/meltCurve_Q9Y388_RBMX2.pdf</v>
      </c>
    </row>
    <row r="6637" spans="1:28" x14ac:dyDescent="0.25">
      <c r="A6637" t="s">
        <v>6641</v>
      </c>
      <c r="B6637">
        <v>0.995954080203443</v>
      </c>
      <c r="C6637">
        <v>0.99784459717565699</v>
      </c>
      <c r="D6637">
        <v>1.0441302848576399</v>
      </c>
      <c r="E6637">
        <v>0.87307597053417396</v>
      </c>
      <c r="F6637">
        <v>0.86274400610661695</v>
      </c>
      <c r="G6637">
        <v>0.67341447141240296</v>
      </c>
      <c r="H6637">
        <v>0.61872349240597402</v>
      </c>
      <c r="I6637">
        <v>0.72000221524139996</v>
      </c>
      <c r="J6637">
        <v>0.81151519765733504</v>
      </c>
      <c r="K6637">
        <v>0.89177201916827797</v>
      </c>
      <c r="L6637">
        <v>1625.1958573890399</v>
      </c>
      <c r="M6637">
        <v>31.921437868468399</v>
      </c>
      <c r="O6637">
        <v>50.7138088148116</v>
      </c>
      <c r="P6637">
        <v>-3.9563659214214897E-2</v>
      </c>
      <c r="Q6637">
        <v>0.74858106350057696</v>
      </c>
      <c r="R6637">
        <v>0.69454609150991697</v>
      </c>
      <c r="S6637" t="s">
        <v>13443</v>
      </c>
      <c r="T6637" t="s">
        <v>13610</v>
      </c>
      <c r="U6637" t="s">
        <v>13610</v>
      </c>
      <c r="V6637" t="s">
        <v>13610</v>
      </c>
      <c r="W6637" t="s">
        <v>20168</v>
      </c>
      <c r="X6637">
        <v>5</v>
      </c>
      <c r="Y6637" t="s">
        <v>26700</v>
      </c>
      <c r="Z6637" t="s">
        <v>33492</v>
      </c>
      <c r="AA6637">
        <v>0.84142710870301274</v>
      </c>
      <c r="AB6637" t="str">
        <f>HYPERLINK("Melting_Curves/meltCurve_Q9Y3A2_UTP11L.pdf", "Melting_Curves/meltCurve_Q9Y3A2_UTP11L.pdf")</f>
        <v>Melting_Curves/meltCurve_Q9Y3A2_UTP11L.pdf</v>
      </c>
    </row>
    <row r="6638" spans="1:28" x14ac:dyDescent="0.25">
      <c r="A6638" t="s">
        <v>6642</v>
      </c>
      <c r="B6638">
        <v>0.995954080203443</v>
      </c>
      <c r="C6638">
        <v>0.96241436731947905</v>
      </c>
      <c r="D6638">
        <v>0.884714868258489</v>
      </c>
      <c r="E6638">
        <v>0.77901227693846997</v>
      </c>
      <c r="F6638">
        <v>0.62931427260588202</v>
      </c>
      <c r="G6638">
        <v>0.32626501054188201</v>
      </c>
      <c r="H6638">
        <v>0.15319846365662501</v>
      </c>
      <c r="I6638">
        <v>0.121117614327708</v>
      </c>
      <c r="J6638">
        <v>0.13871797253319099</v>
      </c>
      <c r="K6638">
        <v>0.123474466718948</v>
      </c>
      <c r="L6638">
        <v>863.29531838269099</v>
      </c>
      <c r="M6638">
        <v>16.087581460555299</v>
      </c>
      <c r="N6638">
        <v>54.23367361204</v>
      </c>
      <c r="O6638">
        <v>52.853602028615697</v>
      </c>
      <c r="P6638">
        <v>-7.01678644611827E-2</v>
      </c>
      <c r="Q6638">
        <v>7.7962192924086599E-2</v>
      </c>
      <c r="R6638">
        <v>0.99289020206932199</v>
      </c>
      <c r="S6638" t="s">
        <v>13444</v>
      </c>
      <c r="T6638" t="s">
        <v>13610</v>
      </c>
      <c r="U6638" t="s">
        <v>13610</v>
      </c>
      <c r="V6638" t="s">
        <v>13610</v>
      </c>
      <c r="W6638" t="s">
        <v>20169</v>
      </c>
      <c r="X6638">
        <v>10</v>
      </c>
      <c r="Y6638" t="s">
        <v>26701</v>
      </c>
      <c r="Z6638" t="s">
        <v>33493</v>
      </c>
      <c r="AA6638">
        <v>0.51539265015132218</v>
      </c>
      <c r="AB6638" t="str">
        <f>HYPERLINK("Melting_Curves/meltCurve_Q9Y3A3_2_MOB4.pdf", "Melting_Curves/meltCurve_Q9Y3A3_2_MOB4.pdf")</f>
        <v>Melting_Curves/meltCurve_Q9Y3A3_2_MOB4.pdf</v>
      </c>
    </row>
    <row r="6639" spans="1:28" x14ac:dyDescent="0.25">
      <c r="A6639" t="s">
        <v>6643</v>
      </c>
      <c r="B6639">
        <v>0.995954080203443</v>
      </c>
      <c r="C6639">
        <v>0.92484122566089799</v>
      </c>
      <c r="D6639">
        <v>0.96429651473228195</v>
      </c>
      <c r="E6639">
        <v>0.70555831452903095</v>
      </c>
      <c r="F6639">
        <v>0.23417831634647401</v>
      </c>
      <c r="G6639">
        <v>0.106096915128847</v>
      </c>
      <c r="H6639">
        <v>6.7931334762383097E-2</v>
      </c>
      <c r="I6639">
        <v>5.6264519190318003E-2</v>
      </c>
      <c r="J6639">
        <v>6.6528496578611304E-2</v>
      </c>
      <c r="K6639">
        <v>5.5565036018447603E-2</v>
      </c>
      <c r="L6639">
        <v>1926.0195711087399</v>
      </c>
      <c r="M6639">
        <v>37.7786429365784</v>
      </c>
      <c r="N6639">
        <v>51.1710123506844</v>
      </c>
      <c r="O6639">
        <v>50.839484101300599</v>
      </c>
      <c r="P6639">
        <v>-0.173658735422591</v>
      </c>
      <c r="Q6639">
        <v>6.5218139696783403E-2</v>
      </c>
      <c r="R6639">
        <v>0.99573282826959197</v>
      </c>
      <c r="S6639" t="s">
        <v>13445</v>
      </c>
      <c r="T6639" t="s">
        <v>13610</v>
      </c>
      <c r="U6639" t="s">
        <v>13610</v>
      </c>
      <c r="V6639" t="s">
        <v>13610</v>
      </c>
      <c r="W6639" t="s">
        <v>20170</v>
      </c>
      <c r="X6639">
        <v>22</v>
      </c>
      <c r="Y6639" t="s">
        <v>26702</v>
      </c>
      <c r="Z6639" t="s">
        <v>33494</v>
      </c>
      <c r="AA6639">
        <v>0.41109718019807678</v>
      </c>
      <c r="AB6639" t="str">
        <f>HYPERLINK("Melting_Curves/meltCurve_Q9Y3A5_SBDS.pdf", "Melting_Curves/meltCurve_Q9Y3A5_SBDS.pdf")</f>
        <v>Melting_Curves/meltCurve_Q9Y3A5_SBDS.pdf</v>
      </c>
    </row>
    <row r="6640" spans="1:28" x14ac:dyDescent="0.25">
      <c r="A6640" t="s">
        <v>6644</v>
      </c>
      <c r="B6640">
        <v>0.995954080203443</v>
      </c>
      <c r="C6640">
        <v>0.84071435202146105</v>
      </c>
      <c r="D6640">
        <v>0.61978761409629801</v>
      </c>
      <c r="E6640">
        <v>0.29390669348211701</v>
      </c>
      <c r="F6640">
        <v>0.111003995855362</v>
      </c>
      <c r="G6640">
        <v>6.4425935620330194E-2</v>
      </c>
      <c r="H6640">
        <v>3.9503774650654501E-2</v>
      </c>
      <c r="I6640">
        <v>3.3620809053449198E-2</v>
      </c>
      <c r="J6640">
        <v>3.8326508114208499E-2</v>
      </c>
      <c r="K6640">
        <v>3.6360779374482503E-2</v>
      </c>
      <c r="L6640">
        <v>873.09639137221302</v>
      </c>
      <c r="M6640">
        <v>18.544271999857799</v>
      </c>
      <c r="N6640">
        <v>47.227172666193702</v>
      </c>
      <c r="O6640">
        <v>46.544477028495301</v>
      </c>
      <c r="P6640">
        <v>-9.6844831670233805E-2</v>
      </c>
      <c r="Q6640">
        <v>2.77549213161568E-2</v>
      </c>
      <c r="R6640">
        <v>0.99789950141727901</v>
      </c>
      <c r="S6640" t="s">
        <v>13446</v>
      </c>
      <c r="T6640" t="s">
        <v>13610</v>
      </c>
      <c r="U6640" t="s">
        <v>13610</v>
      </c>
      <c r="V6640" t="s">
        <v>13610</v>
      </c>
      <c r="W6640" t="s">
        <v>20171</v>
      </c>
      <c r="X6640">
        <v>5</v>
      </c>
      <c r="Y6640" t="s">
        <v>26703</v>
      </c>
      <c r="Z6640" t="s">
        <v>33495</v>
      </c>
      <c r="AA6640">
        <v>0.2740063459469384</v>
      </c>
      <c r="AB6640" t="str">
        <f>HYPERLINK("Melting_Curves/meltCurve_Q9Y3B2_EXOSC1.pdf", "Melting_Curves/meltCurve_Q9Y3B2_EXOSC1.pdf")</f>
        <v>Melting_Curves/meltCurve_Q9Y3B2_EXOSC1.pdf</v>
      </c>
    </row>
    <row r="6641" spans="1:28" x14ac:dyDescent="0.25">
      <c r="A6641" t="s">
        <v>6645</v>
      </c>
      <c r="B6641">
        <v>0.995954080203443</v>
      </c>
      <c r="C6641">
        <v>0.94264464649586099</v>
      </c>
      <c r="D6641">
        <v>0.76989938310168304</v>
      </c>
      <c r="E6641">
        <v>0.94289586769353395</v>
      </c>
      <c r="F6641">
        <v>0.37162334237247602</v>
      </c>
      <c r="G6641">
        <v>0.19010757276816201</v>
      </c>
      <c r="H6641">
        <v>0.11899071632026401</v>
      </c>
      <c r="I6641">
        <v>9.5311090922351405E-2</v>
      </c>
      <c r="J6641">
        <v>0.10643619019938499</v>
      </c>
      <c r="K6641">
        <v>8.5940095507714601E-2</v>
      </c>
      <c r="L6641">
        <v>2926.91718492873</v>
      </c>
      <c r="M6641">
        <v>56.090805732310201</v>
      </c>
      <c r="N6641">
        <v>52.430687531022897</v>
      </c>
      <c r="O6641">
        <v>52.115566583387299</v>
      </c>
      <c r="P6641">
        <v>-0.23761766651757399</v>
      </c>
      <c r="Q6641">
        <v>0.11689117555549</v>
      </c>
      <c r="R6641">
        <v>0.957006151900195</v>
      </c>
      <c r="S6641" t="s">
        <v>13447</v>
      </c>
      <c r="T6641" t="s">
        <v>13610</v>
      </c>
      <c r="U6641" t="s">
        <v>13610</v>
      </c>
      <c r="V6641" t="s">
        <v>13610</v>
      </c>
      <c r="W6641" t="s">
        <v>20172</v>
      </c>
      <c r="X6641">
        <v>2</v>
      </c>
      <c r="Y6641" t="s">
        <v>26704</v>
      </c>
      <c r="Z6641" t="s">
        <v>33496</v>
      </c>
      <c r="AA6641">
        <v>0.47709860411338678</v>
      </c>
      <c r="AB6641" t="str">
        <f>HYPERLINK("Melting_Curves/meltCurve_Q9Y3B3_2_TMED7.pdf", "Melting_Curves/meltCurve_Q9Y3B3_2_TMED7.pdf")</f>
        <v>Melting_Curves/meltCurve_Q9Y3B3_2_TMED7.pdf</v>
      </c>
    </row>
    <row r="6642" spans="1:28" x14ac:dyDescent="0.25">
      <c r="A6642" t="s">
        <v>6646</v>
      </c>
      <c r="B6642">
        <v>0.995954080203443</v>
      </c>
      <c r="C6642">
        <v>0.89814338240045599</v>
      </c>
      <c r="D6642">
        <v>0.86986922619395401</v>
      </c>
      <c r="E6642">
        <v>0.74256943347617099</v>
      </c>
      <c r="F6642">
        <v>0.54379314874815798</v>
      </c>
      <c r="G6642">
        <v>0.259454905037933</v>
      </c>
      <c r="H6642">
        <v>0.15722340668538201</v>
      </c>
      <c r="I6642">
        <v>0.15312354503471001</v>
      </c>
      <c r="J6642">
        <v>0.19540546998378899</v>
      </c>
      <c r="K6642">
        <v>0.15309214367155599</v>
      </c>
      <c r="L6642">
        <v>854.54272479599797</v>
      </c>
      <c r="M6642">
        <v>16.370843156381898</v>
      </c>
      <c r="N6642">
        <v>53.130563053594798</v>
      </c>
      <c r="O6642">
        <v>51.438830577407103</v>
      </c>
      <c r="P6642">
        <v>-6.9643962299779705E-2</v>
      </c>
      <c r="Q6642">
        <v>0.12474950666556101</v>
      </c>
      <c r="R6642">
        <v>0.98544244779608303</v>
      </c>
      <c r="S6642" t="s">
        <v>13448</v>
      </c>
      <c r="T6642" t="s">
        <v>13610</v>
      </c>
      <c r="U6642" t="s">
        <v>13610</v>
      </c>
      <c r="V6642" t="s">
        <v>13610</v>
      </c>
      <c r="W6642" t="s">
        <v>20173</v>
      </c>
      <c r="X6642">
        <v>6</v>
      </c>
      <c r="Y6642" t="s">
        <v>26705</v>
      </c>
      <c r="Z6642" t="s">
        <v>33497</v>
      </c>
      <c r="AA6642">
        <v>0.49762697631723768</v>
      </c>
      <c r="AB6642" t="str">
        <f>HYPERLINK("Melting_Curves/meltCurve_Q9Y3B4_SF3B14.pdf", "Melting_Curves/meltCurve_Q9Y3B4_SF3B14.pdf")</f>
        <v>Melting_Curves/meltCurve_Q9Y3B4_SF3B14.pdf</v>
      </c>
    </row>
    <row r="6643" spans="1:28" x14ac:dyDescent="0.25">
      <c r="A6643" t="s">
        <v>6647</v>
      </c>
      <c r="B6643">
        <v>0.995954080203443</v>
      </c>
      <c r="C6643">
        <v>1.00272711274792</v>
      </c>
      <c r="D6643">
        <v>1.0511481132095</v>
      </c>
      <c r="E6643">
        <v>0.98957775090382405</v>
      </c>
      <c r="F6643">
        <v>1.0301155757115601</v>
      </c>
      <c r="G6643">
        <v>0.85366765503758801</v>
      </c>
      <c r="H6643">
        <v>0.88934178946903197</v>
      </c>
      <c r="I6643">
        <v>1.1273957900590099</v>
      </c>
      <c r="J6643">
        <v>1.1573535193059401</v>
      </c>
      <c r="K6643">
        <v>1.3202009849507901</v>
      </c>
      <c r="L6643">
        <v>2334.0333478586799</v>
      </c>
      <c r="M6643">
        <v>34.677060423961898</v>
      </c>
      <c r="O6643">
        <v>67.085047304360302</v>
      </c>
      <c r="P6643">
        <v>5.12455327412078E-2</v>
      </c>
      <c r="Q6643">
        <v>1.39654991149406</v>
      </c>
      <c r="R6643">
        <v>0.72035873051621802</v>
      </c>
      <c r="S6643" t="s">
        <v>13449</v>
      </c>
      <c r="T6643" t="s">
        <v>13610</v>
      </c>
      <c r="U6643" t="s">
        <v>13610</v>
      </c>
      <c r="V6643" t="s">
        <v>13610</v>
      </c>
      <c r="W6643" t="s">
        <v>20174</v>
      </c>
      <c r="X6643">
        <v>13</v>
      </c>
      <c r="Y6643" t="s">
        <v>26706</v>
      </c>
      <c r="Z6643" t="s">
        <v>33498</v>
      </c>
      <c r="AA6643">
        <v>1.0400714831096409</v>
      </c>
      <c r="AB6643" t="str">
        <f>HYPERLINK("Melting_Curves/meltCurve_Q9Y3B9_RRP15.pdf", "Melting_Curves/meltCurve_Q9Y3B9_RRP15.pdf")</f>
        <v>Melting_Curves/meltCurve_Q9Y3B9_RRP15.pdf</v>
      </c>
    </row>
    <row r="6644" spans="1:28" x14ac:dyDescent="0.25">
      <c r="A6644" t="s">
        <v>6648</v>
      </c>
      <c r="B6644">
        <v>0.995954080203443</v>
      </c>
      <c r="C6644">
        <v>0.97835328191905102</v>
      </c>
      <c r="D6644">
        <v>1.1622568092869201</v>
      </c>
      <c r="E6644">
        <v>0.97302983625111805</v>
      </c>
      <c r="F6644">
        <v>1.0418338726365</v>
      </c>
      <c r="G6644">
        <v>0.84716081971241897</v>
      </c>
      <c r="H6644">
        <v>0.90204412446279503</v>
      </c>
      <c r="I6644">
        <v>1.0083138036460599</v>
      </c>
      <c r="J6644">
        <v>1.43131988853781</v>
      </c>
      <c r="K6644">
        <v>1.2253892233397401</v>
      </c>
      <c r="L6644">
        <v>15000</v>
      </c>
      <c r="M6644">
        <v>231.00340366057</v>
      </c>
      <c r="O6644">
        <v>64.929241386144597</v>
      </c>
      <c r="P6644">
        <v>0.29209513122722203</v>
      </c>
      <c r="Q6644">
        <v>1.3284023515946</v>
      </c>
      <c r="R6644">
        <v>0.68740994453494397</v>
      </c>
      <c r="S6644" t="s">
        <v>13450</v>
      </c>
      <c r="T6644" t="s">
        <v>13610</v>
      </c>
      <c r="U6644" t="s">
        <v>13610</v>
      </c>
      <c r="V6644" t="s">
        <v>13610</v>
      </c>
      <c r="W6644" t="s">
        <v>20175</v>
      </c>
      <c r="X6644">
        <v>6</v>
      </c>
      <c r="Y6644" t="s">
        <v>26707</v>
      </c>
      <c r="Z6644" t="s">
        <v>33499</v>
      </c>
      <c r="AA6644">
        <v>1.055411192469486</v>
      </c>
      <c r="AB6644" t="str">
        <f>HYPERLINK("Melting_Curves/meltCurve_Q9Y3C1_NOP16.pdf", "Melting_Curves/meltCurve_Q9Y3C1_NOP16.pdf")</f>
        <v>Melting_Curves/meltCurve_Q9Y3C1_NOP16.pdf</v>
      </c>
    </row>
    <row r="6645" spans="1:28" x14ac:dyDescent="0.25">
      <c r="A6645" t="s">
        <v>6649</v>
      </c>
      <c r="B6645">
        <v>0.995954080203443</v>
      </c>
      <c r="C6645">
        <v>1.05549821422059</v>
      </c>
      <c r="D6645">
        <v>0.90266869842639497</v>
      </c>
      <c r="E6645">
        <v>0.80970084176504398</v>
      </c>
      <c r="F6645">
        <v>0.33913533639941101</v>
      </c>
      <c r="G6645">
        <v>0.101527626388319</v>
      </c>
      <c r="H6645">
        <v>5.1312487894829797E-2</v>
      </c>
      <c r="I6645">
        <v>4.1685578781024198E-2</v>
      </c>
      <c r="J6645">
        <v>4.2019317443943903E-2</v>
      </c>
      <c r="K6645">
        <v>4.0752924081645901E-2</v>
      </c>
      <c r="L6645">
        <v>1778.3775817727701</v>
      </c>
      <c r="M6645">
        <v>34.297038171546703</v>
      </c>
      <c r="N6645">
        <v>51.993150523825399</v>
      </c>
      <c r="O6645">
        <v>51.676888186315097</v>
      </c>
      <c r="P6645">
        <v>-0.158556546750282</v>
      </c>
      <c r="Q6645">
        <v>4.4386566206070302E-2</v>
      </c>
      <c r="R6645">
        <v>0.99369353797714999</v>
      </c>
      <c r="S6645" t="s">
        <v>13451</v>
      </c>
      <c r="T6645" t="s">
        <v>13610</v>
      </c>
      <c r="U6645" t="s">
        <v>13610</v>
      </c>
      <c r="V6645" t="s">
        <v>13610</v>
      </c>
      <c r="W6645" t="s">
        <v>20176</v>
      </c>
      <c r="X6645">
        <v>4</v>
      </c>
      <c r="Y6645" t="s">
        <v>26708</v>
      </c>
      <c r="Z6645" t="s">
        <v>33500</v>
      </c>
      <c r="AA6645">
        <v>0.42658776927770292</v>
      </c>
      <c r="AB6645" t="str">
        <f>HYPERLINK("Melting_Curves/meltCurve_Q9Y3C4_2_TPRKB.pdf", "Melting_Curves/meltCurve_Q9Y3C4_2_TPRKB.pdf")</f>
        <v>Melting_Curves/meltCurve_Q9Y3C4_2_TPRKB.pdf</v>
      </c>
    </row>
    <row r="6646" spans="1:28" x14ac:dyDescent="0.25">
      <c r="A6646" t="s">
        <v>6650</v>
      </c>
      <c r="B6646">
        <v>0.995954080203443</v>
      </c>
      <c r="C6646">
        <v>0.97648859693708201</v>
      </c>
      <c r="D6646">
        <v>0.82526225065690595</v>
      </c>
      <c r="E6646">
        <v>0.39739217054334802</v>
      </c>
      <c r="F6646">
        <v>0.222748828108085</v>
      </c>
      <c r="G6646">
        <v>0.11426096266095299</v>
      </c>
      <c r="H6646">
        <v>6.07321292326315E-2</v>
      </c>
      <c r="I6646">
        <v>4.8069907164536602E-2</v>
      </c>
      <c r="J6646">
        <v>7.8477836736393705E-2</v>
      </c>
      <c r="K6646">
        <v>4.94768875201025E-2</v>
      </c>
      <c r="L6646">
        <v>1100.4676744598801</v>
      </c>
      <c r="M6646">
        <v>22.496117006200301</v>
      </c>
      <c r="N6646">
        <v>49.199575879776603</v>
      </c>
      <c r="O6646">
        <v>48.536499683891101</v>
      </c>
      <c r="P6646">
        <v>-0.10887818660955299</v>
      </c>
      <c r="Q6646">
        <v>6.0378874996590601E-2</v>
      </c>
      <c r="R6646">
        <v>0.99845553918055896</v>
      </c>
      <c r="S6646" t="s">
        <v>13452</v>
      </c>
      <c r="T6646" t="s">
        <v>13610</v>
      </c>
      <c r="U6646" t="s">
        <v>13610</v>
      </c>
      <c r="V6646" t="s">
        <v>13610</v>
      </c>
      <c r="W6646" t="s">
        <v>20177</v>
      </c>
      <c r="X6646">
        <v>7</v>
      </c>
      <c r="Y6646" t="s">
        <v>26709</v>
      </c>
      <c r="Z6646" t="s">
        <v>33501</v>
      </c>
      <c r="AA6646">
        <v>0.35004822966362992</v>
      </c>
      <c r="AB6646" t="str">
        <f>HYPERLINK("Melting_Curves/meltCurve_Q9Y3C6_PPIL1.pdf", "Melting_Curves/meltCurve_Q9Y3C6_PPIL1.pdf")</f>
        <v>Melting_Curves/meltCurve_Q9Y3C6_PPIL1.pdf</v>
      </c>
    </row>
    <row r="6647" spans="1:28" x14ac:dyDescent="0.25">
      <c r="A6647" t="s">
        <v>6651</v>
      </c>
      <c r="B6647">
        <v>0.995954080203443</v>
      </c>
      <c r="C6647">
        <v>0.92597832309218597</v>
      </c>
      <c r="D6647">
        <v>0.93146521574107599</v>
      </c>
      <c r="E6647">
        <v>0.80094863051392196</v>
      </c>
      <c r="F6647">
        <v>0.83346482804530198</v>
      </c>
      <c r="G6647">
        <v>0.45997272474638701</v>
      </c>
      <c r="H6647">
        <v>0.21718631932526899</v>
      </c>
      <c r="I6647">
        <v>9.5494249804143796E-2</v>
      </c>
      <c r="J6647">
        <v>8.6579031748610799E-2</v>
      </c>
      <c r="K6647">
        <v>7.4986067522151298E-2</v>
      </c>
      <c r="L6647">
        <v>918.60083251248204</v>
      </c>
      <c r="M6647">
        <v>16.266701857142401</v>
      </c>
      <c r="N6647">
        <v>56.506014779115098</v>
      </c>
      <c r="O6647">
        <v>55.638473139407701</v>
      </c>
      <c r="P6647">
        <v>-7.2732390077736297E-2</v>
      </c>
      <c r="Q6647">
        <v>4.9803629532254303E-3</v>
      </c>
      <c r="R6647">
        <v>0.98177874485038497</v>
      </c>
      <c r="S6647" t="s">
        <v>13453</v>
      </c>
      <c r="T6647" t="s">
        <v>13610</v>
      </c>
      <c r="U6647" t="s">
        <v>13610</v>
      </c>
      <c r="V6647" t="s">
        <v>13610</v>
      </c>
      <c r="W6647" t="s">
        <v>20178</v>
      </c>
      <c r="X6647">
        <v>8</v>
      </c>
      <c r="Y6647" t="s">
        <v>26710</v>
      </c>
      <c r="Z6647" t="s">
        <v>33502</v>
      </c>
      <c r="AA6647">
        <v>0.56702036468026973</v>
      </c>
      <c r="AB6647" t="str">
        <f>HYPERLINK("Melting_Curves/meltCurve_Q9Y3C8_UFC1.pdf", "Melting_Curves/meltCurve_Q9Y3C8_UFC1.pdf")</f>
        <v>Melting_Curves/meltCurve_Q9Y3C8_UFC1.pdf</v>
      </c>
    </row>
    <row r="6648" spans="1:28" x14ac:dyDescent="0.25">
      <c r="A6648" t="s">
        <v>6652</v>
      </c>
      <c r="B6648">
        <v>0.995954080203443</v>
      </c>
      <c r="C6648">
        <v>0.84270880611924803</v>
      </c>
      <c r="D6648">
        <v>0.54609296161698295</v>
      </c>
      <c r="E6648">
        <v>0.40273935635267699</v>
      </c>
      <c r="F6648">
        <v>0.202081604447722</v>
      </c>
      <c r="G6648">
        <v>0.133102939233533</v>
      </c>
      <c r="H6648">
        <v>8.6868498604808997E-2</v>
      </c>
      <c r="I6648">
        <v>8.4671936018432301E-2</v>
      </c>
      <c r="J6648">
        <v>8.0203143855474501E-2</v>
      </c>
      <c r="K6648">
        <v>7.2650964707785606E-2</v>
      </c>
      <c r="L6648">
        <v>707.20585019915995</v>
      </c>
      <c r="M6648">
        <v>15.020627774305201</v>
      </c>
      <c r="N6648">
        <v>47.546033321820602</v>
      </c>
      <c r="O6648">
        <v>46.271448448433397</v>
      </c>
      <c r="P6648">
        <v>-7.5632946655175198E-2</v>
      </c>
      <c r="Q6648">
        <v>6.8136435665294204E-2</v>
      </c>
      <c r="R6648">
        <v>0.98834088308373402</v>
      </c>
      <c r="S6648" t="s">
        <v>13454</v>
      </c>
      <c r="T6648" t="s">
        <v>13610</v>
      </c>
      <c r="U6648" t="s">
        <v>13610</v>
      </c>
      <c r="V6648" t="s">
        <v>13610</v>
      </c>
      <c r="W6648" t="s">
        <v>20179</v>
      </c>
      <c r="X6648">
        <v>5</v>
      </c>
      <c r="Y6648" t="s">
        <v>26711</v>
      </c>
      <c r="Z6648" t="s">
        <v>33503</v>
      </c>
      <c r="AA6648">
        <v>0.31324718976863991</v>
      </c>
      <c r="AB6648" t="str">
        <f>HYPERLINK("Melting_Curves/meltCurve_Q9Y3D0_FAM96B.pdf", "Melting_Curves/meltCurve_Q9Y3D0_FAM96B.pdf")</f>
        <v>Melting_Curves/meltCurve_Q9Y3D0_FAM96B.pdf</v>
      </c>
    </row>
    <row r="6649" spans="1:28" x14ac:dyDescent="0.25">
      <c r="A6649" t="s">
        <v>6653</v>
      </c>
      <c r="B6649">
        <v>0.995954080203443</v>
      </c>
      <c r="C6649">
        <v>1.00608373596796</v>
      </c>
      <c r="D6649">
        <v>0.92588859091970699</v>
      </c>
      <c r="E6649">
        <v>0.82173155562882205</v>
      </c>
      <c r="F6649">
        <v>0.650677872524414</v>
      </c>
      <c r="G6649">
        <v>0.38542150047203699</v>
      </c>
      <c r="H6649">
        <v>0.26690509943420798</v>
      </c>
      <c r="I6649">
        <v>0.26365162253403002</v>
      </c>
      <c r="J6649">
        <v>0.29057027543445202</v>
      </c>
      <c r="K6649">
        <v>0.27611195531692401</v>
      </c>
      <c r="L6649">
        <v>1089.04637248578</v>
      </c>
      <c r="M6649">
        <v>20.562057692851202</v>
      </c>
      <c r="N6649">
        <v>54.862433454916399</v>
      </c>
      <c r="O6649">
        <v>52.470557806555497</v>
      </c>
      <c r="P6649">
        <v>-7.30323020627206E-2</v>
      </c>
      <c r="Q6649">
        <v>0.25456213224527502</v>
      </c>
      <c r="R6649">
        <v>0.99466662296220898</v>
      </c>
      <c r="S6649" t="s">
        <v>13455</v>
      </c>
      <c r="T6649" t="s">
        <v>13610</v>
      </c>
      <c r="U6649" t="s">
        <v>13610</v>
      </c>
      <c r="V6649" t="s">
        <v>13610</v>
      </c>
      <c r="W6649" t="s">
        <v>20180</v>
      </c>
      <c r="X6649">
        <v>7</v>
      </c>
      <c r="Y6649" t="s">
        <v>26712</v>
      </c>
      <c r="Z6649" t="s">
        <v>33504</v>
      </c>
      <c r="AA6649">
        <v>0.58646535837426239</v>
      </c>
      <c r="AB6649" t="str">
        <f>HYPERLINK("Melting_Curves/meltCurve_Q9Y3D2_MSRB2.pdf", "Melting_Curves/meltCurve_Q9Y3D2_MSRB2.pdf")</f>
        <v>Melting_Curves/meltCurve_Q9Y3D2_MSRB2.pdf</v>
      </c>
    </row>
    <row r="6650" spans="1:28" x14ac:dyDescent="0.25">
      <c r="A6650" t="s">
        <v>6654</v>
      </c>
      <c r="B6650">
        <v>0.995954080203443</v>
      </c>
      <c r="C6650">
        <v>1.03982895993344</v>
      </c>
      <c r="D6650">
        <v>1.0492354746061101</v>
      </c>
      <c r="E6650">
        <v>0.94095946008549203</v>
      </c>
      <c r="F6650">
        <v>0.90789915978409197</v>
      </c>
      <c r="G6650">
        <v>0.675213007914226</v>
      </c>
      <c r="H6650">
        <v>0.67178832773140795</v>
      </c>
      <c r="I6650">
        <v>0.87371650473368001</v>
      </c>
      <c r="J6650">
        <v>0.86026483349429494</v>
      </c>
      <c r="K6650">
        <v>1.02018541773503</v>
      </c>
      <c r="L6650">
        <v>2281.8154868555198</v>
      </c>
      <c r="M6650">
        <v>43.993457383694498</v>
      </c>
      <c r="O6650">
        <v>51.760328873767698</v>
      </c>
      <c r="P6650">
        <v>-3.7372478382813601E-2</v>
      </c>
      <c r="Q6650">
        <v>0.82411848474881899</v>
      </c>
      <c r="R6650">
        <v>0.448455840444897</v>
      </c>
      <c r="S6650" t="s">
        <v>13456</v>
      </c>
      <c r="T6650" t="s">
        <v>13610</v>
      </c>
      <c r="U6650" t="s">
        <v>13610</v>
      </c>
      <c r="V6650" t="s">
        <v>13610</v>
      </c>
      <c r="W6650" t="s">
        <v>20181</v>
      </c>
      <c r="X6650">
        <v>4</v>
      </c>
      <c r="Y6650" t="s">
        <v>26713</v>
      </c>
      <c r="Z6650" t="s">
        <v>33505</v>
      </c>
      <c r="AA6650">
        <v>0.89421275366401576</v>
      </c>
      <c r="AB6650" t="str">
        <f>HYPERLINK("Melting_Curves/meltCurve_Q9Y3D6_FIS1.pdf", "Melting_Curves/meltCurve_Q9Y3D6_FIS1.pdf")</f>
        <v>Melting_Curves/meltCurve_Q9Y3D6_FIS1.pdf</v>
      </c>
    </row>
    <row r="6651" spans="1:28" x14ac:dyDescent="0.25">
      <c r="A6651" t="s">
        <v>6655</v>
      </c>
      <c r="B6651">
        <v>0.995954080203443</v>
      </c>
      <c r="C6651">
        <v>0.92054464450097695</v>
      </c>
      <c r="D6651">
        <v>0.55537315878934201</v>
      </c>
      <c r="E6651">
        <v>0.35155238054163501</v>
      </c>
      <c r="F6651">
        <v>0.19454521868715299</v>
      </c>
      <c r="G6651">
        <v>0.11650075441006701</v>
      </c>
      <c r="H6651">
        <v>6.3132253001616206E-2</v>
      </c>
      <c r="I6651">
        <v>5.7162371820866101E-2</v>
      </c>
      <c r="J6651">
        <v>7.0457245102705499E-2</v>
      </c>
      <c r="K6651">
        <v>5.3589778230755801E-2</v>
      </c>
      <c r="L6651">
        <v>821.81498848350395</v>
      </c>
      <c r="M6651">
        <v>17.424224025203301</v>
      </c>
      <c r="N6651">
        <v>47.5139802762667</v>
      </c>
      <c r="O6651">
        <v>46.5569866214733</v>
      </c>
      <c r="P6651">
        <v>-8.79504277993928E-2</v>
      </c>
      <c r="Q6651">
        <v>6.0049390709868901E-2</v>
      </c>
      <c r="R6651">
        <v>0.98901537822619801</v>
      </c>
      <c r="S6651" t="s">
        <v>13457</v>
      </c>
      <c r="T6651" t="s">
        <v>13610</v>
      </c>
      <c r="U6651" t="s">
        <v>13610</v>
      </c>
      <c r="V6651" t="s">
        <v>13610</v>
      </c>
      <c r="W6651" t="s">
        <v>20182</v>
      </c>
      <c r="X6651">
        <v>4</v>
      </c>
      <c r="Y6651" t="s">
        <v>20701</v>
      </c>
      <c r="Z6651" t="s">
        <v>33506</v>
      </c>
      <c r="AA6651">
        <v>0.30299915948098549</v>
      </c>
      <c r="AB6651" t="str">
        <f>HYPERLINK("Melting_Curves/meltCurve_Q9Y3D8_TAF9.pdf", "Melting_Curves/meltCurve_Q9Y3D8_TAF9.pdf")</f>
        <v>Melting_Curves/meltCurve_Q9Y3D8_TAF9.pdf</v>
      </c>
    </row>
    <row r="6652" spans="1:28" x14ac:dyDescent="0.25">
      <c r="A6652" t="s">
        <v>6656</v>
      </c>
      <c r="B6652">
        <v>0.995954080203443</v>
      </c>
      <c r="C6652">
        <v>0.85253881523909303</v>
      </c>
      <c r="D6652">
        <v>0.62842129915820699</v>
      </c>
      <c r="E6652">
        <v>0.61381487293527903</v>
      </c>
      <c r="F6652">
        <v>0.42306697423123901</v>
      </c>
      <c r="G6652">
        <v>0.30305351585923201</v>
      </c>
      <c r="H6652">
        <v>0.25950488208102801</v>
      </c>
      <c r="I6652">
        <v>0.29235496206306599</v>
      </c>
      <c r="J6652">
        <v>0.27661720270712098</v>
      </c>
      <c r="K6652">
        <v>0.357194853848396</v>
      </c>
      <c r="L6652">
        <v>621.93733430396401</v>
      </c>
      <c r="M6652">
        <v>13.116251007349099</v>
      </c>
      <c r="N6652">
        <v>50.485601664135302</v>
      </c>
      <c r="O6652">
        <v>46.355716917652799</v>
      </c>
      <c r="P6652">
        <v>-5.1314657838974001E-2</v>
      </c>
      <c r="Q6652">
        <v>0.274694631570781</v>
      </c>
      <c r="R6652">
        <v>0.95350167279930798</v>
      </c>
      <c r="S6652" t="s">
        <v>13458</v>
      </c>
      <c r="T6652" t="s">
        <v>13610</v>
      </c>
      <c r="U6652" t="s">
        <v>13610</v>
      </c>
      <c r="V6652" t="s">
        <v>13610</v>
      </c>
      <c r="W6652" t="s">
        <v>20183</v>
      </c>
      <c r="X6652">
        <v>2</v>
      </c>
      <c r="Y6652" t="s">
        <v>26714</v>
      </c>
      <c r="Z6652" t="s">
        <v>33507</v>
      </c>
      <c r="AA6652">
        <v>0.4790639449568686</v>
      </c>
      <c r="AB6652" t="str">
        <f>HYPERLINK("Melting_Curves/meltCurve_Q9Y3D9_MRPS23.pdf", "Melting_Curves/meltCurve_Q9Y3D9_MRPS23.pdf")</f>
        <v>Melting_Curves/meltCurve_Q9Y3D9_MRPS23.pdf</v>
      </c>
    </row>
    <row r="6653" spans="1:28" x14ac:dyDescent="0.25">
      <c r="A6653" t="s">
        <v>6657</v>
      </c>
      <c r="B6653">
        <v>0.995954080203443</v>
      </c>
      <c r="C6653">
        <v>1.0303864689133799</v>
      </c>
      <c r="D6653">
        <v>1.0099256203578399</v>
      </c>
      <c r="E6653">
        <v>0.96261461612951704</v>
      </c>
      <c r="F6653">
        <v>0.76249171212545197</v>
      </c>
      <c r="G6653">
        <v>0.60425007954279897</v>
      </c>
      <c r="H6653">
        <v>0.52295546040199103</v>
      </c>
      <c r="I6653">
        <v>0.60299996003877998</v>
      </c>
      <c r="J6653">
        <v>0.55696037667172005</v>
      </c>
      <c r="K6653">
        <v>0.66869968364563703</v>
      </c>
      <c r="L6653">
        <v>2387.8123425365602</v>
      </c>
      <c r="M6653">
        <v>45.373587572963302</v>
      </c>
      <c r="O6653">
        <v>52.523684463820601</v>
      </c>
      <c r="P6653">
        <v>-8.8850790649972103E-2</v>
      </c>
      <c r="Q6653">
        <v>0.58859192834274998</v>
      </c>
      <c r="R6653">
        <v>0.96600568090044503</v>
      </c>
      <c r="S6653" t="s">
        <v>13459</v>
      </c>
      <c r="T6653" t="s">
        <v>13610</v>
      </c>
      <c r="U6653" t="s">
        <v>13610</v>
      </c>
      <c r="V6653" t="s">
        <v>13610</v>
      </c>
      <c r="W6653" t="s">
        <v>20184</v>
      </c>
      <c r="X6653">
        <v>6</v>
      </c>
      <c r="Y6653" t="s">
        <v>26715</v>
      </c>
      <c r="Z6653" t="s">
        <v>33508</v>
      </c>
      <c r="AA6653">
        <v>0.76289513279650423</v>
      </c>
      <c r="AB6653" t="str">
        <f>HYPERLINK("Melting_Curves/meltCurve_Q9Y3E1_HDGFRP3.pdf", "Melting_Curves/meltCurve_Q9Y3E1_HDGFRP3.pdf")</f>
        <v>Melting_Curves/meltCurve_Q9Y3E1_HDGFRP3.pdf</v>
      </c>
    </row>
    <row r="6654" spans="1:28" x14ac:dyDescent="0.25">
      <c r="A6654" t="s">
        <v>6658</v>
      </c>
      <c r="B6654">
        <v>0.995954080203443</v>
      </c>
      <c r="C6654">
        <v>0.99280393160585201</v>
      </c>
      <c r="D6654">
        <v>0.97532951793129197</v>
      </c>
      <c r="E6654">
        <v>0.83152576064624495</v>
      </c>
      <c r="F6654">
        <v>0.79225677967675001</v>
      </c>
      <c r="G6654">
        <v>0.55812428888391297</v>
      </c>
      <c r="H6654">
        <v>0.50990609775851603</v>
      </c>
      <c r="I6654">
        <v>0.59348142498449197</v>
      </c>
      <c r="J6654">
        <v>0.76019712371274095</v>
      </c>
      <c r="K6654">
        <v>0.73294211079493798</v>
      </c>
      <c r="L6654">
        <v>1406.8644087046</v>
      </c>
      <c r="M6654">
        <v>27.670269735651601</v>
      </c>
      <c r="O6654">
        <v>50.580585338885001</v>
      </c>
      <c r="P6654">
        <v>-4.9856497093245897E-2</v>
      </c>
      <c r="Q6654">
        <v>0.63545754694268097</v>
      </c>
      <c r="R6654">
        <v>0.80191754247809</v>
      </c>
      <c r="S6654" t="s">
        <v>13460</v>
      </c>
      <c r="T6654" t="s">
        <v>13610</v>
      </c>
      <c r="U6654" t="s">
        <v>13610</v>
      </c>
      <c r="V6654" t="s">
        <v>13610</v>
      </c>
      <c r="W6654" t="s">
        <v>20185</v>
      </c>
      <c r="X6654">
        <v>6</v>
      </c>
      <c r="Y6654" t="s">
        <v>26716</v>
      </c>
      <c r="Z6654" t="s">
        <v>33509</v>
      </c>
      <c r="AA6654">
        <v>0.76991388941250993</v>
      </c>
      <c r="AB6654" t="str">
        <f>HYPERLINK("Melting_Curves/meltCurve_Q9Y3E2_BOLA1.pdf", "Melting_Curves/meltCurve_Q9Y3E2_BOLA1.pdf")</f>
        <v>Melting_Curves/meltCurve_Q9Y3E2_BOLA1.pdf</v>
      </c>
    </row>
    <row r="6655" spans="1:28" x14ac:dyDescent="0.25">
      <c r="A6655" t="s">
        <v>6659</v>
      </c>
      <c r="B6655">
        <v>0.995954080203443</v>
      </c>
      <c r="C6655">
        <v>0.99738294653803805</v>
      </c>
      <c r="D6655">
        <v>0.82930952661651003</v>
      </c>
      <c r="E6655">
        <v>0.81080233328650797</v>
      </c>
      <c r="F6655">
        <v>0.41720054064859902</v>
      </c>
      <c r="G6655">
        <v>0.19119895786090901</v>
      </c>
      <c r="H6655">
        <v>0.106109991310142</v>
      </c>
      <c r="I6655">
        <v>0.11684120856374799</v>
      </c>
      <c r="J6655">
        <v>0.14454064573172101</v>
      </c>
      <c r="K6655">
        <v>0.12339648562052299</v>
      </c>
      <c r="L6655">
        <v>1327.2545040944501</v>
      </c>
      <c r="M6655">
        <v>25.579652232538901</v>
      </c>
      <c r="N6655">
        <v>52.414544743972797</v>
      </c>
      <c r="O6655">
        <v>51.573114509146997</v>
      </c>
      <c r="P6655">
        <v>-0.10992853050463899</v>
      </c>
      <c r="Q6655">
        <v>0.11346919996733699</v>
      </c>
      <c r="R6655">
        <v>0.98214145796042995</v>
      </c>
      <c r="S6655" t="s">
        <v>13461</v>
      </c>
      <c r="T6655" t="s">
        <v>13610</v>
      </c>
      <c r="U6655" t="s">
        <v>13610</v>
      </c>
      <c r="V6655" t="s">
        <v>13610</v>
      </c>
      <c r="W6655" t="s">
        <v>20186</v>
      </c>
      <c r="X6655">
        <v>3</v>
      </c>
      <c r="Y6655" t="s">
        <v>26717</v>
      </c>
      <c r="Z6655" t="s">
        <v>33510</v>
      </c>
      <c r="AA6655">
        <v>0.47247935708261002</v>
      </c>
      <c r="AB6655" t="str">
        <f>HYPERLINK("Melting_Curves/meltCurve_Q9Y3E5_PTRH2.pdf", "Melting_Curves/meltCurve_Q9Y3E5_PTRH2.pdf")</f>
        <v>Melting_Curves/meltCurve_Q9Y3E5_PTRH2.pdf</v>
      </c>
    </row>
    <row r="6656" spans="1:28" x14ac:dyDescent="0.25">
      <c r="A6656" t="s">
        <v>6660</v>
      </c>
      <c r="B6656">
        <v>0.995954080203443</v>
      </c>
      <c r="C6656">
        <v>1.12303132514244</v>
      </c>
      <c r="D6656">
        <v>1.1432066138577099</v>
      </c>
      <c r="E6656">
        <v>1.0415334414892301</v>
      </c>
      <c r="F6656">
        <v>0.88905515205698504</v>
      </c>
      <c r="G6656">
        <v>0.52451793386474399</v>
      </c>
      <c r="H6656">
        <v>0.14210819836956201</v>
      </c>
      <c r="I6656">
        <v>6.1662639067321501E-2</v>
      </c>
      <c r="J6656">
        <v>6.3294347916651894E-2</v>
      </c>
      <c r="K6656">
        <v>5.1800769670131898E-2</v>
      </c>
      <c r="L6656">
        <v>1806.4322221873899</v>
      </c>
      <c r="M6656">
        <v>31.723917885573901</v>
      </c>
      <c r="N6656">
        <v>57.113076359812503</v>
      </c>
      <c r="O6656">
        <v>56.717450695520597</v>
      </c>
      <c r="P6656">
        <v>-0.13350573091899601</v>
      </c>
      <c r="Q6656">
        <v>4.5254749089163097E-2</v>
      </c>
      <c r="R6656">
        <v>0.981013306707749</v>
      </c>
      <c r="S6656" t="s">
        <v>13462</v>
      </c>
      <c r="T6656" t="s">
        <v>13610</v>
      </c>
      <c r="U6656" t="s">
        <v>13610</v>
      </c>
      <c r="V6656" t="s">
        <v>13610</v>
      </c>
      <c r="W6656" t="s">
        <v>20187</v>
      </c>
      <c r="X6656">
        <v>3</v>
      </c>
      <c r="Y6656" t="s">
        <v>26718</v>
      </c>
      <c r="Z6656" t="s">
        <v>33511</v>
      </c>
      <c r="AA6656">
        <v>0.59019555504492149</v>
      </c>
      <c r="AB6656" t="str">
        <f>HYPERLINK("Melting_Curves/meltCurve_Q9Y3E7_CHMP3.pdf", "Melting_Curves/meltCurve_Q9Y3E7_CHMP3.pdf")</f>
        <v>Melting_Curves/meltCurve_Q9Y3E7_CHMP3.pdf</v>
      </c>
    </row>
    <row r="6657" spans="1:28" x14ac:dyDescent="0.25">
      <c r="A6657" t="s">
        <v>6661</v>
      </c>
      <c r="B6657">
        <v>0.995954080203443</v>
      </c>
      <c r="C6657">
        <v>0.99061882877980001</v>
      </c>
      <c r="D6657">
        <v>0.87432589749062195</v>
      </c>
      <c r="E6657">
        <v>0.87950295504555398</v>
      </c>
      <c r="F6657">
        <v>0.78968105942460098</v>
      </c>
      <c r="G6657">
        <v>0.49686315671187797</v>
      </c>
      <c r="H6657">
        <v>0.19050005586989299</v>
      </c>
      <c r="I6657">
        <v>9.6702982970394397E-2</v>
      </c>
      <c r="J6657">
        <v>9.2264309626817698E-2</v>
      </c>
      <c r="K6657">
        <v>8.8974331472856605E-2</v>
      </c>
      <c r="L6657">
        <v>1014.89323900389</v>
      </c>
      <c r="M6657">
        <v>18.003929894818199</v>
      </c>
      <c r="N6657">
        <v>56.557445987764503</v>
      </c>
      <c r="O6657">
        <v>55.688996792530801</v>
      </c>
      <c r="P6657">
        <v>-7.8494479288021002E-2</v>
      </c>
      <c r="Q6657">
        <v>2.8864621210729201E-2</v>
      </c>
      <c r="R6657">
        <v>0.98734388438819598</v>
      </c>
      <c r="S6657" t="s">
        <v>13463</v>
      </c>
      <c r="T6657" t="s">
        <v>13610</v>
      </c>
      <c r="U6657" t="s">
        <v>13610</v>
      </c>
      <c r="V6657" t="s">
        <v>13610</v>
      </c>
      <c r="W6657" t="s">
        <v>20188</v>
      </c>
      <c r="X6657">
        <v>22</v>
      </c>
      <c r="Y6657" t="s">
        <v>26719</v>
      </c>
      <c r="Z6657" t="s">
        <v>33512</v>
      </c>
      <c r="AA6657">
        <v>0.57277540343080369</v>
      </c>
      <c r="AB6657" t="str">
        <f>HYPERLINK("Melting_Curves/meltCurve_Q9Y3F4_STRAP.pdf", "Melting_Curves/meltCurve_Q9Y3F4_STRAP.pdf")</f>
        <v>Melting_Curves/meltCurve_Q9Y3F4_STRAP.pdf</v>
      </c>
    </row>
    <row r="6658" spans="1:28" x14ac:dyDescent="0.25">
      <c r="A6658" t="s">
        <v>6662</v>
      </c>
      <c r="B6658">
        <v>0.995954080203443</v>
      </c>
      <c r="C6658">
        <v>0.88521341550580701</v>
      </c>
      <c r="D6658">
        <v>0.763554450138202</v>
      </c>
      <c r="E6658">
        <v>0.60917487021647099</v>
      </c>
      <c r="F6658">
        <v>0.27770908896606999</v>
      </c>
      <c r="G6658">
        <v>0.15169903237972701</v>
      </c>
      <c r="H6658">
        <v>8.4717800324402903E-2</v>
      </c>
      <c r="I6658">
        <v>7.1533071155015504E-2</v>
      </c>
      <c r="J6658">
        <v>8.2531946439506398E-2</v>
      </c>
      <c r="K6658">
        <v>7.5157369127417703E-2</v>
      </c>
      <c r="L6658">
        <v>758.71495525027206</v>
      </c>
      <c r="M6658">
        <v>15.1709858075079</v>
      </c>
      <c r="N6658">
        <v>50.306593508087602</v>
      </c>
      <c r="O6658">
        <v>49.166116486442803</v>
      </c>
      <c r="P6658">
        <v>-7.3858245408334605E-2</v>
      </c>
      <c r="Q6658">
        <v>4.2653341820985999E-2</v>
      </c>
      <c r="R6658">
        <v>0.98807238246903895</v>
      </c>
      <c r="S6658" t="s">
        <v>13464</v>
      </c>
      <c r="T6658" t="s">
        <v>13610</v>
      </c>
      <c r="U6658" t="s">
        <v>13610</v>
      </c>
      <c r="V6658" t="s">
        <v>13610</v>
      </c>
      <c r="W6658" t="s">
        <v>20189</v>
      </c>
      <c r="X6658">
        <v>30</v>
      </c>
      <c r="Y6658" t="s">
        <v>26720</v>
      </c>
      <c r="Z6658" t="s">
        <v>33513</v>
      </c>
      <c r="AA6658">
        <v>0.3844840293585795</v>
      </c>
      <c r="AB6658" t="str">
        <f>HYPERLINK("Melting_Curves/meltCurve_Q9Y3I0_C22orf28.pdf", "Melting_Curves/meltCurve_Q9Y3I0_C22orf28.pdf")</f>
        <v>Melting_Curves/meltCurve_Q9Y3I0_C22orf28.pdf</v>
      </c>
    </row>
    <row r="6659" spans="1:28" x14ac:dyDescent="0.25">
      <c r="A6659" t="s">
        <v>6663</v>
      </c>
      <c r="B6659">
        <v>0.995954080203443</v>
      </c>
      <c r="C6659">
        <v>0.85413490825670502</v>
      </c>
      <c r="D6659">
        <v>0.74121442130158199</v>
      </c>
      <c r="E6659">
        <v>0.66731187523417002</v>
      </c>
      <c r="F6659">
        <v>0.51694570729957801</v>
      </c>
      <c r="G6659">
        <v>0.29569173309089303</v>
      </c>
      <c r="H6659">
        <v>0.110425229308314</v>
      </c>
      <c r="I6659">
        <v>6.7611183762442101E-2</v>
      </c>
      <c r="J6659">
        <v>7.3520428057247594E-2</v>
      </c>
      <c r="K6659">
        <v>5.9052544199815503E-2</v>
      </c>
      <c r="L6659">
        <v>575.73754962345902</v>
      </c>
      <c r="M6659">
        <v>11.0300714731961</v>
      </c>
      <c r="N6659">
        <v>52.1970748882826</v>
      </c>
      <c r="O6659">
        <v>50.569420964341603</v>
      </c>
      <c r="P6659">
        <v>-5.4547548595177998E-2</v>
      </c>
      <c r="Q6659">
        <v>0</v>
      </c>
      <c r="R6659">
        <v>0.98132464517887896</v>
      </c>
      <c r="S6659" t="s">
        <v>13465</v>
      </c>
      <c r="T6659" t="s">
        <v>13610</v>
      </c>
      <c r="U6659" t="s">
        <v>13610</v>
      </c>
      <c r="V6659" t="s">
        <v>13610</v>
      </c>
      <c r="W6659" t="s">
        <v>20190</v>
      </c>
      <c r="X6659">
        <v>10</v>
      </c>
      <c r="Y6659" t="s">
        <v>26721</v>
      </c>
      <c r="Z6659" t="s">
        <v>33514</v>
      </c>
      <c r="AA6659">
        <v>0.43999257732272729</v>
      </c>
      <c r="AB6659" t="str">
        <f>HYPERLINK("Melting_Curves/meltCurve_Q9Y3I1_FBXO7.pdf", "Melting_Curves/meltCurve_Q9Y3I1_FBXO7.pdf")</f>
        <v>Melting_Curves/meltCurve_Q9Y3I1_FBXO7.pdf</v>
      </c>
    </row>
    <row r="6660" spans="1:28" x14ac:dyDescent="0.25">
      <c r="A6660" t="s">
        <v>6664</v>
      </c>
      <c r="B6660">
        <v>0.995954080203443</v>
      </c>
      <c r="C6660">
        <v>0.91839827768608995</v>
      </c>
      <c r="D6660">
        <v>0.75294557872666601</v>
      </c>
      <c r="E6660">
        <v>0.74967054158169</v>
      </c>
      <c r="F6660">
        <v>0.71190261838316904</v>
      </c>
      <c r="G6660">
        <v>0.50743865030311497</v>
      </c>
      <c r="H6660">
        <v>0.475081013020965</v>
      </c>
      <c r="I6660">
        <v>0.58270468110422202</v>
      </c>
      <c r="J6660">
        <v>0.59662395372613097</v>
      </c>
      <c r="K6660">
        <v>0.59036478700552697</v>
      </c>
      <c r="L6660">
        <v>620.12270908508901</v>
      </c>
      <c r="M6660">
        <v>13.0559595061531</v>
      </c>
      <c r="O6660">
        <v>46.424430931194799</v>
      </c>
      <c r="P6660">
        <v>-3.1938445127326402E-2</v>
      </c>
      <c r="Q6660">
        <v>0.54581154796601505</v>
      </c>
      <c r="R6660">
        <v>0.87461658537396603</v>
      </c>
      <c r="S6660" t="s">
        <v>13466</v>
      </c>
      <c r="T6660" t="s">
        <v>13610</v>
      </c>
      <c r="U6660" t="s">
        <v>13610</v>
      </c>
      <c r="V6660" t="s">
        <v>13610</v>
      </c>
      <c r="W6660" t="s">
        <v>17659</v>
      </c>
      <c r="X6660">
        <v>24</v>
      </c>
      <c r="Y6660" t="s">
        <v>24250</v>
      </c>
      <c r="Z6660" t="s">
        <v>33515</v>
      </c>
      <c r="AA6660">
        <v>0.67505515624692458</v>
      </c>
      <c r="AB6660" t="str">
        <f>HYPERLINK("Melting_Curves/meltCurve_Q9Y3L3_SH3BP1.pdf", "Melting_Curves/meltCurve_Q9Y3L3_SH3BP1.pdf")</f>
        <v>Melting_Curves/meltCurve_Q9Y3L3_SH3BP1.pdf</v>
      </c>
    </row>
    <row r="6661" spans="1:28" x14ac:dyDescent="0.25">
      <c r="A6661" t="s">
        <v>6665</v>
      </c>
      <c r="B6661">
        <v>0.995954080203443</v>
      </c>
      <c r="C6661">
        <v>0.97593881775135505</v>
      </c>
      <c r="D6661">
        <v>0.996350844227604</v>
      </c>
      <c r="E6661">
        <v>0.74908588157130795</v>
      </c>
      <c r="F6661">
        <v>0.44871984005033599</v>
      </c>
      <c r="G6661">
        <v>0.23789254530007101</v>
      </c>
      <c r="H6661">
        <v>0.18165060640477701</v>
      </c>
      <c r="I6661">
        <v>0.20130733078211999</v>
      </c>
      <c r="J6661">
        <v>0.23306771655810701</v>
      </c>
      <c r="K6661">
        <v>0.219417337021304</v>
      </c>
      <c r="L6661">
        <v>1525.80644246004</v>
      </c>
      <c r="M6661">
        <v>29.679557129692299</v>
      </c>
      <c r="N6661">
        <v>52.343492768689003</v>
      </c>
      <c r="O6661">
        <v>51.177645054426598</v>
      </c>
      <c r="P6661">
        <v>-0.115174739364675</v>
      </c>
      <c r="Q6661">
        <v>0.205603799265721</v>
      </c>
      <c r="R6661">
        <v>0.99735114209884401</v>
      </c>
      <c r="S6661" t="s">
        <v>13467</v>
      </c>
      <c r="T6661" t="s">
        <v>13610</v>
      </c>
      <c r="U6661" t="s">
        <v>13610</v>
      </c>
      <c r="V6661" t="s">
        <v>13610</v>
      </c>
      <c r="W6661" t="s">
        <v>20191</v>
      </c>
      <c r="X6661">
        <v>30</v>
      </c>
      <c r="Y6661" t="s">
        <v>26722</v>
      </c>
      <c r="Z6661" t="s">
        <v>33516</v>
      </c>
      <c r="AA6661">
        <v>0.51285867634984861</v>
      </c>
      <c r="AB6661" t="str">
        <f>HYPERLINK("Melting_Curves/meltCurve_Q9Y3P9_RABGAP1.pdf", "Melting_Curves/meltCurve_Q9Y3P9_RABGAP1.pdf")</f>
        <v>Melting_Curves/meltCurve_Q9Y3P9_RABGAP1.pdf</v>
      </c>
    </row>
    <row r="6662" spans="1:28" x14ac:dyDescent="0.25">
      <c r="A6662" t="s">
        <v>6666</v>
      </c>
      <c r="B6662">
        <v>0.995954080203443</v>
      </c>
      <c r="C6662">
        <v>0.68968737580015904</v>
      </c>
      <c r="D6662">
        <v>1.0030481764992201</v>
      </c>
      <c r="E6662">
        <v>0.74393491552045199</v>
      </c>
      <c r="F6662">
        <v>0.77599871247850905</v>
      </c>
      <c r="G6662">
        <v>0.55546054608259599</v>
      </c>
      <c r="H6662">
        <v>0.45664639089936299</v>
      </c>
      <c r="I6662">
        <v>0.52622535249140601</v>
      </c>
      <c r="J6662">
        <v>0.54505771043029605</v>
      </c>
      <c r="K6662">
        <v>0.61125214355026003</v>
      </c>
      <c r="L6662">
        <v>460.47811562090601</v>
      </c>
      <c r="M6662">
        <v>9.1204336253061609</v>
      </c>
      <c r="O6662">
        <v>48.238992082942701</v>
      </c>
      <c r="P6662">
        <v>-2.4510100622805099E-2</v>
      </c>
      <c r="Q6662">
        <v>0.48181120979918701</v>
      </c>
      <c r="R6662">
        <v>0.66630010088810698</v>
      </c>
      <c r="S6662" t="s">
        <v>13468</v>
      </c>
      <c r="T6662" t="s">
        <v>13610</v>
      </c>
      <c r="U6662" t="s">
        <v>13610</v>
      </c>
      <c r="V6662" t="s">
        <v>13610</v>
      </c>
      <c r="W6662" t="s">
        <v>20192</v>
      </c>
      <c r="X6662">
        <v>17</v>
      </c>
      <c r="Y6662" t="s">
        <v>26722</v>
      </c>
      <c r="Z6662" t="s">
        <v>33517</v>
      </c>
      <c r="AA6662">
        <v>0.68824322430349771</v>
      </c>
      <c r="AB6662" t="str">
        <f>HYPERLINK("Melting_Curves/meltCurve_Q9Y3P9_2_RABGAP1.pdf", "Melting_Curves/meltCurve_Q9Y3P9_2_RABGAP1.pdf")</f>
        <v>Melting_Curves/meltCurve_Q9Y3P9_2_RABGAP1.pdf</v>
      </c>
    </row>
    <row r="6663" spans="1:28" x14ac:dyDescent="0.25">
      <c r="A6663" t="s">
        <v>6667</v>
      </c>
      <c r="B6663">
        <v>0.995954080203443</v>
      </c>
      <c r="C6663">
        <v>0.99181623325037405</v>
      </c>
      <c r="D6663">
        <v>1.0062932649874601</v>
      </c>
      <c r="E6663">
        <v>0.85042772570217495</v>
      </c>
      <c r="F6663">
        <v>0.76716744607496401</v>
      </c>
      <c r="G6663">
        <v>0.55823208112663203</v>
      </c>
      <c r="H6663">
        <v>0.48973876449968901</v>
      </c>
      <c r="I6663">
        <v>0.56210920575932799</v>
      </c>
      <c r="J6663">
        <v>0.63007595206290801</v>
      </c>
      <c r="K6663">
        <v>0.68257114591526302</v>
      </c>
      <c r="L6663">
        <v>1497.70054625903</v>
      </c>
      <c r="M6663">
        <v>28.988312656285299</v>
      </c>
      <c r="O6663">
        <v>51.421669276929997</v>
      </c>
      <c r="P6663">
        <v>-5.87033119369215E-2</v>
      </c>
      <c r="Q6663">
        <v>0.58347355003267398</v>
      </c>
      <c r="R6663">
        <v>0.91891569422637698</v>
      </c>
      <c r="S6663" t="s">
        <v>13469</v>
      </c>
      <c r="T6663" t="s">
        <v>13610</v>
      </c>
      <c r="U6663" t="s">
        <v>13610</v>
      </c>
      <c r="V6663" t="s">
        <v>13610</v>
      </c>
      <c r="W6663" t="s">
        <v>20193</v>
      </c>
      <c r="X6663">
        <v>19</v>
      </c>
      <c r="Y6663" t="s">
        <v>26723</v>
      </c>
      <c r="Z6663" t="s">
        <v>33518</v>
      </c>
      <c r="AA6663">
        <v>0.74827619288076785</v>
      </c>
      <c r="AB6663" t="str">
        <f>HYPERLINK("Melting_Curves/meltCurve_Q9Y3Q8_TSC22D4.pdf", "Melting_Curves/meltCurve_Q9Y3Q8_TSC22D4.pdf")</f>
        <v>Melting_Curves/meltCurve_Q9Y3Q8_TSC22D4.pdf</v>
      </c>
    </row>
    <row r="6664" spans="1:28" x14ac:dyDescent="0.25">
      <c r="A6664" t="s">
        <v>6668</v>
      </c>
      <c r="B6664">
        <v>0.995954080203443</v>
      </c>
      <c r="C6664">
        <v>0.73195393593937197</v>
      </c>
      <c r="D6664">
        <v>0.547551448553109</v>
      </c>
      <c r="E6664">
        <v>0.45235149677695202</v>
      </c>
      <c r="F6664">
        <v>0.267836944273602</v>
      </c>
      <c r="G6664">
        <v>0.144080351209458</v>
      </c>
      <c r="H6664">
        <v>0.10625533065178</v>
      </c>
      <c r="I6664">
        <v>0.106134932517792</v>
      </c>
      <c r="J6664">
        <v>0.116597645967586</v>
      </c>
      <c r="K6664">
        <v>0.113796080474231</v>
      </c>
      <c r="L6664">
        <v>577.29779578206399</v>
      </c>
      <c r="M6664">
        <v>12.287929570582</v>
      </c>
      <c r="N6664">
        <v>47.660879988975303</v>
      </c>
      <c r="O6664">
        <v>45.788622797011797</v>
      </c>
      <c r="P6664">
        <v>-6.17097448891172E-2</v>
      </c>
      <c r="Q6664">
        <v>8.0404331917515795E-2</v>
      </c>
      <c r="R6664">
        <v>0.97563643428791103</v>
      </c>
      <c r="S6664" t="s">
        <v>13470</v>
      </c>
      <c r="T6664" t="s">
        <v>13610</v>
      </c>
      <c r="U6664" t="s">
        <v>13610</v>
      </c>
      <c r="V6664" t="s">
        <v>13610</v>
      </c>
      <c r="W6664" t="s">
        <v>20194</v>
      </c>
      <c r="X6664">
        <v>7</v>
      </c>
      <c r="Y6664" t="s">
        <v>26724</v>
      </c>
      <c r="Z6664" t="s">
        <v>33519</v>
      </c>
      <c r="AA6664">
        <v>0.33139766932472581</v>
      </c>
      <c r="AB6664" t="str">
        <f>HYPERLINK("Melting_Curves/meltCurve_Q9Y3R5_2_DOPEY2.pdf", "Melting_Curves/meltCurve_Q9Y3R5_2_DOPEY2.pdf")</f>
        <v>Melting_Curves/meltCurve_Q9Y3R5_2_DOPEY2.pdf</v>
      </c>
    </row>
    <row r="6665" spans="1:28" x14ac:dyDescent="0.25">
      <c r="A6665" t="s">
        <v>6669</v>
      </c>
      <c r="B6665">
        <v>0.995954080203443</v>
      </c>
      <c r="C6665">
        <v>0.90324762994165098</v>
      </c>
      <c r="D6665">
        <v>0.89638535648727502</v>
      </c>
      <c r="E6665">
        <v>0.64515360259496601</v>
      </c>
      <c r="F6665">
        <v>0.57305643572093001</v>
      </c>
      <c r="G6665">
        <v>0.39115678650345298</v>
      </c>
      <c r="H6665">
        <v>0.25937208544652901</v>
      </c>
      <c r="I6665">
        <v>0.218444703539552</v>
      </c>
      <c r="J6665">
        <v>0.18552996277182901</v>
      </c>
      <c r="K6665">
        <v>0.154498311791573</v>
      </c>
      <c r="L6665">
        <v>575.53874586326901</v>
      </c>
      <c r="M6665">
        <v>10.8572478849165</v>
      </c>
      <c r="N6665">
        <v>54.0714507553811</v>
      </c>
      <c r="O6665">
        <v>51.306398728558399</v>
      </c>
      <c r="P6665">
        <v>-4.78419111434523E-2</v>
      </c>
      <c r="Q6665">
        <v>9.6004580499397293E-2</v>
      </c>
      <c r="R6665">
        <v>0.99360253054423997</v>
      </c>
      <c r="S6665" t="s">
        <v>13471</v>
      </c>
      <c r="T6665" t="s">
        <v>13610</v>
      </c>
      <c r="U6665" t="s">
        <v>13610</v>
      </c>
      <c r="V6665" t="s">
        <v>13610</v>
      </c>
      <c r="W6665" t="s">
        <v>20195</v>
      </c>
      <c r="X6665">
        <v>12</v>
      </c>
      <c r="Y6665" t="s">
        <v>26725</v>
      </c>
      <c r="Z6665" t="s">
        <v>33520</v>
      </c>
      <c r="AA6665">
        <v>0.51660577521388951</v>
      </c>
      <c r="AB6665" t="str">
        <f>HYPERLINK("Melting_Curves/meltCurve_Q9Y3S2_ZNF330.pdf", "Melting_Curves/meltCurve_Q9Y3S2_ZNF330.pdf")</f>
        <v>Melting_Curves/meltCurve_Q9Y3S2_ZNF330.pdf</v>
      </c>
    </row>
    <row r="6666" spans="1:28" x14ac:dyDescent="0.25">
      <c r="A6666" t="s">
        <v>6670</v>
      </c>
      <c r="B6666">
        <v>0.995954080203443</v>
      </c>
      <c r="C6666">
        <v>1.05182487029436</v>
      </c>
      <c r="D6666">
        <v>1.01874029653871</v>
      </c>
      <c r="E6666">
        <v>1.0349664819784601</v>
      </c>
      <c r="F6666">
        <v>0.858377752421975</v>
      </c>
      <c r="G6666">
        <v>0.67061904037543896</v>
      </c>
      <c r="H6666">
        <v>0.45539851334201997</v>
      </c>
      <c r="I6666">
        <v>0.43789805802007498</v>
      </c>
      <c r="J6666">
        <v>0.30991148841824601</v>
      </c>
      <c r="K6666">
        <v>0.41369847493364198</v>
      </c>
      <c r="L6666">
        <v>1348.24712649355</v>
      </c>
      <c r="M6666">
        <v>23.807016639255199</v>
      </c>
      <c r="N6666">
        <v>59.9382247253914</v>
      </c>
      <c r="O6666">
        <v>56.237298711366698</v>
      </c>
      <c r="P6666">
        <v>-6.7151734795335996E-2</v>
      </c>
      <c r="Q6666">
        <v>0.36550293408675399</v>
      </c>
      <c r="R6666">
        <v>0.97961254474236603</v>
      </c>
      <c r="S6666" t="s">
        <v>13472</v>
      </c>
      <c r="T6666" t="s">
        <v>13610</v>
      </c>
      <c r="U6666" t="s">
        <v>13610</v>
      </c>
      <c r="V6666" t="s">
        <v>13610</v>
      </c>
      <c r="W6666" t="s">
        <v>20196</v>
      </c>
      <c r="X6666">
        <v>5</v>
      </c>
      <c r="Y6666" t="s">
        <v>26726</v>
      </c>
      <c r="Z6666" t="s">
        <v>33521</v>
      </c>
      <c r="AA6666">
        <v>0.72349666421226577</v>
      </c>
      <c r="AB6666" t="str">
        <f>HYPERLINK("Melting_Curves/meltCurve_Q9Y3T6_R3HCC1.pdf", "Melting_Curves/meltCurve_Q9Y3T6_R3HCC1.pdf")</f>
        <v>Melting_Curves/meltCurve_Q9Y3T6_R3HCC1.pdf</v>
      </c>
    </row>
    <row r="6667" spans="1:28" x14ac:dyDescent="0.25">
      <c r="A6667" t="s">
        <v>6671</v>
      </c>
      <c r="B6667">
        <v>0.995954080203443</v>
      </c>
      <c r="C6667">
        <v>0.65740231349843703</v>
      </c>
      <c r="D6667">
        <v>0.56096263872584196</v>
      </c>
      <c r="E6667">
        <v>0.39332173447497398</v>
      </c>
      <c r="F6667">
        <v>0.31896376713836699</v>
      </c>
      <c r="G6667">
        <v>0.209615197919026</v>
      </c>
      <c r="H6667">
        <v>0.173569944060568</v>
      </c>
      <c r="I6667">
        <v>0.20544738097465701</v>
      </c>
      <c r="J6667">
        <v>0.225860380675098</v>
      </c>
      <c r="K6667">
        <v>0.23206659728898699</v>
      </c>
      <c r="L6667">
        <v>653.46643093404805</v>
      </c>
      <c r="M6667">
        <v>14.4563879478135</v>
      </c>
      <c r="N6667">
        <v>46.886547539251303</v>
      </c>
      <c r="O6667">
        <v>44.364067011853301</v>
      </c>
      <c r="P6667">
        <v>-6.4975154729251403E-2</v>
      </c>
      <c r="Q6667">
        <v>0.20250482021878399</v>
      </c>
      <c r="R6667">
        <v>0.96103867564127299</v>
      </c>
      <c r="S6667" t="s">
        <v>13473</v>
      </c>
      <c r="T6667" t="s">
        <v>13610</v>
      </c>
      <c r="U6667" t="s">
        <v>13610</v>
      </c>
      <c r="V6667" t="s">
        <v>13610</v>
      </c>
      <c r="W6667" t="s">
        <v>20197</v>
      </c>
      <c r="X6667">
        <v>7</v>
      </c>
      <c r="Y6667" t="s">
        <v>26727</v>
      </c>
      <c r="Z6667" t="s">
        <v>33522</v>
      </c>
      <c r="AA6667">
        <v>0.36789079329368152</v>
      </c>
      <c r="AB6667" t="str">
        <f>HYPERLINK("Melting_Curves/meltCurve_Q9Y3T9_NOC2L.pdf", "Melting_Curves/meltCurve_Q9Y3T9_NOC2L.pdf")</f>
        <v>Melting_Curves/meltCurve_Q9Y3T9_NOC2L.pdf</v>
      </c>
    </row>
    <row r="6668" spans="1:28" x14ac:dyDescent="0.25">
      <c r="A6668" t="s">
        <v>6672</v>
      </c>
      <c r="B6668">
        <v>0.995954080203443</v>
      </c>
      <c r="C6668">
        <v>0.936607414246447</v>
      </c>
      <c r="D6668">
        <v>0.98436635514700699</v>
      </c>
      <c r="E6668">
        <v>0.91438154126015803</v>
      </c>
      <c r="F6668">
        <v>0.76651148486850595</v>
      </c>
      <c r="G6668">
        <v>0.77168193053600198</v>
      </c>
      <c r="H6668">
        <v>0.56211356628401199</v>
      </c>
      <c r="I6668">
        <v>0.56948072242959802</v>
      </c>
      <c r="J6668">
        <v>0.83473592187756196</v>
      </c>
      <c r="K6668">
        <v>0.79514605418605</v>
      </c>
      <c r="L6668">
        <v>1664.4826072599301</v>
      </c>
      <c r="M6668">
        <v>32.483698841782903</v>
      </c>
      <c r="O6668">
        <v>51.0475271079804</v>
      </c>
      <c r="P6668">
        <v>-4.7344525871908003E-2</v>
      </c>
      <c r="Q6668">
        <v>0.70239725510395301</v>
      </c>
      <c r="R6668">
        <v>0.66729581443668895</v>
      </c>
      <c r="S6668" t="s">
        <v>13474</v>
      </c>
      <c r="T6668" t="s">
        <v>13610</v>
      </c>
      <c r="U6668" t="s">
        <v>13610</v>
      </c>
      <c r="V6668" t="s">
        <v>13610</v>
      </c>
      <c r="W6668" t="s">
        <v>20198</v>
      </c>
      <c r="X6668">
        <v>3</v>
      </c>
      <c r="Y6668" t="s">
        <v>26728</v>
      </c>
      <c r="Z6668" t="s">
        <v>33523</v>
      </c>
      <c r="AA6668">
        <v>0.81550643624790176</v>
      </c>
      <c r="AB6668" t="str">
        <f>HYPERLINK("Melting_Curves/meltCurve_Q9Y3U8_RPL36.pdf", "Melting_Curves/meltCurve_Q9Y3U8_RPL36.pdf")</f>
        <v>Melting_Curves/meltCurve_Q9Y3U8_RPL36.pdf</v>
      </c>
    </row>
    <row r="6669" spans="1:28" x14ac:dyDescent="0.25">
      <c r="A6669" t="s">
        <v>6673</v>
      </c>
      <c r="B6669">
        <v>0.995954080203443</v>
      </c>
      <c r="C6669">
        <v>0.96502703977175797</v>
      </c>
      <c r="D6669">
        <v>0.96129316760712602</v>
      </c>
      <c r="E6669">
        <v>0.84576376258466401</v>
      </c>
      <c r="F6669">
        <v>0.77519771563372697</v>
      </c>
      <c r="G6669">
        <v>0.57033607076121395</v>
      </c>
      <c r="H6669">
        <v>0.55108771998331396</v>
      </c>
      <c r="I6669">
        <v>0.63708561394927898</v>
      </c>
      <c r="J6669">
        <v>0.87965912534687996</v>
      </c>
      <c r="K6669">
        <v>0.78671867407154705</v>
      </c>
      <c r="L6669">
        <v>1569.9770924459301</v>
      </c>
      <c r="M6669">
        <v>31.3649860752184</v>
      </c>
      <c r="O6669">
        <v>49.852929159428299</v>
      </c>
      <c r="P6669">
        <v>-4.8740376860832497E-2</v>
      </c>
      <c r="Q6669">
        <v>0.69012103776798395</v>
      </c>
      <c r="R6669">
        <v>0.64161888409434498</v>
      </c>
      <c r="S6669" t="s">
        <v>13475</v>
      </c>
      <c r="T6669" t="s">
        <v>13610</v>
      </c>
      <c r="U6669" t="s">
        <v>13610</v>
      </c>
      <c r="V6669" t="s">
        <v>13610</v>
      </c>
      <c r="W6669" t="s">
        <v>20199</v>
      </c>
      <c r="X6669">
        <v>16</v>
      </c>
      <c r="Y6669" t="s">
        <v>26729</v>
      </c>
      <c r="Z6669" t="s">
        <v>33524</v>
      </c>
      <c r="AA6669">
        <v>0.79573628180903333</v>
      </c>
      <c r="AB6669" t="str">
        <f>HYPERLINK("Melting_Curves/meltCurve_Q9Y3X0_CCDC9.pdf", "Melting_Curves/meltCurve_Q9Y3X0_CCDC9.pdf")</f>
        <v>Melting_Curves/meltCurve_Q9Y3X0_CCDC9.pdf</v>
      </c>
    </row>
    <row r="6670" spans="1:28" x14ac:dyDescent="0.25">
      <c r="A6670" t="s">
        <v>6674</v>
      </c>
      <c r="B6670">
        <v>0.995954080203443</v>
      </c>
      <c r="C6670">
        <v>0.98126885758156401</v>
      </c>
      <c r="D6670">
        <v>0.98255958761309303</v>
      </c>
      <c r="E6670">
        <v>0.86363187595649404</v>
      </c>
      <c r="F6670">
        <v>0.77877431950409204</v>
      </c>
      <c r="G6670">
        <v>0.59458455861078896</v>
      </c>
      <c r="H6670">
        <v>0.52008222309635099</v>
      </c>
      <c r="I6670">
        <v>0.56138586322430595</v>
      </c>
      <c r="J6670">
        <v>0.73096147408785495</v>
      </c>
      <c r="K6670">
        <v>0.69466074194988803</v>
      </c>
      <c r="L6670">
        <v>1480.82119651884</v>
      </c>
      <c r="M6670">
        <v>28.752813463849101</v>
      </c>
      <c r="O6670">
        <v>51.254590376248302</v>
      </c>
      <c r="P6670">
        <v>-5.3322760403658499E-2</v>
      </c>
      <c r="Q6670">
        <v>0.61979161930179105</v>
      </c>
      <c r="R6670">
        <v>0.87344996567233901</v>
      </c>
      <c r="S6670" t="s">
        <v>13476</v>
      </c>
      <c r="T6670" t="s">
        <v>13610</v>
      </c>
      <c r="U6670" t="s">
        <v>13610</v>
      </c>
      <c r="V6670" t="s">
        <v>13610</v>
      </c>
      <c r="W6670" t="s">
        <v>20200</v>
      </c>
      <c r="X6670">
        <v>5</v>
      </c>
      <c r="Y6670" t="s">
        <v>26730</v>
      </c>
      <c r="Z6670" t="s">
        <v>33525</v>
      </c>
      <c r="AA6670">
        <v>0.76818334502767127</v>
      </c>
      <c r="AB6670" t="str">
        <f>HYPERLINK("Melting_Curves/meltCurve_Q9Y3Y2_4_CHTOP.pdf", "Melting_Curves/meltCurve_Q9Y3Y2_4_CHTOP.pdf")</f>
        <v>Melting_Curves/meltCurve_Q9Y3Y2_4_CHTOP.pdf</v>
      </c>
    </row>
    <row r="6671" spans="1:28" x14ac:dyDescent="0.25">
      <c r="A6671" t="s">
        <v>6675</v>
      </c>
      <c r="B6671">
        <v>0.995954080203443</v>
      </c>
      <c r="C6671">
        <v>0.631673536073176</v>
      </c>
      <c r="D6671">
        <v>0.35024162604840298</v>
      </c>
      <c r="E6671">
        <v>0.30938313447614402</v>
      </c>
      <c r="F6671">
        <v>0.201350438889452</v>
      </c>
      <c r="G6671">
        <v>0.117912620090577</v>
      </c>
      <c r="H6671">
        <v>8.0646498566446706E-2</v>
      </c>
      <c r="I6671">
        <v>8.0529035133590304E-2</v>
      </c>
      <c r="J6671">
        <v>6.87087950312113E-2</v>
      </c>
      <c r="K6671">
        <v>6.3247280779349296E-2</v>
      </c>
      <c r="L6671">
        <v>750.46060333252899</v>
      </c>
      <c r="M6671">
        <v>16.881944781309301</v>
      </c>
      <c r="N6671">
        <v>44.992947094240698</v>
      </c>
      <c r="O6671">
        <v>43.843748834196298</v>
      </c>
      <c r="P6671">
        <v>-8.74470882190512E-2</v>
      </c>
      <c r="Q6671">
        <v>9.1629610502748093E-2</v>
      </c>
      <c r="R6671">
        <v>0.95816940926933303</v>
      </c>
      <c r="S6671" t="s">
        <v>13477</v>
      </c>
      <c r="T6671" t="s">
        <v>13610</v>
      </c>
      <c r="U6671" t="s">
        <v>13610</v>
      </c>
      <c r="V6671" t="s">
        <v>13610</v>
      </c>
      <c r="W6671" t="s">
        <v>20201</v>
      </c>
      <c r="X6671">
        <v>12</v>
      </c>
      <c r="Y6671" t="s">
        <v>26731</v>
      </c>
      <c r="Z6671" t="s">
        <v>33526</v>
      </c>
      <c r="AA6671">
        <v>0.25063620624333111</v>
      </c>
      <c r="AB6671" t="str">
        <f>HYPERLINK("Melting_Curves/meltCurve_Q9Y3Z3_4_SAMHD1.pdf", "Melting_Curves/meltCurve_Q9Y3Z3_4_SAMHD1.pdf")</f>
        <v>Melting_Curves/meltCurve_Q9Y3Z3_4_SAMHD1.pdf</v>
      </c>
    </row>
    <row r="6672" spans="1:28" x14ac:dyDescent="0.25">
      <c r="A6672" t="s">
        <v>6676</v>
      </c>
      <c r="B6672">
        <v>0.995954080203443</v>
      </c>
      <c r="C6672">
        <v>1.14331811933514</v>
      </c>
      <c r="D6672">
        <v>1.02116991466211</v>
      </c>
      <c r="E6672">
        <v>0.96468721896385901</v>
      </c>
      <c r="F6672">
        <v>0.81364952933570101</v>
      </c>
      <c r="G6672">
        <v>0.65339953759744296</v>
      </c>
      <c r="H6672">
        <v>0.49699815520122298</v>
      </c>
      <c r="I6672">
        <v>0.48104837594155703</v>
      </c>
      <c r="J6672">
        <v>0.60455853750334798</v>
      </c>
      <c r="K6672">
        <v>0.517600063913909</v>
      </c>
      <c r="L6672">
        <v>1498.1260916230101</v>
      </c>
      <c r="M6672">
        <v>27.659678395299501</v>
      </c>
      <c r="O6672">
        <v>53.882101055163503</v>
      </c>
      <c r="P6672">
        <v>-6.1161459283452603E-2</v>
      </c>
      <c r="Q6672">
        <v>0.52342514545882501</v>
      </c>
      <c r="R6672">
        <v>0.93944136313061199</v>
      </c>
      <c r="S6672" t="s">
        <v>13478</v>
      </c>
      <c r="T6672" t="s">
        <v>13610</v>
      </c>
      <c r="U6672" t="s">
        <v>13610</v>
      </c>
      <c r="V6672" t="s">
        <v>13610</v>
      </c>
      <c r="W6672" t="s">
        <v>20202</v>
      </c>
      <c r="X6672">
        <v>2</v>
      </c>
      <c r="Y6672" t="s">
        <v>26732</v>
      </c>
      <c r="Z6672" t="s">
        <v>33527</v>
      </c>
      <c r="AA6672">
        <v>0.75207350449067478</v>
      </c>
      <c r="AB6672" t="str">
        <f>HYPERLINK("Melting_Curves/meltCurve_Q9Y426_2_C2CD2.pdf", "Melting_Curves/meltCurve_Q9Y426_2_C2CD2.pdf")</f>
        <v>Melting_Curves/meltCurve_Q9Y426_2_C2CD2.pdf</v>
      </c>
    </row>
    <row r="6673" spans="1:28" x14ac:dyDescent="0.25">
      <c r="A6673" t="s">
        <v>6677</v>
      </c>
      <c r="B6673">
        <v>0.995954080203443</v>
      </c>
      <c r="C6673">
        <v>0.90824318888488997</v>
      </c>
      <c r="D6673">
        <v>0.80342259940196603</v>
      </c>
      <c r="E6673">
        <v>0.46731449200880598</v>
      </c>
      <c r="F6673">
        <v>0.288280817643499</v>
      </c>
      <c r="G6673">
        <v>0.197901165240634</v>
      </c>
      <c r="H6673">
        <v>0.17906351804333401</v>
      </c>
      <c r="I6673">
        <v>0.20494649430169401</v>
      </c>
      <c r="J6673">
        <v>0.231532153699435</v>
      </c>
      <c r="K6673">
        <v>0.23103751987058199</v>
      </c>
      <c r="L6673">
        <v>1047.1661136028899</v>
      </c>
      <c r="M6673">
        <v>21.710943605969099</v>
      </c>
      <c r="N6673">
        <v>49.398251299947397</v>
      </c>
      <c r="O6673">
        <v>47.828577383507401</v>
      </c>
      <c r="P6673">
        <v>-9.0731762920704201E-2</v>
      </c>
      <c r="Q6673">
        <v>0.20050107273738099</v>
      </c>
      <c r="R6673">
        <v>0.99404709641246702</v>
      </c>
      <c r="S6673" t="s">
        <v>13479</v>
      </c>
      <c r="T6673" t="s">
        <v>13610</v>
      </c>
      <c r="U6673" t="s">
        <v>13610</v>
      </c>
      <c r="V6673" t="s">
        <v>13610</v>
      </c>
      <c r="W6673" t="s">
        <v>20203</v>
      </c>
      <c r="X6673">
        <v>23</v>
      </c>
      <c r="Y6673" t="s">
        <v>26733</v>
      </c>
      <c r="Z6673" t="s">
        <v>33528</v>
      </c>
      <c r="AA6673">
        <v>0.42940419485135961</v>
      </c>
      <c r="AB6673" t="str">
        <f>HYPERLINK("Melting_Curves/meltCurve_Q9Y446_PKP3.pdf", "Melting_Curves/meltCurve_Q9Y446_PKP3.pdf")</f>
        <v>Melting_Curves/meltCurve_Q9Y446_PKP3.pdf</v>
      </c>
    </row>
    <row r="6674" spans="1:28" x14ac:dyDescent="0.25">
      <c r="A6674" t="s">
        <v>6678</v>
      </c>
      <c r="B6674">
        <v>0.995954080203443</v>
      </c>
      <c r="C6674">
        <v>0.89774218293720298</v>
      </c>
      <c r="D6674">
        <v>0.80421120171649096</v>
      </c>
      <c r="E6674">
        <v>0.64916548590802503</v>
      </c>
      <c r="F6674">
        <v>0.55249657347822201</v>
      </c>
      <c r="G6674">
        <v>0.39607495255906899</v>
      </c>
      <c r="H6674">
        <v>0.34659389665462198</v>
      </c>
      <c r="I6674">
        <v>0.38909065261870202</v>
      </c>
      <c r="J6674">
        <v>0.52580531336299796</v>
      </c>
      <c r="K6674">
        <v>0.45109911088992399</v>
      </c>
      <c r="L6674">
        <v>776.72778807734301</v>
      </c>
      <c r="M6674">
        <v>16.1310643742165</v>
      </c>
      <c r="N6674">
        <v>54.0288290512527</v>
      </c>
      <c r="O6674">
        <v>47.429269644344402</v>
      </c>
      <c r="P6674">
        <v>-4.9868925175815801E-2</v>
      </c>
      <c r="Q6674">
        <v>0.41353696924018302</v>
      </c>
      <c r="R6674">
        <v>0.94090366716222396</v>
      </c>
      <c r="S6674" t="s">
        <v>13480</v>
      </c>
      <c r="T6674" t="s">
        <v>13610</v>
      </c>
      <c r="U6674" t="s">
        <v>13610</v>
      </c>
      <c r="V6674" t="s">
        <v>13610</v>
      </c>
      <c r="W6674" t="s">
        <v>20204</v>
      </c>
      <c r="X6674">
        <v>12</v>
      </c>
      <c r="Y6674" t="s">
        <v>26734</v>
      </c>
      <c r="Z6674" t="s">
        <v>33529</v>
      </c>
      <c r="AA6674">
        <v>0.58584650590628895</v>
      </c>
      <c r="AB6674" t="str">
        <f>HYPERLINK("Melting_Curves/meltCurve_Q9Y448_KNSTRN.pdf", "Melting_Curves/meltCurve_Q9Y448_KNSTRN.pdf")</f>
        <v>Melting_Curves/meltCurve_Q9Y448_KNSTRN.pdf</v>
      </c>
    </row>
    <row r="6675" spans="1:28" x14ac:dyDescent="0.25">
      <c r="A6675" t="s">
        <v>6679</v>
      </c>
      <c r="B6675">
        <v>0.995954080203443</v>
      </c>
      <c r="C6675">
        <v>0.90173173995559797</v>
      </c>
      <c r="D6675">
        <v>0.64116400688222097</v>
      </c>
      <c r="E6675">
        <v>0.42189966942880502</v>
      </c>
      <c r="F6675">
        <v>0.21888645592920999</v>
      </c>
      <c r="G6675">
        <v>0.14650309902776501</v>
      </c>
      <c r="H6675">
        <v>0.11608153637166101</v>
      </c>
      <c r="I6675">
        <v>0.122490364091252</v>
      </c>
      <c r="J6675">
        <v>0.13618374917669501</v>
      </c>
      <c r="K6675">
        <v>0.13627527750732099</v>
      </c>
      <c r="L6675">
        <v>838.59083954676305</v>
      </c>
      <c r="M6675">
        <v>17.6565722049036</v>
      </c>
      <c r="N6675">
        <v>48.221945186040102</v>
      </c>
      <c r="O6675">
        <v>46.897854211087399</v>
      </c>
      <c r="P6675">
        <v>-8.3122964007544195E-2</v>
      </c>
      <c r="Q6675">
        <v>0.11691055293165301</v>
      </c>
      <c r="R6675">
        <v>0.99403404278513396</v>
      </c>
      <c r="S6675" t="s">
        <v>13481</v>
      </c>
      <c r="T6675" t="s">
        <v>13610</v>
      </c>
      <c r="U6675" t="s">
        <v>13610</v>
      </c>
      <c r="V6675" t="s">
        <v>13610</v>
      </c>
      <c r="W6675" t="s">
        <v>20205</v>
      </c>
      <c r="X6675">
        <v>25</v>
      </c>
      <c r="Y6675" t="s">
        <v>26735</v>
      </c>
      <c r="Z6675" t="s">
        <v>33530</v>
      </c>
      <c r="AA6675">
        <v>0.35413340499148488</v>
      </c>
      <c r="AB6675" t="str">
        <f>HYPERLINK("Melting_Curves/meltCurve_Q9Y450_HBS1L.pdf", "Melting_Curves/meltCurve_Q9Y450_HBS1L.pdf")</f>
        <v>Melting_Curves/meltCurve_Q9Y450_HBS1L.pdf</v>
      </c>
    </row>
    <row r="6676" spans="1:28" x14ac:dyDescent="0.25">
      <c r="A6676" t="s">
        <v>6680</v>
      </c>
      <c r="B6676">
        <v>0.995954080203443</v>
      </c>
      <c r="C6676">
        <v>1.0474032169760801</v>
      </c>
      <c r="D6676">
        <v>1.0420500410868101</v>
      </c>
      <c r="E6676">
        <v>0.96742960236734499</v>
      </c>
      <c r="F6676">
        <v>1.0155802840796699</v>
      </c>
      <c r="G6676">
        <v>0.74083348413542105</v>
      </c>
      <c r="H6676">
        <v>0.69527465778375597</v>
      </c>
      <c r="I6676">
        <v>0.79799814350901799</v>
      </c>
      <c r="J6676">
        <v>0.97468539549591005</v>
      </c>
      <c r="K6676">
        <v>0.91550240858892895</v>
      </c>
      <c r="L6676">
        <v>6845.5318463772701</v>
      </c>
      <c r="M6676">
        <v>125.388720375143</v>
      </c>
      <c r="O6676">
        <v>54.580596053974503</v>
      </c>
      <c r="P6676">
        <v>-0.100580248286151</v>
      </c>
      <c r="Q6676">
        <v>0.82487325264399203</v>
      </c>
      <c r="R6676">
        <v>0.59092543232456296</v>
      </c>
      <c r="S6676" t="s">
        <v>13482</v>
      </c>
      <c r="T6676" t="s">
        <v>13610</v>
      </c>
      <c r="U6676" t="s">
        <v>13610</v>
      </c>
      <c r="V6676" t="s">
        <v>13610</v>
      </c>
      <c r="W6676" t="s">
        <v>20206</v>
      </c>
      <c r="X6676">
        <v>12</v>
      </c>
      <c r="Y6676" t="s">
        <v>26735</v>
      </c>
      <c r="Z6676" t="s">
        <v>33531</v>
      </c>
      <c r="AA6676">
        <v>0.91013611894092539</v>
      </c>
      <c r="AB6676" t="str">
        <f>HYPERLINK("Melting_Curves/meltCurve_Q9Y450_2_HBS1L.pdf", "Melting_Curves/meltCurve_Q9Y450_2_HBS1L.pdf")</f>
        <v>Melting_Curves/meltCurve_Q9Y450_2_HBS1L.pdf</v>
      </c>
    </row>
    <row r="6677" spans="1:28" x14ac:dyDescent="0.25">
      <c r="A6677" t="s">
        <v>6681</v>
      </c>
      <c r="B6677">
        <v>0.995954080203443</v>
      </c>
      <c r="C6677">
        <v>0.95279145208281801</v>
      </c>
      <c r="D6677">
        <v>0.76280542433408804</v>
      </c>
      <c r="E6677">
        <v>0.74925079678292705</v>
      </c>
      <c r="F6677">
        <v>0.40006349157108001</v>
      </c>
      <c r="G6677">
        <v>0.17832709130862701</v>
      </c>
      <c r="H6677">
        <v>0.110653285615309</v>
      </c>
      <c r="I6677">
        <v>9.73661781416994E-2</v>
      </c>
      <c r="J6677">
        <v>0.112561922633387</v>
      </c>
      <c r="K6677">
        <v>8.3169113555051896E-2</v>
      </c>
      <c r="L6677">
        <v>814.97147958113396</v>
      </c>
      <c r="M6677">
        <v>15.8247721746837</v>
      </c>
      <c r="N6677">
        <v>51.892779551206203</v>
      </c>
      <c r="O6677">
        <v>50.698387293374402</v>
      </c>
      <c r="P6677">
        <v>-7.3632741447062403E-2</v>
      </c>
      <c r="Q6677">
        <v>5.6478131693132497E-2</v>
      </c>
      <c r="R6677">
        <v>0.97718136844897496</v>
      </c>
      <c r="S6677" t="s">
        <v>13483</v>
      </c>
      <c r="T6677" t="s">
        <v>13610</v>
      </c>
      <c r="U6677" t="s">
        <v>13610</v>
      </c>
      <c r="V6677" t="s">
        <v>13610</v>
      </c>
      <c r="W6677" t="s">
        <v>20207</v>
      </c>
      <c r="X6677">
        <v>6</v>
      </c>
      <c r="Y6677" t="s">
        <v>26736</v>
      </c>
      <c r="Z6677" t="s">
        <v>33532</v>
      </c>
      <c r="AA6677">
        <v>0.43782644094384709</v>
      </c>
      <c r="AB6677" t="str">
        <f>HYPERLINK("Melting_Curves/meltCurve_Q9Y478_PRKAB1.pdf", "Melting_Curves/meltCurve_Q9Y478_PRKAB1.pdf")</f>
        <v>Melting_Curves/meltCurve_Q9Y478_PRKAB1.pdf</v>
      </c>
    </row>
    <row r="6678" spans="1:28" x14ac:dyDescent="0.25">
      <c r="A6678" t="s">
        <v>6682</v>
      </c>
      <c r="B6678">
        <v>0.995954080203443</v>
      </c>
      <c r="C6678">
        <v>0.89712843556231703</v>
      </c>
      <c r="D6678">
        <v>0.78078591354372995</v>
      </c>
      <c r="E6678">
        <v>0.68675030252206504</v>
      </c>
      <c r="F6678">
        <v>0.61126789427963701</v>
      </c>
      <c r="G6678">
        <v>0.44615809076791602</v>
      </c>
      <c r="H6678">
        <v>0.40267660736934202</v>
      </c>
      <c r="I6678">
        <v>0.50722383323624998</v>
      </c>
      <c r="J6678">
        <v>0.62099548591408005</v>
      </c>
      <c r="K6678">
        <v>0.58040478826544295</v>
      </c>
      <c r="L6678">
        <v>779.11150101524197</v>
      </c>
      <c r="M6678">
        <v>16.588248356996498</v>
      </c>
      <c r="O6678">
        <v>46.3010472741962</v>
      </c>
      <c r="P6678">
        <v>-4.3563177147609697E-2</v>
      </c>
      <c r="Q6678">
        <v>0.51365991095347896</v>
      </c>
      <c r="R6678">
        <v>0.87078886655594501</v>
      </c>
      <c r="S6678" t="s">
        <v>13484</v>
      </c>
      <c r="T6678" t="s">
        <v>13610</v>
      </c>
      <c r="U6678" t="s">
        <v>13610</v>
      </c>
      <c r="V6678" t="s">
        <v>13610</v>
      </c>
      <c r="W6678" t="s">
        <v>20208</v>
      </c>
      <c r="X6678">
        <v>7</v>
      </c>
      <c r="Y6678" t="s">
        <v>26737</v>
      </c>
      <c r="Z6678" t="s">
        <v>33533</v>
      </c>
      <c r="AA6678">
        <v>0.63733450817594206</v>
      </c>
      <c r="AB6678" t="str">
        <f>HYPERLINK("Melting_Curves/meltCurve_Q9Y483_3_MTF2.pdf", "Melting_Curves/meltCurve_Q9Y483_3_MTF2.pdf")</f>
        <v>Melting_Curves/meltCurve_Q9Y483_3_MTF2.pdf</v>
      </c>
    </row>
    <row r="6679" spans="1:28" x14ac:dyDescent="0.25">
      <c r="A6679" t="s">
        <v>6683</v>
      </c>
      <c r="B6679">
        <v>0.995954080203443</v>
      </c>
      <c r="C6679">
        <v>0.69946358961309496</v>
      </c>
      <c r="D6679">
        <v>0.46559034272732402</v>
      </c>
      <c r="E6679">
        <v>0.63215535766520603</v>
      </c>
      <c r="F6679">
        <v>0.28135965503217703</v>
      </c>
      <c r="G6679">
        <v>0.116759130985761</v>
      </c>
      <c r="H6679">
        <v>7.4098842525990305E-2</v>
      </c>
      <c r="I6679">
        <v>6.9839876013618102E-2</v>
      </c>
      <c r="J6679">
        <v>6.8395665256051896E-2</v>
      </c>
      <c r="K6679">
        <v>6.4847658148580997E-2</v>
      </c>
      <c r="L6679">
        <v>467.53847830292801</v>
      </c>
      <c r="M6679">
        <v>9.6938852091000296</v>
      </c>
      <c r="N6679">
        <v>48.2302474092522</v>
      </c>
      <c r="O6679">
        <v>46.311967554153</v>
      </c>
      <c r="P6679">
        <v>-5.2357926419808298E-2</v>
      </c>
      <c r="Q6679">
        <v>0</v>
      </c>
      <c r="R6679">
        <v>0.90577870807536098</v>
      </c>
      <c r="S6679" t="s">
        <v>13485</v>
      </c>
      <c r="T6679" t="s">
        <v>13610</v>
      </c>
      <c r="U6679" t="s">
        <v>13610</v>
      </c>
      <c r="V6679" t="s">
        <v>13610</v>
      </c>
      <c r="W6679" t="s">
        <v>20209</v>
      </c>
      <c r="X6679">
        <v>5</v>
      </c>
      <c r="Y6679" t="s">
        <v>26738</v>
      </c>
      <c r="Z6679" t="s">
        <v>33534</v>
      </c>
      <c r="AA6679">
        <v>0.32886132394729323</v>
      </c>
      <c r="AB6679" t="str">
        <f>HYPERLINK("Melting_Curves/meltCurve_Q9Y485_DMXL1.pdf", "Melting_Curves/meltCurve_Q9Y485_DMXL1.pdf")</f>
        <v>Melting_Curves/meltCurve_Q9Y485_DMXL1.pdf</v>
      </c>
    </row>
    <row r="6680" spans="1:28" x14ac:dyDescent="0.25">
      <c r="A6680" t="s">
        <v>6684</v>
      </c>
      <c r="B6680">
        <v>0.995954080203443</v>
      </c>
      <c r="C6680">
        <v>0.97430591848245296</v>
      </c>
      <c r="D6680">
        <v>0.96768709091161498</v>
      </c>
      <c r="E6680">
        <v>0.86029916337695</v>
      </c>
      <c r="F6680">
        <v>0.56724384397151095</v>
      </c>
      <c r="G6680">
        <v>0.19168571427640099</v>
      </c>
      <c r="H6680">
        <v>9.0130927137739097E-2</v>
      </c>
      <c r="I6680">
        <v>7.4213330521505E-2</v>
      </c>
      <c r="J6680">
        <v>7.6931845584654199E-2</v>
      </c>
      <c r="K6680">
        <v>7.1687602099826706E-2</v>
      </c>
      <c r="L6680">
        <v>1454.2684103061999</v>
      </c>
      <c r="M6680">
        <v>27.322010911055301</v>
      </c>
      <c r="N6680">
        <v>53.508549505096802</v>
      </c>
      <c r="O6680">
        <v>52.9443035841254</v>
      </c>
      <c r="P6680">
        <v>-0.12037603250276301</v>
      </c>
      <c r="Q6680">
        <v>6.6955266828112106E-2</v>
      </c>
      <c r="R6680">
        <v>0.99927731764850802</v>
      </c>
      <c r="S6680" t="s">
        <v>13486</v>
      </c>
      <c r="T6680" t="s">
        <v>13610</v>
      </c>
      <c r="U6680" t="s">
        <v>13610</v>
      </c>
      <c r="V6680" t="s">
        <v>13610</v>
      </c>
      <c r="W6680" t="s">
        <v>20210</v>
      </c>
      <c r="X6680">
        <v>148</v>
      </c>
      <c r="Y6680" t="s">
        <v>26739</v>
      </c>
      <c r="Z6680" t="s">
        <v>33535</v>
      </c>
      <c r="AA6680">
        <v>0.48560778146040973</v>
      </c>
      <c r="AB6680" t="str">
        <f>HYPERLINK("Melting_Curves/meltCurve_Q9Y490_TLN1.pdf", "Melting_Curves/meltCurve_Q9Y490_TLN1.pdf")</f>
        <v>Melting_Curves/meltCurve_Q9Y490_TLN1.pdf</v>
      </c>
    </row>
    <row r="6681" spans="1:28" x14ac:dyDescent="0.25">
      <c r="A6681" t="s">
        <v>6685</v>
      </c>
      <c r="B6681">
        <v>0.995954080203443</v>
      </c>
      <c r="C6681">
        <v>0.78939627327125805</v>
      </c>
      <c r="D6681">
        <v>0.408553681302116</v>
      </c>
      <c r="E6681">
        <v>0.28049289647166198</v>
      </c>
      <c r="F6681">
        <v>0.13484162814233899</v>
      </c>
      <c r="G6681">
        <v>0.157301518855536</v>
      </c>
      <c r="H6681">
        <v>9.1043663428416896E-2</v>
      </c>
      <c r="I6681">
        <v>9.5342174255420506E-2</v>
      </c>
      <c r="J6681">
        <v>7.6288793038788494E-2</v>
      </c>
      <c r="K6681">
        <v>8.2359233391680498E-2</v>
      </c>
      <c r="L6681">
        <v>953.67277690811898</v>
      </c>
      <c r="M6681">
        <v>21.131051278723501</v>
      </c>
      <c r="N6681">
        <v>45.633481179076902</v>
      </c>
      <c r="O6681">
        <v>44.732987013401299</v>
      </c>
      <c r="P6681">
        <v>-0.105847909666016</v>
      </c>
      <c r="Q6681">
        <v>0.103732395829176</v>
      </c>
      <c r="R6681">
        <v>0.98438954691484704</v>
      </c>
      <c r="S6681" t="s">
        <v>13487</v>
      </c>
      <c r="T6681" t="s">
        <v>13610</v>
      </c>
      <c r="U6681" t="s">
        <v>13610</v>
      </c>
      <c r="V6681" t="s">
        <v>13610</v>
      </c>
      <c r="W6681" t="s">
        <v>20211</v>
      </c>
      <c r="X6681">
        <v>5</v>
      </c>
      <c r="Y6681" t="s">
        <v>26740</v>
      </c>
      <c r="Z6681" t="s">
        <v>33536</v>
      </c>
      <c r="AA6681">
        <v>0.27018155024912949</v>
      </c>
      <c r="AB6681" t="str">
        <f>HYPERLINK("Melting_Curves/meltCurve_Q9Y496_KIF3A.pdf", "Melting_Curves/meltCurve_Q9Y496_KIF3A.pdf")</f>
        <v>Melting_Curves/meltCurve_Q9Y496_KIF3A.pdf</v>
      </c>
    </row>
    <row r="6682" spans="1:28" x14ac:dyDescent="0.25">
      <c r="A6682" t="s">
        <v>6686</v>
      </c>
      <c r="B6682">
        <v>0.995954080203443</v>
      </c>
      <c r="C6682">
        <v>0.73446971374415604</v>
      </c>
      <c r="D6682">
        <v>0.54787395396688698</v>
      </c>
      <c r="E6682">
        <v>0.64208913528299405</v>
      </c>
      <c r="F6682">
        <v>0.37231647794334899</v>
      </c>
      <c r="G6682">
        <v>0.20635657324641399</v>
      </c>
      <c r="H6682">
        <v>9.7951046486257701E-2</v>
      </c>
      <c r="I6682">
        <v>8.7274471767755005E-2</v>
      </c>
      <c r="J6682">
        <v>0.100525145325845</v>
      </c>
      <c r="K6682">
        <v>9.2665105821566396E-2</v>
      </c>
      <c r="L6682">
        <v>447.15448502358402</v>
      </c>
      <c r="M6682">
        <v>9.0124165605901805</v>
      </c>
      <c r="N6682">
        <v>49.615381427396898</v>
      </c>
      <c r="O6682">
        <v>47.355306818754897</v>
      </c>
      <c r="P6682">
        <v>-4.7613077302789297E-2</v>
      </c>
      <c r="Q6682">
        <v>0</v>
      </c>
      <c r="R6682">
        <v>0.93615621327274301</v>
      </c>
      <c r="S6682" t="s">
        <v>13488</v>
      </c>
      <c r="T6682" t="s">
        <v>13610</v>
      </c>
      <c r="U6682" t="s">
        <v>13610</v>
      </c>
      <c r="V6682" t="s">
        <v>13610</v>
      </c>
      <c r="W6682" t="s">
        <v>20212</v>
      </c>
      <c r="X6682">
        <v>52</v>
      </c>
      <c r="Y6682" t="s">
        <v>26741</v>
      </c>
      <c r="Z6682" t="s">
        <v>33537</v>
      </c>
      <c r="AA6682">
        <v>0.374157443145687</v>
      </c>
      <c r="AB6682" t="str">
        <f>HYPERLINK("Melting_Curves/meltCurve_Q9Y4A5_2_TRRAP.pdf", "Melting_Curves/meltCurve_Q9Y4A5_2_TRRAP.pdf")</f>
        <v>Melting_Curves/meltCurve_Q9Y4A5_2_TRRAP.pdf</v>
      </c>
    </row>
    <row r="6683" spans="1:28" x14ac:dyDescent="0.25">
      <c r="A6683" t="s">
        <v>6687</v>
      </c>
      <c r="B6683">
        <v>0.995954080203443</v>
      </c>
      <c r="C6683">
        <v>0.73974000108978399</v>
      </c>
      <c r="D6683">
        <v>0.42591868336619199</v>
      </c>
      <c r="E6683">
        <v>0.32605131814559202</v>
      </c>
      <c r="F6683">
        <v>0.21512622341413201</v>
      </c>
      <c r="G6683">
        <v>0.15269855636441601</v>
      </c>
      <c r="H6683">
        <v>0.112537551696038</v>
      </c>
      <c r="I6683">
        <v>0.109862878402066</v>
      </c>
      <c r="J6683">
        <v>0.115860867619604</v>
      </c>
      <c r="K6683">
        <v>0.106889937693649</v>
      </c>
      <c r="L6683">
        <v>784.87341495933197</v>
      </c>
      <c r="M6683">
        <v>17.3818237145476</v>
      </c>
      <c r="N6683">
        <v>45.890747138436801</v>
      </c>
      <c r="O6683">
        <v>44.569877567807403</v>
      </c>
      <c r="P6683">
        <v>-8.5643749461913998E-2</v>
      </c>
      <c r="Q6683">
        <v>0.121630651588092</v>
      </c>
      <c r="R6683">
        <v>0.97976920861163996</v>
      </c>
      <c r="S6683" t="s">
        <v>13489</v>
      </c>
      <c r="T6683" t="s">
        <v>13610</v>
      </c>
      <c r="U6683" t="s">
        <v>13610</v>
      </c>
      <c r="V6683" t="s">
        <v>13610</v>
      </c>
      <c r="W6683" t="s">
        <v>20213</v>
      </c>
      <c r="X6683">
        <v>9</v>
      </c>
      <c r="Y6683" t="s">
        <v>26742</v>
      </c>
      <c r="Z6683" t="s">
        <v>33538</v>
      </c>
      <c r="AA6683">
        <v>0.29270785522514159</v>
      </c>
      <c r="AB6683" t="str">
        <f>HYPERLINK("Melting_Curves/meltCurve_Q9Y4B4_RAD54L2.pdf", "Melting_Curves/meltCurve_Q9Y4B4_RAD54L2.pdf")</f>
        <v>Melting_Curves/meltCurve_Q9Y4B4_RAD54L2.pdf</v>
      </c>
    </row>
    <row r="6684" spans="1:28" x14ac:dyDescent="0.25">
      <c r="A6684" t="s">
        <v>6688</v>
      </c>
      <c r="B6684">
        <v>0.995954080203443</v>
      </c>
      <c r="C6684">
        <v>0.82102581777757599</v>
      </c>
      <c r="D6684">
        <v>0.63934016876198796</v>
      </c>
      <c r="E6684">
        <v>0.81804582663368197</v>
      </c>
      <c r="F6684">
        <v>0.42163870306443901</v>
      </c>
      <c r="G6684">
        <v>0.21106110468999001</v>
      </c>
      <c r="H6684">
        <v>0.10842316065888601</v>
      </c>
      <c r="I6684">
        <v>9.8378288401892597E-2</v>
      </c>
      <c r="J6684">
        <v>0.102927028741401</v>
      </c>
      <c r="K6684">
        <v>9.4789393510001596E-2</v>
      </c>
      <c r="L6684">
        <v>543.50799284173297</v>
      </c>
      <c r="M6684">
        <v>10.500116098618999</v>
      </c>
      <c r="N6684">
        <v>51.762082000067302</v>
      </c>
      <c r="O6684">
        <v>49.990336691053102</v>
      </c>
      <c r="P6684">
        <v>-5.2531914528948898E-2</v>
      </c>
      <c r="Q6684">
        <v>0</v>
      </c>
      <c r="R6684">
        <v>0.92068298590332198</v>
      </c>
      <c r="S6684" t="s">
        <v>13490</v>
      </c>
      <c r="T6684" t="s">
        <v>13610</v>
      </c>
      <c r="U6684" t="s">
        <v>13610</v>
      </c>
      <c r="V6684" t="s">
        <v>13610</v>
      </c>
      <c r="W6684" t="s">
        <v>20214</v>
      </c>
      <c r="X6684">
        <v>20</v>
      </c>
      <c r="Y6684" t="s">
        <v>26743</v>
      </c>
      <c r="Z6684" t="s">
        <v>33539</v>
      </c>
      <c r="AA6684">
        <v>0.42879092240136901</v>
      </c>
      <c r="AB6684" t="str">
        <f>HYPERLINK("Melting_Curves/meltCurve_Q9Y4B6_VPRBP.pdf", "Melting_Curves/meltCurve_Q9Y4B6_VPRBP.pdf")</f>
        <v>Melting_Curves/meltCurve_Q9Y4B6_VPRBP.pdf</v>
      </c>
    </row>
    <row r="6685" spans="1:28" x14ac:dyDescent="0.25">
      <c r="A6685" t="s">
        <v>6689</v>
      </c>
      <c r="B6685">
        <v>0.995954080203443</v>
      </c>
      <c r="C6685">
        <v>0.939463691676375</v>
      </c>
      <c r="D6685">
        <v>0.85807996920291496</v>
      </c>
      <c r="E6685">
        <v>0.61290422100505104</v>
      </c>
      <c r="F6685">
        <v>0.39392221115384601</v>
      </c>
      <c r="G6685">
        <v>0.25146324898337202</v>
      </c>
      <c r="H6685">
        <v>0.21678122091196</v>
      </c>
      <c r="I6685">
        <v>0.24996335010675799</v>
      </c>
      <c r="J6685">
        <v>0.30525701624954898</v>
      </c>
      <c r="K6685">
        <v>0.29072102057877802</v>
      </c>
      <c r="L6685">
        <v>1057.14951228324</v>
      </c>
      <c r="M6685">
        <v>21.368114728082801</v>
      </c>
      <c r="N6685">
        <v>51.154005061174601</v>
      </c>
      <c r="O6685">
        <v>49.046017691688398</v>
      </c>
      <c r="P6685">
        <v>-8.1448451918958803E-2</v>
      </c>
      <c r="Q6685">
        <v>0.25222719219798501</v>
      </c>
      <c r="R6685">
        <v>0.98813841981642603</v>
      </c>
      <c r="S6685" t="s">
        <v>13491</v>
      </c>
      <c r="T6685" t="s">
        <v>13610</v>
      </c>
      <c r="U6685" t="s">
        <v>13610</v>
      </c>
      <c r="V6685" t="s">
        <v>13610</v>
      </c>
      <c r="W6685" t="s">
        <v>20215</v>
      </c>
      <c r="X6685">
        <v>20</v>
      </c>
      <c r="Y6685" t="s">
        <v>26744</v>
      </c>
      <c r="Z6685" t="s">
        <v>33540</v>
      </c>
      <c r="AA6685">
        <v>0.49749548195738352</v>
      </c>
      <c r="AB6685" t="str">
        <f>HYPERLINK("Melting_Curves/meltCurve_Q9Y4C1_KDM3A.pdf", "Melting_Curves/meltCurve_Q9Y4C1_KDM3A.pdf")</f>
        <v>Melting_Curves/meltCurve_Q9Y4C1_KDM3A.pdf</v>
      </c>
    </row>
    <row r="6686" spans="1:28" x14ac:dyDescent="0.25">
      <c r="A6686" t="s">
        <v>6690</v>
      </c>
      <c r="B6686">
        <v>0.995954080203443</v>
      </c>
      <c r="C6686">
        <v>0.793633943037509</v>
      </c>
      <c r="D6686">
        <v>0.44218987306853502</v>
      </c>
      <c r="E6686">
        <v>0.27627657469196298</v>
      </c>
      <c r="F6686">
        <v>0.142591191308547</v>
      </c>
      <c r="G6686">
        <v>7.9838910922870696E-2</v>
      </c>
      <c r="H6686">
        <v>6.0621392074406401E-2</v>
      </c>
      <c r="I6686">
        <v>5.3543904402743703E-2</v>
      </c>
      <c r="J6686">
        <v>6.1703378453366903E-2</v>
      </c>
      <c r="K6686">
        <v>5.3398116494584397E-2</v>
      </c>
      <c r="L6686">
        <v>845.70578711145299</v>
      </c>
      <c r="M6686">
        <v>18.514684777716599</v>
      </c>
      <c r="N6686">
        <v>46.001131075215703</v>
      </c>
      <c r="O6686">
        <v>45.154704167917302</v>
      </c>
      <c r="P6686">
        <v>-9.62528035173668E-2</v>
      </c>
      <c r="Q6686">
        <v>6.1053421875878901E-2</v>
      </c>
      <c r="R6686">
        <v>0.98975205008308098</v>
      </c>
      <c r="S6686" t="s">
        <v>13492</v>
      </c>
      <c r="T6686" t="s">
        <v>13610</v>
      </c>
      <c r="U6686" t="s">
        <v>13610</v>
      </c>
      <c r="V6686" t="s">
        <v>13610</v>
      </c>
      <c r="W6686" t="s">
        <v>20216</v>
      </c>
      <c r="X6686">
        <v>14</v>
      </c>
      <c r="Y6686" t="s">
        <v>26745</v>
      </c>
      <c r="Z6686" t="s">
        <v>33541</v>
      </c>
      <c r="AA6686">
        <v>0.25650802977133058</v>
      </c>
      <c r="AB6686" t="str">
        <f>HYPERLINK("Melting_Curves/meltCurve_Q9Y4C2_2_FAM115A.pdf", "Melting_Curves/meltCurve_Q9Y4C2_2_FAM115A.pdf")</f>
        <v>Melting_Curves/meltCurve_Q9Y4C2_2_FAM115A.pdf</v>
      </c>
    </row>
    <row r="6687" spans="1:28" x14ac:dyDescent="0.25">
      <c r="A6687" t="s">
        <v>6691</v>
      </c>
      <c r="B6687">
        <v>0.995954080203443</v>
      </c>
      <c r="C6687">
        <v>0.88628300391720405</v>
      </c>
      <c r="D6687">
        <v>0.82782900657904501</v>
      </c>
      <c r="E6687">
        <v>0.57080311053545796</v>
      </c>
      <c r="F6687">
        <v>0.35642233697674303</v>
      </c>
      <c r="G6687">
        <v>0.19334836277855799</v>
      </c>
      <c r="H6687">
        <v>0.159904222955595</v>
      </c>
      <c r="I6687">
        <v>0.1538062878941</v>
      </c>
      <c r="J6687">
        <v>0.19740422463808499</v>
      </c>
      <c r="K6687">
        <v>0.18213288961730201</v>
      </c>
      <c r="L6687">
        <v>859.22645135906305</v>
      </c>
      <c r="M6687">
        <v>17.341715937340101</v>
      </c>
      <c r="N6687">
        <v>50.602903287730797</v>
      </c>
      <c r="O6687">
        <v>48.902019321618702</v>
      </c>
      <c r="P6687">
        <v>-7.5198803401640299E-2</v>
      </c>
      <c r="Q6687">
        <v>0.15183383740526299</v>
      </c>
      <c r="R6687">
        <v>0.99161212332924897</v>
      </c>
      <c r="S6687" t="s">
        <v>13493</v>
      </c>
      <c r="T6687" t="s">
        <v>13610</v>
      </c>
      <c r="U6687" t="s">
        <v>13610</v>
      </c>
      <c r="V6687" t="s">
        <v>13610</v>
      </c>
      <c r="W6687" t="s">
        <v>20217</v>
      </c>
      <c r="X6687">
        <v>16</v>
      </c>
      <c r="Y6687" t="s">
        <v>26746</v>
      </c>
      <c r="Z6687" t="s">
        <v>33542</v>
      </c>
      <c r="AA6687">
        <v>0.43738544027616671</v>
      </c>
      <c r="AB6687" t="str">
        <f>HYPERLINK("Melting_Curves/meltCurve_Q9Y4E5_2_ZNF451.pdf", "Melting_Curves/meltCurve_Q9Y4E5_2_ZNF451.pdf")</f>
        <v>Melting_Curves/meltCurve_Q9Y4E5_2_ZNF451.pdf</v>
      </c>
    </row>
    <row r="6688" spans="1:28" x14ac:dyDescent="0.25">
      <c r="A6688" t="s">
        <v>6692</v>
      </c>
      <c r="B6688">
        <v>0.995954080203443</v>
      </c>
      <c r="C6688">
        <v>0.791553011846582</v>
      </c>
      <c r="D6688">
        <v>0.76541904492741297</v>
      </c>
      <c r="E6688">
        <v>0.57007038461224402</v>
      </c>
      <c r="F6688">
        <v>0.46717050562975598</v>
      </c>
      <c r="G6688">
        <v>0.204305284615456</v>
      </c>
      <c r="H6688">
        <v>0.111497466868439</v>
      </c>
      <c r="I6688">
        <v>0.14429367986859701</v>
      </c>
      <c r="J6688">
        <v>2.95004872729447E-2</v>
      </c>
      <c r="K6688">
        <v>2.5102790132323999E-2</v>
      </c>
      <c r="L6688">
        <v>549.43609997262797</v>
      </c>
      <c r="M6688">
        <v>10.7658647321151</v>
      </c>
      <c r="N6688">
        <v>51.035017988176797</v>
      </c>
      <c r="O6688">
        <v>49.368775641576299</v>
      </c>
      <c r="P6688">
        <v>-5.4537570530206803E-2</v>
      </c>
      <c r="Q6688">
        <v>0</v>
      </c>
      <c r="R6688">
        <v>0.98029341158055505</v>
      </c>
      <c r="S6688" t="s">
        <v>13494</v>
      </c>
      <c r="T6688" t="s">
        <v>13610</v>
      </c>
      <c r="U6688" t="s">
        <v>13610</v>
      </c>
      <c r="V6688" t="s">
        <v>13610</v>
      </c>
      <c r="W6688" t="s">
        <v>20218</v>
      </c>
      <c r="X6688">
        <v>3</v>
      </c>
      <c r="Y6688" t="s">
        <v>26746</v>
      </c>
      <c r="Z6688" t="s">
        <v>33543</v>
      </c>
      <c r="AA6688">
        <v>0.40558858405846748</v>
      </c>
      <c r="AB6688" t="str">
        <f>HYPERLINK("Melting_Curves/meltCurve_Q9Y4E5_4_ZNF451.pdf", "Melting_Curves/meltCurve_Q9Y4E5_4_ZNF451.pdf")</f>
        <v>Melting_Curves/meltCurve_Q9Y4E5_4_ZNF451.pdf</v>
      </c>
    </row>
    <row r="6689" spans="1:28" x14ac:dyDescent="0.25">
      <c r="A6689" t="s">
        <v>6693</v>
      </c>
      <c r="B6689">
        <v>0.995954080203443</v>
      </c>
      <c r="C6689">
        <v>0.87765646151336796</v>
      </c>
      <c r="D6689">
        <v>0.78701483065672195</v>
      </c>
      <c r="E6689">
        <v>0.70333114059160395</v>
      </c>
      <c r="F6689">
        <v>0.24766068292500201</v>
      </c>
      <c r="G6689">
        <v>0.12379022536803699</v>
      </c>
      <c r="H6689">
        <v>6.8923695659383499E-2</v>
      </c>
      <c r="I6689">
        <v>5.5051497605272399E-2</v>
      </c>
      <c r="J6689">
        <v>6.6989936654723206E-2</v>
      </c>
      <c r="K6689">
        <v>5.7772333672312902E-2</v>
      </c>
      <c r="L6689">
        <v>897.714806043522</v>
      </c>
      <c r="M6689">
        <v>17.7314963436576</v>
      </c>
      <c r="N6689">
        <v>50.8138967093318</v>
      </c>
      <c r="O6689">
        <v>49.9974806323129</v>
      </c>
      <c r="P6689">
        <v>-8.5885704169552199E-2</v>
      </c>
      <c r="Q6689">
        <v>3.1363434345674499E-2</v>
      </c>
      <c r="R6689">
        <v>0.971514874235058</v>
      </c>
      <c r="S6689" t="s">
        <v>13495</v>
      </c>
      <c r="T6689" t="s">
        <v>13610</v>
      </c>
      <c r="U6689" t="s">
        <v>13610</v>
      </c>
      <c r="V6689" t="s">
        <v>13610</v>
      </c>
      <c r="W6689" t="s">
        <v>20219</v>
      </c>
      <c r="X6689">
        <v>48</v>
      </c>
      <c r="Y6689" t="s">
        <v>26747</v>
      </c>
      <c r="Z6689" t="s">
        <v>33544</v>
      </c>
      <c r="AA6689">
        <v>0.39137742001701609</v>
      </c>
      <c r="AB6689" t="str">
        <f>HYPERLINK("Melting_Curves/meltCurve_Q9Y4E8_USP15.pdf", "Melting_Curves/meltCurve_Q9Y4E8_USP15.pdf")</f>
        <v>Melting_Curves/meltCurve_Q9Y4E8_USP15.pdf</v>
      </c>
    </row>
    <row r="6690" spans="1:28" x14ac:dyDescent="0.25">
      <c r="A6690" t="s">
        <v>6694</v>
      </c>
      <c r="B6690">
        <v>0.995954080203443</v>
      </c>
      <c r="C6690">
        <v>0.92337205469654504</v>
      </c>
      <c r="D6690">
        <v>0.77131051988163202</v>
      </c>
      <c r="E6690">
        <v>0.57877373736772797</v>
      </c>
      <c r="F6690">
        <v>0.52440752949578895</v>
      </c>
      <c r="G6690">
        <v>0.38018260657046798</v>
      </c>
      <c r="H6690">
        <v>0.34561019877124799</v>
      </c>
      <c r="I6690">
        <v>0.407715650915977</v>
      </c>
      <c r="J6690">
        <v>0.45254850877554198</v>
      </c>
      <c r="K6690">
        <v>0.45751255177822397</v>
      </c>
      <c r="L6690">
        <v>865.05914224891103</v>
      </c>
      <c r="M6690">
        <v>18.247334309692299</v>
      </c>
      <c r="N6690">
        <v>52.234675894773503</v>
      </c>
      <c r="O6690">
        <v>46.849042004435802</v>
      </c>
      <c r="P6690">
        <v>-5.7705928709398203E-2</v>
      </c>
      <c r="Q6690">
        <v>0.40740018000288297</v>
      </c>
      <c r="R6690">
        <v>0.97049307035392296</v>
      </c>
      <c r="S6690" t="s">
        <v>13496</v>
      </c>
      <c r="T6690" t="s">
        <v>13610</v>
      </c>
      <c r="U6690" t="s">
        <v>13610</v>
      </c>
      <c r="V6690" t="s">
        <v>13610</v>
      </c>
      <c r="W6690" t="s">
        <v>20220</v>
      </c>
      <c r="X6690">
        <v>17</v>
      </c>
      <c r="Y6690" t="s">
        <v>26748</v>
      </c>
      <c r="Z6690" t="s">
        <v>33545</v>
      </c>
      <c r="AA6690">
        <v>0.56414760002913544</v>
      </c>
      <c r="AB6690" t="str">
        <f>HYPERLINK("Melting_Curves/meltCurve_Q9Y4F3_3_KIAA0430.pdf", "Melting_Curves/meltCurve_Q9Y4F3_3_KIAA0430.pdf")</f>
        <v>Melting_Curves/meltCurve_Q9Y4F3_3_KIAA0430.pdf</v>
      </c>
    </row>
    <row r="6691" spans="1:28" x14ac:dyDescent="0.25">
      <c r="A6691" t="s">
        <v>6695</v>
      </c>
      <c r="B6691">
        <v>0.995954080203443</v>
      </c>
      <c r="C6691">
        <v>1.03492859063035</v>
      </c>
      <c r="D6691">
        <v>0.95322853659676299</v>
      </c>
      <c r="E6691">
        <v>0.69392645192986802</v>
      </c>
      <c r="F6691">
        <v>0.26906015891676899</v>
      </c>
      <c r="G6691">
        <v>0.170431276435036</v>
      </c>
      <c r="H6691">
        <v>0.11110473058312199</v>
      </c>
      <c r="I6691">
        <v>0.11065955674269801</v>
      </c>
      <c r="J6691">
        <v>0.10206997985936</v>
      </c>
      <c r="K6691">
        <v>0.100619279399914</v>
      </c>
      <c r="L6691">
        <v>1777.1341080862601</v>
      </c>
      <c r="M6691">
        <v>34.9488417979058</v>
      </c>
      <c r="N6691">
        <v>51.221597212252199</v>
      </c>
      <c r="O6691">
        <v>50.683969272864701</v>
      </c>
      <c r="P6691">
        <v>-0.15306511103869</v>
      </c>
      <c r="Q6691">
        <v>0.112082869382126</v>
      </c>
      <c r="R6691">
        <v>0.99736977395366</v>
      </c>
      <c r="S6691" t="s">
        <v>13497</v>
      </c>
      <c r="T6691" t="s">
        <v>13610</v>
      </c>
      <c r="U6691" t="s">
        <v>13610</v>
      </c>
      <c r="V6691" t="s">
        <v>13610</v>
      </c>
      <c r="W6691" t="s">
        <v>20221</v>
      </c>
      <c r="X6691">
        <v>24</v>
      </c>
      <c r="Y6691" t="s">
        <v>26749</v>
      </c>
      <c r="Z6691" t="s">
        <v>33546</v>
      </c>
      <c r="AA6691">
        <v>0.4372970963961379</v>
      </c>
      <c r="AB6691" t="str">
        <f>HYPERLINK("Melting_Curves/meltCurve_Q9Y4G6_TLN2.pdf", "Melting_Curves/meltCurve_Q9Y4G6_TLN2.pdf")</f>
        <v>Melting_Curves/meltCurve_Q9Y4G6_TLN2.pdf</v>
      </c>
    </row>
    <row r="6692" spans="1:28" x14ac:dyDescent="0.25">
      <c r="A6692" t="s">
        <v>6696</v>
      </c>
      <c r="B6692">
        <v>0.995954080203443</v>
      </c>
      <c r="C6692">
        <v>0.93863043943074598</v>
      </c>
      <c r="D6692">
        <v>0.79978616686029502</v>
      </c>
      <c r="E6692">
        <v>0.59370944380272905</v>
      </c>
      <c r="F6692">
        <v>0.35279969911183001</v>
      </c>
      <c r="G6692">
        <v>0.23651871324788301</v>
      </c>
      <c r="H6692">
        <v>0.20867783098227599</v>
      </c>
      <c r="I6692">
        <v>0.25588290665920299</v>
      </c>
      <c r="J6692">
        <v>0.24130154755977401</v>
      </c>
      <c r="K6692">
        <v>0.28853452757106701</v>
      </c>
      <c r="L6692">
        <v>947.33278062451404</v>
      </c>
      <c r="M6692">
        <v>19.3381824796787</v>
      </c>
      <c r="N6692">
        <v>50.619495556150099</v>
      </c>
      <c r="O6692">
        <v>48.472856635353502</v>
      </c>
      <c r="P6692">
        <v>-7.6606827623066795E-2</v>
      </c>
      <c r="Q6692">
        <v>0.23194152950226599</v>
      </c>
      <c r="R6692">
        <v>0.98747007297876999</v>
      </c>
      <c r="S6692" t="s">
        <v>13498</v>
      </c>
      <c r="T6692" t="s">
        <v>13610</v>
      </c>
      <c r="U6692" t="s">
        <v>13610</v>
      </c>
      <c r="V6692" t="s">
        <v>13610</v>
      </c>
      <c r="W6692" t="s">
        <v>20222</v>
      </c>
      <c r="X6692">
        <v>20</v>
      </c>
      <c r="Y6692" t="s">
        <v>21090</v>
      </c>
      <c r="Z6692" t="s">
        <v>33547</v>
      </c>
      <c r="AA6692">
        <v>0.47356404543692349</v>
      </c>
      <c r="AB6692" t="str">
        <f>HYPERLINK("Melting_Curves/meltCurve_Q9Y4G8_RAPGEF2.pdf", "Melting_Curves/meltCurve_Q9Y4G8_RAPGEF2.pdf")</f>
        <v>Melting_Curves/meltCurve_Q9Y4G8_RAPGEF2.pdf</v>
      </c>
    </row>
    <row r="6693" spans="1:28" x14ac:dyDescent="0.25">
      <c r="A6693" t="s">
        <v>6697</v>
      </c>
      <c r="B6693">
        <v>0.995954080203443</v>
      </c>
      <c r="C6693">
        <v>1.0189278312477601</v>
      </c>
      <c r="D6693">
        <v>1.0131596556615201</v>
      </c>
      <c r="E6693">
        <v>0.84945531909440597</v>
      </c>
      <c r="F6693">
        <v>0.90299464965671805</v>
      </c>
      <c r="G6693">
        <v>0.69686367483842404</v>
      </c>
      <c r="H6693">
        <v>0.654016410558385</v>
      </c>
      <c r="I6693">
        <v>0.77246321963298903</v>
      </c>
      <c r="J6693">
        <v>0.89029252339288101</v>
      </c>
      <c r="K6693">
        <v>0.93102663461757096</v>
      </c>
      <c r="L6693">
        <v>1608.2669468373899</v>
      </c>
      <c r="M6693">
        <v>32.507071466547202</v>
      </c>
      <c r="O6693">
        <v>49.2882676933799</v>
      </c>
      <c r="P6693">
        <v>-3.2984216734542798E-2</v>
      </c>
      <c r="Q6693">
        <v>0.79995402305235697</v>
      </c>
      <c r="R6693">
        <v>0.54816679355597697</v>
      </c>
      <c r="S6693" t="s">
        <v>13499</v>
      </c>
      <c r="T6693" t="s">
        <v>13610</v>
      </c>
      <c r="U6693" t="s">
        <v>13610</v>
      </c>
      <c r="V6693" t="s">
        <v>13610</v>
      </c>
      <c r="W6693" t="s">
        <v>20223</v>
      </c>
      <c r="X6693">
        <v>11</v>
      </c>
      <c r="Y6693" t="s">
        <v>26750</v>
      </c>
      <c r="Z6693" t="s">
        <v>33548</v>
      </c>
      <c r="AA6693">
        <v>0.86417321451735363</v>
      </c>
      <c r="AB6693" t="str">
        <f>HYPERLINK("Melting_Curves/meltCurve_Q9Y4H2_IRS2.pdf", "Melting_Curves/meltCurve_Q9Y4H2_IRS2.pdf")</f>
        <v>Melting_Curves/meltCurve_Q9Y4H2_IRS2.pdf</v>
      </c>
    </row>
    <row r="6694" spans="1:28" x14ac:dyDescent="0.25">
      <c r="A6694" t="s">
        <v>6698</v>
      </c>
      <c r="B6694">
        <v>0.995954080203443</v>
      </c>
      <c r="C6694">
        <v>1.17810743161214</v>
      </c>
      <c r="D6694">
        <v>1.5236417067336601</v>
      </c>
      <c r="E6694">
        <v>1.2587368570822399</v>
      </c>
      <c r="F6694">
        <v>1.28871408478788</v>
      </c>
      <c r="G6694">
        <v>1.17496911141178</v>
      </c>
      <c r="H6694">
        <v>0.70247351579853701</v>
      </c>
      <c r="I6694">
        <v>0.20127669702023901</v>
      </c>
      <c r="J6694">
        <v>8.5162419869483905E-2</v>
      </c>
      <c r="K6694">
        <v>9.3377724965775705E-2</v>
      </c>
      <c r="L6694">
        <v>3876.1524297248502</v>
      </c>
      <c r="M6694">
        <v>62.767355460266501</v>
      </c>
      <c r="N6694">
        <v>61.956553555379301</v>
      </c>
      <c r="O6694">
        <v>61.691667981219403</v>
      </c>
      <c r="P6694">
        <v>-0.230794171966723</v>
      </c>
      <c r="Q6694">
        <v>9.2644555252002506E-2</v>
      </c>
      <c r="R6694">
        <v>0.81523672555732696</v>
      </c>
      <c r="S6694" t="s">
        <v>13500</v>
      </c>
      <c r="T6694" t="s">
        <v>13610</v>
      </c>
      <c r="U6694" t="s">
        <v>13610</v>
      </c>
      <c r="V6694" t="s">
        <v>13610</v>
      </c>
      <c r="W6694" t="s">
        <v>20224</v>
      </c>
      <c r="X6694">
        <v>1</v>
      </c>
      <c r="Y6694" t="s">
        <v>26751</v>
      </c>
      <c r="Z6694" t="s">
        <v>33549</v>
      </c>
      <c r="AA6694">
        <v>0.75214728229524053</v>
      </c>
      <c r="AB6694" t="str">
        <f>HYPERLINK("Melting_Curves/meltCurve_Q9Y4I1_2_MYO5A.pdf", "Melting_Curves/meltCurve_Q9Y4I1_2_MYO5A.pdf")</f>
        <v>Melting_Curves/meltCurve_Q9Y4I1_2_MYO5A.pdf</v>
      </c>
    </row>
    <row r="6695" spans="1:28" x14ac:dyDescent="0.25">
      <c r="A6695" t="s">
        <v>6699</v>
      </c>
      <c r="B6695">
        <v>0.995954080203443</v>
      </c>
      <c r="C6695">
        <v>0.96767418003829497</v>
      </c>
      <c r="D6695">
        <v>1.0217809309724399</v>
      </c>
      <c r="E6695">
        <v>0.91489633233546397</v>
      </c>
      <c r="F6695">
        <v>0.82992523974267596</v>
      </c>
      <c r="G6695">
        <v>0.64760994954630302</v>
      </c>
      <c r="H6695">
        <v>0.55617672349292602</v>
      </c>
      <c r="I6695">
        <v>0.63967278898207403</v>
      </c>
      <c r="J6695">
        <v>0.82954322539295899</v>
      </c>
      <c r="K6695">
        <v>0.69030902099278901</v>
      </c>
      <c r="L6695">
        <v>1853.7052052280001</v>
      </c>
      <c r="M6695">
        <v>35.414403814871399</v>
      </c>
      <c r="O6695">
        <v>52.177196133906698</v>
      </c>
      <c r="P6695">
        <v>-5.5689333658213401E-2</v>
      </c>
      <c r="Q6695">
        <v>0.67180544768981898</v>
      </c>
      <c r="R6695">
        <v>0.818532513113164</v>
      </c>
      <c r="S6695" t="s">
        <v>13501</v>
      </c>
      <c r="T6695" t="s">
        <v>13610</v>
      </c>
      <c r="U6695" t="s">
        <v>13610</v>
      </c>
      <c r="V6695" t="s">
        <v>13610</v>
      </c>
      <c r="W6695" t="s">
        <v>20225</v>
      </c>
      <c r="X6695">
        <v>2</v>
      </c>
      <c r="Y6695" t="s">
        <v>26752</v>
      </c>
      <c r="Z6695" t="s">
        <v>33550</v>
      </c>
      <c r="AA6695">
        <v>0.80835349442104698</v>
      </c>
      <c r="AB6695" t="str">
        <f>HYPERLINK("Melting_Curves/meltCurve_Q9Y4I5_MTL5.pdf", "Melting_Curves/meltCurve_Q9Y4I5_MTL5.pdf")</f>
        <v>Melting_Curves/meltCurve_Q9Y4I5_MTL5.pdf</v>
      </c>
    </row>
    <row r="6696" spans="1:28" x14ac:dyDescent="0.25">
      <c r="A6696" t="s">
        <v>6700</v>
      </c>
      <c r="B6696">
        <v>0.995954080203443</v>
      </c>
      <c r="C6696">
        <v>0.82381024233543798</v>
      </c>
      <c r="D6696">
        <v>0.58321689086236395</v>
      </c>
      <c r="E6696">
        <v>0.44224493683086402</v>
      </c>
      <c r="F6696">
        <v>0.388567869517219</v>
      </c>
      <c r="G6696">
        <v>0.28977457291979097</v>
      </c>
      <c r="H6696">
        <v>0.25168556029281502</v>
      </c>
      <c r="I6696">
        <v>0.28877679568765802</v>
      </c>
      <c r="J6696">
        <v>0.35050505517405101</v>
      </c>
      <c r="K6696">
        <v>0.348761910798912</v>
      </c>
      <c r="L6696">
        <v>873.90486092910396</v>
      </c>
      <c r="M6696">
        <v>19.260549619606898</v>
      </c>
      <c r="N6696">
        <v>47.789033531402701</v>
      </c>
      <c r="O6696">
        <v>44.8921676596119</v>
      </c>
      <c r="P6696">
        <v>-7.3885438577191903E-2</v>
      </c>
      <c r="Q6696">
        <v>0.31118223139441498</v>
      </c>
      <c r="R6696">
        <v>0.97538564990316401</v>
      </c>
      <c r="S6696" t="s">
        <v>13502</v>
      </c>
      <c r="T6696" t="s">
        <v>13610</v>
      </c>
      <c r="U6696" t="s">
        <v>13610</v>
      </c>
      <c r="V6696" t="s">
        <v>13610</v>
      </c>
      <c r="W6696" t="s">
        <v>20226</v>
      </c>
      <c r="X6696">
        <v>14</v>
      </c>
      <c r="Y6696" t="s">
        <v>26753</v>
      </c>
      <c r="Z6696" t="s">
        <v>33551</v>
      </c>
      <c r="AA6696">
        <v>0.44678228318560032</v>
      </c>
      <c r="AB6696" t="str">
        <f>HYPERLINK("Melting_Curves/meltCurve_Q9Y4K1_AIM1.pdf", "Melting_Curves/meltCurve_Q9Y4K1_AIM1.pdf")</f>
        <v>Melting_Curves/meltCurve_Q9Y4K1_AIM1.pdf</v>
      </c>
    </row>
    <row r="6697" spans="1:28" x14ac:dyDescent="0.25">
      <c r="A6697" t="s">
        <v>6701</v>
      </c>
      <c r="B6697">
        <v>0.995954080203443</v>
      </c>
      <c r="C6697">
        <v>0.82519266708011196</v>
      </c>
      <c r="D6697">
        <v>0.52809580932706501</v>
      </c>
      <c r="E6697">
        <v>0.32597868963791599</v>
      </c>
      <c r="F6697">
        <v>0.13925822925626999</v>
      </c>
      <c r="G6697">
        <v>8.7930227611974707E-2</v>
      </c>
      <c r="H6697">
        <v>6.3220611400661403E-2</v>
      </c>
      <c r="I6697">
        <v>6.0005297077844098E-2</v>
      </c>
      <c r="J6697">
        <v>7.1648325827387699E-2</v>
      </c>
      <c r="K6697">
        <v>6.7314860261903003E-2</v>
      </c>
      <c r="L6697">
        <v>808.42863104178002</v>
      </c>
      <c r="M6697">
        <v>17.397197573260701</v>
      </c>
      <c r="N6697">
        <v>46.805348407470802</v>
      </c>
      <c r="O6697">
        <v>45.867970833056098</v>
      </c>
      <c r="P6697">
        <v>-8.9253939233328597E-2</v>
      </c>
      <c r="Q6697">
        <v>5.8776006110290803E-2</v>
      </c>
      <c r="R6697">
        <v>0.99287075456375196</v>
      </c>
      <c r="S6697" t="s">
        <v>13503</v>
      </c>
      <c r="T6697" t="s">
        <v>13610</v>
      </c>
      <c r="U6697" t="s">
        <v>13610</v>
      </c>
      <c r="V6697" t="s">
        <v>13610</v>
      </c>
      <c r="W6697" t="s">
        <v>20227</v>
      </c>
      <c r="X6697">
        <v>11</v>
      </c>
      <c r="Y6697" t="s">
        <v>26754</v>
      </c>
      <c r="Z6697" t="s">
        <v>33552</v>
      </c>
      <c r="AA6697">
        <v>0.28101444758764621</v>
      </c>
      <c r="AB6697" t="str">
        <f>HYPERLINK("Melting_Curves/meltCurve_Q9Y4K3_TRAF6.pdf", "Melting_Curves/meltCurve_Q9Y4K3_TRAF6.pdf")</f>
        <v>Melting_Curves/meltCurve_Q9Y4K3_TRAF6.pdf</v>
      </c>
    </row>
    <row r="6698" spans="1:28" x14ac:dyDescent="0.25">
      <c r="A6698" t="s">
        <v>6702</v>
      </c>
      <c r="B6698">
        <v>0.995954080203443</v>
      </c>
      <c r="C6698">
        <v>0.89859101892320603</v>
      </c>
      <c r="D6698">
        <v>0.73404315120289998</v>
      </c>
      <c r="E6698">
        <v>0.44115242769581797</v>
      </c>
      <c r="F6698">
        <v>0.18659638304885601</v>
      </c>
      <c r="G6698">
        <v>0.106060723455429</v>
      </c>
      <c r="H6698">
        <v>8.0300416123048501E-2</v>
      </c>
      <c r="I6698">
        <v>7.8919298177333105E-2</v>
      </c>
      <c r="J6698">
        <v>9.77880833169847E-2</v>
      </c>
      <c r="K6698">
        <v>8.3081066536688106E-2</v>
      </c>
      <c r="L6698">
        <v>899.95810410529498</v>
      </c>
      <c r="M6698">
        <v>18.5966752503465</v>
      </c>
      <c r="N6698">
        <v>48.786563611938298</v>
      </c>
      <c r="O6698">
        <v>47.844327660401603</v>
      </c>
      <c r="P6698">
        <v>-9.0416100050117798E-2</v>
      </c>
      <c r="Q6698">
        <v>6.9573590420158898E-2</v>
      </c>
      <c r="R6698">
        <v>0.99604536962764401</v>
      </c>
      <c r="S6698" t="s">
        <v>13504</v>
      </c>
      <c r="T6698" t="s">
        <v>13610</v>
      </c>
      <c r="U6698" t="s">
        <v>13610</v>
      </c>
      <c r="V6698" t="s">
        <v>13610</v>
      </c>
      <c r="W6698" t="s">
        <v>20228</v>
      </c>
      <c r="X6698">
        <v>7</v>
      </c>
      <c r="Y6698" t="s">
        <v>26755</v>
      </c>
      <c r="Z6698" t="s">
        <v>33553</v>
      </c>
      <c r="AA6698">
        <v>0.3451610115010087</v>
      </c>
      <c r="AB6698" t="str">
        <f>HYPERLINK("Melting_Curves/meltCurve_Q9Y4K4_MAP4K5.pdf", "Melting_Curves/meltCurve_Q9Y4K4_MAP4K5.pdf")</f>
        <v>Melting_Curves/meltCurve_Q9Y4K4_MAP4K5.pdf</v>
      </c>
    </row>
    <row r="6699" spans="1:28" x14ac:dyDescent="0.25">
      <c r="A6699" t="s">
        <v>6703</v>
      </c>
      <c r="B6699">
        <v>0.995954080203443</v>
      </c>
      <c r="C6699">
        <v>0.88610123329016499</v>
      </c>
      <c r="D6699">
        <v>0.30276343314827497</v>
      </c>
      <c r="E6699">
        <v>0.373996450270692</v>
      </c>
      <c r="F6699">
        <v>0.23512190280607001</v>
      </c>
      <c r="G6699">
        <v>0.16457353674808001</v>
      </c>
      <c r="H6699">
        <v>0.128175079228113</v>
      </c>
      <c r="I6699">
        <v>0.140655679146412</v>
      </c>
      <c r="J6699">
        <v>0.148173259267047</v>
      </c>
      <c r="K6699">
        <v>0.15162863610521299</v>
      </c>
      <c r="L6699">
        <v>2194.72398503767</v>
      </c>
      <c r="M6699">
        <v>49.413916662922396</v>
      </c>
      <c r="N6699">
        <v>44.848517681136002</v>
      </c>
      <c r="O6699">
        <v>44.342537118782097</v>
      </c>
      <c r="P6699">
        <v>-0.22570264808627699</v>
      </c>
      <c r="Q6699">
        <v>0.18984612091453101</v>
      </c>
      <c r="R6699">
        <v>0.95151121651412596</v>
      </c>
      <c r="S6699" t="s">
        <v>13505</v>
      </c>
      <c r="T6699" t="s">
        <v>13610</v>
      </c>
      <c r="U6699" t="s">
        <v>13610</v>
      </c>
      <c r="V6699" t="s">
        <v>13610</v>
      </c>
      <c r="W6699" t="s">
        <v>20229</v>
      </c>
      <c r="X6699">
        <v>51</v>
      </c>
      <c r="Y6699" t="s">
        <v>26756</v>
      </c>
      <c r="Z6699" t="s">
        <v>33554</v>
      </c>
      <c r="AA6699">
        <v>0.31078289275312437</v>
      </c>
      <c r="AB6699" t="str">
        <f>HYPERLINK("Melting_Curves/meltCurve_Q9Y4L1_HYOU1.pdf", "Melting_Curves/meltCurve_Q9Y4L1_HYOU1.pdf")</f>
        <v>Melting_Curves/meltCurve_Q9Y4L1_HYOU1.pdf</v>
      </c>
    </row>
    <row r="6700" spans="1:28" x14ac:dyDescent="0.25">
      <c r="A6700" t="s">
        <v>6704</v>
      </c>
      <c r="B6700">
        <v>0.995954080203443</v>
      </c>
      <c r="C6700">
        <v>1.2451873918465499</v>
      </c>
      <c r="D6700">
        <v>0.50839146313347605</v>
      </c>
      <c r="E6700">
        <v>0.56650874524217998</v>
      </c>
      <c r="F6700">
        <v>0.16090706935760099</v>
      </c>
      <c r="G6700">
        <v>7.9450754582820304E-2</v>
      </c>
      <c r="H6700">
        <v>5.07769300593836E-2</v>
      </c>
      <c r="I6700">
        <v>5.0475875017948903E-2</v>
      </c>
      <c r="J6700">
        <v>6.02773341482934E-2</v>
      </c>
      <c r="K6700">
        <v>4.6452682174345498E-2</v>
      </c>
      <c r="L6700">
        <v>910.02862506133602</v>
      </c>
      <c r="M6700">
        <v>18.645689131176201</v>
      </c>
      <c r="N6700">
        <v>49.015199069494301</v>
      </c>
      <c r="O6700">
        <v>48.255375348678498</v>
      </c>
      <c r="P6700">
        <v>-9.29147499994816E-2</v>
      </c>
      <c r="Q6700">
        <v>3.81811238368749E-2</v>
      </c>
      <c r="R6700">
        <v>0.88987542553693699</v>
      </c>
      <c r="S6700" t="s">
        <v>13506</v>
      </c>
      <c r="T6700" t="s">
        <v>13610</v>
      </c>
      <c r="U6700" t="s">
        <v>13610</v>
      </c>
      <c r="V6700" t="s">
        <v>13610</v>
      </c>
      <c r="W6700" t="s">
        <v>20230</v>
      </c>
      <c r="X6700">
        <v>14</v>
      </c>
      <c r="Y6700" t="s">
        <v>26757</v>
      </c>
      <c r="Z6700" t="s">
        <v>33555</v>
      </c>
      <c r="AA6700">
        <v>0.33609334596298829</v>
      </c>
      <c r="AB6700" t="str">
        <f>HYPERLINK("Melting_Curves/meltCurve_Q9Y4P1_6_ATG4B.pdf", "Melting_Curves/meltCurve_Q9Y4P1_6_ATG4B.pdf")</f>
        <v>Melting_Curves/meltCurve_Q9Y4P1_6_ATG4B.pdf</v>
      </c>
    </row>
    <row r="6701" spans="1:28" x14ac:dyDescent="0.25">
      <c r="A6701" t="s">
        <v>6705</v>
      </c>
      <c r="B6701">
        <v>0.995954080203443</v>
      </c>
      <c r="C6701">
        <v>0.90284008257917503</v>
      </c>
      <c r="D6701">
        <v>0.82342754291097697</v>
      </c>
      <c r="E6701">
        <v>0.50946358385299995</v>
      </c>
      <c r="F6701">
        <v>0.19158063605950401</v>
      </c>
      <c r="G6701">
        <v>0.114383373360032</v>
      </c>
      <c r="H6701">
        <v>8.6229118965434406E-2</v>
      </c>
      <c r="I6701">
        <v>9.3113657984289999E-2</v>
      </c>
      <c r="J6701">
        <v>8.8612206227795101E-2</v>
      </c>
      <c r="K6701">
        <v>0.10094733091777</v>
      </c>
      <c r="L6701">
        <v>1052.60467079673</v>
      </c>
      <c r="M6701">
        <v>21.389472522088401</v>
      </c>
      <c r="N6701">
        <v>49.607703219671102</v>
      </c>
      <c r="O6701">
        <v>48.787255191042803</v>
      </c>
      <c r="P6701">
        <v>-0.100999187038739</v>
      </c>
      <c r="Q6701">
        <v>7.8546676736923504E-2</v>
      </c>
      <c r="R6701">
        <v>0.99299648063062496</v>
      </c>
      <c r="S6701" t="s">
        <v>13507</v>
      </c>
      <c r="T6701" t="s">
        <v>13610</v>
      </c>
      <c r="U6701" t="s">
        <v>13610</v>
      </c>
      <c r="V6701" t="s">
        <v>13610</v>
      </c>
      <c r="W6701" t="s">
        <v>20231</v>
      </c>
      <c r="X6701">
        <v>7</v>
      </c>
      <c r="Y6701" t="s">
        <v>26758</v>
      </c>
      <c r="Z6701" t="s">
        <v>33556</v>
      </c>
      <c r="AA6701">
        <v>0.3727204519988826</v>
      </c>
      <c r="AB6701" t="str">
        <f>HYPERLINK("Melting_Curves/meltCurve_Q9Y4P8_3_WIPI2.pdf", "Melting_Curves/meltCurve_Q9Y4P8_3_WIPI2.pdf")</f>
        <v>Melting_Curves/meltCurve_Q9Y4P8_3_WIPI2.pdf</v>
      </c>
    </row>
    <row r="6702" spans="1:28" x14ac:dyDescent="0.25">
      <c r="A6702" t="s">
        <v>6706</v>
      </c>
      <c r="B6702">
        <v>0.995954080203443</v>
      </c>
      <c r="C6702">
        <v>0.5987000838623</v>
      </c>
      <c r="D6702">
        <v>0.34301060199039302</v>
      </c>
      <c r="E6702">
        <v>0.277503494866913</v>
      </c>
      <c r="F6702">
        <v>0.16502677232506699</v>
      </c>
      <c r="G6702">
        <v>9.8127650901227603E-2</v>
      </c>
      <c r="H6702">
        <v>6.0795409082459603E-2</v>
      </c>
      <c r="I6702">
        <v>5.5314492958409497E-2</v>
      </c>
      <c r="J6702">
        <v>5.0801547595670397E-2</v>
      </c>
      <c r="K6702">
        <v>4.738122988488E-2</v>
      </c>
      <c r="L6702">
        <v>771.70420092194001</v>
      </c>
      <c r="M6702">
        <v>17.424764038931599</v>
      </c>
      <c r="N6702">
        <v>44.688650830145299</v>
      </c>
      <c r="O6702">
        <v>43.716845461916598</v>
      </c>
      <c r="P6702">
        <v>-9.2441571492569694E-2</v>
      </c>
      <c r="Q6702">
        <v>7.2348968129275895E-2</v>
      </c>
      <c r="R6702">
        <v>0.96124335019797202</v>
      </c>
      <c r="S6702" t="s">
        <v>13508</v>
      </c>
      <c r="T6702" t="s">
        <v>13610</v>
      </c>
      <c r="U6702" t="s">
        <v>13610</v>
      </c>
      <c r="V6702" t="s">
        <v>13610</v>
      </c>
      <c r="W6702" t="s">
        <v>20232</v>
      </c>
      <c r="X6702">
        <v>15</v>
      </c>
      <c r="Y6702" t="s">
        <v>26759</v>
      </c>
      <c r="Z6702" t="s">
        <v>33557</v>
      </c>
      <c r="AA6702">
        <v>0.22847381939237529</v>
      </c>
      <c r="AB6702" t="str">
        <f>HYPERLINK("Melting_Curves/meltCurve_Q9Y4R8_TELO2.pdf", "Melting_Curves/meltCurve_Q9Y4R8_TELO2.pdf")</f>
        <v>Melting_Curves/meltCurve_Q9Y4R8_TELO2.pdf</v>
      </c>
    </row>
    <row r="6703" spans="1:28" x14ac:dyDescent="0.25">
      <c r="A6703" t="s">
        <v>6707</v>
      </c>
      <c r="B6703">
        <v>0.995954080203443</v>
      </c>
      <c r="C6703">
        <v>0.98657232221535496</v>
      </c>
      <c r="D6703">
        <v>0.61973391860996097</v>
      </c>
      <c r="E6703">
        <v>0.41596854884301399</v>
      </c>
      <c r="F6703">
        <v>0.25036907485739301</v>
      </c>
      <c r="G6703">
        <v>0.14052102257902399</v>
      </c>
      <c r="H6703">
        <v>0.11181858012057699</v>
      </c>
      <c r="I6703">
        <v>0.113622930868977</v>
      </c>
      <c r="J6703">
        <v>0.15152860453741901</v>
      </c>
      <c r="K6703">
        <v>0.11362431473484901</v>
      </c>
      <c r="L6703">
        <v>890.73632982142396</v>
      </c>
      <c r="M6703">
        <v>18.696824931411999</v>
      </c>
      <c r="N6703">
        <v>48.337320891936997</v>
      </c>
      <c r="O6703">
        <v>47.106088837983101</v>
      </c>
      <c r="P6703">
        <v>-8.7517215858186406E-2</v>
      </c>
      <c r="Q6703">
        <v>0.118049565246911</v>
      </c>
      <c r="R6703">
        <v>0.98432782506485705</v>
      </c>
      <c r="S6703" t="s">
        <v>13509</v>
      </c>
      <c r="T6703" t="s">
        <v>13610</v>
      </c>
      <c r="U6703" t="s">
        <v>13610</v>
      </c>
      <c r="V6703" t="s">
        <v>13610</v>
      </c>
      <c r="W6703" t="s">
        <v>20233</v>
      </c>
      <c r="X6703">
        <v>2</v>
      </c>
      <c r="Y6703" t="s">
        <v>26760</v>
      </c>
      <c r="Z6703" t="s">
        <v>33558</v>
      </c>
      <c r="AA6703">
        <v>0.35728933917936212</v>
      </c>
      <c r="AB6703" t="str">
        <f>HYPERLINK("Melting_Curves/meltCurve_Q9Y4U1_MMACHC.pdf", "Melting_Curves/meltCurve_Q9Y4U1_MMACHC.pdf")</f>
        <v>Melting_Curves/meltCurve_Q9Y4U1_MMACHC.pdf</v>
      </c>
    </row>
    <row r="6704" spans="1:28" x14ac:dyDescent="0.25">
      <c r="A6704" t="s">
        <v>6708</v>
      </c>
      <c r="B6704">
        <v>0.995954080203443</v>
      </c>
      <c r="C6704">
        <v>0.57480519106607397</v>
      </c>
      <c r="D6704">
        <v>0.32533210753240099</v>
      </c>
      <c r="E6704">
        <v>0.36495431862969202</v>
      </c>
      <c r="F6704">
        <v>0.18505002519264599</v>
      </c>
      <c r="G6704">
        <v>0.107954476130262</v>
      </c>
      <c r="H6704">
        <v>7.1477262108431097E-2</v>
      </c>
      <c r="I6704">
        <v>7.7386620494390601E-2</v>
      </c>
      <c r="J6704">
        <v>6.96295171925609E-2</v>
      </c>
      <c r="K6704">
        <v>7.2495742205450894E-2</v>
      </c>
      <c r="L6704">
        <v>695.98350473549499</v>
      </c>
      <c r="M6704">
        <v>15.7351477728755</v>
      </c>
      <c r="N6704">
        <v>44.787751251971798</v>
      </c>
      <c r="O6704">
        <v>43.535239005574802</v>
      </c>
      <c r="P6704">
        <v>-8.2340679312301601E-2</v>
      </c>
      <c r="Q6704">
        <v>8.8811829306279497E-2</v>
      </c>
      <c r="R6704">
        <v>0.92833261985881499</v>
      </c>
      <c r="S6704" t="s">
        <v>13510</v>
      </c>
      <c r="T6704" t="s">
        <v>13610</v>
      </c>
      <c r="U6704" t="s">
        <v>13610</v>
      </c>
      <c r="V6704" t="s">
        <v>13610</v>
      </c>
      <c r="W6704" t="s">
        <v>20234</v>
      </c>
      <c r="X6704">
        <v>7</v>
      </c>
      <c r="Y6704" t="s">
        <v>26761</v>
      </c>
      <c r="Z6704" t="s">
        <v>33559</v>
      </c>
      <c r="AA6704">
        <v>0.24634812183521199</v>
      </c>
      <c r="AB6704" t="str">
        <f>HYPERLINK("Melting_Curves/meltCurve_Q9Y4W2_2_LAS1L.pdf", "Melting_Curves/meltCurve_Q9Y4W2_2_LAS1L.pdf")</f>
        <v>Melting_Curves/meltCurve_Q9Y4W2_2_LAS1L.pdf</v>
      </c>
    </row>
    <row r="6705" spans="1:28" x14ac:dyDescent="0.25">
      <c r="A6705" t="s">
        <v>6709</v>
      </c>
      <c r="B6705">
        <v>0.995954080203443</v>
      </c>
      <c r="C6705">
        <v>0.90770548357535197</v>
      </c>
      <c r="D6705">
        <v>0.67918080560046501</v>
      </c>
      <c r="E6705">
        <v>0.32977332105039198</v>
      </c>
      <c r="F6705">
        <v>0.138745573813427</v>
      </c>
      <c r="G6705">
        <v>8.4090421357138206E-2</v>
      </c>
      <c r="H6705">
        <v>5.3832498385396797E-2</v>
      </c>
      <c r="I6705">
        <v>4.3109929585544098E-2</v>
      </c>
      <c r="J6705">
        <v>5.5763925825937498E-2</v>
      </c>
      <c r="K6705">
        <v>5.20275389838038E-2</v>
      </c>
      <c r="L6705">
        <v>958.79864814264704</v>
      </c>
      <c r="M6705">
        <v>20.1188675591685</v>
      </c>
      <c r="N6705">
        <v>47.8832201799164</v>
      </c>
      <c r="O6705">
        <v>47.193353790662897</v>
      </c>
      <c r="P6705">
        <v>-0.10174195605307899</v>
      </c>
      <c r="Q6705">
        <v>4.53953422872172E-2</v>
      </c>
      <c r="R6705">
        <v>0.99915511020098602</v>
      </c>
      <c r="S6705" t="s">
        <v>13511</v>
      </c>
      <c r="T6705" t="s">
        <v>13610</v>
      </c>
      <c r="U6705" t="s">
        <v>13610</v>
      </c>
      <c r="V6705" t="s">
        <v>13610</v>
      </c>
      <c r="W6705" t="s">
        <v>20235</v>
      </c>
      <c r="X6705">
        <v>7</v>
      </c>
      <c r="Y6705" t="s">
        <v>26762</v>
      </c>
      <c r="Z6705" t="s">
        <v>33560</v>
      </c>
      <c r="AA6705">
        <v>0.30253491126019483</v>
      </c>
      <c r="AB6705" t="str">
        <f>HYPERLINK("Melting_Curves/meltCurve_Q9Y4X0_AMMECR1.pdf", "Melting_Curves/meltCurve_Q9Y4X0_AMMECR1.pdf")</f>
        <v>Melting_Curves/meltCurve_Q9Y4X0_AMMECR1.pdf</v>
      </c>
    </row>
    <row r="6706" spans="1:28" x14ac:dyDescent="0.25">
      <c r="A6706" t="s">
        <v>6710</v>
      </c>
      <c r="B6706">
        <v>0.995954080203443</v>
      </c>
      <c r="C6706">
        <v>1.0043274972213101</v>
      </c>
      <c r="D6706">
        <v>0.97768061590170896</v>
      </c>
      <c r="E6706">
        <v>0.90568453713962105</v>
      </c>
      <c r="F6706">
        <v>0.81548068721492095</v>
      </c>
      <c r="G6706">
        <v>0.59332387920196905</v>
      </c>
      <c r="H6706">
        <v>0.35053187849874601</v>
      </c>
      <c r="I6706">
        <v>0.13644696796214001</v>
      </c>
      <c r="J6706">
        <v>0.116906226989104</v>
      </c>
      <c r="K6706">
        <v>0.10764640622782</v>
      </c>
      <c r="L6706">
        <v>930.86899592604595</v>
      </c>
      <c r="M6706">
        <v>16.058094693914502</v>
      </c>
      <c r="N6706">
        <v>58.108868515942802</v>
      </c>
      <c r="O6706">
        <v>57.0921879254537</v>
      </c>
      <c r="P6706">
        <v>-6.8987276396221597E-2</v>
      </c>
      <c r="Q6706">
        <v>1.8979498506228699E-2</v>
      </c>
      <c r="R6706">
        <v>0.99539754667149105</v>
      </c>
      <c r="S6706" t="s">
        <v>13512</v>
      </c>
      <c r="T6706" t="s">
        <v>13610</v>
      </c>
      <c r="U6706" t="s">
        <v>13610</v>
      </c>
      <c r="V6706" t="s">
        <v>13610</v>
      </c>
      <c r="W6706" t="s">
        <v>20236</v>
      </c>
      <c r="X6706">
        <v>22</v>
      </c>
      <c r="Y6706" t="s">
        <v>26763</v>
      </c>
      <c r="Z6706" t="s">
        <v>33561</v>
      </c>
      <c r="AA6706">
        <v>0.6195626674638105</v>
      </c>
      <c r="AB6706" t="str">
        <f>HYPERLINK("Melting_Curves/meltCurve_Q9Y4X5_ARIH1.pdf", "Melting_Curves/meltCurve_Q9Y4X5_ARIH1.pdf")</f>
        <v>Melting_Curves/meltCurve_Q9Y4X5_ARIH1.pdf</v>
      </c>
    </row>
    <row r="6707" spans="1:28" x14ac:dyDescent="0.25">
      <c r="A6707" t="s">
        <v>6711</v>
      </c>
      <c r="B6707">
        <v>0.995954080203443</v>
      </c>
      <c r="C6707">
        <v>0.99309865497044203</v>
      </c>
      <c r="D6707">
        <v>0.98759014182043003</v>
      </c>
      <c r="E6707">
        <v>0.89535220379984504</v>
      </c>
      <c r="F6707">
        <v>0.84924877973895696</v>
      </c>
      <c r="G6707">
        <v>0.66703919183372196</v>
      </c>
      <c r="H6707">
        <v>0.46196622060133202</v>
      </c>
      <c r="I6707">
        <v>0.43702002454970901</v>
      </c>
      <c r="J6707">
        <v>0.43233474267483302</v>
      </c>
      <c r="K6707">
        <v>0.29161520528587997</v>
      </c>
      <c r="L6707">
        <v>790.33989685566098</v>
      </c>
      <c r="M6707">
        <v>13.7541908417284</v>
      </c>
      <c r="N6707">
        <v>61.1361136594779</v>
      </c>
      <c r="O6707">
        <v>56.287934541867997</v>
      </c>
      <c r="P6707">
        <v>-4.39140603183912E-2</v>
      </c>
      <c r="Q6707">
        <v>0.28124284844015501</v>
      </c>
      <c r="R6707">
        <v>0.98664748685697501</v>
      </c>
      <c r="S6707" t="s">
        <v>13513</v>
      </c>
      <c r="T6707" t="s">
        <v>13610</v>
      </c>
      <c r="U6707" t="s">
        <v>13610</v>
      </c>
      <c r="V6707" t="s">
        <v>13610</v>
      </c>
      <c r="W6707" t="s">
        <v>20237</v>
      </c>
      <c r="X6707">
        <v>9</v>
      </c>
      <c r="Y6707" t="s">
        <v>26764</v>
      </c>
      <c r="Z6707" t="s">
        <v>33562</v>
      </c>
      <c r="AA6707">
        <v>0.71048913847506479</v>
      </c>
      <c r="AB6707" t="str">
        <f>HYPERLINK("Melting_Curves/meltCurve_Q9Y4Z0_LSM4.pdf", "Melting_Curves/meltCurve_Q9Y4Z0_LSM4.pdf")</f>
        <v>Melting_Curves/meltCurve_Q9Y4Z0_LSM4.pdf</v>
      </c>
    </row>
    <row r="6708" spans="1:28" x14ac:dyDescent="0.25">
      <c r="A6708" t="s">
        <v>6712</v>
      </c>
      <c r="B6708">
        <v>0.995954080203443</v>
      </c>
      <c r="C6708">
        <v>0.98163892298497202</v>
      </c>
      <c r="D6708">
        <v>0.89276643252067001</v>
      </c>
      <c r="E6708">
        <v>0.61750095961863105</v>
      </c>
      <c r="F6708">
        <v>0.34676965439556001</v>
      </c>
      <c r="G6708">
        <v>0.18516065687459099</v>
      </c>
      <c r="H6708">
        <v>0.119362741681334</v>
      </c>
      <c r="I6708">
        <v>0.129738841423191</v>
      </c>
      <c r="J6708">
        <v>0.149920185806245</v>
      </c>
      <c r="K6708">
        <v>0.13772460849055501</v>
      </c>
      <c r="L6708">
        <v>1119.97702561445</v>
      </c>
      <c r="M6708">
        <v>22.1993890638722</v>
      </c>
      <c r="N6708">
        <v>51.118136801343901</v>
      </c>
      <c r="O6708">
        <v>50.046768114367701</v>
      </c>
      <c r="P6708">
        <v>-9.6945689419784195E-2</v>
      </c>
      <c r="Q6708">
        <v>0.1257932888211</v>
      </c>
      <c r="R6708">
        <v>0.99878982926647597</v>
      </c>
      <c r="S6708" t="s">
        <v>13514</v>
      </c>
      <c r="T6708" t="s">
        <v>13610</v>
      </c>
      <c r="U6708" t="s">
        <v>13610</v>
      </c>
      <c r="V6708" t="s">
        <v>13610</v>
      </c>
      <c r="W6708" t="s">
        <v>20238</v>
      </c>
      <c r="X6708">
        <v>8</v>
      </c>
      <c r="Y6708" t="s">
        <v>26765</v>
      </c>
      <c r="Z6708" t="s">
        <v>33563</v>
      </c>
      <c r="AA6708">
        <v>0.44025985390726391</v>
      </c>
      <c r="AB6708" t="str">
        <f>HYPERLINK("Melting_Curves/meltCurve_Q9Y508_RNF114.pdf", "Melting_Curves/meltCurve_Q9Y508_RNF114.pdf")</f>
        <v>Melting_Curves/meltCurve_Q9Y508_RNF114.pdf</v>
      </c>
    </row>
    <row r="6709" spans="1:28" x14ac:dyDescent="0.25">
      <c r="A6709" t="s">
        <v>6713</v>
      </c>
      <c r="B6709">
        <v>0.995954080203443</v>
      </c>
      <c r="C6709">
        <v>0.97132871959881095</v>
      </c>
      <c r="D6709">
        <v>1.05735758055989</v>
      </c>
      <c r="E6709">
        <v>0.91640519502262296</v>
      </c>
      <c r="F6709">
        <v>0.986508481021102</v>
      </c>
      <c r="G6709">
        <v>0.80827082717585896</v>
      </c>
      <c r="H6709">
        <v>0.81856568450756495</v>
      </c>
      <c r="I6709">
        <v>1.0162995595945801</v>
      </c>
      <c r="J6709">
        <v>1.24996874176587</v>
      </c>
      <c r="K6709">
        <v>1.2008543181375</v>
      </c>
      <c r="L6709">
        <v>15000</v>
      </c>
      <c r="M6709">
        <v>231.83143797519901</v>
      </c>
      <c r="O6709">
        <v>64.697368314763807</v>
      </c>
      <c r="P6709">
        <v>0.20195797679067001</v>
      </c>
      <c r="Q6709">
        <v>1.22544223616353</v>
      </c>
      <c r="R6709">
        <v>0.55338766030133602</v>
      </c>
      <c r="S6709" t="s">
        <v>13515</v>
      </c>
      <c r="T6709" t="s">
        <v>13610</v>
      </c>
      <c r="U6709" t="s">
        <v>13610</v>
      </c>
      <c r="V6709" t="s">
        <v>13610</v>
      </c>
      <c r="W6709" t="s">
        <v>20239</v>
      </c>
      <c r="X6709">
        <v>102</v>
      </c>
      <c r="Y6709" t="s">
        <v>26766</v>
      </c>
      <c r="Z6709" t="s">
        <v>33564</v>
      </c>
      <c r="AA6709">
        <v>1.039781957844238</v>
      </c>
      <c r="AB6709" t="str">
        <f>HYPERLINK("Melting_Curves/meltCurve_Q9Y520_4_PRRC2C.pdf", "Melting_Curves/meltCurve_Q9Y520_4_PRRC2C.pdf")</f>
        <v>Melting_Curves/meltCurve_Q9Y520_4_PRRC2C.pdf</v>
      </c>
    </row>
    <row r="6710" spans="1:28" x14ac:dyDescent="0.25">
      <c r="A6710" t="s">
        <v>6714</v>
      </c>
      <c r="B6710">
        <v>0.995954080203443</v>
      </c>
      <c r="C6710">
        <v>0.65131318991472298</v>
      </c>
      <c r="D6710">
        <v>0.46652576310272897</v>
      </c>
      <c r="E6710">
        <v>0.62852883893927403</v>
      </c>
      <c r="F6710">
        <v>0.27963972916745</v>
      </c>
      <c r="G6710">
        <v>0.10961232930112901</v>
      </c>
      <c r="H6710">
        <v>6.6619986042577795E-2</v>
      </c>
      <c r="I6710">
        <v>4.1710388403287599E-2</v>
      </c>
      <c r="J6710">
        <v>2.60606280464609E-2</v>
      </c>
      <c r="K6710">
        <v>3.5547430240586098E-2</v>
      </c>
      <c r="L6710">
        <v>473.27382612567402</v>
      </c>
      <c r="M6710">
        <v>9.8820117616573793</v>
      </c>
      <c r="N6710">
        <v>47.892457918002201</v>
      </c>
      <c r="O6710">
        <v>46.054946826469397</v>
      </c>
      <c r="P6710">
        <v>-5.3669813181334701E-2</v>
      </c>
      <c r="Q6710">
        <v>0</v>
      </c>
      <c r="R6710">
        <v>0.89863146099059499</v>
      </c>
      <c r="S6710" t="s">
        <v>13516</v>
      </c>
      <c r="T6710" t="s">
        <v>13610</v>
      </c>
      <c r="U6710" t="s">
        <v>13610</v>
      </c>
      <c r="V6710" t="s">
        <v>13610</v>
      </c>
      <c r="W6710" t="s">
        <v>20240</v>
      </c>
      <c r="X6710">
        <v>3</v>
      </c>
      <c r="Y6710" t="s">
        <v>26767</v>
      </c>
      <c r="Z6710" t="s">
        <v>33565</v>
      </c>
      <c r="AA6710">
        <v>0.31749997300943472</v>
      </c>
      <c r="AB6710" t="str">
        <f>HYPERLINK("Melting_Curves/meltCurve_Q9Y535_POLR3H.pdf", "Melting_Curves/meltCurve_Q9Y535_POLR3H.pdf")</f>
        <v>Melting_Curves/meltCurve_Q9Y535_POLR3H.pdf</v>
      </c>
    </row>
    <row r="6711" spans="1:28" x14ac:dyDescent="0.25">
      <c r="A6711" t="s">
        <v>6715</v>
      </c>
      <c r="B6711">
        <v>0.995954080203443</v>
      </c>
      <c r="C6711">
        <v>0.85378024821538001</v>
      </c>
      <c r="D6711">
        <v>1.0329764802005501</v>
      </c>
      <c r="E6711">
        <v>0.63931175157518605</v>
      </c>
      <c r="F6711">
        <v>0.76124984901321302</v>
      </c>
      <c r="G6711">
        <v>0.68201524778263001</v>
      </c>
      <c r="H6711">
        <v>0.62186578818962801</v>
      </c>
      <c r="I6711">
        <v>0.84000741999968798</v>
      </c>
      <c r="J6711">
        <v>0.86276720422990205</v>
      </c>
      <c r="K6711">
        <v>0.90098827272236404</v>
      </c>
      <c r="L6711">
        <v>11948.756217734801</v>
      </c>
      <c r="M6711">
        <v>250</v>
      </c>
      <c r="O6711">
        <v>47.791966750231303</v>
      </c>
      <c r="P6711">
        <v>-0.31606375913975798</v>
      </c>
      <c r="Q6711">
        <v>0.75831506384344904</v>
      </c>
      <c r="R6711">
        <v>0.45174044656973</v>
      </c>
      <c r="S6711" t="s">
        <v>13517</v>
      </c>
      <c r="T6711" t="s">
        <v>13610</v>
      </c>
      <c r="U6711" t="s">
        <v>13610</v>
      </c>
      <c r="V6711" t="s">
        <v>13610</v>
      </c>
      <c r="W6711" t="s">
        <v>20241</v>
      </c>
      <c r="X6711">
        <v>3</v>
      </c>
      <c r="Y6711" t="s">
        <v>26768</v>
      </c>
      <c r="Z6711" t="s">
        <v>33566</v>
      </c>
      <c r="AA6711">
        <v>0.82113333920343645</v>
      </c>
      <c r="AB6711" t="str">
        <f>HYPERLINK("Melting_Curves/meltCurve_Q9Y546_LRRC42.pdf", "Melting_Curves/meltCurve_Q9Y546_LRRC42.pdf")</f>
        <v>Melting_Curves/meltCurve_Q9Y546_LRRC42.pdf</v>
      </c>
    </row>
    <row r="6712" spans="1:28" x14ac:dyDescent="0.25">
      <c r="A6712" t="s">
        <v>6716</v>
      </c>
      <c r="B6712">
        <v>0.995954080203443</v>
      </c>
      <c r="C6712">
        <v>1.10722346471797</v>
      </c>
      <c r="D6712">
        <v>1.0053573363828101</v>
      </c>
      <c r="E6712">
        <v>0.98103445925923205</v>
      </c>
      <c r="F6712">
        <v>0.70304991255982996</v>
      </c>
      <c r="G6712">
        <v>0.39628622136823299</v>
      </c>
      <c r="H6712">
        <v>0.147303929886692</v>
      </c>
      <c r="I6712">
        <v>0.113717963009163</v>
      </c>
      <c r="J6712">
        <v>0.136782173346781</v>
      </c>
      <c r="K6712">
        <v>0.11499094348392799</v>
      </c>
      <c r="L6712">
        <v>1393.6880084782699</v>
      </c>
      <c r="M6712">
        <v>25.373826401540398</v>
      </c>
      <c r="N6712">
        <v>55.453896378466503</v>
      </c>
      <c r="O6712">
        <v>54.5884401034292</v>
      </c>
      <c r="P6712">
        <v>-0.103742610828847</v>
      </c>
      <c r="Q6712">
        <v>0.107256966384344</v>
      </c>
      <c r="R6712">
        <v>0.98873287047276104</v>
      </c>
      <c r="S6712" t="s">
        <v>13518</v>
      </c>
      <c r="T6712" t="s">
        <v>13610</v>
      </c>
      <c r="U6712" t="s">
        <v>13610</v>
      </c>
      <c r="V6712" t="s">
        <v>13610</v>
      </c>
      <c r="W6712" t="s">
        <v>20242</v>
      </c>
      <c r="X6712">
        <v>3</v>
      </c>
      <c r="Y6712" t="s">
        <v>26769</v>
      </c>
      <c r="Z6712" t="s">
        <v>33567</v>
      </c>
      <c r="AA6712">
        <v>0.55948050822984996</v>
      </c>
      <c r="AB6712" t="str">
        <f>HYPERLINK("Melting_Curves/meltCurve_Q9Y547_HSPB11.pdf", "Melting_Curves/meltCurve_Q9Y547_HSPB11.pdf")</f>
        <v>Melting_Curves/meltCurve_Q9Y547_HSPB11.pdf</v>
      </c>
    </row>
    <row r="6713" spans="1:28" x14ac:dyDescent="0.25">
      <c r="A6713" t="s">
        <v>6717</v>
      </c>
      <c r="B6713">
        <v>0.995954080203443</v>
      </c>
      <c r="C6713">
        <v>1.05922461190823</v>
      </c>
      <c r="D6713">
        <v>1.06668136252833</v>
      </c>
      <c r="E6713">
        <v>0.95947404324459895</v>
      </c>
      <c r="F6713">
        <v>0.76445742505647296</v>
      </c>
      <c r="G6713">
        <v>0.20735872716380899</v>
      </c>
      <c r="H6713">
        <v>0.110279818176049</v>
      </c>
      <c r="I6713">
        <v>0.104548058933897</v>
      </c>
      <c r="J6713">
        <v>0.12566028377366201</v>
      </c>
      <c r="K6713">
        <v>0.111901148323928</v>
      </c>
      <c r="L6713">
        <v>2329.3753068771198</v>
      </c>
      <c r="M6713">
        <v>42.948669961689397</v>
      </c>
      <c r="N6713">
        <v>54.553696962463199</v>
      </c>
      <c r="O6713">
        <v>54.119095388656298</v>
      </c>
      <c r="P6713">
        <v>-0.176463471216083</v>
      </c>
      <c r="Q6713">
        <v>0.11056387301520899</v>
      </c>
      <c r="R6713">
        <v>0.99522434774925195</v>
      </c>
      <c r="S6713" t="s">
        <v>13519</v>
      </c>
      <c r="T6713" t="s">
        <v>13610</v>
      </c>
      <c r="U6713" t="s">
        <v>13610</v>
      </c>
      <c r="V6713" t="s">
        <v>13610</v>
      </c>
      <c r="W6713" t="s">
        <v>20243</v>
      </c>
      <c r="X6713">
        <v>20</v>
      </c>
      <c r="Y6713" t="s">
        <v>26770</v>
      </c>
      <c r="Z6713" t="s">
        <v>33568</v>
      </c>
      <c r="AA6713">
        <v>0.53552428417034048</v>
      </c>
      <c r="AB6713" t="str">
        <f>HYPERLINK("Melting_Curves/meltCurve_Q9Y570_PPME1.pdf", "Melting_Curves/meltCurve_Q9Y570_PPME1.pdf")</f>
        <v>Melting_Curves/meltCurve_Q9Y570_PPME1.pdf</v>
      </c>
    </row>
    <row r="6714" spans="1:28" x14ac:dyDescent="0.25">
      <c r="A6714" t="s">
        <v>6718</v>
      </c>
      <c r="B6714">
        <v>0.995954080203443</v>
      </c>
      <c r="C6714">
        <v>0.83114507301435903</v>
      </c>
      <c r="D6714">
        <v>0.62691740827694098</v>
      </c>
      <c r="E6714">
        <v>0.51638025914576702</v>
      </c>
      <c r="F6714">
        <v>0.221741395907575</v>
      </c>
      <c r="G6714">
        <v>0.126294207609495</v>
      </c>
      <c r="H6714">
        <v>9.3204943521828995E-2</v>
      </c>
      <c r="I6714">
        <v>0.104879588617034</v>
      </c>
      <c r="J6714">
        <v>0.106012544822319</v>
      </c>
      <c r="K6714">
        <v>0.12453868665007101</v>
      </c>
      <c r="L6714">
        <v>678.43042078416704</v>
      </c>
      <c r="M6714">
        <v>14.128102695541401</v>
      </c>
      <c r="N6714">
        <v>48.589469377315801</v>
      </c>
      <c r="O6714">
        <v>47.088564619903501</v>
      </c>
      <c r="P6714">
        <v>-6.92930204312531E-2</v>
      </c>
      <c r="Q6714">
        <v>7.6311191100419201E-2</v>
      </c>
      <c r="R6714">
        <v>0.97866329881949399</v>
      </c>
      <c r="S6714" t="s">
        <v>13520</v>
      </c>
      <c r="T6714" t="s">
        <v>13610</v>
      </c>
      <c r="U6714" t="s">
        <v>13610</v>
      </c>
      <c r="V6714" t="s">
        <v>13610</v>
      </c>
      <c r="W6714" t="s">
        <v>20244</v>
      </c>
      <c r="X6714">
        <v>3</v>
      </c>
      <c r="Y6714" t="s">
        <v>26771</v>
      </c>
      <c r="Z6714" t="s">
        <v>33569</v>
      </c>
      <c r="AA6714">
        <v>0.34993530002328982</v>
      </c>
      <c r="AB6714" t="str">
        <f>HYPERLINK("Melting_Curves/meltCurve_Q9Y580_RBM7.pdf", "Melting_Curves/meltCurve_Q9Y580_RBM7.pdf")</f>
        <v>Melting_Curves/meltCurve_Q9Y580_RBM7.pdf</v>
      </c>
    </row>
    <row r="6715" spans="1:28" x14ac:dyDescent="0.25">
      <c r="A6715" t="s">
        <v>6719</v>
      </c>
      <c r="B6715">
        <v>0.995954080203443</v>
      </c>
      <c r="C6715">
        <v>0.69484240633563199</v>
      </c>
      <c r="D6715">
        <v>0.57998747849446197</v>
      </c>
      <c r="E6715">
        <v>0.43443622059370102</v>
      </c>
      <c r="F6715">
        <v>0.35452846180090303</v>
      </c>
      <c r="G6715">
        <v>0.20818579211434701</v>
      </c>
      <c r="H6715">
        <v>0.15627160567618301</v>
      </c>
      <c r="I6715">
        <v>0.16793413281702901</v>
      </c>
      <c r="J6715">
        <v>0.205317274996066</v>
      </c>
      <c r="K6715">
        <v>0.20406968080541801</v>
      </c>
      <c r="L6715">
        <v>576.23192648147096</v>
      </c>
      <c r="M6715">
        <v>12.4518530475045</v>
      </c>
      <c r="N6715">
        <v>47.8118008373105</v>
      </c>
      <c r="O6715">
        <v>45.131832553751899</v>
      </c>
      <c r="P6715">
        <v>-5.7622393156099301E-2</v>
      </c>
      <c r="Q6715">
        <v>0.16476292467213</v>
      </c>
      <c r="R6715">
        <v>0.965226634060246</v>
      </c>
      <c r="S6715" t="s">
        <v>13521</v>
      </c>
      <c r="T6715" t="s">
        <v>13610</v>
      </c>
      <c r="U6715" t="s">
        <v>13610</v>
      </c>
      <c r="V6715" t="s">
        <v>13610</v>
      </c>
      <c r="W6715" t="s">
        <v>20245</v>
      </c>
      <c r="X6715">
        <v>6</v>
      </c>
      <c r="Y6715" t="s">
        <v>26772</v>
      </c>
      <c r="Z6715" t="s">
        <v>33570</v>
      </c>
      <c r="AA6715">
        <v>0.37415100074668001</v>
      </c>
      <c r="AB6715" t="str">
        <f>HYPERLINK("Melting_Curves/meltCurve_Q9Y592_2_CCDC41.pdf", "Melting_Curves/meltCurve_Q9Y592_2_CCDC41.pdf")</f>
        <v>Melting_Curves/meltCurve_Q9Y592_2_CCDC41.pdf</v>
      </c>
    </row>
    <row r="6716" spans="1:28" x14ac:dyDescent="0.25">
      <c r="A6716" t="s">
        <v>6720</v>
      </c>
      <c r="B6716">
        <v>0.995954080203443</v>
      </c>
      <c r="C6716">
        <v>0.800361713723165</v>
      </c>
      <c r="D6716">
        <v>0.75285197621106903</v>
      </c>
      <c r="E6716">
        <v>0.69392487941610104</v>
      </c>
      <c r="F6716">
        <v>0.66460067203611195</v>
      </c>
      <c r="G6716">
        <v>0.49796227372174501</v>
      </c>
      <c r="H6716">
        <v>0.43495000635213399</v>
      </c>
      <c r="I6716">
        <v>0.51421086937165295</v>
      </c>
      <c r="J6716">
        <v>0.58124772701048899</v>
      </c>
      <c r="K6716">
        <v>0.59612760959590705</v>
      </c>
      <c r="L6716">
        <v>567.18623851355596</v>
      </c>
      <c r="M6716">
        <v>12.309194738257199</v>
      </c>
      <c r="O6716">
        <v>44.912766016713398</v>
      </c>
      <c r="P6716">
        <v>-3.2818727724639202E-2</v>
      </c>
      <c r="Q6716">
        <v>0.52111979485993098</v>
      </c>
      <c r="R6716">
        <v>0.85281332511395103</v>
      </c>
      <c r="S6716" t="s">
        <v>13522</v>
      </c>
      <c r="T6716" t="s">
        <v>13610</v>
      </c>
      <c r="U6716" t="s">
        <v>13610</v>
      </c>
      <c r="V6716" t="s">
        <v>13610</v>
      </c>
      <c r="W6716" t="s">
        <v>20246</v>
      </c>
      <c r="X6716">
        <v>7</v>
      </c>
      <c r="Y6716" t="s">
        <v>26773</v>
      </c>
      <c r="Z6716" t="s">
        <v>33571</v>
      </c>
      <c r="AA6716">
        <v>0.63878103230867833</v>
      </c>
      <c r="AB6716" t="str">
        <f>HYPERLINK("Melting_Curves/meltCurve_Q9Y597_2_KCTD3.pdf", "Melting_Curves/meltCurve_Q9Y597_2_KCTD3.pdf")</f>
        <v>Melting_Curves/meltCurve_Q9Y597_2_KCTD3.pdf</v>
      </c>
    </row>
    <row r="6717" spans="1:28" x14ac:dyDescent="0.25">
      <c r="A6717" t="s">
        <v>6721</v>
      </c>
      <c r="B6717">
        <v>0.995954080203443</v>
      </c>
      <c r="C6717">
        <v>0.91788697411571196</v>
      </c>
      <c r="D6717">
        <v>1.1121406487539101</v>
      </c>
      <c r="E6717">
        <v>0.932950368254573</v>
      </c>
      <c r="F6717">
        <v>0.94019921762800096</v>
      </c>
      <c r="G6717">
        <v>0.60168498607264898</v>
      </c>
      <c r="H6717">
        <v>0.53243640391664904</v>
      </c>
      <c r="I6717">
        <v>0.56572632770958797</v>
      </c>
      <c r="J6717">
        <v>0.64856290439413999</v>
      </c>
      <c r="K6717">
        <v>0.49218242138304202</v>
      </c>
      <c r="L6717">
        <v>2988.8715747890401</v>
      </c>
      <c r="M6717">
        <v>54.631569015616499</v>
      </c>
      <c r="O6717">
        <v>54.636448126706902</v>
      </c>
      <c r="P6717">
        <v>-0.110227760971898</v>
      </c>
      <c r="Q6717">
        <v>0.559049856691611</v>
      </c>
      <c r="R6717">
        <v>0.92056358463155896</v>
      </c>
      <c r="S6717" t="s">
        <v>13523</v>
      </c>
      <c r="T6717" t="s">
        <v>13610</v>
      </c>
      <c r="U6717" t="s">
        <v>13610</v>
      </c>
      <c r="V6717" t="s">
        <v>13610</v>
      </c>
      <c r="W6717" t="s">
        <v>20247</v>
      </c>
      <c r="X6717">
        <v>5</v>
      </c>
      <c r="Y6717" t="s">
        <v>26774</v>
      </c>
      <c r="Z6717" t="s">
        <v>33572</v>
      </c>
      <c r="AA6717">
        <v>0.77614697532726784</v>
      </c>
      <c r="AB6717" t="str">
        <f>HYPERLINK("Melting_Curves/meltCurve_Q9Y5A6_ZSCAN21.pdf", "Melting_Curves/meltCurve_Q9Y5A6_ZSCAN21.pdf")</f>
        <v>Melting_Curves/meltCurve_Q9Y5A6_ZSCAN21.pdf</v>
      </c>
    </row>
    <row r="6718" spans="1:28" x14ac:dyDescent="0.25">
      <c r="A6718" t="s">
        <v>6722</v>
      </c>
      <c r="B6718">
        <v>0.995954080203443</v>
      </c>
      <c r="C6718">
        <v>0.89460083399880796</v>
      </c>
      <c r="D6718">
        <v>0.72861049159804203</v>
      </c>
      <c r="E6718">
        <v>0.46474467635394801</v>
      </c>
      <c r="F6718">
        <v>0.171603709611368</v>
      </c>
      <c r="G6718">
        <v>9.5422882925391805E-2</v>
      </c>
      <c r="H6718">
        <v>6.65150941593073E-2</v>
      </c>
      <c r="I6718">
        <v>5.8192958137479503E-2</v>
      </c>
      <c r="J6718">
        <v>6.5828229436499297E-2</v>
      </c>
      <c r="K6718">
        <v>5.8744505598668999E-2</v>
      </c>
      <c r="L6718">
        <v>863.87565830426195</v>
      </c>
      <c r="M6718">
        <v>17.763846054197199</v>
      </c>
      <c r="N6718">
        <v>48.881052861795403</v>
      </c>
      <c r="O6718">
        <v>48.027377399831401</v>
      </c>
      <c r="P6718">
        <v>-8.8457580815312395E-2</v>
      </c>
      <c r="Q6718">
        <v>4.3413279014933803E-2</v>
      </c>
      <c r="R6718">
        <v>0.99415514792883497</v>
      </c>
      <c r="S6718" t="s">
        <v>13524</v>
      </c>
      <c r="T6718" t="s">
        <v>13610</v>
      </c>
      <c r="U6718" t="s">
        <v>13610</v>
      </c>
      <c r="V6718" t="s">
        <v>13610</v>
      </c>
      <c r="W6718" t="s">
        <v>20248</v>
      </c>
      <c r="X6718">
        <v>18</v>
      </c>
      <c r="Y6718" t="s">
        <v>26775</v>
      </c>
      <c r="Z6718" t="s">
        <v>33573</v>
      </c>
      <c r="AA6718">
        <v>0.33577454317178668</v>
      </c>
      <c r="AB6718" t="str">
        <f>HYPERLINK("Melting_Curves/meltCurve_Q9Y5A7_2_NUB1.pdf", "Melting_Curves/meltCurve_Q9Y5A7_2_NUB1.pdf")</f>
        <v>Melting_Curves/meltCurve_Q9Y5A7_2_NUB1.pdf</v>
      </c>
    </row>
    <row r="6719" spans="1:28" x14ac:dyDescent="0.25">
      <c r="A6719" t="s">
        <v>6723</v>
      </c>
      <c r="B6719">
        <v>0.995954080203443</v>
      </c>
      <c r="C6719">
        <v>0.95417862983700297</v>
      </c>
      <c r="D6719">
        <v>0.97508093731904499</v>
      </c>
      <c r="E6719">
        <v>0.91115448651352504</v>
      </c>
      <c r="F6719">
        <v>0.72298727214434699</v>
      </c>
      <c r="G6719">
        <v>0.46395123732426202</v>
      </c>
      <c r="H6719">
        <v>0.43095064823879098</v>
      </c>
      <c r="I6719">
        <v>0.48946136128975198</v>
      </c>
      <c r="J6719">
        <v>0.53540816322982898</v>
      </c>
      <c r="K6719">
        <v>0.57560109011288596</v>
      </c>
      <c r="L6719">
        <v>2068.2471904876202</v>
      </c>
      <c r="M6719">
        <v>39.409285297362899</v>
      </c>
      <c r="N6719">
        <v>60.215084662368803</v>
      </c>
      <c r="O6719">
        <v>52.346615227759301</v>
      </c>
      <c r="P6719">
        <v>-9.4702950260374993E-2</v>
      </c>
      <c r="Q6719">
        <v>0.49683237553217502</v>
      </c>
      <c r="R6719">
        <v>0.96078639603083005</v>
      </c>
      <c r="S6719" t="s">
        <v>13525</v>
      </c>
      <c r="T6719" t="s">
        <v>13610</v>
      </c>
      <c r="U6719" t="s">
        <v>13610</v>
      </c>
      <c r="V6719" t="s">
        <v>13610</v>
      </c>
      <c r="W6719" t="s">
        <v>20249</v>
      </c>
      <c r="X6719">
        <v>13</v>
      </c>
      <c r="Y6719" t="s">
        <v>26776</v>
      </c>
      <c r="Z6719" t="s">
        <v>33574</v>
      </c>
      <c r="AA6719">
        <v>0.70804982003751804</v>
      </c>
      <c r="AB6719" t="str">
        <f>HYPERLINK("Melting_Curves/meltCurve_Q9Y5A9_YTHDF2.pdf", "Melting_Curves/meltCurve_Q9Y5A9_YTHDF2.pdf")</f>
        <v>Melting_Curves/meltCurve_Q9Y5A9_YTHDF2.pdf</v>
      </c>
    </row>
    <row r="6720" spans="1:28" x14ac:dyDescent="0.25">
      <c r="A6720" t="s">
        <v>6724</v>
      </c>
      <c r="B6720">
        <v>0.995954080203443</v>
      </c>
      <c r="C6720">
        <v>0.93785924217549199</v>
      </c>
      <c r="D6720">
        <v>0.70573005521690901</v>
      </c>
      <c r="E6720">
        <v>0.40260648163227297</v>
      </c>
      <c r="F6720">
        <v>0.299681797580786</v>
      </c>
      <c r="G6720">
        <v>0.20055275436564601</v>
      </c>
      <c r="H6720">
        <v>0.162618032153828</v>
      </c>
      <c r="I6720">
        <v>0.17764696844924399</v>
      </c>
      <c r="J6720">
        <v>0.206068159685102</v>
      </c>
      <c r="K6720">
        <v>0.20112199624737201</v>
      </c>
      <c r="L6720">
        <v>962.77342325098402</v>
      </c>
      <c r="M6720">
        <v>20.263324136348999</v>
      </c>
      <c r="N6720">
        <v>48.620121400671302</v>
      </c>
      <c r="O6720">
        <v>47.057595076297297</v>
      </c>
      <c r="P6720">
        <v>-8.7761401168149594E-2</v>
      </c>
      <c r="Q6720">
        <v>0.184790240624263</v>
      </c>
      <c r="R6720">
        <v>0.99644015508296202</v>
      </c>
      <c r="S6720" t="s">
        <v>13526</v>
      </c>
      <c r="T6720" t="s">
        <v>13610</v>
      </c>
      <c r="U6720" t="s">
        <v>13610</v>
      </c>
      <c r="V6720" t="s">
        <v>13610</v>
      </c>
      <c r="W6720" t="s">
        <v>20250</v>
      </c>
      <c r="X6720">
        <v>30</v>
      </c>
      <c r="Y6720" t="s">
        <v>26777</v>
      </c>
      <c r="Z6720" t="s">
        <v>33575</v>
      </c>
      <c r="AA6720">
        <v>0.40034654394943769</v>
      </c>
      <c r="AB6720" t="str">
        <f>HYPERLINK("Melting_Curves/meltCurve_Q9Y5B0_CTDP1.pdf", "Melting_Curves/meltCurve_Q9Y5B0_CTDP1.pdf")</f>
        <v>Melting_Curves/meltCurve_Q9Y5B0_CTDP1.pdf</v>
      </c>
    </row>
    <row r="6721" spans="1:28" x14ac:dyDescent="0.25">
      <c r="A6721" t="s">
        <v>6725</v>
      </c>
      <c r="B6721">
        <v>0.995954080203443</v>
      </c>
      <c r="C6721">
        <v>0.92492593330043205</v>
      </c>
      <c r="D6721">
        <v>0.91628768946003702</v>
      </c>
      <c r="E6721">
        <v>0.54704973380014199</v>
      </c>
      <c r="F6721">
        <v>0.48171748991158198</v>
      </c>
      <c r="G6721">
        <v>0.41779268121847002</v>
      </c>
      <c r="H6721">
        <v>0.37492301425700603</v>
      </c>
      <c r="I6721">
        <v>0.46329982788872298</v>
      </c>
      <c r="J6721">
        <v>0.47802696718412102</v>
      </c>
      <c r="K6721">
        <v>0.53926041156127502</v>
      </c>
      <c r="L6721">
        <v>1766.1150524503901</v>
      </c>
      <c r="M6721">
        <v>36.841484525369999</v>
      </c>
      <c r="N6721">
        <v>51.308943132444199</v>
      </c>
      <c r="O6721">
        <v>47.797641412728801</v>
      </c>
      <c r="P6721">
        <v>-0.104912676987928</v>
      </c>
      <c r="Q6721">
        <v>0.45555256304396102</v>
      </c>
      <c r="R6721">
        <v>0.958737670509202</v>
      </c>
      <c r="S6721" t="s">
        <v>13527</v>
      </c>
      <c r="T6721" t="s">
        <v>13610</v>
      </c>
      <c r="U6721" t="s">
        <v>13610</v>
      </c>
      <c r="V6721" t="s">
        <v>13610</v>
      </c>
      <c r="W6721" t="s">
        <v>20251</v>
      </c>
      <c r="X6721">
        <v>17</v>
      </c>
      <c r="Y6721" t="s">
        <v>26778</v>
      </c>
      <c r="Z6721" t="s">
        <v>33576</v>
      </c>
      <c r="AA6721">
        <v>0.60175800513717637</v>
      </c>
      <c r="AB6721" t="str">
        <f>HYPERLINK("Melting_Curves/meltCurve_Q9Y5B6_PAXBP1.pdf", "Melting_Curves/meltCurve_Q9Y5B6_PAXBP1.pdf")</f>
        <v>Melting_Curves/meltCurve_Q9Y5B6_PAXBP1.pdf</v>
      </c>
    </row>
    <row r="6722" spans="1:28" x14ac:dyDescent="0.25">
      <c r="A6722" t="s">
        <v>6726</v>
      </c>
      <c r="B6722">
        <v>0.995954080203443</v>
      </c>
      <c r="C6722">
        <v>0.95274133998839905</v>
      </c>
      <c r="D6722">
        <v>0.61276456461244599</v>
      </c>
      <c r="E6722">
        <v>0.41813949347241602</v>
      </c>
      <c r="F6722">
        <v>0.20400452175115799</v>
      </c>
      <c r="G6722">
        <v>0.12954794497840399</v>
      </c>
      <c r="H6722">
        <v>9.7528058049028504E-2</v>
      </c>
      <c r="I6722">
        <v>8.6776757911912195E-2</v>
      </c>
      <c r="J6722">
        <v>0.109709665851436</v>
      </c>
      <c r="K6722">
        <v>9.1087655161351103E-2</v>
      </c>
      <c r="L6722">
        <v>851.98046718184401</v>
      </c>
      <c r="M6722">
        <v>17.874370712811501</v>
      </c>
      <c r="N6722">
        <v>48.189279864790301</v>
      </c>
      <c r="O6722">
        <v>47.080326240070598</v>
      </c>
      <c r="P6722">
        <v>-8.6530574194729495E-2</v>
      </c>
      <c r="Q6722">
        <v>8.8374980200201403E-2</v>
      </c>
      <c r="R6722">
        <v>0.98845630650799099</v>
      </c>
      <c r="S6722" t="s">
        <v>13528</v>
      </c>
      <c r="T6722" t="s">
        <v>13610</v>
      </c>
      <c r="U6722" t="s">
        <v>13610</v>
      </c>
      <c r="V6722" t="s">
        <v>13610</v>
      </c>
      <c r="W6722" t="s">
        <v>20252</v>
      </c>
      <c r="X6722">
        <v>6</v>
      </c>
      <c r="Y6722" t="s">
        <v>26779</v>
      </c>
      <c r="Z6722" t="s">
        <v>33577</v>
      </c>
      <c r="AA6722">
        <v>0.33789139930104939</v>
      </c>
      <c r="AB6722" t="str">
        <f>HYPERLINK("Melting_Curves/meltCurve_Q9Y5B8_NME7.pdf", "Melting_Curves/meltCurve_Q9Y5B8_NME7.pdf")</f>
        <v>Melting_Curves/meltCurve_Q9Y5B8_NME7.pdf</v>
      </c>
    </row>
    <row r="6723" spans="1:28" x14ac:dyDescent="0.25">
      <c r="A6723" t="s">
        <v>6727</v>
      </c>
      <c r="B6723">
        <v>0.995954080203443</v>
      </c>
      <c r="C6723">
        <v>1.0430525861848201</v>
      </c>
      <c r="D6723">
        <v>1.00795734410141</v>
      </c>
      <c r="E6723">
        <v>0.80560595068113505</v>
      </c>
      <c r="F6723">
        <v>0.223827841874361</v>
      </c>
      <c r="G6723">
        <v>0.12329859453773299</v>
      </c>
      <c r="H6723">
        <v>7.6303330637140204E-2</v>
      </c>
      <c r="I6723">
        <v>6.2761668812355301E-2</v>
      </c>
      <c r="J6723">
        <v>8.0547110966841001E-2</v>
      </c>
      <c r="K6723">
        <v>6.6245484897744497E-2</v>
      </c>
      <c r="L6723">
        <v>2625.0616065795398</v>
      </c>
      <c r="M6723">
        <v>51.190953758606597</v>
      </c>
      <c r="N6723">
        <v>51.4554959529789</v>
      </c>
      <c r="O6723">
        <v>51.201740041924403</v>
      </c>
      <c r="P6723">
        <v>-0.22990748940806499</v>
      </c>
      <c r="Q6723">
        <v>8.0177360109314796E-2</v>
      </c>
      <c r="R6723">
        <v>0.997835843344825</v>
      </c>
      <c r="S6723" t="s">
        <v>13529</v>
      </c>
      <c r="T6723" t="s">
        <v>13610</v>
      </c>
      <c r="U6723" t="s">
        <v>13610</v>
      </c>
      <c r="V6723" t="s">
        <v>13610</v>
      </c>
      <c r="W6723" t="s">
        <v>20253</v>
      </c>
      <c r="X6723">
        <v>23</v>
      </c>
      <c r="Y6723" t="s">
        <v>26780</v>
      </c>
      <c r="Z6723" t="s">
        <v>33578</v>
      </c>
      <c r="AA6723">
        <v>0.42800874013048451</v>
      </c>
      <c r="AB6723" t="str">
        <f>HYPERLINK("Melting_Curves/meltCurve_Q9Y5B9_SUPT16H.pdf", "Melting_Curves/meltCurve_Q9Y5B9_SUPT16H.pdf")</f>
        <v>Melting_Curves/meltCurve_Q9Y5B9_SUPT16H.pdf</v>
      </c>
    </row>
    <row r="6724" spans="1:28" x14ac:dyDescent="0.25">
      <c r="A6724" t="s">
        <v>6728</v>
      </c>
      <c r="B6724">
        <v>0.995954080203443</v>
      </c>
      <c r="C6724">
        <v>0.91135706862408095</v>
      </c>
      <c r="D6724">
        <v>0.97000011235224703</v>
      </c>
      <c r="E6724">
        <v>0.83151156047985797</v>
      </c>
      <c r="F6724">
        <v>0.88117777096109395</v>
      </c>
      <c r="G6724">
        <v>0.71887020027889503</v>
      </c>
      <c r="H6724">
        <v>0.70293396201340097</v>
      </c>
      <c r="I6724">
        <v>0.80046637168814605</v>
      </c>
      <c r="J6724">
        <v>1.08040669366259</v>
      </c>
      <c r="K6724">
        <v>1.0072472945822499</v>
      </c>
      <c r="L6724">
        <v>919.52957180719295</v>
      </c>
      <c r="M6724">
        <v>20.714614833837199</v>
      </c>
      <c r="O6724">
        <v>43.982913218375401</v>
      </c>
      <c r="P6724">
        <v>-1.6191182359527399E-2</v>
      </c>
      <c r="Q6724">
        <v>0.86249036030285198</v>
      </c>
      <c r="R6724">
        <v>0.118304750719674</v>
      </c>
      <c r="S6724" t="s">
        <v>13530</v>
      </c>
      <c r="T6724" t="s">
        <v>13610</v>
      </c>
      <c r="U6724" t="s">
        <v>13610</v>
      </c>
      <c r="V6724" t="s">
        <v>13610</v>
      </c>
      <c r="W6724" t="s">
        <v>20254</v>
      </c>
      <c r="X6724">
        <v>3</v>
      </c>
      <c r="Y6724" t="s">
        <v>26781</v>
      </c>
      <c r="Z6724" t="s">
        <v>33579</v>
      </c>
      <c r="AA6724">
        <v>0.88493344994326573</v>
      </c>
      <c r="AB6724" t="str">
        <f>HYPERLINK("Melting_Curves/meltCurve_Q9Y5J1_UTP18.pdf", "Melting_Curves/meltCurve_Q9Y5J1_UTP18.pdf")</f>
        <v>Melting_Curves/meltCurve_Q9Y5J1_UTP18.pdf</v>
      </c>
    </row>
    <row r="6725" spans="1:28" x14ac:dyDescent="0.25">
      <c r="A6725" t="s">
        <v>6729</v>
      </c>
      <c r="B6725">
        <v>0.995954080203443</v>
      </c>
      <c r="C6725">
        <v>0.83199331359840401</v>
      </c>
      <c r="D6725">
        <v>0.71934841683636996</v>
      </c>
      <c r="E6725">
        <v>0.54729976065564501</v>
      </c>
      <c r="F6725">
        <v>0.38523215550219603</v>
      </c>
      <c r="G6725">
        <v>0.246887580717459</v>
      </c>
      <c r="H6725">
        <v>0.17968383674982999</v>
      </c>
      <c r="I6725">
        <v>0.17389808906479601</v>
      </c>
      <c r="J6725">
        <v>0.210475351302465</v>
      </c>
      <c r="K6725">
        <v>0.127417037867079</v>
      </c>
      <c r="L6725">
        <v>589.31645698433204</v>
      </c>
      <c r="M6725">
        <v>11.994080955335701</v>
      </c>
      <c r="N6725">
        <v>50.346639614683099</v>
      </c>
      <c r="O6725">
        <v>47.827875873267303</v>
      </c>
      <c r="P6725">
        <v>-5.4841835668175201E-2</v>
      </c>
      <c r="Q6725">
        <v>0.12545693568399299</v>
      </c>
      <c r="R6725">
        <v>0.98997953276634698</v>
      </c>
      <c r="S6725" t="s">
        <v>13531</v>
      </c>
      <c r="T6725" t="s">
        <v>13610</v>
      </c>
      <c r="U6725" t="s">
        <v>13610</v>
      </c>
      <c r="V6725" t="s">
        <v>13610</v>
      </c>
      <c r="W6725" t="s">
        <v>20255</v>
      </c>
      <c r="X6725">
        <v>1</v>
      </c>
      <c r="Y6725" t="s">
        <v>26782</v>
      </c>
      <c r="Z6725" t="s">
        <v>33580</v>
      </c>
      <c r="AA6725">
        <v>0.4236202482721565</v>
      </c>
      <c r="AB6725" t="str">
        <f>HYPERLINK("Melting_Curves/meltCurve_Q9Y5J6_TIMM10B.pdf", "Melting_Curves/meltCurve_Q9Y5J6_TIMM10B.pdf")</f>
        <v>Melting_Curves/meltCurve_Q9Y5J6_TIMM10B.pdf</v>
      </c>
    </row>
    <row r="6726" spans="1:28" x14ac:dyDescent="0.25">
      <c r="A6726" t="s">
        <v>6730</v>
      </c>
      <c r="B6726">
        <v>0.995954080203443</v>
      </c>
      <c r="C6726">
        <v>1.00640114400865</v>
      </c>
      <c r="D6726">
        <v>0.95395755186916698</v>
      </c>
      <c r="E6726">
        <v>0.90072580413522796</v>
      </c>
      <c r="F6726">
        <v>0.78935431788383104</v>
      </c>
      <c r="G6726">
        <v>0.62459904236519403</v>
      </c>
      <c r="H6726">
        <v>0.50650632808254403</v>
      </c>
      <c r="I6726">
        <v>0.50162490790001302</v>
      </c>
      <c r="J6726">
        <v>0.46557644161526002</v>
      </c>
      <c r="K6726">
        <v>0.40428654849242002</v>
      </c>
      <c r="L6726">
        <v>810.71523342346302</v>
      </c>
      <c r="M6726">
        <v>14.714787569351399</v>
      </c>
      <c r="N6726">
        <v>62.191842268558702</v>
      </c>
      <c r="O6726">
        <v>54.107731639287699</v>
      </c>
      <c r="P6726">
        <v>-4.03401204162206E-2</v>
      </c>
      <c r="Q6726">
        <v>0.406726155891937</v>
      </c>
      <c r="R6726">
        <v>0.99485777457945701</v>
      </c>
      <c r="S6726" t="s">
        <v>13532</v>
      </c>
      <c r="T6726" t="s">
        <v>13610</v>
      </c>
      <c r="U6726" t="s">
        <v>13610</v>
      </c>
      <c r="V6726" t="s">
        <v>13610</v>
      </c>
      <c r="W6726" t="s">
        <v>20256</v>
      </c>
      <c r="X6726">
        <v>6</v>
      </c>
      <c r="Y6726" t="s">
        <v>26783</v>
      </c>
      <c r="Z6726" t="s">
        <v>33581</v>
      </c>
      <c r="AA6726">
        <v>0.71683498338583529</v>
      </c>
      <c r="AB6726" t="str">
        <f>HYPERLINK("Melting_Curves/meltCurve_Q9Y5J7_TIMM9.pdf", "Melting_Curves/meltCurve_Q9Y5J7_TIMM9.pdf")</f>
        <v>Melting_Curves/meltCurve_Q9Y5J7_TIMM9.pdf</v>
      </c>
    </row>
    <row r="6727" spans="1:28" x14ac:dyDescent="0.25">
      <c r="A6727" t="s">
        <v>6731</v>
      </c>
      <c r="B6727">
        <v>0.995954080203443</v>
      </c>
      <c r="C6727">
        <v>0.89210053652209098</v>
      </c>
      <c r="D6727">
        <v>0.90556069675649498</v>
      </c>
      <c r="E6727">
        <v>0.79628154768203696</v>
      </c>
      <c r="F6727">
        <v>0.61464331148691498</v>
      </c>
      <c r="G6727">
        <v>0.468033700048887</v>
      </c>
      <c r="H6727">
        <v>0.38326201124618697</v>
      </c>
      <c r="I6727">
        <v>0.49212754049673701</v>
      </c>
      <c r="J6727">
        <v>0.59098241933121598</v>
      </c>
      <c r="K6727">
        <v>0.47497921868961102</v>
      </c>
      <c r="L6727">
        <v>1035.41774310091</v>
      </c>
      <c r="M6727">
        <v>20.569070581056199</v>
      </c>
      <c r="N6727">
        <v>58.595882662304497</v>
      </c>
      <c r="O6727">
        <v>49.8700248735272</v>
      </c>
      <c r="P6727">
        <v>-5.4399101721581598E-2</v>
      </c>
      <c r="Q6727">
        <v>0.472449563501318</v>
      </c>
      <c r="R6727">
        <v>0.91185787230374205</v>
      </c>
      <c r="S6727" t="s">
        <v>13533</v>
      </c>
      <c r="T6727" t="s">
        <v>13610</v>
      </c>
      <c r="U6727" t="s">
        <v>13610</v>
      </c>
      <c r="V6727" t="s">
        <v>13610</v>
      </c>
      <c r="W6727" t="s">
        <v>20257</v>
      </c>
      <c r="X6727">
        <v>4</v>
      </c>
      <c r="Y6727" t="s">
        <v>26784</v>
      </c>
      <c r="Z6727" t="s">
        <v>33582</v>
      </c>
      <c r="AA6727">
        <v>0.66120270750064303</v>
      </c>
      <c r="AB6727" t="str">
        <f>HYPERLINK("Melting_Curves/meltCurve_Q9Y5J9_TIMM8B.pdf", "Melting_Curves/meltCurve_Q9Y5J9_TIMM8B.pdf")</f>
        <v>Melting_Curves/meltCurve_Q9Y5J9_TIMM8B.pdf</v>
      </c>
    </row>
    <row r="6728" spans="1:28" x14ac:dyDescent="0.25">
      <c r="A6728" t="s">
        <v>6732</v>
      </c>
      <c r="B6728">
        <v>0.995954080203443</v>
      </c>
      <c r="C6728">
        <v>0.84067695109921303</v>
      </c>
      <c r="D6728">
        <v>1.62758338388785</v>
      </c>
      <c r="E6728">
        <v>0.63174133026678403</v>
      </c>
      <c r="F6728">
        <v>0.49103983601055101</v>
      </c>
      <c r="G6728">
        <v>0.310357970009569</v>
      </c>
      <c r="H6728">
        <v>0.24947697426933399</v>
      </c>
      <c r="I6728">
        <v>0.27732313154529398</v>
      </c>
      <c r="J6728">
        <v>0.32602927774623702</v>
      </c>
      <c r="K6728">
        <v>0.28465601416007402</v>
      </c>
      <c r="L6728">
        <v>3050.0629026767001</v>
      </c>
      <c r="M6728">
        <v>60.977304269158402</v>
      </c>
      <c r="N6728">
        <v>50.856499098974503</v>
      </c>
      <c r="O6728">
        <v>49.965927717023099</v>
      </c>
      <c r="P6728">
        <v>-0.208476043881658</v>
      </c>
      <c r="Q6728">
        <v>0.31668380213781</v>
      </c>
      <c r="R6728">
        <v>0.74278763141433402</v>
      </c>
      <c r="S6728" t="s">
        <v>13534</v>
      </c>
      <c r="T6728" t="s">
        <v>13610</v>
      </c>
      <c r="U6728" t="s">
        <v>13610</v>
      </c>
      <c r="V6728" t="s">
        <v>13610</v>
      </c>
      <c r="W6728" t="s">
        <v>20258</v>
      </c>
      <c r="X6728">
        <v>18</v>
      </c>
      <c r="Y6728" t="s">
        <v>23899</v>
      </c>
      <c r="Z6728" t="s">
        <v>33583</v>
      </c>
      <c r="AA6728">
        <v>0.54591507989866017</v>
      </c>
      <c r="AB6728" t="str">
        <f>HYPERLINK("Melting_Curves/meltCurve_Q9Y5K5_2_UCHL5.pdf", "Melting_Curves/meltCurve_Q9Y5K5_2_UCHL5.pdf")</f>
        <v>Melting_Curves/meltCurve_Q9Y5K5_2_UCHL5.pdf</v>
      </c>
    </row>
    <row r="6729" spans="1:28" x14ac:dyDescent="0.25">
      <c r="A6729" t="s">
        <v>6733</v>
      </c>
      <c r="B6729">
        <v>0.995954080203443</v>
      </c>
      <c r="C6729">
        <v>0.994114521150959</v>
      </c>
      <c r="D6729">
        <v>0.99698804820319198</v>
      </c>
      <c r="E6729">
        <v>0.88907491859330201</v>
      </c>
      <c r="F6729">
        <v>0.84099229903280603</v>
      </c>
      <c r="G6729">
        <v>0.63202637500093195</v>
      </c>
      <c r="H6729">
        <v>0.58432732416134503</v>
      </c>
      <c r="I6729">
        <v>0.68228565405779396</v>
      </c>
      <c r="J6729">
        <v>0.87281324610331401</v>
      </c>
      <c r="K6729">
        <v>0.79754471801607596</v>
      </c>
      <c r="L6729">
        <v>1679.2784230843499</v>
      </c>
      <c r="M6729">
        <v>32.734774997514002</v>
      </c>
      <c r="O6729">
        <v>51.109224193961502</v>
      </c>
      <c r="P6729">
        <v>-4.5157815341905903E-2</v>
      </c>
      <c r="Q6729">
        <v>0.71797944540880199</v>
      </c>
      <c r="R6729">
        <v>0.70337399541884604</v>
      </c>
      <c r="S6729" t="s">
        <v>13535</v>
      </c>
      <c r="T6729" t="s">
        <v>13610</v>
      </c>
      <c r="U6729" t="s">
        <v>13610</v>
      </c>
      <c r="V6729" t="s">
        <v>13610</v>
      </c>
      <c r="W6729" t="s">
        <v>20259</v>
      </c>
      <c r="X6729">
        <v>33</v>
      </c>
      <c r="Y6729" t="s">
        <v>26785</v>
      </c>
      <c r="Z6729" t="s">
        <v>33584</v>
      </c>
      <c r="AA6729">
        <v>0.82569902675510076</v>
      </c>
      <c r="AB6729" t="str">
        <f>HYPERLINK("Melting_Curves/meltCurve_Q9Y5K6_CD2AP.pdf", "Melting_Curves/meltCurve_Q9Y5K6_CD2AP.pdf")</f>
        <v>Melting_Curves/meltCurve_Q9Y5K6_CD2AP.pdf</v>
      </c>
    </row>
    <row r="6730" spans="1:28" x14ac:dyDescent="0.25">
      <c r="A6730" t="s">
        <v>6734</v>
      </c>
      <c r="B6730">
        <v>0.995954080203443</v>
      </c>
      <c r="C6730">
        <v>0.88347888647668105</v>
      </c>
      <c r="D6730">
        <v>0.85845886505915603</v>
      </c>
      <c r="E6730">
        <v>0.82428898007779405</v>
      </c>
      <c r="F6730">
        <v>0.75774107450395101</v>
      </c>
      <c r="G6730">
        <v>0.66057545148358199</v>
      </c>
      <c r="H6730">
        <v>0.42196883497782001</v>
      </c>
      <c r="I6730">
        <v>0.32969362562385501</v>
      </c>
      <c r="J6730">
        <v>0.28923500077733899</v>
      </c>
      <c r="K6730">
        <v>0.23402341802937501</v>
      </c>
      <c r="L6730">
        <v>476.40776748794099</v>
      </c>
      <c r="M6730">
        <v>7.9979291888163901</v>
      </c>
      <c r="N6730">
        <v>59.566389760695202</v>
      </c>
      <c r="O6730">
        <v>56.188437756692501</v>
      </c>
      <c r="P6730">
        <v>-3.5625582816694298E-2</v>
      </c>
      <c r="Q6730">
        <v>0</v>
      </c>
      <c r="R6730">
        <v>0.97629323208075802</v>
      </c>
      <c r="S6730" t="s">
        <v>13536</v>
      </c>
      <c r="T6730" t="s">
        <v>13610</v>
      </c>
      <c r="U6730" t="s">
        <v>13610</v>
      </c>
      <c r="V6730" t="s">
        <v>13610</v>
      </c>
      <c r="W6730" t="s">
        <v>20260</v>
      </c>
      <c r="X6730">
        <v>16</v>
      </c>
      <c r="Y6730" t="s">
        <v>26786</v>
      </c>
      <c r="Z6730" t="s">
        <v>33585</v>
      </c>
      <c r="AA6730">
        <v>0.64137252812128764</v>
      </c>
      <c r="AB6730" t="str">
        <f>HYPERLINK("Melting_Curves/meltCurve_Q9Y5K8_ATP6V1D.pdf", "Melting_Curves/meltCurve_Q9Y5K8_ATP6V1D.pdf")</f>
        <v>Melting_Curves/meltCurve_Q9Y5K8_ATP6V1D.pdf</v>
      </c>
    </row>
    <row r="6731" spans="1:28" x14ac:dyDescent="0.25">
      <c r="A6731" t="s">
        <v>6735</v>
      </c>
      <c r="B6731">
        <v>0.995954080203443</v>
      </c>
      <c r="C6731">
        <v>0.95452233815048704</v>
      </c>
      <c r="D6731">
        <v>0.90600214992194095</v>
      </c>
      <c r="E6731">
        <v>0.80144325001390604</v>
      </c>
      <c r="F6731">
        <v>0.45170861628372</v>
      </c>
      <c r="G6731">
        <v>0.14461977776219101</v>
      </c>
      <c r="H6731">
        <v>7.9065564246434503E-2</v>
      </c>
      <c r="I6731">
        <v>6.3222619203446795E-2</v>
      </c>
      <c r="J6731">
        <v>7.0745643152599597E-2</v>
      </c>
      <c r="K6731">
        <v>6.3358654199825296E-2</v>
      </c>
      <c r="L6731">
        <v>1344.88288335027</v>
      </c>
      <c r="M6731">
        <v>25.701047591250699</v>
      </c>
      <c r="N6731">
        <v>52.575921907248301</v>
      </c>
      <c r="O6731">
        <v>52.014224343207601</v>
      </c>
      <c r="P6731">
        <v>-0.116479113607367</v>
      </c>
      <c r="Q6731">
        <v>5.70815971940173E-2</v>
      </c>
      <c r="R6731">
        <v>0.99545006394554902</v>
      </c>
      <c r="S6731" t="s">
        <v>13537</v>
      </c>
      <c r="T6731" t="s">
        <v>13610</v>
      </c>
      <c r="U6731" t="s">
        <v>13610</v>
      </c>
      <c r="V6731" t="s">
        <v>13610</v>
      </c>
      <c r="W6731" t="s">
        <v>13886</v>
      </c>
      <c r="X6731">
        <v>34</v>
      </c>
      <c r="Y6731" t="s">
        <v>20609</v>
      </c>
      <c r="Z6731" t="s">
        <v>33586</v>
      </c>
      <c r="AA6731">
        <v>0.45274510213266178</v>
      </c>
      <c r="AB6731" t="str">
        <f>HYPERLINK("Melting_Curves/meltCurve_Q9Y5L0_TNPO3.pdf", "Melting_Curves/meltCurve_Q9Y5L0_TNPO3.pdf")</f>
        <v>Melting_Curves/meltCurve_Q9Y5L0_TNPO3.pdf</v>
      </c>
    </row>
    <row r="6732" spans="1:28" x14ac:dyDescent="0.25">
      <c r="A6732" t="s">
        <v>6736</v>
      </c>
      <c r="B6732">
        <v>0.995954080203443</v>
      </c>
      <c r="C6732">
        <v>1.0248088794477599</v>
      </c>
      <c r="D6732">
        <v>0.99865832471215998</v>
      </c>
      <c r="E6732">
        <v>0.890523025313251</v>
      </c>
      <c r="F6732">
        <v>0.65823721265041002</v>
      </c>
      <c r="G6732">
        <v>0.39031058957547099</v>
      </c>
      <c r="H6732">
        <v>0.236551379385424</v>
      </c>
      <c r="I6732">
        <v>0.22206471776874501</v>
      </c>
      <c r="J6732">
        <v>0.26849153629871703</v>
      </c>
      <c r="K6732">
        <v>0.255907693251124</v>
      </c>
      <c r="L6732">
        <v>1373.5264826461701</v>
      </c>
      <c r="M6732">
        <v>25.672327147615899</v>
      </c>
      <c r="N6732">
        <v>54.882321949308498</v>
      </c>
      <c r="O6732">
        <v>53.180762754476</v>
      </c>
      <c r="P6732">
        <v>-9.1984456312354496E-2</v>
      </c>
      <c r="Q6732">
        <v>0.23781847463215799</v>
      </c>
      <c r="R6732">
        <v>0.99641037023505896</v>
      </c>
      <c r="S6732" t="s">
        <v>13538</v>
      </c>
      <c r="T6732" t="s">
        <v>13610</v>
      </c>
      <c r="U6732" t="s">
        <v>13610</v>
      </c>
      <c r="V6732" t="s">
        <v>13610</v>
      </c>
      <c r="W6732" t="s">
        <v>20261</v>
      </c>
      <c r="X6732">
        <v>6</v>
      </c>
      <c r="Y6732" t="s">
        <v>26787</v>
      </c>
      <c r="Z6732" t="s">
        <v>33587</v>
      </c>
      <c r="AA6732">
        <v>0.58755679194225385</v>
      </c>
      <c r="AB6732" t="str">
        <f>HYPERLINK("Melting_Curves/meltCurve_Q9Y5L4_TIMM13.pdf", "Melting_Curves/meltCurve_Q9Y5L4_TIMM13.pdf")</f>
        <v>Melting_Curves/meltCurve_Q9Y5L4_TIMM13.pdf</v>
      </c>
    </row>
    <row r="6733" spans="1:28" x14ac:dyDescent="0.25">
      <c r="A6733" t="s">
        <v>6737</v>
      </c>
      <c r="B6733">
        <v>0.995954080203443</v>
      </c>
      <c r="C6733">
        <v>0.98620042239547701</v>
      </c>
      <c r="D6733">
        <v>0.79845988220098196</v>
      </c>
      <c r="E6733">
        <v>0.95235226734247802</v>
      </c>
      <c r="F6733">
        <v>0.360268724729573</v>
      </c>
      <c r="G6733">
        <v>0.107499438669399</v>
      </c>
      <c r="H6733">
        <v>6.3773546552860202E-2</v>
      </c>
      <c r="I6733">
        <v>5.9070899478203702E-2</v>
      </c>
      <c r="J6733">
        <v>4.4407875696437303E-2</v>
      </c>
      <c r="K6733">
        <v>5.8775160309321402E-2</v>
      </c>
      <c r="L6733">
        <v>3103.9633449941798</v>
      </c>
      <c r="M6733">
        <v>59.322740027618501</v>
      </c>
      <c r="N6733">
        <v>52.4461345556035</v>
      </c>
      <c r="O6733">
        <v>52.263994784137701</v>
      </c>
      <c r="P6733">
        <v>-0.26536458164570598</v>
      </c>
      <c r="Q6733">
        <v>6.4844216081791098E-2</v>
      </c>
      <c r="R6733">
        <v>0.97502861657579898</v>
      </c>
      <c r="S6733" t="s">
        <v>13539</v>
      </c>
      <c r="T6733" t="s">
        <v>13610</v>
      </c>
      <c r="U6733" t="s">
        <v>13610</v>
      </c>
      <c r="V6733" t="s">
        <v>13610</v>
      </c>
      <c r="W6733" t="s">
        <v>20262</v>
      </c>
      <c r="X6733">
        <v>8</v>
      </c>
      <c r="Y6733" t="s">
        <v>26788</v>
      </c>
      <c r="Z6733" t="s">
        <v>33588</v>
      </c>
      <c r="AA6733">
        <v>0.45051610804122988</v>
      </c>
      <c r="AB6733" t="str">
        <f>HYPERLINK("Melting_Curves/meltCurve_Q9Y5M8_SRPRB.pdf", "Melting_Curves/meltCurve_Q9Y5M8_SRPRB.pdf")</f>
        <v>Melting_Curves/meltCurve_Q9Y5M8_SRPRB.pdf</v>
      </c>
    </row>
    <row r="6734" spans="1:28" x14ac:dyDescent="0.25">
      <c r="A6734" t="s">
        <v>6738</v>
      </c>
      <c r="B6734">
        <v>0.995954080203443</v>
      </c>
      <c r="C6734">
        <v>1.11755077681014</v>
      </c>
      <c r="D6734">
        <v>1.12401716677904</v>
      </c>
      <c r="E6734">
        <v>0.80874971128206896</v>
      </c>
      <c r="F6734">
        <v>0.45775436702238598</v>
      </c>
      <c r="G6734">
        <v>0.16501109813731801</v>
      </c>
      <c r="H6734">
        <v>8.6950397800820201E-2</v>
      </c>
      <c r="I6734">
        <v>8.3811789453713897E-2</v>
      </c>
      <c r="J6734">
        <v>7.9048489565912303E-2</v>
      </c>
      <c r="K6734">
        <v>8.28269063887032E-2</v>
      </c>
      <c r="L6734">
        <v>1659.9124209996701</v>
      </c>
      <c r="M6734">
        <v>31.702932598023601</v>
      </c>
      <c r="N6734">
        <v>52.661514555835303</v>
      </c>
      <c r="O6734">
        <v>52.151321181411703</v>
      </c>
      <c r="P6734">
        <v>-0.13929911902238801</v>
      </c>
      <c r="Q6734">
        <v>8.3416658849841993E-2</v>
      </c>
      <c r="R6734">
        <v>0.98267876399845999</v>
      </c>
      <c r="S6734" t="s">
        <v>13540</v>
      </c>
      <c r="T6734" t="s">
        <v>13610</v>
      </c>
      <c r="U6734" t="s">
        <v>13610</v>
      </c>
      <c r="V6734" t="s">
        <v>13610</v>
      </c>
      <c r="W6734" t="s">
        <v>20263</v>
      </c>
      <c r="X6734">
        <v>5</v>
      </c>
      <c r="Y6734" t="s">
        <v>26789</v>
      </c>
      <c r="Z6734" t="s">
        <v>33589</v>
      </c>
      <c r="AA6734">
        <v>0.46627638707167512</v>
      </c>
      <c r="AB6734" t="str">
        <f>HYPERLINK("Melting_Curves/meltCurve_Q9Y5N5_N6AMT1.pdf", "Melting_Curves/meltCurve_Q9Y5N5_N6AMT1.pdf")</f>
        <v>Melting_Curves/meltCurve_Q9Y5N5_N6AMT1.pdf</v>
      </c>
    </row>
    <row r="6735" spans="1:28" x14ac:dyDescent="0.25">
      <c r="A6735" t="s">
        <v>6739</v>
      </c>
      <c r="B6735">
        <v>0.995954080203443</v>
      </c>
      <c r="C6735">
        <v>0.965361815180102</v>
      </c>
      <c r="D6735">
        <v>0.89626695254278699</v>
      </c>
      <c r="E6735">
        <v>0.55426768132710502</v>
      </c>
      <c r="F6735">
        <v>0.33861683134771398</v>
      </c>
      <c r="G6735">
        <v>0.18789761677434899</v>
      </c>
      <c r="H6735">
        <v>0.13245976395863401</v>
      </c>
      <c r="I6735">
        <v>0.122589939917276</v>
      </c>
      <c r="J6735">
        <v>0.14138790410178401</v>
      </c>
      <c r="K6735">
        <v>0.139002037405378</v>
      </c>
      <c r="L6735">
        <v>1076.9631590382101</v>
      </c>
      <c r="M6735">
        <v>21.531819325342099</v>
      </c>
      <c r="N6735">
        <v>50.711535007466999</v>
      </c>
      <c r="O6735">
        <v>49.5918441691013</v>
      </c>
      <c r="P6735">
        <v>-9.4691901713651105E-2</v>
      </c>
      <c r="Q6735">
        <v>0.12764776721097101</v>
      </c>
      <c r="R6735">
        <v>0.99918380094341597</v>
      </c>
      <c r="S6735" t="s">
        <v>13541</v>
      </c>
      <c r="T6735" t="s">
        <v>13610</v>
      </c>
      <c r="U6735" t="s">
        <v>13610</v>
      </c>
      <c r="V6735" t="s">
        <v>13610</v>
      </c>
      <c r="W6735" t="s">
        <v>20264</v>
      </c>
      <c r="X6735">
        <v>25</v>
      </c>
      <c r="Y6735" t="s">
        <v>26790</v>
      </c>
      <c r="Z6735" t="s">
        <v>33590</v>
      </c>
      <c r="AA6735">
        <v>0.42943989457390253</v>
      </c>
      <c r="AB6735" t="str">
        <f>HYPERLINK("Melting_Curves/meltCurve_Q9Y5P4_2_COL4A3BP.pdf", "Melting_Curves/meltCurve_Q9Y5P4_2_COL4A3BP.pdf")</f>
        <v>Melting_Curves/meltCurve_Q9Y5P4_2_COL4A3BP.pdf</v>
      </c>
    </row>
    <row r="6736" spans="1:28" x14ac:dyDescent="0.25">
      <c r="A6736" t="s">
        <v>6740</v>
      </c>
      <c r="B6736">
        <v>0.995954080203443</v>
      </c>
      <c r="C6736">
        <v>0.89788680025334699</v>
      </c>
      <c r="D6736">
        <v>0.77508911068268205</v>
      </c>
      <c r="E6736">
        <v>0.71479679768145599</v>
      </c>
      <c r="F6736">
        <v>0.34193634243390197</v>
      </c>
      <c r="G6736">
        <v>0.13557232969084901</v>
      </c>
      <c r="H6736">
        <v>8.5428677481684201E-2</v>
      </c>
      <c r="I6736">
        <v>7.6834122918969294E-2</v>
      </c>
      <c r="J6736">
        <v>9.5958526375278894E-2</v>
      </c>
      <c r="K6736">
        <v>8.2011911112129104E-2</v>
      </c>
      <c r="L6736">
        <v>829.59126483054797</v>
      </c>
      <c r="M6736">
        <v>16.276675765139998</v>
      </c>
      <c r="N6736">
        <v>51.265788694601198</v>
      </c>
      <c r="O6736">
        <v>50.2173892784554</v>
      </c>
      <c r="P6736">
        <v>-7.7382554350799604E-2</v>
      </c>
      <c r="Q6736">
        <v>4.5096191793593803E-2</v>
      </c>
      <c r="R6736">
        <v>0.97637335362996203</v>
      </c>
      <c r="S6736" t="s">
        <v>13542</v>
      </c>
      <c r="T6736" t="s">
        <v>13610</v>
      </c>
      <c r="U6736" t="s">
        <v>13610</v>
      </c>
      <c r="V6736" t="s">
        <v>13610</v>
      </c>
      <c r="W6736" t="s">
        <v>20265</v>
      </c>
      <c r="X6736">
        <v>12</v>
      </c>
      <c r="Y6736" t="s">
        <v>26791</v>
      </c>
      <c r="Z6736" t="s">
        <v>33591</v>
      </c>
      <c r="AA6736">
        <v>0.41344378637044132</v>
      </c>
      <c r="AB6736" t="str">
        <f>HYPERLINK("Melting_Curves/meltCurve_Q9Y5P6_GMPPB.pdf", "Melting_Curves/meltCurve_Q9Y5P6_GMPPB.pdf")</f>
        <v>Melting_Curves/meltCurve_Q9Y5P6_GMPPB.pdf</v>
      </c>
    </row>
    <row r="6737" spans="1:28" x14ac:dyDescent="0.25">
      <c r="A6737" t="s">
        <v>6741</v>
      </c>
      <c r="B6737">
        <v>0.995954080203443</v>
      </c>
      <c r="C6737">
        <v>0.68413909665099704</v>
      </c>
      <c r="D6737">
        <v>0.43963424383382299</v>
      </c>
      <c r="E6737">
        <v>0.40110355968288802</v>
      </c>
      <c r="F6737">
        <v>0.28367517849123403</v>
      </c>
      <c r="G6737">
        <v>0.15614986345665499</v>
      </c>
      <c r="H6737">
        <v>9.6391368341068706E-2</v>
      </c>
      <c r="I6737">
        <v>8.20844921164601E-2</v>
      </c>
      <c r="J6737">
        <v>8.0147472611740794E-2</v>
      </c>
      <c r="K6737">
        <v>7.6300284431764703E-2</v>
      </c>
      <c r="L6737">
        <v>542.962997332231</v>
      </c>
      <c r="M6737">
        <v>11.759901837006799</v>
      </c>
      <c r="N6737">
        <v>46.7163499184703</v>
      </c>
      <c r="O6737">
        <v>44.896302960575802</v>
      </c>
      <c r="P6737">
        <v>-6.12976429296513E-2</v>
      </c>
      <c r="Q6737">
        <v>6.4169332631062906E-2</v>
      </c>
      <c r="R6737">
        <v>0.95773512215620404</v>
      </c>
      <c r="S6737" t="s">
        <v>13543</v>
      </c>
      <c r="T6737" t="s">
        <v>13610</v>
      </c>
      <c r="U6737" t="s">
        <v>13610</v>
      </c>
      <c r="V6737" t="s">
        <v>13610</v>
      </c>
      <c r="W6737" t="s">
        <v>20266</v>
      </c>
      <c r="X6737">
        <v>17</v>
      </c>
      <c r="Y6737" t="s">
        <v>26792</v>
      </c>
      <c r="Z6737" t="s">
        <v>33592</v>
      </c>
      <c r="AA6737">
        <v>0.30022225989311108</v>
      </c>
      <c r="AB6737" t="str">
        <f>HYPERLINK("Melting_Curves/meltCurve_Q9Y5Q8_GTF3C5.pdf", "Melting_Curves/meltCurve_Q9Y5Q8_GTF3C5.pdf")</f>
        <v>Melting_Curves/meltCurve_Q9Y5Q8_GTF3C5.pdf</v>
      </c>
    </row>
    <row r="6738" spans="1:28" x14ac:dyDescent="0.25">
      <c r="A6738" t="s">
        <v>6742</v>
      </c>
      <c r="B6738">
        <v>0.995954080203443</v>
      </c>
      <c r="C6738">
        <v>0.62803251422562401</v>
      </c>
      <c r="D6738">
        <v>0.29798214862414202</v>
      </c>
      <c r="E6738">
        <v>0.24635539657038399</v>
      </c>
      <c r="F6738">
        <v>0.144668960184412</v>
      </c>
      <c r="G6738">
        <v>8.5443082780495505E-2</v>
      </c>
      <c r="H6738">
        <v>6.7445493504293602E-2</v>
      </c>
      <c r="I6738">
        <v>7.0287375048615597E-2</v>
      </c>
      <c r="J6738">
        <v>9.2490284272921594E-2</v>
      </c>
      <c r="K6738">
        <v>8.2452619330581595E-2</v>
      </c>
      <c r="L6738">
        <v>1049.9529154052</v>
      </c>
      <c r="M6738">
        <v>23.9642975589726</v>
      </c>
      <c r="N6738">
        <v>44.2247016014039</v>
      </c>
      <c r="O6738">
        <v>43.5115299152557</v>
      </c>
      <c r="P6738">
        <v>-0.123931505373149</v>
      </c>
      <c r="Q6738">
        <v>9.99334769836316E-2</v>
      </c>
      <c r="R6738">
        <v>0.97425384165352202</v>
      </c>
      <c r="S6738" t="s">
        <v>13544</v>
      </c>
      <c r="T6738" t="s">
        <v>13610</v>
      </c>
      <c r="U6738" t="s">
        <v>13610</v>
      </c>
      <c r="V6738" t="s">
        <v>13610</v>
      </c>
      <c r="W6738" t="s">
        <v>20267</v>
      </c>
      <c r="X6738">
        <v>17</v>
      </c>
      <c r="Y6738" t="s">
        <v>26793</v>
      </c>
      <c r="Z6738" t="s">
        <v>33593</v>
      </c>
      <c r="AA6738">
        <v>0.2261618694163251</v>
      </c>
      <c r="AB6738" t="str">
        <f>HYPERLINK("Melting_Curves/meltCurve_Q9Y5Q9_GTF3C3.pdf", "Melting_Curves/meltCurve_Q9Y5Q9_GTF3C3.pdf")</f>
        <v>Melting_Curves/meltCurve_Q9Y5Q9_GTF3C3.pdf</v>
      </c>
    </row>
    <row r="6739" spans="1:28" x14ac:dyDescent="0.25">
      <c r="A6739" t="s">
        <v>6743</v>
      </c>
      <c r="B6739">
        <v>0.995954080203443</v>
      </c>
      <c r="C6739">
        <v>0.82717718652939398</v>
      </c>
      <c r="D6739">
        <v>0.64278074163906895</v>
      </c>
      <c r="E6739">
        <v>0.55359076515512196</v>
      </c>
      <c r="F6739">
        <v>0.35192255719210502</v>
      </c>
      <c r="G6739">
        <v>0.16923613490622499</v>
      </c>
      <c r="H6739">
        <v>9.1292023507598297E-2</v>
      </c>
      <c r="I6739">
        <v>7.9228737246164097E-2</v>
      </c>
      <c r="J6739">
        <v>8.2332925672935597E-2</v>
      </c>
      <c r="K6739">
        <v>7.6474403371378605E-2</v>
      </c>
      <c r="L6739">
        <v>549.12136706227398</v>
      </c>
      <c r="M6739">
        <v>11.0741126177188</v>
      </c>
      <c r="N6739">
        <v>49.713311356055698</v>
      </c>
      <c r="O6739">
        <v>48.051458106910097</v>
      </c>
      <c r="P6739">
        <v>-5.6829376342162403E-2</v>
      </c>
      <c r="Q6739">
        <v>1.3975411096840499E-2</v>
      </c>
      <c r="R6739">
        <v>0.98458950096173803</v>
      </c>
      <c r="S6739" t="s">
        <v>13545</v>
      </c>
      <c r="T6739" t="s">
        <v>13610</v>
      </c>
      <c r="U6739" t="s">
        <v>13610</v>
      </c>
      <c r="V6739" t="s">
        <v>13610</v>
      </c>
      <c r="W6739" t="s">
        <v>20268</v>
      </c>
      <c r="X6739">
        <v>6</v>
      </c>
      <c r="Y6739" t="s">
        <v>21231</v>
      </c>
      <c r="Z6739" t="s">
        <v>33594</v>
      </c>
      <c r="AA6739">
        <v>0.36871227822041408</v>
      </c>
      <c r="AB6739" t="str">
        <f>HYPERLINK("Melting_Curves/meltCurve_Q9Y5R8_TRAPPC1.pdf", "Melting_Curves/meltCurve_Q9Y5R8_TRAPPC1.pdf")</f>
        <v>Melting_Curves/meltCurve_Q9Y5R8_TRAPPC1.pdf</v>
      </c>
    </row>
    <row r="6740" spans="1:28" x14ac:dyDescent="0.25">
      <c r="A6740" t="s">
        <v>6744</v>
      </c>
      <c r="B6740">
        <v>0.995954080203443</v>
      </c>
      <c r="C6740">
        <v>1.0268477071600199</v>
      </c>
      <c r="D6740">
        <v>0.96424997752937103</v>
      </c>
      <c r="E6740">
        <v>1.0298853001317401</v>
      </c>
      <c r="F6740">
        <v>0.79978246877213499</v>
      </c>
      <c r="G6740">
        <v>0.54871707417344895</v>
      </c>
      <c r="H6740">
        <v>0.48399887138972902</v>
      </c>
      <c r="I6740">
        <v>0.54840431085597097</v>
      </c>
      <c r="J6740">
        <v>0.50231088860249395</v>
      </c>
      <c r="K6740">
        <v>0.636134152105859</v>
      </c>
      <c r="L6740">
        <v>13262.9989418566</v>
      </c>
      <c r="M6740">
        <v>250</v>
      </c>
      <c r="O6740">
        <v>53.048600801025302</v>
      </c>
      <c r="P6740">
        <v>-0.53734563494927501</v>
      </c>
      <c r="Q6740">
        <v>0.54391305532621104</v>
      </c>
      <c r="R6740">
        <v>0.96575821368340398</v>
      </c>
      <c r="S6740" t="s">
        <v>13546</v>
      </c>
      <c r="T6740" t="s">
        <v>13610</v>
      </c>
      <c r="U6740" t="s">
        <v>13610</v>
      </c>
      <c r="V6740" t="s">
        <v>13610</v>
      </c>
      <c r="W6740" t="s">
        <v>20269</v>
      </c>
      <c r="X6740">
        <v>6</v>
      </c>
      <c r="Y6740" t="s">
        <v>26794</v>
      </c>
      <c r="Z6740" t="s">
        <v>33595</v>
      </c>
      <c r="AA6740">
        <v>0.7423836818779227</v>
      </c>
      <c r="AB6740" t="str">
        <f>HYPERLINK("Melting_Curves/meltCurve_Q9Y5S1_TRPV2.pdf", "Melting_Curves/meltCurve_Q9Y5S1_TRPV2.pdf")</f>
        <v>Melting_Curves/meltCurve_Q9Y5S1_TRPV2.pdf</v>
      </c>
    </row>
    <row r="6741" spans="1:28" x14ac:dyDescent="0.25">
      <c r="A6741" t="s">
        <v>6745</v>
      </c>
      <c r="B6741">
        <v>0.995954080203443</v>
      </c>
      <c r="C6741">
        <v>0.76653141934578695</v>
      </c>
      <c r="D6741">
        <v>0.66810404189445405</v>
      </c>
      <c r="E6741">
        <v>0.46264882572518301</v>
      </c>
      <c r="F6741">
        <v>0.325135050888471</v>
      </c>
      <c r="G6741">
        <v>0.16529555463391701</v>
      </c>
      <c r="H6741">
        <v>0.10629658482901699</v>
      </c>
      <c r="I6741">
        <v>0.10805983648242699</v>
      </c>
      <c r="J6741">
        <v>0.115886503958574</v>
      </c>
      <c r="K6741">
        <v>0.11572413749208101</v>
      </c>
      <c r="L6741">
        <v>583.46747559907499</v>
      </c>
      <c r="M6741">
        <v>12.0953513940192</v>
      </c>
      <c r="N6741">
        <v>48.848872438601603</v>
      </c>
      <c r="O6741">
        <v>46.977170780529804</v>
      </c>
      <c r="P6741">
        <v>-5.9871340547216698E-2</v>
      </c>
      <c r="Q6741">
        <v>7.0079486849088601E-2</v>
      </c>
      <c r="R6741">
        <v>0.986862867375213</v>
      </c>
      <c r="S6741" t="s">
        <v>13547</v>
      </c>
      <c r="T6741" t="s">
        <v>13610</v>
      </c>
      <c r="U6741" t="s">
        <v>13610</v>
      </c>
      <c r="V6741" t="s">
        <v>13610</v>
      </c>
      <c r="W6741" t="s">
        <v>20270</v>
      </c>
      <c r="X6741">
        <v>19</v>
      </c>
      <c r="Y6741" t="s">
        <v>26795</v>
      </c>
      <c r="Z6741" t="s">
        <v>33596</v>
      </c>
      <c r="AA6741">
        <v>0.3607996308692118</v>
      </c>
      <c r="AB6741" t="str">
        <f>HYPERLINK("Melting_Curves/meltCurve_Q9Y5S2_CDC42BPB.pdf", "Melting_Curves/meltCurve_Q9Y5S2_CDC42BPB.pdf")</f>
        <v>Melting_Curves/meltCurve_Q9Y5S2_CDC42BPB.pdf</v>
      </c>
    </row>
    <row r="6742" spans="1:28" x14ac:dyDescent="0.25">
      <c r="A6742" t="s">
        <v>6746</v>
      </c>
      <c r="B6742">
        <v>0.995954080203443</v>
      </c>
      <c r="C6742">
        <v>1.0475150159650899</v>
      </c>
      <c r="D6742">
        <v>1.1064439376245201</v>
      </c>
      <c r="E6742">
        <v>0.96350121563909197</v>
      </c>
      <c r="F6742">
        <v>0.71063386343623403</v>
      </c>
      <c r="G6742">
        <v>0.40352868381836798</v>
      </c>
      <c r="H6742">
        <v>0.30659286285787901</v>
      </c>
      <c r="I6742">
        <v>0.37588569513401698</v>
      </c>
      <c r="J6742">
        <v>0.47208009940358903</v>
      </c>
      <c r="K6742">
        <v>0.53868015565959004</v>
      </c>
      <c r="L6742">
        <v>3133.56495520101</v>
      </c>
      <c r="M6742">
        <v>59.137913575118297</v>
      </c>
      <c r="N6742">
        <v>54.656768407615097</v>
      </c>
      <c r="O6742">
        <v>52.9269297490738</v>
      </c>
      <c r="P6742">
        <v>-0.16261280837289099</v>
      </c>
      <c r="Q6742">
        <v>0.41786300646253499</v>
      </c>
      <c r="R6742">
        <v>0.94665750805972004</v>
      </c>
      <c r="S6742" t="s">
        <v>13548</v>
      </c>
      <c r="T6742" t="s">
        <v>13610</v>
      </c>
      <c r="U6742" t="s">
        <v>13610</v>
      </c>
      <c r="V6742" t="s">
        <v>13610</v>
      </c>
      <c r="W6742" t="s">
        <v>20271</v>
      </c>
      <c r="X6742">
        <v>6</v>
      </c>
      <c r="Y6742" t="s">
        <v>26796</v>
      </c>
      <c r="Z6742" t="s">
        <v>33597</v>
      </c>
      <c r="AA6742">
        <v>0.67084914690159347</v>
      </c>
      <c r="AB6742" t="str">
        <f>HYPERLINK("Melting_Curves/meltCurve_Q9Y5S9_RBM8A.pdf", "Melting_Curves/meltCurve_Q9Y5S9_RBM8A.pdf")</f>
        <v>Melting_Curves/meltCurve_Q9Y5S9_RBM8A.pdf</v>
      </c>
    </row>
    <row r="6743" spans="1:28" x14ac:dyDescent="0.25">
      <c r="A6743" t="s">
        <v>6747</v>
      </c>
      <c r="B6743">
        <v>0.995954080203443</v>
      </c>
      <c r="C6743">
        <v>0.77342757567272202</v>
      </c>
      <c r="D6743">
        <v>0.74715156936653104</v>
      </c>
      <c r="E6743">
        <v>0.71193729919628201</v>
      </c>
      <c r="F6743">
        <v>0.77391069914145805</v>
      </c>
      <c r="G6743">
        <v>0.81794823679790596</v>
      </c>
      <c r="H6743">
        <v>0.78444675823816101</v>
      </c>
      <c r="I6743">
        <v>0.95022321943257604</v>
      </c>
      <c r="J6743">
        <v>1.08634682329521</v>
      </c>
      <c r="K6743">
        <v>1.0613535834711401</v>
      </c>
      <c r="L6743">
        <v>10141.621282259401</v>
      </c>
      <c r="M6743">
        <v>250</v>
      </c>
      <c r="O6743">
        <v>40.563889140293398</v>
      </c>
      <c r="P6743">
        <v>-0.22140214432098701</v>
      </c>
      <c r="Q6743">
        <v>0.85630508755607104</v>
      </c>
      <c r="R6743">
        <v>0.10064855713198401</v>
      </c>
      <c r="S6743" t="s">
        <v>13549</v>
      </c>
      <c r="T6743" t="s">
        <v>13610</v>
      </c>
      <c r="U6743" t="s">
        <v>13610</v>
      </c>
      <c r="V6743" t="s">
        <v>13610</v>
      </c>
      <c r="W6743" t="s">
        <v>20272</v>
      </c>
      <c r="X6743">
        <v>7</v>
      </c>
      <c r="Y6743" t="s">
        <v>26797</v>
      </c>
      <c r="Z6743" t="s">
        <v>33598</v>
      </c>
      <c r="AA6743">
        <v>0.85905011696086919</v>
      </c>
      <c r="AB6743" t="str">
        <f>HYPERLINK("Melting_Curves/meltCurve_Q9Y5U2_2_TSSC4.pdf", "Melting_Curves/meltCurve_Q9Y5U2_2_TSSC4.pdf")</f>
        <v>Melting_Curves/meltCurve_Q9Y5U2_2_TSSC4.pdf</v>
      </c>
    </row>
    <row r="6744" spans="1:28" x14ac:dyDescent="0.25">
      <c r="A6744" t="s">
        <v>6748</v>
      </c>
      <c r="B6744">
        <v>0.995954080203443</v>
      </c>
      <c r="C6744">
        <v>0.84737351371885505</v>
      </c>
      <c r="D6744">
        <v>0.64214783328787695</v>
      </c>
      <c r="E6744">
        <v>0.41791183883938798</v>
      </c>
      <c r="F6744">
        <v>0.22287306309465499</v>
      </c>
      <c r="G6744">
        <v>0.14055118564931399</v>
      </c>
      <c r="H6744">
        <v>0.11617201554734299</v>
      </c>
      <c r="I6744">
        <v>0.12304341630039101</v>
      </c>
      <c r="J6744">
        <v>0.175751133304723</v>
      </c>
      <c r="K6744">
        <v>0.138731372368154</v>
      </c>
      <c r="L6744">
        <v>795.30945071015196</v>
      </c>
      <c r="M6744">
        <v>16.833612537557801</v>
      </c>
      <c r="N6744">
        <v>48.053317105718698</v>
      </c>
      <c r="O6744">
        <v>46.593679920862002</v>
      </c>
      <c r="P6744">
        <v>-7.9193630337753895E-2</v>
      </c>
      <c r="Q6744">
        <v>0.123257298854362</v>
      </c>
      <c r="R6744">
        <v>0.99141227543620503</v>
      </c>
      <c r="S6744" t="s">
        <v>13550</v>
      </c>
      <c r="T6744" t="s">
        <v>13610</v>
      </c>
      <c r="U6744" t="s">
        <v>13610</v>
      </c>
      <c r="V6744" t="s">
        <v>13610</v>
      </c>
      <c r="W6744" t="s">
        <v>20273</v>
      </c>
      <c r="X6744">
        <v>18</v>
      </c>
      <c r="Y6744" t="s">
        <v>26798</v>
      </c>
      <c r="Z6744" t="s">
        <v>33599</v>
      </c>
      <c r="AA6744">
        <v>0.35345744374751048</v>
      </c>
      <c r="AB6744" t="str">
        <f>HYPERLINK("Melting_Curves/meltCurve_Q9Y5X1_SNX9.pdf", "Melting_Curves/meltCurve_Q9Y5X1_SNX9.pdf")</f>
        <v>Melting_Curves/meltCurve_Q9Y5X1_SNX9.pdf</v>
      </c>
    </row>
    <row r="6745" spans="1:28" x14ac:dyDescent="0.25">
      <c r="A6745" t="s">
        <v>6749</v>
      </c>
      <c r="B6745">
        <v>0.995954080203443</v>
      </c>
      <c r="C6745">
        <v>0.95581432396463994</v>
      </c>
      <c r="D6745">
        <v>0.89829339702946898</v>
      </c>
      <c r="E6745">
        <v>0.85041762465841098</v>
      </c>
      <c r="F6745">
        <v>0.65088651817475696</v>
      </c>
      <c r="G6745">
        <v>0.37483584097113598</v>
      </c>
      <c r="H6745">
        <v>0.137102408732273</v>
      </c>
      <c r="I6745">
        <v>9.0552894206106599E-2</v>
      </c>
      <c r="J6745">
        <v>9.9727625631577804E-2</v>
      </c>
      <c r="K6745">
        <v>7.2975104396483997E-2</v>
      </c>
      <c r="L6745">
        <v>927.906724004068</v>
      </c>
      <c r="M6745">
        <v>16.972915344460699</v>
      </c>
      <c r="N6745">
        <v>54.906016903021403</v>
      </c>
      <c r="O6745">
        <v>53.927867775729602</v>
      </c>
      <c r="P6745">
        <v>-7.5918306694250606E-2</v>
      </c>
      <c r="Q6745">
        <v>3.5202209012974398E-2</v>
      </c>
      <c r="R6745">
        <v>0.99388105266025695</v>
      </c>
      <c r="S6745" t="s">
        <v>13551</v>
      </c>
      <c r="T6745" t="s">
        <v>13610</v>
      </c>
      <c r="U6745" t="s">
        <v>13610</v>
      </c>
      <c r="V6745" t="s">
        <v>13610</v>
      </c>
      <c r="W6745" t="s">
        <v>20274</v>
      </c>
      <c r="X6745">
        <v>13</v>
      </c>
      <c r="Y6745" t="s">
        <v>26799</v>
      </c>
      <c r="Z6745" t="s">
        <v>33600</v>
      </c>
      <c r="AA6745">
        <v>0.52334902788885107</v>
      </c>
      <c r="AB6745" t="str">
        <f>HYPERLINK("Melting_Curves/meltCurve_Q9Y5X2_SNX8.pdf", "Melting_Curves/meltCurve_Q9Y5X2_SNX8.pdf")</f>
        <v>Melting_Curves/meltCurve_Q9Y5X2_SNX8.pdf</v>
      </c>
    </row>
    <row r="6746" spans="1:28" x14ac:dyDescent="0.25">
      <c r="A6746" t="s">
        <v>6750</v>
      </c>
      <c r="B6746">
        <v>0.995954080203443</v>
      </c>
      <c r="C6746">
        <v>0.801266089337759</v>
      </c>
      <c r="D6746">
        <v>0.86549696214661298</v>
      </c>
      <c r="E6746">
        <v>0.61889179967685504</v>
      </c>
      <c r="F6746">
        <v>0.31389740758141899</v>
      </c>
      <c r="G6746">
        <v>0.15341782209537599</v>
      </c>
      <c r="H6746">
        <v>9.65231074109026E-2</v>
      </c>
      <c r="I6746">
        <v>8.9873390988317606E-2</v>
      </c>
      <c r="J6746">
        <v>0.11967540779631899</v>
      </c>
      <c r="K6746">
        <v>0.113772701426296</v>
      </c>
      <c r="L6746">
        <v>850.60478657557906</v>
      </c>
      <c r="M6746">
        <v>16.921908697427099</v>
      </c>
      <c r="N6746">
        <v>50.7596769840913</v>
      </c>
      <c r="O6746">
        <v>49.580235125345297</v>
      </c>
      <c r="P6746">
        <v>-7.88625838951304E-2</v>
      </c>
      <c r="Q6746">
        <v>7.58065183167108E-2</v>
      </c>
      <c r="R6746">
        <v>0.97339533131348299</v>
      </c>
      <c r="S6746" t="s">
        <v>13552</v>
      </c>
      <c r="T6746" t="s">
        <v>13610</v>
      </c>
      <c r="U6746" t="s">
        <v>13610</v>
      </c>
      <c r="V6746" t="s">
        <v>13610</v>
      </c>
      <c r="W6746" t="s">
        <v>20275</v>
      </c>
      <c r="X6746">
        <v>24</v>
      </c>
      <c r="Y6746" t="s">
        <v>26800</v>
      </c>
      <c r="Z6746" t="s">
        <v>33601</v>
      </c>
      <c r="AA6746">
        <v>0.40969359221810581</v>
      </c>
      <c r="AB6746" t="str">
        <f>HYPERLINK("Melting_Curves/meltCurve_Q9Y5X3_SNX5.pdf", "Melting_Curves/meltCurve_Q9Y5X3_SNX5.pdf")</f>
        <v>Melting_Curves/meltCurve_Q9Y5X3_SNX5.pdf</v>
      </c>
    </row>
    <row r="6747" spans="1:28" x14ac:dyDescent="0.25">
      <c r="A6747" t="s">
        <v>6751</v>
      </c>
      <c r="B6747">
        <v>0.995954080203443</v>
      </c>
      <c r="C6747">
        <v>0.96192251853197097</v>
      </c>
      <c r="D6747">
        <v>0.80082282364655999</v>
      </c>
      <c r="E6747">
        <v>0.47435972770755802</v>
      </c>
      <c r="F6747">
        <v>0.19762285967961299</v>
      </c>
      <c r="G6747">
        <v>9.8509375726731699E-2</v>
      </c>
      <c r="H6747">
        <v>7.1291920233152006E-2</v>
      </c>
      <c r="I6747">
        <v>5.6532069784811699E-2</v>
      </c>
      <c r="J6747">
        <v>6.4147730667934999E-2</v>
      </c>
      <c r="K6747">
        <v>4.8058993897304003E-2</v>
      </c>
      <c r="L6747">
        <v>1026.46957848283</v>
      </c>
      <c r="M6747">
        <v>20.860773424143002</v>
      </c>
      <c r="N6747">
        <v>49.453519811027903</v>
      </c>
      <c r="O6747">
        <v>48.760248906148199</v>
      </c>
      <c r="P6747">
        <v>-0.101651115438553</v>
      </c>
      <c r="Q6747">
        <v>4.9623480415566502E-2</v>
      </c>
      <c r="R6747">
        <v>0.99858702370192298</v>
      </c>
      <c r="S6747" t="s">
        <v>13553</v>
      </c>
      <c r="T6747" t="s">
        <v>13610</v>
      </c>
      <c r="U6747" t="s">
        <v>13610</v>
      </c>
      <c r="V6747" t="s">
        <v>13610</v>
      </c>
      <c r="W6747" t="s">
        <v>20276</v>
      </c>
      <c r="X6747">
        <v>9</v>
      </c>
      <c r="Y6747" t="s">
        <v>26801</v>
      </c>
      <c r="Z6747" t="s">
        <v>33602</v>
      </c>
      <c r="AA6747">
        <v>0.35345785434678201</v>
      </c>
      <c r="AB6747" t="str">
        <f>HYPERLINK("Melting_Curves/meltCurve_Q9Y5Y2_NUBP2.pdf", "Melting_Curves/meltCurve_Q9Y5Y2_NUBP2.pdf")</f>
        <v>Melting_Curves/meltCurve_Q9Y5Y2_NUBP2.pdf</v>
      </c>
    </row>
    <row r="6748" spans="1:28" x14ac:dyDescent="0.25">
      <c r="A6748" t="s">
        <v>6752</v>
      </c>
      <c r="B6748">
        <v>0.995954080203443</v>
      </c>
      <c r="C6748">
        <v>0.93129693745198106</v>
      </c>
      <c r="D6748">
        <v>1.0561866573416101</v>
      </c>
      <c r="E6748">
        <v>0.81713297658554795</v>
      </c>
      <c r="F6748">
        <v>0.87916718331740995</v>
      </c>
      <c r="G6748">
        <v>0.509944034281826</v>
      </c>
      <c r="H6748">
        <v>0.41991925285200099</v>
      </c>
      <c r="I6748">
        <v>0.55834776553348997</v>
      </c>
      <c r="J6748">
        <v>0.76755205059732701</v>
      </c>
      <c r="K6748">
        <v>0.72645311956515302</v>
      </c>
      <c r="L6748">
        <v>1650.30499098771</v>
      </c>
      <c r="M6748">
        <v>31.426064596656499</v>
      </c>
      <c r="O6748">
        <v>52.302622016860902</v>
      </c>
      <c r="P6748">
        <v>-6.0130650312271001E-2</v>
      </c>
      <c r="Q6748">
        <v>0.59969868200439802</v>
      </c>
      <c r="R6748">
        <v>0.68821777125518802</v>
      </c>
      <c r="S6748" t="s">
        <v>13554</v>
      </c>
      <c r="T6748" t="s">
        <v>13610</v>
      </c>
      <c r="U6748" t="s">
        <v>13610</v>
      </c>
      <c r="V6748" t="s">
        <v>13610</v>
      </c>
      <c r="W6748" t="s">
        <v>20277</v>
      </c>
      <c r="X6748">
        <v>11</v>
      </c>
      <c r="Y6748" t="s">
        <v>26802</v>
      </c>
      <c r="Z6748" t="s">
        <v>33603</v>
      </c>
      <c r="AA6748">
        <v>0.76902795101357124</v>
      </c>
      <c r="AB6748" t="str">
        <f>HYPERLINK("Melting_Curves/meltCurve_Q9Y5Z4_HEBP2.pdf", "Melting_Curves/meltCurve_Q9Y5Z4_HEBP2.pdf")</f>
        <v>Melting_Curves/meltCurve_Q9Y5Z4_HEBP2.pdf</v>
      </c>
    </row>
    <row r="6749" spans="1:28" x14ac:dyDescent="0.25">
      <c r="A6749" t="s">
        <v>6753</v>
      </c>
      <c r="B6749">
        <v>0.995954080203443</v>
      </c>
      <c r="C6749">
        <v>1.00193030766598</v>
      </c>
      <c r="D6749">
        <v>0.87089968238732796</v>
      </c>
      <c r="E6749">
        <v>0.748007843804956</v>
      </c>
      <c r="F6749">
        <v>0.45558556960212399</v>
      </c>
      <c r="G6749">
        <v>0.314423345251296</v>
      </c>
      <c r="H6749">
        <v>0.24222931285875701</v>
      </c>
      <c r="I6749">
        <v>0.27142295259427601</v>
      </c>
      <c r="J6749">
        <v>0.31621282247646598</v>
      </c>
      <c r="K6749">
        <v>0.26835623644504403</v>
      </c>
      <c r="L6749">
        <v>1155.6488616213501</v>
      </c>
      <c r="M6749">
        <v>22.7163441819377</v>
      </c>
      <c r="N6749">
        <v>52.6219255642172</v>
      </c>
      <c r="O6749">
        <v>50.483692440083601</v>
      </c>
      <c r="P6749">
        <v>-8.2685443573999207E-2</v>
      </c>
      <c r="Q6749">
        <v>0.264990103909025</v>
      </c>
      <c r="R6749">
        <v>0.98789399555572699</v>
      </c>
      <c r="S6749" t="s">
        <v>13555</v>
      </c>
      <c r="T6749" t="s">
        <v>13610</v>
      </c>
      <c r="U6749" t="s">
        <v>13610</v>
      </c>
      <c r="V6749" t="s">
        <v>13610</v>
      </c>
      <c r="W6749" t="s">
        <v>20278</v>
      </c>
      <c r="X6749">
        <v>3</v>
      </c>
      <c r="Y6749" t="s">
        <v>26803</v>
      </c>
      <c r="Z6749" t="s">
        <v>33604</v>
      </c>
      <c r="AA6749">
        <v>0.5393814416082765</v>
      </c>
      <c r="AB6749" t="str">
        <f>HYPERLINK("Melting_Curves/meltCurve_Q9Y605_MRFAP1.pdf", "Melting_Curves/meltCurve_Q9Y605_MRFAP1.pdf")</f>
        <v>Melting_Curves/meltCurve_Q9Y605_MRFAP1.pdf</v>
      </c>
    </row>
    <row r="6750" spans="1:28" x14ac:dyDescent="0.25">
      <c r="A6750" t="s">
        <v>6754</v>
      </c>
      <c r="B6750">
        <v>0.995954080203443</v>
      </c>
      <c r="C6750">
        <v>0.75024970334265295</v>
      </c>
      <c r="D6750">
        <v>0.72651799110913995</v>
      </c>
      <c r="E6750">
        <v>0.795381503159034</v>
      </c>
      <c r="F6750">
        <v>0.76485718002438596</v>
      </c>
      <c r="G6750">
        <v>0.60640615685527899</v>
      </c>
      <c r="H6750">
        <v>0.57659770861410498</v>
      </c>
      <c r="I6750">
        <v>0.71020751497901702</v>
      </c>
      <c r="J6750">
        <v>0.83844087635712194</v>
      </c>
      <c r="K6750">
        <v>0.85709423317720401</v>
      </c>
      <c r="L6750">
        <v>4108.1490865455298</v>
      </c>
      <c r="M6750">
        <v>98.522568620581893</v>
      </c>
      <c r="O6750">
        <v>41.680361988722701</v>
      </c>
      <c r="P6750">
        <v>-0.156931623524102</v>
      </c>
      <c r="Q6750">
        <v>0.73443777568230795</v>
      </c>
      <c r="R6750">
        <v>0.456870935429117</v>
      </c>
      <c r="S6750" t="s">
        <v>13556</v>
      </c>
      <c r="T6750" t="s">
        <v>13610</v>
      </c>
      <c r="U6750" t="s">
        <v>13610</v>
      </c>
      <c r="V6750" t="s">
        <v>13610</v>
      </c>
      <c r="W6750" t="s">
        <v>20279</v>
      </c>
      <c r="X6750">
        <v>20</v>
      </c>
      <c r="Y6750" t="s">
        <v>26804</v>
      </c>
      <c r="Z6750" t="s">
        <v>33605</v>
      </c>
      <c r="AA6750">
        <v>0.74964112701814856</v>
      </c>
      <c r="AB6750" t="str">
        <f>HYPERLINK("Melting_Curves/meltCurve_Q9Y608_4_LRRFIP2.pdf", "Melting_Curves/meltCurve_Q9Y608_4_LRRFIP2.pdf")</f>
        <v>Melting_Curves/meltCurve_Q9Y608_4_LRRFIP2.pdf</v>
      </c>
    </row>
    <row r="6751" spans="1:28" x14ac:dyDescent="0.25">
      <c r="A6751" t="s">
        <v>6755</v>
      </c>
      <c r="B6751">
        <v>0.995954080203443</v>
      </c>
      <c r="C6751">
        <v>0.86177441775383501</v>
      </c>
      <c r="D6751">
        <v>0.52089505615096499</v>
      </c>
      <c r="E6751">
        <v>0.42396932634457701</v>
      </c>
      <c r="F6751">
        <v>0.31970650333128797</v>
      </c>
      <c r="G6751">
        <v>0.23256792911215399</v>
      </c>
      <c r="H6751">
        <v>0.21170212377815301</v>
      </c>
      <c r="I6751">
        <v>0.248388369107997</v>
      </c>
      <c r="J6751">
        <v>0.277637298887216</v>
      </c>
      <c r="K6751">
        <v>0.28412538340736998</v>
      </c>
      <c r="L6751">
        <v>958.71563388008599</v>
      </c>
      <c r="M6751">
        <v>21.1054673338061</v>
      </c>
      <c r="N6751">
        <v>47.058971874983001</v>
      </c>
      <c r="O6751">
        <v>45.0230967516653</v>
      </c>
      <c r="P6751">
        <v>-8.6756940159925799E-2</v>
      </c>
      <c r="Q6751">
        <v>0.259725096816662</v>
      </c>
      <c r="R6751">
        <v>0.97627992991795198</v>
      </c>
      <c r="S6751" t="s">
        <v>13557</v>
      </c>
      <c r="T6751" t="s">
        <v>13610</v>
      </c>
      <c r="U6751" t="s">
        <v>13610</v>
      </c>
      <c r="V6751" t="s">
        <v>13610</v>
      </c>
      <c r="W6751" t="s">
        <v>20280</v>
      </c>
      <c r="X6751">
        <v>28</v>
      </c>
      <c r="Y6751" t="s">
        <v>26805</v>
      </c>
      <c r="Z6751" t="s">
        <v>33606</v>
      </c>
      <c r="AA6751">
        <v>0.40417178247519497</v>
      </c>
      <c r="AB6751" t="str">
        <f>HYPERLINK("Melting_Curves/meltCurve_Q9Y613_FHOD1.pdf", "Melting_Curves/meltCurve_Q9Y613_FHOD1.pdf")</f>
        <v>Melting_Curves/meltCurve_Q9Y613_FHOD1.pdf</v>
      </c>
    </row>
    <row r="6752" spans="1:28" x14ac:dyDescent="0.25">
      <c r="A6752" t="s">
        <v>6756</v>
      </c>
      <c r="B6752">
        <v>0.995954080203443</v>
      </c>
      <c r="C6752">
        <v>1.0805181383553699</v>
      </c>
      <c r="D6752">
        <v>1.07840082451255</v>
      </c>
      <c r="E6752">
        <v>1.00968392640263</v>
      </c>
      <c r="F6752">
        <v>0.89804373089634704</v>
      </c>
      <c r="G6752">
        <v>0.65120813714336401</v>
      </c>
      <c r="H6752">
        <v>0.291102854221783</v>
      </c>
      <c r="I6752">
        <v>0.106548662611143</v>
      </c>
      <c r="J6752">
        <v>7.3064989371263697E-2</v>
      </c>
      <c r="K6752">
        <v>6.91782833876219E-2</v>
      </c>
      <c r="L6752">
        <v>1438.3809361823</v>
      </c>
      <c r="M6752">
        <v>24.6883641371784</v>
      </c>
      <c r="N6752">
        <v>58.4503449688277</v>
      </c>
      <c r="O6752">
        <v>57.883275978322999</v>
      </c>
      <c r="P6752">
        <v>-0.102543774964117</v>
      </c>
      <c r="Q6752">
        <v>3.8334707639827402E-2</v>
      </c>
      <c r="R6752">
        <v>0.99130682752827903</v>
      </c>
      <c r="S6752" t="s">
        <v>13558</v>
      </c>
      <c r="T6752" t="s">
        <v>13610</v>
      </c>
      <c r="U6752" t="s">
        <v>13610</v>
      </c>
      <c r="V6752" t="s">
        <v>13610</v>
      </c>
      <c r="W6752" t="s">
        <v>20281</v>
      </c>
      <c r="X6752">
        <v>22</v>
      </c>
      <c r="Y6752" t="s">
        <v>26806</v>
      </c>
      <c r="Z6752" t="s">
        <v>33607</v>
      </c>
      <c r="AA6752">
        <v>0.6321138024023909</v>
      </c>
      <c r="AB6752" t="str">
        <f>HYPERLINK("Melting_Curves/meltCurve_Q9Y617_PSAT1.pdf", "Melting_Curves/meltCurve_Q9Y617_PSAT1.pdf")</f>
        <v>Melting_Curves/meltCurve_Q9Y617_PSAT1.pdf</v>
      </c>
    </row>
    <row r="6753" spans="1:28" x14ac:dyDescent="0.25">
      <c r="A6753" t="s">
        <v>6757</v>
      </c>
      <c r="B6753">
        <v>0.995954080203443</v>
      </c>
      <c r="C6753">
        <v>1.01448000014311</v>
      </c>
      <c r="D6753">
        <v>0.94574231421259303</v>
      </c>
      <c r="E6753">
        <v>0.88748354427156995</v>
      </c>
      <c r="F6753">
        <v>0.73388429023241497</v>
      </c>
      <c r="G6753">
        <v>0.50855188843145904</v>
      </c>
      <c r="H6753">
        <v>0.31817128118337901</v>
      </c>
      <c r="I6753">
        <v>0.26157176682462202</v>
      </c>
      <c r="J6753">
        <v>0.235355471872564</v>
      </c>
      <c r="K6753">
        <v>0.16720253230896501</v>
      </c>
      <c r="L6753">
        <v>854.44708836658901</v>
      </c>
      <c r="M6753">
        <v>15.3199110376672</v>
      </c>
      <c r="N6753">
        <v>57.114295613605798</v>
      </c>
      <c r="O6753">
        <v>54.849226163820802</v>
      </c>
      <c r="P6753">
        <v>-5.9287194354577501E-2</v>
      </c>
      <c r="Q6753">
        <v>0.15102527677220501</v>
      </c>
      <c r="R6753">
        <v>0.99779506185577105</v>
      </c>
      <c r="S6753" t="s">
        <v>13559</v>
      </c>
      <c r="T6753" t="s">
        <v>13610</v>
      </c>
      <c r="U6753" t="s">
        <v>13610</v>
      </c>
      <c r="V6753" t="s">
        <v>13610</v>
      </c>
      <c r="W6753" t="s">
        <v>20282</v>
      </c>
      <c r="X6753">
        <v>9</v>
      </c>
      <c r="Y6753" t="s">
        <v>26807</v>
      </c>
      <c r="Z6753" t="s">
        <v>33608</v>
      </c>
      <c r="AA6753">
        <v>0.6124944038666843</v>
      </c>
      <c r="AB6753" t="str">
        <f>HYPERLINK("Melting_Curves/meltCurve_Q9Y646_CPQ.pdf", "Melting_Curves/meltCurve_Q9Y646_CPQ.pdf")</f>
        <v>Melting_Curves/meltCurve_Q9Y646_CPQ.pdf</v>
      </c>
    </row>
    <row r="6754" spans="1:28" x14ac:dyDescent="0.25">
      <c r="A6754" t="s">
        <v>6758</v>
      </c>
      <c r="B6754">
        <v>0.995954080203443</v>
      </c>
      <c r="C6754">
        <v>1.01972931079558</v>
      </c>
      <c r="D6754">
        <v>1.0505651629658701</v>
      </c>
      <c r="E6754">
        <v>0.70787802002915101</v>
      </c>
      <c r="F6754">
        <v>0.37543645052830799</v>
      </c>
      <c r="G6754">
        <v>0.191794660228358</v>
      </c>
      <c r="H6754">
        <v>0.13088945337899699</v>
      </c>
      <c r="I6754">
        <v>0.13653343217879799</v>
      </c>
      <c r="J6754">
        <v>0.151218467980194</v>
      </c>
      <c r="K6754">
        <v>0.15811855270980801</v>
      </c>
      <c r="L6754">
        <v>1634.5434366157899</v>
      </c>
      <c r="M6754">
        <v>31.923505993517299</v>
      </c>
      <c r="N6754">
        <v>51.765385539799702</v>
      </c>
      <c r="O6754">
        <v>51.002216707450202</v>
      </c>
      <c r="P6754">
        <v>-0.133513263906643</v>
      </c>
      <c r="Q6754">
        <v>0.14678073647259099</v>
      </c>
      <c r="R6754">
        <v>0.99504419072231298</v>
      </c>
      <c r="S6754" t="s">
        <v>13560</v>
      </c>
      <c r="T6754" t="s">
        <v>13610</v>
      </c>
      <c r="U6754" t="s">
        <v>13610</v>
      </c>
      <c r="V6754" t="s">
        <v>13610</v>
      </c>
      <c r="W6754" t="s">
        <v>20283</v>
      </c>
      <c r="X6754">
        <v>7</v>
      </c>
      <c r="Y6754" t="s">
        <v>26808</v>
      </c>
      <c r="Z6754" t="s">
        <v>33609</v>
      </c>
      <c r="AA6754">
        <v>0.47012180200173931</v>
      </c>
      <c r="AB6754" t="str">
        <f>HYPERLINK("Melting_Curves/meltCurve_Q9Y657_SPIN1.pdf", "Melting_Curves/meltCurve_Q9Y657_SPIN1.pdf")</f>
        <v>Melting_Curves/meltCurve_Q9Y657_SPIN1.pdf</v>
      </c>
    </row>
    <row r="6755" spans="1:28" x14ac:dyDescent="0.25">
      <c r="A6755" t="s">
        <v>6759</v>
      </c>
      <c r="B6755">
        <v>0.995954080203443</v>
      </c>
      <c r="C6755">
        <v>1.20107534853593</v>
      </c>
      <c r="D6755">
        <v>1.5524932942442899</v>
      </c>
      <c r="E6755">
        <v>1.1824722192351</v>
      </c>
      <c r="F6755">
        <v>1.2577660295598501</v>
      </c>
      <c r="G6755">
        <v>1.1306198708719899</v>
      </c>
      <c r="H6755">
        <v>1.1640449671454101</v>
      </c>
      <c r="I6755">
        <v>1.4841943779701501</v>
      </c>
      <c r="J6755">
        <v>1.28168300496987</v>
      </c>
      <c r="K6755">
        <v>1.7838414777303999</v>
      </c>
      <c r="L6755">
        <v>10713.4357789107</v>
      </c>
      <c r="M6755">
        <v>250</v>
      </c>
      <c r="O6755">
        <v>42.8509880026103</v>
      </c>
      <c r="P6755">
        <v>0.51725659279331904</v>
      </c>
      <c r="Q6755">
        <v>1.3546394024933099</v>
      </c>
      <c r="R6755">
        <v>0.25348149001945403</v>
      </c>
      <c r="S6755" t="s">
        <v>13561</v>
      </c>
      <c r="T6755" t="s">
        <v>13610</v>
      </c>
      <c r="U6755" t="s">
        <v>13610</v>
      </c>
      <c r="V6755" t="s">
        <v>13610</v>
      </c>
      <c r="W6755" t="s">
        <v>20284</v>
      </c>
      <c r="X6755">
        <v>1</v>
      </c>
      <c r="Y6755" t="s">
        <v>26809</v>
      </c>
      <c r="Z6755" t="s">
        <v>33610</v>
      </c>
      <c r="AA6755">
        <v>1.320877739084984</v>
      </c>
      <c r="AB6755" t="str">
        <f>HYPERLINK("Melting_Curves/meltCurve_Q9Y666_2_SLC12A7.pdf", "Melting_Curves/meltCurve_Q9Y666_2_SLC12A7.pdf")</f>
        <v>Melting_Curves/meltCurve_Q9Y666_2_SLC12A7.pdf</v>
      </c>
    </row>
    <row r="6756" spans="1:28" x14ac:dyDescent="0.25">
      <c r="A6756" t="s">
        <v>6760</v>
      </c>
      <c r="B6756">
        <v>0.995954080203443</v>
      </c>
      <c r="C6756">
        <v>0.79268309265393599</v>
      </c>
      <c r="D6756">
        <v>0.65585425984697199</v>
      </c>
      <c r="E6756">
        <v>0.63659076281466798</v>
      </c>
      <c r="F6756">
        <v>0.27913960472299798</v>
      </c>
      <c r="G6756">
        <v>0.13591999589812601</v>
      </c>
      <c r="H6756">
        <v>7.2569698759438306E-2</v>
      </c>
      <c r="I6756">
        <v>5.6332801404793603E-2</v>
      </c>
      <c r="J6756">
        <v>6.1249471355054499E-2</v>
      </c>
      <c r="K6756">
        <v>5.5929690725293003E-2</v>
      </c>
      <c r="L6756">
        <v>578.925685351791</v>
      </c>
      <c r="M6756">
        <v>11.646685329355201</v>
      </c>
      <c r="N6756">
        <v>49.707334652159702</v>
      </c>
      <c r="O6756">
        <v>48.309727978675703</v>
      </c>
      <c r="P6756">
        <v>-6.02872254822494E-2</v>
      </c>
      <c r="Q6756">
        <v>0</v>
      </c>
      <c r="R6756">
        <v>0.96422893125743803</v>
      </c>
      <c r="S6756" t="s">
        <v>13562</v>
      </c>
      <c r="T6756" t="s">
        <v>13610</v>
      </c>
      <c r="U6756" t="s">
        <v>13610</v>
      </c>
      <c r="V6756" t="s">
        <v>13610</v>
      </c>
      <c r="W6756" t="s">
        <v>20285</v>
      </c>
      <c r="X6756">
        <v>51</v>
      </c>
      <c r="Y6756" t="s">
        <v>26810</v>
      </c>
      <c r="Z6756" t="s">
        <v>33611</v>
      </c>
      <c r="AA6756">
        <v>0.36049971666794711</v>
      </c>
      <c r="AB6756" t="str">
        <f>HYPERLINK("Melting_Curves/meltCurve_Q9Y678_COPG1.pdf", "Melting_Curves/meltCurve_Q9Y678_COPG1.pdf")</f>
        <v>Melting_Curves/meltCurve_Q9Y678_COPG1.pdf</v>
      </c>
    </row>
    <row r="6757" spans="1:28" x14ac:dyDescent="0.25">
      <c r="A6757" t="s">
        <v>6761</v>
      </c>
      <c r="B6757">
        <v>0.995954080203443</v>
      </c>
      <c r="C6757">
        <v>0.95237539249747505</v>
      </c>
      <c r="D6757">
        <v>0.75732578506520198</v>
      </c>
      <c r="E6757">
        <v>0.76794367025162102</v>
      </c>
      <c r="F6757">
        <v>0.43123695603123802</v>
      </c>
      <c r="G6757">
        <v>0.29669748399395202</v>
      </c>
      <c r="H6757">
        <v>0.22714439164615599</v>
      </c>
      <c r="I6757">
        <v>0.26894259513700502</v>
      </c>
      <c r="J6757">
        <v>0.28216430411883497</v>
      </c>
      <c r="K6757">
        <v>0.28961745823357898</v>
      </c>
      <c r="L6757">
        <v>808.04117817319798</v>
      </c>
      <c r="M6757">
        <v>16.046788973723501</v>
      </c>
      <c r="N6757">
        <v>52.472837163452397</v>
      </c>
      <c r="O6757">
        <v>49.592765316804602</v>
      </c>
      <c r="P6757">
        <v>-6.1617604793996403E-2</v>
      </c>
      <c r="Q6757">
        <v>0.23833971182192501</v>
      </c>
      <c r="R6757">
        <v>0.95635806006134805</v>
      </c>
      <c r="S6757" t="s">
        <v>13563</v>
      </c>
      <c r="T6757" t="s">
        <v>13610</v>
      </c>
      <c r="U6757" t="s">
        <v>13610</v>
      </c>
      <c r="V6757" t="s">
        <v>13610</v>
      </c>
      <c r="W6757" t="s">
        <v>20286</v>
      </c>
      <c r="X6757">
        <v>5</v>
      </c>
      <c r="Y6757" t="s">
        <v>26811</v>
      </c>
      <c r="Z6757" t="s">
        <v>33612</v>
      </c>
      <c r="AA6757">
        <v>0.51719739546063503</v>
      </c>
      <c r="AB6757" t="str">
        <f>HYPERLINK("Melting_Curves/meltCurve_Q9Y679_AUP1.pdf", "Melting_Curves/meltCurve_Q9Y679_AUP1.pdf")</f>
        <v>Melting_Curves/meltCurve_Q9Y679_AUP1.pdf</v>
      </c>
    </row>
    <row r="6758" spans="1:28" x14ac:dyDescent="0.25">
      <c r="A6758" t="s">
        <v>6762</v>
      </c>
      <c r="B6758">
        <v>0.995954080203443</v>
      </c>
      <c r="C6758">
        <v>0.98516323254266702</v>
      </c>
      <c r="D6758">
        <v>0.86662873415887398</v>
      </c>
      <c r="E6758">
        <v>0.80035860487002597</v>
      </c>
      <c r="F6758">
        <v>0.62558952681900104</v>
      </c>
      <c r="G6758">
        <v>0.43486446200906897</v>
      </c>
      <c r="H6758">
        <v>0.349089187178592</v>
      </c>
      <c r="I6758">
        <v>0.33479510197940199</v>
      </c>
      <c r="J6758">
        <v>0.33015643436237702</v>
      </c>
      <c r="K6758">
        <v>0.271595831977124</v>
      </c>
      <c r="L6758">
        <v>742.60027314119895</v>
      </c>
      <c r="M6758">
        <v>14.0876326169961</v>
      </c>
      <c r="N6758">
        <v>55.747755547122502</v>
      </c>
      <c r="O6758">
        <v>51.6848525097977</v>
      </c>
      <c r="P6758">
        <v>-4.9901535106074403E-2</v>
      </c>
      <c r="Q6758">
        <v>0.26777748701617499</v>
      </c>
      <c r="R6758">
        <v>0.99251394468677701</v>
      </c>
      <c r="S6758" t="s">
        <v>13564</v>
      </c>
      <c r="T6758" t="s">
        <v>13610</v>
      </c>
      <c r="U6758" t="s">
        <v>13610</v>
      </c>
      <c r="V6758" t="s">
        <v>13610</v>
      </c>
      <c r="W6758" t="s">
        <v>20287</v>
      </c>
      <c r="X6758">
        <v>7</v>
      </c>
      <c r="Y6758" t="s">
        <v>26812</v>
      </c>
      <c r="Z6758" t="s">
        <v>33613</v>
      </c>
      <c r="AA6758">
        <v>0.59546880870566321</v>
      </c>
      <c r="AB6758" t="str">
        <f>HYPERLINK("Melting_Curves/meltCurve_Q9Y680_3_FKBP7.pdf", "Melting_Curves/meltCurve_Q9Y680_3_FKBP7.pdf")</f>
        <v>Melting_Curves/meltCurve_Q9Y680_3_FKBP7.pdf</v>
      </c>
    </row>
    <row r="6759" spans="1:28" x14ac:dyDescent="0.25">
      <c r="A6759" t="s">
        <v>6763</v>
      </c>
      <c r="B6759">
        <v>0.995954080203443</v>
      </c>
      <c r="C6759">
        <v>0.99837374902509102</v>
      </c>
      <c r="D6759">
        <v>0.91678286479177595</v>
      </c>
      <c r="E6759">
        <v>0.821566707926907</v>
      </c>
      <c r="F6759">
        <v>0.66683922896880599</v>
      </c>
      <c r="G6759">
        <v>0.43284754068923298</v>
      </c>
      <c r="H6759">
        <v>0.31748229830895403</v>
      </c>
      <c r="I6759">
        <v>0.275087025163535</v>
      </c>
      <c r="J6759">
        <v>0.305249584488055</v>
      </c>
      <c r="K6759">
        <v>0.22824724418873199</v>
      </c>
      <c r="L6759">
        <v>863.00898729712401</v>
      </c>
      <c r="M6759">
        <v>16.102081123071201</v>
      </c>
      <c r="N6759">
        <v>55.763995559161998</v>
      </c>
      <c r="O6759">
        <v>52.7899092556138</v>
      </c>
      <c r="P6759">
        <v>-5.8520449428405001E-2</v>
      </c>
      <c r="Q6759">
        <v>0.23263262002972501</v>
      </c>
      <c r="R6759">
        <v>0.99538589416904899</v>
      </c>
      <c r="S6759" t="s">
        <v>13565</v>
      </c>
      <c r="T6759" t="s">
        <v>13610</v>
      </c>
      <c r="U6759" t="s">
        <v>13610</v>
      </c>
      <c r="V6759" t="s">
        <v>13610</v>
      </c>
      <c r="W6759" t="s">
        <v>20288</v>
      </c>
      <c r="X6759">
        <v>8</v>
      </c>
      <c r="Y6759" t="s">
        <v>26813</v>
      </c>
      <c r="Z6759" t="s">
        <v>33614</v>
      </c>
      <c r="AA6759">
        <v>0.59501287234288469</v>
      </c>
      <c r="AB6759" t="str">
        <f>HYPERLINK("Melting_Curves/meltCurve_Q9Y692_2_GMEB1.pdf", "Melting_Curves/meltCurve_Q9Y692_2_GMEB1.pdf")</f>
        <v>Melting_Curves/meltCurve_Q9Y692_2_GMEB1.pdf</v>
      </c>
    </row>
    <row r="6760" spans="1:28" x14ac:dyDescent="0.25">
      <c r="A6760" t="s">
        <v>6764</v>
      </c>
      <c r="B6760">
        <v>0.995954080203443</v>
      </c>
      <c r="C6760">
        <v>1.02882537072156</v>
      </c>
      <c r="D6760">
        <v>1.02600412662272</v>
      </c>
      <c r="E6760">
        <v>0.84981711350210298</v>
      </c>
      <c r="F6760">
        <v>0.568959565955099</v>
      </c>
      <c r="G6760">
        <v>0.13748331036154299</v>
      </c>
      <c r="H6760">
        <v>7.6414283622096804E-2</v>
      </c>
      <c r="I6760">
        <v>6.54939394536697E-2</v>
      </c>
      <c r="J6760">
        <v>7.6025601347114002E-2</v>
      </c>
      <c r="K6760">
        <v>6.7929745653280901E-2</v>
      </c>
      <c r="L6760">
        <v>1652.88384597308</v>
      </c>
      <c r="M6760">
        <v>31.120456588082</v>
      </c>
      <c r="N6760">
        <v>53.339116539755402</v>
      </c>
      <c r="O6760">
        <v>52.894572862338798</v>
      </c>
      <c r="P6760">
        <v>-0.137977798287262</v>
      </c>
      <c r="Q6760">
        <v>6.1936911542283098E-2</v>
      </c>
      <c r="R6760">
        <v>0.99757728439856896</v>
      </c>
      <c r="S6760" t="s">
        <v>13566</v>
      </c>
      <c r="T6760" t="s">
        <v>13610</v>
      </c>
      <c r="U6760" t="s">
        <v>13610</v>
      </c>
      <c r="V6760" t="s">
        <v>13610</v>
      </c>
      <c r="W6760" t="s">
        <v>20289</v>
      </c>
      <c r="X6760">
        <v>17</v>
      </c>
      <c r="Y6760" t="s">
        <v>26814</v>
      </c>
      <c r="Z6760" t="s">
        <v>33615</v>
      </c>
      <c r="AA6760">
        <v>0.47761722335156698</v>
      </c>
      <c r="AB6760" t="str">
        <f>HYPERLINK("Melting_Curves/meltCurve_Q9Y696_CLIC4.pdf", "Melting_Curves/meltCurve_Q9Y696_CLIC4.pdf")</f>
        <v>Melting_Curves/meltCurve_Q9Y696_CLIC4.pdf</v>
      </c>
    </row>
    <row r="6761" spans="1:28" x14ac:dyDescent="0.25">
      <c r="A6761" t="s">
        <v>6765</v>
      </c>
      <c r="B6761">
        <v>0.995954080203443</v>
      </c>
      <c r="C6761">
        <v>0.82762927099885197</v>
      </c>
      <c r="D6761">
        <v>0.57105742197863096</v>
      </c>
      <c r="E6761">
        <v>0.463653037869175</v>
      </c>
      <c r="F6761">
        <v>0.24391490313133399</v>
      </c>
      <c r="G6761">
        <v>0.15117862889046099</v>
      </c>
      <c r="H6761">
        <v>9.51745549016276E-2</v>
      </c>
      <c r="I6761">
        <v>8.6598477987663E-2</v>
      </c>
      <c r="J6761">
        <v>8.8035263027412297E-2</v>
      </c>
      <c r="K6761">
        <v>7.6818151768294193E-2</v>
      </c>
      <c r="L6761">
        <v>626.62246003317</v>
      </c>
      <c r="M6761">
        <v>13.1268759307405</v>
      </c>
      <c r="N6761">
        <v>48.190936112724401</v>
      </c>
      <c r="O6761">
        <v>46.668781034193103</v>
      </c>
      <c r="P6761">
        <v>-6.6231346626454496E-2</v>
      </c>
      <c r="Q6761">
        <v>5.8295207649250697E-2</v>
      </c>
      <c r="R6761">
        <v>0.98548027503244895</v>
      </c>
      <c r="S6761" t="s">
        <v>13567</v>
      </c>
      <c r="T6761" t="s">
        <v>13610</v>
      </c>
      <c r="U6761" t="s">
        <v>13610</v>
      </c>
      <c r="V6761" t="s">
        <v>13610</v>
      </c>
      <c r="W6761" t="s">
        <v>20290</v>
      </c>
      <c r="X6761">
        <v>7</v>
      </c>
      <c r="Y6761" t="s">
        <v>26815</v>
      </c>
      <c r="Z6761" t="s">
        <v>33616</v>
      </c>
      <c r="AA6761">
        <v>0.33294088493841129</v>
      </c>
      <c r="AB6761" t="str">
        <f>HYPERLINK("Melting_Curves/meltCurve_Q9Y697_2_NFS1.pdf", "Melting_Curves/meltCurve_Q9Y697_2_NFS1.pdf")</f>
        <v>Melting_Curves/meltCurve_Q9Y697_2_NFS1.pdf</v>
      </c>
    </row>
    <row r="6762" spans="1:28" x14ac:dyDescent="0.25">
      <c r="A6762" t="s">
        <v>6766</v>
      </c>
      <c r="B6762">
        <v>0.995954080203443</v>
      </c>
      <c r="C6762">
        <v>1.01699304119622</v>
      </c>
      <c r="D6762">
        <v>0.953926684810667</v>
      </c>
      <c r="E6762">
        <v>0.84784666456153501</v>
      </c>
      <c r="F6762">
        <v>0.706660558694302</v>
      </c>
      <c r="G6762">
        <v>0.37361363567144901</v>
      </c>
      <c r="H6762">
        <v>0.14223553952842799</v>
      </c>
      <c r="I6762">
        <v>0.10132724674248</v>
      </c>
      <c r="J6762">
        <v>0.103984864405225</v>
      </c>
      <c r="K6762">
        <v>0.12040990721334199</v>
      </c>
      <c r="L6762">
        <v>1110.85116530091</v>
      </c>
      <c r="M6762">
        <v>20.3055545983458</v>
      </c>
      <c r="N6762">
        <v>55.156937479055301</v>
      </c>
      <c r="O6762">
        <v>54.184460843700897</v>
      </c>
      <c r="P6762">
        <v>-8.6535778399795205E-2</v>
      </c>
      <c r="Q6762">
        <v>7.6360963152144204E-2</v>
      </c>
      <c r="R6762">
        <v>0.99607023258535998</v>
      </c>
      <c r="S6762" t="s">
        <v>13568</v>
      </c>
      <c r="T6762" t="s">
        <v>13610</v>
      </c>
      <c r="U6762" t="s">
        <v>13610</v>
      </c>
      <c r="V6762" t="s">
        <v>13610</v>
      </c>
      <c r="W6762" t="s">
        <v>20291</v>
      </c>
      <c r="X6762">
        <v>10</v>
      </c>
      <c r="Y6762" t="s">
        <v>26816</v>
      </c>
      <c r="Z6762" t="s">
        <v>33617</v>
      </c>
      <c r="AA6762">
        <v>0.54125207365084449</v>
      </c>
      <c r="AB6762" t="str">
        <f>HYPERLINK("Melting_Curves/meltCurve_Q9Y6A4_C16orf80.pdf", "Melting_Curves/meltCurve_Q9Y6A4_C16orf80.pdf")</f>
        <v>Melting_Curves/meltCurve_Q9Y6A4_C16orf80.pdf</v>
      </c>
    </row>
    <row r="6763" spans="1:28" x14ac:dyDescent="0.25">
      <c r="A6763" t="s">
        <v>6767</v>
      </c>
      <c r="B6763">
        <v>0.995954080203443</v>
      </c>
      <c r="C6763">
        <v>0.96464444552148998</v>
      </c>
      <c r="D6763">
        <v>0.99321472127073396</v>
      </c>
      <c r="E6763">
        <v>0.91523395635650195</v>
      </c>
      <c r="F6763">
        <v>0.88062479738402699</v>
      </c>
      <c r="G6763">
        <v>0.68436308514982003</v>
      </c>
      <c r="H6763">
        <v>0.65525971595108301</v>
      </c>
      <c r="I6763">
        <v>0.80545942474921395</v>
      </c>
      <c r="J6763">
        <v>0.89232541748879701</v>
      </c>
      <c r="K6763">
        <v>0.94290782987268196</v>
      </c>
      <c r="L6763">
        <v>1807.7510753894201</v>
      </c>
      <c r="M6763">
        <v>35.5420462840613</v>
      </c>
      <c r="O6763">
        <v>50.702123096285298</v>
      </c>
      <c r="P6763">
        <v>-3.48339344497283E-2</v>
      </c>
      <c r="Q6763">
        <v>0.80123279614124199</v>
      </c>
      <c r="R6763">
        <v>0.48973963852386299</v>
      </c>
      <c r="S6763" t="s">
        <v>13569</v>
      </c>
      <c r="T6763" t="s">
        <v>13610</v>
      </c>
      <c r="U6763" t="s">
        <v>13610</v>
      </c>
      <c r="V6763" t="s">
        <v>13610</v>
      </c>
      <c r="W6763" t="s">
        <v>20292</v>
      </c>
      <c r="X6763">
        <v>38</v>
      </c>
      <c r="Y6763" t="s">
        <v>26817</v>
      </c>
      <c r="Z6763" t="s">
        <v>33618</v>
      </c>
      <c r="AA6763">
        <v>0.87408858829330527</v>
      </c>
      <c r="AB6763" t="str">
        <f>HYPERLINK("Melting_Curves/meltCurve_Q9Y6A5_TACC3.pdf", "Melting_Curves/meltCurve_Q9Y6A5_TACC3.pdf")</f>
        <v>Melting_Curves/meltCurve_Q9Y6A5_TACC3.pdf</v>
      </c>
    </row>
    <row r="6764" spans="1:28" x14ac:dyDescent="0.25">
      <c r="A6764" t="s">
        <v>6768</v>
      </c>
      <c r="B6764">
        <v>0.995954080203443</v>
      </c>
      <c r="C6764">
        <v>1.11902698133499</v>
      </c>
      <c r="D6764">
        <v>1.0857237428989199</v>
      </c>
      <c r="E6764">
        <v>0.97934744014600905</v>
      </c>
      <c r="F6764">
        <v>0.55630536341342396</v>
      </c>
      <c r="G6764">
        <v>0.178128978493413</v>
      </c>
      <c r="H6764">
        <v>0.113018166162301</v>
      </c>
      <c r="I6764">
        <v>9.5381745054123598E-2</v>
      </c>
      <c r="J6764">
        <v>0.11498012792258799</v>
      </c>
      <c r="K6764">
        <v>9.4809106360353598E-2</v>
      </c>
      <c r="L6764">
        <v>2529.5683774980898</v>
      </c>
      <c r="M6764">
        <v>47.6806021579687</v>
      </c>
      <c r="N6764">
        <v>53.334870224112002</v>
      </c>
      <c r="O6764">
        <v>52.959288643013601</v>
      </c>
      <c r="P6764">
        <v>-0.19996410483480501</v>
      </c>
      <c r="Q6764">
        <v>0.111592954080488</v>
      </c>
      <c r="R6764">
        <v>0.98743958412085497</v>
      </c>
      <c r="S6764" t="s">
        <v>13570</v>
      </c>
      <c r="T6764" t="s">
        <v>13610</v>
      </c>
      <c r="U6764" t="s">
        <v>13610</v>
      </c>
      <c r="V6764" t="s">
        <v>13610</v>
      </c>
      <c r="W6764" t="s">
        <v>20293</v>
      </c>
      <c r="X6764">
        <v>6</v>
      </c>
      <c r="Y6764" t="s">
        <v>26818</v>
      </c>
      <c r="Z6764" t="s">
        <v>33619</v>
      </c>
      <c r="AA6764">
        <v>0.50040675135814461</v>
      </c>
      <c r="AB6764" t="str">
        <f>HYPERLINK("Melting_Curves/meltCurve_Q9Y6B6_SAR1B.pdf", "Melting_Curves/meltCurve_Q9Y6B6_SAR1B.pdf")</f>
        <v>Melting_Curves/meltCurve_Q9Y6B6_SAR1B.pdf</v>
      </c>
    </row>
    <row r="6765" spans="1:28" x14ac:dyDescent="0.25">
      <c r="A6765" t="s">
        <v>6769</v>
      </c>
      <c r="B6765">
        <v>0.995954080203443</v>
      </c>
      <c r="C6765">
        <v>0.91686168030650195</v>
      </c>
      <c r="D6765">
        <v>0.77899889057782201</v>
      </c>
      <c r="E6765">
        <v>0.53912138923790098</v>
      </c>
      <c r="F6765">
        <v>0.293296829735401</v>
      </c>
      <c r="G6765">
        <v>0.18064053946245501</v>
      </c>
      <c r="H6765">
        <v>0.12589834267229</v>
      </c>
      <c r="I6765">
        <v>0.112240085368874</v>
      </c>
      <c r="J6765">
        <v>0.11416122898508101</v>
      </c>
      <c r="K6765">
        <v>0.111526800915106</v>
      </c>
      <c r="L6765">
        <v>814.29396267249399</v>
      </c>
      <c r="M6765">
        <v>16.477478160386301</v>
      </c>
      <c r="N6765">
        <v>50.055050643843401</v>
      </c>
      <c r="O6765">
        <v>48.707927090059499</v>
      </c>
      <c r="P6765">
        <v>-7.6585313039211997E-2</v>
      </c>
      <c r="Q6765">
        <v>9.45092066519896E-2</v>
      </c>
      <c r="R6765">
        <v>0.99763722098734997</v>
      </c>
      <c r="S6765" t="s">
        <v>13571</v>
      </c>
      <c r="T6765" t="s">
        <v>13610</v>
      </c>
      <c r="U6765" t="s">
        <v>13610</v>
      </c>
      <c r="V6765" t="s">
        <v>13610</v>
      </c>
      <c r="W6765" t="s">
        <v>20294</v>
      </c>
      <c r="X6765">
        <v>8</v>
      </c>
      <c r="Y6765" t="s">
        <v>26819</v>
      </c>
      <c r="Z6765" t="s">
        <v>33620</v>
      </c>
      <c r="AA6765">
        <v>0.39725764717523149</v>
      </c>
      <c r="AB6765" t="str">
        <f>HYPERLINK("Melting_Curves/meltCurve_Q9Y6B7_AP4B1.pdf", "Melting_Curves/meltCurve_Q9Y6B7_AP4B1.pdf")</f>
        <v>Melting_Curves/meltCurve_Q9Y6B7_AP4B1.pdf</v>
      </c>
    </row>
    <row r="6766" spans="1:28" x14ac:dyDescent="0.25">
      <c r="A6766" t="s">
        <v>6770</v>
      </c>
      <c r="B6766">
        <v>0.995954080203443</v>
      </c>
      <c r="C6766">
        <v>0.87114734537293903</v>
      </c>
      <c r="D6766">
        <v>1.1820708332290999</v>
      </c>
      <c r="E6766">
        <v>0.73894477097776401</v>
      </c>
      <c r="F6766">
        <v>1.04077703640388</v>
      </c>
      <c r="G6766">
        <v>0.83093533808337805</v>
      </c>
      <c r="H6766">
        <v>0.77195022830623505</v>
      </c>
      <c r="I6766">
        <v>0.89862517262429897</v>
      </c>
      <c r="J6766">
        <v>0.88141241305673801</v>
      </c>
      <c r="K6766">
        <v>1.21652535100641</v>
      </c>
      <c r="L6766">
        <v>15000</v>
      </c>
      <c r="M6766">
        <v>214.016094634513</v>
      </c>
      <c r="Q6766">
        <v>1.5</v>
      </c>
      <c r="R6766">
        <v>5.9476060308071801E-2</v>
      </c>
      <c r="S6766" t="s">
        <v>13572</v>
      </c>
      <c r="T6766" t="s">
        <v>13610</v>
      </c>
      <c r="U6766" t="s">
        <v>13610</v>
      </c>
      <c r="V6766" t="s">
        <v>13610</v>
      </c>
      <c r="W6766" t="s">
        <v>20295</v>
      </c>
      <c r="X6766">
        <v>2</v>
      </c>
      <c r="Y6766" t="s">
        <v>26820</v>
      </c>
      <c r="Z6766" t="s">
        <v>33621</v>
      </c>
      <c r="AA6766">
        <v>1.003056472321789</v>
      </c>
      <c r="AB6766" t="str">
        <f>HYPERLINK("Melting_Curves/meltCurve_Q9Y6C2_EMILIN1.pdf", "Melting_Curves/meltCurve_Q9Y6C2_EMILIN1.pdf")</f>
        <v>Melting_Curves/meltCurve_Q9Y6C2_EMILIN1.pdf</v>
      </c>
    </row>
    <row r="6767" spans="1:28" x14ac:dyDescent="0.25">
      <c r="A6767" t="s">
        <v>6771</v>
      </c>
      <c r="B6767">
        <v>0.995954080203443</v>
      </c>
      <c r="C6767">
        <v>0.80336634085116199</v>
      </c>
      <c r="D6767">
        <v>0.65180372756210203</v>
      </c>
      <c r="E6767">
        <v>0.79281084344691599</v>
      </c>
      <c r="F6767">
        <v>0.30263482118035401</v>
      </c>
      <c r="G6767">
        <v>0.13598355509584201</v>
      </c>
      <c r="H6767">
        <v>0.11701579317645</v>
      </c>
      <c r="I6767">
        <v>0.13210439028589999</v>
      </c>
      <c r="J6767">
        <v>0.18476606455116801</v>
      </c>
      <c r="K6767">
        <v>0.11542283380936</v>
      </c>
      <c r="L6767">
        <v>596.74219483752597</v>
      </c>
      <c r="M6767">
        <v>11.9068004589179</v>
      </c>
      <c r="N6767">
        <v>50.702740611037797</v>
      </c>
      <c r="O6767">
        <v>48.766817751598303</v>
      </c>
      <c r="P6767">
        <v>-5.71362829010321E-2</v>
      </c>
      <c r="Q6767">
        <v>6.4177750469526104E-2</v>
      </c>
      <c r="R6767">
        <v>0.89692197032491605</v>
      </c>
      <c r="S6767" t="s">
        <v>13573</v>
      </c>
      <c r="T6767" t="s">
        <v>13610</v>
      </c>
      <c r="U6767" t="s">
        <v>13610</v>
      </c>
      <c r="V6767" t="s">
        <v>13610</v>
      </c>
      <c r="W6767" t="s">
        <v>20296</v>
      </c>
      <c r="X6767">
        <v>1</v>
      </c>
      <c r="Y6767" t="s">
        <v>26821</v>
      </c>
      <c r="Z6767" t="s">
        <v>33622</v>
      </c>
      <c r="AA6767">
        <v>0.41235207092418502</v>
      </c>
      <c r="AB6767" t="str">
        <f>HYPERLINK("Melting_Curves/meltCurve_Q9Y6C9_MTCH2.pdf", "Melting_Curves/meltCurve_Q9Y6C9_MTCH2.pdf")</f>
        <v>Melting_Curves/meltCurve_Q9Y6C9_MTCH2.pdf</v>
      </c>
    </row>
    <row r="6768" spans="1:28" x14ac:dyDescent="0.25">
      <c r="A6768" t="s">
        <v>6772</v>
      </c>
      <c r="B6768">
        <v>0.995954080203443</v>
      </c>
      <c r="C6768">
        <v>0.74651423406470196</v>
      </c>
      <c r="D6768">
        <v>0.30479181550013701</v>
      </c>
      <c r="E6768">
        <v>0.28323743353874897</v>
      </c>
      <c r="F6768">
        <v>0.157026705728568</v>
      </c>
      <c r="G6768">
        <v>0.103007093461068</v>
      </c>
      <c r="H6768">
        <v>7.1410978590771404E-2</v>
      </c>
      <c r="I6768">
        <v>6.70129646666726E-2</v>
      </c>
      <c r="J6768">
        <v>7.4765227349203503E-2</v>
      </c>
      <c r="K6768">
        <v>6.4901357567183598E-2</v>
      </c>
      <c r="L6768">
        <v>1081.1845365663701</v>
      </c>
      <c r="M6768">
        <v>24.3383241289499</v>
      </c>
      <c r="N6768">
        <v>44.830145554674999</v>
      </c>
      <c r="O6768">
        <v>44.126487807742599</v>
      </c>
      <c r="P6768">
        <v>-0.12422261296397499</v>
      </c>
      <c r="Q6768">
        <v>9.9128538294079499E-2</v>
      </c>
      <c r="R6768">
        <v>0.96931812536862005</v>
      </c>
      <c r="S6768" t="s">
        <v>13574</v>
      </c>
      <c r="T6768" t="s">
        <v>13610</v>
      </c>
      <c r="U6768" t="s">
        <v>13610</v>
      </c>
      <c r="V6768" t="s">
        <v>13610</v>
      </c>
      <c r="W6768" t="s">
        <v>20297</v>
      </c>
      <c r="X6768">
        <v>20</v>
      </c>
      <c r="Y6768" t="s">
        <v>26822</v>
      </c>
      <c r="Z6768" t="s">
        <v>33623</v>
      </c>
      <c r="AA6768">
        <v>0.2422380533415732</v>
      </c>
      <c r="AB6768" t="str">
        <f>HYPERLINK("Melting_Curves/meltCurve_Q9Y6D5_ARFGEF2.pdf", "Melting_Curves/meltCurve_Q9Y6D5_ARFGEF2.pdf")</f>
        <v>Melting_Curves/meltCurve_Q9Y6D5_ARFGEF2.pdf</v>
      </c>
    </row>
    <row r="6769" spans="1:28" x14ac:dyDescent="0.25">
      <c r="A6769" t="s">
        <v>6773</v>
      </c>
      <c r="B6769">
        <v>0.995954080203443</v>
      </c>
      <c r="C6769">
        <v>0.820297847083578</v>
      </c>
      <c r="D6769">
        <v>0.58216451063556895</v>
      </c>
      <c r="E6769">
        <v>0.39195101846519398</v>
      </c>
      <c r="F6769">
        <v>0.21169931257911101</v>
      </c>
      <c r="G6769">
        <v>0.114786123790519</v>
      </c>
      <c r="H6769">
        <v>7.7639903976962105E-2</v>
      </c>
      <c r="I6769">
        <v>6.4348500350852905E-2</v>
      </c>
      <c r="J6769">
        <v>6.7570903229175999E-2</v>
      </c>
      <c r="K6769">
        <v>6.0846091374558098E-2</v>
      </c>
      <c r="L6769">
        <v>686.25294446615897</v>
      </c>
      <c r="M6769">
        <v>14.4922007559815</v>
      </c>
      <c r="N6769">
        <v>47.688970836863298</v>
      </c>
      <c r="O6769">
        <v>46.479024385809304</v>
      </c>
      <c r="P6769">
        <v>-7.4178697203869007E-2</v>
      </c>
      <c r="Q6769">
        <v>4.8493932073723697E-2</v>
      </c>
      <c r="R6769">
        <v>0.99343969277599797</v>
      </c>
      <c r="S6769" t="s">
        <v>13575</v>
      </c>
      <c r="T6769" t="s">
        <v>13610</v>
      </c>
      <c r="U6769" t="s">
        <v>13610</v>
      </c>
      <c r="V6769" t="s">
        <v>13610</v>
      </c>
      <c r="W6769" t="s">
        <v>20298</v>
      </c>
      <c r="X6769">
        <v>38</v>
      </c>
      <c r="Y6769" t="s">
        <v>26823</v>
      </c>
      <c r="Z6769" t="s">
        <v>33624</v>
      </c>
      <c r="AA6769">
        <v>0.30885473806873692</v>
      </c>
      <c r="AB6769" t="str">
        <f>HYPERLINK("Melting_Curves/meltCurve_Q9Y6D6_ARFGEF1.pdf", "Melting_Curves/meltCurve_Q9Y6D6_ARFGEF1.pdf")</f>
        <v>Melting_Curves/meltCurve_Q9Y6D6_ARFGEF1.pdf</v>
      </c>
    </row>
    <row r="6770" spans="1:28" x14ac:dyDescent="0.25">
      <c r="A6770" t="s">
        <v>6774</v>
      </c>
      <c r="B6770">
        <v>0.995954080203443</v>
      </c>
      <c r="C6770">
        <v>0.87666670745362996</v>
      </c>
      <c r="D6770">
        <v>0.75006191518306398</v>
      </c>
      <c r="E6770">
        <v>0.37652097512437199</v>
      </c>
      <c r="F6770">
        <v>0.228474544601662</v>
      </c>
      <c r="G6770">
        <v>0.14450719075367799</v>
      </c>
      <c r="H6770">
        <v>0.109463985276974</v>
      </c>
      <c r="I6770">
        <v>0.11405139388472101</v>
      </c>
      <c r="J6770">
        <v>0.122474178373805</v>
      </c>
      <c r="K6770">
        <v>9.3326648636623294E-2</v>
      </c>
      <c r="L6770">
        <v>913.35009879098698</v>
      </c>
      <c r="M6770">
        <v>19.0347672945752</v>
      </c>
      <c r="N6770">
        <v>48.564660399932102</v>
      </c>
      <c r="O6770">
        <v>47.463070267674198</v>
      </c>
      <c r="P6770">
        <v>-9.0048806456811695E-2</v>
      </c>
      <c r="Q6770">
        <v>0.101891057096097</v>
      </c>
      <c r="R6770">
        <v>0.99746789401774405</v>
      </c>
      <c r="S6770" t="s">
        <v>13576</v>
      </c>
      <c r="T6770" t="s">
        <v>13610</v>
      </c>
      <c r="U6770" t="s">
        <v>13610</v>
      </c>
      <c r="V6770" t="s">
        <v>13610</v>
      </c>
      <c r="W6770" t="s">
        <v>20299</v>
      </c>
      <c r="X6770">
        <v>32</v>
      </c>
      <c r="Y6770" t="s">
        <v>26824</v>
      </c>
      <c r="Z6770" t="s">
        <v>33625</v>
      </c>
      <c r="AA6770">
        <v>0.35506230745199341</v>
      </c>
      <c r="AB6770" t="str">
        <f>HYPERLINK("Melting_Curves/meltCurve_Q9Y6D9_MAD1L1.pdf", "Melting_Curves/meltCurve_Q9Y6D9_MAD1L1.pdf")</f>
        <v>Melting_Curves/meltCurve_Q9Y6D9_MAD1L1.pdf</v>
      </c>
    </row>
    <row r="6771" spans="1:28" x14ac:dyDescent="0.25">
      <c r="A6771" t="s">
        <v>6775</v>
      </c>
      <c r="B6771">
        <v>0.995954080203443</v>
      </c>
      <c r="C6771">
        <v>0.83793372780380804</v>
      </c>
      <c r="D6771">
        <v>0.65511084864511004</v>
      </c>
      <c r="E6771">
        <v>0.42706565175974998</v>
      </c>
      <c r="F6771">
        <v>0.17793489947302099</v>
      </c>
      <c r="G6771">
        <v>9.4413204772594406E-2</v>
      </c>
      <c r="H6771">
        <v>5.7666769385199698E-2</v>
      </c>
      <c r="I6771">
        <v>5.0754430469101802E-2</v>
      </c>
      <c r="J6771">
        <v>5.1074111152266698E-2</v>
      </c>
      <c r="K6771">
        <v>4.7773963386914899E-2</v>
      </c>
      <c r="L6771">
        <v>732.31156769746099</v>
      </c>
      <c r="M6771">
        <v>15.2443517604151</v>
      </c>
      <c r="N6771">
        <v>48.219888452815098</v>
      </c>
      <c r="O6771">
        <v>47.234331569383599</v>
      </c>
      <c r="P6771">
        <v>-7.8440489696312704E-2</v>
      </c>
      <c r="Q6771">
        <v>2.7906769050717602E-2</v>
      </c>
      <c r="R6771">
        <v>0.993781229255571</v>
      </c>
      <c r="S6771" t="s">
        <v>13577</v>
      </c>
      <c r="T6771" t="s">
        <v>13610</v>
      </c>
      <c r="U6771" t="s">
        <v>13610</v>
      </c>
      <c r="V6771" t="s">
        <v>13610</v>
      </c>
      <c r="W6771" t="s">
        <v>20300</v>
      </c>
      <c r="X6771">
        <v>21</v>
      </c>
      <c r="Y6771" t="s">
        <v>26825</v>
      </c>
      <c r="Z6771" t="s">
        <v>33626</v>
      </c>
      <c r="AA6771">
        <v>0.31255363595158669</v>
      </c>
      <c r="AB6771" t="str">
        <f>HYPERLINK("Melting_Curves/meltCurve_Q9Y6E0_2_STK24.pdf", "Melting_Curves/meltCurve_Q9Y6E0_2_STK24.pdf")</f>
        <v>Melting_Curves/meltCurve_Q9Y6E0_2_STK24.pdf</v>
      </c>
    </row>
    <row r="6772" spans="1:28" x14ac:dyDescent="0.25">
      <c r="A6772" t="s">
        <v>6776</v>
      </c>
      <c r="B6772">
        <v>0.995954080203443</v>
      </c>
      <c r="C6772">
        <v>0.80759797249584797</v>
      </c>
      <c r="D6772">
        <v>0.64469002835114497</v>
      </c>
      <c r="E6772">
        <v>0.73201685725674703</v>
      </c>
      <c r="F6772">
        <v>0.58976415792315995</v>
      </c>
      <c r="G6772">
        <v>0.26254118907073598</v>
      </c>
      <c r="H6772">
        <v>0.14503183328260899</v>
      </c>
      <c r="I6772">
        <v>0.122224754036682</v>
      </c>
      <c r="J6772">
        <v>0.152415443387381</v>
      </c>
      <c r="K6772">
        <v>0.101523729898073</v>
      </c>
      <c r="L6772">
        <v>476.39253725271197</v>
      </c>
      <c r="M6772">
        <v>9.0795788911290494</v>
      </c>
      <c r="N6772">
        <v>52.468569380253399</v>
      </c>
      <c r="O6772">
        <v>50.111195539952902</v>
      </c>
      <c r="P6772">
        <v>-4.53289900957606E-2</v>
      </c>
      <c r="Q6772">
        <v>0</v>
      </c>
      <c r="R6772">
        <v>0.93351522396753095</v>
      </c>
      <c r="S6772" t="s">
        <v>13578</v>
      </c>
      <c r="T6772" t="s">
        <v>13610</v>
      </c>
      <c r="U6772" t="s">
        <v>13610</v>
      </c>
      <c r="V6772" t="s">
        <v>13610</v>
      </c>
      <c r="W6772" t="s">
        <v>20301</v>
      </c>
      <c r="X6772">
        <v>6</v>
      </c>
      <c r="Y6772" t="s">
        <v>26826</v>
      </c>
      <c r="Z6772" t="s">
        <v>33627</v>
      </c>
      <c r="AA6772">
        <v>0.455327632873963</v>
      </c>
      <c r="AB6772" t="str">
        <f>HYPERLINK("Melting_Curves/meltCurve_Q9Y6G5_COMMD10.pdf", "Melting_Curves/meltCurve_Q9Y6G5_COMMD10.pdf")</f>
        <v>Melting_Curves/meltCurve_Q9Y6G5_COMMD10.pdf</v>
      </c>
    </row>
    <row r="6773" spans="1:28" x14ac:dyDescent="0.25">
      <c r="A6773" t="s">
        <v>6777</v>
      </c>
      <c r="B6773">
        <v>0.995954080203443</v>
      </c>
      <c r="C6773">
        <v>0.90179120762122</v>
      </c>
      <c r="D6773">
        <v>0.76696901989056099</v>
      </c>
      <c r="E6773">
        <v>0.61697330554423901</v>
      </c>
      <c r="F6773">
        <v>0.44463207591876902</v>
      </c>
      <c r="G6773">
        <v>0.28138666955332697</v>
      </c>
      <c r="H6773">
        <v>0.22522625744855401</v>
      </c>
      <c r="I6773">
        <v>0.229930805511875</v>
      </c>
      <c r="J6773">
        <v>0.26468034365394999</v>
      </c>
      <c r="K6773">
        <v>0.23658323758112401</v>
      </c>
      <c r="L6773">
        <v>692.34140811794202</v>
      </c>
      <c r="M6773">
        <v>13.980369201064301</v>
      </c>
      <c r="N6773">
        <v>51.495260417639997</v>
      </c>
      <c r="O6773">
        <v>48.542161737700098</v>
      </c>
      <c r="P6773">
        <v>-5.7079832355307503E-2</v>
      </c>
      <c r="Q6773">
        <v>0.20734285729131499</v>
      </c>
      <c r="R6773">
        <v>0.99060242688720201</v>
      </c>
      <c r="S6773" t="s">
        <v>13579</v>
      </c>
      <c r="T6773" t="s">
        <v>13610</v>
      </c>
      <c r="U6773" t="s">
        <v>13610</v>
      </c>
      <c r="V6773" t="s">
        <v>13610</v>
      </c>
      <c r="W6773" t="s">
        <v>20302</v>
      </c>
      <c r="X6773">
        <v>21</v>
      </c>
      <c r="Y6773" t="s">
        <v>26827</v>
      </c>
      <c r="Z6773" t="s">
        <v>33628</v>
      </c>
      <c r="AA6773">
        <v>0.48073330315419682</v>
      </c>
      <c r="AB6773" t="str">
        <f>HYPERLINK("Melting_Curves/meltCurve_Q9Y6G9_DYNC1LI1.pdf", "Melting_Curves/meltCurve_Q9Y6G9_DYNC1LI1.pdf")</f>
        <v>Melting_Curves/meltCurve_Q9Y6G9_DYNC1LI1.pdf</v>
      </c>
    </row>
    <row r="6774" spans="1:28" x14ac:dyDescent="0.25">
      <c r="A6774" t="s">
        <v>6778</v>
      </c>
      <c r="B6774">
        <v>0.995954080203443</v>
      </c>
      <c r="C6774">
        <v>1.11296959427381</v>
      </c>
      <c r="D6774">
        <v>1.10919031414402</v>
      </c>
      <c r="E6774">
        <v>1.11023196542762</v>
      </c>
      <c r="F6774">
        <v>1.09678178001209</v>
      </c>
      <c r="G6774">
        <v>0.87391168351765902</v>
      </c>
      <c r="H6774">
        <v>0.81768635501007503</v>
      </c>
      <c r="I6774">
        <v>1.0123129672670199</v>
      </c>
      <c r="J6774">
        <v>1.1622890011142899</v>
      </c>
      <c r="K6774">
        <v>1.18021887083514</v>
      </c>
      <c r="L6774">
        <v>7189.4885288264704</v>
      </c>
      <c r="M6774">
        <v>109.56300651867799</v>
      </c>
      <c r="O6774">
        <v>65.597831755908302</v>
      </c>
      <c r="P6774">
        <v>7.5129485182917094E-2</v>
      </c>
      <c r="Q6774">
        <v>1.1799267938115101</v>
      </c>
      <c r="R6774">
        <v>0.27794085540640401</v>
      </c>
      <c r="S6774" t="s">
        <v>13580</v>
      </c>
      <c r="T6774" t="s">
        <v>13610</v>
      </c>
      <c r="U6774" t="s">
        <v>13610</v>
      </c>
      <c r="V6774" t="s">
        <v>13610</v>
      </c>
      <c r="W6774" t="s">
        <v>20303</v>
      </c>
      <c r="X6774">
        <v>4</v>
      </c>
      <c r="Y6774" t="s">
        <v>26828</v>
      </c>
      <c r="Z6774" t="s">
        <v>33629</v>
      </c>
      <c r="AA6774">
        <v>1.0261676848609611</v>
      </c>
      <c r="AB6774" t="str">
        <f>HYPERLINK("Melting_Curves/meltCurve_Q9Y6H1_CHCHD2.pdf", "Melting_Curves/meltCurve_Q9Y6H1_CHCHD2.pdf")</f>
        <v>Melting_Curves/meltCurve_Q9Y6H1_CHCHD2.pdf</v>
      </c>
    </row>
    <row r="6775" spans="1:28" x14ac:dyDescent="0.25">
      <c r="A6775" t="s">
        <v>6779</v>
      </c>
      <c r="B6775">
        <v>0.995954080203443</v>
      </c>
      <c r="C6775">
        <v>0.99809931173007405</v>
      </c>
      <c r="D6775">
        <v>0.96173333033374397</v>
      </c>
      <c r="E6775">
        <v>0.87052340106709203</v>
      </c>
      <c r="F6775">
        <v>0.52209384407450798</v>
      </c>
      <c r="G6775">
        <v>0.278630026169566</v>
      </c>
      <c r="H6775">
        <v>0.18884125290457901</v>
      </c>
      <c r="I6775">
        <v>0.17407793639329699</v>
      </c>
      <c r="J6775">
        <v>0.212406544112865</v>
      </c>
      <c r="K6775">
        <v>0.190874093124559</v>
      </c>
      <c r="L6775">
        <v>1608.9122569466199</v>
      </c>
      <c r="M6775">
        <v>30.656426069060601</v>
      </c>
      <c r="N6775">
        <v>53.321196785131001</v>
      </c>
      <c r="O6775">
        <v>52.260268911023601</v>
      </c>
      <c r="P6775">
        <v>-0.11858892517674301</v>
      </c>
      <c r="Q6775">
        <v>0.19136686048828999</v>
      </c>
      <c r="R6775">
        <v>0.99787056568681498</v>
      </c>
      <c r="S6775" t="s">
        <v>13581</v>
      </c>
      <c r="T6775" t="s">
        <v>13610</v>
      </c>
      <c r="U6775" t="s">
        <v>13610</v>
      </c>
      <c r="V6775" t="s">
        <v>13610</v>
      </c>
      <c r="W6775" t="s">
        <v>20304</v>
      </c>
      <c r="X6775">
        <v>16</v>
      </c>
      <c r="Y6775" t="s">
        <v>26829</v>
      </c>
      <c r="Z6775" t="s">
        <v>33630</v>
      </c>
      <c r="AA6775">
        <v>0.53280070372659083</v>
      </c>
      <c r="AB6775" t="str">
        <f>HYPERLINK("Melting_Curves/meltCurve_Q9Y6I3_EPN1.pdf", "Melting_Curves/meltCurve_Q9Y6I3_EPN1.pdf")</f>
        <v>Melting_Curves/meltCurve_Q9Y6I3_EPN1.pdf</v>
      </c>
    </row>
    <row r="6776" spans="1:28" x14ac:dyDescent="0.25">
      <c r="A6776" t="s">
        <v>6780</v>
      </c>
      <c r="B6776">
        <v>0.995954080203443</v>
      </c>
      <c r="C6776">
        <v>1.0113648977821199</v>
      </c>
      <c r="D6776">
        <v>0.99912040268833802</v>
      </c>
      <c r="E6776">
        <v>0.71102182595860797</v>
      </c>
      <c r="F6776">
        <v>0.54433308363154498</v>
      </c>
      <c r="G6776">
        <v>0.28093475968195802</v>
      </c>
      <c r="H6776">
        <v>0.133102865332695</v>
      </c>
      <c r="I6776">
        <v>0.119002397478206</v>
      </c>
      <c r="J6776">
        <v>0.13335796448499701</v>
      </c>
      <c r="K6776">
        <v>0.124476863170837</v>
      </c>
      <c r="L6776">
        <v>1024.0878577431799</v>
      </c>
      <c r="M6776">
        <v>19.477270714297699</v>
      </c>
      <c r="N6776">
        <v>53.2280038118421</v>
      </c>
      <c r="O6776">
        <v>52.033763971048202</v>
      </c>
      <c r="P6776">
        <v>-8.3686802376007702E-2</v>
      </c>
      <c r="Q6776">
        <v>0.105750927618076</v>
      </c>
      <c r="R6776">
        <v>0.99445515765054204</v>
      </c>
      <c r="S6776" t="s">
        <v>13582</v>
      </c>
      <c r="T6776" t="s">
        <v>13610</v>
      </c>
      <c r="U6776" t="s">
        <v>13610</v>
      </c>
      <c r="V6776" t="s">
        <v>13610</v>
      </c>
      <c r="W6776" t="s">
        <v>20305</v>
      </c>
      <c r="X6776">
        <v>16</v>
      </c>
      <c r="Y6776" t="s">
        <v>26830</v>
      </c>
      <c r="Z6776" t="s">
        <v>33631</v>
      </c>
      <c r="AA6776">
        <v>0.49361517818966261</v>
      </c>
      <c r="AB6776" t="str">
        <f>HYPERLINK("Melting_Curves/meltCurve_Q9Y6I4_USP3.pdf", "Melting_Curves/meltCurve_Q9Y6I4_USP3.pdf")</f>
        <v>Melting_Curves/meltCurve_Q9Y6I4_USP3.pdf</v>
      </c>
    </row>
    <row r="6777" spans="1:28" x14ac:dyDescent="0.25">
      <c r="A6777" t="s">
        <v>6781</v>
      </c>
      <c r="B6777">
        <v>0.995954080203443</v>
      </c>
      <c r="C6777">
        <v>0.95755304910886696</v>
      </c>
      <c r="D6777">
        <v>0.92282476887378295</v>
      </c>
      <c r="E6777">
        <v>0.89451635087614001</v>
      </c>
      <c r="F6777">
        <v>0.80148148027946098</v>
      </c>
      <c r="G6777">
        <v>0.60058222806435702</v>
      </c>
      <c r="H6777">
        <v>0.57004100577749195</v>
      </c>
      <c r="I6777">
        <v>0.67264509137190898</v>
      </c>
      <c r="J6777">
        <v>0.87359998204501899</v>
      </c>
      <c r="K6777">
        <v>0.835543942061031</v>
      </c>
      <c r="L6777">
        <v>1643.2869986076</v>
      </c>
      <c r="M6777">
        <v>32.410136651602201</v>
      </c>
      <c r="O6777">
        <v>50.5109980846414</v>
      </c>
      <c r="P6777">
        <v>-4.5836162867919E-2</v>
      </c>
      <c r="Q6777">
        <v>0.71425978686888603</v>
      </c>
      <c r="R6777">
        <v>0.577857975349787</v>
      </c>
      <c r="S6777" t="s">
        <v>13583</v>
      </c>
      <c r="T6777" t="s">
        <v>13610</v>
      </c>
      <c r="U6777" t="s">
        <v>13610</v>
      </c>
      <c r="V6777" t="s">
        <v>13610</v>
      </c>
      <c r="W6777" t="s">
        <v>20306</v>
      </c>
      <c r="X6777">
        <v>1</v>
      </c>
      <c r="Y6777" t="s">
        <v>26831</v>
      </c>
      <c r="Z6777" t="s">
        <v>33632</v>
      </c>
      <c r="AA6777">
        <v>0.81773159047076238</v>
      </c>
      <c r="AB6777" t="str">
        <f>HYPERLINK("Melting_Curves/meltCurve_Q9Y6I9_TEX264.pdf", "Melting_Curves/meltCurve_Q9Y6I9_TEX264.pdf")</f>
        <v>Melting_Curves/meltCurve_Q9Y6I9_TEX264.pdf</v>
      </c>
    </row>
    <row r="6778" spans="1:28" x14ac:dyDescent="0.25">
      <c r="A6778" t="s">
        <v>6782</v>
      </c>
      <c r="B6778">
        <v>0.995954080203443</v>
      </c>
      <c r="C6778">
        <v>0.74041345944366599</v>
      </c>
      <c r="D6778">
        <v>0.57895640419359495</v>
      </c>
      <c r="E6778">
        <v>0.55249783618197601</v>
      </c>
      <c r="F6778">
        <v>0.335705766136911</v>
      </c>
      <c r="G6778">
        <v>0.199603298264875</v>
      </c>
      <c r="H6778">
        <v>0.14511840515944399</v>
      </c>
      <c r="I6778">
        <v>0.16100260419196599</v>
      </c>
      <c r="J6778">
        <v>0.17698738767674699</v>
      </c>
      <c r="K6778">
        <v>0.18106239470977101</v>
      </c>
      <c r="L6778">
        <v>530.32569789778097</v>
      </c>
      <c r="M6778">
        <v>11.1467513439379</v>
      </c>
      <c r="N6778">
        <v>48.814195482924198</v>
      </c>
      <c r="O6778">
        <v>46.122477556109402</v>
      </c>
      <c r="P6778">
        <v>-5.2999665862321098E-2</v>
      </c>
      <c r="Q6778">
        <v>0.123083544379909</v>
      </c>
      <c r="R6778">
        <v>0.95806177668604198</v>
      </c>
      <c r="S6778" t="s">
        <v>13584</v>
      </c>
      <c r="T6778" t="s">
        <v>13610</v>
      </c>
      <c r="U6778" t="s">
        <v>13610</v>
      </c>
      <c r="V6778" t="s">
        <v>13610</v>
      </c>
      <c r="W6778" t="s">
        <v>20307</v>
      </c>
      <c r="X6778">
        <v>7</v>
      </c>
      <c r="Y6778" t="s">
        <v>26832</v>
      </c>
      <c r="Z6778" t="s">
        <v>33633</v>
      </c>
      <c r="AA6778">
        <v>0.38474769083702659</v>
      </c>
      <c r="AB6778" t="str">
        <f>HYPERLINK("Melting_Curves/meltCurve_Q9Y6J9_TAF6L.pdf", "Melting_Curves/meltCurve_Q9Y6J9_TAF6L.pdf")</f>
        <v>Melting_Curves/meltCurve_Q9Y6J9_TAF6L.pdf</v>
      </c>
    </row>
    <row r="6779" spans="1:28" x14ac:dyDescent="0.25">
      <c r="A6779" t="s">
        <v>6783</v>
      </c>
      <c r="B6779">
        <v>0.995954080203443</v>
      </c>
      <c r="C6779">
        <v>0.82858766414399498</v>
      </c>
      <c r="D6779">
        <v>0.65854070783035101</v>
      </c>
      <c r="E6779">
        <v>0.47040086147146298</v>
      </c>
      <c r="F6779">
        <v>0.26950817593211202</v>
      </c>
      <c r="G6779">
        <v>0.17423032404066199</v>
      </c>
      <c r="H6779">
        <v>0.140208844172967</v>
      </c>
      <c r="I6779">
        <v>0.151902954121654</v>
      </c>
      <c r="J6779">
        <v>0.18903522010570201</v>
      </c>
      <c r="K6779">
        <v>0.177043981513093</v>
      </c>
      <c r="L6779">
        <v>723.83471099470898</v>
      </c>
      <c r="M6779">
        <v>15.243366840347299</v>
      </c>
      <c r="N6779">
        <v>48.573353675746603</v>
      </c>
      <c r="O6779">
        <v>46.6905031229538</v>
      </c>
      <c r="P6779">
        <v>-6.9820406042965494E-2</v>
      </c>
      <c r="Q6779">
        <v>0.144640496060363</v>
      </c>
      <c r="R6779">
        <v>0.98830440053175805</v>
      </c>
      <c r="S6779" t="s">
        <v>13585</v>
      </c>
      <c r="T6779" t="s">
        <v>13610</v>
      </c>
      <c r="U6779" t="s">
        <v>13610</v>
      </c>
      <c r="V6779" t="s">
        <v>13610</v>
      </c>
      <c r="W6779" t="s">
        <v>20308</v>
      </c>
      <c r="X6779">
        <v>13</v>
      </c>
      <c r="Y6779" t="s">
        <v>26833</v>
      </c>
      <c r="Z6779" t="s">
        <v>33634</v>
      </c>
      <c r="AA6779">
        <v>0.37992548018119732</v>
      </c>
      <c r="AB6779" t="str">
        <f>HYPERLINK("Melting_Curves/meltCurve_Q9Y6K1_DNMT3A.pdf", "Melting_Curves/meltCurve_Q9Y6K1_DNMT3A.pdf")</f>
        <v>Melting_Curves/meltCurve_Q9Y6K1_DNMT3A.pdf</v>
      </c>
    </row>
    <row r="6780" spans="1:28" x14ac:dyDescent="0.25">
      <c r="A6780" t="s">
        <v>6784</v>
      </c>
      <c r="B6780">
        <v>0.995954080203443</v>
      </c>
      <c r="C6780">
        <v>0.78194178905558198</v>
      </c>
      <c r="D6780">
        <v>0.72241535700277304</v>
      </c>
      <c r="E6780">
        <v>0.67609556245969005</v>
      </c>
      <c r="F6780">
        <v>0.71951173295005399</v>
      </c>
      <c r="G6780">
        <v>0.62254045078963105</v>
      </c>
      <c r="H6780">
        <v>0.61791573085448204</v>
      </c>
      <c r="I6780">
        <v>0.79733391880356796</v>
      </c>
      <c r="J6780">
        <v>0.93324792013679303</v>
      </c>
      <c r="K6780">
        <v>0.94544621594317002</v>
      </c>
      <c r="L6780">
        <v>3772.72181969844</v>
      </c>
      <c r="M6780">
        <v>90.017203762054706</v>
      </c>
      <c r="O6780">
        <v>41.890459604440103</v>
      </c>
      <c r="P6780">
        <v>-0.13198027140229701</v>
      </c>
      <c r="Q6780">
        <v>0.75432641705528303</v>
      </c>
      <c r="R6780">
        <v>0.31147313085755002</v>
      </c>
      <c r="S6780" t="s">
        <v>13586</v>
      </c>
      <c r="T6780" t="s">
        <v>13610</v>
      </c>
      <c r="U6780" t="s">
        <v>13610</v>
      </c>
      <c r="V6780" t="s">
        <v>13610</v>
      </c>
      <c r="W6780" t="s">
        <v>20309</v>
      </c>
      <c r="X6780">
        <v>24</v>
      </c>
      <c r="Y6780" t="s">
        <v>20594</v>
      </c>
      <c r="Z6780" t="s">
        <v>33635</v>
      </c>
      <c r="AA6780">
        <v>0.7701621932708469</v>
      </c>
      <c r="AB6780" t="str">
        <f>HYPERLINK("Melting_Curves/meltCurve_Q9Y6K9_IKBKG.pdf", "Melting_Curves/meltCurve_Q9Y6K9_IKBKG.pdf")</f>
        <v>Melting_Curves/meltCurve_Q9Y6K9_IKBKG.pdf</v>
      </c>
    </row>
    <row r="6781" spans="1:28" x14ac:dyDescent="0.25">
      <c r="A6781" t="s">
        <v>6785</v>
      </c>
      <c r="B6781">
        <v>0.995954080203443</v>
      </c>
      <c r="C6781">
        <v>0.86627736564001701</v>
      </c>
      <c r="D6781">
        <v>0.62642445341050002</v>
      </c>
      <c r="E6781">
        <v>0.57390264985928896</v>
      </c>
      <c r="F6781">
        <v>0.35877399824689099</v>
      </c>
      <c r="G6781">
        <v>0.221044877930961</v>
      </c>
      <c r="H6781">
        <v>0.14355820366262401</v>
      </c>
      <c r="I6781">
        <v>0.12046769254765501</v>
      </c>
      <c r="J6781">
        <v>0.15451336144726199</v>
      </c>
      <c r="K6781">
        <v>0.121676378988157</v>
      </c>
      <c r="L6781">
        <v>569.35383733622905</v>
      </c>
      <c r="M6781">
        <v>11.5808137354064</v>
      </c>
      <c r="N6781">
        <v>49.947436514203297</v>
      </c>
      <c r="O6781">
        <v>47.766190932710003</v>
      </c>
      <c r="P6781">
        <v>-5.55907075139788E-2</v>
      </c>
      <c r="Q6781">
        <v>8.3096568067439605E-2</v>
      </c>
      <c r="R6781">
        <v>0.97977692603919497</v>
      </c>
      <c r="S6781" t="s">
        <v>13587</v>
      </c>
      <c r="T6781" t="s">
        <v>13610</v>
      </c>
      <c r="U6781" t="s">
        <v>13610</v>
      </c>
      <c r="V6781" t="s">
        <v>13610</v>
      </c>
      <c r="W6781" t="s">
        <v>20310</v>
      </c>
      <c r="X6781">
        <v>7</v>
      </c>
      <c r="Y6781" t="s">
        <v>26834</v>
      </c>
      <c r="Z6781" t="s">
        <v>33636</v>
      </c>
      <c r="AA6781">
        <v>0.39852023458197627</v>
      </c>
      <c r="AB6781" t="str">
        <f>HYPERLINK("Melting_Curves/meltCurve_Q9Y6M1_1_IGF2BP2.pdf", "Melting_Curves/meltCurve_Q9Y6M1_1_IGF2BP2.pdf")</f>
        <v>Melting_Curves/meltCurve_Q9Y6M1_1_IGF2BP2.pdf</v>
      </c>
    </row>
    <row r="6782" spans="1:28" x14ac:dyDescent="0.25">
      <c r="A6782" t="s">
        <v>6786</v>
      </c>
      <c r="B6782">
        <v>0.995954080203443</v>
      </c>
      <c r="C6782">
        <v>1.0242957782139299</v>
      </c>
      <c r="D6782">
        <v>1.15959805019782</v>
      </c>
      <c r="E6782">
        <v>1.0128775629918301</v>
      </c>
      <c r="F6782">
        <v>1.08755275625364</v>
      </c>
      <c r="G6782">
        <v>0.83226416755426202</v>
      </c>
      <c r="H6782">
        <v>0.84937928467660395</v>
      </c>
      <c r="I6782">
        <v>0.97705639913689701</v>
      </c>
      <c r="J6782">
        <v>1.27288448961578</v>
      </c>
      <c r="K6782">
        <v>1.1727313074922501</v>
      </c>
      <c r="L6782">
        <v>15000</v>
      </c>
      <c r="M6782">
        <v>229.492565104563</v>
      </c>
      <c r="O6782">
        <v>65.356632003002503</v>
      </c>
      <c r="P6782">
        <v>0.19578547346562</v>
      </c>
      <c r="Q6782">
        <v>1.22302908026325</v>
      </c>
      <c r="R6782">
        <v>0.48254635810619401</v>
      </c>
      <c r="S6782" t="s">
        <v>13588</v>
      </c>
      <c r="T6782" t="s">
        <v>13610</v>
      </c>
      <c r="U6782" t="s">
        <v>13610</v>
      </c>
      <c r="V6782" t="s">
        <v>13610</v>
      </c>
      <c r="W6782" t="s">
        <v>20311</v>
      </c>
      <c r="X6782">
        <v>5</v>
      </c>
      <c r="Y6782" t="s">
        <v>26835</v>
      </c>
      <c r="Z6782" t="s">
        <v>33637</v>
      </c>
      <c r="AA6782">
        <v>1.0344529492737311</v>
      </c>
      <c r="AB6782" t="str">
        <f>HYPERLINK("Melting_Curves/meltCurve_Q9Y6M5_SLC30A1.pdf", "Melting_Curves/meltCurve_Q9Y6M5_SLC30A1.pdf")</f>
        <v>Melting_Curves/meltCurve_Q9Y6M5_SLC30A1.pdf</v>
      </c>
    </row>
    <row r="6783" spans="1:28" x14ac:dyDescent="0.25">
      <c r="A6783" t="s">
        <v>6787</v>
      </c>
      <c r="B6783">
        <v>0.995954080203443</v>
      </c>
      <c r="C6783">
        <v>0.85434150315449597</v>
      </c>
      <c r="D6783">
        <v>0.89819417240051103</v>
      </c>
      <c r="E6783">
        <v>0.74208496750887598</v>
      </c>
      <c r="F6783">
        <v>0.812941606085963</v>
      </c>
      <c r="G6783">
        <v>0.61332209895446199</v>
      </c>
      <c r="H6783">
        <v>0.55553054419534098</v>
      </c>
      <c r="I6783">
        <v>0.60751195728506302</v>
      </c>
      <c r="J6783">
        <v>0.73639012205203702</v>
      </c>
      <c r="K6783">
        <v>0.71711865734279301</v>
      </c>
      <c r="L6783">
        <v>600.42186366104704</v>
      </c>
      <c r="M6783">
        <v>12.6682839235292</v>
      </c>
      <c r="O6783">
        <v>46.261204870066599</v>
      </c>
      <c r="P6783">
        <v>-2.4356780598859901E-2</v>
      </c>
      <c r="Q6783">
        <v>0.64429153938509398</v>
      </c>
      <c r="R6783">
        <v>0.728703080232876</v>
      </c>
      <c r="S6783" t="s">
        <v>13589</v>
      </c>
      <c r="T6783" t="s">
        <v>13610</v>
      </c>
      <c r="U6783" t="s">
        <v>13610</v>
      </c>
      <c r="V6783" t="s">
        <v>13610</v>
      </c>
      <c r="W6783" t="s">
        <v>20312</v>
      </c>
      <c r="X6783">
        <v>7</v>
      </c>
      <c r="Y6783" t="s">
        <v>26836</v>
      </c>
      <c r="Z6783" t="s">
        <v>33638</v>
      </c>
      <c r="AA6783">
        <v>0.74511387499726967</v>
      </c>
      <c r="AB6783" t="str">
        <f>HYPERLINK("Melting_Curves/meltCurve_Q9Y6M7_6_SLC4A7.pdf", "Melting_Curves/meltCurve_Q9Y6M7_6_SLC4A7.pdf")</f>
        <v>Melting_Curves/meltCurve_Q9Y6M7_6_SLC4A7.pdf</v>
      </c>
    </row>
    <row r="6784" spans="1:28" x14ac:dyDescent="0.25">
      <c r="A6784" t="s">
        <v>6788</v>
      </c>
      <c r="B6784">
        <v>0.995954080203443</v>
      </c>
      <c r="C6784">
        <v>0.95168977566853197</v>
      </c>
      <c r="D6784">
        <v>1.1621693975354199</v>
      </c>
      <c r="E6784">
        <v>0.74656767235143195</v>
      </c>
      <c r="F6784">
        <v>0.230113726784822</v>
      </c>
      <c r="G6784">
        <v>0.149834494842253</v>
      </c>
      <c r="H6784">
        <v>7.0512177090894898E-2</v>
      </c>
      <c r="I6784">
        <v>7.2600505341137295E-2</v>
      </c>
      <c r="J6784">
        <v>6.6351123111859103E-2</v>
      </c>
      <c r="K6784">
        <v>6.8682166508925696E-2</v>
      </c>
      <c r="L6784">
        <v>2391.3354660049699</v>
      </c>
      <c r="M6784">
        <v>46.813776862158001</v>
      </c>
      <c r="N6784">
        <v>51.284140166620098</v>
      </c>
      <c r="O6784">
        <v>50.988921947985602</v>
      </c>
      <c r="P6784">
        <v>-0.21018093581905101</v>
      </c>
      <c r="Q6784">
        <v>8.4296275174619795E-2</v>
      </c>
      <c r="R6784">
        <v>0.98132839727538201</v>
      </c>
      <c r="S6784" t="s">
        <v>13590</v>
      </c>
      <c r="T6784" t="s">
        <v>13610</v>
      </c>
      <c r="U6784" t="s">
        <v>13610</v>
      </c>
      <c r="V6784" t="s">
        <v>13610</v>
      </c>
      <c r="W6784" t="s">
        <v>20313</v>
      </c>
      <c r="X6784">
        <v>2</v>
      </c>
      <c r="Y6784" t="s">
        <v>26837</v>
      </c>
      <c r="Z6784" t="s">
        <v>33639</v>
      </c>
      <c r="AA6784">
        <v>0.42490882530805002</v>
      </c>
      <c r="AB6784" t="str">
        <f>HYPERLINK("Melting_Curves/meltCurve_Q9Y6P5_2_SESN1.pdf", "Melting_Curves/meltCurve_Q9Y6P5_2_SESN1.pdf")</f>
        <v>Melting_Curves/meltCurve_Q9Y6P5_2_SESN1.pdf</v>
      </c>
    </row>
    <row r="6785" spans="1:28" x14ac:dyDescent="0.25">
      <c r="A6785" t="s">
        <v>6789</v>
      </c>
      <c r="B6785">
        <v>0.995954080203443</v>
      </c>
      <c r="C6785">
        <v>0.96415166147920095</v>
      </c>
      <c r="D6785">
        <v>0.83668224998462404</v>
      </c>
      <c r="E6785">
        <v>0.73015507870326302</v>
      </c>
      <c r="F6785">
        <v>0.73438002933810398</v>
      </c>
      <c r="G6785">
        <v>0.46794906816743898</v>
      </c>
      <c r="H6785">
        <v>0.37855818189155399</v>
      </c>
      <c r="I6785">
        <v>0.42583056513574802</v>
      </c>
      <c r="J6785">
        <v>0.51485246317116595</v>
      </c>
      <c r="K6785">
        <v>0.45563419385063703</v>
      </c>
      <c r="L6785">
        <v>691.441416852869</v>
      </c>
      <c r="M6785">
        <v>13.601126512884701</v>
      </c>
      <c r="N6785">
        <v>58.520516673141501</v>
      </c>
      <c r="O6785">
        <v>49.775895758459797</v>
      </c>
      <c r="P6785">
        <v>-3.9888744946797998E-2</v>
      </c>
      <c r="Q6785">
        <v>0.41616511274491003</v>
      </c>
      <c r="R6785">
        <v>0.93120626734038803</v>
      </c>
      <c r="S6785" t="s">
        <v>13591</v>
      </c>
      <c r="T6785" t="s">
        <v>13610</v>
      </c>
      <c r="U6785" t="s">
        <v>13610</v>
      </c>
      <c r="V6785" t="s">
        <v>13610</v>
      </c>
      <c r="W6785" t="s">
        <v>20314</v>
      </c>
      <c r="X6785">
        <v>1</v>
      </c>
      <c r="Y6785" t="s">
        <v>26838</v>
      </c>
      <c r="Z6785" t="s">
        <v>33640</v>
      </c>
      <c r="AA6785">
        <v>0.64296830538107808</v>
      </c>
      <c r="AB6785" t="str">
        <f>HYPERLINK("Melting_Curves/meltCurve_Q9Y6Q2_STON1.pdf", "Melting_Curves/meltCurve_Q9Y6Q2_STON1.pdf")</f>
        <v>Melting_Curves/meltCurve_Q9Y6Q2_STON1.pdf</v>
      </c>
    </row>
    <row r="6786" spans="1:28" x14ac:dyDescent="0.25">
      <c r="A6786" t="s">
        <v>6790</v>
      </c>
      <c r="B6786">
        <v>0.995954080203443</v>
      </c>
      <c r="C6786">
        <v>1.0094477967233</v>
      </c>
      <c r="D6786">
        <v>0.98071123345934896</v>
      </c>
      <c r="E6786">
        <v>0.83483270831950296</v>
      </c>
      <c r="F6786">
        <v>0.70302924377307596</v>
      </c>
      <c r="G6786">
        <v>0.52971987793332198</v>
      </c>
      <c r="H6786">
        <v>0.49205372312836498</v>
      </c>
      <c r="I6786">
        <v>0.58512759497740896</v>
      </c>
      <c r="J6786">
        <v>0.64497104359523105</v>
      </c>
      <c r="K6786">
        <v>0.68980755794624204</v>
      </c>
      <c r="L6786">
        <v>1670.30263148832</v>
      </c>
      <c r="M6786">
        <v>32.902070066706699</v>
      </c>
      <c r="O6786">
        <v>50.579449891857799</v>
      </c>
      <c r="P6786">
        <v>-6.6637509421260399E-2</v>
      </c>
      <c r="Q6786">
        <v>0.59024178337549704</v>
      </c>
      <c r="R6786">
        <v>0.91585618667353597</v>
      </c>
      <c r="S6786" t="s">
        <v>13592</v>
      </c>
      <c r="T6786" t="s">
        <v>13610</v>
      </c>
      <c r="U6786" t="s">
        <v>13610</v>
      </c>
      <c r="V6786" t="s">
        <v>13610</v>
      </c>
      <c r="W6786" t="s">
        <v>20315</v>
      </c>
      <c r="X6786">
        <v>20</v>
      </c>
      <c r="Y6786" t="s">
        <v>26839</v>
      </c>
      <c r="Z6786" t="s">
        <v>33641</v>
      </c>
      <c r="AA6786">
        <v>0.73942026168800601</v>
      </c>
      <c r="AB6786" t="str">
        <f>HYPERLINK("Melting_Curves/meltCurve_Q9Y6Q9_5_NCOA3.pdf", "Melting_Curves/meltCurve_Q9Y6Q9_5_NCOA3.pdf")</f>
        <v>Melting_Curves/meltCurve_Q9Y6Q9_5_NCOA3.pdf</v>
      </c>
    </row>
    <row r="6787" spans="1:28" x14ac:dyDescent="0.25">
      <c r="A6787" t="s">
        <v>6791</v>
      </c>
      <c r="B6787">
        <v>0.995954080203443</v>
      </c>
      <c r="C6787">
        <v>0.98426427084325696</v>
      </c>
      <c r="D6787">
        <v>0.89930730418028204</v>
      </c>
      <c r="E6787">
        <v>0.81545310537594695</v>
      </c>
      <c r="F6787">
        <v>0.62939335954545805</v>
      </c>
      <c r="G6787">
        <v>0.35579039449002697</v>
      </c>
      <c r="H6787">
        <v>0.200567128195974</v>
      </c>
      <c r="I6787">
        <v>0.20011848981173799</v>
      </c>
      <c r="J6787">
        <v>0.26940909828890502</v>
      </c>
      <c r="K6787">
        <v>0.21418417574385001</v>
      </c>
      <c r="L6787">
        <v>1048.1449824804799</v>
      </c>
      <c r="M6787">
        <v>19.760846457017202</v>
      </c>
      <c r="N6787">
        <v>54.431559992332097</v>
      </c>
      <c r="O6787">
        <v>52.507265388710202</v>
      </c>
      <c r="P6787">
        <v>-7.5446509963952496E-2</v>
      </c>
      <c r="Q6787">
        <v>0.19814064089685901</v>
      </c>
      <c r="R6787">
        <v>0.98876615609497098</v>
      </c>
      <c r="S6787" t="s">
        <v>13593</v>
      </c>
      <c r="T6787" t="s">
        <v>13610</v>
      </c>
      <c r="U6787" t="s">
        <v>13610</v>
      </c>
      <c r="V6787" t="s">
        <v>13610</v>
      </c>
      <c r="W6787" t="s">
        <v>20316</v>
      </c>
      <c r="X6787">
        <v>5</v>
      </c>
      <c r="Y6787" t="s">
        <v>26840</v>
      </c>
      <c r="Z6787" t="s">
        <v>33642</v>
      </c>
      <c r="AA6787">
        <v>0.55797439967810047</v>
      </c>
      <c r="AB6787" t="str">
        <f>HYPERLINK("Melting_Curves/meltCurve_Q9Y6R0_NUMBL.pdf", "Melting_Curves/meltCurve_Q9Y6R0_NUMBL.pdf")</f>
        <v>Melting_Curves/meltCurve_Q9Y6R0_NUMBL.pdf</v>
      </c>
    </row>
    <row r="6788" spans="1:28" x14ac:dyDescent="0.25">
      <c r="A6788" t="s">
        <v>6792</v>
      </c>
      <c r="B6788">
        <v>0.995954080203443</v>
      </c>
      <c r="C6788">
        <v>0.81865248467773499</v>
      </c>
      <c r="D6788">
        <v>1.8937646793591301</v>
      </c>
      <c r="E6788">
        <v>1.0304209865598599</v>
      </c>
      <c r="F6788">
        <v>2.3755417798982701</v>
      </c>
      <c r="G6788">
        <v>2.3381359958094801</v>
      </c>
      <c r="H6788">
        <v>2.4803675959463898</v>
      </c>
      <c r="I6788">
        <v>3.3007058210681</v>
      </c>
      <c r="J6788">
        <v>3.6289118786182999</v>
      </c>
      <c r="K6788">
        <v>4.1227843775333897</v>
      </c>
      <c r="L6788">
        <v>11083.324530977799</v>
      </c>
      <c r="M6788">
        <v>250</v>
      </c>
      <c r="O6788">
        <v>44.330463256791198</v>
      </c>
      <c r="P6788">
        <v>0.70493288969447998</v>
      </c>
      <c r="Q6788">
        <v>1.5</v>
      </c>
      <c r="R6788">
        <v>-0.482238712847813</v>
      </c>
      <c r="S6788" t="s">
        <v>13594</v>
      </c>
      <c r="T6788" t="s">
        <v>13610</v>
      </c>
      <c r="U6788" t="s">
        <v>13610</v>
      </c>
      <c r="V6788" t="s">
        <v>13610</v>
      </c>
      <c r="W6788" t="s">
        <v>20317</v>
      </c>
      <c r="X6788">
        <v>1</v>
      </c>
      <c r="Y6788" t="s">
        <v>26841</v>
      </c>
      <c r="Z6788" t="s">
        <v>33643</v>
      </c>
      <c r="AA6788">
        <v>1.4277394624773609</v>
      </c>
      <c r="AB6788" t="str">
        <f>HYPERLINK("Melting_Curves/meltCurve_Q9Y6V0_2_PCLO.pdf", "Melting_Curves/meltCurve_Q9Y6V0_2_PCLO.pdf")</f>
        <v>Melting_Curves/meltCurve_Q9Y6V0_2_PCLO.pdf</v>
      </c>
    </row>
    <row r="6789" spans="1:28" x14ac:dyDescent="0.25">
      <c r="A6789" t="s">
        <v>6793</v>
      </c>
      <c r="B6789">
        <v>0.995954080203443</v>
      </c>
      <c r="C6789">
        <v>0.89738623860171196</v>
      </c>
      <c r="D6789">
        <v>0.78774446628726402</v>
      </c>
      <c r="E6789">
        <v>0.44651404102477499</v>
      </c>
      <c r="F6789">
        <v>0.22621495301543701</v>
      </c>
      <c r="G6789">
        <v>0.164814629180904</v>
      </c>
      <c r="H6789">
        <v>0.130264238491752</v>
      </c>
      <c r="I6789">
        <v>0.14743626516201999</v>
      </c>
      <c r="J6789">
        <v>0.181823579609696</v>
      </c>
      <c r="K6789">
        <v>0.154042279910372</v>
      </c>
      <c r="L6789">
        <v>1015.977079508</v>
      </c>
      <c r="M6789">
        <v>21.038050721004499</v>
      </c>
      <c r="N6789">
        <v>49.077699510831799</v>
      </c>
      <c r="O6789">
        <v>47.862377452276398</v>
      </c>
      <c r="P6789">
        <v>-9.4185423199058302E-2</v>
      </c>
      <c r="Q6789">
        <v>0.142920950155277</v>
      </c>
      <c r="R6789">
        <v>0.99461569456397603</v>
      </c>
      <c r="S6789" t="s">
        <v>13595</v>
      </c>
      <c r="T6789" t="s">
        <v>13610</v>
      </c>
      <c r="U6789" t="s">
        <v>13610</v>
      </c>
      <c r="V6789" t="s">
        <v>13610</v>
      </c>
      <c r="W6789" t="s">
        <v>20318</v>
      </c>
      <c r="X6789">
        <v>16</v>
      </c>
      <c r="Y6789" t="s">
        <v>26842</v>
      </c>
      <c r="Z6789" t="s">
        <v>33644</v>
      </c>
      <c r="AA6789">
        <v>0.39072133634314599</v>
      </c>
      <c r="AB6789" t="str">
        <f>HYPERLINK("Melting_Curves/meltCurve_Q9Y6V7_DDX49.pdf", "Melting_Curves/meltCurve_Q9Y6V7_DDX49.pdf")</f>
        <v>Melting_Curves/meltCurve_Q9Y6V7_DDX49.pdf</v>
      </c>
    </row>
    <row r="6790" spans="1:28" x14ac:dyDescent="0.25">
      <c r="A6790" t="s">
        <v>6794</v>
      </c>
      <c r="B6790">
        <v>0.995954080203443</v>
      </c>
      <c r="C6790">
        <v>0.98462158872753502</v>
      </c>
      <c r="D6790">
        <v>0.86907398381037704</v>
      </c>
      <c r="E6790">
        <v>0.55433189158821705</v>
      </c>
      <c r="F6790">
        <v>0.16731719508008899</v>
      </c>
      <c r="G6790">
        <v>0.109965768710411</v>
      </c>
      <c r="H6790">
        <v>7.7854411451161606E-2</v>
      </c>
      <c r="I6790">
        <v>6.93670909730211E-2</v>
      </c>
      <c r="J6790">
        <v>7.9098449231419399E-2</v>
      </c>
      <c r="K6790">
        <v>7.3129093737343401E-2</v>
      </c>
      <c r="L6790">
        <v>1377.5096652233799</v>
      </c>
      <c r="M6790">
        <v>27.645134746139298</v>
      </c>
      <c r="N6790">
        <v>50.098758840080102</v>
      </c>
      <c r="O6790">
        <v>49.569755071994003</v>
      </c>
      <c r="P6790">
        <v>-0.12976127204225399</v>
      </c>
      <c r="Q6790">
        <v>6.9322687056467505E-2</v>
      </c>
      <c r="R6790">
        <v>0.99546197544285697</v>
      </c>
      <c r="S6790" t="s">
        <v>13596</v>
      </c>
      <c r="T6790" t="s">
        <v>13610</v>
      </c>
      <c r="U6790" t="s">
        <v>13610</v>
      </c>
      <c r="V6790" t="s">
        <v>13610</v>
      </c>
      <c r="W6790" t="s">
        <v>20319</v>
      </c>
      <c r="X6790">
        <v>24</v>
      </c>
      <c r="Y6790" t="s">
        <v>26843</v>
      </c>
      <c r="Z6790" t="s">
        <v>33645</v>
      </c>
      <c r="AA6790">
        <v>0.38099657023266592</v>
      </c>
      <c r="AB6790" t="str">
        <f>HYPERLINK("Melting_Curves/meltCurve_Q9Y6W3_CAPN7.pdf", "Melting_Curves/meltCurve_Q9Y6W3_CAPN7.pdf")</f>
        <v>Melting_Curves/meltCurve_Q9Y6W3_CAPN7.pdf</v>
      </c>
    </row>
    <row r="6791" spans="1:28" x14ac:dyDescent="0.25">
      <c r="A6791" t="s">
        <v>6795</v>
      </c>
      <c r="B6791">
        <v>0.995954080203443</v>
      </c>
      <c r="C6791">
        <v>0.80803228182721898</v>
      </c>
      <c r="D6791">
        <v>0.72734721803788804</v>
      </c>
      <c r="E6791">
        <v>0.76679720602797696</v>
      </c>
      <c r="F6791">
        <v>0.55249215199794</v>
      </c>
      <c r="G6791">
        <v>0.44268685220654602</v>
      </c>
      <c r="H6791">
        <v>0.39091426649088301</v>
      </c>
      <c r="I6791">
        <v>0.37816603748757699</v>
      </c>
      <c r="J6791">
        <v>0.34096334972383502</v>
      </c>
      <c r="K6791">
        <v>0.31521163587526202</v>
      </c>
      <c r="L6791">
        <v>402.796785595382</v>
      </c>
      <c r="M6791">
        <v>7.8020086027484803</v>
      </c>
      <c r="N6791">
        <v>55.896516770248702</v>
      </c>
      <c r="O6791">
        <v>48.5649894499929</v>
      </c>
      <c r="P6791">
        <v>-3.1186291589795499E-2</v>
      </c>
      <c r="Q6791">
        <v>0.22446456280502899</v>
      </c>
      <c r="R6791">
        <v>0.95108402843237805</v>
      </c>
      <c r="S6791" t="s">
        <v>13597</v>
      </c>
      <c r="T6791" t="s">
        <v>13610</v>
      </c>
      <c r="U6791" t="s">
        <v>13610</v>
      </c>
      <c r="V6791" t="s">
        <v>13610</v>
      </c>
      <c r="W6791" t="s">
        <v>20320</v>
      </c>
      <c r="X6791">
        <v>10</v>
      </c>
      <c r="Y6791" t="s">
        <v>26844</v>
      </c>
      <c r="Z6791" t="s">
        <v>33646</v>
      </c>
      <c r="AA6791">
        <v>0.56427928623000634</v>
      </c>
      <c r="AB6791" t="str">
        <f>HYPERLINK("Melting_Curves/meltCurve_Q9Y6W5_WASF2.pdf", "Melting_Curves/meltCurve_Q9Y6W5_WASF2.pdf")</f>
        <v>Melting_Curves/meltCurve_Q9Y6W5_WASF2.pdf</v>
      </c>
    </row>
    <row r="6792" spans="1:28" x14ac:dyDescent="0.25">
      <c r="A6792" t="s">
        <v>6796</v>
      </c>
      <c r="B6792">
        <v>0.995954080203443</v>
      </c>
      <c r="C6792">
        <v>0.73533571945096399</v>
      </c>
      <c r="D6792">
        <v>0.80571883395714206</v>
      </c>
      <c r="E6792">
        <v>0.57487481891650105</v>
      </c>
      <c r="F6792">
        <v>0.61470053756337395</v>
      </c>
      <c r="G6792">
        <v>0.43803196642360398</v>
      </c>
      <c r="H6792">
        <v>0.349507885322215</v>
      </c>
      <c r="I6792">
        <v>0.44973018898238798</v>
      </c>
      <c r="J6792">
        <v>0.47363782585258002</v>
      </c>
      <c r="K6792">
        <v>0.53827862240353197</v>
      </c>
      <c r="L6792">
        <v>575.27416046892597</v>
      </c>
      <c r="M6792">
        <v>12.4079938547226</v>
      </c>
      <c r="N6792">
        <v>55.894744765857197</v>
      </c>
      <c r="O6792">
        <v>45.208297757865999</v>
      </c>
      <c r="P6792">
        <v>-3.84509402038909E-2</v>
      </c>
      <c r="Q6792">
        <v>0.43973726709842398</v>
      </c>
      <c r="R6792">
        <v>0.84496685973691499</v>
      </c>
      <c r="S6792" t="s">
        <v>13598</v>
      </c>
      <c r="T6792" t="s">
        <v>13610</v>
      </c>
      <c r="U6792" t="s">
        <v>13610</v>
      </c>
      <c r="V6792" t="s">
        <v>13610</v>
      </c>
      <c r="W6792" t="s">
        <v>20321</v>
      </c>
      <c r="X6792">
        <v>3</v>
      </c>
      <c r="Y6792" t="s">
        <v>26845</v>
      </c>
      <c r="Z6792" t="s">
        <v>33647</v>
      </c>
      <c r="AA6792">
        <v>0.58179603185068274</v>
      </c>
      <c r="AB6792" t="str">
        <f>HYPERLINK("Melting_Curves/meltCurve_Q9Y6X8_ZHX2.pdf", "Melting_Curves/meltCurve_Q9Y6X8_ZHX2.pdf")</f>
        <v>Melting_Curves/meltCurve_Q9Y6X8_ZHX2.pdf</v>
      </c>
    </row>
    <row r="6793" spans="1:28" x14ac:dyDescent="0.25">
      <c r="A6793" t="s">
        <v>6797</v>
      </c>
      <c r="B6793">
        <v>0.995954080203443</v>
      </c>
      <c r="C6793">
        <v>0.91176668607391897</v>
      </c>
      <c r="D6793">
        <v>0.60261645014705101</v>
      </c>
      <c r="E6793">
        <v>0.33944770015279802</v>
      </c>
      <c r="F6793">
        <v>0.20285992429906799</v>
      </c>
      <c r="G6793">
        <v>0.12603036580985</v>
      </c>
      <c r="H6793">
        <v>9.2818947457589396E-2</v>
      </c>
      <c r="I6793">
        <v>8.2988682748120005E-2</v>
      </c>
      <c r="J6793">
        <v>9.9324241269202099E-2</v>
      </c>
      <c r="K6793">
        <v>8.9310480651751706E-2</v>
      </c>
      <c r="L6793">
        <v>885.52365340508402</v>
      </c>
      <c r="M6793">
        <v>18.8002147921225</v>
      </c>
      <c r="N6793">
        <v>47.603244756891399</v>
      </c>
      <c r="O6793">
        <v>46.578570056706603</v>
      </c>
      <c r="P6793">
        <v>-9.1845016703114402E-2</v>
      </c>
      <c r="Q6793">
        <v>8.9833430084249905E-2</v>
      </c>
      <c r="R6793">
        <v>0.99576014616360697</v>
      </c>
      <c r="S6793" t="s">
        <v>13599</v>
      </c>
      <c r="T6793" t="s">
        <v>13610</v>
      </c>
      <c r="U6793" t="s">
        <v>13610</v>
      </c>
      <c r="V6793" t="s">
        <v>13610</v>
      </c>
      <c r="W6793" t="s">
        <v>20322</v>
      </c>
      <c r="X6793">
        <v>25</v>
      </c>
      <c r="Y6793" t="s">
        <v>26846</v>
      </c>
      <c r="Z6793" t="s">
        <v>33648</v>
      </c>
      <c r="AA6793">
        <v>0.32049433967455587</v>
      </c>
      <c r="AB6793" t="str">
        <f>HYPERLINK("Melting_Curves/meltCurve_Q9Y6X9_MORC2.pdf", "Melting_Curves/meltCurve_Q9Y6X9_MORC2.pdf")</f>
        <v>Melting_Curves/meltCurve_Q9Y6X9_MORC2.pdf</v>
      </c>
    </row>
    <row r="6794" spans="1:28" x14ac:dyDescent="0.25">
      <c r="A6794" t="s">
        <v>6798</v>
      </c>
      <c r="B6794">
        <v>0.995954080203443</v>
      </c>
      <c r="C6794">
        <v>1.06346588762172</v>
      </c>
      <c r="D6794">
        <v>1.0791136150974201</v>
      </c>
      <c r="E6794">
        <v>0.90389060800015397</v>
      </c>
      <c r="F6794">
        <v>0.67723578789224204</v>
      </c>
      <c r="G6794">
        <v>0.40020265627461898</v>
      </c>
      <c r="H6794">
        <v>0.33481770416235102</v>
      </c>
      <c r="I6794">
        <v>0.32459060946426999</v>
      </c>
      <c r="J6794">
        <v>0.41726906594837598</v>
      </c>
      <c r="K6794">
        <v>0.31269703183887398</v>
      </c>
      <c r="L6794">
        <v>1780.4166969023299</v>
      </c>
      <c r="M6794">
        <v>33.604882982542499</v>
      </c>
      <c r="N6794">
        <v>54.894070231596402</v>
      </c>
      <c r="O6794">
        <v>52.794328447483203</v>
      </c>
      <c r="P6794">
        <v>-0.104230792629125</v>
      </c>
      <c r="Q6794">
        <v>0.34500325650890701</v>
      </c>
      <c r="R6794">
        <v>0.98116049237150205</v>
      </c>
      <c r="S6794" t="s">
        <v>13600</v>
      </c>
      <c r="T6794" t="s">
        <v>13610</v>
      </c>
      <c r="U6794" t="s">
        <v>13610</v>
      </c>
      <c r="V6794" t="s">
        <v>13610</v>
      </c>
      <c r="W6794" t="s">
        <v>20323</v>
      </c>
      <c r="X6794">
        <v>5</v>
      </c>
      <c r="Y6794" t="s">
        <v>26847</v>
      </c>
      <c r="Z6794" t="s">
        <v>33649</v>
      </c>
      <c r="AA6794">
        <v>0.63181211125582282</v>
      </c>
      <c r="AB6794" t="str">
        <f>HYPERLINK("Melting_Curves/meltCurve_R4GMN1_MOSPD2.pdf", "Melting_Curves/meltCurve_R4GMN1_MOSPD2.pdf")</f>
        <v>Melting_Curves/meltCurve_R4GMN1_MOSPD2.pdf</v>
      </c>
    </row>
    <row r="6795" spans="1:28" x14ac:dyDescent="0.25">
      <c r="A6795" t="s">
        <v>6799</v>
      </c>
      <c r="B6795">
        <v>0.995954080203443</v>
      </c>
      <c r="C6795">
        <v>0.65103751205094196</v>
      </c>
      <c r="D6795">
        <v>0.39866698187579003</v>
      </c>
      <c r="E6795">
        <v>0.49791491163441598</v>
      </c>
      <c r="F6795">
        <v>0.17161988860750799</v>
      </c>
      <c r="G6795">
        <v>9.1759083333624397E-2</v>
      </c>
      <c r="H6795">
        <v>4.7699682453026401E-2</v>
      </c>
      <c r="I6795">
        <v>3.4029674904860099E-2</v>
      </c>
      <c r="J6795">
        <v>3.7617986247149397E-2</v>
      </c>
      <c r="K6795">
        <v>3.4356562256379702E-2</v>
      </c>
      <c r="L6795">
        <v>513.14626330772796</v>
      </c>
      <c r="M6795">
        <v>11.0308723817814</v>
      </c>
      <c r="N6795">
        <v>46.519104902482297</v>
      </c>
      <c r="O6795">
        <v>45.068680651867602</v>
      </c>
      <c r="P6795">
        <v>-6.1209625571032399E-2</v>
      </c>
      <c r="Q6795">
        <v>0</v>
      </c>
      <c r="R6795">
        <v>0.92301143075203496</v>
      </c>
      <c r="S6795" t="s">
        <v>13601</v>
      </c>
      <c r="T6795" t="s">
        <v>13610</v>
      </c>
      <c r="U6795" t="s">
        <v>13610</v>
      </c>
      <c r="V6795" t="s">
        <v>13610</v>
      </c>
      <c r="W6795" t="s">
        <v>20324</v>
      </c>
      <c r="X6795">
        <v>13</v>
      </c>
      <c r="Y6795" t="s">
        <v>26848</v>
      </c>
      <c r="Z6795" t="s">
        <v>33650</v>
      </c>
      <c r="AA6795">
        <v>0.26800664534836482</v>
      </c>
      <c r="AB6795" t="str">
        <f>HYPERLINK("Melting_Curves/meltCurve_R4GMR5_PSMD8.pdf", "Melting_Curves/meltCurve_R4GMR5_PSMD8.pdf")</f>
        <v>Melting_Curves/meltCurve_R4GMR5_PSMD8.pdf</v>
      </c>
    </row>
    <row r="6796" spans="1:28" x14ac:dyDescent="0.25">
      <c r="A6796" t="s">
        <v>6800</v>
      </c>
      <c r="B6796">
        <v>0.995954080203443</v>
      </c>
      <c r="C6796">
        <v>0.80072757741598499</v>
      </c>
      <c r="D6796">
        <v>0.65276482878875797</v>
      </c>
      <c r="E6796">
        <v>0.54831448206664102</v>
      </c>
      <c r="F6796">
        <v>0.29019158828999903</v>
      </c>
      <c r="G6796">
        <v>0.148638128273893</v>
      </c>
      <c r="H6796">
        <v>9.0500318552714898E-2</v>
      </c>
      <c r="I6796">
        <v>7.4298008050868405E-2</v>
      </c>
      <c r="J6796">
        <v>7.7305507995656206E-2</v>
      </c>
      <c r="K6796">
        <v>5.7833338229862599E-2</v>
      </c>
      <c r="L6796">
        <v>568.11751082380101</v>
      </c>
      <c r="M6796">
        <v>11.546751343037</v>
      </c>
      <c r="N6796">
        <v>49.317906579880997</v>
      </c>
      <c r="O6796">
        <v>47.795196169019</v>
      </c>
      <c r="P6796">
        <v>-5.9601796234899598E-2</v>
      </c>
      <c r="Q6796">
        <v>1.34428000463887E-2</v>
      </c>
      <c r="R6796">
        <v>0.98375693394938601</v>
      </c>
      <c r="S6796" t="s">
        <v>13602</v>
      </c>
      <c r="T6796" t="s">
        <v>13610</v>
      </c>
      <c r="U6796" t="s">
        <v>13610</v>
      </c>
      <c r="V6796" t="s">
        <v>13610</v>
      </c>
      <c r="W6796" t="s">
        <v>20325</v>
      </c>
      <c r="X6796">
        <v>14</v>
      </c>
      <c r="Y6796" t="s">
        <v>26849</v>
      </c>
      <c r="Z6796" t="s">
        <v>33651</v>
      </c>
      <c r="AA6796">
        <v>0.35416497472836961</v>
      </c>
      <c r="AB6796" t="str">
        <f>HYPERLINK("Melting_Curves/meltCurve_R4GMX3_BMI1.pdf", "Melting_Curves/meltCurve_R4GMX3_BMI1.pdf")</f>
        <v>Melting_Curves/meltCurve_R4GMX3_BMI1.pdf</v>
      </c>
    </row>
    <row r="6797" spans="1:28" x14ac:dyDescent="0.25">
      <c r="A6797" t="s">
        <v>6801</v>
      </c>
      <c r="B6797">
        <v>0.995954080203443</v>
      </c>
      <c r="C6797">
        <v>0.96262373898937603</v>
      </c>
      <c r="D6797">
        <v>0.98652148162894804</v>
      </c>
      <c r="E6797">
        <v>0.91172535833617796</v>
      </c>
      <c r="F6797">
        <v>0.81035504102581801</v>
      </c>
      <c r="G6797">
        <v>0.53429997069705004</v>
      </c>
      <c r="H6797">
        <v>0.48511399274231998</v>
      </c>
      <c r="I6797">
        <v>0.57445277290265795</v>
      </c>
      <c r="J6797">
        <v>0.62577493272060303</v>
      </c>
      <c r="K6797">
        <v>0.66634463384877396</v>
      </c>
      <c r="L6797">
        <v>2208.1328889698302</v>
      </c>
      <c r="M6797">
        <v>41.721542020337701</v>
      </c>
      <c r="O6797">
        <v>52.8043304180907</v>
      </c>
      <c r="P6797">
        <v>-8.3861700333216702E-2</v>
      </c>
      <c r="Q6797">
        <v>0.57544683794754603</v>
      </c>
      <c r="R6797">
        <v>0.92134159897871304</v>
      </c>
      <c r="S6797" t="s">
        <v>13603</v>
      </c>
      <c r="T6797" t="s">
        <v>13610</v>
      </c>
      <c r="U6797" t="s">
        <v>13610</v>
      </c>
      <c r="V6797" t="s">
        <v>13610</v>
      </c>
      <c r="W6797" t="s">
        <v>20326</v>
      </c>
      <c r="X6797">
        <v>16</v>
      </c>
      <c r="Y6797" t="s">
        <v>26850</v>
      </c>
      <c r="Z6797" t="s">
        <v>33652</v>
      </c>
      <c r="AA6797">
        <v>0.75979112719890429</v>
      </c>
      <c r="AB6797" t="str">
        <f>HYPERLINK("Melting_Curves/meltCurve_R4GN55_YTHDF3.pdf", "Melting_Curves/meltCurve_R4GN55_YTHDF3.pdf")</f>
        <v>Melting_Curves/meltCurve_R4GN55_YTHDF3.pdf</v>
      </c>
    </row>
    <row r="6798" spans="1:28" x14ac:dyDescent="0.25">
      <c r="A6798" t="s">
        <v>6802</v>
      </c>
      <c r="B6798">
        <v>0.995954080203443</v>
      </c>
      <c r="C6798">
        <v>0.990652935609316</v>
      </c>
      <c r="D6798">
        <v>0.89464831316983795</v>
      </c>
      <c r="E6798">
        <v>0.69708316186744201</v>
      </c>
      <c r="F6798">
        <v>0.37753307171805001</v>
      </c>
      <c r="G6798">
        <v>0.17520760646377001</v>
      </c>
      <c r="H6798">
        <v>0.100769294948565</v>
      </c>
      <c r="I6798">
        <v>6.6073350891434998E-2</v>
      </c>
      <c r="J6798">
        <v>5.0227695830761102E-2</v>
      </c>
      <c r="K6798">
        <v>6.44082536320537E-2</v>
      </c>
      <c r="L6798">
        <v>1045.6077556360301</v>
      </c>
      <c r="M6798">
        <v>20.28389859124</v>
      </c>
      <c r="N6798">
        <v>51.829997450740898</v>
      </c>
      <c r="O6798">
        <v>51.055471792235402</v>
      </c>
      <c r="P6798">
        <v>-9.4148154608611298E-2</v>
      </c>
      <c r="Q6798">
        <v>5.21288611238837E-2</v>
      </c>
      <c r="R6798">
        <v>0.99843804603307995</v>
      </c>
      <c r="S6798" t="s">
        <v>13604</v>
      </c>
      <c r="T6798" t="s">
        <v>13610</v>
      </c>
      <c r="U6798" t="s">
        <v>13610</v>
      </c>
      <c r="V6798" t="s">
        <v>13610</v>
      </c>
      <c r="W6798" t="s">
        <v>20327</v>
      </c>
      <c r="X6798">
        <v>6</v>
      </c>
      <c r="Y6798" t="s">
        <v>26851</v>
      </c>
      <c r="Z6798" t="s">
        <v>33653</v>
      </c>
      <c r="AA6798">
        <v>0.42982024915337291</v>
      </c>
      <c r="AB6798" t="str">
        <f>HYPERLINK("Melting_Curves/meltCurve_R4GNB1_AASDH.pdf", "Melting_Curves/meltCurve_R4GNB1_AASDH.pdf")</f>
        <v>Melting_Curves/meltCurve_R4GNB1_AASDH.pdf</v>
      </c>
    </row>
    <row r="6799" spans="1:28" x14ac:dyDescent="0.25">
      <c r="A6799" t="s">
        <v>6803</v>
      </c>
      <c r="B6799">
        <v>0.995954080203443</v>
      </c>
      <c r="C6799">
        <v>0.899080703982998</v>
      </c>
      <c r="D6799">
        <v>0.82071269953456005</v>
      </c>
      <c r="E6799">
        <v>0.73907530177422998</v>
      </c>
      <c r="F6799">
        <v>0.56030755368670004</v>
      </c>
      <c r="G6799">
        <v>0.376554840816265</v>
      </c>
      <c r="H6799">
        <v>0.31495077578999497</v>
      </c>
      <c r="I6799">
        <v>0.36203982779159299</v>
      </c>
      <c r="J6799">
        <v>0.39553415243122297</v>
      </c>
      <c r="K6799">
        <v>0.388129860365516</v>
      </c>
      <c r="L6799">
        <v>727.44254342364002</v>
      </c>
      <c r="M6799">
        <v>14.509693000023301</v>
      </c>
      <c r="N6799">
        <v>54.307961570526999</v>
      </c>
      <c r="O6799">
        <v>49.211499466772899</v>
      </c>
      <c r="P6799">
        <v>-4.8947457881641197E-2</v>
      </c>
      <c r="Q6799">
        <v>0.33602988111566701</v>
      </c>
      <c r="R6799">
        <v>0.96635993111937202</v>
      </c>
      <c r="S6799" t="s">
        <v>13605</v>
      </c>
      <c r="T6799" t="s">
        <v>13610</v>
      </c>
      <c r="U6799" t="s">
        <v>13610</v>
      </c>
      <c r="V6799" t="s">
        <v>13610</v>
      </c>
      <c r="W6799" t="s">
        <v>20328</v>
      </c>
      <c r="X6799">
        <v>27</v>
      </c>
      <c r="Y6799" t="s">
        <v>26852</v>
      </c>
      <c r="Z6799" t="s">
        <v>33654</v>
      </c>
      <c r="AA6799">
        <v>0.57704397466667012</v>
      </c>
      <c r="AB6799" t="str">
        <f>HYPERLINK("Melting_Curves/meltCurve_R4GNB2_DENND4C.pdf", "Melting_Curves/meltCurve_R4GNB2_DENND4C.pdf")</f>
        <v>Melting_Curves/meltCurve_R4GNB2_DENND4C.pdf</v>
      </c>
    </row>
    <row r="6800" spans="1:28" x14ac:dyDescent="0.25">
      <c r="A6800" t="s">
        <v>6804</v>
      </c>
      <c r="B6800">
        <v>0.995954080203443</v>
      </c>
      <c r="C6800">
        <v>1.0350758472617501</v>
      </c>
      <c r="D6800">
        <v>0.94426030162391195</v>
      </c>
      <c r="E6800">
        <v>0.62749526824453605</v>
      </c>
      <c r="F6800">
        <v>0.15880883841012</v>
      </c>
      <c r="G6800">
        <v>8.9963650494811101E-2</v>
      </c>
      <c r="H6800">
        <v>6.4052856976501205E-2</v>
      </c>
      <c r="I6800">
        <v>7.0901172992017397E-2</v>
      </c>
      <c r="J6800">
        <v>0.100370720099086</v>
      </c>
      <c r="K6800">
        <v>7.1915942040995995E-2</v>
      </c>
      <c r="L6800">
        <v>2264.2654166306202</v>
      </c>
      <c r="M6800">
        <v>44.921161566462096</v>
      </c>
      <c r="N6800">
        <v>50.593304282928003</v>
      </c>
      <c r="O6800">
        <v>50.305731451891504</v>
      </c>
      <c r="P6800">
        <v>-0.20608232962835599</v>
      </c>
      <c r="Q6800">
        <v>7.6861925825291305E-2</v>
      </c>
      <c r="R6800">
        <v>0.99752722505948099</v>
      </c>
      <c r="S6800" t="s">
        <v>13606</v>
      </c>
      <c r="T6800" t="s">
        <v>13610</v>
      </c>
      <c r="U6800" t="s">
        <v>13610</v>
      </c>
      <c r="V6800" t="s">
        <v>13610</v>
      </c>
      <c r="W6800" t="s">
        <v>20329</v>
      </c>
      <c r="X6800">
        <v>5</v>
      </c>
      <c r="Y6800" t="s">
        <v>26853</v>
      </c>
      <c r="Z6800" t="s">
        <v>33655</v>
      </c>
      <c r="AA6800">
        <v>0.39959298213551098</v>
      </c>
      <c r="AB6800" t="str">
        <f>HYPERLINK("Melting_Curves/meltCurve_R4GND1_UBE2E3.pdf", "Melting_Curves/meltCurve_R4GND1_UBE2E3.pdf")</f>
        <v>Melting_Curves/meltCurve_R4GND1_UBE2E3.pdf</v>
      </c>
    </row>
    <row r="6801" spans="1:28" x14ac:dyDescent="0.25">
      <c r="A6801" t="s">
        <v>6805</v>
      </c>
      <c r="B6801">
        <v>0.995954080203443</v>
      </c>
      <c r="C6801">
        <v>0.97554318180036703</v>
      </c>
      <c r="D6801">
        <v>0.80606024882836202</v>
      </c>
      <c r="E6801">
        <v>0.63723075526816297</v>
      </c>
      <c r="F6801">
        <v>0.26525934295926101</v>
      </c>
      <c r="G6801">
        <v>0.16926105481893799</v>
      </c>
      <c r="H6801">
        <v>6.1143143005263099E-2</v>
      </c>
      <c r="I6801">
        <v>4.1142132204627098E-2</v>
      </c>
      <c r="J6801">
        <v>3.9343476953843E-2</v>
      </c>
      <c r="K6801">
        <v>5.6207523179748399E-2</v>
      </c>
      <c r="L6801">
        <v>913.12602816265701</v>
      </c>
      <c r="M6801">
        <v>18.0481738608051</v>
      </c>
      <c r="N6801">
        <v>50.768844408366</v>
      </c>
      <c r="O6801">
        <v>49.984958155294699</v>
      </c>
      <c r="P6801">
        <v>-8.7549590654762602E-2</v>
      </c>
      <c r="Q6801">
        <v>3.0162532310899E-2</v>
      </c>
      <c r="R6801">
        <v>0.99085314100112498</v>
      </c>
      <c r="S6801" t="s">
        <v>13607</v>
      </c>
      <c r="T6801" t="s">
        <v>13610</v>
      </c>
      <c r="U6801" t="s">
        <v>13610</v>
      </c>
      <c r="V6801" t="s">
        <v>13610</v>
      </c>
      <c r="W6801" t="s">
        <v>20330</v>
      </c>
      <c r="X6801">
        <v>1</v>
      </c>
      <c r="Y6801" t="s">
        <v>26854</v>
      </c>
      <c r="Z6801" t="s">
        <v>33656</v>
      </c>
      <c r="AA6801">
        <v>0.38897667867318508</v>
      </c>
      <c r="AB6801" t="str">
        <f>HYPERLINK("Melting_Curves/meltCurve_R4GNH2_FBXO2.pdf", "Melting_Curves/meltCurve_R4GNH2_FBXO2.pdf")</f>
        <v>Melting_Curves/meltCurve_R4GNH2_FBXO2.pdf</v>
      </c>
    </row>
    <row r="6802" spans="1:28" x14ac:dyDescent="0.25">
      <c r="A6802" t="s">
        <v>6806</v>
      </c>
      <c r="B6802">
        <v>0.995954080203443</v>
      </c>
      <c r="C6802">
        <v>0.71413780996070897</v>
      </c>
      <c r="D6802">
        <v>0.434276508707301</v>
      </c>
      <c r="E6802">
        <v>0.42788844341800403</v>
      </c>
      <c r="F6802">
        <v>0.19104255545319601</v>
      </c>
      <c r="G6802">
        <v>0.10602743990001599</v>
      </c>
      <c r="H6802">
        <v>7.0032387024326695E-2</v>
      </c>
      <c r="I6802">
        <v>5.7850563465730302E-2</v>
      </c>
      <c r="J6802">
        <v>6.7082815345512095E-2</v>
      </c>
      <c r="K6802">
        <v>5.82010367018167E-2</v>
      </c>
      <c r="L6802">
        <v>592.216825363113</v>
      </c>
      <c r="M6802">
        <v>12.8004387961972</v>
      </c>
      <c r="N6802">
        <v>46.595227263109301</v>
      </c>
      <c r="O6802">
        <v>45.179792776241896</v>
      </c>
      <c r="P6802">
        <v>-6.7774982309091E-2</v>
      </c>
      <c r="Q6802">
        <v>4.3318323728895797E-2</v>
      </c>
      <c r="R6802">
        <v>0.95969866534368997</v>
      </c>
      <c r="S6802" t="s">
        <v>13608</v>
      </c>
      <c r="T6802" t="s">
        <v>13610</v>
      </c>
      <c r="U6802" t="s">
        <v>13610</v>
      </c>
      <c r="V6802" t="s">
        <v>13610</v>
      </c>
      <c r="W6802" t="s">
        <v>20331</v>
      </c>
      <c r="X6802">
        <v>31</v>
      </c>
      <c r="Y6802" t="s">
        <v>26855</v>
      </c>
      <c r="Z6802" t="s">
        <v>33657</v>
      </c>
      <c r="AA6802">
        <v>0.28077796787422099</v>
      </c>
      <c r="AB6802" t="str">
        <f>HYPERLINK("Melting_Curves/meltCurve_R4GNH3_PSMC3.pdf", "Melting_Curves/meltCurve_R4GNH3_PSMC3.pdf")</f>
        <v>Melting_Curves/meltCurve_R4GNH3_PSMC3.pdf</v>
      </c>
    </row>
    <row r="6803" spans="1:28" x14ac:dyDescent="0.25">
      <c r="A6803" t="s">
        <v>6807</v>
      </c>
      <c r="B6803">
        <v>0.995954080203443</v>
      </c>
      <c r="C6803">
        <v>1.0652033589636301</v>
      </c>
      <c r="D6803">
        <v>0.914480708792756</v>
      </c>
      <c r="E6803">
        <v>0.82238129093787604</v>
      </c>
      <c r="F6803">
        <v>0.39549907756052199</v>
      </c>
      <c r="G6803">
        <v>0.23007672551964001</v>
      </c>
      <c r="H6803">
        <v>0.19837890909568201</v>
      </c>
      <c r="I6803">
        <v>0.22601629769884099</v>
      </c>
      <c r="J6803">
        <v>0.271215270162392</v>
      </c>
      <c r="K6803">
        <v>0.33173799134524601</v>
      </c>
      <c r="L6803">
        <v>2273.2102010087201</v>
      </c>
      <c r="M6803">
        <v>44.322207732471398</v>
      </c>
      <c r="N6803">
        <v>52.102619682264702</v>
      </c>
      <c r="O6803">
        <v>51.184217409221297</v>
      </c>
      <c r="P6803">
        <v>-0.162385242342938</v>
      </c>
      <c r="Q6803">
        <v>0.24989757701318699</v>
      </c>
      <c r="R6803">
        <v>0.98078974644116601</v>
      </c>
      <c r="S6803" t="s">
        <v>13609</v>
      </c>
      <c r="T6803" t="s">
        <v>13610</v>
      </c>
      <c r="U6803" t="s">
        <v>13610</v>
      </c>
      <c r="V6803" t="s">
        <v>13610</v>
      </c>
      <c r="W6803" t="s">
        <v>20332</v>
      </c>
      <c r="X6803">
        <v>3</v>
      </c>
      <c r="Y6803" t="s">
        <v>26856</v>
      </c>
      <c r="Z6803" t="s">
        <v>33658</v>
      </c>
      <c r="AA6803">
        <v>0.53430594553955435</v>
      </c>
      <c r="AB6803" t="str">
        <f>HYPERLINK("Melting_Curves/meltCurve_R4GNJ5_ACD.pdf", "Melting_Curves/meltCurve_R4GNJ5_ACD.pdf")</f>
        <v>Melting_Curves/meltCurve_R4GNJ5_ACD.pdf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2017-09-14T13:08:03Z</dcterms:created>
  <dcterms:modified xsi:type="dcterms:W3CDTF">2018-08-21T08:26:16Z</dcterms:modified>
</cp:coreProperties>
</file>